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d.docs.live.net/7fba985d2f8ef10c/1. NA/cluade/research/"/>
    </mc:Choice>
  </mc:AlternateContent>
  <xr:revisionPtr revIDLastSave="1" documentId="11_8388EBFAA569E3C89726A716657D9C07B075983D" xr6:coauthVersionLast="47" xr6:coauthVersionMax="47" xr10:uidLastSave="{9D68B8EE-FE1D-4AE9-835F-3EA7839503F5}"/>
  <bookViews>
    <workbookView xWindow="-108" yWindow="-108" windowWidth="34776" windowHeight="21096" activeTab="4" xr2:uid="{00000000-000D-0000-FFFF-FFFF00000000}"/>
  </bookViews>
  <sheets>
    <sheet name="Sheet3" sheetId="1" r:id="rId1"/>
    <sheet name="매도완료" sheetId="2" r:id="rId2"/>
    <sheet name="ING" sheetId="3" r:id="rId3"/>
    <sheet name="투자노트" sheetId="4" r:id="rId4"/>
    <sheet name="유주&amp;인우" sheetId="5" r:id="rId5"/>
    <sheet name="대출" sheetId="6" r:id="rId6"/>
    <sheet name="관리비" sheetId="7" r:id="rId7"/>
    <sheet name="Sheet2" sheetId="8" r:id="rId8"/>
    <sheet name="현금흐름" sheetId="9" r:id="rId9"/>
    <sheet name="자금여력" sheetId="10" r:id="rId10"/>
    <sheet name="Sheet1" sheetId="11" r:id="rId11"/>
    <sheet name="시세" sheetId="12" r:id="rId12"/>
    <sheet name="결혼" sheetId="13" r:id="rId13"/>
    <sheet name="이사(신세계)" sheetId="14" r:id="rId14"/>
    <sheet name="코인" sheetId="15" r:id="rId15"/>
    <sheet name="연금&amp;ISA" sheetId="16" r:id="rId16"/>
    <sheet name="📊순자산대시보드" sheetId="17" r:id="rId17"/>
    <sheet name="💰월별지출" sheetId="18" r:id="rId18"/>
    <sheet name="📈포트폴리오요약" sheetId="19" r:id="rId19"/>
  </sheets>
  <definedNames>
    <definedName name="_xlnm._FilterDatabase" localSheetId="2" hidden="1">ING!$B$3:$T$842</definedName>
    <definedName name="_xlnm._FilterDatabase" localSheetId="1" hidden="1">매도완료!$B$2:$V$1253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14" i="5" l="1"/>
  <c r="D2214" i="5"/>
  <c r="D2215" i="5" s="1"/>
  <c r="E2214" i="5"/>
  <c r="E2215" i="5" s="1"/>
  <c r="E2216" i="5" s="1"/>
  <c r="E2217" i="5" s="1"/>
  <c r="E2218" i="5" s="1"/>
  <c r="F2214" i="5"/>
  <c r="G2214" i="5"/>
  <c r="H2214" i="5"/>
  <c r="K2214" i="5"/>
  <c r="Q2214" i="5" s="1"/>
  <c r="L2214" i="5"/>
  <c r="M2214" i="5"/>
  <c r="N2214" i="5"/>
  <c r="O2214" i="5"/>
  <c r="P2214" i="5"/>
  <c r="C2215" i="5"/>
  <c r="H2215" i="5"/>
  <c r="H2216" i="5" s="1"/>
  <c r="H2217" i="5" s="1"/>
  <c r="H2218" i="5" s="1"/>
  <c r="H2219" i="5" s="1"/>
  <c r="H2220" i="5" s="1"/>
  <c r="H2221" i="5" s="1"/>
  <c r="H2222" i="5" s="1"/>
  <c r="H2223" i="5" s="1"/>
  <c r="H2224" i="5" s="1"/>
  <c r="H2225" i="5" s="1"/>
  <c r="H2226" i="5" s="1"/>
  <c r="H2227" i="5" s="1"/>
  <c r="H2228" i="5" s="1"/>
  <c r="H2229" i="5" s="1"/>
  <c r="H2230" i="5" s="1"/>
  <c r="H2231" i="5" s="1"/>
  <c r="H2232" i="5" s="1"/>
  <c r="H2233" i="5" s="1"/>
  <c r="H2234" i="5" s="1"/>
  <c r="H2235" i="5" s="1"/>
  <c r="H2236" i="5" s="1"/>
  <c r="H2237" i="5" s="1"/>
  <c r="H2238" i="5" s="1"/>
  <c r="H2239" i="5" s="1"/>
  <c r="H2240" i="5" s="1"/>
  <c r="H2241" i="5" s="1"/>
  <c r="H2242" i="5" s="1"/>
  <c r="H2243" i="5" s="1"/>
  <c r="H2244" i="5" s="1"/>
  <c r="H2245" i="5" s="1"/>
  <c r="H2246" i="5" s="1"/>
  <c r="H2247" i="5" s="1"/>
  <c r="H2248" i="5" s="1"/>
  <c r="H2249" i="5" s="1"/>
  <c r="H2250" i="5" s="1"/>
  <c r="H2251" i="5" s="1"/>
  <c r="H2252" i="5" s="1"/>
  <c r="H2253" i="5" s="1"/>
  <c r="H2254" i="5" s="1"/>
  <c r="H2255" i="5" s="1"/>
  <c r="H2256" i="5" s="1"/>
  <c r="H2257" i="5" s="1"/>
  <c r="H2258" i="5" s="1"/>
  <c r="H2259" i="5" s="1"/>
  <c r="H2260" i="5" s="1"/>
  <c r="H2261" i="5" s="1"/>
  <c r="H2262" i="5" s="1"/>
  <c r="H2263" i="5" s="1"/>
  <c r="H2264" i="5" s="1"/>
  <c r="H2265" i="5" s="1"/>
  <c r="H2266" i="5" s="1"/>
  <c r="H2267" i="5" s="1"/>
  <c r="H2268" i="5" s="1"/>
  <c r="H2269" i="5" s="1"/>
  <c r="H2270" i="5" s="1"/>
  <c r="H2271" i="5" s="1"/>
  <c r="H2272" i="5" s="1"/>
  <c r="H2273" i="5" s="1"/>
  <c r="H2274" i="5" s="1"/>
  <c r="H2275" i="5" s="1"/>
  <c r="H2276" i="5" s="1"/>
  <c r="H2277" i="5" s="1"/>
  <c r="H2278" i="5" s="1"/>
  <c r="H2279" i="5" s="1"/>
  <c r="H2280" i="5" s="1"/>
  <c r="H2281" i="5" s="1"/>
  <c r="H2282" i="5" s="1"/>
  <c r="H2283" i="5" s="1"/>
  <c r="H2284" i="5" s="1"/>
  <c r="H2285" i="5" s="1"/>
  <c r="H2286" i="5" s="1"/>
  <c r="H2287" i="5" s="1"/>
  <c r="H2288" i="5" s="1"/>
  <c r="H2289" i="5" s="1"/>
  <c r="H2290" i="5" s="1"/>
  <c r="H2291" i="5" s="1"/>
  <c r="H2292" i="5" s="1"/>
  <c r="H2293" i="5" s="1"/>
  <c r="H2294" i="5" s="1"/>
  <c r="H2295" i="5" s="1"/>
  <c r="H2296" i="5" s="1"/>
  <c r="H2297" i="5" s="1"/>
  <c r="H2298" i="5" s="1"/>
  <c r="H2299" i="5" s="1"/>
  <c r="H2300" i="5" s="1"/>
  <c r="H2301" i="5" s="1"/>
  <c r="H2302" i="5" s="1"/>
  <c r="H2303" i="5" s="1"/>
  <c r="H2304" i="5" s="1"/>
  <c r="H2305" i="5" s="1"/>
  <c r="H2306" i="5" s="1"/>
  <c r="H2307" i="5" s="1"/>
  <c r="H2308" i="5" s="1"/>
  <c r="H2309" i="5" s="1"/>
  <c r="H2310" i="5" s="1"/>
  <c r="H2311" i="5" s="1"/>
  <c r="H2312" i="5" s="1"/>
  <c r="H2313" i="5" s="1"/>
  <c r="H2314" i="5" s="1"/>
  <c r="H2315" i="5" s="1"/>
  <c r="H2316" i="5" s="1"/>
  <c r="H2317" i="5" s="1"/>
  <c r="H2318" i="5" s="1"/>
  <c r="H2319" i="5" s="1"/>
  <c r="H2320" i="5" s="1"/>
  <c r="H2321" i="5" s="1"/>
  <c r="H2322" i="5" s="1"/>
  <c r="H2323" i="5" s="1"/>
  <c r="H2324" i="5" s="1"/>
  <c r="H2325" i="5" s="1"/>
  <c r="H2326" i="5" s="1"/>
  <c r="H2327" i="5" s="1"/>
  <c r="H2328" i="5" s="1"/>
  <c r="H2329" i="5" s="1"/>
  <c r="H2330" i="5" s="1"/>
  <c r="H2331" i="5" s="1"/>
  <c r="H2332" i="5" s="1"/>
  <c r="H2333" i="5" s="1"/>
  <c r="H2334" i="5" s="1"/>
  <c r="H2335" i="5" s="1"/>
  <c r="H2336" i="5" s="1"/>
  <c r="H2337" i="5" s="1"/>
  <c r="H2338" i="5" s="1"/>
  <c r="H2339" i="5" s="1"/>
  <c r="H2340" i="5" s="1"/>
  <c r="H2341" i="5" s="1"/>
  <c r="H2342" i="5" s="1"/>
  <c r="H2343" i="5" s="1"/>
  <c r="H2344" i="5" s="1"/>
  <c r="H2345" i="5" s="1"/>
  <c r="H2346" i="5" s="1"/>
  <c r="H2347" i="5" s="1"/>
  <c r="H2348" i="5" s="1"/>
  <c r="H2349" i="5" s="1"/>
  <c r="H2350" i="5" s="1"/>
  <c r="H2351" i="5" s="1"/>
  <c r="H2352" i="5" s="1"/>
  <c r="H2353" i="5" s="1"/>
  <c r="H2354" i="5" s="1"/>
  <c r="H2355" i="5" s="1"/>
  <c r="H2356" i="5" s="1"/>
  <c r="H2357" i="5" s="1"/>
  <c r="H2358" i="5" s="1"/>
  <c r="H2359" i="5" s="1"/>
  <c r="H2360" i="5" s="1"/>
  <c r="H2361" i="5" s="1"/>
  <c r="H2362" i="5" s="1"/>
  <c r="H2363" i="5" s="1"/>
  <c r="H2364" i="5" s="1"/>
  <c r="H2365" i="5" s="1"/>
  <c r="H2366" i="5" s="1"/>
  <c r="H2367" i="5" s="1"/>
  <c r="H2368" i="5" s="1"/>
  <c r="H2369" i="5" s="1"/>
  <c r="H2370" i="5" s="1"/>
  <c r="H2371" i="5" s="1"/>
  <c r="H2372" i="5" s="1"/>
  <c r="H2373" i="5" s="1"/>
  <c r="H2374" i="5" s="1"/>
  <c r="H2375" i="5" s="1"/>
  <c r="H2376" i="5" s="1"/>
  <c r="H2377" i="5" s="1"/>
  <c r="H2378" i="5" s="1"/>
  <c r="H2379" i="5" s="1"/>
  <c r="H2380" i="5" s="1"/>
  <c r="H2381" i="5" s="1"/>
  <c r="H2382" i="5" s="1"/>
  <c r="H2383" i="5" s="1"/>
  <c r="H2384" i="5" s="1"/>
  <c r="H2385" i="5" s="1"/>
  <c r="H2386" i="5" s="1"/>
  <c r="H2387" i="5" s="1"/>
  <c r="H2388" i="5" s="1"/>
  <c r="H2389" i="5" s="1"/>
  <c r="H2390" i="5" s="1"/>
  <c r="H2391" i="5" s="1"/>
  <c r="H2392" i="5" s="1"/>
  <c r="H2393" i="5" s="1"/>
  <c r="H2394" i="5" s="1"/>
  <c r="H2395" i="5" s="1"/>
  <c r="H2396" i="5" s="1"/>
  <c r="H2397" i="5" s="1"/>
  <c r="H2398" i="5" s="1"/>
  <c r="H2399" i="5" s="1"/>
  <c r="H2400" i="5" s="1"/>
  <c r="H2401" i="5" s="1"/>
  <c r="H2402" i="5" s="1"/>
  <c r="H2403" i="5" s="1"/>
  <c r="H2404" i="5" s="1"/>
  <c r="H2405" i="5" s="1"/>
  <c r="H2406" i="5" s="1"/>
  <c r="H2407" i="5" s="1"/>
  <c r="H2408" i="5" s="1"/>
  <c r="H2409" i="5" s="1"/>
  <c r="H2410" i="5" s="1"/>
  <c r="H2411" i="5" s="1"/>
  <c r="H2412" i="5" s="1"/>
  <c r="H2413" i="5" s="1"/>
  <c r="H2414" i="5" s="1"/>
  <c r="H2415" i="5" s="1"/>
  <c r="H2416" i="5" s="1"/>
  <c r="H2417" i="5" s="1"/>
  <c r="H2418" i="5" s="1"/>
  <c r="H2419" i="5" s="1"/>
  <c r="H2420" i="5" s="1"/>
  <c r="H2421" i="5" s="1"/>
  <c r="H2422" i="5" s="1"/>
  <c r="H2423" i="5" s="1"/>
  <c r="H2424" i="5" s="1"/>
  <c r="H2425" i="5" s="1"/>
  <c r="H2426" i="5" s="1"/>
  <c r="H2427" i="5" s="1"/>
  <c r="H2428" i="5" s="1"/>
  <c r="H2429" i="5" s="1"/>
  <c r="H2430" i="5" s="1"/>
  <c r="H2431" i="5" s="1"/>
  <c r="H2432" i="5" s="1"/>
  <c r="H2433" i="5" s="1"/>
  <c r="H2434" i="5" s="1"/>
  <c r="H2435" i="5" s="1"/>
  <c r="H2436" i="5" s="1"/>
  <c r="H2437" i="5" s="1"/>
  <c r="H2438" i="5" s="1"/>
  <c r="H2439" i="5" s="1"/>
  <c r="H2440" i="5" s="1"/>
  <c r="H2441" i="5" s="1"/>
  <c r="H2442" i="5" s="1"/>
  <c r="H2443" i="5" s="1"/>
  <c r="H2444" i="5" s="1"/>
  <c r="H2445" i="5" s="1"/>
  <c r="H2446" i="5" s="1"/>
  <c r="H2447" i="5" s="1"/>
  <c r="H2448" i="5" s="1"/>
  <c r="H2449" i="5" s="1"/>
  <c r="H2450" i="5" s="1"/>
  <c r="H2451" i="5" s="1"/>
  <c r="H2452" i="5" s="1"/>
  <c r="H2453" i="5" s="1"/>
  <c r="H2454" i="5" s="1"/>
  <c r="H2455" i="5" s="1"/>
  <c r="H2456" i="5" s="1"/>
  <c r="H2457" i="5" s="1"/>
  <c r="H2458" i="5" s="1"/>
  <c r="H2459" i="5" s="1"/>
  <c r="H2460" i="5" s="1"/>
  <c r="H2461" i="5" s="1"/>
  <c r="H2462" i="5" s="1"/>
  <c r="H2463" i="5" s="1"/>
  <c r="H2464" i="5" s="1"/>
  <c r="H2465" i="5" s="1"/>
  <c r="H2466" i="5" s="1"/>
  <c r="H2467" i="5" s="1"/>
  <c r="H2468" i="5" s="1"/>
  <c r="H2469" i="5" s="1"/>
  <c r="H2470" i="5" s="1"/>
  <c r="H2471" i="5" s="1"/>
  <c r="H2472" i="5" s="1"/>
  <c r="H2473" i="5" s="1"/>
  <c r="H2474" i="5" s="1"/>
  <c r="H2475" i="5" s="1"/>
  <c r="H2476" i="5" s="1"/>
  <c r="H2477" i="5" s="1"/>
  <c r="H2478" i="5" s="1"/>
  <c r="H2479" i="5" s="1"/>
  <c r="H2480" i="5" s="1"/>
  <c r="K2215" i="5"/>
  <c r="L2215" i="5"/>
  <c r="L2216" i="5" s="1"/>
  <c r="L2217" i="5" s="1"/>
  <c r="L2218" i="5" s="1"/>
  <c r="L2219" i="5" s="1"/>
  <c r="L2220" i="5" s="1"/>
  <c r="L2221" i="5" s="1"/>
  <c r="L2222" i="5" s="1"/>
  <c r="L2223" i="5" s="1"/>
  <c r="L2224" i="5" s="1"/>
  <c r="L2225" i="5" s="1"/>
  <c r="L2226" i="5" s="1"/>
  <c r="L2227" i="5" s="1"/>
  <c r="L2228" i="5" s="1"/>
  <c r="L2229" i="5" s="1"/>
  <c r="L2230" i="5" s="1"/>
  <c r="L2231" i="5" s="1"/>
  <c r="L2232" i="5" s="1"/>
  <c r="L2233" i="5" s="1"/>
  <c r="L2234" i="5" s="1"/>
  <c r="L2235" i="5" s="1"/>
  <c r="L2236" i="5" s="1"/>
  <c r="L2237" i="5" s="1"/>
  <c r="L2238" i="5" s="1"/>
  <c r="L2239" i="5" s="1"/>
  <c r="L2240" i="5" s="1"/>
  <c r="L2241" i="5" s="1"/>
  <c r="L2242" i="5" s="1"/>
  <c r="L2243" i="5" s="1"/>
  <c r="L2244" i="5" s="1"/>
  <c r="L2245" i="5" s="1"/>
  <c r="L2246" i="5" s="1"/>
  <c r="L2247" i="5" s="1"/>
  <c r="L2248" i="5" s="1"/>
  <c r="L2249" i="5" s="1"/>
  <c r="L2250" i="5" s="1"/>
  <c r="L2251" i="5" s="1"/>
  <c r="L2252" i="5" s="1"/>
  <c r="L2253" i="5" s="1"/>
  <c r="L2254" i="5" s="1"/>
  <c r="L2255" i="5" s="1"/>
  <c r="L2256" i="5" s="1"/>
  <c r="L2257" i="5" s="1"/>
  <c r="L2258" i="5" s="1"/>
  <c r="L2259" i="5" s="1"/>
  <c r="L2260" i="5" s="1"/>
  <c r="L2261" i="5" s="1"/>
  <c r="L2262" i="5" s="1"/>
  <c r="L2263" i="5" s="1"/>
  <c r="L2264" i="5" s="1"/>
  <c r="L2265" i="5" s="1"/>
  <c r="L2266" i="5" s="1"/>
  <c r="L2267" i="5" s="1"/>
  <c r="L2268" i="5" s="1"/>
  <c r="L2269" i="5" s="1"/>
  <c r="L2270" i="5" s="1"/>
  <c r="L2271" i="5" s="1"/>
  <c r="L2272" i="5" s="1"/>
  <c r="L2273" i="5" s="1"/>
  <c r="L2274" i="5" s="1"/>
  <c r="L2275" i="5" s="1"/>
  <c r="L2276" i="5" s="1"/>
  <c r="L2277" i="5" s="1"/>
  <c r="L2278" i="5" s="1"/>
  <c r="L2279" i="5" s="1"/>
  <c r="L2280" i="5" s="1"/>
  <c r="L2281" i="5" s="1"/>
  <c r="L2282" i="5" s="1"/>
  <c r="L2283" i="5" s="1"/>
  <c r="L2284" i="5" s="1"/>
  <c r="L2285" i="5" s="1"/>
  <c r="L2286" i="5" s="1"/>
  <c r="L2287" i="5" s="1"/>
  <c r="L2288" i="5" s="1"/>
  <c r="L2289" i="5" s="1"/>
  <c r="L2290" i="5" s="1"/>
  <c r="L2291" i="5" s="1"/>
  <c r="L2292" i="5" s="1"/>
  <c r="L2293" i="5" s="1"/>
  <c r="L2294" i="5" s="1"/>
  <c r="L2295" i="5" s="1"/>
  <c r="L2296" i="5" s="1"/>
  <c r="L2297" i="5" s="1"/>
  <c r="L2298" i="5" s="1"/>
  <c r="L2299" i="5" s="1"/>
  <c r="L2300" i="5" s="1"/>
  <c r="L2301" i="5" s="1"/>
  <c r="L2302" i="5" s="1"/>
  <c r="L2303" i="5" s="1"/>
  <c r="L2304" i="5" s="1"/>
  <c r="L2305" i="5" s="1"/>
  <c r="L2306" i="5" s="1"/>
  <c r="L2307" i="5" s="1"/>
  <c r="L2308" i="5" s="1"/>
  <c r="L2309" i="5" s="1"/>
  <c r="L2310" i="5" s="1"/>
  <c r="L2311" i="5" s="1"/>
  <c r="L2312" i="5" s="1"/>
  <c r="L2313" i="5" s="1"/>
  <c r="L2314" i="5" s="1"/>
  <c r="L2315" i="5" s="1"/>
  <c r="L2316" i="5" s="1"/>
  <c r="L2317" i="5" s="1"/>
  <c r="L2318" i="5" s="1"/>
  <c r="L2319" i="5" s="1"/>
  <c r="L2320" i="5" s="1"/>
  <c r="L2321" i="5" s="1"/>
  <c r="L2322" i="5" s="1"/>
  <c r="L2323" i="5" s="1"/>
  <c r="L2324" i="5" s="1"/>
  <c r="L2325" i="5" s="1"/>
  <c r="L2326" i="5" s="1"/>
  <c r="L2327" i="5" s="1"/>
  <c r="L2328" i="5" s="1"/>
  <c r="L2329" i="5" s="1"/>
  <c r="L2330" i="5" s="1"/>
  <c r="L2331" i="5" s="1"/>
  <c r="L2332" i="5" s="1"/>
  <c r="L2333" i="5" s="1"/>
  <c r="L2334" i="5" s="1"/>
  <c r="L2335" i="5" s="1"/>
  <c r="L2336" i="5" s="1"/>
  <c r="L2337" i="5" s="1"/>
  <c r="L2338" i="5" s="1"/>
  <c r="L2339" i="5" s="1"/>
  <c r="L2340" i="5" s="1"/>
  <c r="L2341" i="5" s="1"/>
  <c r="L2342" i="5" s="1"/>
  <c r="L2343" i="5" s="1"/>
  <c r="L2344" i="5" s="1"/>
  <c r="L2345" i="5" s="1"/>
  <c r="L2346" i="5" s="1"/>
  <c r="L2347" i="5" s="1"/>
  <c r="L2348" i="5" s="1"/>
  <c r="L2349" i="5" s="1"/>
  <c r="L2350" i="5" s="1"/>
  <c r="L2351" i="5" s="1"/>
  <c r="L2352" i="5" s="1"/>
  <c r="L2353" i="5" s="1"/>
  <c r="L2354" i="5" s="1"/>
  <c r="L2355" i="5" s="1"/>
  <c r="L2356" i="5" s="1"/>
  <c r="L2357" i="5" s="1"/>
  <c r="L2358" i="5" s="1"/>
  <c r="L2359" i="5" s="1"/>
  <c r="L2360" i="5" s="1"/>
  <c r="L2361" i="5" s="1"/>
  <c r="L2362" i="5" s="1"/>
  <c r="L2363" i="5" s="1"/>
  <c r="L2364" i="5" s="1"/>
  <c r="L2365" i="5" s="1"/>
  <c r="L2366" i="5" s="1"/>
  <c r="L2367" i="5" s="1"/>
  <c r="L2368" i="5" s="1"/>
  <c r="L2369" i="5" s="1"/>
  <c r="L2370" i="5" s="1"/>
  <c r="L2371" i="5" s="1"/>
  <c r="L2372" i="5" s="1"/>
  <c r="L2373" i="5" s="1"/>
  <c r="L2374" i="5" s="1"/>
  <c r="L2375" i="5" s="1"/>
  <c r="L2376" i="5" s="1"/>
  <c r="L2377" i="5" s="1"/>
  <c r="L2378" i="5" s="1"/>
  <c r="L2379" i="5" s="1"/>
  <c r="L2380" i="5" s="1"/>
  <c r="L2381" i="5" s="1"/>
  <c r="L2382" i="5" s="1"/>
  <c r="L2383" i="5" s="1"/>
  <c r="L2384" i="5" s="1"/>
  <c r="L2385" i="5" s="1"/>
  <c r="L2386" i="5" s="1"/>
  <c r="L2387" i="5" s="1"/>
  <c r="L2388" i="5" s="1"/>
  <c r="L2389" i="5" s="1"/>
  <c r="L2390" i="5" s="1"/>
  <c r="L2391" i="5" s="1"/>
  <c r="L2392" i="5" s="1"/>
  <c r="L2393" i="5" s="1"/>
  <c r="L2394" i="5" s="1"/>
  <c r="L2395" i="5" s="1"/>
  <c r="L2396" i="5" s="1"/>
  <c r="L2397" i="5" s="1"/>
  <c r="L2398" i="5" s="1"/>
  <c r="L2399" i="5" s="1"/>
  <c r="L2400" i="5" s="1"/>
  <c r="L2401" i="5" s="1"/>
  <c r="L2402" i="5" s="1"/>
  <c r="L2403" i="5" s="1"/>
  <c r="L2404" i="5" s="1"/>
  <c r="L2405" i="5" s="1"/>
  <c r="L2406" i="5" s="1"/>
  <c r="L2407" i="5" s="1"/>
  <c r="L2408" i="5" s="1"/>
  <c r="L2409" i="5" s="1"/>
  <c r="L2410" i="5" s="1"/>
  <c r="L2411" i="5" s="1"/>
  <c r="L2412" i="5" s="1"/>
  <c r="L2413" i="5" s="1"/>
  <c r="L2414" i="5" s="1"/>
  <c r="L2415" i="5" s="1"/>
  <c r="L2416" i="5" s="1"/>
  <c r="L2417" i="5" s="1"/>
  <c r="L2418" i="5" s="1"/>
  <c r="L2419" i="5" s="1"/>
  <c r="L2420" i="5" s="1"/>
  <c r="L2421" i="5" s="1"/>
  <c r="L2422" i="5" s="1"/>
  <c r="L2423" i="5" s="1"/>
  <c r="L2424" i="5" s="1"/>
  <c r="L2425" i="5" s="1"/>
  <c r="L2426" i="5" s="1"/>
  <c r="L2427" i="5" s="1"/>
  <c r="L2428" i="5" s="1"/>
  <c r="L2429" i="5" s="1"/>
  <c r="L2430" i="5" s="1"/>
  <c r="L2431" i="5" s="1"/>
  <c r="L2432" i="5" s="1"/>
  <c r="L2433" i="5" s="1"/>
  <c r="L2434" i="5" s="1"/>
  <c r="L2435" i="5" s="1"/>
  <c r="L2436" i="5" s="1"/>
  <c r="L2437" i="5" s="1"/>
  <c r="L2438" i="5" s="1"/>
  <c r="L2439" i="5" s="1"/>
  <c r="L2440" i="5" s="1"/>
  <c r="L2441" i="5" s="1"/>
  <c r="L2442" i="5" s="1"/>
  <c r="L2443" i="5" s="1"/>
  <c r="L2444" i="5" s="1"/>
  <c r="L2445" i="5" s="1"/>
  <c r="L2446" i="5" s="1"/>
  <c r="L2447" i="5" s="1"/>
  <c r="L2448" i="5" s="1"/>
  <c r="L2449" i="5" s="1"/>
  <c r="L2450" i="5" s="1"/>
  <c r="L2451" i="5" s="1"/>
  <c r="L2452" i="5" s="1"/>
  <c r="L2453" i="5" s="1"/>
  <c r="L2454" i="5" s="1"/>
  <c r="L2455" i="5" s="1"/>
  <c r="L2456" i="5" s="1"/>
  <c r="L2457" i="5" s="1"/>
  <c r="L2458" i="5" s="1"/>
  <c r="L2459" i="5" s="1"/>
  <c r="L2460" i="5" s="1"/>
  <c r="L2461" i="5" s="1"/>
  <c r="L2462" i="5" s="1"/>
  <c r="L2463" i="5" s="1"/>
  <c r="L2464" i="5" s="1"/>
  <c r="L2465" i="5" s="1"/>
  <c r="L2466" i="5" s="1"/>
  <c r="L2467" i="5" s="1"/>
  <c r="L2468" i="5" s="1"/>
  <c r="L2469" i="5" s="1"/>
  <c r="L2470" i="5" s="1"/>
  <c r="L2471" i="5" s="1"/>
  <c r="L2472" i="5" s="1"/>
  <c r="L2473" i="5" s="1"/>
  <c r="L2474" i="5" s="1"/>
  <c r="L2475" i="5" s="1"/>
  <c r="L2476" i="5" s="1"/>
  <c r="L2477" i="5" s="1"/>
  <c r="L2478" i="5" s="1"/>
  <c r="L2479" i="5" s="1"/>
  <c r="L2480" i="5" s="1"/>
  <c r="M2215" i="5"/>
  <c r="M2216" i="5" s="1"/>
  <c r="M2217" i="5" s="1"/>
  <c r="M2218" i="5" s="1"/>
  <c r="M2219" i="5" s="1"/>
  <c r="M2220" i="5" s="1"/>
  <c r="M2221" i="5" s="1"/>
  <c r="N2215" i="5"/>
  <c r="O2215" i="5"/>
  <c r="O2216" i="5" s="1"/>
  <c r="O2217" i="5" s="1"/>
  <c r="O2218" i="5" s="1"/>
  <c r="O2219" i="5" s="1"/>
  <c r="O2220" i="5" s="1"/>
  <c r="O2221" i="5" s="1"/>
  <c r="O2222" i="5" s="1"/>
  <c r="O2223" i="5" s="1"/>
  <c r="O2224" i="5" s="1"/>
  <c r="O2225" i="5" s="1"/>
  <c r="O2226" i="5" s="1"/>
  <c r="O2227" i="5" s="1"/>
  <c r="O2228" i="5" s="1"/>
  <c r="O2229" i="5" s="1"/>
  <c r="O2230" i="5" s="1"/>
  <c r="O2231" i="5" s="1"/>
  <c r="O2232" i="5" s="1"/>
  <c r="O2233" i="5" s="1"/>
  <c r="O2234" i="5" s="1"/>
  <c r="O2235" i="5" s="1"/>
  <c r="O2236" i="5" s="1"/>
  <c r="O2237" i="5" s="1"/>
  <c r="O2238" i="5" s="1"/>
  <c r="O2239" i="5" s="1"/>
  <c r="O2240" i="5" s="1"/>
  <c r="O2241" i="5" s="1"/>
  <c r="O2242" i="5" s="1"/>
  <c r="O2243" i="5" s="1"/>
  <c r="O2244" i="5" s="1"/>
  <c r="O2245" i="5" s="1"/>
  <c r="O2246" i="5" s="1"/>
  <c r="O2247" i="5" s="1"/>
  <c r="O2248" i="5" s="1"/>
  <c r="O2249" i="5" s="1"/>
  <c r="O2250" i="5" s="1"/>
  <c r="O2251" i="5" s="1"/>
  <c r="O2252" i="5" s="1"/>
  <c r="O2253" i="5" s="1"/>
  <c r="O2254" i="5" s="1"/>
  <c r="O2255" i="5" s="1"/>
  <c r="O2256" i="5" s="1"/>
  <c r="O2257" i="5" s="1"/>
  <c r="O2258" i="5" s="1"/>
  <c r="O2259" i="5" s="1"/>
  <c r="O2260" i="5" s="1"/>
  <c r="O2261" i="5" s="1"/>
  <c r="O2262" i="5" s="1"/>
  <c r="O2263" i="5" s="1"/>
  <c r="O2264" i="5" s="1"/>
  <c r="O2265" i="5" s="1"/>
  <c r="O2266" i="5" s="1"/>
  <c r="O2267" i="5" s="1"/>
  <c r="P2215" i="5"/>
  <c r="P2216" i="5" s="1"/>
  <c r="P2217" i="5" s="1"/>
  <c r="P2218" i="5" s="1"/>
  <c r="P2219" i="5" s="1"/>
  <c r="P2220" i="5" s="1"/>
  <c r="P2221" i="5" s="1"/>
  <c r="P2222" i="5" s="1"/>
  <c r="P2223" i="5" s="1"/>
  <c r="P2224" i="5" s="1"/>
  <c r="P2225" i="5" s="1"/>
  <c r="P2226" i="5" s="1"/>
  <c r="P2227" i="5" s="1"/>
  <c r="P2228" i="5" s="1"/>
  <c r="P2229" i="5" s="1"/>
  <c r="P2230" i="5" s="1"/>
  <c r="P2231" i="5" s="1"/>
  <c r="P2232" i="5" s="1"/>
  <c r="P2233" i="5" s="1"/>
  <c r="P2234" i="5" s="1"/>
  <c r="P2235" i="5" s="1"/>
  <c r="P2236" i="5" s="1"/>
  <c r="P2237" i="5" s="1"/>
  <c r="P2238" i="5" s="1"/>
  <c r="P2239" i="5" s="1"/>
  <c r="P2240" i="5" s="1"/>
  <c r="P2241" i="5" s="1"/>
  <c r="P2242" i="5" s="1"/>
  <c r="P2243" i="5" s="1"/>
  <c r="P2244" i="5" s="1"/>
  <c r="P2245" i="5" s="1"/>
  <c r="P2246" i="5" s="1"/>
  <c r="P2247" i="5" s="1"/>
  <c r="P2248" i="5" s="1"/>
  <c r="P2249" i="5" s="1"/>
  <c r="P2250" i="5" s="1"/>
  <c r="P2251" i="5" s="1"/>
  <c r="P2252" i="5" s="1"/>
  <c r="P2253" i="5" s="1"/>
  <c r="P2254" i="5" s="1"/>
  <c r="P2255" i="5" s="1"/>
  <c r="P2256" i="5" s="1"/>
  <c r="P2257" i="5" s="1"/>
  <c r="P2258" i="5" s="1"/>
  <c r="P2259" i="5" s="1"/>
  <c r="P2260" i="5" s="1"/>
  <c r="P2261" i="5" s="1"/>
  <c r="P2262" i="5" s="1"/>
  <c r="P2263" i="5" s="1"/>
  <c r="P2264" i="5" s="1"/>
  <c r="P2265" i="5" s="1"/>
  <c r="P2266" i="5" s="1"/>
  <c r="P2267" i="5" s="1"/>
  <c r="P2268" i="5" s="1"/>
  <c r="P2269" i="5" s="1"/>
  <c r="P2270" i="5" s="1"/>
  <c r="P2271" i="5" s="1"/>
  <c r="P2272" i="5" s="1"/>
  <c r="P2273" i="5" s="1"/>
  <c r="P2274" i="5" s="1"/>
  <c r="P2275" i="5" s="1"/>
  <c r="P2276" i="5" s="1"/>
  <c r="P2277" i="5" s="1"/>
  <c r="P2278" i="5" s="1"/>
  <c r="P2279" i="5" s="1"/>
  <c r="P2280" i="5" s="1"/>
  <c r="P2281" i="5" s="1"/>
  <c r="P2282" i="5" s="1"/>
  <c r="P2283" i="5" s="1"/>
  <c r="P2284" i="5" s="1"/>
  <c r="P2285" i="5" s="1"/>
  <c r="P2286" i="5" s="1"/>
  <c r="P2287" i="5" s="1"/>
  <c r="P2288" i="5" s="1"/>
  <c r="P2289" i="5" s="1"/>
  <c r="P2290" i="5" s="1"/>
  <c r="P2291" i="5" s="1"/>
  <c r="P2292" i="5" s="1"/>
  <c r="P2293" i="5" s="1"/>
  <c r="P2294" i="5" s="1"/>
  <c r="P2295" i="5" s="1"/>
  <c r="P2296" i="5" s="1"/>
  <c r="P2297" i="5" s="1"/>
  <c r="P2298" i="5" s="1"/>
  <c r="P2299" i="5" s="1"/>
  <c r="P2300" i="5" s="1"/>
  <c r="P2301" i="5" s="1"/>
  <c r="P2302" i="5" s="1"/>
  <c r="P2303" i="5" s="1"/>
  <c r="P2304" i="5" s="1"/>
  <c r="P2305" i="5" s="1"/>
  <c r="P2306" i="5" s="1"/>
  <c r="P2307" i="5" s="1"/>
  <c r="P2308" i="5" s="1"/>
  <c r="P2309" i="5" s="1"/>
  <c r="P2310" i="5" s="1"/>
  <c r="P2311" i="5" s="1"/>
  <c r="P2312" i="5" s="1"/>
  <c r="P2313" i="5" s="1"/>
  <c r="P2314" i="5" s="1"/>
  <c r="P2315" i="5" s="1"/>
  <c r="P2316" i="5" s="1"/>
  <c r="P2317" i="5" s="1"/>
  <c r="P2318" i="5" s="1"/>
  <c r="P2319" i="5" s="1"/>
  <c r="P2320" i="5" s="1"/>
  <c r="P2321" i="5" s="1"/>
  <c r="P2322" i="5" s="1"/>
  <c r="P2323" i="5" s="1"/>
  <c r="P2324" i="5" s="1"/>
  <c r="P2325" i="5" s="1"/>
  <c r="P2326" i="5" s="1"/>
  <c r="P2327" i="5" s="1"/>
  <c r="P2328" i="5" s="1"/>
  <c r="P2329" i="5" s="1"/>
  <c r="P2330" i="5" s="1"/>
  <c r="P2331" i="5" s="1"/>
  <c r="P2332" i="5" s="1"/>
  <c r="P2333" i="5" s="1"/>
  <c r="P2334" i="5" s="1"/>
  <c r="P2335" i="5" s="1"/>
  <c r="P2336" i="5" s="1"/>
  <c r="P2337" i="5" s="1"/>
  <c r="P2338" i="5" s="1"/>
  <c r="P2339" i="5" s="1"/>
  <c r="P2340" i="5" s="1"/>
  <c r="P2341" i="5" s="1"/>
  <c r="P2342" i="5" s="1"/>
  <c r="P2343" i="5" s="1"/>
  <c r="P2344" i="5" s="1"/>
  <c r="P2345" i="5" s="1"/>
  <c r="P2346" i="5" s="1"/>
  <c r="P2347" i="5" s="1"/>
  <c r="P2348" i="5" s="1"/>
  <c r="P2349" i="5" s="1"/>
  <c r="P2350" i="5" s="1"/>
  <c r="P2351" i="5" s="1"/>
  <c r="P2352" i="5" s="1"/>
  <c r="P2353" i="5" s="1"/>
  <c r="P2354" i="5" s="1"/>
  <c r="P2355" i="5" s="1"/>
  <c r="P2356" i="5" s="1"/>
  <c r="P2357" i="5" s="1"/>
  <c r="P2358" i="5" s="1"/>
  <c r="P2359" i="5" s="1"/>
  <c r="P2360" i="5" s="1"/>
  <c r="P2361" i="5" s="1"/>
  <c r="P2362" i="5" s="1"/>
  <c r="P2363" i="5" s="1"/>
  <c r="P2364" i="5" s="1"/>
  <c r="P2365" i="5" s="1"/>
  <c r="P2366" i="5" s="1"/>
  <c r="P2367" i="5" s="1"/>
  <c r="P2368" i="5" s="1"/>
  <c r="P2369" i="5" s="1"/>
  <c r="P2370" i="5" s="1"/>
  <c r="P2371" i="5" s="1"/>
  <c r="P2372" i="5" s="1"/>
  <c r="P2373" i="5" s="1"/>
  <c r="P2374" i="5" s="1"/>
  <c r="P2375" i="5" s="1"/>
  <c r="P2376" i="5" s="1"/>
  <c r="P2377" i="5" s="1"/>
  <c r="P2378" i="5" s="1"/>
  <c r="P2379" i="5" s="1"/>
  <c r="P2380" i="5" s="1"/>
  <c r="P2381" i="5" s="1"/>
  <c r="P2382" i="5" s="1"/>
  <c r="P2383" i="5" s="1"/>
  <c r="P2384" i="5" s="1"/>
  <c r="P2385" i="5" s="1"/>
  <c r="P2386" i="5" s="1"/>
  <c r="P2387" i="5" s="1"/>
  <c r="P2388" i="5" s="1"/>
  <c r="P2389" i="5" s="1"/>
  <c r="P2390" i="5" s="1"/>
  <c r="P2391" i="5" s="1"/>
  <c r="P2392" i="5" s="1"/>
  <c r="P2393" i="5" s="1"/>
  <c r="P2394" i="5" s="1"/>
  <c r="P2395" i="5" s="1"/>
  <c r="P2396" i="5" s="1"/>
  <c r="P2397" i="5" s="1"/>
  <c r="P2398" i="5" s="1"/>
  <c r="P2399" i="5" s="1"/>
  <c r="P2400" i="5" s="1"/>
  <c r="P2401" i="5" s="1"/>
  <c r="P2402" i="5" s="1"/>
  <c r="P2403" i="5" s="1"/>
  <c r="P2404" i="5" s="1"/>
  <c r="P2405" i="5" s="1"/>
  <c r="P2406" i="5" s="1"/>
  <c r="P2407" i="5" s="1"/>
  <c r="P2408" i="5" s="1"/>
  <c r="P2409" i="5" s="1"/>
  <c r="P2410" i="5" s="1"/>
  <c r="P2411" i="5" s="1"/>
  <c r="P2412" i="5" s="1"/>
  <c r="P2413" i="5" s="1"/>
  <c r="P2414" i="5" s="1"/>
  <c r="P2415" i="5" s="1"/>
  <c r="P2416" i="5" s="1"/>
  <c r="P2417" i="5" s="1"/>
  <c r="P2418" i="5" s="1"/>
  <c r="P2419" i="5" s="1"/>
  <c r="P2420" i="5" s="1"/>
  <c r="P2421" i="5" s="1"/>
  <c r="P2422" i="5" s="1"/>
  <c r="P2423" i="5" s="1"/>
  <c r="P2424" i="5" s="1"/>
  <c r="P2425" i="5" s="1"/>
  <c r="P2426" i="5" s="1"/>
  <c r="P2427" i="5" s="1"/>
  <c r="P2428" i="5" s="1"/>
  <c r="P2429" i="5" s="1"/>
  <c r="P2430" i="5" s="1"/>
  <c r="P2431" i="5" s="1"/>
  <c r="P2432" i="5" s="1"/>
  <c r="P2433" i="5" s="1"/>
  <c r="P2434" i="5" s="1"/>
  <c r="P2435" i="5" s="1"/>
  <c r="P2436" i="5" s="1"/>
  <c r="P2437" i="5" s="1"/>
  <c r="P2438" i="5" s="1"/>
  <c r="P2439" i="5" s="1"/>
  <c r="P2440" i="5" s="1"/>
  <c r="P2441" i="5" s="1"/>
  <c r="P2442" i="5" s="1"/>
  <c r="P2443" i="5" s="1"/>
  <c r="P2444" i="5" s="1"/>
  <c r="P2445" i="5" s="1"/>
  <c r="P2446" i="5" s="1"/>
  <c r="P2447" i="5" s="1"/>
  <c r="P2448" i="5" s="1"/>
  <c r="P2449" i="5" s="1"/>
  <c r="P2450" i="5" s="1"/>
  <c r="P2451" i="5" s="1"/>
  <c r="P2452" i="5" s="1"/>
  <c r="P2453" i="5" s="1"/>
  <c r="P2454" i="5" s="1"/>
  <c r="P2455" i="5" s="1"/>
  <c r="P2456" i="5" s="1"/>
  <c r="P2457" i="5" s="1"/>
  <c r="P2458" i="5" s="1"/>
  <c r="P2459" i="5" s="1"/>
  <c r="P2460" i="5" s="1"/>
  <c r="P2461" i="5" s="1"/>
  <c r="P2462" i="5" s="1"/>
  <c r="P2463" i="5" s="1"/>
  <c r="P2464" i="5" s="1"/>
  <c r="P2465" i="5" s="1"/>
  <c r="P2466" i="5" s="1"/>
  <c r="P2467" i="5" s="1"/>
  <c r="P2468" i="5" s="1"/>
  <c r="P2469" i="5" s="1"/>
  <c r="P2470" i="5" s="1"/>
  <c r="P2471" i="5" s="1"/>
  <c r="P2472" i="5" s="1"/>
  <c r="P2473" i="5" s="1"/>
  <c r="P2474" i="5" s="1"/>
  <c r="P2475" i="5" s="1"/>
  <c r="P2476" i="5" s="1"/>
  <c r="P2477" i="5" s="1"/>
  <c r="P2478" i="5" s="1"/>
  <c r="P2479" i="5" s="1"/>
  <c r="P2480" i="5" s="1"/>
  <c r="D2216" i="5"/>
  <c r="D2217" i="5" s="1"/>
  <c r="D2218" i="5" s="1"/>
  <c r="D2219" i="5" s="1"/>
  <c r="D2220" i="5" s="1"/>
  <c r="D2221" i="5" s="1"/>
  <c r="D2222" i="5" s="1"/>
  <c r="D2223" i="5" s="1"/>
  <c r="D2224" i="5" s="1"/>
  <c r="D2225" i="5" s="1"/>
  <c r="D2226" i="5" s="1"/>
  <c r="D2227" i="5" s="1"/>
  <c r="D2228" i="5" s="1"/>
  <c r="D2229" i="5" s="1"/>
  <c r="D2230" i="5" s="1"/>
  <c r="D2231" i="5" s="1"/>
  <c r="D2232" i="5" s="1"/>
  <c r="D2233" i="5" s="1"/>
  <c r="D2234" i="5" s="1"/>
  <c r="D2235" i="5" s="1"/>
  <c r="D2236" i="5" s="1"/>
  <c r="D2237" i="5" s="1"/>
  <c r="D2238" i="5" s="1"/>
  <c r="D2239" i="5" s="1"/>
  <c r="D2240" i="5" s="1"/>
  <c r="D2241" i="5" s="1"/>
  <c r="D2242" i="5" s="1"/>
  <c r="D2243" i="5" s="1"/>
  <c r="D2244" i="5" s="1"/>
  <c r="D2245" i="5" s="1"/>
  <c r="D2246" i="5" s="1"/>
  <c r="D2247" i="5" s="1"/>
  <c r="D2248" i="5" s="1"/>
  <c r="D2249" i="5" s="1"/>
  <c r="D2250" i="5" s="1"/>
  <c r="D2251" i="5" s="1"/>
  <c r="D2252" i="5" s="1"/>
  <c r="D2253" i="5" s="1"/>
  <c r="D2254" i="5" s="1"/>
  <c r="D2255" i="5" s="1"/>
  <c r="D2256" i="5" s="1"/>
  <c r="D2257" i="5" s="1"/>
  <c r="D2258" i="5" s="1"/>
  <c r="D2259" i="5" s="1"/>
  <c r="D2260" i="5" s="1"/>
  <c r="D2261" i="5" s="1"/>
  <c r="D2262" i="5" s="1"/>
  <c r="D2263" i="5" s="1"/>
  <c r="D2264" i="5" s="1"/>
  <c r="D2265" i="5" s="1"/>
  <c r="D2266" i="5" s="1"/>
  <c r="D2267" i="5" s="1"/>
  <c r="D2268" i="5" s="1"/>
  <c r="D2269" i="5" s="1"/>
  <c r="D2270" i="5" s="1"/>
  <c r="D2271" i="5" s="1"/>
  <c r="D2272" i="5" s="1"/>
  <c r="D2273" i="5" s="1"/>
  <c r="D2274" i="5" s="1"/>
  <c r="D2275" i="5" s="1"/>
  <c r="D2276" i="5" s="1"/>
  <c r="D2277" i="5" s="1"/>
  <c r="D2278" i="5" s="1"/>
  <c r="D2279" i="5" s="1"/>
  <c r="D2280" i="5" s="1"/>
  <c r="D2281" i="5" s="1"/>
  <c r="D2282" i="5" s="1"/>
  <c r="D2283" i="5" s="1"/>
  <c r="D2284" i="5" s="1"/>
  <c r="D2285" i="5" s="1"/>
  <c r="D2286" i="5" s="1"/>
  <c r="D2287" i="5" s="1"/>
  <c r="D2288" i="5" s="1"/>
  <c r="D2289" i="5" s="1"/>
  <c r="D2290" i="5" s="1"/>
  <c r="D2291" i="5" s="1"/>
  <c r="D2292" i="5" s="1"/>
  <c r="D2293" i="5" s="1"/>
  <c r="D2294" i="5" s="1"/>
  <c r="D2295" i="5" s="1"/>
  <c r="D2296" i="5" s="1"/>
  <c r="D2297" i="5" s="1"/>
  <c r="D2298" i="5" s="1"/>
  <c r="D2299" i="5" s="1"/>
  <c r="D2300" i="5" s="1"/>
  <c r="D2301" i="5" s="1"/>
  <c r="D2302" i="5" s="1"/>
  <c r="D2303" i="5" s="1"/>
  <c r="D2304" i="5" s="1"/>
  <c r="D2305" i="5" s="1"/>
  <c r="D2306" i="5" s="1"/>
  <c r="D2307" i="5" s="1"/>
  <c r="D2308" i="5" s="1"/>
  <c r="D2309" i="5" s="1"/>
  <c r="D2310" i="5" s="1"/>
  <c r="D2311" i="5" s="1"/>
  <c r="D2312" i="5" s="1"/>
  <c r="D2313" i="5" s="1"/>
  <c r="D2314" i="5" s="1"/>
  <c r="D2315" i="5" s="1"/>
  <c r="D2316" i="5" s="1"/>
  <c r="D2317" i="5" s="1"/>
  <c r="D2318" i="5" s="1"/>
  <c r="D2319" i="5" s="1"/>
  <c r="D2320" i="5" s="1"/>
  <c r="D2321" i="5" s="1"/>
  <c r="D2322" i="5" s="1"/>
  <c r="D2323" i="5" s="1"/>
  <c r="D2324" i="5" s="1"/>
  <c r="D2325" i="5" s="1"/>
  <c r="D2326" i="5" s="1"/>
  <c r="D2327" i="5" s="1"/>
  <c r="D2328" i="5" s="1"/>
  <c r="D2329" i="5" s="1"/>
  <c r="D2330" i="5" s="1"/>
  <c r="D2331" i="5" s="1"/>
  <c r="D2332" i="5" s="1"/>
  <c r="D2333" i="5" s="1"/>
  <c r="D2334" i="5" s="1"/>
  <c r="D2335" i="5" s="1"/>
  <c r="D2336" i="5" s="1"/>
  <c r="D2337" i="5" s="1"/>
  <c r="D2338" i="5" s="1"/>
  <c r="D2339" i="5" s="1"/>
  <c r="D2340" i="5" s="1"/>
  <c r="D2341" i="5" s="1"/>
  <c r="D2342" i="5" s="1"/>
  <c r="D2343" i="5" s="1"/>
  <c r="D2344" i="5" s="1"/>
  <c r="D2345" i="5" s="1"/>
  <c r="D2346" i="5" s="1"/>
  <c r="D2347" i="5" s="1"/>
  <c r="D2348" i="5" s="1"/>
  <c r="D2349" i="5" s="1"/>
  <c r="D2350" i="5" s="1"/>
  <c r="D2351" i="5" s="1"/>
  <c r="D2352" i="5" s="1"/>
  <c r="D2353" i="5" s="1"/>
  <c r="D2354" i="5" s="1"/>
  <c r="D2355" i="5" s="1"/>
  <c r="D2356" i="5" s="1"/>
  <c r="D2357" i="5" s="1"/>
  <c r="D2358" i="5" s="1"/>
  <c r="D2359" i="5" s="1"/>
  <c r="D2360" i="5" s="1"/>
  <c r="D2361" i="5" s="1"/>
  <c r="D2362" i="5" s="1"/>
  <c r="D2363" i="5" s="1"/>
  <c r="D2364" i="5" s="1"/>
  <c r="D2365" i="5" s="1"/>
  <c r="D2366" i="5" s="1"/>
  <c r="D2367" i="5" s="1"/>
  <c r="D2368" i="5" s="1"/>
  <c r="D2369" i="5" s="1"/>
  <c r="D2370" i="5" s="1"/>
  <c r="D2371" i="5" s="1"/>
  <c r="D2372" i="5" s="1"/>
  <c r="D2373" i="5" s="1"/>
  <c r="D2374" i="5" s="1"/>
  <c r="D2375" i="5" s="1"/>
  <c r="D2376" i="5" s="1"/>
  <c r="D2377" i="5" s="1"/>
  <c r="D2378" i="5" s="1"/>
  <c r="D2379" i="5" s="1"/>
  <c r="D2380" i="5" s="1"/>
  <c r="D2381" i="5" s="1"/>
  <c r="D2382" i="5" s="1"/>
  <c r="D2383" i="5" s="1"/>
  <c r="D2384" i="5" s="1"/>
  <c r="D2385" i="5" s="1"/>
  <c r="D2386" i="5" s="1"/>
  <c r="D2387" i="5" s="1"/>
  <c r="D2388" i="5" s="1"/>
  <c r="D2389" i="5" s="1"/>
  <c r="D2390" i="5" s="1"/>
  <c r="D2391" i="5" s="1"/>
  <c r="D2392" i="5" s="1"/>
  <c r="D2393" i="5" s="1"/>
  <c r="D2394" i="5" s="1"/>
  <c r="D2395" i="5" s="1"/>
  <c r="D2396" i="5" s="1"/>
  <c r="D2397" i="5" s="1"/>
  <c r="D2398" i="5" s="1"/>
  <c r="D2399" i="5" s="1"/>
  <c r="D2400" i="5" s="1"/>
  <c r="D2401" i="5" s="1"/>
  <c r="D2402" i="5" s="1"/>
  <c r="D2403" i="5" s="1"/>
  <c r="D2404" i="5" s="1"/>
  <c r="D2405" i="5" s="1"/>
  <c r="D2406" i="5" s="1"/>
  <c r="D2407" i="5" s="1"/>
  <c r="D2408" i="5" s="1"/>
  <c r="D2409" i="5" s="1"/>
  <c r="D2410" i="5" s="1"/>
  <c r="D2411" i="5" s="1"/>
  <c r="D2412" i="5" s="1"/>
  <c r="D2413" i="5" s="1"/>
  <c r="D2414" i="5" s="1"/>
  <c r="D2415" i="5" s="1"/>
  <c r="D2416" i="5" s="1"/>
  <c r="D2417" i="5" s="1"/>
  <c r="D2418" i="5" s="1"/>
  <c r="D2419" i="5" s="1"/>
  <c r="D2420" i="5" s="1"/>
  <c r="D2421" i="5" s="1"/>
  <c r="D2422" i="5" s="1"/>
  <c r="D2423" i="5" s="1"/>
  <c r="D2424" i="5" s="1"/>
  <c r="D2425" i="5" s="1"/>
  <c r="D2426" i="5" s="1"/>
  <c r="D2427" i="5" s="1"/>
  <c r="D2428" i="5" s="1"/>
  <c r="D2429" i="5" s="1"/>
  <c r="D2430" i="5" s="1"/>
  <c r="D2431" i="5" s="1"/>
  <c r="D2432" i="5" s="1"/>
  <c r="D2433" i="5" s="1"/>
  <c r="D2434" i="5" s="1"/>
  <c r="D2435" i="5" s="1"/>
  <c r="D2436" i="5" s="1"/>
  <c r="D2437" i="5" s="1"/>
  <c r="D2438" i="5" s="1"/>
  <c r="D2439" i="5" s="1"/>
  <c r="D2440" i="5" s="1"/>
  <c r="D2441" i="5" s="1"/>
  <c r="D2442" i="5" s="1"/>
  <c r="D2443" i="5" s="1"/>
  <c r="D2444" i="5" s="1"/>
  <c r="D2445" i="5" s="1"/>
  <c r="D2446" i="5" s="1"/>
  <c r="D2447" i="5" s="1"/>
  <c r="D2448" i="5" s="1"/>
  <c r="D2449" i="5" s="1"/>
  <c r="D2450" i="5" s="1"/>
  <c r="D2451" i="5" s="1"/>
  <c r="D2452" i="5" s="1"/>
  <c r="D2453" i="5" s="1"/>
  <c r="D2454" i="5" s="1"/>
  <c r="D2455" i="5" s="1"/>
  <c r="D2456" i="5" s="1"/>
  <c r="D2457" i="5" s="1"/>
  <c r="D2458" i="5" s="1"/>
  <c r="D2459" i="5" s="1"/>
  <c r="D2460" i="5" s="1"/>
  <c r="D2461" i="5" s="1"/>
  <c r="D2462" i="5" s="1"/>
  <c r="D2463" i="5" s="1"/>
  <c r="D2464" i="5" s="1"/>
  <c r="D2465" i="5" s="1"/>
  <c r="D2466" i="5" s="1"/>
  <c r="D2467" i="5" s="1"/>
  <c r="D2468" i="5" s="1"/>
  <c r="D2469" i="5" s="1"/>
  <c r="D2470" i="5" s="1"/>
  <c r="D2471" i="5" s="1"/>
  <c r="D2472" i="5" s="1"/>
  <c r="D2473" i="5" s="1"/>
  <c r="D2474" i="5" s="1"/>
  <c r="D2475" i="5" s="1"/>
  <c r="D2476" i="5" s="1"/>
  <c r="D2477" i="5" s="1"/>
  <c r="D2478" i="5" s="1"/>
  <c r="D2479" i="5" s="1"/>
  <c r="D2480" i="5" s="1"/>
  <c r="E2219" i="5"/>
  <c r="E2220" i="5" s="1"/>
  <c r="E2221" i="5" s="1"/>
  <c r="E2222" i="5" s="1"/>
  <c r="E2223" i="5" s="1"/>
  <c r="E2224" i="5" s="1"/>
  <c r="E2225" i="5" s="1"/>
  <c r="E2226" i="5" s="1"/>
  <c r="E2227" i="5" s="1"/>
  <c r="E2228" i="5" s="1"/>
  <c r="E2229" i="5" s="1"/>
  <c r="E2230" i="5" s="1"/>
  <c r="E2231" i="5" s="1"/>
  <c r="E2232" i="5" s="1"/>
  <c r="E2233" i="5" s="1"/>
  <c r="E2234" i="5" s="1"/>
  <c r="E2235" i="5" s="1"/>
  <c r="E2236" i="5" s="1"/>
  <c r="E2237" i="5" s="1"/>
  <c r="E2238" i="5" s="1"/>
  <c r="E2239" i="5" s="1"/>
  <c r="E2240" i="5" s="1"/>
  <c r="E2241" i="5" s="1"/>
  <c r="E2242" i="5" s="1"/>
  <c r="E2243" i="5" s="1"/>
  <c r="M2222" i="5"/>
  <c r="M2223" i="5"/>
  <c r="M2224" i="5" s="1"/>
  <c r="M2225" i="5" s="1"/>
  <c r="M2226" i="5" s="1"/>
  <c r="M2227" i="5"/>
  <c r="M2228" i="5" s="1"/>
  <c r="M2229" i="5" s="1"/>
  <c r="M2230" i="5" s="1"/>
  <c r="M2231" i="5" s="1"/>
  <c r="M2232" i="5" s="1"/>
  <c r="M2233" i="5" s="1"/>
  <c r="M2234" i="5" s="1"/>
  <c r="M2235" i="5" s="1"/>
  <c r="M2236" i="5" s="1"/>
  <c r="M2237" i="5" s="1"/>
  <c r="M2238" i="5" s="1"/>
  <c r="M2239" i="5" s="1"/>
  <c r="M2240" i="5" s="1"/>
  <c r="M2241" i="5" s="1"/>
  <c r="M2242" i="5" s="1"/>
  <c r="M2243" i="5" s="1"/>
  <c r="M2244" i="5" s="1"/>
  <c r="M2245" i="5" s="1"/>
  <c r="M2246" i="5" s="1"/>
  <c r="M2247" i="5" s="1"/>
  <c r="M2248" i="5" s="1"/>
  <c r="M2249" i="5" s="1"/>
  <c r="M2250" i="5" s="1"/>
  <c r="M2251" i="5" s="1"/>
  <c r="M2252" i="5" s="1"/>
  <c r="M2253" i="5" s="1"/>
  <c r="M2254" i="5" s="1"/>
  <c r="M2255" i="5" s="1"/>
  <c r="M2256" i="5" s="1"/>
  <c r="M2257" i="5" s="1"/>
  <c r="M2258" i="5" s="1"/>
  <c r="M2259" i="5" s="1"/>
  <c r="M2260" i="5" s="1"/>
  <c r="M2261" i="5" s="1"/>
  <c r="M2262" i="5" s="1"/>
  <c r="M2263" i="5" s="1"/>
  <c r="M2264" i="5" s="1"/>
  <c r="M2265" i="5" s="1"/>
  <c r="M2266" i="5" s="1"/>
  <c r="M2267" i="5" s="1"/>
  <c r="M2268" i="5" s="1"/>
  <c r="M2269" i="5" s="1"/>
  <c r="M2270" i="5" s="1"/>
  <c r="M2271" i="5" s="1"/>
  <c r="M2272" i="5" s="1"/>
  <c r="M2273" i="5" s="1"/>
  <c r="M2274" i="5" s="1"/>
  <c r="M2275" i="5" s="1"/>
  <c r="M2276" i="5" s="1"/>
  <c r="M2277" i="5" s="1"/>
  <c r="M2278" i="5" s="1"/>
  <c r="M2279" i="5" s="1"/>
  <c r="M2280" i="5" s="1"/>
  <c r="M2281" i="5" s="1"/>
  <c r="M2282" i="5" s="1"/>
  <c r="M2283" i="5" s="1"/>
  <c r="M2284" i="5" s="1"/>
  <c r="M2285" i="5" s="1"/>
  <c r="M2286" i="5" s="1"/>
  <c r="M2287" i="5" s="1"/>
  <c r="M2288" i="5" s="1"/>
  <c r="M2289" i="5" s="1"/>
  <c r="M2290" i="5" s="1"/>
  <c r="M2291" i="5" s="1"/>
  <c r="M2292" i="5" s="1"/>
  <c r="M2293" i="5" s="1"/>
  <c r="M2294" i="5" s="1"/>
  <c r="M2295" i="5" s="1"/>
  <c r="M2296" i="5" s="1"/>
  <c r="M2297" i="5" s="1"/>
  <c r="M2298" i="5" s="1"/>
  <c r="M2299" i="5" s="1"/>
  <c r="M2300" i="5" s="1"/>
  <c r="M2301" i="5" s="1"/>
  <c r="M2302" i="5" s="1"/>
  <c r="M2303" i="5" s="1"/>
  <c r="M2304" i="5" s="1"/>
  <c r="M2305" i="5" s="1"/>
  <c r="M2306" i="5" s="1"/>
  <c r="M2307" i="5" s="1"/>
  <c r="M2308" i="5" s="1"/>
  <c r="M2309" i="5" s="1"/>
  <c r="M2310" i="5" s="1"/>
  <c r="M2311" i="5" s="1"/>
  <c r="M2312" i="5" s="1"/>
  <c r="M2313" i="5" s="1"/>
  <c r="M2314" i="5" s="1"/>
  <c r="M2315" i="5" s="1"/>
  <c r="M2316" i="5" s="1"/>
  <c r="M2317" i="5" s="1"/>
  <c r="M2318" i="5" s="1"/>
  <c r="M2319" i="5" s="1"/>
  <c r="M2320" i="5" s="1"/>
  <c r="M2321" i="5" s="1"/>
  <c r="M2322" i="5" s="1"/>
  <c r="M2323" i="5" s="1"/>
  <c r="M2324" i="5" s="1"/>
  <c r="M2325" i="5" s="1"/>
  <c r="M2326" i="5" s="1"/>
  <c r="M2327" i="5" s="1"/>
  <c r="M2328" i="5" s="1"/>
  <c r="M2329" i="5" s="1"/>
  <c r="M2330" i="5" s="1"/>
  <c r="M2331" i="5" s="1"/>
  <c r="M2332" i="5" s="1"/>
  <c r="M2333" i="5" s="1"/>
  <c r="M2334" i="5" s="1"/>
  <c r="M2335" i="5" s="1"/>
  <c r="M2336" i="5" s="1"/>
  <c r="M2337" i="5" s="1"/>
  <c r="M2338" i="5" s="1"/>
  <c r="M2339" i="5" s="1"/>
  <c r="M2340" i="5" s="1"/>
  <c r="M2341" i="5" s="1"/>
  <c r="M2342" i="5" s="1"/>
  <c r="M2343" i="5" s="1"/>
  <c r="M2344" i="5" s="1"/>
  <c r="M2345" i="5" s="1"/>
  <c r="M2346" i="5" s="1"/>
  <c r="M2347" i="5" s="1"/>
  <c r="M2348" i="5" s="1"/>
  <c r="M2349" i="5" s="1"/>
  <c r="M2350" i="5" s="1"/>
  <c r="M2351" i="5" s="1"/>
  <c r="M2352" i="5" s="1"/>
  <c r="M2353" i="5" s="1"/>
  <c r="M2354" i="5" s="1"/>
  <c r="M2355" i="5" s="1"/>
  <c r="M2356" i="5" s="1"/>
  <c r="M2357" i="5" s="1"/>
  <c r="M2358" i="5" s="1"/>
  <c r="M2359" i="5" s="1"/>
  <c r="M2360" i="5" s="1"/>
  <c r="M2361" i="5" s="1"/>
  <c r="M2362" i="5" s="1"/>
  <c r="M2363" i="5" s="1"/>
  <c r="M2364" i="5" s="1"/>
  <c r="M2365" i="5" s="1"/>
  <c r="M2366" i="5" s="1"/>
  <c r="M2367" i="5" s="1"/>
  <c r="M2368" i="5" s="1"/>
  <c r="M2369" i="5" s="1"/>
  <c r="M2370" i="5" s="1"/>
  <c r="M2371" i="5" s="1"/>
  <c r="M2372" i="5" s="1"/>
  <c r="M2373" i="5" s="1"/>
  <c r="M2374" i="5" s="1"/>
  <c r="M2375" i="5" s="1"/>
  <c r="M2376" i="5" s="1"/>
  <c r="M2377" i="5" s="1"/>
  <c r="M2378" i="5" s="1"/>
  <c r="M2379" i="5" s="1"/>
  <c r="M2380" i="5" s="1"/>
  <c r="M2381" i="5" s="1"/>
  <c r="M2382" i="5" s="1"/>
  <c r="M2383" i="5" s="1"/>
  <c r="M2384" i="5" s="1"/>
  <c r="M2385" i="5" s="1"/>
  <c r="M2386" i="5" s="1"/>
  <c r="M2387" i="5" s="1"/>
  <c r="M2388" i="5" s="1"/>
  <c r="M2389" i="5" s="1"/>
  <c r="M2390" i="5" s="1"/>
  <c r="M2391" i="5" s="1"/>
  <c r="M2392" i="5" s="1"/>
  <c r="M2393" i="5" s="1"/>
  <c r="M2394" i="5" s="1"/>
  <c r="M2395" i="5" s="1"/>
  <c r="M2396" i="5" s="1"/>
  <c r="M2397" i="5" s="1"/>
  <c r="M2398" i="5" s="1"/>
  <c r="M2399" i="5" s="1"/>
  <c r="M2400" i="5" s="1"/>
  <c r="M2401" i="5" s="1"/>
  <c r="M2402" i="5" s="1"/>
  <c r="M2403" i="5" s="1"/>
  <c r="M2404" i="5" s="1"/>
  <c r="M2405" i="5" s="1"/>
  <c r="M2406" i="5" s="1"/>
  <c r="M2407" i="5" s="1"/>
  <c r="M2408" i="5" s="1"/>
  <c r="M2409" i="5" s="1"/>
  <c r="M2410" i="5" s="1"/>
  <c r="M2411" i="5" s="1"/>
  <c r="M2412" i="5" s="1"/>
  <c r="M2413" i="5" s="1"/>
  <c r="M2414" i="5" s="1"/>
  <c r="M2415" i="5" s="1"/>
  <c r="M2416" i="5" s="1"/>
  <c r="M2417" i="5" s="1"/>
  <c r="M2418" i="5" s="1"/>
  <c r="M2419" i="5" s="1"/>
  <c r="M2420" i="5" s="1"/>
  <c r="M2421" i="5" s="1"/>
  <c r="M2422" i="5" s="1"/>
  <c r="M2423" i="5" s="1"/>
  <c r="M2424" i="5" s="1"/>
  <c r="M2425" i="5" s="1"/>
  <c r="M2426" i="5" s="1"/>
  <c r="M2427" i="5" s="1"/>
  <c r="M2428" i="5" s="1"/>
  <c r="M2429" i="5" s="1"/>
  <c r="M2430" i="5" s="1"/>
  <c r="M2431" i="5" s="1"/>
  <c r="M2432" i="5" s="1"/>
  <c r="M2433" i="5" s="1"/>
  <c r="M2434" i="5" s="1"/>
  <c r="M2435" i="5" s="1"/>
  <c r="M2436" i="5" s="1"/>
  <c r="M2437" i="5" s="1"/>
  <c r="M2438" i="5" s="1"/>
  <c r="M2439" i="5" s="1"/>
  <c r="M2440" i="5" s="1"/>
  <c r="M2441" i="5" s="1"/>
  <c r="M2442" i="5" s="1"/>
  <c r="M2443" i="5" s="1"/>
  <c r="M2444" i="5" s="1"/>
  <c r="M2445" i="5" s="1"/>
  <c r="M2446" i="5" s="1"/>
  <c r="M2447" i="5" s="1"/>
  <c r="M2448" i="5" s="1"/>
  <c r="M2449" i="5" s="1"/>
  <c r="M2450" i="5" s="1"/>
  <c r="M2451" i="5" s="1"/>
  <c r="M2452" i="5" s="1"/>
  <c r="M2453" i="5" s="1"/>
  <c r="M2454" i="5" s="1"/>
  <c r="M2455" i="5" s="1"/>
  <c r="M2456" i="5" s="1"/>
  <c r="M2457" i="5" s="1"/>
  <c r="M2458" i="5" s="1"/>
  <c r="M2459" i="5" s="1"/>
  <c r="M2460" i="5" s="1"/>
  <c r="M2461" i="5" s="1"/>
  <c r="M2462" i="5" s="1"/>
  <c r="M2463" i="5" s="1"/>
  <c r="M2464" i="5" s="1"/>
  <c r="M2465" i="5" s="1"/>
  <c r="M2466" i="5" s="1"/>
  <c r="M2467" i="5" s="1"/>
  <c r="M2468" i="5" s="1"/>
  <c r="M2469" i="5" s="1"/>
  <c r="M2470" i="5" s="1"/>
  <c r="M2471" i="5" s="1"/>
  <c r="M2472" i="5" s="1"/>
  <c r="M2473" i="5" s="1"/>
  <c r="M2474" i="5" s="1"/>
  <c r="M2475" i="5" s="1"/>
  <c r="M2476" i="5" s="1"/>
  <c r="M2477" i="5" s="1"/>
  <c r="M2478" i="5" s="1"/>
  <c r="M2479" i="5" s="1"/>
  <c r="M2480" i="5" s="1"/>
  <c r="E2244" i="5"/>
  <c r="E2245" i="5" s="1"/>
  <c r="E2246" i="5" s="1"/>
  <c r="E2247" i="5" s="1"/>
  <c r="E2248" i="5" s="1"/>
  <c r="E2249" i="5" s="1"/>
  <c r="E2250" i="5" s="1"/>
  <c r="E2251" i="5" s="1"/>
  <c r="E2252" i="5" s="1"/>
  <c r="E2253" i="5"/>
  <c r="E2254" i="5" s="1"/>
  <c r="E2255" i="5"/>
  <c r="E2256" i="5" s="1"/>
  <c r="E2257" i="5" s="1"/>
  <c r="E2258" i="5" s="1"/>
  <c r="E2259" i="5" s="1"/>
  <c r="E2260" i="5" s="1"/>
  <c r="E2261" i="5" s="1"/>
  <c r="E2262" i="5" s="1"/>
  <c r="E2263" i="5" s="1"/>
  <c r="E2264" i="5" s="1"/>
  <c r="E2265" i="5" s="1"/>
  <c r="E2266" i="5" s="1"/>
  <c r="E2267" i="5" s="1"/>
  <c r="E2268" i="5" s="1"/>
  <c r="E2269" i="5" s="1"/>
  <c r="E2270" i="5" s="1"/>
  <c r="E2271" i="5" s="1"/>
  <c r="E2272" i="5" s="1"/>
  <c r="E2273" i="5" s="1"/>
  <c r="E2274" i="5" s="1"/>
  <c r="E2275" i="5" s="1"/>
  <c r="E2276" i="5" s="1"/>
  <c r="E2277" i="5" s="1"/>
  <c r="E2278" i="5" s="1"/>
  <c r="E2279" i="5" s="1"/>
  <c r="E2280" i="5" s="1"/>
  <c r="E2281" i="5" s="1"/>
  <c r="E2282" i="5" s="1"/>
  <c r="E2283" i="5" s="1"/>
  <c r="E2284" i="5" s="1"/>
  <c r="E2285" i="5" s="1"/>
  <c r="E2286" i="5" s="1"/>
  <c r="E2287" i="5" s="1"/>
  <c r="E2288" i="5" s="1"/>
  <c r="E2289" i="5" s="1"/>
  <c r="E2290" i="5" s="1"/>
  <c r="E2291" i="5" s="1"/>
  <c r="E2292" i="5" s="1"/>
  <c r="E2293" i="5" s="1"/>
  <c r="E2294" i="5" s="1"/>
  <c r="E2295" i="5" s="1"/>
  <c r="E2296" i="5" s="1"/>
  <c r="E2297" i="5" s="1"/>
  <c r="E2298" i="5" s="1"/>
  <c r="E2299" i="5" s="1"/>
  <c r="E2300" i="5" s="1"/>
  <c r="E2301" i="5" s="1"/>
  <c r="E2302" i="5" s="1"/>
  <c r="E2303" i="5" s="1"/>
  <c r="E2304" i="5" s="1"/>
  <c r="E2305" i="5" s="1"/>
  <c r="E2306" i="5" s="1"/>
  <c r="E2307" i="5" s="1"/>
  <c r="E2308" i="5" s="1"/>
  <c r="E2309" i="5" s="1"/>
  <c r="E2310" i="5" s="1"/>
  <c r="E2311" i="5" s="1"/>
  <c r="E2312" i="5" s="1"/>
  <c r="E2313" i="5" s="1"/>
  <c r="E2314" i="5" s="1"/>
  <c r="E2315" i="5" s="1"/>
  <c r="E2316" i="5" s="1"/>
  <c r="E2317" i="5" s="1"/>
  <c r="E2318" i="5" s="1"/>
  <c r="E2319" i="5" s="1"/>
  <c r="E2320" i="5" s="1"/>
  <c r="E2321" i="5" s="1"/>
  <c r="E2322" i="5" s="1"/>
  <c r="E2323" i="5" s="1"/>
  <c r="E2324" i="5" s="1"/>
  <c r="E2325" i="5" s="1"/>
  <c r="E2326" i="5" s="1"/>
  <c r="E2327" i="5" s="1"/>
  <c r="E2328" i="5" s="1"/>
  <c r="E2329" i="5" s="1"/>
  <c r="E2330" i="5" s="1"/>
  <c r="E2331" i="5" s="1"/>
  <c r="E2332" i="5" s="1"/>
  <c r="E2333" i="5" s="1"/>
  <c r="E2334" i="5" s="1"/>
  <c r="E2335" i="5" s="1"/>
  <c r="E2336" i="5" s="1"/>
  <c r="E2337" i="5" s="1"/>
  <c r="E2338" i="5" s="1"/>
  <c r="E2339" i="5" s="1"/>
  <c r="E2340" i="5" s="1"/>
  <c r="E2341" i="5" s="1"/>
  <c r="E2342" i="5" s="1"/>
  <c r="E2343" i="5" s="1"/>
  <c r="E2344" i="5" s="1"/>
  <c r="E2345" i="5" s="1"/>
  <c r="E2346" i="5" s="1"/>
  <c r="E2347" i="5" s="1"/>
  <c r="E2348" i="5" s="1"/>
  <c r="E2349" i="5" s="1"/>
  <c r="E2350" i="5" s="1"/>
  <c r="E2351" i="5" s="1"/>
  <c r="E2352" i="5" s="1"/>
  <c r="E2353" i="5" s="1"/>
  <c r="E2354" i="5" s="1"/>
  <c r="E2355" i="5" s="1"/>
  <c r="E2356" i="5" s="1"/>
  <c r="E2357" i="5" s="1"/>
  <c r="E2358" i="5" s="1"/>
  <c r="E2359" i="5" s="1"/>
  <c r="E2360" i="5" s="1"/>
  <c r="E2361" i="5" s="1"/>
  <c r="E2362" i="5" s="1"/>
  <c r="E2363" i="5" s="1"/>
  <c r="E2364" i="5" s="1"/>
  <c r="E2365" i="5" s="1"/>
  <c r="E2366" i="5" s="1"/>
  <c r="E2367" i="5" s="1"/>
  <c r="E2368" i="5" s="1"/>
  <c r="E2369" i="5" s="1"/>
  <c r="E2370" i="5" s="1"/>
  <c r="E2371" i="5" s="1"/>
  <c r="E2372" i="5" s="1"/>
  <c r="E2373" i="5" s="1"/>
  <c r="E2374" i="5" s="1"/>
  <c r="E2375" i="5" s="1"/>
  <c r="E2376" i="5" s="1"/>
  <c r="E2377" i="5" s="1"/>
  <c r="E2378" i="5" s="1"/>
  <c r="E2379" i="5" s="1"/>
  <c r="E2380" i="5" s="1"/>
  <c r="E2381" i="5" s="1"/>
  <c r="E2382" i="5" s="1"/>
  <c r="E2383" i="5" s="1"/>
  <c r="E2384" i="5" s="1"/>
  <c r="E2385" i="5" s="1"/>
  <c r="E2386" i="5" s="1"/>
  <c r="E2387" i="5" s="1"/>
  <c r="E2388" i="5" s="1"/>
  <c r="E2389" i="5" s="1"/>
  <c r="E2390" i="5" s="1"/>
  <c r="E2391" i="5" s="1"/>
  <c r="E2392" i="5" s="1"/>
  <c r="E2393" i="5" s="1"/>
  <c r="E2394" i="5" s="1"/>
  <c r="E2395" i="5" s="1"/>
  <c r="E2396" i="5" s="1"/>
  <c r="E2397" i="5" s="1"/>
  <c r="E2398" i="5" s="1"/>
  <c r="E2399" i="5" s="1"/>
  <c r="E2400" i="5" s="1"/>
  <c r="E2401" i="5" s="1"/>
  <c r="E2402" i="5" s="1"/>
  <c r="E2403" i="5" s="1"/>
  <c r="E2404" i="5" s="1"/>
  <c r="E2405" i="5" s="1"/>
  <c r="E2406" i="5" s="1"/>
  <c r="E2407" i="5" s="1"/>
  <c r="E2408" i="5" s="1"/>
  <c r="E2409" i="5" s="1"/>
  <c r="E2410" i="5" s="1"/>
  <c r="E2411" i="5" s="1"/>
  <c r="E2412" i="5" s="1"/>
  <c r="E2413" i="5" s="1"/>
  <c r="E2414" i="5" s="1"/>
  <c r="E2415" i="5" s="1"/>
  <c r="E2416" i="5" s="1"/>
  <c r="E2417" i="5" s="1"/>
  <c r="E2418" i="5" s="1"/>
  <c r="E2419" i="5" s="1"/>
  <c r="E2420" i="5" s="1"/>
  <c r="E2421" i="5" s="1"/>
  <c r="E2422" i="5" s="1"/>
  <c r="E2423" i="5" s="1"/>
  <c r="E2424" i="5" s="1"/>
  <c r="E2425" i="5" s="1"/>
  <c r="E2426" i="5" s="1"/>
  <c r="E2427" i="5" s="1"/>
  <c r="E2428" i="5" s="1"/>
  <c r="E2429" i="5" s="1"/>
  <c r="E2430" i="5" s="1"/>
  <c r="E2431" i="5" s="1"/>
  <c r="E2432" i="5" s="1"/>
  <c r="E2433" i="5" s="1"/>
  <c r="E2434" i="5" s="1"/>
  <c r="E2435" i="5" s="1"/>
  <c r="E2436" i="5" s="1"/>
  <c r="E2437" i="5" s="1"/>
  <c r="E2438" i="5" s="1"/>
  <c r="E2439" i="5" s="1"/>
  <c r="E2440" i="5" s="1"/>
  <c r="E2441" i="5" s="1"/>
  <c r="E2442" i="5" s="1"/>
  <c r="E2443" i="5" s="1"/>
  <c r="E2444" i="5" s="1"/>
  <c r="E2445" i="5" s="1"/>
  <c r="E2446" i="5" s="1"/>
  <c r="E2447" i="5" s="1"/>
  <c r="E2448" i="5" s="1"/>
  <c r="E2449" i="5" s="1"/>
  <c r="E2450" i="5" s="1"/>
  <c r="E2451" i="5" s="1"/>
  <c r="E2452" i="5" s="1"/>
  <c r="E2453" i="5" s="1"/>
  <c r="E2454" i="5" s="1"/>
  <c r="E2455" i="5" s="1"/>
  <c r="E2456" i="5" s="1"/>
  <c r="E2457" i="5" s="1"/>
  <c r="E2458" i="5" s="1"/>
  <c r="E2459" i="5" s="1"/>
  <c r="E2460" i="5" s="1"/>
  <c r="E2461" i="5" s="1"/>
  <c r="E2462" i="5" s="1"/>
  <c r="E2463" i="5" s="1"/>
  <c r="E2464" i="5" s="1"/>
  <c r="E2465" i="5" s="1"/>
  <c r="E2466" i="5" s="1"/>
  <c r="E2467" i="5" s="1"/>
  <c r="E2468" i="5" s="1"/>
  <c r="E2469" i="5" s="1"/>
  <c r="E2470" i="5" s="1"/>
  <c r="E2471" i="5" s="1"/>
  <c r="E2472" i="5" s="1"/>
  <c r="E2473" i="5" s="1"/>
  <c r="E2474" i="5" s="1"/>
  <c r="E2475" i="5" s="1"/>
  <c r="E2476" i="5" s="1"/>
  <c r="E2477" i="5" s="1"/>
  <c r="E2478" i="5" s="1"/>
  <c r="E2479" i="5" s="1"/>
  <c r="E2480" i="5" s="1"/>
  <c r="O2268" i="5"/>
  <c r="O2269" i="5" s="1"/>
  <c r="O2270" i="5" s="1"/>
  <c r="O2271" i="5" s="1"/>
  <c r="O2272" i="5" s="1"/>
  <c r="O2273" i="5" s="1"/>
  <c r="O2274" i="5" s="1"/>
  <c r="O2275" i="5" s="1"/>
  <c r="O2276" i="5" s="1"/>
  <c r="O2277" i="5" s="1"/>
  <c r="O2278" i="5" s="1"/>
  <c r="O2279" i="5" s="1"/>
  <c r="O2280" i="5" s="1"/>
  <c r="O2281" i="5" s="1"/>
  <c r="O2282" i="5" s="1"/>
  <c r="O2283" i="5" s="1"/>
  <c r="O2284" i="5" s="1"/>
  <c r="O2285" i="5" s="1"/>
  <c r="O2286" i="5" s="1"/>
  <c r="O2287" i="5" s="1"/>
  <c r="O2288" i="5" s="1"/>
  <c r="O2289" i="5" s="1"/>
  <c r="O2290" i="5" s="1"/>
  <c r="O2291" i="5" s="1"/>
  <c r="O2292" i="5" s="1"/>
  <c r="O2293" i="5" s="1"/>
  <c r="O2294" i="5" s="1"/>
  <c r="O2295" i="5" s="1"/>
  <c r="O2296" i="5" s="1"/>
  <c r="O2297" i="5" s="1"/>
  <c r="O2298" i="5" s="1"/>
  <c r="O2299" i="5" s="1"/>
  <c r="O2300" i="5" s="1"/>
  <c r="O2301" i="5" s="1"/>
  <c r="O2302" i="5" s="1"/>
  <c r="O2303" i="5" s="1"/>
  <c r="O2304" i="5" s="1"/>
  <c r="O2305" i="5" s="1"/>
  <c r="O2306" i="5" s="1"/>
  <c r="O2307" i="5" s="1"/>
  <c r="O2308" i="5" s="1"/>
  <c r="O2309" i="5" s="1"/>
  <c r="O2310" i="5" s="1"/>
  <c r="O2311" i="5" s="1"/>
  <c r="O2312" i="5" s="1"/>
  <c r="O2313" i="5" s="1"/>
  <c r="O2314" i="5" s="1"/>
  <c r="O2315" i="5" s="1"/>
  <c r="O2316" i="5" s="1"/>
  <c r="O2317" i="5" s="1"/>
  <c r="O2318" i="5" s="1"/>
  <c r="O2319" i="5" s="1"/>
  <c r="O2320" i="5" s="1"/>
  <c r="O2321" i="5" s="1"/>
  <c r="O2322" i="5" s="1"/>
  <c r="O2323" i="5" s="1"/>
  <c r="O2324" i="5" s="1"/>
  <c r="O2325" i="5" s="1"/>
  <c r="O2326" i="5" s="1"/>
  <c r="O2327" i="5" s="1"/>
  <c r="O2328" i="5" s="1"/>
  <c r="O2329" i="5" s="1"/>
  <c r="O2330" i="5" s="1"/>
  <c r="O2331" i="5" s="1"/>
  <c r="O2332" i="5" s="1"/>
  <c r="O2333" i="5" s="1"/>
  <c r="O2334" i="5" s="1"/>
  <c r="O2335" i="5" s="1"/>
  <c r="O2336" i="5" s="1"/>
  <c r="O2337" i="5" s="1"/>
  <c r="O2338" i="5" s="1"/>
  <c r="O2339" i="5" s="1"/>
  <c r="O2340" i="5" s="1"/>
  <c r="O2341" i="5" s="1"/>
  <c r="O2342" i="5" s="1"/>
  <c r="O2343" i="5" s="1"/>
  <c r="O2344" i="5" s="1"/>
  <c r="O2345" i="5" s="1"/>
  <c r="O2346" i="5" s="1"/>
  <c r="O2347" i="5" s="1"/>
  <c r="O2348" i="5" s="1"/>
  <c r="O2349" i="5" s="1"/>
  <c r="O2350" i="5" s="1"/>
  <c r="O2351" i="5" s="1"/>
  <c r="O2352" i="5" s="1"/>
  <c r="O2353" i="5" s="1"/>
  <c r="O2354" i="5" s="1"/>
  <c r="O2355" i="5" s="1"/>
  <c r="O2356" i="5" s="1"/>
  <c r="O2357" i="5" s="1"/>
  <c r="O2358" i="5" s="1"/>
  <c r="O2359" i="5" s="1"/>
  <c r="O2360" i="5" s="1"/>
  <c r="O2361" i="5" s="1"/>
  <c r="O2362" i="5" s="1"/>
  <c r="O2363" i="5" s="1"/>
  <c r="O2364" i="5" s="1"/>
  <c r="O2365" i="5" s="1"/>
  <c r="O2366" i="5" s="1"/>
  <c r="O2367" i="5" s="1"/>
  <c r="O2368" i="5" s="1"/>
  <c r="O2369" i="5" s="1"/>
  <c r="O2370" i="5" s="1"/>
  <c r="O2371" i="5" s="1"/>
  <c r="O2372" i="5" s="1"/>
  <c r="O2373" i="5" s="1"/>
  <c r="O2374" i="5" s="1"/>
  <c r="O2375" i="5" s="1"/>
  <c r="O2376" i="5" s="1"/>
  <c r="O2377" i="5" s="1"/>
  <c r="O2378" i="5" s="1"/>
  <c r="O2379" i="5" s="1"/>
  <c r="O2380" i="5" s="1"/>
  <c r="O2381" i="5" s="1"/>
  <c r="O2382" i="5" s="1"/>
  <c r="O2383" i="5" s="1"/>
  <c r="O2384" i="5" s="1"/>
  <c r="O2385" i="5" s="1"/>
  <c r="O2386" i="5" s="1"/>
  <c r="O2387" i="5" s="1"/>
  <c r="O2388" i="5" s="1"/>
  <c r="O2389" i="5" s="1"/>
  <c r="O2390" i="5" s="1"/>
  <c r="O2391" i="5" s="1"/>
  <c r="O2392" i="5" s="1"/>
  <c r="O2393" i="5" s="1"/>
  <c r="O2394" i="5" s="1"/>
  <c r="O2395" i="5" s="1"/>
  <c r="O2396" i="5" s="1"/>
  <c r="O2397" i="5" s="1"/>
  <c r="O2398" i="5" s="1"/>
  <c r="O2399" i="5" s="1"/>
  <c r="O2400" i="5" s="1"/>
  <c r="O2401" i="5" s="1"/>
  <c r="O2402" i="5" s="1"/>
  <c r="O2403" i="5" s="1"/>
  <c r="O2404" i="5" s="1"/>
  <c r="O2405" i="5" s="1"/>
  <c r="O2406" i="5" s="1"/>
  <c r="O2407" i="5" s="1"/>
  <c r="O2408" i="5" s="1"/>
  <c r="O2409" i="5" s="1"/>
  <c r="O2410" i="5" s="1"/>
  <c r="O2411" i="5" s="1"/>
  <c r="O2412" i="5" s="1"/>
  <c r="O2413" i="5" s="1"/>
  <c r="O2414" i="5" s="1"/>
  <c r="O2415" i="5" s="1"/>
  <c r="O2416" i="5" s="1"/>
  <c r="O2417" i="5" s="1"/>
  <c r="O2418" i="5" s="1"/>
  <c r="O2419" i="5" s="1"/>
  <c r="O2420" i="5" s="1"/>
  <c r="O2421" i="5" s="1"/>
  <c r="O2422" i="5" s="1"/>
  <c r="O2423" i="5" s="1"/>
  <c r="O2424" i="5" s="1"/>
  <c r="O2425" i="5" s="1"/>
  <c r="O2426" i="5" s="1"/>
  <c r="O2427" i="5" s="1"/>
  <c r="O2428" i="5" s="1"/>
  <c r="O2429" i="5" s="1"/>
  <c r="O2430" i="5" s="1"/>
  <c r="O2431" i="5" s="1"/>
  <c r="O2432" i="5" s="1"/>
  <c r="O2433" i="5" s="1"/>
  <c r="O2434" i="5" s="1"/>
  <c r="O2435" i="5" s="1"/>
  <c r="O2436" i="5" s="1"/>
  <c r="O2437" i="5" s="1"/>
  <c r="O2438" i="5" s="1"/>
  <c r="O2439" i="5" s="1"/>
  <c r="O2440" i="5" s="1"/>
  <c r="O2441" i="5" s="1"/>
  <c r="O2442" i="5" s="1"/>
  <c r="O2443" i="5" s="1"/>
  <c r="O2444" i="5" s="1"/>
  <c r="O2445" i="5" s="1"/>
  <c r="O2446" i="5" s="1"/>
  <c r="O2447" i="5" s="1"/>
  <c r="O2448" i="5" s="1"/>
  <c r="O2449" i="5" s="1"/>
  <c r="O2450" i="5" s="1"/>
  <c r="O2451" i="5" s="1"/>
  <c r="O2452" i="5" s="1"/>
  <c r="O2453" i="5" s="1"/>
  <c r="O2454" i="5" s="1"/>
  <c r="O2455" i="5" s="1"/>
  <c r="O2456" i="5" s="1"/>
  <c r="O2457" i="5" s="1"/>
  <c r="O2458" i="5" s="1"/>
  <c r="O2459" i="5" s="1"/>
  <c r="O2460" i="5" s="1"/>
  <c r="O2461" i="5" s="1"/>
  <c r="O2462" i="5" s="1"/>
  <c r="O2463" i="5" s="1"/>
  <c r="O2464" i="5" s="1"/>
  <c r="O2465" i="5" s="1"/>
  <c r="O2466" i="5" s="1"/>
  <c r="O2467" i="5" s="1"/>
  <c r="O2468" i="5" s="1"/>
  <c r="O2469" i="5" s="1"/>
  <c r="O2470" i="5" s="1"/>
  <c r="O2471" i="5" s="1"/>
  <c r="O2472" i="5" s="1"/>
  <c r="O2473" i="5" s="1"/>
  <c r="O2474" i="5" s="1"/>
  <c r="O2475" i="5" s="1"/>
  <c r="O2476" i="5" s="1"/>
  <c r="O2477" i="5" s="1"/>
  <c r="O2478" i="5" s="1"/>
  <c r="O2479" i="5" s="1"/>
  <c r="O2480" i="5" s="1"/>
  <c r="F33" i="19"/>
  <c r="F32" i="19"/>
  <c r="F31" i="19"/>
  <c r="F30" i="19"/>
  <c r="F29" i="19"/>
  <c r="B25" i="19"/>
  <c r="C23" i="19" s="1"/>
  <c r="C24" i="19"/>
  <c r="C22" i="19"/>
  <c r="C21" i="19"/>
  <c r="C20" i="19"/>
  <c r="J16" i="19"/>
  <c r="I16" i="19"/>
  <c r="H16" i="19"/>
  <c r="G16" i="19"/>
  <c r="J15" i="19"/>
  <c r="I15" i="19"/>
  <c r="J14" i="19"/>
  <c r="I14" i="19"/>
  <c r="J13" i="19"/>
  <c r="I13" i="19"/>
  <c r="J12" i="19"/>
  <c r="I12" i="19"/>
  <c r="J11" i="19"/>
  <c r="I11" i="19"/>
  <c r="J10" i="19"/>
  <c r="I10" i="19"/>
  <c r="J9" i="19"/>
  <c r="I9" i="19"/>
  <c r="J8" i="19"/>
  <c r="I8" i="19"/>
  <c r="J7" i="19"/>
  <c r="I7" i="19"/>
  <c r="J6" i="19"/>
  <c r="I6" i="19"/>
  <c r="L36" i="18"/>
  <c r="D36" i="18"/>
  <c r="N35" i="18"/>
  <c r="N36" i="18" s="1"/>
  <c r="M35" i="18"/>
  <c r="M36" i="18" s="1"/>
  <c r="L35" i="18"/>
  <c r="K35" i="18"/>
  <c r="J35" i="18"/>
  <c r="I35" i="18"/>
  <c r="H35" i="18"/>
  <c r="G35" i="18"/>
  <c r="F35" i="18"/>
  <c r="E35" i="18"/>
  <c r="E36" i="18" s="1"/>
  <c r="D35" i="18"/>
  <c r="C35" i="18"/>
  <c r="O34" i="18"/>
  <c r="O33" i="18"/>
  <c r="O32" i="18"/>
  <c r="O31" i="18"/>
  <c r="N28" i="18"/>
  <c r="M28" i="18"/>
  <c r="L28" i="18"/>
  <c r="K28" i="18"/>
  <c r="K36" i="18" s="1"/>
  <c r="J28" i="18"/>
  <c r="J36" i="18" s="1"/>
  <c r="I28" i="18"/>
  <c r="H28" i="18"/>
  <c r="H36" i="18" s="1"/>
  <c r="G28" i="18"/>
  <c r="F28" i="18"/>
  <c r="E28" i="18"/>
  <c r="D28" i="18"/>
  <c r="C28" i="18"/>
  <c r="O27" i="18"/>
  <c r="O26" i="18"/>
  <c r="O25" i="18"/>
  <c r="O24" i="18"/>
  <c r="O22" i="18"/>
  <c r="O21" i="18"/>
  <c r="O20" i="18"/>
  <c r="O19" i="18"/>
  <c r="O18" i="18"/>
  <c r="O17" i="18"/>
  <c r="O16" i="18"/>
  <c r="O15" i="18"/>
  <c r="O14" i="18"/>
  <c r="O12" i="18"/>
  <c r="O11" i="18"/>
  <c r="O10" i="18"/>
  <c r="O9" i="18"/>
  <c r="O8" i="18"/>
  <c r="O7" i="18"/>
  <c r="O6" i="18"/>
  <c r="L25" i="17"/>
  <c r="K25" i="17"/>
  <c r="I24" i="17"/>
  <c r="F24" i="17"/>
  <c r="F25" i="17" s="1"/>
  <c r="E24" i="17"/>
  <c r="N21" i="17"/>
  <c r="N24" i="17" s="1"/>
  <c r="N25" i="17" s="1"/>
  <c r="M21" i="17"/>
  <c r="M24" i="17" s="1"/>
  <c r="M25" i="17" s="1"/>
  <c r="L21" i="17"/>
  <c r="K21" i="17"/>
  <c r="J21" i="17"/>
  <c r="I21" i="17"/>
  <c r="H21" i="17"/>
  <c r="G21" i="17"/>
  <c r="F21" i="17"/>
  <c r="E21" i="17"/>
  <c r="D21" i="17"/>
  <c r="C21" i="17"/>
  <c r="N13" i="17"/>
  <c r="M13" i="17"/>
  <c r="L13" i="17"/>
  <c r="L24" i="17" s="1"/>
  <c r="K13" i="17"/>
  <c r="K24" i="17" s="1"/>
  <c r="J13" i="17"/>
  <c r="J24" i="17" s="1"/>
  <c r="J25" i="17" s="1"/>
  <c r="I13" i="17"/>
  <c r="H13" i="17"/>
  <c r="H24" i="17" s="1"/>
  <c r="H25" i="17" s="1"/>
  <c r="G13" i="17"/>
  <c r="G24" i="17" s="1"/>
  <c r="F13" i="17"/>
  <c r="E13" i="17"/>
  <c r="D13" i="17"/>
  <c r="D24" i="17" s="1"/>
  <c r="C13" i="17"/>
  <c r="C24" i="17" s="1"/>
  <c r="P725" i="16"/>
  <c r="Q725" i="16" s="1"/>
  <c r="N725" i="16"/>
  <c r="M725" i="16"/>
  <c r="L725" i="16"/>
  <c r="J725" i="16"/>
  <c r="I725" i="16"/>
  <c r="H725" i="16"/>
  <c r="O725" i="16" s="1"/>
  <c r="N724" i="16"/>
  <c r="M724" i="16"/>
  <c r="H724" i="16" s="1"/>
  <c r="L724" i="16"/>
  <c r="N723" i="16"/>
  <c r="I723" i="16" s="1"/>
  <c r="M723" i="16"/>
  <c r="H723" i="16" s="1"/>
  <c r="O723" i="16" s="1"/>
  <c r="L723" i="16"/>
  <c r="J723" i="16"/>
  <c r="N722" i="16"/>
  <c r="M722" i="16"/>
  <c r="L722" i="16"/>
  <c r="H722" i="16"/>
  <c r="P721" i="16"/>
  <c r="N721" i="16"/>
  <c r="M721" i="16"/>
  <c r="Q721" i="16" s="1"/>
  <c r="L721" i="16"/>
  <c r="J721" i="16"/>
  <c r="I721" i="16"/>
  <c r="P720" i="16"/>
  <c r="Q720" i="16" s="1"/>
  <c r="N720" i="16"/>
  <c r="J720" i="16" s="1"/>
  <c r="M720" i="16"/>
  <c r="H720" i="16" s="1"/>
  <c r="L720" i="16"/>
  <c r="I720" i="16"/>
  <c r="O720" i="16" s="1"/>
  <c r="N719" i="16"/>
  <c r="P719" i="16" s="1"/>
  <c r="M719" i="16"/>
  <c r="L719" i="16"/>
  <c r="J719" i="16"/>
  <c r="I719" i="16"/>
  <c r="H719" i="16"/>
  <c r="O719" i="16" s="1"/>
  <c r="N718" i="16"/>
  <c r="P718" i="16" s="1"/>
  <c r="Q718" i="16" s="1"/>
  <c r="M718" i="16"/>
  <c r="L718" i="16"/>
  <c r="H718" i="16"/>
  <c r="P717" i="16"/>
  <c r="Q717" i="16" s="1"/>
  <c r="N717" i="16"/>
  <c r="M717" i="16"/>
  <c r="L717" i="16"/>
  <c r="J717" i="16"/>
  <c r="I717" i="16"/>
  <c r="H717" i="16"/>
  <c r="O717" i="16" s="1"/>
  <c r="N716" i="16"/>
  <c r="P716" i="16" s="1"/>
  <c r="Q716" i="16" s="1"/>
  <c r="M716" i="16"/>
  <c r="H716" i="16" s="1"/>
  <c r="L716" i="16"/>
  <c r="J716" i="16"/>
  <c r="P715" i="16"/>
  <c r="Q715" i="16" s="1"/>
  <c r="N715" i="16"/>
  <c r="M715" i="16"/>
  <c r="H715" i="16" s="1"/>
  <c r="L715" i="16"/>
  <c r="N714" i="16"/>
  <c r="M714" i="16"/>
  <c r="L714" i="16"/>
  <c r="H714" i="16"/>
  <c r="P713" i="16"/>
  <c r="Q713" i="16" s="1"/>
  <c r="N713" i="16"/>
  <c r="M713" i="16"/>
  <c r="H713" i="16" s="1"/>
  <c r="O713" i="16" s="1"/>
  <c r="L713" i="16"/>
  <c r="J713" i="16"/>
  <c r="I713" i="16"/>
  <c r="P712" i="16"/>
  <c r="Q712" i="16" s="1"/>
  <c r="N712" i="16"/>
  <c r="M712" i="16"/>
  <c r="L712" i="16"/>
  <c r="J712" i="16"/>
  <c r="I712" i="16"/>
  <c r="H712" i="16"/>
  <c r="O712" i="16" s="1"/>
  <c r="N711" i="16"/>
  <c r="P711" i="16" s="1"/>
  <c r="Q711" i="16" s="1"/>
  <c r="M711" i="16"/>
  <c r="H711" i="16" s="1"/>
  <c r="L711" i="16"/>
  <c r="J711" i="16"/>
  <c r="I711" i="16"/>
  <c r="N710" i="16"/>
  <c r="M710" i="16"/>
  <c r="H710" i="16" s="1"/>
  <c r="L710" i="16"/>
  <c r="P709" i="16"/>
  <c r="Q709" i="16" s="1"/>
  <c r="N709" i="16"/>
  <c r="M709" i="16"/>
  <c r="L709" i="16"/>
  <c r="J709" i="16"/>
  <c r="I709" i="16"/>
  <c r="O709" i="16" s="1"/>
  <c r="H709" i="16"/>
  <c r="N708" i="16"/>
  <c r="M708" i="16"/>
  <c r="H708" i="16" s="1"/>
  <c r="L708" i="16"/>
  <c r="P707" i="16"/>
  <c r="N707" i="16"/>
  <c r="M707" i="16"/>
  <c r="L707" i="16"/>
  <c r="J707" i="16"/>
  <c r="I707" i="16"/>
  <c r="N706" i="16"/>
  <c r="M706" i="16"/>
  <c r="L706" i="16"/>
  <c r="I706" i="16"/>
  <c r="H706" i="16"/>
  <c r="N705" i="16"/>
  <c r="M705" i="16"/>
  <c r="H705" i="16" s="1"/>
  <c r="L705" i="16"/>
  <c r="P704" i="16"/>
  <c r="Q704" i="16" s="1"/>
  <c r="N704" i="16"/>
  <c r="M704" i="16"/>
  <c r="L704" i="16"/>
  <c r="H704" i="16"/>
  <c r="N703" i="16"/>
  <c r="P703" i="16" s="1"/>
  <c r="Q703" i="16" s="1"/>
  <c r="M703" i="16"/>
  <c r="H703" i="16" s="1"/>
  <c r="O703" i="16" s="1"/>
  <c r="L703" i="16"/>
  <c r="J703" i="16"/>
  <c r="I703" i="16"/>
  <c r="N702" i="16"/>
  <c r="P702" i="16" s="1"/>
  <c r="M702" i="16"/>
  <c r="L702" i="16"/>
  <c r="I702" i="16"/>
  <c r="H702" i="16"/>
  <c r="Q701" i="16"/>
  <c r="P701" i="16"/>
  <c r="O701" i="16"/>
  <c r="N701" i="16"/>
  <c r="M701" i="16"/>
  <c r="L701" i="16"/>
  <c r="J701" i="16"/>
  <c r="I701" i="16"/>
  <c r="H701" i="16"/>
  <c r="N700" i="16"/>
  <c r="M700" i="16"/>
  <c r="L700" i="16"/>
  <c r="H700" i="16"/>
  <c r="N699" i="16"/>
  <c r="P699" i="16" s="1"/>
  <c r="Q699" i="16" s="1"/>
  <c r="M699" i="16"/>
  <c r="H699" i="16" s="1"/>
  <c r="L699" i="16"/>
  <c r="I699" i="16"/>
  <c r="N698" i="16"/>
  <c r="I698" i="16" s="1"/>
  <c r="M698" i="16"/>
  <c r="H698" i="16" s="1"/>
  <c r="L698" i="16"/>
  <c r="O697" i="16"/>
  <c r="N697" i="16"/>
  <c r="P697" i="16" s="1"/>
  <c r="M697" i="16"/>
  <c r="H697" i="16" s="1"/>
  <c r="L697" i="16"/>
  <c r="J697" i="16"/>
  <c r="I697" i="16"/>
  <c r="P696" i="16"/>
  <c r="Q696" i="16" s="1"/>
  <c r="N696" i="16"/>
  <c r="M696" i="16"/>
  <c r="H696" i="16" s="1"/>
  <c r="L696" i="16"/>
  <c r="P695" i="16"/>
  <c r="Q695" i="16" s="1"/>
  <c r="N695" i="16"/>
  <c r="M695" i="16"/>
  <c r="L695" i="16"/>
  <c r="J695" i="16"/>
  <c r="I695" i="16"/>
  <c r="H695" i="16"/>
  <c r="P694" i="16"/>
  <c r="Q694" i="16" s="1"/>
  <c r="O694" i="16"/>
  <c r="N694" i="16"/>
  <c r="M694" i="16"/>
  <c r="L694" i="16"/>
  <c r="J694" i="16"/>
  <c r="I694" i="16"/>
  <c r="H694" i="16"/>
  <c r="N693" i="16"/>
  <c r="I693" i="16" s="1"/>
  <c r="M693" i="16"/>
  <c r="H693" i="16" s="1"/>
  <c r="L693" i="16"/>
  <c r="N692" i="16"/>
  <c r="I692" i="16" s="1"/>
  <c r="M692" i="16"/>
  <c r="H692" i="16" s="1"/>
  <c r="O692" i="16" s="1"/>
  <c r="L692" i="16"/>
  <c r="J692" i="16"/>
  <c r="N691" i="16"/>
  <c r="J691" i="16" s="1"/>
  <c r="M691" i="16"/>
  <c r="H691" i="16" s="1"/>
  <c r="L691" i="16"/>
  <c r="N690" i="16"/>
  <c r="M690" i="16"/>
  <c r="L690" i="16"/>
  <c r="J690" i="16"/>
  <c r="I690" i="16"/>
  <c r="H690" i="16"/>
  <c r="O690" i="16" s="1"/>
  <c r="P690" i="16" s="1"/>
  <c r="Q690" i="16" s="1"/>
  <c r="N689" i="16"/>
  <c r="M689" i="16"/>
  <c r="H689" i="16" s="1"/>
  <c r="O689" i="16" s="1"/>
  <c r="P689" i="16" s="1"/>
  <c r="Q689" i="16" s="1"/>
  <c r="L689" i="16"/>
  <c r="J689" i="16"/>
  <c r="I689" i="16"/>
  <c r="N688" i="16"/>
  <c r="M688" i="16"/>
  <c r="H688" i="16" s="1"/>
  <c r="L688" i="16"/>
  <c r="N687" i="16"/>
  <c r="M687" i="16"/>
  <c r="L687" i="16"/>
  <c r="J687" i="16"/>
  <c r="I687" i="16"/>
  <c r="H687" i="16"/>
  <c r="O687" i="16" s="1"/>
  <c r="P687" i="16" s="1"/>
  <c r="Q687" i="16" s="1"/>
  <c r="N686" i="16"/>
  <c r="M686" i="16"/>
  <c r="L686" i="16"/>
  <c r="J686" i="16"/>
  <c r="I686" i="16"/>
  <c r="H686" i="16"/>
  <c r="O686" i="16" s="1"/>
  <c r="N685" i="16"/>
  <c r="M685" i="16"/>
  <c r="L685" i="16"/>
  <c r="J685" i="16"/>
  <c r="I685" i="16"/>
  <c r="H685" i="16"/>
  <c r="O685" i="16" s="1"/>
  <c r="N684" i="16"/>
  <c r="I684" i="16" s="1"/>
  <c r="M684" i="16"/>
  <c r="L684" i="16"/>
  <c r="J684" i="16"/>
  <c r="H684" i="16"/>
  <c r="N683" i="16"/>
  <c r="M683" i="16"/>
  <c r="L683" i="16"/>
  <c r="H683" i="16"/>
  <c r="N682" i="16"/>
  <c r="M682" i="16"/>
  <c r="H682" i="16" s="1"/>
  <c r="L682" i="16"/>
  <c r="I682" i="16"/>
  <c r="N681" i="16"/>
  <c r="I681" i="16" s="1"/>
  <c r="M681" i="16"/>
  <c r="L681" i="16"/>
  <c r="H681" i="16"/>
  <c r="N680" i="16"/>
  <c r="M680" i="16"/>
  <c r="H680" i="16" s="1"/>
  <c r="L680" i="16"/>
  <c r="J680" i="16"/>
  <c r="I680" i="16"/>
  <c r="N679" i="16"/>
  <c r="M679" i="16"/>
  <c r="L679" i="16"/>
  <c r="I679" i="16"/>
  <c r="H679" i="16"/>
  <c r="N678" i="16"/>
  <c r="J678" i="16" s="1"/>
  <c r="M678" i="16"/>
  <c r="L678" i="16"/>
  <c r="H678" i="16"/>
  <c r="N677" i="16"/>
  <c r="J677" i="16" s="1"/>
  <c r="M677" i="16"/>
  <c r="L677" i="16"/>
  <c r="I677" i="16"/>
  <c r="H677" i="16"/>
  <c r="O677" i="16" s="1"/>
  <c r="N676" i="16"/>
  <c r="I676" i="16" s="1"/>
  <c r="M676" i="16"/>
  <c r="H676" i="16" s="1"/>
  <c r="L676" i="16"/>
  <c r="J676" i="16"/>
  <c r="N675" i="16"/>
  <c r="M675" i="16"/>
  <c r="L675" i="16"/>
  <c r="J675" i="16"/>
  <c r="I675" i="16"/>
  <c r="O675" i="16" s="1"/>
  <c r="H675" i="16"/>
  <c r="P674" i="16"/>
  <c r="Q674" i="16" s="1"/>
  <c r="N674" i="16"/>
  <c r="M674" i="16"/>
  <c r="L674" i="16"/>
  <c r="J674" i="16"/>
  <c r="I674" i="16"/>
  <c r="H674" i="16"/>
  <c r="O674" i="16" s="1"/>
  <c r="O673" i="16"/>
  <c r="P673" i="16" s="1"/>
  <c r="Q673" i="16" s="1"/>
  <c r="N673" i="16"/>
  <c r="M673" i="16"/>
  <c r="L673" i="16"/>
  <c r="J673" i="16"/>
  <c r="I673" i="16"/>
  <c r="H673" i="16"/>
  <c r="N672" i="16"/>
  <c r="M672" i="16"/>
  <c r="H672" i="16" s="1"/>
  <c r="L672" i="16"/>
  <c r="N671" i="16"/>
  <c r="I671" i="16" s="1"/>
  <c r="M671" i="16"/>
  <c r="H671" i="16" s="1"/>
  <c r="L671" i="16"/>
  <c r="N670" i="16"/>
  <c r="M670" i="16"/>
  <c r="L670" i="16"/>
  <c r="J670" i="16"/>
  <c r="I670" i="16"/>
  <c r="N669" i="16"/>
  <c r="J669" i="16" s="1"/>
  <c r="M669" i="16"/>
  <c r="L669" i="16"/>
  <c r="I669" i="16"/>
  <c r="O669" i="16" s="1"/>
  <c r="P669" i="16" s="1"/>
  <c r="Q669" i="16" s="1"/>
  <c r="H669" i="16"/>
  <c r="N668" i="16"/>
  <c r="M668" i="16"/>
  <c r="L668" i="16"/>
  <c r="J668" i="16"/>
  <c r="I668" i="16"/>
  <c r="H668" i="16"/>
  <c r="O667" i="16"/>
  <c r="N667" i="16"/>
  <c r="P667" i="16" s="1"/>
  <c r="Q667" i="16" s="1"/>
  <c r="M667" i="16"/>
  <c r="L667" i="16"/>
  <c r="Q666" i="16"/>
  <c r="P666" i="16"/>
  <c r="O666" i="16"/>
  <c r="N666" i="16"/>
  <c r="M666" i="16"/>
  <c r="L666" i="16"/>
  <c r="Q665" i="16"/>
  <c r="P665" i="16"/>
  <c r="O665" i="16"/>
  <c r="N665" i="16"/>
  <c r="M665" i="16"/>
  <c r="L665" i="16"/>
  <c r="O664" i="16"/>
  <c r="N664" i="16"/>
  <c r="M664" i="16"/>
  <c r="L664" i="16"/>
  <c r="Q663" i="16"/>
  <c r="P663" i="16"/>
  <c r="O663" i="16"/>
  <c r="N663" i="16"/>
  <c r="M663" i="16"/>
  <c r="L663" i="16"/>
  <c r="O662" i="16"/>
  <c r="N662" i="16"/>
  <c r="P662" i="16" s="1"/>
  <c r="M662" i="16"/>
  <c r="Q662" i="16" s="1"/>
  <c r="L662" i="16"/>
  <c r="P661" i="16"/>
  <c r="O661" i="16"/>
  <c r="N661" i="16"/>
  <c r="M661" i="16"/>
  <c r="Q661" i="16" s="1"/>
  <c r="L661" i="16"/>
  <c r="O660" i="16"/>
  <c r="N660" i="16"/>
  <c r="P660" i="16" s="1"/>
  <c r="Q660" i="16" s="1"/>
  <c r="M660" i="16"/>
  <c r="L660" i="16"/>
  <c r="P659" i="16"/>
  <c r="Q659" i="16" s="1"/>
  <c r="O659" i="16"/>
  <c r="N659" i="16"/>
  <c r="M659" i="16"/>
  <c r="L659" i="16"/>
  <c r="O658" i="16"/>
  <c r="N658" i="16"/>
  <c r="P658" i="16" s="1"/>
  <c r="Q658" i="16" s="1"/>
  <c r="M658" i="16"/>
  <c r="L658" i="16"/>
  <c r="O657" i="16"/>
  <c r="N657" i="16"/>
  <c r="P657" i="16" s="1"/>
  <c r="Q657" i="16" s="1"/>
  <c r="M657" i="16"/>
  <c r="L657" i="16"/>
  <c r="O656" i="16"/>
  <c r="N656" i="16"/>
  <c r="P656" i="16" s="1"/>
  <c r="Q656" i="16" s="1"/>
  <c r="M656" i="16"/>
  <c r="L656" i="16"/>
  <c r="O655" i="16"/>
  <c r="N655" i="16"/>
  <c r="P655" i="16" s="1"/>
  <c r="Q655" i="16" s="1"/>
  <c r="M655" i="16"/>
  <c r="L655" i="16"/>
  <c r="P654" i="16"/>
  <c r="Q654" i="16" s="1"/>
  <c r="O654" i="16"/>
  <c r="N654" i="16"/>
  <c r="M654" i="16"/>
  <c r="L654" i="16"/>
  <c r="O653" i="16"/>
  <c r="N653" i="16"/>
  <c r="P653" i="16" s="1"/>
  <c r="Q653" i="16" s="1"/>
  <c r="M653" i="16"/>
  <c r="P664" i="16" s="1"/>
  <c r="Q664" i="16" s="1"/>
  <c r="L653" i="16"/>
  <c r="O652" i="16"/>
  <c r="N652" i="16"/>
  <c r="P652" i="16" s="1"/>
  <c r="Q652" i="16" s="1"/>
  <c r="M652" i="16"/>
  <c r="L652" i="16"/>
  <c r="O651" i="16"/>
  <c r="N651" i="16"/>
  <c r="M651" i="16"/>
  <c r="L651" i="16"/>
  <c r="Q650" i="16"/>
  <c r="P650" i="16"/>
  <c r="O650" i="16"/>
  <c r="N650" i="16"/>
  <c r="M650" i="16"/>
  <c r="L650" i="16"/>
  <c r="P649" i="16"/>
  <c r="Q649" i="16" s="1"/>
  <c r="O649" i="16"/>
  <c r="N649" i="16"/>
  <c r="M649" i="16"/>
  <c r="L649" i="16"/>
  <c r="P648" i="16"/>
  <c r="Q648" i="16" s="1"/>
  <c r="O648" i="16"/>
  <c r="N648" i="16"/>
  <c r="M648" i="16"/>
  <c r="L648" i="16"/>
  <c r="O647" i="16"/>
  <c r="N647" i="16"/>
  <c r="P647" i="16" s="1"/>
  <c r="Q647" i="16" s="1"/>
  <c r="M647" i="16"/>
  <c r="L647" i="16"/>
  <c r="O646" i="16"/>
  <c r="N646" i="16"/>
  <c r="P646" i="16" s="1"/>
  <c r="Q646" i="16" s="1"/>
  <c r="M646" i="16"/>
  <c r="L646" i="16"/>
  <c r="P645" i="16"/>
  <c r="O645" i="16"/>
  <c r="N645" i="16"/>
  <c r="M645" i="16"/>
  <c r="Q645" i="16" s="1"/>
  <c r="L645" i="16"/>
  <c r="P644" i="16"/>
  <c r="Q644" i="16" s="1"/>
  <c r="O644" i="16"/>
  <c r="N644" i="16"/>
  <c r="M644" i="16"/>
  <c r="L644" i="16"/>
  <c r="Q643" i="16"/>
  <c r="P643" i="16"/>
  <c r="O643" i="16"/>
  <c r="N643" i="16"/>
  <c r="M643" i="16"/>
  <c r="L643" i="16"/>
  <c r="O642" i="16"/>
  <c r="N642" i="16"/>
  <c r="P642" i="16" s="1"/>
  <c r="Q642" i="16" s="1"/>
  <c r="M642" i="16"/>
  <c r="L642" i="16"/>
  <c r="O641" i="16"/>
  <c r="N641" i="16"/>
  <c r="P641" i="16" s="1"/>
  <c r="Q641" i="16" s="1"/>
  <c r="M641" i="16"/>
  <c r="L641" i="16"/>
  <c r="P640" i="16"/>
  <c r="Q640" i="16" s="1"/>
  <c r="O640" i="16"/>
  <c r="N640" i="16"/>
  <c r="M640" i="16"/>
  <c r="L640" i="16"/>
  <c r="P639" i="16"/>
  <c r="O639" i="16"/>
  <c r="N639" i="16"/>
  <c r="M639" i="16"/>
  <c r="Q639" i="16" s="1"/>
  <c r="L639" i="16"/>
  <c r="O638" i="16"/>
  <c r="N638" i="16"/>
  <c r="P638" i="16" s="1"/>
  <c r="Q638" i="16" s="1"/>
  <c r="M638" i="16"/>
  <c r="L638" i="16"/>
  <c r="O637" i="16"/>
  <c r="N637" i="16"/>
  <c r="P637" i="16" s="1"/>
  <c r="Q637" i="16" s="1"/>
  <c r="M637" i="16"/>
  <c r="P651" i="16" s="1"/>
  <c r="Q651" i="16" s="1"/>
  <c r="L637" i="16"/>
  <c r="O636" i="16"/>
  <c r="N636" i="16"/>
  <c r="M636" i="16"/>
  <c r="L636" i="16"/>
  <c r="O635" i="16"/>
  <c r="N635" i="16"/>
  <c r="P635" i="16" s="1"/>
  <c r="Q635" i="16" s="1"/>
  <c r="M635" i="16"/>
  <c r="L635" i="16"/>
  <c r="P634" i="16"/>
  <c r="Q634" i="16" s="1"/>
  <c r="O634" i="16"/>
  <c r="N634" i="16"/>
  <c r="M634" i="16"/>
  <c r="L634" i="16"/>
  <c r="O633" i="16"/>
  <c r="N633" i="16"/>
  <c r="P633" i="16" s="1"/>
  <c r="Q633" i="16" s="1"/>
  <c r="M633" i="16"/>
  <c r="L633" i="16"/>
  <c r="P632" i="16"/>
  <c r="Q632" i="16" s="1"/>
  <c r="O632" i="16"/>
  <c r="N632" i="16"/>
  <c r="M632" i="16"/>
  <c r="L632" i="16"/>
  <c r="O631" i="16"/>
  <c r="N631" i="16"/>
  <c r="P631" i="16" s="1"/>
  <c r="Q631" i="16" s="1"/>
  <c r="M631" i="16"/>
  <c r="L631" i="16"/>
  <c r="P630" i="16"/>
  <c r="Q630" i="16" s="1"/>
  <c r="O630" i="16"/>
  <c r="N630" i="16"/>
  <c r="M630" i="16"/>
  <c r="L630" i="16"/>
  <c r="O629" i="16"/>
  <c r="N629" i="16"/>
  <c r="P629" i="16" s="1"/>
  <c r="Q629" i="16" s="1"/>
  <c r="M629" i="16"/>
  <c r="L629" i="16"/>
  <c r="Q628" i="16"/>
  <c r="P628" i="16"/>
  <c r="O628" i="16"/>
  <c r="N628" i="16"/>
  <c r="M628" i="16"/>
  <c r="L628" i="16"/>
  <c r="O627" i="16"/>
  <c r="N627" i="16"/>
  <c r="P627" i="16" s="1"/>
  <c r="Q627" i="16" s="1"/>
  <c r="M627" i="16"/>
  <c r="P636" i="16" s="1"/>
  <c r="Q636" i="16" s="1"/>
  <c r="L627" i="16"/>
  <c r="O626" i="16"/>
  <c r="N626" i="16"/>
  <c r="P626" i="16" s="1"/>
  <c r="Q626" i="16" s="1"/>
  <c r="M626" i="16"/>
  <c r="L626" i="16"/>
  <c r="O625" i="16"/>
  <c r="N625" i="16"/>
  <c r="P625" i="16" s="1"/>
  <c r="Q625" i="16" s="1"/>
  <c r="M625" i="16"/>
  <c r="L625" i="16"/>
  <c r="O624" i="16"/>
  <c r="N624" i="16"/>
  <c r="P624" i="16" s="1"/>
  <c r="M624" i="16"/>
  <c r="L624" i="16"/>
  <c r="O623" i="16"/>
  <c r="N623" i="16"/>
  <c r="P623" i="16" s="1"/>
  <c r="Q623" i="16" s="1"/>
  <c r="M623" i="16"/>
  <c r="L623" i="16"/>
  <c r="Q622" i="16"/>
  <c r="O622" i="16"/>
  <c r="N622" i="16"/>
  <c r="P622" i="16" s="1"/>
  <c r="M622" i="16"/>
  <c r="L622" i="16"/>
  <c r="P621" i="16"/>
  <c r="Q621" i="16" s="1"/>
  <c r="O621" i="16"/>
  <c r="N621" i="16"/>
  <c r="M621" i="16"/>
  <c r="L621" i="16"/>
  <c r="O620" i="16"/>
  <c r="N620" i="16"/>
  <c r="P620" i="16" s="1"/>
  <c r="Q620" i="16" s="1"/>
  <c r="M620" i="16"/>
  <c r="L620" i="16"/>
  <c r="O619" i="16"/>
  <c r="N619" i="16"/>
  <c r="P619" i="16" s="1"/>
  <c r="Q619" i="16" s="1"/>
  <c r="M619" i="16"/>
  <c r="L619" i="16"/>
  <c r="P618" i="16"/>
  <c r="Q618" i="16" s="1"/>
  <c r="O618" i="16"/>
  <c r="N618" i="16"/>
  <c r="M618" i="16"/>
  <c r="L618" i="16"/>
  <c r="Q617" i="16"/>
  <c r="P617" i="16"/>
  <c r="O617" i="16"/>
  <c r="N617" i="16"/>
  <c r="M617" i="16"/>
  <c r="L617" i="16"/>
  <c r="O616" i="16"/>
  <c r="N616" i="16"/>
  <c r="P616" i="16" s="1"/>
  <c r="Q616" i="16" s="1"/>
  <c r="M616" i="16"/>
  <c r="L616" i="16"/>
  <c r="P615" i="16"/>
  <c r="O615" i="16"/>
  <c r="N615" i="16"/>
  <c r="M615" i="16"/>
  <c r="Q615" i="16" s="1"/>
  <c r="L615" i="16"/>
  <c r="O614" i="16"/>
  <c r="N614" i="16"/>
  <c r="P614" i="16" s="1"/>
  <c r="Q614" i="16" s="1"/>
  <c r="M614" i="16"/>
  <c r="L614" i="16"/>
  <c r="O613" i="16"/>
  <c r="N613" i="16"/>
  <c r="P613" i="16" s="1"/>
  <c r="M613" i="16"/>
  <c r="L613" i="16"/>
  <c r="O612" i="16"/>
  <c r="N612" i="16"/>
  <c r="P612" i="16" s="1"/>
  <c r="Q612" i="16" s="1"/>
  <c r="M612" i="16"/>
  <c r="L612" i="16"/>
  <c r="P611" i="16"/>
  <c r="O611" i="16"/>
  <c r="N611" i="16"/>
  <c r="M611" i="16"/>
  <c r="Q611" i="16" s="1"/>
  <c r="L611" i="16"/>
  <c r="Q610" i="16"/>
  <c r="P610" i="16"/>
  <c r="O610" i="16"/>
  <c r="N610" i="16"/>
  <c r="M610" i="16"/>
  <c r="L610" i="16"/>
  <c r="O609" i="16"/>
  <c r="N609" i="16"/>
  <c r="P609" i="16" s="1"/>
  <c r="Q609" i="16" s="1"/>
  <c r="M609" i="16"/>
  <c r="L609" i="16"/>
  <c r="O608" i="16"/>
  <c r="N608" i="16"/>
  <c r="P608" i="16" s="1"/>
  <c r="Q608" i="16" s="1"/>
  <c r="M608" i="16"/>
  <c r="L608" i="16"/>
  <c r="O607" i="16"/>
  <c r="N607" i="16"/>
  <c r="P607" i="16" s="1"/>
  <c r="M607" i="16"/>
  <c r="Q607" i="16" s="1"/>
  <c r="L607" i="16"/>
  <c r="O606" i="16"/>
  <c r="N606" i="16"/>
  <c r="M606" i="16"/>
  <c r="L606" i="16"/>
  <c r="O605" i="16"/>
  <c r="N605" i="16"/>
  <c r="P605" i="16" s="1"/>
  <c r="M605" i="16"/>
  <c r="L605" i="16"/>
  <c r="O604" i="16"/>
  <c r="N604" i="16"/>
  <c r="P604" i="16" s="1"/>
  <c r="Q604" i="16" s="1"/>
  <c r="M604" i="16"/>
  <c r="L604" i="16"/>
  <c r="P603" i="16"/>
  <c r="Q603" i="16" s="1"/>
  <c r="O603" i="16"/>
  <c r="N603" i="16"/>
  <c r="M603" i="16"/>
  <c r="L603" i="16"/>
  <c r="O602" i="16"/>
  <c r="N602" i="16"/>
  <c r="P602" i="16" s="1"/>
  <c r="Q602" i="16" s="1"/>
  <c r="M602" i="16"/>
  <c r="L602" i="16"/>
  <c r="O601" i="16"/>
  <c r="N601" i="16"/>
  <c r="P601" i="16" s="1"/>
  <c r="M601" i="16"/>
  <c r="L601" i="16"/>
  <c r="O600" i="16"/>
  <c r="N600" i="16"/>
  <c r="P600" i="16" s="1"/>
  <c r="Q600" i="16" s="1"/>
  <c r="M600" i="16"/>
  <c r="L600" i="16"/>
  <c r="P599" i="16"/>
  <c r="Q599" i="16" s="1"/>
  <c r="O599" i="16"/>
  <c r="N599" i="16"/>
  <c r="M599" i="16"/>
  <c r="L599" i="16"/>
  <c r="O598" i="16"/>
  <c r="N598" i="16"/>
  <c r="P598" i="16" s="1"/>
  <c r="Q598" i="16" s="1"/>
  <c r="M598" i="16"/>
  <c r="L598" i="16"/>
  <c r="P597" i="16"/>
  <c r="Q597" i="16" s="1"/>
  <c r="O597" i="16"/>
  <c r="N597" i="16"/>
  <c r="M597" i="16"/>
  <c r="L597" i="16"/>
  <c r="P596" i="16"/>
  <c r="Q596" i="16" s="1"/>
  <c r="O596" i="16"/>
  <c r="N596" i="16"/>
  <c r="M596" i="16"/>
  <c r="L596" i="16"/>
  <c r="Q595" i="16"/>
  <c r="P595" i="16"/>
  <c r="O595" i="16"/>
  <c r="N595" i="16"/>
  <c r="M595" i="16"/>
  <c r="L595" i="16"/>
  <c r="P594" i="16"/>
  <c r="O594" i="16"/>
  <c r="N594" i="16"/>
  <c r="M594" i="16"/>
  <c r="Q594" i="16" s="1"/>
  <c r="L594" i="16"/>
  <c r="Q593" i="16"/>
  <c r="O593" i="16"/>
  <c r="N593" i="16"/>
  <c r="P593" i="16" s="1"/>
  <c r="M593" i="16"/>
  <c r="L593" i="16"/>
  <c r="O592" i="16"/>
  <c r="N592" i="16"/>
  <c r="P592" i="16" s="1"/>
  <c r="Q592" i="16" s="1"/>
  <c r="M592" i="16"/>
  <c r="L592" i="16"/>
  <c r="O591" i="16"/>
  <c r="N591" i="16"/>
  <c r="P591" i="16" s="1"/>
  <c r="M591" i="16"/>
  <c r="L591" i="16"/>
  <c r="P590" i="16"/>
  <c r="Q590" i="16" s="1"/>
  <c r="O590" i="16"/>
  <c r="N590" i="16"/>
  <c r="M590" i="16"/>
  <c r="L590" i="16"/>
  <c r="Q589" i="16"/>
  <c r="O589" i="16"/>
  <c r="N589" i="16"/>
  <c r="P589" i="16" s="1"/>
  <c r="M589" i="16"/>
  <c r="L589" i="16"/>
  <c r="P588" i="16"/>
  <c r="Q588" i="16" s="1"/>
  <c r="O588" i="16"/>
  <c r="N588" i="16"/>
  <c r="M588" i="16"/>
  <c r="L588" i="16"/>
  <c r="O587" i="16"/>
  <c r="N587" i="16"/>
  <c r="P587" i="16" s="1"/>
  <c r="Q587" i="16" s="1"/>
  <c r="M587" i="16"/>
  <c r="L587" i="16"/>
  <c r="O586" i="16"/>
  <c r="N586" i="16"/>
  <c r="P586" i="16" s="1"/>
  <c r="M586" i="16"/>
  <c r="L586" i="16"/>
  <c r="O585" i="16"/>
  <c r="N585" i="16"/>
  <c r="M585" i="16"/>
  <c r="L585" i="16"/>
  <c r="P584" i="16"/>
  <c r="O584" i="16"/>
  <c r="N584" i="16"/>
  <c r="M584" i="16"/>
  <c r="Q584" i="16" s="1"/>
  <c r="L584" i="16"/>
  <c r="P583" i="16"/>
  <c r="Q583" i="16" s="1"/>
  <c r="O583" i="16"/>
  <c r="N583" i="16"/>
  <c r="M583" i="16"/>
  <c r="L583" i="16"/>
  <c r="Q582" i="16"/>
  <c r="P582" i="16"/>
  <c r="O582" i="16"/>
  <c r="N582" i="16"/>
  <c r="M582" i="16"/>
  <c r="L582" i="16"/>
  <c r="P581" i="16"/>
  <c r="Q581" i="16" s="1"/>
  <c r="O581" i="16"/>
  <c r="N581" i="16"/>
  <c r="M581" i="16"/>
  <c r="L581" i="16"/>
  <c r="O580" i="16"/>
  <c r="N580" i="16"/>
  <c r="P580" i="16" s="1"/>
  <c r="M580" i="16"/>
  <c r="L580" i="16"/>
  <c r="P579" i="16"/>
  <c r="Q579" i="16" s="1"/>
  <c r="O579" i="16"/>
  <c r="N579" i="16"/>
  <c r="M579" i="16"/>
  <c r="L579" i="16"/>
  <c r="Q578" i="16"/>
  <c r="P578" i="16"/>
  <c r="O578" i="16"/>
  <c r="N578" i="16"/>
  <c r="M578" i="16"/>
  <c r="L578" i="16"/>
  <c r="O577" i="16"/>
  <c r="N577" i="16"/>
  <c r="M577" i="16"/>
  <c r="L577" i="16"/>
  <c r="Q576" i="16"/>
  <c r="O576" i="16"/>
  <c r="N576" i="16"/>
  <c r="M576" i="16"/>
  <c r="L576" i="16"/>
  <c r="Q575" i="16"/>
  <c r="O575" i="16"/>
  <c r="N575" i="16"/>
  <c r="M575" i="16"/>
  <c r="L575" i="16"/>
  <c r="Q574" i="16"/>
  <c r="O574" i="16"/>
  <c r="N574" i="16"/>
  <c r="M574" i="16"/>
  <c r="L574" i="16"/>
  <c r="O573" i="16"/>
  <c r="N573" i="16"/>
  <c r="M573" i="16"/>
  <c r="Q573" i="16" s="1"/>
  <c r="L573" i="16"/>
  <c r="O572" i="16"/>
  <c r="N572" i="16"/>
  <c r="M572" i="16"/>
  <c r="Q572" i="16" s="1"/>
  <c r="L572" i="16"/>
  <c r="O571" i="16"/>
  <c r="N571" i="16"/>
  <c r="M571" i="16"/>
  <c r="Q571" i="16" s="1"/>
  <c r="L571" i="16"/>
  <c r="Q570" i="16"/>
  <c r="O570" i="16"/>
  <c r="N570" i="16"/>
  <c r="M570" i="16"/>
  <c r="L570" i="16"/>
  <c r="Q569" i="16"/>
  <c r="O569" i="16"/>
  <c r="N569" i="16"/>
  <c r="M569" i="16"/>
  <c r="L569" i="16"/>
  <c r="Q568" i="16"/>
  <c r="O568" i="16"/>
  <c r="N568" i="16"/>
  <c r="M568" i="16"/>
  <c r="L568" i="16"/>
  <c r="O567" i="16"/>
  <c r="N567" i="16"/>
  <c r="M567" i="16"/>
  <c r="Q567" i="16" s="1"/>
  <c r="L567" i="16"/>
  <c r="Q566" i="16"/>
  <c r="O566" i="16"/>
  <c r="N566" i="16"/>
  <c r="M566" i="16"/>
  <c r="L566" i="16"/>
  <c r="Q565" i="16"/>
  <c r="O565" i="16"/>
  <c r="N565" i="16"/>
  <c r="M565" i="16"/>
  <c r="L565" i="16"/>
  <c r="Q564" i="16"/>
  <c r="O564" i="16"/>
  <c r="N564" i="16"/>
  <c r="M564" i="16"/>
  <c r="L564" i="16"/>
  <c r="O563" i="16"/>
  <c r="N563" i="16"/>
  <c r="M563" i="16"/>
  <c r="Q563" i="16" s="1"/>
  <c r="L563" i="16"/>
  <c r="O562" i="16"/>
  <c r="N562" i="16"/>
  <c r="M562" i="16"/>
  <c r="Q562" i="16" s="1"/>
  <c r="L562" i="16"/>
  <c r="Q561" i="16"/>
  <c r="O561" i="16"/>
  <c r="N561" i="16"/>
  <c r="M561" i="16"/>
  <c r="L561" i="16"/>
  <c r="Q560" i="16"/>
  <c r="O560" i="16"/>
  <c r="N560" i="16"/>
  <c r="M560" i="16"/>
  <c r="L560" i="16"/>
  <c r="O559" i="16"/>
  <c r="N559" i="16"/>
  <c r="M559" i="16"/>
  <c r="Q559" i="16" s="1"/>
  <c r="L559" i="16"/>
  <c r="O558" i="16"/>
  <c r="N558" i="16"/>
  <c r="M558" i="16"/>
  <c r="Q558" i="16" s="1"/>
  <c r="L558" i="16"/>
  <c r="O557" i="16"/>
  <c r="N557" i="16"/>
  <c r="M557" i="16"/>
  <c r="P577" i="16" s="1"/>
  <c r="Q577" i="16" s="1"/>
  <c r="L557" i="16"/>
  <c r="O556" i="16"/>
  <c r="N556" i="16"/>
  <c r="M556" i="16"/>
  <c r="Q556" i="16" s="1"/>
  <c r="L556" i="16"/>
  <c r="Q555" i="16"/>
  <c r="O555" i="16"/>
  <c r="N555" i="16"/>
  <c r="M555" i="16"/>
  <c r="L555" i="16"/>
  <c r="Q554" i="16"/>
  <c r="O554" i="16"/>
  <c r="N554" i="16"/>
  <c r="M554" i="16"/>
  <c r="L554" i="16"/>
  <c r="Q553" i="16"/>
  <c r="O553" i="16"/>
  <c r="N553" i="16"/>
  <c r="M553" i="16"/>
  <c r="L553" i="16"/>
  <c r="Q552" i="16"/>
  <c r="O552" i="16"/>
  <c r="N552" i="16"/>
  <c r="M552" i="16"/>
  <c r="L552" i="16"/>
  <c r="O551" i="16"/>
  <c r="N551" i="16"/>
  <c r="M551" i="16"/>
  <c r="L551" i="16"/>
  <c r="O550" i="16"/>
  <c r="N550" i="16"/>
  <c r="M550" i="16"/>
  <c r="Q550" i="16" s="1"/>
  <c r="L550" i="16"/>
  <c r="O549" i="16"/>
  <c r="N549" i="16"/>
  <c r="M549" i="16"/>
  <c r="Q549" i="16" s="1"/>
  <c r="L549" i="16"/>
  <c r="Q548" i="16"/>
  <c r="O548" i="16"/>
  <c r="N548" i="16"/>
  <c r="M548" i="16"/>
  <c r="L548" i="16"/>
  <c r="Q547" i="16"/>
  <c r="O547" i="16"/>
  <c r="N547" i="16"/>
  <c r="M547" i="16"/>
  <c r="L547" i="16"/>
  <c r="O546" i="16"/>
  <c r="N546" i="16"/>
  <c r="M546" i="16"/>
  <c r="Q546" i="16" s="1"/>
  <c r="L546" i="16"/>
  <c r="Q545" i="16"/>
  <c r="O545" i="16"/>
  <c r="N545" i="16"/>
  <c r="M545" i="16"/>
  <c r="L545" i="16"/>
  <c r="O544" i="16"/>
  <c r="N544" i="16"/>
  <c r="M544" i="16"/>
  <c r="Q544" i="16" s="1"/>
  <c r="L544" i="16"/>
  <c r="Q543" i="16"/>
  <c r="O543" i="16"/>
  <c r="N543" i="16"/>
  <c r="M543" i="16"/>
  <c r="L543" i="16"/>
  <c r="Q542" i="16"/>
  <c r="O542" i="16"/>
  <c r="N542" i="16"/>
  <c r="M542" i="16"/>
  <c r="L542" i="16"/>
  <c r="Q541" i="16"/>
  <c r="O541" i="16"/>
  <c r="N541" i="16"/>
  <c r="M541" i="16"/>
  <c r="L541" i="16"/>
  <c r="O540" i="16"/>
  <c r="N540" i="16"/>
  <c r="M540" i="16"/>
  <c r="Q540" i="16" s="1"/>
  <c r="L540" i="16"/>
  <c r="Q539" i="16"/>
  <c r="O539" i="16"/>
  <c r="N539" i="16"/>
  <c r="M539" i="16"/>
  <c r="L539" i="16"/>
  <c r="Q538" i="16"/>
  <c r="O538" i="16"/>
  <c r="N538" i="16"/>
  <c r="M538" i="16"/>
  <c r="L538" i="16"/>
  <c r="O537" i="16"/>
  <c r="N537" i="16"/>
  <c r="M537" i="16"/>
  <c r="Q537" i="16" s="1"/>
  <c r="L537" i="16"/>
  <c r="Q536" i="16"/>
  <c r="O536" i="16"/>
  <c r="N536" i="16"/>
  <c r="M536" i="16"/>
  <c r="L536" i="16"/>
  <c r="O535" i="16"/>
  <c r="N535" i="16"/>
  <c r="M535" i="16"/>
  <c r="Q535" i="16" s="1"/>
  <c r="L535" i="16"/>
  <c r="Q534" i="16"/>
  <c r="O534" i="16"/>
  <c r="N534" i="16"/>
  <c r="M534" i="16"/>
  <c r="L534" i="16"/>
  <c r="Q533" i="16"/>
  <c r="O533" i="16"/>
  <c r="N533" i="16"/>
  <c r="M533" i="16"/>
  <c r="L533" i="16"/>
  <c r="Q532" i="16"/>
  <c r="O532" i="16"/>
  <c r="N532" i="16"/>
  <c r="M532" i="16"/>
  <c r="L532" i="16"/>
  <c r="O531" i="16"/>
  <c r="N531" i="16"/>
  <c r="M531" i="16"/>
  <c r="Q531" i="16" s="1"/>
  <c r="L531" i="16"/>
  <c r="Q530" i="16"/>
  <c r="O530" i="16"/>
  <c r="N530" i="16"/>
  <c r="M530" i="16"/>
  <c r="L530" i="16"/>
  <c r="Q529" i="16"/>
  <c r="O529" i="16"/>
  <c r="N529" i="16"/>
  <c r="M529" i="16"/>
  <c r="L529" i="16"/>
  <c r="O528" i="16"/>
  <c r="N528" i="16"/>
  <c r="M528" i="16"/>
  <c r="Q528" i="16" s="1"/>
  <c r="L528" i="16"/>
  <c r="Q527" i="16"/>
  <c r="O527" i="16"/>
  <c r="N527" i="16"/>
  <c r="M527" i="16"/>
  <c r="L527" i="16"/>
  <c r="O526" i="16"/>
  <c r="N526" i="16"/>
  <c r="M526" i="16"/>
  <c r="Q526" i="16" s="1"/>
  <c r="L526" i="16"/>
  <c r="N519" i="16"/>
  <c r="M519" i="16"/>
  <c r="L519" i="16"/>
  <c r="H519" i="16"/>
  <c r="P518" i="16"/>
  <c r="Q518" i="16" s="1"/>
  <c r="N518" i="16"/>
  <c r="M518" i="16"/>
  <c r="L518" i="16"/>
  <c r="I518" i="16"/>
  <c r="H518" i="16"/>
  <c r="O518" i="16" s="1"/>
  <c r="Q517" i="16"/>
  <c r="P517" i="16"/>
  <c r="N517" i="16"/>
  <c r="M517" i="16"/>
  <c r="H517" i="16" s="1"/>
  <c r="O517" i="16" s="1"/>
  <c r="L517" i="16"/>
  <c r="I517" i="16"/>
  <c r="P516" i="16"/>
  <c r="Q516" i="16" s="1"/>
  <c r="N516" i="16"/>
  <c r="M516" i="16"/>
  <c r="L516" i="16"/>
  <c r="I516" i="16"/>
  <c r="H516" i="16"/>
  <c r="P515" i="16"/>
  <c r="Q515" i="16" s="1"/>
  <c r="O515" i="16"/>
  <c r="N515" i="16"/>
  <c r="M515" i="16"/>
  <c r="L515" i="16"/>
  <c r="I515" i="16"/>
  <c r="H515" i="16"/>
  <c r="P514" i="16"/>
  <c r="Q514" i="16" s="1"/>
  <c r="O514" i="16"/>
  <c r="N514" i="16"/>
  <c r="I514" i="16" s="1"/>
  <c r="M514" i="16"/>
  <c r="H514" i="16" s="1"/>
  <c r="L514" i="16"/>
  <c r="N513" i="16"/>
  <c r="M513" i="16"/>
  <c r="H513" i="16" s="1"/>
  <c r="L513" i="16"/>
  <c r="N512" i="16"/>
  <c r="P512" i="16" s="1"/>
  <c r="Q512" i="16" s="1"/>
  <c r="M512" i="16"/>
  <c r="L512" i="16"/>
  <c r="H512" i="16"/>
  <c r="P511" i="16"/>
  <c r="Q511" i="16" s="1"/>
  <c r="N511" i="16"/>
  <c r="I511" i="16" s="1"/>
  <c r="M511" i="16"/>
  <c r="H511" i="16" s="1"/>
  <c r="O511" i="16" s="1"/>
  <c r="L511" i="16"/>
  <c r="P510" i="16"/>
  <c r="Q510" i="16" s="1"/>
  <c r="N510" i="16"/>
  <c r="M510" i="16"/>
  <c r="H510" i="16" s="1"/>
  <c r="L510" i="16"/>
  <c r="I510" i="16"/>
  <c r="N509" i="16"/>
  <c r="M509" i="16"/>
  <c r="L509" i="16"/>
  <c r="H509" i="16"/>
  <c r="N508" i="16"/>
  <c r="I508" i="16" s="1"/>
  <c r="O508" i="16" s="1"/>
  <c r="M508" i="16"/>
  <c r="L508" i="16"/>
  <c r="H508" i="16"/>
  <c r="N507" i="16"/>
  <c r="M507" i="16"/>
  <c r="L507" i="16"/>
  <c r="H507" i="16"/>
  <c r="P506" i="16"/>
  <c r="Q506" i="16" s="1"/>
  <c r="N506" i="16"/>
  <c r="M506" i="16"/>
  <c r="L506" i="16"/>
  <c r="I506" i="16"/>
  <c r="H506" i="16"/>
  <c r="O506" i="16" s="1"/>
  <c r="P505" i="16"/>
  <c r="Q505" i="16" s="1"/>
  <c r="N505" i="16"/>
  <c r="M505" i="16"/>
  <c r="L505" i="16"/>
  <c r="I505" i="16"/>
  <c r="H505" i="16"/>
  <c r="O505" i="16" s="1"/>
  <c r="O504" i="16"/>
  <c r="N504" i="16"/>
  <c r="P504" i="16" s="1"/>
  <c r="M504" i="16"/>
  <c r="H504" i="16" s="1"/>
  <c r="L504" i="16"/>
  <c r="I504" i="16"/>
  <c r="N503" i="16"/>
  <c r="P503" i="16" s="1"/>
  <c r="Q503" i="16" s="1"/>
  <c r="M503" i="16"/>
  <c r="L503" i="16"/>
  <c r="H503" i="16"/>
  <c r="N502" i="16"/>
  <c r="P502" i="16" s="1"/>
  <c r="M502" i="16"/>
  <c r="L502" i="16"/>
  <c r="I502" i="16"/>
  <c r="H502" i="16"/>
  <c r="O502" i="16" s="1"/>
  <c r="N501" i="16"/>
  <c r="M501" i="16"/>
  <c r="L501" i="16"/>
  <c r="H501" i="16"/>
  <c r="O500" i="16"/>
  <c r="N500" i="16"/>
  <c r="I500" i="16" s="1"/>
  <c r="M500" i="16"/>
  <c r="H500" i="16" s="1"/>
  <c r="L500" i="16"/>
  <c r="N499" i="16"/>
  <c r="P499" i="16" s="1"/>
  <c r="Q499" i="16" s="1"/>
  <c r="M499" i="16"/>
  <c r="L499" i="16"/>
  <c r="H499" i="16"/>
  <c r="P498" i="16"/>
  <c r="Q498" i="16" s="1"/>
  <c r="N498" i="16"/>
  <c r="M498" i="16"/>
  <c r="H498" i="16" s="1"/>
  <c r="L498" i="16"/>
  <c r="I498" i="16"/>
  <c r="N497" i="16"/>
  <c r="M497" i="16"/>
  <c r="L497" i="16"/>
  <c r="H497" i="16"/>
  <c r="N496" i="16"/>
  <c r="P496" i="16" s="1"/>
  <c r="Q496" i="16" s="1"/>
  <c r="M496" i="16"/>
  <c r="H496" i="16" s="1"/>
  <c r="L496" i="16"/>
  <c r="N495" i="16"/>
  <c r="M495" i="16"/>
  <c r="H495" i="16" s="1"/>
  <c r="L495" i="16"/>
  <c r="P494" i="16"/>
  <c r="Q494" i="16" s="1"/>
  <c r="N494" i="16"/>
  <c r="M494" i="16"/>
  <c r="L494" i="16"/>
  <c r="I494" i="16"/>
  <c r="H494" i="16"/>
  <c r="O494" i="16" s="1"/>
  <c r="N493" i="16"/>
  <c r="P493" i="16" s="1"/>
  <c r="Q493" i="16" s="1"/>
  <c r="M493" i="16"/>
  <c r="L493" i="16"/>
  <c r="I493" i="16"/>
  <c r="H493" i="16"/>
  <c r="O493" i="16" s="1"/>
  <c r="O492" i="16"/>
  <c r="N492" i="16"/>
  <c r="P492" i="16" s="1"/>
  <c r="M492" i="16"/>
  <c r="H492" i="16" s="1"/>
  <c r="L492" i="16"/>
  <c r="I492" i="16"/>
  <c r="N491" i="16"/>
  <c r="P491" i="16" s="1"/>
  <c r="M491" i="16"/>
  <c r="H491" i="16" s="1"/>
  <c r="L491" i="16"/>
  <c r="I491" i="16"/>
  <c r="Q490" i="16"/>
  <c r="P490" i="16"/>
  <c r="N490" i="16"/>
  <c r="I490" i="16" s="1"/>
  <c r="M490" i="16"/>
  <c r="H490" i="16" s="1"/>
  <c r="L490" i="16"/>
  <c r="N489" i="16"/>
  <c r="M489" i="16"/>
  <c r="H489" i="16" s="1"/>
  <c r="L489" i="16"/>
  <c r="O488" i="16"/>
  <c r="N488" i="16"/>
  <c r="P488" i="16" s="1"/>
  <c r="Q488" i="16" s="1"/>
  <c r="M488" i="16"/>
  <c r="L488" i="16"/>
  <c r="I488" i="16"/>
  <c r="H488" i="16"/>
  <c r="P487" i="16"/>
  <c r="N487" i="16"/>
  <c r="M487" i="16"/>
  <c r="H487" i="16" s="1"/>
  <c r="O487" i="16" s="1"/>
  <c r="L487" i="16"/>
  <c r="I487" i="16"/>
  <c r="P486" i="16"/>
  <c r="Q486" i="16" s="1"/>
  <c r="N486" i="16"/>
  <c r="I486" i="16" s="1"/>
  <c r="M486" i="16"/>
  <c r="L486" i="16"/>
  <c r="H486" i="16"/>
  <c r="O486" i="16" s="1"/>
  <c r="N485" i="16"/>
  <c r="P485" i="16" s="1"/>
  <c r="Q485" i="16" s="1"/>
  <c r="M485" i="16"/>
  <c r="H485" i="16" s="1"/>
  <c r="L485" i="16"/>
  <c r="I485" i="16"/>
  <c r="N484" i="16"/>
  <c r="P484" i="16" s="1"/>
  <c r="Q484" i="16" s="1"/>
  <c r="M484" i="16"/>
  <c r="L484" i="16"/>
  <c r="H484" i="16"/>
  <c r="Q483" i="16"/>
  <c r="P483" i="16"/>
  <c r="N483" i="16"/>
  <c r="M483" i="16"/>
  <c r="L483" i="16"/>
  <c r="I483" i="16"/>
  <c r="H483" i="16"/>
  <c r="N482" i="16"/>
  <c r="M482" i="16"/>
  <c r="L482" i="16"/>
  <c r="H482" i="16"/>
  <c r="N481" i="16"/>
  <c r="P481" i="16" s="1"/>
  <c r="Q481" i="16" s="1"/>
  <c r="M481" i="16"/>
  <c r="H481" i="16" s="1"/>
  <c r="O481" i="16" s="1"/>
  <c r="L481" i="16"/>
  <c r="I481" i="16"/>
  <c r="N480" i="16"/>
  <c r="P480" i="16" s="1"/>
  <c r="M480" i="16"/>
  <c r="L480" i="16"/>
  <c r="I480" i="16"/>
  <c r="H480" i="16"/>
  <c r="O480" i="16" s="1"/>
  <c r="N479" i="16"/>
  <c r="I479" i="16" s="1"/>
  <c r="M479" i="16"/>
  <c r="H479" i="16" s="1"/>
  <c r="L479" i="16"/>
  <c r="N478" i="16"/>
  <c r="I478" i="16" s="1"/>
  <c r="M478" i="16"/>
  <c r="H478" i="16" s="1"/>
  <c r="O478" i="16" s="1"/>
  <c r="L478" i="16"/>
  <c r="N477" i="16"/>
  <c r="P477" i="16" s="1"/>
  <c r="Q477" i="16" s="1"/>
  <c r="M477" i="16"/>
  <c r="L477" i="16"/>
  <c r="H477" i="16"/>
  <c r="Q476" i="16"/>
  <c r="N476" i="16"/>
  <c r="P476" i="16" s="1"/>
  <c r="M476" i="16"/>
  <c r="H476" i="16" s="1"/>
  <c r="O476" i="16" s="1"/>
  <c r="L476" i="16"/>
  <c r="I476" i="16"/>
  <c r="P475" i="16"/>
  <c r="Q475" i="16" s="1"/>
  <c r="N475" i="16"/>
  <c r="I475" i="16" s="1"/>
  <c r="M475" i="16"/>
  <c r="L475" i="16"/>
  <c r="H475" i="16"/>
  <c r="O475" i="16" s="1"/>
  <c r="Q474" i="16"/>
  <c r="P474" i="16"/>
  <c r="N474" i="16"/>
  <c r="M474" i="16"/>
  <c r="L474" i="16"/>
  <c r="I474" i="16"/>
  <c r="O474" i="16" s="1"/>
  <c r="H474" i="16"/>
  <c r="N473" i="16"/>
  <c r="P473" i="16" s="1"/>
  <c r="Q473" i="16" s="1"/>
  <c r="M473" i="16"/>
  <c r="H473" i="16" s="1"/>
  <c r="L473" i="16"/>
  <c r="P472" i="16"/>
  <c r="Q472" i="16" s="1"/>
  <c r="N472" i="16"/>
  <c r="M472" i="16"/>
  <c r="L472" i="16"/>
  <c r="I472" i="16"/>
  <c r="H472" i="16"/>
  <c r="O472" i="16" s="1"/>
  <c r="P471" i="16"/>
  <c r="Q471" i="16" s="1"/>
  <c r="N471" i="16"/>
  <c r="M471" i="16"/>
  <c r="H471" i="16" s="1"/>
  <c r="L471" i="16"/>
  <c r="I471" i="16"/>
  <c r="N470" i="16"/>
  <c r="M470" i="16"/>
  <c r="L470" i="16"/>
  <c r="H470" i="16"/>
  <c r="N469" i="16"/>
  <c r="P469" i="16" s="1"/>
  <c r="Q469" i="16" s="1"/>
  <c r="M469" i="16"/>
  <c r="L469" i="16"/>
  <c r="H469" i="16"/>
  <c r="P468" i="16"/>
  <c r="Q468" i="16" s="1"/>
  <c r="N468" i="16"/>
  <c r="M468" i="16"/>
  <c r="L468" i="16"/>
  <c r="I468" i="16"/>
  <c r="H468" i="16"/>
  <c r="O468" i="16" s="1"/>
  <c r="N467" i="16"/>
  <c r="I467" i="16" s="1"/>
  <c r="M467" i="16"/>
  <c r="H467" i="16" s="1"/>
  <c r="O467" i="16" s="1"/>
  <c r="L467" i="16"/>
  <c r="N466" i="16"/>
  <c r="P466" i="16" s="1"/>
  <c r="Q466" i="16" s="1"/>
  <c r="M466" i="16"/>
  <c r="L466" i="16"/>
  <c r="I466" i="16"/>
  <c r="H466" i="16"/>
  <c r="N465" i="16"/>
  <c r="I465" i="16" s="1"/>
  <c r="O465" i="16" s="1"/>
  <c r="M465" i="16"/>
  <c r="L465" i="16"/>
  <c r="H465" i="16"/>
  <c r="N464" i="16"/>
  <c r="I464" i="16" s="1"/>
  <c r="M464" i="16"/>
  <c r="L464" i="16"/>
  <c r="H464" i="16"/>
  <c r="O464" i="16" s="1"/>
  <c r="N463" i="16"/>
  <c r="P463" i="16" s="1"/>
  <c r="M463" i="16"/>
  <c r="Q463" i="16" s="1"/>
  <c r="L463" i="16"/>
  <c r="I463" i="16"/>
  <c r="H463" i="16"/>
  <c r="O463" i="16" s="1"/>
  <c r="Q462" i="16"/>
  <c r="P462" i="16"/>
  <c r="O462" i="16"/>
  <c r="N462" i="16"/>
  <c r="M462" i="16"/>
  <c r="L462" i="16"/>
  <c r="I462" i="16"/>
  <c r="H462" i="16"/>
  <c r="P461" i="16"/>
  <c r="Q461" i="16" s="1"/>
  <c r="N461" i="16"/>
  <c r="M461" i="16"/>
  <c r="L461" i="16"/>
  <c r="I461" i="16"/>
  <c r="H461" i="16"/>
  <c r="N460" i="16"/>
  <c r="P460" i="16" s="1"/>
  <c r="Q460" i="16" s="1"/>
  <c r="M460" i="16"/>
  <c r="L460" i="16"/>
  <c r="H460" i="16"/>
  <c r="Q459" i="16"/>
  <c r="P459" i="16"/>
  <c r="N459" i="16"/>
  <c r="M459" i="16"/>
  <c r="H459" i="16" s="1"/>
  <c r="L459" i="16"/>
  <c r="I459" i="16"/>
  <c r="N458" i="16"/>
  <c r="P458" i="16" s="1"/>
  <c r="Q458" i="16" s="1"/>
  <c r="M458" i="16"/>
  <c r="L458" i="16"/>
  <c r="I458" i="16"/>
  <c r="H458" i="16"/>
  <c r="O458" i="16" s="1"/>
  <c r="N457" i="16"/>
  <c r="P457" i="16" s="1"/>
  <c r="Q457" i="16" s="1"/>
  <c r="M457" i="16"/>
  <c r="L457" i="16"/>
  <c r="H457" i="16"/>
  <c r="P456" i="16"/>
  <c r="Q456" i="16" s="1"/>
  <c r="O456" i="16"/>
  <c r="N456" i="16"/>
  <c r="I456" i="16" s="1"/>
  <c r="M456" i="16"/>
  <c r="H456" i="16" s="1"/>
  <c r="L456" i="16"/>
  <c r="P455" i="16"/>
  <c r="N455" i="16"/>
  <c r="M455" i="16"/>
  <c r="H455" i="16" s="1"/>
  <c r="O455" i="16" s="1"/>
  <c r="L455" i="16"/>
  <c r="I455" i="16"/>
  <c r="P454" i="16"/>
  <c r="Q454" i="16" s="1"/>
  <c r="N454" i="16"/>
  <c r="I454" i="16" s="1"/>
  <c r="M454" i="16"/>
  <c r="H454" i="16" s="1"/>
  <c r="O454" i="16" s="1"/>
  <c r="L454" i="16"/>
  <c r="N453" i="16"/>
  <c r="I453" i="16" s="1"/>
  <c r="M453" i="16"/>
  <c r="L453" i="16"/>
  <c r="H453" i="16"/>
  <c r="O453" i="16" s="1"/>
  <c r="N452" i="16"/>
  <c r="I452" i="16" s="1"/>
  <c r="M452" i="16"/>
  <c r="L452" i="16"/>
  <c r="H452" i="16"/>
  <c r="N451" i="16"/>
  <c r="P451" i="16" s="1"/>
  <c r="Q451" i="16" s="1"/>
  <c r="M451" i="16"/>
  <c r="H451" i="16" s="1"/>
  <c r="O451" i="16" s="1"/>
  <c r="L451" i="16"/>
  <c r="I451" i="16"/>
  <c r="P450" i="16"/>
  <c r="Q450" i="16" s="1"/>
  <c r="N450" i="16"/>
  <c r="M450" i="16"/>
  <c r="L450" i="16"/>
  <c r="I450" i="16"/>
  <c r="H450" i="16"/>
  <c r="O450" i="16" s="1"/>
  <c r="N449" i="16"/>
  <c r="M449" i="16"/>
  <c r="H449" i="16" s="1"/>
  <c r="O449" i="16" s="1"/>
  <c r="L449" i="16"/>
  <c r="I449" i="16"/>
  <c r="P448" i="16"/>
  <c r="N448" i="16"/>
  <c r="M448" i="16"/>
  <c r="L448" i="16"/>
  <c r="I448" i="16"/>
  <c r="H448" i="16"/>
  <c r="O448" i="16" s="1"/>
  <c r="N447" i="16"/>
  <c r="M447" i="16"/>
  <c r="L447" i="16"/>
  <c r="H447" i="16"/>
  <c r="P446" i="16"/>
  <c r="Q446" i="16" s="1"/>
  <c r="N446" i="16"/>
  <c r="M446" i="16"/>
  <c r="L446" i="16"/>
  <c r="I446" i="16"/>
  <c r="H446" i="16"/>
  <c r="N445" i="16"/>
  <c r="M445" i="16"/>
  <c r="H445" i="16" s="1"/>
  <c r="L445" i="16"/>
  <c r="N444" i="16"/>
  <c r="I444" i="16" s="1"/>
  <c r="M444" i="16"/>
  <c r="H444" i="16" s="1"/>
  <c r="O444" i="16" s="1"/>
  <c r="L444" i="16"/>
  <c r="Q443" i="16"/>
  <c r="P443" i="16"/>
  <c r="N443" i="16"/>
  <c r="M443" i="16"/>
  <c r="H443" i="16" s="1"/>
  <c r="O443" i="16" s="1"/>
  <c r="L443" i="16"/>
  <c r="I443" i="16"/>
  <c r="P442" i="16"/>
  <c r="Q442" i="16" s="1"/>
  <c r="N442" i="16"/>
  <c r="I442" i="16" s="1"/>
  <c r="M442" i="16"/>
  <c r="L442" i="16"/>
  <c r="H442" i="16"/>
  <c r="O441" i="16"/>
  <c r="N441" i="16"/>
  <c r="I441" i="16" s="1"/>
  <c r="M441" i="16"/>
  <c r="L441" i="16"/>
  <c r="H441" i="16"/>
  <c r="Q440" i="16"/>
  <c r="P440" i="16"/>
  <c r="N440" i="16"/>
  <c r="M440" i="16"/>
  <c r="L440" i="16"/>
  <c r="I440" i="16"/>
  <c r="H440" i="16"/>
  <c r="O440" i="16" s="1"/>
  <c r="Q439" i="16"/>
  <c r="P439" i="16"/>
  <c r="N439" i="16"/>
  <c r="M439" i="16"/>
  <c r="L439" i="16"/>
  <c r="I439" i="16"/>
  <c r="H439" i="16"/>
  <c r="O439" i="16" s="1"/>
  <c r="P438" i="16"/>
  <c r="Q438" i="16" s="1"/>
  <c r="N438" i="16"/>
  <c r="M438" i="16"/>
  <c r="L438" i="16"/>
  <c r="I438" i="16"/>
  <c r="H438" i="16"/>
  <c r="O438" i="16" s="1"/>
  <c r="Q437" i="16"/>
  <c r="O437" i="16"/>
  <c r="N437" i="16"/>
  <c r="P437" i="16" s="1"/>
  <c r="M437" i="16"/>
  <c r="L437" i="16"/>
  <c r="I437" i="16"/>
  <c r="H437" i="16"/>
  <c r="N436" i="16"/>
  <c r="P436" i="16" s="1"/>
  <c r="M436" i="16"/>
  <c r="L436" i="16"/>
  <c r="I436" i="16"/>
  <c r="H436" i="16"/>
  <c r="N435" i="16"/>
  <c r="I435" i="16" s="1"/>
  <c r="O435" i="16" s="1"/>
  <c r="M435" i="16"/>
  <c r="L435" i="16"/>
  <c r="H435" i="16"/>
  <c r="P434" i="16"/>
  <c r="Q434" i="16" s="1"/>
  <c r="N434" i="16"/>
  <c r="I434" i="16" s="1"/>
  <c r="M434" i="16"/>
  <c r="H434" i="16" s="1"/>
  <c r="O434" i="16" s="1"/>
  <c r="L434" i="16"/>
  <c r="N433" i="16"/>
  <c r="P433" i="16" s="1"/>
  <c r="Q433" i="16" s="1"/>
  <c r="M433" i="16"/>
  <c r="L433" i="16"/>
  <c r="I433" i="16"/>
  <c r="O433" i="16" s="1"/>
  <c r="H433" i="16"/>
  <c r="P432" i="16"/>
  <c r="Q432" i="16" s="1"/>
  <c r="O432" i="16"/>
  <c r="N432" i="16"/>
  <c r="I432" i="16" s="1"/>
  <c r="M432" i="16"/>
  <c r="H432" i="16" s="1"/>
  <c r="L432" i="16"/>
  <c r="Q431" i="16"/>
  <c r="P431" i="16"/>
  <c r="O431" i="16"/>
  <c r="N431" i="16"/>
  <c r="I431" i="16" s="1"/>
  <c r="M431" i="16"/>
  <c r="L431" i="16"/>
  <c r="H431" i="16"/>
  <c r="Q430" i="16"/>
  <c r="P430" i="16"/>
  <c r="N430" i="16"/>
  <c r="M430" i="16"/>
  <c r="L430" i="16"/>
  <c r="I430" i="16"/>
  <c r="H430" i="16"/>
  <c r="O430" i="16" s="1"/>
  <c r="O429" i="16"/>
  <c r="N429" i="16"/>
  <c r="I429" i="16" s="1"/>
  <c r="M429" i="16"/>
  <c r="L429" i="16"/>
  <c r="H429" i="16"/>
  <c r="Q428" i="16"/>
  <c r="P428" i="16"/>
  <c r="N428" i="16"/>
  <c r="M428" i="16"/>
  <c r="L428" i="16"/>
  <c r="I428" i="16"/>
  <c r="H428" i="16"/>
  <c r="Q427" i="16"/>
  <c r="P427" i="16"/>
  <c r="N427" i="16"/>
  <c r="M427" i="16"/>
  <c r="L427" i="16"/>
  <c r="I427" i="16"/>
  <c r="H427" i="16"/>
  <c r="O427" i="16" s="1"/>
  <c r="N426" i="16"/>
  <c r="P426" i="16" s="1"/>
  <c r="Q426" i="16" s="1"/>
  <c r="M426" i="16"/>
  <c r="L426" i="16"/>
  <c r="H426" i="16"/>
  <c r="N425" i="16"/>
  <c r="M425" i="16"/>
  <c r="L425" i="16"/>
  <c r="H425" i="16"/>
  <c r="P424" i="16"/>
  <c r="Q424" i="16" s="1"/>
  <c r="N424" i="16"/>
  <c r="M424" i="16"/>
  <c r="H424" i="16" s="1"/>
  <c r="O424" i="16" s="1"/>
  <c r="L424" i="16"/>
  <c r="I424" i="16"/>
  <c r="P423" i="16"/>
  <c r="Q423" i="16" s="1"/>
  <c r="N423" i="16"/>
  <c r="I423" i="16" s="1"/>
  <c r="M423" i="16"/>
  <c r="H423" i="16" s="1"/>
  <c r="O423" i="16" s="1"/>
  <c r="L423" i="16"/>
  <c r="O422" i="16"/>
  <c r="N422" i="16"/>
  <c r="P422" i="16" s="1"/>
  <c r="M422" i="16"/>
  <c r="H422" i="16" s="1"/>
  <c r="L422" i="16"/>
  <c r="I422" i="16"/>
  <c r="P421" i="16"/>
  <c r="Q421" i="16" s="1"/>
  <c r="N421" i="16"/>
  <c r="M421" i="16"/>
  <c r="L421" i="16"/>
  <c r="I421" i="16"/>
  <c r="H421" i="16"/>
  <c r="O421" i="16" s="1"/>
  <c r="O420" i="16"/>
  <c r="N420" i="16"/>
  <c r="I420" i="16" s="1"/>
  <c r="M420" i="16"/>
  <c r="L420" i="16"/>
  <c r="H420" i="16"/>
  <c r="O419" i="16"/>
  <c r="N419" i="16"/>
  <c r="I419" i="16" s="1"/>
  <c r="M419" i="16"/>
  <c r="L419" i="16"/>
  <c r="H419" i="16"/>
  <c r="Q418" i="16"/>
  <c r="P418" i="16"/>
  <c r="N418" i="16"/>
  <c r="M418" i="16"/>
  <c r="L418" i="16"/>
  <c r="I418" i="16"/>
  <c r="H418" i="16"/>
  <c r="O418" i="16" s="1"/>
  <c r="Q417" i="16"/>
  <c r="P417" i="16"/>
  <c r="N417" i="16"/>
  <c r="M417" i="16"/>
  <c r="L417" i="16"/>
  <c r="I417" i="16"/>
  <c r="H417" i="16"/>
  <c r="O417" i="16" s="1"/>
  <c r="P416" i="16"/>
  <c r="Q416" i="16" s="1"/>
  <c r="O416" i="16"/>
  <c r="N416" i="16"/>
  <c r="M416" i="16"/>
  <c r="L416" i="16"/>
  <c r="I416" i="16"/>
  <c r="H416" i="16"/>
  <c r="P415" i="16"/>
  <c r="Q415" i="16" s="1"/>
  <c r="N415" i="16"/>
  <c r="M415" i="16"/>
  <c r="L415" i="16"/>
  <c r="I415" i="16"/>
  <c r="H415" i="16"/>
  <c r="O415" i="16" s="1"/>
  <c r="N414" i="16"/>
  <c r="P414" i="16" s="1"/>
  <c r="Q414" i="16" s="1"/>
  <c r="M414" i="16"/>
  <c r="H414" i="16" s="1"/>
  <c r="L414" i="16"/>
  <c r="N413" i="16"/>
  <c r="I413" i="16" s="1"/>
  <c r="M413" i="16"/>
  <c r="L413" i="16"/>
  <c r="H413" i="16"/>
  <c r="O413" i="16" s="1"/>
  <c r="Q412" i="16"/>
  <c r="P412" i="16"/>
  <c r="N412" i="16"/>
  <c r="I412" i="16" s="1"/>
  <c r="M412" i="16"/>
  <c r="H412" i="16" s="1"/>
  <c r="O412" i="16" s="1"/>
  <c r="L412" i="16"/>
  <c r="P411" i="16"/>
  <c r="N411" i="16"/>
  <c r="M411" i="16"/>
  <c r="L411" i="16"/>
  <c r="I411" i="16"/>
  <c r="H411" i="16"/>
  <c r="O411" i="16" s="1"/>
  <c r="N410" i="16"/>
  <c r="P410" i="16" s="1"/>
  <c r="M410" i="16"/>
  <c r="H410" i="16" s="1"/>
  <c r="O410" i="16" s="1"/>
  <c r="L410" i="16"/>
  <c r="I410" i="16"/>
  <c r="N409" i="16"/>
  <c r="I409" i="16" s="1"/>
  <c r="O409" i="16" s="1"/>
  <c r="M409" i="16"/>
  <c r="L409" i="16"/>
  <c r="H409" i="16"/>
  <c r="P408" i="16"/>
  <c r="Q408" i="16" s="1"/>
  <c r="N408" i="16"/>
  <c r="M408" i="16"/>
  <c r="H408" i="16" s="1"/>
  <c r="O408" i="16" s="1"/>
  <c r="L408" i="16"/>
  <c r="I408" i="16"/>
  <c r="O407" i="16"/>
  <c r="N407" i="16"/>
  <c r="I407" i="16" s="1"/>
  <c r="M407" i="16"/>
  <c r="L407" i="16"/>
  <c r="H407" i="16"/>
  <c r="P406" i="16"/>
  <c r="Q406" i="16" s="1"/>
  <c r="N406" i="16"/>
  <c r="M406" i="16"/>
  <c r="L406" i="16"/>
  <c r="I406" i="16"/>
  <c r="H406" i="16"/>
  <c r="N405" i="16"/>
  <c r="I405" i="16" s="1"/>
  <c r="O405" i="16" s="1"/>
  <c r="M405" i="16"/>
  <c r="H405" i="16" s="1"/>
  <c r="L405" i="16"/>
  <c r="P404" i="16"/>
  <c r="Q404" i="16" s="1"/>
  <c r="N404" i="16"/>
  <c r="M404" i="16"/>
  <c r="H404" i="16" s="1"/>
  <c r="O404" i="16" s="1"/>
  <c r="L404" i="16"/>
  <c r="I404" i="16"/>
  <c r="N403" i="16"/>
  <c r="P403" i="16" s="1"/>
  <c r="Q403" i="16" s="1"/>
  <c r="M403" i="16"/>
  <c r="H403" i="16" s="1"/>
  <c r="O403" i="16" s="1"/>
  <c r="L403" i="16"/>
  <c r="I403" i="16"/>
  <c r="P402" i="16"/>
  <c r="Q402" i="16" s="1"/>
  <c r="O402" i="16"/>
  <c r="N402" i="16"/>
  <c r="M402" i="16"/>
  <c r="H402" i="16" s="1"/>
  <c r="L402" i="16"/>
  <c r="I402" i="16"/>
  <c r="O401" i="16"/>
  <c r="N401" i="16"/>
  <c r="I401" i="16" s="1"/>
  <c r="M401" i="16"/>
  <c r="H401" i="16" s="1"/>
  <c r="L401" i="16"/>
  <c r="N400" i="16"/>
  <c r="M400" i="16"/>
  <c r="H400" i="16" s="1"/>
  <c r="L400" i="16"/>
  <c r="N399" i="16"/>
  <c r="M399" i="16"/>
  <c r="L399" i="16"/>
  <c r="I399" i="16"/>
  <c r="H399" i="16"/>
  <c r="O399" i="16" s="1"/>
  <c r="N398" i="16"/>
  <c r="M398" i="16"/>
  <c r="L398" i="16"/>
  <c r="H398" i="16"/>
  <c r="P397" i="16"/>
  <c r="N397" i="16"/>
  <c r="M397" i="16"/>
  <c r="L397" i="16"/>
  <c r="I397" i="16"/>
  <c r="H397" i="16"/>
  <c r="O397" i="16" s="1"/>
  <c r="N396" i="16"/>
  <c r="P396" i="16" s="1"/>
  <c r="Q396" i="16" s="1"/>
  <c r="M396" i="16"/>
  <c r="H396" i="16" s="1"/>
  <c r="L396" i="16"/>
  <c r="P395" i="16"/>
  <c r="Q395" i="16" s="1"/>
  <c r="N395" i="16"/>
  <c r="M395" i="16"/>
  <c r="L395" i="16"/>
  <c r="I395" i="16"/>
  <c r="H395" i="16"/>
  <c r="N394" i="16"/>
  <c r="P394" i="16" s="1"/>
  <c r="Q394" i="16" s="1"/>
  <c r="M394" i="16"/>
  <c r="L394" i="16"/>
  <c r="I394" i="16"/>
  <c r="H394" i="16"/>
  <c r="O394" i="16" s="1"/>
  <c r="N393" i="16"/>
  <c r="I393" i="16" s="1"/>
  <c r="M393" i="16"/>
  <c r="H393" i="16" s="1"/>
  <c r="O393" i="16" s="1"/>
  <c r="L393" i="16"/>
  <c r="N392" i="16"/>
  <c r="M392" i="16"/>
  <c r="L392" i="16"/>
  <c r="H392" i="16"/>
  <c r="P391" i="16"/>
  <c r="Q391" i="16" s="1"/>
  <c r="N391" i="16"/>
  <c r="I391" i="16" s="1"/>
  <c r="M391" i="16"/>
  <c r="H391" i="16" s="1"/>
  <c r="L391" i="16"/>
  <c r="N390" i="16"/>
  <c r="I390" i="16" s="1"/>
  <c r="M390" i="16"/>
  <c r="H390" i="16" s="1"/>
  <c r="O390" i="16" s="1"/>
  <c r="L390" i="16"/>
  <c r="N389" i="16"/>
  <c r="M389" i="16"/>
  <c r="H389" i="16" s="1"/>
  <c r="O389" i="16" s="1"/>
  <c r="L389" i="16"/>
  <c r="I389" i="16"/>
  <c r="N388" i="16"/>
  <c r="M388" i="16"/>
  <c r="H388" i="16" s="1"/>
  <c r="L388" i="16"/>
  <c r="P387" i="16"/>
  <c r="Q387" i="16" s="1"/>
  <c r="O387" i="16"/>
  <c r="N387" i="16"/>
  <c r="I387" i="16" s="1"/>
  <c r="M387" i="16"/>
  <c r="L387" i="16"/>
  <c r="H387" i="16"/>
  <c r="N386" i="16"/>
  <c r="M386" i="16"/>
  <c r="H386" i="16" s="1"/>
  <c r="L386" i="16"/>
  <c r="N385" i="16"/>
  <c r="P385" i="16" s="1"/>
  <c r="Q385" i="16" s="1"/>
  <c r="M385" i="16"/>
  <c r="L385" i="16"/>
  <c r="H385" i="16"/>
  <c r="Q384" i="16"/>
  <c r="P384" i="16"/>
  <c r="N384" i="16"/>
  <c r="M384" i="16"/>
  <c r="L384" i="16"/>
  <c r="I384" i="16"/>
  <c r="H384" i="16"/>
  <c r="O383" i="16"/>
  <c r="N383" i="16"/>
  <c r="P383" i="16" s="1"/>
  <c r="M383" i="16"/>
  <c r="H383" i="16" s="1"/>
  <c r="L383" i="16"/>
  <c r="I383" i="16"/>
  <c r="Q382" i="16"/>
  <c r="P382" i="16"/>
  <c r="N382" i="16"/>
  <c r="M382" i="16"/>
  <c r="L382" i="16"/>
  <c r="I382" i="16"/>
  <c r="H382" i="16"/>
  <c r="O382" i="16" s="1"/>
  <c r="N381" i="16"/>
  <c r="P381" i="16" s="1"/>
  <c r="M381" i="16"/>
  <c r="H381" i="16" s="1"/>
  <c r="O381" i="16" s="1"/>
  <c r="L381" i="16"/>
  <c r="I381" i="16"/>
  <c r="N380" i="16"/>
  <c r="M380" i="16"/>
  <c r="H380" i="16" s="1"/>
  <c r="L380" i="16"/>
  <c r="N379" i="16"/>
  <c r="I379" i="16" s="1"/>
  <c r="M379" i="16"/>
  <c r="H379" i="16" s="1"/>
  <c r="O379" i="16" s="1"/>
  <c r="L379" i="16"/>
  <c r="P378" i="16"/>
  <c r="Q378" i="16" s="1"/>
  <c r="N378" i="16"/>
  <c r="M378" i="16"/>
  <c r="L378" i="16"/>
  <c r="I378" i="16"/>
  <c r="H378" i="16"/>
  <c r="O378" i="16" s="1"/>
  <c r="P377" i="16"/>
  <c r="Q377" i="16" s="1"/>
  <c r="N377" i="16"/>
  <c r="M377" i="16"/>
  <c r="H377" i="16" s="1"/>
  <c r="O377" i="16" s="1"/>
  <c r="L377" i="16"/>
  <c r="I377" i="16"/>
  <c r="N376" i="16"/>
  <c r="M376" i="16"/>
  <c r="L376" i="16"/>
  <c r="H376" i="16"/>
  <c r="N375" i="16"/>
  <c r="P375" i="16" s="1"/>
  <c r="Q375" i="16" s="1"/>
  <c r="M375" i="16"/>
  <c r="L375" i="16"/>
  <c r="H375" i="16"/>
  <c r="N374" i="16"/>
  <c r="M374" i="16"/>
  <c r="L374" i="16"/>
  <c r="H374" i="16"/>
  <c r="P373" i="16"/>
  <c r="Q373" i="16" s="1"/>
  <c r="N373" i="16"/>
  <c r="M373" i="16"/>
  <c r="L373" i="16"/>
  <c r="I373" i="16"/>
  <c r="H373" i="16"/>
  <c r="O373" i="16" s="1"/>
  <c r="N372" i="16"/>
  <c r="P372" i="16" s="1"/>
  <c r="Q372" i="16" s="1"/>
  <c r="M372" i="16"/>
  <c r="L372" i="16"/>
  <c r="I372" i="16"/>
  <c r="H372" i="16"/>
  <c r="O372" i="16" s="1"/>
  <c r="N371" i="16"/>
  <c r="P371" i="16" s="1"/>
  <c r="Q371" i="16" s="1"/>
  <c r="M371" i="16"/>
  <c r="H371" i="16" s="1"/>
  <c r="O371" i="16" s="1"/>
  <c r="L371" i="16"/>
  <c r="I371" i="16"/>
  <c r="N370" i="16"/>
  <c r="P370" i="16" s="1"/>
  <c r="M370" i="16"/>
  <c r="H370" i="16" s="1"/>
  <c r="L370" i="16"/>
  <c r="I370" i="16"/>
  <c r="N369" i="16"/>
  <c r="I369" i="16" s="1"/>
  <c r="O369" i="16" s="1"/>
  <c r="M369" i="16"/>
  <c r="L369" i="16"/>
  <c r="H369" i="16"/>
  <c r="N368" i="16"/>
  <c r="M368" i="16"/>
  <c r="H368" i="16" s="1"/>
  <c r="L368" i="16"/>
  <c r="N367" i="16"/>
  <c r="P367" i="16" s="1"/>
  <c r="M367" i="16"/>
  <c r="L367" i="16"/>
  <c r="I367" i="16"/>
  <c r="H367" i="16"/>
  <c r="O367" i="16" s="1"/>
  <c r="N366" i="16"/>
  <c r="P366" i="16" s="1"/>
  <c r="Q366" i="16" s="1"/>
  <c r="M366" i="16"/>
  <c r="H366" i="16" s="1"/>
  <c r="L366" i="16"/>
  <c r="Q365" i="16"/>
  <c r="P365" i="16"/>
  <c r="N365" i="16"/>
  <c r="I365" i="16" s="1"/>
  <c r="M365" i="16"/>
  <c r="L365" i="16"/>
  <c r="H365" i="16"/>
  <c r="O365" i="16" s="1"/>
  <c r="N364" i="16"/>
  <c r="P364" i="16" s="1"/>
  <c r="Q364" i="16" s="1"/>
  <c r="M364" i="16"/>
  <c r="H364" i="16" s="1"/>
  <c r="L364" i="16"/>
  <c r="P363" i="16"/>
  <c r="Q363" i="16" s="1"/>
  <c r="N363" i="16"/>
  <c r="M363" i="16"/>
  <c r="H363" i="16" s="1"/>
  <c r="O363" i="16" s="1"/>
  <c r="L363" i="16"/>
  <c r="I363" i="16"/>
  <c r="Q362" i="16"/>
  <c r="P362" i="16"/>
  <c r="N362" i="16"/>
  <c r="M362" i="16"/>
  <c r="L362" i="16"/>
  <c r="I362" i="16"/>
  <c r="H362" i="16"/>
  <c r="O361" i="16"/>
  <c r="N361" i="16"/>
  <c r="I361" i="16" s="1"/>
  <c r="M361" i="16"/>
  <c r="L361" i="16"/>
  <c r="H361" i="16"/>
  <c r="P360" i="16"/>
  <c r="Q360" i="16" s="1"/>
  <c r="N360" i="16"/>
  <c r="M360" i="16"/>
  <c r="H360" i="16" s="1"/>
  <c r="O360" i="16" s="1"/>
  <c r="L360" i="16"/>
  <c r="I360" i="16"/>
  <c r="N359" i="16"/>
  <c r="M359" i="16"/>
  <c r="L359" i="16"/>
  <c r="I359" i="16"/>
  <c r="H359" i="16"/>
  <c r="O359" i="16" s="1"/>
  <c r="N358" i="16"/>
  <c r="P358" i="16" s="1"/>
  <c r="Q358" i="16" s="1"/>
  <c r="M358" i="16"/>
  <c r="H358" i="16" s="1"/>
  <c r="O358" i="16" s="1"/>
  <c r="L358" i="16"/>
  <c r="I358" i="16"/>
  <c r="O357" i="16"/>
  <c r="N357" i="16"/>
  <c r="I357" i="16" s="1"/>
  <c r="M357" i="16"/>
  <c r="H357" i="16" s="1"/>
  <c r="L357" i="16"/>
  <c r="N356" i="16"/>
  <c r="P356" i="16" s="1"/>
  <c r="Q356" i="16" s="1"/>
  <c r="M356" i="16"/>
  <c r="L356" i="16"/>
  <c r="H356" i="16"/>
  <c r="Q355" i="16"/>
  <c r="N355" i="16"/>
  <c r="P355" i="16" s="1"/>
  <c r="M355" i="16"/>
  <c r="L355" i="16"/>
  <c r="I355" i="16"/>
  <c r="H355" i="16"/>
  <c r="O355" i="16" s="1"/>
  <c r="P354" i="16"/>
  <c r="Q354" i="16" s="1"/>
  <c r="O354" i="16"/>
  <c r="N354" i="16"/>
  <c r="I354" i="16" s="1"/>
  <c r="M354" i="16"/>
  <c r="L354" i="16"/>
  <c r="H354" i="16"/>
  <c r="P353" i="16"/>
  <c r="Q353" i="16" s="1"/>
  <c r="N353" i="16"/>
  <c r="M353" i="16"/>
  <c r="L353" i="16"/>
  <c r="I353" i="16"/>
  <c r="H353" i="16"/>
  <c r="O353" i="16" s="1"/>
  <c r="P352" i="16"/>
  <c r="Q352" i="16" s="1"/>
  <c r="O352" i="16"/>
  <c r="N352" i="16"/>
  <c r="M352" i="16"/>
  <c r="H352" i="16" s="1"/>
  <c r="L352" i="16"/>
  <c r="I352" i="16"/>
  <c r="Q351" i="16"/>
  <c r="P351" i="16"/>
  <c r="N351" i="16"/>
  <c r="M351" i="16"/>
  <c r="L351" i="16"/>
  <c r="I351" i="16"/>
  <c r="H351" i="16"/>
  <c r="O351" i="16" s="1"/>
  <c r="P350" i="16"/>
  <c r="Q350" i="16" s="1"/>
  <c r="N350" i="16"/>
  <c r="M350" i="16"/>
  <c r="H350" i="16" s="1"/>
  <c r="L350" i="16"/>
  <c r="I350" i="16"/>
  <c r="N349" i="16"/>
  <c r="I349" i="16" s="1"/>
  <c r="M349" i="16"/>
  <c r="H349" i="16" s="1"/>
  <c r="O349" i="16" s="1"/>
  <c r="L349" i="16"/>
  <c r="N348" i="16"/>
  <c r="P348" i="16" s="1"/>
  <c r="M348" i="16"/>
  <c r="L348" i="16"/>
  <c r="I348" i="16"/>
  <c r="H348" i="16"/>
  <c r="O348" i="16" s="1"/>
  <c r="Q347" i="16"/>
  <c r="P347" i="16"/>
  <c r="N347" i="16"/>
  <c r="M347" i="16"/>
  <c r="L347" i="16"/>
  <c r="I347" i="16"/>
  <c r="O347" i="16" s="1"/>
  <c r="H347" i="16"/>
  <c r="O346" i="16"/>
  <c r="N346" i="16"/>
  <c r="I346" i="16" s="1"/>
  <c r="M346" i="16"/>
  <c r="H346" i="16" s="1"/>
  <c r="L346" i="16"/>
  <c r="N345" i="16"/>
  <c r="I345" i="16" s="1"/>
  <c r="M345" i="16"/>
  <c r="L345" i="16"/>
  <c r="H345" i="16"/>
  <c r="N344" i="16"/>
  <c r="P344" i="16" s="1"/>
  <c r="Q344" i="16" s="1"/>
  <c r="M344" i="16"/>
  <c r="L344" i="16"/>
  <c r="H344" i="16"/>
  <c r="N343" i="16"/>
  <c r="M343" i="16"/>
  <c r="L343" i="16"/>
  <c r="H343" i="16"/>
  <c r="N342" i="16"/>
  <c r="P342" i="16" s="1"/>
  <c r="Q342" i="16" s="1"/>
  <c r="M342" i="16"/>
  <c r="H342" i="16" s="1"/>
  <c r="L342" i="16"/>
  <c r="N341" i="16"/>
  <c r="M341" i="16"/>
  <c r="L341" i="16"/>
  <c r="I341" i="16"/>
  <c r="H341" i="16"/>
  <c r="O341" i="16" s="1"/>
  <c r="P341" i="16" s="1"/>
  <c r="Q341" i="16" s="1"/>
  <c r="P340" i="16"/>
  <c r="Q340" i="16" s="1"/>
  <c r="N340" i="16"/>
  <c r="M340" i="16"/>
  <c r="L340" i="16"/>
  <c r="I340" i="16"/>
  <c r="H340" i="16"/>
  <c r="O340" i="16" s="1"/>
  <c r="N339" i="16"/>
  <c r="I339" i="16" s="1"/>
  <c r="M339" i="16"/>
  <c r="H339" i="16" s="1"/>
  <c r="L339" i="16"/>
  <c r="P338" i="16"/>
  <c r="Q338" i="16" s="1"/>
  <c r="N338" i="16"/>
  <c r="M338" i="16"/>
  <c r="H338" i="16" s="1"/>
  <c r="L338" i="16"/>
  <c r="I338" i="16"/>
  <c r="N337" i="16"/>
  <c r="P337" i="16" s="1"/>
  <c r="M337" i="16"/>
  <c r="L337" i="16"/>
  <c r="I337" i="16"/>
  <c r="H337" i="16"/>
  <c r="O337" i="16" s="1"/>
  <c r="N336" i="16"/>
  <c r="P336" i="16" s="1"/>
  <c r="Q336" i="16" s="1"/>
  <c r="M336" i="16"/>
  <c r="H336" i="16" s="1"/>
  <c r="L336" i="16"/>
  <c r="P335" i="16"/>
  <c r="Q335" i="16" s="1"/>
  <c r="O335" i="16"/>
  <c r="N335" i="16"/>
  <c r="I335" i="16" s="1"/>
  <c r="M335" i="16"/>
  <c r="H335" i="16" s="1"/>
  <c r="L335" i="16"/>
  <c r="P334" i="16"/>
  <c r="N334" i="16"/>
  <c r="M334" i="16"/>
  <c r="H334" i="16" s="1"/>
  <c r="O334" i="16" s="1"/>
  <c r="L334" i="16"/>
  <c r="I334" i="16"/>
  <c r="N333" i="16"/>
  <c r="P333" i="16" s="1"/>
  <c r="Q333" i="16" s="1"/>
  <c r="M333" i="16"/>
  <c r="L333" i="16"/>
  <c r="I333" i="16"/>
  <c r="H333" i="16"/>
  <c r="N332" i="16"/>
  <c r="I332" i="16" s="1"/>
  <c r="O332" i="16" s="1"/>
  <c r="M332" i="16"/>
  <c r="L332" i="16"/>
  <c r="H332" i="16"/>
  <c r="N331" i="16"/>
  <c r="M331" i="16"/>
  <c r="L331" i="16"/>
  <c r="I331" i="16"/>
  <c r="N330" i="16"/>
  <c r="P330" i="16" s="1"/>
  <c r="M330" i="16"/>
  <c r="Q330" i="16" s="1"/>
  <c r="L330" i="16"/>
  <c r="I330" i="16"/>
  <c r="H330" i="16"/>
  <c r="O330" i="16" s="1"/>
  <c r="Q329" i="16"/>
  <c r="P329" i="16"/>
  <c r="N329" i="16"/>
  <c r="M329" i="16"/>
  <c r="L329" i="16"/>
  <c r="I329" i="16"/>
  <c r="H329" i="16"/>
  <c r="O329" i="16" s="1"/>
  <c r="N328" i="16"/>
  <c r="P328" i="16" s="1"/>
  <c r="Q328" i="16" s="1"/>
  <c r="M328" i="16"/>
  <c r="L328" i="16"/>
  <c r="I328" i="16"/>
  <c r="H328" i="16"/>
  <c r="O328" i="16" s="1"/>
  <c r="N327" i="16"/>
  <c r="P327" i="16" s="1"/>
  <c r="Q327" i="16" s="1"/>
  <c r="M327" i="16"/>
  <c r="L327" i="16"/>
  <c r="H327" i="16"/>
  <c r="N326" i="16"/>
  <c r="M326" i="16"/>
  <c r="H326" i="16" s="1"/>
  <c r="L326" i="16"/>
  <c r="P325" i="16"/>
  <c r="Q325" i="16" s="1"/>
  <c r="N325" i="16"/>
  <c r="M325" i="16"/>
  <c r="L325" i="16"/>
  <c r="I325" i="16"/>
  <c r="H325" i="16"/>
  <c r="O325" i="16" s="1"/>
  <c r="N324" i="16"/>
  <c r="M324" i="16"/>
  <c r="H324" i="16" s="1"/>
  <c r="L324" i="16"/>
  <c r="P323" i="16"/>
  <c r="N323" i="16"/>
  <c r="I323" i="16" s="1"/>
  <c r="M323" i="16"/>
  <c r="H323" i="16" s="1"/>
  <c r="O323" i="16" s="1"/>
  <c r="L323" i="16"/>
  <c r="P322" i="16"/>
  <c r="Q322" i="16" s="1"/>
  <c r="N322" i="16"/>
  <c r="M322" i="16"/>
  <c r="H322" i="16" s="1"/>
  <c r="O322" i="16" s="1"/>
  <c r="L322" i="16"/>
  <c r="I322" i="16"/>
  <c r="N321" i="16"/>
  <c r="I321" i="16" s="1"/>
  <c r="M321" i="16"/>
  <c r="L321" i="16"/>
  <c r="H321" i="16"/>
  <c r="O321" i="16" s="1"/>
  <c r="N320" i="16"/>
  <c r="I320" i="16" s="1"/>
  <c r="M320" i="16"/>
  <c r="L320" i="16"/>
  <c r="H320" i="16"/>
  <c r="O320" i="16" s="1"/>
  <c r="N319" i="16"/>
  <c r="M319" i="16"/>
  <c r="H319" i="16" s="1"/>
  <c r="L319" i="16"/>
  <c r="Q318" i="16"/>
  <c r="P318" i="16"/>
  <c r="N318" i="16"/>
  <c r="M318" i="16"/>
  <c r="L318" i="16"/>
  <c r="I318" i="16"/>
  <c r="H318" i="16"/>
  <c r="N317" i="16"/>
  <c r="M317" i="16"/>
  <c r="L317" i="16"/>
  <c r="I317" i="16"/>
  <c r="H317" i="16"/>
  <c r="O317" i="16" s="1"/>
  <c r="P317" i="16" s="1"/>
  <c r="Q317" i="16" s="1"/>
  <c r="N316" i="16"/>
  <c r="P316" i="16" s="1"/>
  <c r="Q316" i="16" s="1"/>
  <c r="M316" i="16"/>
  <c r="H316" i="16" s="1"/>
  <c r="L316" i="16"/>
  <c r="N315" i="16"/>
  <c r="P315" i="16" s="1"/>
  <c r="M315" i="16"/>
  <c r="L315" i="16"/>
  <c r="I315" i="16"/>
  <c r="H315" i="16"/>
  <c r="O315" i="16" s="1"/>
  <c r="O314" i="16"/>
  <c r="N314" i="16"/>
  <c r="I314" i="16" s="1"/>
  <c r="M314" i="16"/>
  <c r="L314" i="16"/>
  <c r="H314" i="16"/>
  <c r="N313" i="16"/>
  <c r="I313" i="16" s="1"/>
  <c r="M313" i="16"/>
  <c r="H313" i="16" s="1"/>
  <c r="L313" i="16"/>
  <c r="Q312" i="16"/>
  <c r="P312" i="16"/>
  <c r="N312" i="16"/>
  <c r="M312" i="16"/>
  <c r="H312" i="16" s="1"/>
  <c r="O312" i="16" s="1"/>
  <c r="L312" i="16"/>
  <c r="I312" i="16"/>
  <c r="N311" i="16"/>
  <c r="I311" i="16" s="1"/>
  <c r="M311" i="16"/>
  <c r="H311" i="16" s="1"/>
  <c r="O311" i="16" s="1"/>
  <c r="L311" i="16"/>
  <c r="P310" i="16"/>
  <c r="Q310" i="16" s="1"/>
  <c r="N310" i="16"/>
  <c r="I310" i="16" s="1"/>
  <c r="M310" i="16"/>
  <c r="L310" i="16"/>
  <c r="H310" i="16"/>
  <c r="Q309" i="16"/>
  <c r="N309" i="16"/>
  <c r="P309" i="16" s="1"/>
  <c r="M309" i="16"/>
  <c r="L309" i="16"/>
  <c r="I309" i="16"/>
  <c r="Q308" i="16"/>
  <c r="P308" i="16"/>
  <c r="N308" i="16"/>
  <c r="M308" i="16"/>
  <c r="L308" i="16"/>
  <c r="I308" i="16"/>
  <c r="H308" i="16"/>
  <c r="O308" i="16" s="1"/>
  <c r="P300" i="16"/>
  <c r="Q300" i="16" s="1"/>
  <c r="N300" i="16"/>
  <c r="J300" i="16" s="1"/>
  <c r="M300" i="16"/>
  <c r="L300" i="16"/>
  <c r="I300" i="16"/>
  <c r="H300" i="16"/>
  <c r="O300" i="16" s="1"/>
  <c r="N299" i="16"/>
  <c r="I299" i="16" s="1"/>
  <c r="M299" i="16"/>
  <c r="H299" i="16" s="1"/>
  <c r="L299" i="16"/>
  <c r="P298" i="16"/>
  <c r="Q298" i="16" s="1"/>
  <c r="N298" i="16"/>
  <c r="M298" i="16"/>
  <c r="H298" i="16" s="1"/>
  <c r="O298" i="16" s="1"/>
  <c r="L298" i="16"/>
  <c r="J298" i="16"/>
  <c r="I298" i="16"/>
  <c r="N297" i="16"/>
  <c r="P297" i="16" s="1"/>
  <c r="Q297" i="16" s="1"/>
  <c r="M297" i="16"/>
  <c r="L297" i="16"/>
  <c r="J297" i="16"/>
  <c r="I297" i="16"/>
  <c r="O297" i="16" s="1"/>
  <c r="H297" i="16"/>
  <c r="P296" i="16"/>
  <c r="Q296" i="16" s="1"/>
  <c r="N296" i="16"/>
  <c r="M296" i="16"/>
  <c r="L296" i="16"/>
  <c r="J296" i="16"/>
  <c r="I296" i="16"/>
  <c r="H296" i="16"/>
  <c r="O296" i="16" s="1"/>
  <c r="P295" i="16"/>
  <c r="Q295" i="16" s="1"/>
  <c r="N295" i="16"/>
  <c r="M295" i="16"/>
  <c r="L295" i="16"/>
  <c r="J295" i="16"/>
  <c r="I295" i="16"/>
  <c r="H295" i="16"/>
  <c r="O295" i="16" s="1"/>
  <c r="N294" i="16"/>
  <c r="M294" i="16"/>
  <c r="L294" i="16"/>
  <c r="H294" i="16"/>
  <c r="N293" i="16"/>
  <c r="P293" i="16" s="1"/>
  <c r="Q293" i="16" s="1"/>
  <c r="M293" i="16"/>
  <c r="L293" i="16"/>
  <c r="J293" i="16"/>
  <c r="H293" i="16"/>
  <c r="P292" i="16"/>
  <c r="Q292" i="16" s="1"/>
  <c r="N292" i="16"/>
  <c r="M292" i="16"/>
  <c r="H292" i="16" s="1"/>
  <c r="O292" i="16" s="1"/>
  <c r="L292" i="16"/>
  <c r="J292" i="16"/>
  <c r="I292" i="16"/>
  <c r="N291" i="16"/>
  <c r="I291" i="16" s="1"/>
  <c r="M291" i="16"/>
  <c r="H291" i="16" s="1"/>
  <c r="L291" i="16"/>
  <c r="N290" i="16"/>
  <c r="P290" i="16" s="1"/>
  <c r="Q290" i="16" s="1"/>
  <c r="M290" i="16"/>
  <c r="L290" i="16"/>
  <c r="J290" i="16"/>
  <c r="I290" i="16"/>
  <c r="H290" i="16"/>
  <c r="O290" i="16" s="1"/>
  <c r="N289" i="16"/>
  <c r="J289" i="16" s="1"/>
  <c r="M289" i="16"/>
  <c r="L289" i="16"/>
  <c r="H289" i="16"/>
  <c r="Q288" i="16"/>
  <c r="N288" i="16"/>
  <c r="P288" i="16" s="1"/>
  <c r="M288" i="16"/>
  <c r="H288" i="16" s="1"/>
  <c r="L288" i="16"/>
  <c r="J288" i="16"/>
  <c r="N287" i="16"/>
  <c r="P287" i="16" s="1"/>
  <c r="Q287" i="16" s="1"/>
  <c r="M287" i="16"/>
  <c r="L287" i="16"/>
  <c r="J287" i="16"/>
  <c r="H287" i="16"/>
  <c r="N286" i="16"/>
  <c r="P286" i="16" s="1"/>
  <c r="M286" i="16"/>
  <c r="L286" i="16"/>
  <c r="I286" i="16"/>
  <c r="H286" i="16"/>
  <c r="Q285" i="16"/>
  <c r="P285" i="16"/>
  <c r="N285" i="16"/>
  <c r="M285" i="16"/>
  <c r="H285" i="16" s="1"/>
  <c r="O285" i="16" s="1"/>
  <c r="L285" i="16"/>
  <c r="J285" i="16"/>
  <c r="I285" i="16"/>
  <c r="N284" i="16"/>
  <c r="P284" i="16" s="1"/>
  <c r="Q284" i="16" s="1"/>
  <c r="M284" i="16"/>
  <c r="L284" i="16"/>
  <c r="H284" i="16"/>
  <c r="N283" i="16"/>
  <c r="I283" i="16" s="1"/>
  <c r="M283" i="16"/>
  <c r="H283" i="16" s="1"/>
  <c r="L283" i="16"/>
  <c r="P282" i="16"/>
  <c r="Q282" i="16" s="1"/>
  <c r="N282" i="16"/>
  <c r="I282" i="16" s="1"/>
  <c r="M282" i="16"/>
  <c r="H282" i="16" s="1"/>
  <c r="O282" i="16" s="1"/>
  <c r="L282" i="16"/>
  <c r="J282" i="16"/>
  <c r="P281" i="16"/>
  <c r="Q281" i="16" s="1"/>
  <c r="N281" i="16"/>
  <c r="M281" i="16"/>
  <c r="L281" i="16"/>
  <c r="J281" i="16"/>
  <c r="I281" i="16"/>
  <c r="H281" i="16"/>
  <c r="O281" i="16" s="1"/>
  <c r="N280" i="16"/>
  <c r="P280" i="16" s="1"/>
  <c r="Q280" i="16" s="1"/>
  <c r="M280" i="16"/>
  <c r="H280" i="16" s="1"/>
  <c r="L280" i="16"/>
  <c r="P279" i="16"/>
  <c r="Q279" i="16" s="1"/>
  <c r="N279" i="16"/>
  <c r="M279" i="16"/>
  <c r="L279" i="16"/>
  <c r="J279" i="16"/>
  <c r="I279" i="16"/>
  <c r="O279" i="16" s="1"/>
  <c r="H279" i="16"/>
  <c r="P278" i="16"/>
  <c r="Q278" i="16" s="1"/>
  <c r="N278" i="16"/>
  <c r="J278" i="16" s="1"/>
  <c r="M278" i="16"/>
  <c r="L278" i="16"/>
  <c r="I278" i="16"/>
  <c r="H278" i="16"/>
  <c r="O278" i="16" s="1"/>
  <c r="N277" i="16"/>
  <c r="I277" i="16" s="1"/>
  <c r="M277" i="16"/>
  <c r="H277" i="16" s="1"/>
  <c r="L277" i="16"/>
  <c r="N276" i="16"/>
  <c r="P276" i="16" s="1"/>
  <c r="Q276" i="16" s="1"/>
  <c r="M276" i="16"/>
  <c r="H276" i="16" s="1"/>
  <c r="O276" i="16" s="1"/>
  <c r="L276" i="16"/>
  <c r="K276" i="16"/>
  <c r="J276" i="16"/>
  <c r="I276" i="16"/>
  <c r="P275" i="16"/>
  <c r="N275" i="16"/>
  <c r="M275" i="16"/>
  <c r="H275" i="16" s="1"/>
  <c r="O275" i="16" s="1"/>
  <c r="L275" i="16"/>
  <c r="J275" i="16"/>
  <c r="I275" i="16"/>
  <c r="N274" i="16"/>
  <c r="P274" i="16" s="1"/>
  <c r="Q274" i="16" s="1"/>
  <c r="M274" i="16"/>
  <c r="L274" i="16"/>
  <c r="K274" i="16"/>
  <c r="H274" i="16"/>
  <c r="Q273" i="16"/>
  <c r="P273" i="16"/>
  <c r="N273" i="16"/>
  <c r="M273" i="16"/>
  <c r="H273" i="16" s="1"/>
  <c r="O273" i="16" s="1"/>
  <c r="L273" i="16"/>
  <c r="J273" i="16"/>
  <c r="I273" i="16"/>
  <c r="P272" i="16"/>
  <c r="Q272" i="16" s="1"/>
  <c r="N272" i="16"/>
  <c r="J272" i="16" s="1"/>
  <c r="M272" i="16"/>
  <c r="L272" i="16"/>
  <c r="K272" i="16"/>
  <c r="H272" i="16"/>
  <c r="N271" i="16"/>
  <c r="J271" i="16" s="1"/>
  <c r="M271" i="16"/>
  <c r="H271" i="16" s="1"/>
  <c r="L271" i="16"/>
  <c r="K70" i="16"/>
  <c r="K71" i="16" s="1"/>
  <c r="K72" i="16" s="1"/>
  <c r="K73" i="16" s="1"/>
  <c r="K74" i="16" s="1"/>
  <c r="K75" i="16" s="1"/>
  <c r="K76" i="16" s="1"/>
  <c r="K77" i="16" s="1"/>
  <c r="K78" i="16" s="1"/>
  <c r="K79" i="16" s="1"/>
  <c r="K80" i="16" s="1"/>
  <c r="K81" i="16" s="1"/>
  <c r="K82" i="16" s="1"/>
  <c r="K83" i="16" s="1"/>
  <c r="K84" i="16" s="1"/>
  <c r="K85" i="16" s="1"/>
  <c r="K86" i="16" s="1"/>
  <c r="K87" i="16" s="1"/>
  <c r="K88" i="16" s="1"/>
  <c r="K89" i="16" s="1"/>
  <c r="K90" i="16" s="1"/>
  <c r="K91" i="16" s="1"/>
  <c r="K92" i="16" s="1"/>
  <c r="K93" i="16" s="1"/>
  <c r="K94" i="16" s="1"/>
  <c r="K95" i="16" s="1"/>
  <c r="K96" i="16" s="1"/>
  <c r="K97" i="16" s="1"/>
  <c r="K98" i="16" s="1"/>
  <c r="K99" i="16" s="1"/>
  <c r="K100" i="16" s="1"/>
  <c r="K101" i="16" s="1"/>
  <c r="K102" i="16" s="1"/>
  <c r="K103" i="16" s="1"/>
  <c r="K104" i="16" s="1"/>
  <c r="K105" i="16" s="1"/>
  <c r="K106" i="16" s="1"/>
  <c r="K107" i="16" s="1"/>
  <c r="K108" i="16" s="1"/>
  <c r="K109" i="16" s="1"/>
  <c r="K110" i="16" s="1"/>
  <c r="K111" i="16" s="1"/>
  <c r="K112" i="16" s="1"/>
  <c r="K113" i="16" s="1"/>
  <c r="K114" i="16" s="1"/>
  <c r="K115" i="16" s="1"/>
  <c r="K116" i="16" s="1"/>
  <c r="K117" i="16" s="1"/>
  <c r="K118" i="16" s="1"/>
  <c r="K119" i="16" s="1"/>
  <c r="K120" i="16" s="1"/>
  <c r="K121" i="16" s="1"/>
  <c r="K122" i="16" s="1"/>
  <c r="K123" i="16" s="1"/>
  <c r="K124" i="16" s="1"/>
  <c r="K125" i="16" s="1"/>
  <c r="K126" i="16" s="1"/>
  <c r="K127" i="16" s="1"/>
  <c r="K128" i="16" s="1"/>
  <c r="K129" i="16" s="1"/>
  <c r="K130" i="16" s="1"/>
  <c r="K131" i="16" s="1"/>
  <c r="K132" i="16" s="1"/>
  <c r="K133" i="16" s="1"/>
  <c r="K134" i="16" s="1"/>
  <c r="K135" i="16" s="1"/>
  <c r="K136" i="16" s="1"/>
  <c r="K137" i="16" s="1"/>
  <c r="K138" i="16" s="1"/>
  <c r="K139" i="16" s="1"/>
  <c r="K140" i="16" s="1"/>
  <c r="K141" i="16" s="1"/>
  <c r="K142" i="16" s="1"/>
  <c r="K143" i="16" s="1"/>
  <c r="K144" i="16" s="1"/>
  <c r="K145" i="16" s="1"/>
  <c r="K146" i="16" s="1"/>
  <c r="K147" i="16" s="1"/>
  <c r="K148" i="16" s="1"/>
  <c r="K149" i="16" s="1"/>
  <c r="K150" i="16" s="1"/>
  <c r="K151" i="16" s="1"/>
  <c r="K152" i="16" s="1"/>
  <c r="K153" i="16" s="1"/>
  <c r="K154" i="16" s="1"/>
  <c r="K155" i="16" s="1"/>
  <c r="K156" i="16" s="1"/>
  <c r="K157" i="16" s="1"/>
  <c r="K158" i="16" s="1"/>
  <c r="K159" i="16" s="1"/>
  <c r="K160" i="16" s="1"/>
  <c r="K161" i="16" s="1"/>
  <c r="K162" i="16" s="1"/>
  <c r="K163" i="16" s="1"/>
  <c r="K164" i="16" s="1"/>
  <c r="K165" i="16" s="1"/>
  <c r="K166" i="16" s="1"/>
  <c r="K167" i="16" s="1"/>
  <c r="K168" i="16" s="1"/>
  <c r="K169" i="16" s="1"/>
  <c r="K170" i="16" s="1"/>
  <c r="K171" i="16" s="1"/>
  <c r="K172" i="16" s="1"/>
  <c r="K173" i="16" s="1"/>
  <c r="K174" i="16" s="1"/>
  <c r="K175" i="16" s="1"/>
  <c r="K176" i="16" s="1"/>
  <c r="K177" i="16" s="1"/>
  <c r="K178" i="16" s="1"/>
  <c r="K179" i="16" s="1"/>
  <c r="K180" i="16" s="1"/>
  <c r="K181" i="16" s="1"/>
  <c r="K182" i="16" s="1"/>
  <c r="K183" i="16" s="1"/>
  <c r="K184" i="16" s="1"/>
  <c r="K185" i="16" s="1"/>
  <c r="K186" i="16" s="1"/>
  <c r="K187" i="16" s="1"/>
  <c r="K188" i="16" s="1"/>
  <c r="K189" i="16" s="1"/>
  <c r="K190" i="16" s="1"/>
  <c r="K191" i="16" s="1"/>
  <c r="K192" i="16" s="1"/>
  <c r="K193" i="16" s="1"/>
  <c r="K194" i="16" s="1"/>
  <c r="K195" i="16" s="1"/>
  <c r="K196" i="16" s="1"/>
  <c r="K197" i="16" s="1"/>
  <c r="K198" i="16" s="1"/>
  <c r="K199" i="16" s="1"/>
  <c r="K200" i="16" s="1"/>
  <c r="K201" i="16" s="1"/>
  <c r="K202" i="16" s="1"/>
  <c r="K203" i="16" s="1"/>
  <c r="K204" i="16" s="1"/>
  <c r="K205" i="16" s="1"/>
  <c r="K206" i="16" s="1"/>
  <c r="K207" i="16" s="1"/>
  <c r="K208" i="16" s="1"/>
  <c r="K209" i="16" s="1"/>
  <c r="K210" i="16" s="1"/>
  <c r="K211" i="16" s="1"/>
  <c r="K212" i="16" s="1"/>
  <c r="K213" i="16" s="1"/>
  <c r="K214" i="16" s="1"/>
  <c r="K215" i="16" s="1"/>
  <c r="K216" i="16" s="1"/>
  <c r="K217" i="16" s="1"/>
  <c r="K218" i="16" s="1"/>
  <c r="K219" i="16" s="1"/>
  <c r="K220" i="16" s="1"/>
  <c r="K221" i="16" s="1"/>
  <c r="K222" i="16" s="1"/>
  <c r="K223" i="16" s="1"/>
  <c r="K224" i="16" s="1"/>
  <c r="K225" i="16" s="1"/>
  <c r="K226" i="16" s="1"/>
  <c r="K227" i="16" s="1"/>
  <c r="K228" i="16" s="1"/>
  <c r="K229" i="16" s="1"/>
  <c r="K230" i="16" s="1"/>
  <c r="K231" i="16" s="1"/>
  <c r="K232" i="16" s="1"/>
  <c r="K233" i="16" s="1"/>
  <c r="K234" i="16" s="1"/>
  <c r="K235" i="16" s="1"/>
  <c r="K236" i="16" s="1"/>
  <c r="K237" i="16" s="1"/>
  <c r="K238" i="16" s="1"/>
  <c r="K239" i="16" s="1"/>
  <c r="K240" i="16" s="1"/>
  <c r="K241" i="16" s="1"/>
  <c r="K242" i="16" s="1"/>
  <c r="K243" i="16" s="1"/>
  <c r="K244" i="16" s="1"/>
  <c r="K245" i="16" s="1"/>
  <c r="K246" i="16" s="1"/>
  <c r="K247" i="16" s="1"/>
  <c r="K248" i="16" s="1"/>
  <c r="K249" i="16" s="1"/>
  <c r="K250" i="16" s="1"/>
  <c r="K251" i="16" s="1"/>
  <c r="K252" i="16" s="1"/>
  <c r="K253" i="16" s="1"/>
  <c r="K254" i="16" s="1"/>
  <c r="K255" i="16" s="1"/>
  <c r="K256" i="16" s="1"/>
  <c r="K257" i="16" s="1"/>
  <c r="K37" i="16"/>
  <c r="K38" i="16" s="1"/>
  <c r="K39" i="16" s="1"/>
  <c r="K40" i="16" s="1"/>
  <c r="K41" i="16" s="1"/>
  <c r="K42" i="16" s="1"/>
  <c r="K43" i="16" s="1"/>
  <c r="K44" i="16" s="1"/>
  <c r="K45" i="16" s="1"/>
  <c r="K46" i="16" s="1"/>
  <c r="K47" i="16" s="1"/>
  <c r="K48" i="16" s="1"/>
  <c r="K49" i="16" s="1"/>
  <c r="K50" i="16" s="1"/>
  <c r="K51" i="16" s="1"/>
  <c r="K52" i="16" s="1"/>
  <c r="K53" i="16" s="1"/>
  <c r="K54" i="16" s="1"/>
  <c r="K55" i="16" s="1"/>
  <c r="K56" i="16" s="1"/>
  <c r="K57" i="16" s="1"/>
  <c r="K58" i="16" s="1"/>
  <c r="K59" i="16" s="1"/>
  <c r="K60" i="16" s="1"/>
  <c r="K61" i="16" s="1"/>
  <c r="K62" i="16" s="1"/>
  <c r="K63" i="16" s="1"/>
  <c r="K64" i="16" s="1"/>
  <c r="K36" i="16"/>
  <c r="K7" i="16"/>
  <c r="K8" i="16" s="1"/>
  <c r="K9" i="16" s="1"/>
  <c r="K10" i="16" s="1"/>
  <c r="K11" i="16" s="1"/>
  <c r="K12" i="16" s="1"/>
  <c r="K13" i="16" s="1"/>
  <c r="K14" i="16" s="1"/>
  <c r="K15" i="16" s="1"/>
  <c r="K16" i="16" s="1"/>
  <c r="K17" i="16" s="1"/>
  <c r="K18" i="16" s="1"/>
  <c r="K19" i="16" s="1"/>
  <c r="K20" i="16" s="1"/>
  <c r="K21" i="16" s="1"/>
  <c r="K22" i="16" s="1"/>
  <c r="K23" i="16" s="1"/>
  <c r="K24" i="16" s="1"/>
  <c r="K25" i="16" s="1"/>
  <c r="K26" i="16" s="1"/>
  <c r="K27" i="16" s="1"/>
  <c r="K28" i="16" s="1"/>
  <c r="K29" i="16" s="1"/>
  <c r="K6" i="16"/>
  <c r="L50" i="15"/>
  <c r="K50" i="15"/>
  <c r="I50" i="15"/>
  <c r="H50" i="15"/>
  <c r="L49" i="15"/>
  <c r="I49" i="15"/>
  <c r="H49" i="15"/>
  <c r="L48" i="15"/>
  <c r="I48" i="15"/>
  <c r="K48" i="15" s="1"/>
  <c r="H48" i="15"/>
  <c r="L47" i="15"/>
  <c r="I47" i="15"/>
  <c r="K47" i="15" s="1"/>
  <c r="H47" i="15"/>
  <c r="I46" i="15"/>
  <c r="H46" i="15"/>
  <c r="I45" i="15"/>
  <c r="H45" i="15"/>
  <c r="L44" i="15"/>
  <c r="I44" i="15"/>
  <c r="H44" i="15"/>
  <c r="I43" i="15"/>
  <c r="H43" i="15"/>
  <c r="I42" i="15"/>
  <c r="H42" i="15"/>
  <c r="I41" i="15"/>
  <c r="H41" i="15"/>
  <c r="I40" i="15"/>
  <c r="H40" i="15"/>
  <c r="I39" i="15"/>
  <c r="H39" i="15"/>
  <c r="K49" i="15" s="1"/>
  <c r="I38" i="15"/>
  <c r="H38" i="15"/>
  <c r="I37" i="15"/>
  <c r="H37" i="15"/>
  <c r="I36" i="15"/>
  <c r="H36" i="15"/>
  <c r="I35" i="15"/>
  <c r="H35" i="15"/>
  <c r="I34" i="15"/>
  <c r="H34" i="15"/>
  <c r="I33" i="15"/>
  <c r="H33" i="15"/>
  <c r="I32" i="15"/>
  <c r="H32" i="15"/>
  <c r="I31" i="15"/>
  <c r="H31" i="15"/>
  <c r="I30" i="15"/>
  <c r="H30" i="15"/>
  <c r="I29" i="15"/>
  <c r="H29" i="15"/>
  <c r="I28" i="15"/>
  <c r="H28" i="15"/>
  <c r="I27" i="15"/>
  <c r="H27" i="15"/>
  <c r="I26" i="15"/>
  <c r="H26" i="15"/>
  <c r="I25" i="15"/>
  <c r="H25" i="15"/>
  <c r="I24" i="15"/>
  <c r="H24" i="15"/>
  <c r="I23" i="15"/>
  <c r="H23" i="15"/>
  <c r="K44" i="15" s="1"/>
  <c r="I22" i="15"/>
  <c r="H22" i="15"/>
  <c r="I21" i="15"/>
  <c r="H21" i="15"/>
  <c r="I20" i="15"/>
  <c r="H20" i="15"/>
  <c r="I19" i="15"/>
  <c r="H19" i="15"/>
  <c r="I18" i="15"/>
  <c r="H18" i="15"/>
  <c r="I17" i="15"/>
  <c r="H17" i="15"/>
  <c r="I16" i="15"/>
  <c r="H16" i="15"/>
  <c r="I15" i="15"/>
  <c r="H15" i="15"/>
  <c r="I14" i="15"/>
  <c r="H14" i="15"/>
  <c r="I13" i="15"/>
  <c r="H13" i="15"/>
  <c r="I12" i="15"/>
  <c r="H12" i="15"/>
  <c r="I11" i="15"/>
  <c r="H11" i="15"/>
  <c r="H10" i="15"/>
  <c r="G10" i="15"/>
  <c r="I10" i="15" s="1"/>
  <c r="I9" i="15"/>
  <c r="E9" i="15"/>
  <c r="H9" i="15" s="1"/>
  <c r="I8" i="15"/>
  <c r="E8" i="15"/>
  <c r="L10" i="15" s="1"/>
  <c r="I7" i="15"/>
  <c r="H7" i="15"/>
  <c r="I6" i="15"/>
  <c r="H6" i="15"/>
  <c r="I5" i="15"/>
  <c r="I51" i="15" s="1"/>
  <c r="H5" i="15"/>
  <c r="E36" i="14"/>
  <c r="H51" i="13"/>
  <c r="G42" i="13"/>
  <c r="G51" i="13" s="1"/>
  <c r="E27" i="13"/>
  <c r="E26" i="13"/>
  <c r="E25" i="13"/>
  <c r="E24" i="13"/>
  <c r="E22" i="13"/>
  <c r="E15" i="13"/>
  <c r="E11" i="13"/>
  <c r="E51" i="13" s="1"/>
  <c r="N89" i="12" a="1"/>
  <c r="N89" i="12" s="1"/>
  <c r="L89" i="12" a="1"/>
  <c r="L89" i="12" s="1"/>
  <c r="J89" i="12" a="1"/>
  <c r="J89" i="12" s="1"/>
  <c r="I89" i="12" a="1"/>
  <c r="I89" i="12" s="1"/>
  <c r="H89" i="12" a="1"/>
  <c r="H89" i="12" s="1"/>
  <c r="G89" i="12" a="1"/>
  <c r="G89" i="12" s="1"/>
  <c r="F89" i="12" a="1"/>
  <c r="F89" i="12" s="1"/>
  <c r="E89" i="12" a="1"/>
  <c r="E89" i="12"/>
  <c r="D89" i="12" a="1"/>
  <c r="D89" i="12" s="1"/>
  <c r="N87" i="12" a="1"/>
  <c r="N87" i="12" s="1"/>
  <c r="L87" i="12" a="1"/>
  <c r="L87" i="12" s="1"/>
  <c r="J87" i="12" a="1"/>
  <c r="J87" i="12"/>
  <c r="I87" i="12" a="1"/>
  <c r="I87" i="12"/>
  <c r="H87" i="12" a="1"/>
  <c r="H87" i="12"/>
  <c r="G87" i="12" a="1"/>
  <c r="G87" i="12" s="1"/>
  <c r="F87" i="12" a="1"/>
  <c r="F87" i="12"/>
  <c r="E87" i="12" a="1"/>
  <c r="E87" i="12" s="1"/>
  <c r="D87" i="12" a="1"/>
  <c r="D87" i="12" s="1"/>
  <c r="N86" i="12" a="1"/>
  <c r="N86" i="12"/>
  <c r="L86" i="12" a="1"/>
  <c r="L86" i="12" s="1"/>
  <c r="J86" i="12" a="1"/>
  <c r="J86" i="12" s="1"/>
  <c r="I86" i="12" a="1"/>
  <c r="I86" i="12" s="1"/>
  <c r="H86" i="12" a="1"/>
  <c r="H86" i="12"/>
  <c r="G86" i="12" a="1"/>
  <c r="G86" i="12"/>
  <c r="F86" i="12" a="1"/>
  <c r="F86" i="12" s="1"/>
  <c r="E86" i="12" a="1"/>
  <c r="E86" i="12" s="1"/>
  <c r="D86" i="12" a="1"/>
  <c r="D86" i="12"/>
  <c r="N85" i="12" a="1"/>
  <c r="N85" i="12" s="1"/>
  <c r="L85" i="12" a="1"/>
  <c r="L85" i="12" s="1"/>
  <c r="J85" i="12" a="1"/>
  <c r="J85" i="12" s="1"/>
  <c r="I85" i="12" a="1"/>
  <c r="I85" i="12" s="1"/>
  <c r="H85" i="12" a="1"/>
  <c r="H85" i="12" s="1"/>
  <c r="G85" i="12" a="1"/>
  <c r="G85" i="12" s="1"/>
  <c r="F85" i="12" a="1"/>
  <c r="F85" i="12"/>
  <c r="E85" i="12" a="1"/>
  <c r="E85" i="12"/>
  <c r="D85" i="12" a="1"/>
  <c r="D85" i="12" s="1"/>
  <c r="N84" i="12" a="1"/>
  <c r="N84" i="12" s="1"/>
  <c r="L84" i="12" a="1"/>
  <c r="L84" i="12" s="1"/>
  <c r="J84" i="12" a="1"/>
  <c r="J84" i="12" s="1"/>
  <c r="I84" i="12" a="1"/>
  <c r="I84" i="12" s="1"/>
  <c r="H84" i="12" a="1"/>
  <c r="H84" i="12" s="1"/>
  <c r="G84" i="12" a="1"/>
  <c r="G84" i="12" s="1"/>
  <c r="F84" i="12" a="1"/>
  <c r="F84" i="12" s="1"/>
  <c r="E84" i="12" a="1"/>
  <c r="E84" i="12" s="1"/>
  <c r="D84" i="12" a="1"/>
  <c r="D84" i="12"/>
  <c r="N83" i="12" a="1"/>
  <c r="N83" i="12"/>
  <c r="L83" i="12" a="1"/>
  <c r="L83" i="12"/>
  <c r="J83" i="12" a="1"/>
  <c r="J83" i="12" s="1"/>
  <c r="I83" i="12" a="1"/>
  <c r="I83" i="12" s="1"/>
  <c r="H83" i="12" a="1"/>
  <c r="H83" i="12" s="1"/>
  <c r="G83" i="12" a="1"/>
  <c r="G83" i="12" s="1"/>
  <c r="F83" i="12" a="1"/>
  <c r="F83" i="12" s="1"/>
  <c r="E83" i="12" a="1"/>
  <c r="E83" i="12" s="1"/>
  <c r="D83" i="12" a="1"/>
  <c r="D83" i="12" s="1"/>
  <c r="N82" i="12" a="1"/>
  <c r="N82" i="12" s="1"/>
  <c r="L82" i="12" a="1"/>
  <c r="L82" i="12"/>
  <c r="J82" i="12" a="1"/>
  <c r="J82" i="12"/>
  <c r="I82" i="12" a="1"/>
  <c r="I82" i="12" s="1"/>
  <c r="H82" i="12" a="1"/>
  <c r="H82" i="12" s="1"/>
  <c r="G82" i="12" a="1"/>
  <c r="G82" i="12" s="1"/>
  <c r="F82" i="12" a="1"/>
  <c r="F82" i="12" s="1"/>
  <c r="E82" i="12" a="1"/>
  <c r="E82" i="12" s="1"/>
  <c r="D82" i="12" a="1"/>
  <c r="D82" i="12" s="1"/>
  <c r="N81" i="12" a="1"/>
  <c r="N81" i="12" s="1"/>
  <c r="L81" i="12" a="1"/>
  <c r="L81" i="12" s="1"/>
  <c r="J81" i="12" a="1"/>
  <c r="J81" i="12" s="1"/>
  <c r="I81" i="12" a="1"/>
  <c r="I81" i="12"/>
  <c r="H81" i="12" a="1"/>
  <c r="H81" i="12"/>
  <c r="G81" i="12" a="1"/>
  <c r="G81" i="12" s="1"/>
  <c r="F81" i="12" a="1"/>
  <c r="F81" i="12" s="1"/>
  <c r="E81" i="12" a="1"/>
  <c r="E81" i="12"/>
  <c r="D81" i="12" a="1"/>
  <c r="D81" i="12" s="1"/>
  <c r="N80" i="12" a="1"/>
  <c r="N80" i="12" s="1"/>
  <c r="L80" i="12" a="1"/>
  <c r="L80" i="12" s="1"/>
  <c r="J80" i="12" a="1"/>
  <c r="J80" i="12" s="1"/>
  <c r="I80" i="12" a="1"/>
  <c r="I80" i="12" s="1"/>
  <c r="H80" i="12" a="1"/>
  <c r="H80" i="12" s="1"/>
  <c r="G80" i="12" a="1"/>
  <c r="G80" i="12" s="1"/>
  <c r="F80" i="12" a="1"/>
  <c r="F80" i="12"/>
  <c r="E80" i="12" a="1"/>
  <c r="E80" i="12"/>
  <c r="D80" i="12" a="1"/>
  <c r="D80" i="12" s="1"/>
  <c r="N79" i="12" a="1"/>
  <c r="N79" i="12" s="1"/>
  <c r="L79" i="12" a="1"/>
  <c r="L79" i="12" s="1"/>
  <c r="J79" i="12" a="1"/>
  <c r="J79" i="12" s="1"/>
  <c r="I79" i="12" a="1"/>
  <c r="I79" i="12" s="1"/>
  <c r="H79" i="12" a="1"/>
  <c r="H79" i="12" s="1"/>
  <c r="G79" i="12" a="1"/>
  <c r="G79" i="12" s="1"/>
  <c r="F79" i="12" a="1"/>
  <c r="F79" i="12" s="1"/>
  <c r="E79" i="12" a="1"/>
  <c r="E79" i="12" s="1"/>
  <c r="D79" i="12" a="1"/>
  <c r="D79" i="12"/>
  <c r="N78" i="12" a="1"/>
  <c r="N78" i="12" s="1"/>
  <c r="L78" i="12" a="1"/>
  <c r="L78" i="12" s="1"/>
  <c r="J78" i="12" a="1"/>
  <c r="J78" i="12"/>
  <c r="I78" i="12" a="1"/>
  <c r="I78" i="12" s="1"/>
  <c r="H78" i="12" a="1"/>
  <c r="H78" i="12" s="1"/>
  <c r="G78" i="12" a="1"/>
  <c r="G78" i="12" s="1"/>
  <c r="F78" i="12" a="1"/>
  <c r="F78" i="12" s="1"/>
  <c r="E78" i="12" a="1"/>
  <c r="E78" i="12" s="1"/>
  <c r="D78" i="12" a="1"/>
  <c r="D78" i="12" s="1"/>
  <c r="N77" i="12" a="1"/>
  <c r="N77" i="12" s="1"/>
  <c r="L77" i="12" a="1"/>
  <c r="L77" i="12"/>
  <c r="J77" i="12" a="1"/>
  <c r="J77" i="12"/>
  <c r="I77" i="12" a="1"/>
  <c r="I77" i="12" s="1"/>
  <c r="H77" i="12" a="1"/>
  <c r="H77" i="12"/>
  <c r="G77" i="12" a="1"/>
  <c r="G77" i="12" s="1"/>
  <c r="F77" i="12" a="1"/>
  <c r="F77" i="12" s="1"/>
  <c r="E77" i="12" a="1"/>
  <c r="E77" i="12" s="1"/>
  <c r="D77" i="12" a="1"/>
  <c r="D77" i="12" s="1"/>
  <c r="N76" i="12" a="1"/>
  <c r="N76" i="12" s="1"/>
  <c r="L76" i="12" a="1"/>
  <c r="L76" i="12" s="1"/>
  <c r="J76" i="12" a="1"/>
  <c r="J76" i="12" s="1"/>
  <c r="I76" i="12" a="1"/>
  <c r="I76" i="12"/>
  <c r="H76" i="12" a="1"/>
  <c r="H76" i="12" s="1"/>
  <c r="G76" i="12" a="1"/>
  <c r="G76" i="12" s="1"/>
  <c r="F76" i="12" a="1"/>
  <c r="F76" i="12" s="1"/>
  <c r="E76" i="12" a="1"/>
  <c r="E76" i="12" s="1"/>
  <c r="D76" i="12" a="1"/>
  <c r="D76" i="12" s="1"/>
  <c r="N75" i="12" a="1"/>
  <c r="N75" i="12" s="1"/>
  <c r="L75" i="12" a="1"/>
  <c r="L75" i="12" s="1"/>
  <c r="J75" i="12" a="1"/>
  <c r="J75" i="12" s="1"/>
  <c r="I75" i="12" a="1"/>
  <c r="I75" i="12" s="1"/>
  <c r="H75" i="12" a="1"/>
  <c r="H75" i="12" s="1"/>
  <c r="G75" i="12" a="1"/>
  <c r="G75" i="12"/>
  <c r="F75" i="12" a="1"/>
  <c r="F75" i="12" s="1"/>
  <c r="E75" i="12" a="1"/>
  <c r="E75" i="12" s="1"/>
  <c r="D75" i="12" a="1"/>
  <c r="D75" i="12" s="1"/>
  <c r="N74" i="12" a="1"/>
  <c r="N74" i="12" s="1"/>
  <c r="L74" i="12" a="1"/>
  <c r="L74" i="12" s="1"/>
  <c r="J74" i="12" a="1"/>
  <c r="J74" i="12" s="1"/>
  <c r="I74" i="12" a="1"/>
  <c r="I74" i="12" s="1"/>
  <c r="H74" i="12" a="1"/>
  <c r="H74" i="12" s="1"/>
  <c r="G74" i="12" a="1"/>
  <c r="G74" i="12" s="1"/>
  <c r="F74" i="12" a="1"/>
  <c r="F74" i="12" s="1"/>
  <c r="E74" i="12" a="1"/>
  <c r="E74" i="12"/>
  <c r="D74" i="12" a="1"/>
  <c r="D74" i="12"/>
  <c r="N73" i="12" a="1"/>
  <c r="N73" i="12" s="1"/>
  <c r="L73" i="12" a="1"/>
  <c r="L73" i="12" s="1"/>
  <c r="J73" i="12" a="1"/>
  <c r="J73" i="12" s="1"/>
  <c r="I73" i="12" a="1"/>
  <c r="I73" i="12" s="1"/>
  <c r="H73" i="12" a="1"/>
  <c r="H73" i="12" s="1"/>
  <c r="G73" i="12" a="1"/>
  <c r="G73" i="12" s="1"/>
  <c r="F73" i="12" a="1"/>
  <c r="F73" i="12" s="1"/>
  <c r="E73" i="12" a="1"/>
  <c r="E73" i="12" s="1"/>
  <c r="D73" i="12" a="1"/>
  <c r="D73" i="12" s="1"/>
  <c r="N72" i="12" a="1"/>
  <c r="N72" i="12"/>
  <c r="L72" i="12" a="1"/>
  <c r="L72" i="12" s="1"/>
  <c r="J72" i="12" a="1"/>
  <c r="J72" i="12" s="1"/>
  <c r="I72" i="12" a="1"/>
  <c r="I72" i="12"/>
  <c r="H72" i="12" a="1"/>
  <c r="H72" i="12" s="1"/>
  <c r="G72" i="12" a="1"/>
  <c r="G72" i="12" s="1"/>
  <c r="F72" i="12" a="1"/>
  <c r="F72" i="12" s="1"/>
  <c r="E72" i="12" a="1"/>
  <c r="E72" i="12" s="1"/>
  <c r="D72" i="12" a="1"/>
  <c r="D72" i="12" s="1"/>
  <c r="N71" i="12" a="1"/>
  <c r="N71" i="12" s="1"/>
  <c r="L71" i="12" a="1"/>
  <c r="L71" i="12" s="1"/>
  <c r="J71" i="12" a="1"/>
  <c r="J71" i="12"/>
  <c r="I71" i="12" a="1"/>
  <c r="I71" i="12" s="1"/>
  <c r="H71" i="12" a="1"/>
  <c r="H71" i="12" s="1"/>
  <c r="G71" i="12" a="1"/>
  <c r="G71" i="12"/>
  <c r="F71" i="12" a="1"/>
  <c r="F71" i="12" s="1"/>
  <c r="E71" i="12" a="1"/>
  <c r="E71" i="12" s="1"/>
  <c r="D71" i="12" a="1"/>
  <c r="D71" i="12" s="1"/>
  <c r="N70" i="12" a="1"/>
  <c r="N70" i="12" s="1"/>
  <c r="L70" i="12" a="1"/>
  <c r="L70" i="12" s="1"/>
  <c r="J70" i="12" a="1"/>
  <c r="J70" i="12" s="1"/>
  <c r="I70" i="12" a="1"/>
  <c r="I70" i="12" s="1"/>
  <c r="H70" i="12" a="1"/>
  <c r="H70" i="12"/>
  <c r="G70" i="12" a="1"/>
  <c r="G70" i="12" s="1"/>
  <c r="F70" i="12" a="1"/>
  <c r="F70" i="12" s="1"/>
  <c r="E70" i="12" a="1"/>
  <c r="E70" i="12"/>
  <c r="D70" i="12" a="1"/>
  <c r="D70" i="12" s="1"/>
  <c r="N69" i="12" a="1"/>
  <c r="N69" i="12" s="1"/>
  <c r="L69" i="12" a="1"/>
  <c r="L69" i="12" s="1"/>
  <c r="J69" i="12" a="1"/>
  <c r="J69" i="12" s="1"/>
  <c r="I69" i="12" a="1"/>
  <c r="I69" i="12" s="1"/>
  <c r="H69" i="12" a="1"/>
  <c r="H69" i="12" s="1"/>
  <c r="G69" i="12" a="1"/>
  <c r="G69" i="12" s="1"/>
  <c r="F69" i="12" a="1"/>
  <c r="F69" i="12"/>
  <c r="E69" i="12" a="1"/>
  <c r="E69" i="12" s="1"/>
  <c r="D69" i="12" a="1"/>
  <c r="D69" i="12" s="1"/>
  <c r="S68" i="12"/>
  <c r="N68" i="12" a="1"/>
  <c r="N68" i="12" s="1"/>
  <c r="L68" i="12" a="1"/>
  <c r="L68" i="12"/>
  <c r="J68" i="12" a="1"/>
  <c r="J68" i="12"/>
  <c r="I68" i="12" a="1"/>
  <c r="I68" i="12"/>
  <c r="H68" i="12" a="1"/>
  <c r="H68" i="12"/>
  <c r="G68" i="12" a="1"/>
  <c r="G68" i="12"/>
  <c r="F68" i="12" a="1"/>
  <c r="F68" i="12"/>
  <c r="E68" i="12" a="1"/>
  <c r="E68" i="12"/>
  <c r="D68" i="12" a="1"/>
  <c r="D68" i="12" s="1"/>
  <c r="N67" i="12" a="1"/>
  <c r="N67" i="12" s="1"/>
  <c r="L67" i="12" a="1"/>
  <c r="L67" i="12"/>
  <c r="J67" i="12" a="1"/>
  <c r="J67" i="12" s="1"/>
  <c r="I67" i="12" a="1"/>
  <c r="I67" i="12"/>
  <c r="H67" i="12" a="1"/>
  <c r="H67" i="12"/>
  <c r="G67" i="12" a="1"/>
  <c r="G67" i="12"/>
  <c r="F67" i="12" a="1"/>
  <c r="F67" i="12"/>
  <c r="E67" i="12" a="1"/>
  <c r="E67" i="12"/>
  <c r="D67" i="12" a="1"/>
  <c r="D67" i="12"/>
  <c r="N66" i="12" a="1"/>
  <c r="N66" i="12"/>
  <c r="L66" i="12" a="1"/>
  <c r="L66" i="12" s="1"/>
  <c r="J66" i="12" a="1"/>
  <c r="J66" i="12" s="1"/>
  <c r="I66" i="12" a="1"/>
  <c r="I66" i="12"/>
  <c r="H66" i="12" a="1"/>
  <c r="H66" i="12" s="1"/>
  <c r="G66" i="12" a="1"/>
  <c r="G66" i="12"/>
  <c r="F66" i="12" a="1"/>
  <c r="F66" i="12"/>
  <c r="E66" i="12" a="1"/>
  <c r="E66" i="12"/>
  <c r="D66" i="12" a="1"/>
  <c r="D66" i="12"/>
  <c r="S65" i="12"/>
  <c r="N65" i="12" a="1"/>
  <c r="N65" i="12" s="1"/>
  <c r="L65" i="12" a="1"/>
  <c r="L65" i="12" s="1"/>
  <c r="J65" i="12" a="1"/>
  <c r="J65" i="12"/>
  <c r="I65" i="12" a="1"/>
  <c r="I65" i="12"/>
  <c r="H65" i="12" a="1"/>
  <c r="H65" i="12" s="1"/>
  <c r="G65" i="12" a="1"/>
  <c r="G65" i="12" s="1"/>
  <c r="F65" i="12" a="1"/>
  <c r="F65" i="12" s="1"/>
  <c r="E65" i="12" a="1"/>
  <c r="E65" i="12" s="1"/>
  <c r="D65" i="12" a="1"/>
  <c r="D65" i="12" s="1"/>
  <c r="S64" i="12"/>
  <c r="N64" i="12" a="1"/>
  <c r="N64" i="12"/>
  <c r="L64" i="12" a="1"/>
  <c r="L64" i="12"/>
  <c r="J64" i="12" a="1"/>
  <c r="J64" i="12"/>
  <c r="I64" i="12" a="1"/>
  <c r="I64" i="12"/>
  <c r="H64" i="12" a="1"/>
  <c r="H64" i="12" s="1"/>
  <c r="G64" i="12" a="1"/>
  <c r="G64" i="12" s="1"/>
  <c r="F64" i="12" a="1"/>
  <c r="F64" i="12"/>
  <c r="E64" i="12" a="1"/>
  <c r="E64" i="12" s="1"/>
  <c r="D64" i="12" a="1"/>
  <c r="D64" i="12"/>
  <c r="N63" i="12" a="1"/>
  <c r="N63" i="12"/>
  <c r="L63" i="12" a="1"/>
  <c r="L63" i="12"/>
  <c r="J63" i="12" a="1"/>
  <c r="J63" i="12"/>
  <c r="I63" i="12" a="1"/>
  <c r="I63" i="12"/>
  <c r="H63" i="12" a="1"/>
  <c r="H63" i="12"/>
  <c r="G63" i="12" a="1"/>
  <c r="G63" i="12"/>
  <c r="F63" i="12" a="1"/>
  <c r="F63" i="12" s="1"/>
  <c r="E63" i="12" a="1"/>
  <c r="E63" i="12" s="1"/>
  <c r="D63" i="12" a="1"/>
  <c r="D63" i="12"/>
  <c r="N62" i="12" a="1"/>
  <c r="N62" i="12" s="1"/>
  <c r="L62" i="12" a="1"/>
  <c r="L62" i="12"/>
  <c r="J62" i="12" a="1"/>
  <c r="J62" i="12"/>
  <c r="I62" i="12" a="1"/>
  <c r="I62" i="12"/>
  <c r="H62" i="12" a="1"/>
  <c r="H62" i="12"/>
  <c r="G62" i="12" a="1"/>
  <c r="G62" i="12"/>
  <c r="F62" i="12" a="1"/>
  <c r="F62" i="12"/>
  <c r="E62" i="12" a="1"/>
  <c r="E62" i="12"/>
  <c r="D62" i="12" a="1"/>
  <c r="D62" i="12" s="1"/>
  <c r="S61" i="12"/>
  <c r="N61" i="12" a="1"/>
  <c r="N61" i="12" s="1"/>
  <c r="L61" i="12" a="1"/>
  <c r="L61" i="12" s="1"/>
  <c r="J61" i="12" a="1"/>
  <c r="J61" i="12" s="1"/>
  <c r="I61" i="12" a="1"/>
  <c r="I61" i="12" s="1"/>
  <c r="H61" i="12" a="1"/>
  <c r="H61" i="12" s="1"/>
  <c r="G61" i="12" a="1"/>
  <c r="G61" i="12" s="1"/>
  <c r="F61" i="12" a="1"/>
  <c r="F61" i="12" s="1"/>
  <c r="E61" i="12" a="1"/>
  <c r="E61" i="12" s="1"/>
  <c r="D61" i="12" a="1"/>
  <c r="D61" i="12" s="1"/>
  <c r="S60" i="12"/>
  <c r="N60" i="12" a="1"/>
  <c r="N60" i="12"/>
  <c r="L60" i="12" a="1"/>
  <c r="L60" i="12" s="1"/>
  <c r="J60" i="12" a="1"/>
  <c r="J60" i="12"/>
  <c r="I60" i="12" a="1"/>
  <c r="I60" i="12"/>
  <c r="H60" i="12" a="1"/>
  <c r="H60" i="12"/>
  <c r="G60" i="12" a="1"/>
  <c r="G60" i="12"/>
  <c r="F60" i="12" a="1"/>
  <c r="F60" i="12"/>
  <c r="E60" i="12" a="1"/>
  <c r="E60" i="12"/>
  <c r="D60" i="12" a="1"/>
  <c r="D60" i="12"/>
  <c r="N59" i="12" a="1"/>
  <c r="N59" i="12"/>
  <c r="L59" i="12" a="1"/>
  <c r="L59" i="12"/>
  <c r="J59" i="12" a="1"/>
  <c r="J59" i="12"/>
  <c r="I59" i="12" a="1"/>
  <c r="I59" i="12" s="1"/>
  <c r="H59" i="12" a="1"/>
  <c r="H59" i="12"/>
  <c r="G59" i="12" a="1"/>
  <c r="G59" i="12"/>
  <c r="F59" i="12" a="1"/>
  <c r="F59" i="12"/>
  <c r="E59" i="12" a="1"/>
  <c r="E59" i="12"/>
  <c r="D59" i="12" a="1"/>
  <c r="D59" i="12"/>
  <c r="N58" i="12" a="1"/>
  <c r="N58" i="12"/>
  <c r="L58" i="12" a="1"/>
  <c r="L58" i="12"/>
  <c r="J58" i="12" a="1"/>
  <c r="J58" i="12"/>
  <c r="I58" i="12" a="1"/>
  <c r="I58" i="12" s="1"/>
  <c r="H58" i="12" a="1"/>
  <c r="H58" i="12"/>
  <c r="G58" i="12" a="1"/>
  <c r="G58" i="12" s="1"/>
  <c r="F58" i="12" a="1"/>
  <c r="F58" i="12"/>
  <c r="E58" i="12" a="1"/>
  <c r="E58" i="12"/>
  <c r="D58" i="12" a="1"/>
  <c r="D58" i="12"/>
  <c r="N57" i="12" a="1"/>
  <c r="N57" i="12"/>
  <c r="L57" i="12" a="1"/>
  <c r="L57" i="12"/>
  <c r="J57" i="12" a="1"/>
  <c r="J57" i="12" s="1"/>
  <c r="I57" i="12" a="1"/>
  <c r="I57" i="12"/>
  <c r="H57" i="12" a="1"/>
  <c r="H57" i="12"/>
  <c r="G57" i="12" a="1"/>
  <c r="G57" i="12" s="1"/>
  <c r="F57" i="12" a="1"/>
  <c r="F57" i="12" s="1"/>
  <c r="E57" i="12" a="1"/>
  <c r="E57" i="12"/>
  <c r="D57" i="12" a="1"/>
  <c r="D57" i="12"/>
  <c r="N56" i="12" a="1"/>
  <c r="N56" i="12" s="1"/>
  <c r="L56" i="12" a="1"/>
  <c r="L56" i="12"/>
  <c r="J56" i="12" a="1"/>
  <c r="J56" i="12"/>
  <c r="I56" i="12" a="1"/>
  <c r="I56" i="12"/>
  <c r="H56" i="12" a="1"/>
  <c r="H56" i="12" s="1"/>
  <c r="G56" i="12" a="1"/>
  <c r="G56" i="12"/>
  <c r="F56" i="12" a="1"/>
  <c r="F56" i="12"/>
  <c r="E56" i="12" a="1"/>
  <c r="E56" i="12" s="1"/>
  <c r="D56" i="12" a="1"/>
  <c r="D56" i="12"/>
  <c r="N55" i="12" a="1"/>
  <c r="N55" i="12" s="1"/>
  <c r="L55" i="12" a="1"/>
  <c r="L55" i="12"/>
  <c r="J55" i="12" a="1"/>
  <c r="J55" i="12" s="1"/>
  <c r="I55" i="12" a="1"/>
  <c r="I55" i="12"/>
  <c r="H55" i="12" a="1"/>
  <c r="H55" i="12"/>
  <c r="G55" i="12" a="1"/>
  <c r="G55" i="12"/>
  <c r="F55" i="12" a="1"/>
  <c r="F55" i="12" s="1"/>
  <c r="E55" i="12" a="1"/>
  <c r="E55" i="12"/>
  <c r="D55" i="12" a="1"/>
  <c r="D55" i="12"/>
  <c r="Q49" i="12"/>
  <c r="N49" i="12" a="1"/>
  <c r="N49" i="12"/>
  <c r="L49" i="12" a="1"/>
  <c r="L49" i="12"/>
  <c r="J49" i="12" a="1"/>
  <c r="J49" i="12" s="1"/>
  <c r="I49" i="12" a="1"/>
  <c r="I49" i="12" s="1"/>
  <c r="H49" i="12" a="1"/>
  <c r="H49" i="12" s="1"/>
  <c r="G49" i="12" a="1"/>
  <c r="G49" i="12" s="1"/>
  <c r="F49" i="12" a="1"/>
  <c r="F49" i="12" s="1"/>
  <c r="E49" i="12" a="1"/>
  <c r="E49" i="12" s="1"/>
  <c r="D49" i="12" a="1"/>
  <c r="D49" i="12" s="1"/>
  <c r="Q48" i="12"/>
  <c r="N48" i="12" a="1"/>
  <c r="N48" i="12"/>
  <c r="L48" i="12" a="1"/>
  <c r="L48" i="12" s="1"/>
  <c r="J48" i="12" a="1"/>
  <c r="J48" i="12"/>
  <c r="I48" i="12" a="1"/>
  <c r="I48" i="12"/>
  <c r="H48" i="12" a="1"/>
  <c r="H48" i="12"/>
  <c r="G48" i="12" a="1"/>
  <c r="G48" i="12"/>
  <c r="F48" i="12" a="1"/>
  <c r="F48" i="12"/>
  <c r="E48" i="12" a="1"/>
  <c r="E48" i="12"/>
  <c r="D48" i="12" a="1"/>
  <c r="D48" i="12"/>
  <c r="N47" i="12" a="1"/>
  <c r="N47" i="12" s="1"/>
  <c r="L47" i="12" a="1"/>
  <c r="L47" i="12" s="1"/>
  <c r="J47" i="12" a="1"/>
  <c r="J47" i="12"/>
  <c r="I47" i="12" a="1"/>
  <c r="I47" i="12"/>
  <c r="H47" i="12" a="1"/>
  <c r="H47" i="12" s="1"/>
  <c r="G47" i="12" a="1"/>
  <c r="G47" i="12" s="1"/>
  <c r="F47" i="12" a="1"/>
  <c r="F47" i="12" s="1"/>
  <c r="E47" i="12" a="1"/>
  <c r="E47" i="12" s="1"/>
  <c r="Q47" i="12" s="1"/>
  <c r="D47" i="12" a="1"/>
  <c r="D47" i="12" s="1"/>
  <c r="N46" i="12" a="1"/>
  <c r="N46" i="12"/>
  <c r="L46" i="12" a="1"/>
  <c r="L46" i="12" s="1"/>
  <c r="J46" i="12" a="1"/>
  <c r="J46" i="12"/>
  <c r="I46" i="12" a="1"/>
  <c r="I46" i="12"/>
  <c r="H46" i="12" a="1"/>
  <c r="H46" i="12" s="1"/>
  <c r="G46" i="12" a="1"/>
  <c r="G46" i="12"/>
  <c r="F46" i="12" a="1"/>
  <c r="F46" i="12" s="1"/>
  <c r="E46" i="12" a="1"/>
  <c r="E46" i="12"/>
  <c r="Q46" i="12" s="1"/>
  <c r="D46" i="12" a="1"/>
  <c r="D46" i="12"/>
  <c r="N45" i="12" a="1"/>
  <c r="N45" i="12" s="1"/>
  <c r="L45" i="12" a="1"/>
  <c r="L45" i="12" s="1"/>
  <c r="J45" i="12" a="1"/>
  <c r="J45" i="12" s="1"/>
  <c r="I45" i="12" a="1"/>
  <c r="I45" i="12" s="1"/>
  <c r="H45" i="12" a="1"/>
  <c r="H45" i="12" s="1"/>
  <c r="G45" i="12" a="1"/>
  <c r="G45" i="12"/>
  <c r="F45" i="12" a="1"/>
  <c r="F45" i="12"/>
  <c r="E45" i="12" a="1"/>
  <c r="E45" i="12" s="1"/>
  <c r="Q45" i="12" s="1"/>
  <c r="D45" i="12" a="1"/>
  <c r="D45" i="12" s="1"/>
  <c r="N44" i="12" a="1"/>
  <c r="N44" i="12"/>
  <c r="L44" i="12" a="1"/>
  <c r="L44" i="12"/>
  <c r="J44" i="12" a="1"/>
  <c r="J44" i="12"/>
  <c r="I44" i="12" a="1"/>
  <c r="I44" i="12"/>
  <c r="H44" i="12" a="1"/>
  <c r="H44" i="12" s="1"/>
  <c r="G44" i="12" a="1"/>
  <c r="G44" i="12"/>
  <c r="F44" i="12" a="1"/>
  <c r="F44" i="12"/>
  <c r="E44" i="12" a="1"/>
  <c r="E44" i="12" s="1"/>
  <c r="Q44" i="12" s="1"/>
  <c r="D44" i="12" a="1"/>
  <c r="D44" i="12" s="1"/>
  <c r="Q43" i="12"/>
  <c r="N43" i="12" a="1"/>
  <c r="N43" i="12" s="1"/>
  <c r="L43" i="12" a="1"/>
  <c r="L43" i="12" s="1"/>
  <c r="J43" i="12" a="1"/>
  <c r="J43" i="12" s="1"/>
  <c r="I43" i="12" a="1"/>
  <c r="I43" i="12" s="1"/>
  <c r="H43" i="12" a="1"/>
  <c r="H43" i="12"/>
  <c r="G43" i="12" a="1"/>
  <c r="G43" i="12" s="1"/>
  <c r="F43" i="12" a="1"/>
  <c r="F43" i="12" s="1"/>
  <c r="E43" i="12" a="1"/>
  <c r="E43" i="12" s="1"/>
  <c r="D43" i="12" a="1"/>
  <c r="D43" i="12"/>
  <c r="N42" i="12" a="1"/>
  <c r="N42" i="12" s="1"/>
  <c r="L42" i="12" a="1"/>
  <c r="L42" i="12" s="1"/>
  <c r="J42" i="12" a="1"/>
  <c r="J42" i="12"/>
  <c r="I42" i="12" a="1"/>
  <c r="I42" i="12" s="1"/>
  <c r="H42" i="12" a="1"/>
  <c r="H42" i="12"/>
  <c r="G42" i="12" a="1"/>
  <c r="G42" i="12"/>
  <c r="F42" i="12" a="1"/>
  <c r="F42" i="12"/>
  <c r="E42" i="12" a="1"/>
  <c r="E42" i="12" s="1"/>
  <c r="Q42" i="12" s="1"/>
  <c r="D42" i="12" a="1"/>
  <c r="D42" i="12"/>
  <c r="N41" i="12" a="1"/>
  <c r="N41" i="12"/>
  <c r="L41" i="12" a="1"/>
  <c r="L41" i="12"/>
  <c r="J41" i="12" a="1"/>
  <c r="J41" i="12" s="1"/>
  <c r="I41" i="12" a="1"/>
  <c r="I41" i="12" s="1"/>
  <c r="H41" i="12" a="1"/>
  <c r="H41" i="12" s="1"/>
  <c r="G41" i="12" a="1"/>
  <c r="G41" i="12" s="1"/>
  <c r="F41" i="12" a="1"/>
  <c r="F41" i="12" s="1"/>
  <c r="E41" i="12" a="1"/>
  <c r="E41" i="12"/>
  <c r="Q41" i="12" s="1"/>
  <c r="D41" i="12" a="1"/>
  <c r="D41" i="12" s="1"/>
  <c r="N40" i="12" a="1"/>
  <c r="N40" i="12"/>
  <c r="L40" i="12" a="1"/>
  <c r="L40" i="12"/>
  <c r="J40" i="12" a="1"/>
  <c r="J40" i="12" s="1"/>
  <c r="I40" i="12" a="1"/>
  <c r="I40" i="12" s="1"/>
  <c r="H40" i="12" a="1"/>
  <c r="H40" i="12" s="1"/>
  <c r="G40" i="12" a="1"/>
  <c r="G40" i="12"/>
  <c r="F40" i="12" a="1"/>
  <c r="F40" i="12" s="1"/>
  <c r="E40" i="12" a="1"/>
  <c r="E40" i="12"/>
  <c r="Q40" i="12" s="1"/>
  <c r="D40" i="12" a="1"/>
  <c r="D40" i="12"/>
  <c r="N39" i="12" a="1"/>
  <c r="N39" i="12"/>
  <c r="L39" i="12" a="1"/>
  <c r="L39" i="12" s="1"/>
  <c r="J39" i="12" a="1"/>
  <c r="J39" i="12" s="1"/>
  <c r="I39" i="12" a="1"/>
  <c r="I39" i="12"/>
  <c r="H39" i="12" a="1"/>
  <c r="H39" i="12"/>
  <c r="G39" i="12" a="1"/>
  <c r="G39" i="12"/>
  <c r="F39" i="12" a="1"/>
  <c r="F39" i="12" s="1"/>
  <c r="E39" i="12" a="1"/>
  <c r="E39" i="12" s="1"/>
  <c r="Q39" i="12" s="1"/>
  <c r="D39" i="12" a="1"/>
  <c r="D39" i="12" s="1"/>
  <c r="N38" i="12" a="1"/>
  <c r="N38" i="12"/>
  <c r="L38" i="12" a="1"/>
  <c r="L38" i="12"/>
  <c r="J38" i="12" a="1"/>
  <c r="J38" i="12" s="1"/>
  <c r="I38" i="12" a="1"/>
  <c r="I38" i="12"/>
  <c r="H38" i="12" a="1"/>
  <c r="H38" i="12"/>
  <c r="G38" i="12" a="1"/>
  <c r="G38" i="12"/>
  <c r="F38" i="12" a="1"/>
  <c r="F38" i="12"/>
  <c r="E38" i="12" a="1"/>
  <c r="E38" i="12" s="1"/>
  <c r="Q38" i="12" s="1"/>
  <c r="D38" i="12" a="1"/>
  <c r="D38" i="12"/>
  <c r="N37" i="12" a="1"/>
  <c r="N37" i="12" s="1"/>
  <c r="L37" i="12" a="1"/>
  <c r="L37" i="12" s="1"/>
  <c r="J37" i="12" a="1"/>
  <c r="J37" i="12"/>
  <c r="I37" i="12" a="1"/>
  <c r="I37" i="12"/>
  <c r="H37" i="12" a="1"/>
  <c r="H37" i="12" s="1"/>
  <c r="G37" i="12" a="1"/>
  <c r="G37" i="12" s="1"/>
  <c r="F37" i="12" a="1"/>
  <c r="F37" i="12" s="1"/>
  <c r="E37" i="12" a="1"/>
  <c r="E37" i="12" s="1"/>
  <c r="Q37" i="12" s="1"/>
  <c r="D37" i="12" a="1"/>
  <c r="D37" i="12" s="1"/>
  <c r="Q36" i="12"/>
  <c r="N36" i="12" a="1"/>
  <c r="N36" i="12"/>
  <c r="L36" i="12" a="1"/>
  <c r="L36" i="12" s="1"/>
  <c r="J36" i="12" a="1"/>
  <c r="J36" i="12"/>
  <c r="I36" i="12" a="1"/>
  <c r="I36" i="12"/>
  <c r="H36" i="12" a="1"/>
  <c r="H36" i="12" s="1"/>
  <c r="G36" i="12" a="1"/>
  <c r="G36" i="12" s="1"/>
  <c r="F36" i="12" a="1"/>
  <c r="F36" i="12"/>
  <c r="E36" i="12" a="1"/>
  <c r="E36" i="12"/>
  <c r="D36" i="12" a="1"/>
  <c r="D36" i="12"/>
  <c r="N35" i="12" a="1"/>
  <c r="N35" i="12" s="1"/>
  <c r="L35" i="12" a="1"/>
  <c r="L35" i="12" s="1"/>
  <c r="J35" i="12" a="1"/>
  <c r="J35" i="12"/>
  <c r="I35" i="12" a="1"/>
  <c r="I35" i="12" s="1"/>
  <c r="H35" i="12" a="1"/>
  <c r="H35" i="12" s="1"/>
  <c r="G35" i="12" a="1"/>
  <c r="G35" i="12"/>
  <c r="F35" i="12" a="1"/>
  <c r="F35" i="12" s="1"/>
  <c r="E35" i="12" a="1"/>
  <c r="E35" i="12" s="1"/>
  <c r="Q35" i="12" s="1"/>
  <c r="D35" i="12" a="1"/>
  <c r="D35" i="12" s="1"/>
  <c r="N34" i="12" a="1"/>
  <c r="N34" i="12"/>
  <c r="L34" i="12" a="1"/>
  <c r="L34" i="12" s="1"/>
  <c r="J34" i="12" a="1"/>
  <c r="J34" i="12" s="1"/>
  <c r="I34" i="12" a="1"/>
  <c r="I34" i="12"/>
  <c r="H34" i="12" a="1"/>
  <c r="H34" i="12" s="1"/>
  <c r="G34" i="12" a="1"/>
  <c r="G34" i="12"/>
  <c r="F34" i="12" a="1"/>
  <c r="F34" i="12"/>
  <c r="E34" i="12" a="1"/>
  <c r="E34" i="12" s="1"/>
  <c r="Q34" i="12" s="1"/>
  <c r="D34" i="12" a="1"/>
  <c r="D34" i="12" s="1"/>
  <c r="N33" i="12" a="1"/>
  <c r="N33" i="12" s="1"/>
  <c r="L33" i="12" a="1"/>
  <c r="L33" i="12" s="1"/>
  <c r="J33" i="12" a="1"/>
  <c r="J33" i="12" s="1"/>
  <c r="I33" i="12" a="1"/>
  <c r="I33" i="12" s="1"/>
  <c r="H33" i="12" a="1"/>
  <c r="H33" i="12" s="1"/>
  <c r="G33" i="12" a="1"/>
  <c r="G33" i="12" s="1"/>
  <c r="F33" i="12" a="1"/>
  <c r="F33" i="12" s="1"/>
  <c r="E33" i="12" a="1"/>
  <c r="E33" i="12" s="1"/>
  <c r="Q33" i="12" s="1"/>
  <c r="D33" i="12" a="1"/>
  <c r="D33" i="12" s="1"/>
  <c r="Q32" i="12"/>
  <c r="N32" i="12" a="1"/>
  <c r="N32" i="12"/>
  <c r="L32" i="12" a="1"/>
  <c r="L32" i="12"/>
  <c r="J32" i="12" a="1"/>
  <c r="J32" i="12"/>
  <c r="I32" i="12" a="1"/>
  <c r="I32" i="12" s="1"/>
  <c r="H32" i="12" a="1"/>
  <c r="H32" i="12" s="1"/>
  <c r="G32" i="12" a="1"/>
  <c r="G32" i="12" s="1"/>
  <c r="F32" i="12" a="1"/>
  <c r="F32" i="12"/>
  <c r="E32" i="12" a="1"/>
  <c r="E32" i="12"/>
  <c r="D32" i="12" a="1"/>
  <c r="D32" i="12"/>
  <c r="N31" i="12" a="1"/>
  <c r="N31" i="12"/>
  <c r="L31" i="12" a="1"/>
  <c r="L31" i="12"/>
  <c r="J31" i="12" a="1"/>
  <c r="J31" i="12" s="1"/>
  <c r="I31" i="12" a="1"/>
  <c r="I31" i="12" s="1"/>
  <c r="H31" i="12" a="1"/>
  <c r="H31" i="12" s="1"/>
  <c r="G31" i="12" a="1"/>
  <c r="G31" i="12"/>
  <c r="F31" i="12" a="1"/>
  <c r="F31" i="12" s="1"/>
  <c r="E31" i="12" a="1"/>
  <c r="E31" i="12" s="1"/>
  <c r="Q31" i="12" s="1"/>
  <c r="D31" i="12" a="1"/>
  <c r="D31" i="12"/>
  <c r="N30" i="12" a="1"/>
  <c r="N30" i="12"/>
  <c r="L30" i="12" a="1"/>
  <c r="L30" i="12"/>
  <c r="J30" i="12" a="1"/>
  <c r="J30" i="12"/>
  <c r="I30" i="12" a="1"/>
  <c r="I30" i="12"/>
  <c r="H30" i="12" a="1"/>
  <c r="H30" i="12"/>
  <c r="G30" i="12" a="1"/>
  <c r="G30" i="12"/>
  <c r="F30" i="12" a="1"/>
  <c r="F30" i="12" s="1"/>
  <c r="E30" i="12" a="1"/>
  <c r="E30" i="12"/>
  <c r="Q30" i="12" s="1"/>
  <c r="D30" i="12" a="1"/>
  <c r="D30" i="12" s="1"/>
  <c r="N29" i="12" a="1"/>
  <c r="N29" i="12" s="1"/>
  <c r="L29" i="12" a="1"/>
  <c r="L29" i="12" s="1"/>
  <c r="J29" i="12" a="1"/>
  <c r="J29" i="12" s="1"/>
  <c r="I29" i="12" a="1"/>
  <c r="I29" i="12" s="1"/>
  <c r="H29" i="12" a="1"/>
  <c r="H29" i="12"/>
  <c r="G29" i="12" a="1"/>
  <c r="G29" i="12" s="1"/>
  <c r="F29" i="12" a="1"/>
  <c r="F29" i="12" s="1"/>
  <c r="E29" i="12" a="1"/>
  <c r="E29" i="12"/>
  <c r="Q29" i="12" s="1"/>
  <c r="D29" i="12" a="1"/>
  <c r="D29" i="12"/>
  <c r="Q28" i="12"/>
  <c r="N28" i="12" a="1"/>
  <c r="N28" i="12" s="1"/>
  <c r="L28" i="12" a="1"/>
  <c r="L28" i="12" s="1"/>
  <c r="J28" i="12" a="1"/>
  <c r="J28" i="12" s="1"/>
  <c r="I28" i="12" a="1"/>
  <c r="I28" i="12"/>
  <c r="H28" i="12" a="1"/>
  <c r="H28" i="12"/>
  <c r="G28" i="12" a="1"/>
  <c r="G28" i="12"/>
  <c r="F28" i="12" a="1"/>
  <c r="F28" i="12" s="1"/>
  <c r="E28" i="12" a="1"/>
  <c r="E28" i="12"/>
  <c r="D28" i="12" a="1"/>
  <c r="D28" i="12"/>
  <c r="N27" i="12" a="1"/>
  <c r="N27" i="12"/>
  <c r="L27" i="12" a="1"/>
  <c r="L27" i="12"/>
  <c r="J27" i="12" a="1"/>
  <c r="J27" i="12" s="1"/>
  <c r="I27" i="12" a="1"/>
  <c r="I27" i="12"/>
  <c r="H27" i="12" a="1"/>
  <c r="H27" i="12" s="1"/>
  <c r="G27" i="12" a="1"/>
  <c r="G27" i="12" s="1"/>
  <c r="F27" i="12" a="1"/>
  <c r="F27" i="12" s="1"/>
  <c r="E27" i="12" a="1"/>
  <c r="E27" i="12" s="1"/>
  <c r="Q27" i="12" s="1"/>
  <c r="D27" i="12" a="1"/>
  <c r="D27" i="12" s="1"/>
  <c r="N26" i="12" a="1"/>
  <c r="N26" i="12"/>
  <c r="L26" i="12" a="1"/>
  <c r="L26" i="12"/>
  <c r="J26" i="12" a="1"/>
  <c r="J26" i="12"/>
  <c r="I26" i="12" a="1"/>
  <c r="I26" i="12"/>
  <c r="H26" i="12" a="1"/>
  <c r="H26" i="12"/>
  <c r="G26" i="12" a="1"/>
  <c r="G26" i="12" s="1"/>
  <c r="F26" i="12" a="1"/>
  <c r="F26" i="12"/>
  <c r="E26" i="12" a="1"/>
  <c r="E26" i="12"/>
  <c r="Q26" i="12" s="1"/>
  <c r="D26" i="12" a="1"/>
  <c r="D26" i="12" s="1"/>
  <c r="N25" i="12" a="1"/>
  <c r="N25" i="12" s="1"/>
  <c r="L25" i="12" a="1"/>
  <c r="L25" i="12" s="1"/>
  <c r="J25" i="12" a="1"/>
  <c r="J25" i="12" s="1"/>
  <c r="I25" i="12" a="1"/>
  <c r="I25" i="12" s="1"/>
  <c r="H25" i="12" a="1"/>
  <c r="H25" i="12" s="1"/>
  <c r="G25" i="12" a="1"/>
  <c r="G25" i="12" s="1"/>
  <c r="F25" i="12" a="1"/>
  <c r="F25" i="12" s="1"/>
  <c r="E25" i="12" a="1"/>
  <c r="E25" i="12" s="1"/>
  <c r="Q25" i="12" s="1"/>
  <c r="D25" i="12" a="1"/>
  <c r="D25" i="12" s="1"/>
  <c r="N24" i="12" a="1"/>
  <c r="N24" i="12"/>
  <c r="L24" i="12" a="1"/>
  <c r="L24" i="12" s="1"/>
  <c r="J24" i="12" a="1"/>
  <c r="J24" i="12"/>
  <c r="I24" i="12" a="1"/>
  <c r="I24" i="12"/>
  <c r="H24" i="12" a="1"/>
  <c r="H24" i="12" s="1"/>
  <c r="G24" i="12" a="1"/>
  <c r="G24" i="12"/>
  <c r="F24" i="12" a="1"/>
  <c r="F24" i="12"/>
  <c r="E24" i="12" a="1"/>
  <c r="E24" i="12"/>
  <c r="Q24" i="12" s="1"/>
  <c r="D24" i="12" a="1"/>
  <c r="D24" i="12"/>
  <c r="N23" i="12" a="1"/>
  <c r="N23" i="12" s="1"/>
  <c r="L23" i="12" a="1"/>
  <c r="L23" i="12" s="1"/>
  <c r="J23" i="12" a="1"/>
  <c r="J23" i="12" s="1"/>
  <c r="I23" i="12" a="1"/>
  <c r="I23" i="12" s="1"/>
  <c r="H23" i="12" a="1"/>
  <c r="H23" i="12" s="1"/>
  <c r="G23" i="12" a="1"/>
  <c r="G23" i="12" s="1"/>
  <c r="F23" i="12" a="1"/>
  <c r="F23" i="12" s="1"/>
  <c r="E23" i="12" a="1"/>
  <c r="E23" i="12" s="1"/>
  <c r="Q23" i="12" s="1"/>
  <c r="D23" i="12" a="1"/>
  <c r="D23" i="12"/>
  <c r="N22" i="12" a="1"/>
  <c r="N22" i="12" s="1"/>
  <c r="L22" i="12" a="1"/>
  <c r="L22" i="12"/>
  <c r="J22" i="12" a="1"/>
  <c r="J22" i="12" s="1"/>
  <c r="I22" i="12" a="1"/>
  <c r="I22" i="12" s="1"/>
  <c r="H22" i="12" a="1"/>
  <c r="H22" i="12" s="1"/>
  <c r="G22" i="12" a="1"/>
  <c r="G22" i="12"/>
  <c r="F22" i="12" a="1"/>
  <c r="F22" i="12" s="1"/>
  <c r="E22" i="12" a="1"/>
  <c r="E22" i="12"/>
  <c r="Q22" i="12" s="1"/>
  <c r="D22" i="12" a="1"/>
  <c r="D22" i="12"/>
  <c r="N21" i="12" a="1"/>
  <c r="N21" i="12"/>
  <c r="L21" i="12" a="1"/>
  <c r="L21" i="12"/>
  <c r="J21" i="12" a="1"/>
  <c r="J21" i="12"/>
  <c r="I21" i="12" a="1"/>
  <c r="I21" i="12"/>
  <c r="H21" i="12" a="1"/>
  <c r="H21" i="12"/>
  <c r="G21" i="12" a="1"/>
  <c r="G21" i="12" s="1"/>
  <c r="F21" i="12" a="1"/>
  <c r="F21" i="12"/>
  <c r="E21" i="12" a="1"/>
  <c r="E21" i="12" s="1"/>
  <c r="Q21" i="12" s="1"/>
  <c r="D21" i="12" a="1"/>
  <c r="D21" i="12" s="1"/>
  <c r="N20" i="12" a="1"/>
  <c r="N20" i="12"/>
  <c r="L20" i="12" a="1"/>
  <c r="L20" i="12"/>
  <c r="J20" i="12" a="1"/>
  <c r="J20" i="12" s="1"/>
  <c r="I20" i="12" a="1"/>
  <c r="I20" i="12" s="1"/>
  <c r="H20" i="12" a="1"/>
  <c r="H20" i="12" s="1"/>
  <c r="G20" i="12" a="1"/>
  <c r="G20" i="12" s="1"/>
  <c r="F20" i="12" a="1"/>
  <c r="F20" i="12" s="1"/>
  <c r="E20" i="12" a="1"/>
  <c r="E20" i="12" s="1"/>
  <c r="Q20" i="12" s="1"/>
  <c r="D20" i="12" a="1"/>
  <c r="D20" i="12" s="1"/>
  <c r="N19" i="12" a="1"/>
  <c r="N19" i="12" s="1"/>
  <c r="L19" i="12" a="1"/>
  <c r="L19" i="12" s="1"/>
  <c r="J19" i="12" a="1"/>
  <c r="J19" i="12" s="1"/>
  <c r="I19" i="12" a="1"/>
  <c r="I19" i="12"/>
  <c r="H19" i="12" a="1"/>
  <c r="H19" i="12"/>
  <c r="G19" i="12" a="1"/>
  <c r="G19" i="12"/>
  <c r="F19" i="12" a="1"/>
  <c r="F19" i="12"/>
  <c r="E19" i="12" a="1"/>
  <c r="E19" i="12"/>
  <c r="Q19" i="12" s="1"/>
  <c r="D19" i="12" a="1"/>
  <c r="D19" i="12" s="1"/>
  <c r="N18" i="12" a="1"/>
  <c r="N18" i="12" s="1"/>
  <c r="L18" i="12" a="1"/>
  <c r="L18" i="12" s="1"/>
  <c r="J18" i="12" a="1"/>
  <c r="J18" i="12"/>
  <c r="I18" i="12" a="1"/>
  <c r="I18" i="12"/>
  <c r="H18" i="12" a="1"/>
  <c r="H18" i="12"/>
  <c r="G18" i="12" a="1"/>
  <c r="G18" i="12" s="1"/>
  <c r="F18" i="12" a="1"/>
  <c r="F18" i="12" s="1"/>
  <c r="E18" i="12" a="1"/>
  <c r="E18" i="12" s="1"/>
  <c r="Q18" i="12" s="1"/>
  <c r="D18" i="12" a="1"/>
  <c r="D18" i="12" s="1"/>
  <c r="Q17" i="12"/>
  <c r="N17" i="12" a="1"/>
  <c r="N17" i="12" s="1"/>
  <c r="L17" i="12" a="1"/>
  <c r="L17" i="12"/>
  <c r="J17" i="12" a="1"/>
  <c r="J17" i="12" s="1"/>
  <c r="I17" i="12" a="1"/>
  <c r="I17" i="12" s="1"/>
  <c r="H17" i="12" a="1"/>
  <c r="H17" i="12" s="1"/>
  <c r="G17" i="12" a="1"/>
  <c r="G17" i="12" s="1"/>
  <c r="F17" i="12" a="1"/>
  <c r="F17" i="12"/>
  <c r="E17" i="12" a="1"/>
  <c r="E17" i="12"/>
  <c r="D17" i="12" a="1"/>
  <c r="D17" i="12"/>
  <c r="Q16" i="12"/>
  <c r="N16" i="12" a="1"/>
  <c r="N16" i="12" s="1"/>
  <c r="L16" i="12" a="1"/>
  <c r="L16" i="12" s="1"/>
  <c r="J16" i="12" a="1"/>
  <c r="J16" i="12" s="1"/>
  <c r="I16" i="12" a="1"/>
  <c r="I16" i="12" s="1"/>
  <c r="H16" i="12" a="1"/>
  <c r="H16" i="12" s="1"/>
  <c r="G16" i="12" a="1"/>
  <c r="G16" i="12"/>
  <c r="F16" i="12" a="1"/>
  <c r="F16" i="12"/>
  <c r="E16" i="12" a="1"/>
  <c r="E16" i="12"/>
  <c r="D16" i="12" a="1"/>
  <c r="D16" i="12" s="1"/>
  <c r="N15" i="12" a="1"/>
  <c r="N15" i="12"/>
  <c r="L15" i="12" a="1"/>
  <c r="L15" i="12"/>
  <c r="J15" i="12" a="1"/>
  <c r="J15" i="12"/>
  <c r="I15" i="12" a="1"/>
  <c r="I15" i="12" s="1"/>
  <c r="H15" i="12" a="1"/>
  <c r="H15" i="12"/>
  <c r="G15" i="12" a="1"/>
  <c r="G15" i="12" s="1"/>
  <c r="F15" i="12" a="1"/>
  <c r="F15" i="12" s="1"/>
  <c r="E15" i="12" a="1"/>
  <c r="E15" i="12" s="1"/>
  <c r="Q15" i="12" s="1"/>
  <c r="D15" i="12" a="1"/>
  <c r="D15" i="12" s="1"/>
  <c r="N14" i="12" a="1"/>
  <c r="N14" i="12" s="1"/>
  <c r="L14" i="12" a="1"/>
  <c r="L14" i="12" s="1"/>
  <c r="J14" i="12" a="1"/>
  <c r="J14" i="12" s="1"/>
  <c r="I14" i="12" a="1"/>
  <c r="I14" i="12" s="1"/>
  <c r="H14" i="12" a="1"/>
  <c r="H14" i="12" s="1"/>
  <c r="G14" i="12" a="1"/>
  <c r="G14" i="12" s="1"/>
  <c r="F14" i="12" a="1"/>
  <c r="F14" i="12" s="1"/>
  <c r="E14" i="12" a="1"/>
  <c r="E14" i="12" s="1"/>
  <c r="Q14" i="12" s="1"/>
  <c r="D14" i="12" a="1"/>
  <c r="D14" i="12"/>
  <c r="N13" i="12" a="1"/>
  <c r="N13" i="12" s="1"/>
  <c r="L13" i="12" a="1"/>
  <c r="L13" i="12"/>
  <c r="J13" i="12" a="1"/>
  <c r="J13" i="12"/>
  <c r="I13" i="12" a="1"/>
  <c r="I13" i="12"/>
  <c r="H13" i="12" a="1"/>
  <c r="H13" i="12"/>
  <c r="G13" i="12" a="1"/>
  <c r="G13" i="12"/>
  <c r="F13" i="12" a="1"/>
  <c r="F13" i="12" s="1"/>
  <c r="E13" i="12" a="1"/>
  <c r="E13" i="12"/>
  <c r="Q13" i="12" s="1"/>
  <c r="D13" i="12" a="1"/>
  <c r="D13" i="12" s="1"/>
  <c r="N12" i="12" a="1"/>
  <c r="N12" i="12"/>
  <c r="L12" i="12" a="1"/>
  <c r="L12" i="12"/>
  <c r="J12" i="12" a="1"/>
  <c r="J12" i="12"/>
  <c r="I12" i="12" a="1"/>
  <c r="I12" i="12" s="1"/>
  <c r="H12" i="12" a="1"/>
  <c r="H12" i="12" s="1"/>
  <c r="G12" i="12" a="1"/>
  <c r="G12" i="12" s="1"/>
  <c r="F12" i="12" a="1"/>
  <c r="F12" i="12" s="1"/>
  <c r="E12" i="12" a="1"/>
  <c r="E12" i="12" s="1"/>
  <c r="Q12" i="12" s="1"/>
  <c r="D12" i="12" a="1"/>
  <c r="D12" i="12" s="1"/>
  <c r="Q11" i="12"/>
  <c r="N11" i="12" a="1"/>
  <c r="N11" i="12" s="1"/>
  <c r="L11" i="12" a="1"/>
  <c r="L11" i="12" s="1"/>
  <c r="J11" i="12" a="1"/>
  <c r="J11" i="12" s="1"/>
  <c r="I11" i="12" a="1"/>
  <c r="I11" i="12" s="1"/>
  <c r="H11" i="12" a="1"/>
  <c r="H11" i="12"/>
  <c r="G11" i="12" a="1"/>
  <c r="G11" i="12"/>
  <c r="F11" i="12" a="1"/>
  <c r="F11" i="12"/>
  <c r="E11" i="12" a="1"/>
  <c r="E11" i="12"/>
  <c r="D11" i="12" a="1"/>
  <c r="D11" i="12"/>
  <c r="N10" i="12" a="1"/>
  <c r="N10" i="12" s="1"/>
  <c r="L10" i="12" a="1"/>
  <c r="L10" i="12" s="1"/>
  <c r="J10" i="12" a="1"/>
  <c r="J10" i="12" s="1"/>
  <c r="I10" i="12" a="1"/>
  <c r="I10" i="12"/>
  <c r="H10" i="12" a="1"/>
  <c r="H10" i="12"/>
  <c r="G10" i="12" a="1"/>
  <c r="G10" i="12"/>
  <c r="F10" i="12" a="1"/>
  <c r="F10" i="12" s="1"/>
  <c r="E10" i="12" a="1"/>
  <c r="E10" i="12" s="1"/>
  <c r="Q10" i="12" s="1"/>
  <c r="D10" i="12" a="1"/>
  <c r="D10" i="12" s="1"/>
  <c r="Q9" i="12"/>
  <c r="N9" i="12" a="1"/>
  <c r="N9" i="12"/>
  <c r="L9" i="12" a="1"/>
  <c r="L9" i="12" s="1"/>
  <c r="J9" i="12" a="1"/>
  <c r="J9" i="12"/>
  <c r="I9" i="12" a="1"/>
  <c r="I9" i="12" s="1"/>
  <c r="H9" i="12" a="1"/>
  <c r="H9" i="12" s="1"/>
  <c r="G9" i="12" a="1"/>
  <c r="G9" i="12" s="1"/>
  <c r="F9" i="12" a="1"/>
  <c r="F9" i="12" s="1"/>
  <c r="E9" i="12" a="1"/>
  <c r="E9" i="12"/>
  <c r="D9" i="12" a="1"/>
  <c r="D9" i="12"/>
  <c r="N8" i="12" a="1"/>
  <c r="N8" i="12" s="1"/>
  <c r="L8" i="12" a="1"/>
  <c r="L8" i="12" s="1"/>
  <c r="J8" i="12" a="1"/>
  <c r="J8" i="12" s="1"/>
  <c r="I8" i="12" a="1"/>
  <c r="I8" i="12" s="1"/>
  <c r="H8" i="12" a="1"/>
  <c r="H8" i="12" s="1"/>
  <c r="G8" i="12" a="1"/>
  <c r="G8" i="12" s="1"/>
  <c r="F8" i="12" a="1"/>
  <c r="F8" i="12"/>
  <c r="E8" i="12" a="1"/>
  <c r="E8" i="12"/>
  <c r="Q8" i="12" s="1"/>
  <c r="D8" i="12" a="1"/>
  <c r="D8" i="12"/>
  <c r="N7" i="12" a="1"/>
  <c r="N7" i="12"/>
  <c r="L7" i="12" a="1"/>
  <c r="L7" i="12"/>
  <c r="J7" i="12" a="1"/>
  <c r="J7" i="12"/>
  <c r="I7" i="12" a="1"/>
  <c r="I7" i="12"/>
  <c r="H7" i="12" a="1"/>
  <c r="H7" i="12" s="1"/>
  <c r="G7" i="12" a="1"/>
  <c r="G7" i="12"/>
  <c r="F7" i="12" a="1"/>
  <c r="F7" i="12" s="1"/>
  <c r="E7" i="12" a="1"/>
  <c r="E7" i="12" s="1"/>
  <c r="Q7" i="12" s="1"/>
  <c r="D7" i="12" a="1"/>
  <c r="D7" i="12" s="1"/>
  <c r="N6" i="12" a="1"/>
  <c r="N6" i="12"/>
  <c r="L6" i="12" a="1"/>
  <c r="L6" i="12" s="1"/>
  <c r="J6" i="12" a="1"/>
  <c r="J6" i="12" s="1"/>
  <c r="I6" i="12" a="1"/>
  <c r="I6" i="12" s="1"/>
  <c r="H6" i="12" a="1"/>
  <c r="H6" i="12" s="1"/>
  <c r="G6" i="12" a="1"/>
  <c r="G6" i="12" s="1"/>
  <c r="F6" i="12" a="1"/>
  <c r="F6" i="12" s="1"/>
  <c r="E6" i="12" a="1"/>
  <c r="E6" i="12" s="1"/>
  <c r="Q6" i="12" s="1"/>
  <c r="D6" i="12" a="1"/>
  <c r="D6" i="12" s="1"/>
  <c r="N5" i="12" a="1"/>
  <c r="N5" i="12" s="1"/>
  <c r="L5" i="12" a="1"/>
  <c r="L5" i="12" s="1"/>
  <c r="J5" i="12" a="1"/>
  <c r="J5" i="12"/>
  <c r="I5" i="12" a="1"/>
  <c r="I5" i="12"/>
  <c r="H5" i="12" a="1"/>
  <c r="H5" i="12"/>
  <c r="G5" i="12" a="1"/>
  <c r="G5" i="12"/>
  <c r="F5" i="12" a="1"/>
  <c r="F5" i="12"/>
  <c r="E5" i="12" a="1"/>
  <c r="E5" i="12" s="1"/>
  <c r="Q5" i="12" s="1"/>
  <c r="D5" i="12" a="1"/>
  <c r="D5" i="12"/>
  <c r="X77" i="10"/>
  <c r="L68" i="10"/>
  <c r="W64" i="10"/>
  <c r="W63" i="10"/>
  <c r="W58" i="10"/>
  <c r="W57" i="10"/>
  <c r="W56" i="10"/>
  <c r="AS54" i="10"/>
  <c r="AL54" i="10"/>
  <c r="AG54" i="10"/>
  <c r="BJ51" i="10"/>
  <c r="BI51" i="10"/>
  <c r="BH51" i="10"/>
  <c r="BG51" i="10"/>
  <c r="BF51" i="10"/>
  <c r="BE51" i="10"/>
  <c r="BC51" i="10"/>
  <c r="BB51" i="10"/>
  <c r="BA51" i="10"/>
  <c r="AZ51" i="10"/>
  <c r="AY51" i="10"/>
  <c r="AW51" i="10"/>
  <c r="AV51" i="10"/>
  <c r="AU51" i="10"/>
  <c r="AT51" i="10"/>
  <c r="AR51" i="10"/>
  <c r="AQ51" i="10"/>
  <c r="AP51" i="10"/>
  <c r="AO51" i="10"/>
  <c r="AN51" i="10"/>
  <c r="AM51" i="10"/>
  <c r="AK51" i="10"/>
  <c r="AJ51" i="10"/>
  <c r="AI51" i="10"/>
  <c r="AH51" i="10"/>
  <c r="AF51" i="10"/>
  <c r="AE51" i="10"/>
  <c r="AD51" i="10"/>
  <c r="AC51" i="10"/>
  <c r="AA51" i="10"/>
  <c r="Z51" i="10"/>
  <c r="Y51" i="10"/>
  <c r="Y50" i="10"/>
  <c r="X50" i="10"/>
  <c r="W50" i="10" s="1"/>
  <c r="W49" i="10"/>
  <c r="W48" i="10"/>
  <c r="W47" i="10"/>
  <c r="W46" i="10"/>
  <c r="W45" i="10"/>
  <c r="W44" i="10"/>
  <c r="J44" i="10"/>
  <c r="W43" i="10"/>
  <c r="W42" i="10"/>
  <c r="W41" i="10"/>
  <c r="N41" i="10"/>
  <c r="J41" i="10"/>
  <c r="D41" i="10"/>
  <c r="W40" i="10"/>
  <c r="W39" i="10"/>
  <c r="W38" i="10"/>
  <c r="R38" i="10"/>
  <c r="F38" i="10"/>
  <c r="D38" i="10"/>
  <c r="W37" i="10"/>
  <c r="BD36" i="10"/>
  <c r="BK36" i="10" s="1"/>
  <c r="F36" i="10"/>
  <c r="D36" i="10"/>
  <c r="R36" i="10" s="1"/>
  <c r="R42" i="10" s="1"/>
  <c r="W35" i="10"/>
  <c r="N35" i="10"/>
  <c r="N44" i="10" s="1"/>
  <c r="J35" i="10"/>
  <c r="D35" i="10"/>
  <c r="H35" i="10" s="1"/>
  <c r="W34" i="10"/>
  <c r="CB33" i="10"/>
  <c r="CA33" i="10"/>
  <c r="BZ33" i="10"/>
  <c r="BY33" i="10"/>
  <c r="BX33" i="10"/>
  <c r="BW33" i="10"/>
  <c r="BV33" i="10"/>
  <c r="BU33" i="10"/>
  <c r="BT33" i="10"/>
  <c r="BS33" i="10"/>
  <c r="BR33" i="10"/>
  <c r="BQ33" i="10"/>
  <c r="BP33" i="10"/>
  <c r="BO33" i="10"/>
  <c r="BN33" i="10"/>
  <c r="BM33" i="10"/>
  <c r="BL33" i="10"/>
  <c r="W33" i="10"/>
  <c r="W31" i="10"/>
  <c r="W30" i="10"/>
  <c r="W29" i="10"/>
  <c r="AE28" i="10"/>
  <c r="AF28" i="10" s="1"/>
  <c r="X28" i="10"/>
  <c r="Y28" i="10" s="1"/>
  <c r="Z28" i="10" s="1"/>
  <c r="AA28" i="10" s="1"/>
  <c r="AB28" i="10" s="1"/>
  <c r="AC28" i="10" s="1"/>
  <c r="AD28" i="10" s="1"/>
  <c r="CB21" i="10"/>
  <c r="CA21" i="10"/>
  <c r="BZ21" i="10"/>
  <c r="BY21" i="10"/>
  <c r="BX21" i="10"/>
  <c r="BW21" i="10"/>
  <c r="BV21" i="10"/>
  <c r="BU21" i="10"/>
  <c r="BT21" i="10"/>
  <c r="BS21" i="10"/>
  <c r="BR21" i="10"/>
  <c r="BQ21" i="10"/>
  <c r="BP21" i="10"/>
  <c r="BO21" i="10"/>
  <c r="BN21" i="10"/>
  <c r="BM21" i="10"/>
  <c r="BL21" i="10"/>
  <c r="AQ20" i="10"/>
  <c r="AR20" i="10" s="1"/>
  <c r="AS20" i="10" s="1"/>
  <c r="AT20" i="10" s="1"/>
  <c r="AU20" i="10" s="1"/>
  <c r="AV20" i="10" s="1"/>
  <c r="AW20" i="10" s="1"/>
  <c r="AX20" i="10" s="1"/>
  <c r="AY20" i="10" s="1"/>
  <c r="AZ20" i="10" s="1"/>
  <c r="BA20" i="10" s="1"/>
  <c r="BB20" i="10" s="1"/>
  <c r="BC20" i="10" s="1"/>
  <c r="BD20" i="10" s="1"/>
  <c r="BE20" i="10" s="1"/>
  <c r="BF20" i="10" s="1"/>
  <c r="BG20" i="10" s="1"/>
  <c r="BH20" i="10" s="1"/>
  <c r="BI20" i="10" s="1"/>
  <c r="BJ20" i="10" s="1"/>
  <c r="BK20" i="10" s="1"/>
  <c r="BL20" i="10" s="1"/>
  <c r="BM20" i="10" s="1"/>
  <c r="BN20" i="10" s="1"/>
  <c r="BO20" i="10" s="1"/>
  <c r="BP20" i="10" s="1"/>
  <c r="BQ20" i="10" s="1"/>
  <c r="BR20" i="10" s="1"/>
  <c r="BS20" i="10" s="1"/>
  <c r="BT20" i="10" s="1"/>
  <c r="BU20" i="10" s="1"/>
  <c r="BV20" i="10" s="1"/>
  <c r="BW20" i="10" s="1"/>
  <c r="BX20" i="10" s="1"/>
  <c r="BY20" i="10" s="1"/>
  <c r="BZ20" i="10" s="1"/>
  <c r="CA20" i="10" s="1"/>
  <c r="CB20" i="10" s="1"/>
  <c r="Y20" i="10"/>
  <c r="Z20" i="10" s="1"/>
  <c r="AA20" i="10" s="1"/>
  <c r="AB20" i="10" s="1"/>
  <c r="AC20" i="10" s="1"/>
  <c r="AD20" i="10" s="1"/>
  <c r="AE20" i="10" s="1"/>
  <c r="AF20" i="10" s="1"/>
  <c r="AG20" i="10" s="1"/>
  <c r="AH20" i="10" s="1"/>
  <c r="AI20" i="10" s="1"/>
  <c r="AJ20" i="10" s="1"/>
  <c r="AK20" i="10" s="1"/>
  <c r="AL20" i="10" s="1"/>
  <c r="AM20" i="10" s="1"/>
  <c r="AN20" i="10" s="1"/>
  <c r="AO20" i="10" s="1"/>
  <c r="AP20" i="10" s="1"/>
  <c r="X20" i="10"/>
  <c r="BD19" i="10"/>
  <c r="BE19" i="10" s="1"/>
  <c r="BF19" i="10" s="1"/>
  <c r="BG19" i="10" s="1"/>
  <c r="BH19" i="10" s="1"/>
  <c r="BI19" i="10" s="1"/>
  <c r="BJ19" i="10" s="1"/>
  <c r="BC19" i="10"/>
  <c r="BL18" i="10"/>
  <c r="BM18" i="10" s="1"/>
  <c r="BN18" i="10" s="1"/>
  <c r="BO18" i="10" s="1"/>
  <c r="BP18" i="10" s="1"/>
  <c r="BQ18" i="10" s="1"/>
  <c r="BR18" i="10" s="1"/>
  <c r="BS18" i="10" s="1"/>
  <c r="BT18" i="10" s="1"/>
  <c r="BU18" i="10" s="1"/>
  <c r="BV18" i="10" s="1"/>
  <c r="BW18" i="10" s="1"/>
  <c r="BX18" i="10" s="1"/>
  <c r="BY18" i="10" s="1"/>
  <c r="BZ18" i="10" s="1"/>
  <c r="CA18" i="10" s="1"/>
  <c r="CB18" i="10" s="1"/>
  <c r="BK18" i="10"/>
  <c r="BL17" i="10"/>
  <c r="BM17" i="10" s="1"/>
  <c r="BN17" i="10" s="1"/>
  <c r="BO17" i="10" s="1"/>
  <c r="BP17" i="10" s="1"/>
  <c r="BQ17" i="10" s="1"/>
  <c r="BR17" i="10" s="1"/>
  <c r="BS17" i="10" s="1"/>
  <c r="BT17" i="10" s="1"/>
  <c r="BU17" i="10" s="1"/>
  <c r="BV17" i="10" s="1"/>
  <c r="BW17" i="10" s="1"/>
  <c r="BX17" i="10" s="1"/>
  <c r="BY17" i="10" s="1"/>
  <c r="BZ17" i="10" s="1"/>
  <c r="CA17" i="10" s="1"/>
  <c r="CB17" i="10" s="1"/>
  <c r="BK17" i="10"/>
  <c r="Y16" i="10"/>
  <c r="Z16" i="10" s="1"/>
  <c r="AA16" i="10" s="1"/>
  <c r="AB16" i="10" s="1"/>
  <c r="AC16" i="10" s="1"/>
  <c r="AD16" i="10" s="1"/>
  <c r="AE16" i="10" s="1"/>
  <c r="AF16" i="10" s="1"/>
  <c r="AG16" i="10" s="1"/>
  <c r="AH16" i="10" s="1"/>
  <c r="AI16" i="10" s="1"/>
  <c r="AJ16" i="10" s="1"/>
  <c r="AK16" i="10" s="1"/>
  <c r="AL16" i="10" s="1"/>
  <c r="AM16" i="10" s="1"/>
  <c r="AN16" i="10" s="1"/>
  <c r="AO16" i="10" s="1"/>
  <c r="AP16" i="10" s="1"/>
  <c r="AQ16" i="10" s="1"/>
  <c r="AR16" i="10" s="1"/>
  <c r="AS16" i="10" s="1"/>
  <c r="AT16" i="10" s="1"/>
  <c r="AU16" i="10" s="1"/>
  <c r="AV16" i="10" s="1"/>
  <c r="AW16" i="10" s="1"/>
  <c r="AX16" i="10" s="1"/>
  <c r="AY16" i="10" s="1"/>
  <c r="AZ16" i="10" s="1"/>
  <c r="BA16" i="10" s="1"/>
  <c r="BB16" i="10" s="1"/>
  <c r="BC16" i="10" s="1"/>
  <c r="BD16" i="10" s="1"/>
  <c r="BE16" i="10" s="1"/>
  <c r="BF16" i="10" s="1"/>
  <c r="BG16" i="10" s="1"/>
  <c r="BH16" i="10" s="1"/>
  <c r="BI16" i="10" s="1"/>
  <c r="BJ16" i="10" s="1"/>
  <c r="BK16" i="10" s="1"/>
  <c r="BL16" i="10" s="1"/>
  <c r="BM16" i="10" s="1"/>
  <c r="BN16" i="10" s="1"/>
  <c r="BO16" i="10" s="1"/>
  <c r="BP16" i="10" s="1"/>
  <c r="BQ16" i="10" s="1"/>
  <c r="BR16" i="10" s="1"/>
  <c r="BS16" i="10" s="1"/>
  <c r="BT16" i="10" s="1"/>
  <c r="BU16" i="10" s="1"/>
  <c r="BV16" i="10" s="1"/>
  <c r="BW16" i="10" s="1"/>
  <c r="BX16" i="10" s="1"/>
  <c r="BY16" i="10" s="1"/>
  <c r="BZ16" i="10" s="1"/>
  <c r="CA16" i="10" s="1"/>
  <c r="CB16" i="10" s="1"/>
  <c r="X16" i="10"/>
  <c r="Y15" i="10"/>
  <c r="Z15" i="10" s="1"/>
  <c r="AA15" i="10" s="1"/>
  <c r="AB15" i="10" s="1"/>
  <c r="AC15" i="10" s="1"/>
  <c r="AD15" i="10" s="1"/>
  <c r="AE15" i="10" s="1"/>
  <c r="AF15" i="10" s="1"/>
  <c r="AG15" i="10" s="1"/>
  <c r="AH15" i="10" s="1"/>
  <c r="AI15" i="10" s="1"/>
  <c r="AJ15" i="10" s="1"/>
  <c r="AK15" i="10" s="1"/>
  <c r="AL15" i="10" s="1"/>
  <c r="AM15" i="10" s="1"/>
  <c r="AN15" i="10" s="1"/>
  <c r="AO15" i="10" s="1"/>
  <c r="AP15" i="10" s="1"/>
  <c r="AQ15" i="10" s="1"/>
  <c r="AR15" i="10" s="1"/>
  <c r="AS15" i="10" s="1"/>
  <c r="AT15" i="10" s="1"/>
  <c r="AU15" i="10" s="1"/>
  <c r="AV15" i="10" s="1"/>
  <c r="AW15" i="10" s="1"/>
  <c r="AX15" i="10" s="1"/>
  <c r="AY15" i="10" s="1"/>
  <c r="AZ15" i="10" s="1"/>
  <c r="BA15" i="10" s="1"/>
  <c r="BB15" i="10" s="1"/>
  <c r="BC15" i="10" s="1"/>
  <c r="BD15" i="10" s="1"/>
  <c r="BE15" i="10" s="1"/>
  <c r="BF15" i="10" s="1"/>
  <c r="BG15" i="10" s="1"/>
  <c r="BH15" i="10" s="1"/>
  <c r="BI15" i="10" s="1"/>
  <c r="BJ15" i="10" s="1"/>
  <c r="BK15" i="10" s="1"/>
  <c r="BL15" i="10" s="1"/>
  <c r="BM15" i="10" s="1"/>
  <c r="BN15" i="10" s="1"/>
  <c r="BO15" i="10" s="1"/>
  <c r="BP15" i="10" s="1"/>
  <c r="BQ15" i="10" s="1"/>
  <c r="BR15" i="10" s="1"/>
  <c r="BS15" i="10" s="1"/>
  <c r="BT15" i="10" s="1"/>
  <c r="BU15" i="10" s="1"/>
  <c r="BV15" i="10" s="1"/>
  <c r="BW15" i="10" s="1"/>
  <c r="BX15" i="10" s="1"/>
  <c r="BY15" i="10" s="1"/>
  <c r="BZ15" i="10" s="1"/>
  <c r="CA15" i="10" s="1"/>
  <c r="CB15" i="10" s="1"/>
  <c r="X15" i="10"/>
  <c r="X14" i="10"/>
  <c r="Y14" i="10" s="1"/>
  <c r="Z14" i="10" s="1"/>
  <c r="AA14" i="10" s="1"/>
  <c r="AB14" i="10" s="1"/>
  <c r="AC14" i="10" s="1"/>
  <c r="AD14" i="10" s="1"/>
  <c r="AE14" i="10" s="1"/>
  <c r="AF14" i="10" s="1"/>
  <c r="Y11" i="10"/>
  <c r="X11" i="10"/>
  <c r="X24" i="10" s="1"/>
  <c r="CB9" i="10"/>
  <c r="CA9" i="10"/>
  <c r="BZ9" i="10"/>
  <c r="BY9" i="10"/>
  <c r="BX9" i="10"/>
  <c r="BW9" i="10"/>
  <c r="BV9" i="10"/>
  <c r="BU9" i="10"/>
  <c r="BT9" i="10"/>
  <c r="BS9" i="10"/>
  <c r="BR9" i="10"/>
  <c r="BQ9" i="10"/>
  <c r="BP9" i="10"/>
  <c r="BO9" i="10"/>
  <c r="BN9" i="10"/>
  <c r="BM9" i="10"/>
  <c r="BL9" i="10"/>
  <c r="BK9" i="10"/>
  <c r="BJ9" i="10"/>
  <c r="BI9" i="10"/>
  <c r="BH9" i="10"/>
  <c r="BG9" i="10"/>
  <c r="BF9" i="10"/>
  <c r="BD9" i="10"/>
  <c r="BC9" i="10"/>
  <c r="BB9" i="10"/>
  <c r="BA9" i="10"/>
  <c r="AZ9" i="10"/>
  <c r="AY9" i="10"/>
  <c r="AX9" i="10"/>
  <c r="AW9" i="10"/>
  <c r="AV9" i="10"/>
  <c r="AU9" i="10"/>
  <c r="AT9" i="10"/>
  <c r="AS9" i="10"/>
  <c r="AR9" i="10"/>
  <c r="AQ9" i="10"/>
  <c r="AP9" i="10"/>
  <c r="AO9" i="10"/>
  <c r="AN9" i="10"/>
  <c r="AM9" i="10"/>
  <c r="AL9" i="10"/>
  <c r="AK9" i="10"/>
  <c r="AJ9" i="10"/>
  <c r="AI9" i="10"/>
  <c r="AH9" i="10"/>
  <c r="AG9" i="10"/>
  <c r="AF9" i="10"/>
  <c r="AE9" i="10"/>
  <c r="AD9" i="10"/>
  <c r="AC9" i="10"/>
  <c r="AB9" i="10"/>
  <c r="AA9" i="10"/>
  <c r="Z9" i="10"/>
  <c r="Y9" i="10"/>
  <c r="X9" i="10"/>
  <c r="BE6" i="10"/>
  <c r="BE9" i="10" s="1"/>
  <c r="Z1" i="10"/>
  <c r="BK32" i="10" s="1"/>
  <c r="L826" i="9"/>
  <c r="O825" i="9"/>
  <c r="L825" i="9"/>
  <c r="O826" i="9" s="1"/>
  <c r="S820" i="9"/>
  <c r="T803" i="9"/>
  <c r="S796" i="9"/>
  <c r="R796" i="9"/>
  <c r="L789" i="9"/>
  <c r="O788" i="9"/>
  <c r="O789" i="9" s="1"/>
  <c r="L788" i="9"/>
  <c r="W784" i="9"/>
  <c r="V783" i="9"/>
  <c r="W783" i="9" s="1"/>
  <c r="S779" i="9"/>
  <c r="S771" i="9"/>
  <c r="R771" i="9"/>
  <c r="R779" i="9" s="1"/>
  <c r="O755" i="9"/>
  <c r="L755" i="9"/>
  <c r="O754" i="9"/>
  <c r="L754" i="9"/>
  <c r="O721" i="9"/>
  <c r="L721" i="9"/>
  <c r="O720" i="9"/>
  <c r="L720" i="9"/>
  <c r="O687" i="9"/>
  <c r="L687" i="9"/>
  <c r="O686" i="9"/>
  <c r="L686" i="9"/>
  <c r="L654" i="9"/>
  <c r="O653" i="9"/>
  <c r="L653" i="9"/>
  <c r="O654" i="9" s="1"/>
  <c r="L620" i="9"/>
  <c r="O619" i="9"/>
  <c r="L619" i="9"/>
  <c r="O620" i="9" s="1"/>
  <c r="H584" i="9"/>
  <c r="E584" i="9"/>
  <c r="H585" i="9" s="1"/>
  <c r="H561" i="9"/>
  <c r="H562" i="9" s="1"/>
  <c r="E561" i="9"/>
  <c r="H537" i="9"/>
  <c r="H536" i="9"/>
  <c r="E536" i="9"/>
  <c r="H513" i="9"/>
  <c r="E513" i="9"/>
  <c r="H490" i="9"/>
  <c r="H489" i="9"/>
  <c r="E489" i="9"/>
  <c r="H466" i="9"/>
  <c r="H465" i="9"/>
  <c r="E465" i="9"/>
  <c r="H442" i="9"/>
  <c r="E442" i="9"/>
  <c r="H443" i="9" s="1"/>
  <c r="H422" i="9"/>
  <c r="E422" i="9"/>
  <c r="H423" i="9" s="1"/>
  <c r="H402" i="9"/>
  <c r="H401" i="9"/>
  <c r="E401" i="9"/>
  <c r="L376" i="9"/>
  <c r="L379" i="9" s="1"/>
  <c r="H366" i="9"/>
  <c r="E366" i="9"/>
  <c r="L359" i="9"/>
  <c r="L370" i="9" s="1"/>
  <c r="L377" i="9" s="1"/>
  <c r="H359" i="9"/>
  <c r="H346" i="9"/>
  <c r="E346" i="9"/>
  <c r="H347" i="9" s="1"/>
  <c r="J341" i="9"/>
  <c r="H326" i="9"/>
  <c r="E326" i="9"/>
  <c r="H327" i="9" s="1"/>
  <c r="H306" i="9"/>
  <c r="E306" i="9"/>
  <c r="H307" i="9" s="1"/>
  <c r="H288" i="9"/>
  <c r="H287" i="9"/>
  <c r="E287" i="9"/>
  <c r="H265" i="9"/>
  <c r="E265" i="9"/>
  <c r="H266" i="9" s="1"/>
  <c r="H242" i="9"/>
  <c r="E242" i="9"/>
  <c r="H243" i="9" s="1"/>
  <c r="N227" i="9"/>
  <c r="N225" i="9"/>
  <c r="K222" i="9"/>
  <c r="H222" i="9"/>
  <c r="N220" i="9"/>
  <c r="N219" i="9"/>
  <c r="K218" i="9"/>
  <c r="E214" i="9"/>
  <c r="E222" i="9" s="1"/>
  <c r="H223" i="9" s="1"/>
  <c r="H199" i="9"/>
  <c r="E199" i="9"/>
  <c r="H200" i="9" s="1"/>
  <c r="K195" i="9"/>
  <c r="L179" i="9"/>
  <c r="H178" i="9"/>
  <c r="E178" i="9"/>
  <c r="H179" i="9" s="1"/>
  <c r="K182" i="9" s="1"/>
  <c r="K183" i="9" s="1"/>
  <c r="K184" i="9" s="1"/>
  <c r="H159" i="9"/>
  <c r="E159" i="9"/>
  <c r="H160" i="9" s="1"/>
  <c r="H138" i="9"/>
  <c r="K141" i="9" s="1"/>
  <c r="K142" i="9" s="1"/>
  <c r="K143" i="9" s="1"/>
  <c r="H137" i="9"/>
  <c r="E137" i="9"/>
  <c r="H116" i="9"/>
  <c r="E116" i="9"/>
  <c r="H117" i="9" s="1"/>
  <c r="H95" i="9"/>
  <c r="E95" i="9"/>
  <c r="H96" i="9" s="1"/>
  <c r="H74" i="9"/>
  <c r="E74" i="9"/>
  <c r="H75" i="9" s="1"/>
  <c r="H55" i="9"/>
  <c r="E55" i="9"/>
  <c r="H56" i="9" s="1"/>
  <c r="E49" i="9"/>
  <c r="H35" i="9"/>
  <c r="E30" i="9"/>
  <c r="E35" i="9" s="1"/>
  <c r="H36" i="9" s="1"/>
  <c r="H15" i="9"/>
  <c r="E15" i="9"/>
  <c r="H16" i="9" s="1"/>
  <c r="D1463" i="8"/>
  <c r="G1463" i="8" s="1"/>
  <c r="C1463" i="8"/>
  <c r="G1462" i="8"/>
  <c r="D1462" i="8"/>
  <c r="C1462" i="8"/>
  <c r="G1461" i="8"/>
  <c r="D1461" i="8"/>
  <c r="C1461" i="8"/>
  <c r="D1460" i="8"/>
  <c r="G1460" i="8" s="1"/>
  <c r="C1460" i="8"/>
  <c r="D1459" i="8"/>
  <c r="G1459" i="8" s="1"/>
  <c r="C1459" i="8"/>
  <c r="D1458" i="8"/>
  <c r="G1458" i="8" s="1"/>
  <c r="C1458" i="8"/>
  <c r="D1457" i="8"/>
  <c r="G1457" i="8" s="1"/>
  <c r="C1457" i="8"/>
  <c r="G1456" i="8"/>
  <c r="D1456" i="8"/>
  <c r="C1456" i="8"/>
  <c r="D1455" i="8"/>
  <c r="G1455" i="8" s="1"/>
  <c r="C1455" i="8"/>
  <c r="D1454" i="8"/>
  <c r="G1454" i="8" s="1"/>
  <c r="C1454" i="8"/>
  <c r="G1453" i="8"/>
  <c r="D1453" i="8"/>
  <c r="C1453" i="8"/>
  <c r="C1452" i="8"/>
  <c r="G1451" i="8"/>
  <c r="D1451" i="8"/>
  <c r="C1451" i="8"/>
  <c r="D1450" i="8"/>
  <c r="G1450" i="8" s="1"/>
  <c r="C1450" i="8"/>
  <c r="G1449" i="8"/>
  <c r="D1449" i="8"/>
  <c r="C1449" i="8"/>
  <c r="G1448" i="8"/>
  <c r="D1448" i="8"/>
  <c r="C1448" i="8"/>
  <c r="D1447" i="8"/>
  <c r="G1447" i="8" s="1"/>
  <c r="C1447" i="8"/>
  <c r="G1446" i="8"/>
  <c r="D1446" i="8"/>
  <c r="C1446" i="8"/>
  <c r="G1445" i="8"/>
  <c r="D1445" i="8"/>
  <c r="C1445" i="8"/>
  <c r="D1444" i="8"/>
  <c r="G1444" i="8" s="1"/>
  <c r="C1444" i="8"/>
  <c r="G1443" i="8"/>
  <c r="D1443" i="8"/>
  <c r="C1443" i="8"/>
  <c r="G1442" i="8"/>
  <c r="D1442" i="8"/>
  <c r="C1442" i="8"/>
  <c r="C1441" i="8"/>
  <c r="G1440" i="8"/>
  <c r="D1440" i="8"/>
  <c r="C1440" i="8"/>
  <c r="D1439" i="8"/>
  <c r="G1439" i="8" s="1"/>
  <c r="C1439" i="8"/>
  <c r="G1438" i="8"/>
  <c r="D1438" i="8"/>
  <c r="C1438" i="8"/>
  <c r="D1437" i="8"/>
  <c r="G1437" i="8" s="1"/>
  <c r="C1437" i="8"/>
  <c r="D1436" i="8"/>
  <c r="G1436" i="8" s="1"/>
  <c r="C1436" i="8"/>
  <c r="C1435" i="8"/>
  <c r="D1434" i="8"/>
  <c r="G1434" i="8" s="1"/>
  <c r="C1434" i="8"/>
  <c r="D1433" i="8"/>
  <c r="G1433" i="8" s="1"/>
  <c r="C1433" i="8"/>
  <c r="D1432" i="8"/>
  <c r="G1432" i="8" s="1"/>
  <c r="C1432" i="8"/>
  <c r="G1431" i="8"/>
  <c r="D1431" i="8"/>
  <c r="C1431" i="8"/>
  <c r="D1430" i="8"/>
  <c r="G1430" i="8" s="1"/>
  <c r="C1430" i="8"/>
  <c r="G1429" i="8"/>
  <c r="D1429" i="8"/>
  <c r="C1429" i="8"/>
  <c r="D1428" i="8"/>
  <c r="G1428" i="8" s="1"/>
  <c r="C1428" i="8"/>
  <c r="G1427" i="8"/>
  <c r="D1427" i="8"/>
  <c r="C1427" i="8"/>
  <c r="D1426" i="8"/>
  <c r="G1426" i="8" s="1"/>
  <c r="C1426" i="8"/>
  <c r="G1425" i="8"/>
  <c r="D1425" i="8"/>
  <c r="C1425" i="8"/>
  <c r="G1424" i="8"/>
  <c r="D1424" i="8"/>
  <c r="C1424" i="8"/>
  <c r="C1423" i="8"/>
  <c r="C1422" i="8"/>
  <c r="G1421" i="8"/>
  <c r="D1421" i="8"/>
  <c r="C1421" i="8"/>
  <c r="D1420" i="8"/>
  <c r="G1420" i="8" s="1"/>
  <c r="C1420" i="8"/>
  <c r="G1419" i="8"/>
  <c r="D1419" i="8"/>
  <c r="C1419" i="8"/>
  <c r="G1418" i="8"/>
  <c r="D1418" i="8"/>
  <c r="C1418" i="8"/>
  <c r="C1417" i="8"/>
  <c r="G1416" i="8"/>
  <c r="D1416" i="8"/>
  <c r="C1416" i="8"/>
  <c r="D1415" i="8"/>
  <c r="G1415" i="8" s="1"/>
  <c r="C1415" i="8"/>
  <c r="G1414" i="8"/>
  <c r="D1414" i="8"/>
  <c r="C1414" i="8"/>
  <c r="C1413" i="8"/>
  <c r="G1412" i="8"/>
  <c r="D1412" i="8"/>
  <c r="C1412" i="8"/>
  <c r="D1411" i="8"/>
  <c r="G1411" i="8" s="1"/>
  <c r="C1411" i="8"/>
  <c r="D1410" i="8"/>
  <c r="G1410" i="8" s="1"/>
  <c r="C1410" i="8"/>
  <c r="G1409" i="8"/>
  <c r="D1409" i="8"/>
  <c r="C1409" i="8"/>
  <c r="G1408" i="8"/>
  <c r="D1408" i="8"/>
  <c r="C1408" i="8"/>
  <c r="G1407" i="8"/>
  <c r="D1407" i="8"/>
  <c r="C1407" i="8"/>
  <c r="D1406" i="8"/>
  <c r="G1406" i="8" s="1"/>
  <c r="C1406" i="8"/>
  <c r="G1405" i="8"/>
  <c r="D1405" i="8"/>
  <c r="C1405" i="8"/>
  <c r="G1404" i="8"/>
  <c r="D1404" i="8"/>
  <c r="C1404" i="8"/>
  <c r="G1403" i="8"/>
  <c r="D1403" i="8"/>
  <c r="C1403" i="8"/>
  <c r="G1402" i="8"/>
  <c r="D1402" i="8"/>
  <c r="C1402" i="8"/>
  <c r="G1401" i="8"/>
  <c r="D1401" i="8"/>
  <c r="C1401" i="8"/>
  <c r="D1400" i="8"/>
  <c r="G1400" i="8" s="1"/>
  <c r="C1400" i="8"/>
  <c r="G1399" i="8"/>
  <c r="D1399" i="8"/>
  <c r="C1399" i="8"/>
  <c r="D1398" i="8"/>
  <c r="G1398" i="8" s="1"/>
  <c r="C1398" i="8"/>
  <c r="G1397" i="8"/>
  <c r="D1397" i="8"/>
  <c r="C1397" i="8"/>
  <c r="D1396" i="8"/>
  <c r="G1396" i="8" s="1"/>
  <c r="C1396" i="8"/>
  <c r="D1395" i="8"/>
  <c r="G1395" i="8" s="1"/>
  <c r="C1395" i="8"/>
  <c r="G1394" i="8"/>
  <c r="D1394" i="8"/>
  <c r="C1394" i="8"/>
  <c r="D1393" i="8"/>
  <c r="G1393" i="8" s="1"/>
  <c r="G1392" i="8"/>
  <c r="D1392" i="8"/>
  <c r="C1392" i="8"/>
  <c r="D1391" i="8"/>
  <c r="G1391" i="8" s="1"/>
  <c r="C1391" i="8"/>
  <c r="D1390" i="8"/>
  <c r="G1390" i="8" s="1"/>
  <c r="C1390" i="8"/>
  <c r="D1389" i="8"/>
  <c r="G1389" i="8" s="1"/>
  <c r="C1389" i="8"/>
  <c r="D1388" i="8"/>
  <c r="G1388" i="8" s="1"/>
  <c r="G1387" i="8"/>
  <c r="D1387" i="8"/>
  <c r="C1387" i="8"/>
  <c r="G1386" i="8"/>
  <c r="D1386" i="8"/>
  <c r="C1386" i="8"/>
  <c r="G1385" i="8"/>
  <c r="D1385" i="8"/>
  <c r="C1385" i="8"/>
  <c r="D1384" i="8"/>
  <c r="G1384" i="8" s="1"/>
  <c r="C1384" i="8"/>
  <c r="G1383" i="8"/>
  <c r="D1383" i="8"/>
  <c r="C1383" i="8"/>
  <c r="G1382" i="8"/>
  <c r="D1382" i="8"/>
  <c r="C1382" i="8"/>
  <c r="G1381" i="8"/>
  <c r="D1381" i="8"/>
  <c r="C1381" i="8"/>
  <c r="G1380" i="8"/>
  <c r="D1380" i="8"/>
  <c r="C1380" i="8"/>
  <c r="G1379" i="8"/>
  <c r="D1379" i="8"/>
  <c r="C1379" i="8"/>
  <c r="D1378" i="8"/>
  <c r="G1378" i="8" s="1"/>
  <c r="G1377" i="8"/>
  <c r="D1377" i="8"/>
  <c r="C1377" i="8"/>
  <c r="C1376" i="8"/>
  <c r="D1375" i="8"/>
  <c r="G1375" i="8" s="1"/>
  <c r="C1375" i="8"/>
  <c r="G1374" i="8"/>
  <c r="D1374" i="8"/>
  <c r="C1374" i="8"/>
  <c r="D1373" i="8"/>
  <c r="G1373" i="8" s="1"/>
  <c r="C1373" i="8"/>
  <c r="G1372" i="8"/>
  <c r="D1372" i="8"/>
  <c r="C1372" i="8"/>
  <c r="D1371" i="8"/>
  <c r="G1371" i="8" s="1"/>
  <c r="D1370" i="8"/>
  <c r="G1370" i="8" s="1"/>
  <c r="D1369" i="8"/>
  <c r="G1369" i="8" s="1"/>
  <c r="C1369" i="8"/>
  <c r="D1368" i="8"/>
  <c r="G1368" i="8" s="1"/>
  <c r="C1368" i="8"/>
  <c r="D1367" i="8"/>
  <c r="G1367" i="8" s="1"/>
  <c r="C1367" i="8"/>
  <c r="D1366" i="8"/>
  <c r="G1366" i="8" s="1"/>
  <c r="C1366" i="8"/>
  <c r="G1365" i="8"/>
  <c r="D1365" i="8"/>
  <c r="C1365" i="8"/>
  <c r="G1364" i="8"/>
  <c r="D1364" i="8"/>
  <c r="C1364" i="8"/>
  <c r="G1363" i="8"/>
  <c r="D1363" i="8"/>
  <c r="C1363" i="8"/>
  <c r="D1362" i="8"/>
  <c r="G1362" i="8" s="1"/>
  <c r="C1362" i="8"/>
  <c r="G1361" i="8"/>
  <c r="D1361" i="8"/>
  <c r="C1361" i="8"/>
  <c r="D1360" i="8"/>
  <c r="G1360" i="8" s="1"/>
  <c r="C1360" i="8"/>
  <c r="G1359" i="8"/>
  <c r="D1359" i="8"/>
  <c r="C1359" i="8"/>
  <c r="G1358" i="8"/>
  <c r="D1358" i="8"/>
  <c r="C1358" i="8"/>
  <c r="G1357" i="8"/>
  <c r="D1357" i="8"/>
  <c r="C1357" i="8"/>
  <c r="D1356" i="8"/>
  <c r="G1356" i="8" s="1"/>
  <c r="C1356" i="8"/>
  <c r="D1355" i="8"/>
  <c r="G1355" i="8" s="1"/>
  <c r="C1355" i="8"/>
  <c r="G1354" i="8"/>
  <c r="D1354" i="8"/>
  <c r="C1354" i="8"/>
  <c r="G1353" i="8"/>
  <c r="D1353" i="8"/>
  <c r="C1353" i="8"/>
  <c r="G1352" i="8"/>
  <c r="D1352" i="8"/>
  <c r="C1352" i="8"/>
  <c r="D1351" i="8"/>
  <c r="G1351" i="8" s="1"/>
  <c r="C1351" i="8"/>
  <c r="G1350" i="8"/>
  <c r="D1350" i="8"/>
  <c r="C1350" i="8"/>
  <c r="D1349" i="8"/>
  <c r="G1349" i="8" s="1"/>
  <c r="C1349" i="8"/>
  <c r="D1348" i="8"/>
  <c r="G1348" i="8" s="1"/>
  <c r="C1348" i="8"/>
  <c r="D1346" i="8"/>
  <c r="G1346" i="8" s="1"/>
  <c r="C1346" i="8"/>
  <c r="D1345" i="8"/>
  <c r="G1345" i="8" s="1"/>
  <c r="C1345" i="8"/>
  <c r="D1344" i="8"/>
  <c r="G1344" i="8" s="1"/>
  <c r="C1344" i="8"/>
  <c r="G1343" i="8"/>
  <c r="D1343" i="8"/>
  <c r="C1343" i="8"/>
  <c r="G1342" i="8"/>
  <c r="D1342" i="8"/>
  <c r="C1342" i="8"/>
  <c r="D1341" i="8"/>
  <c r="G1341" i="8" s="1"/>
  <c r="C1341" i="8"/>
  <c r="D1340" i="8"/>
  <c r="G1340" i="8" s="1"/>
  <c r="C1340" i="8"/>
  <c r="G1339" i="8"/>
  <c r="D1339" i="8"/>
  <c r="C1339" i="8"/>
  <c r="G1338" i="8"/>
  <c r="D1338" i="8"/>
  <c r="C1338" i="8"/>
  <c r="D1337" i="8"/>
  <c r="G1337" i="8" s="1"/>
  <c r="C1337" i="8"/>
  <c r="G1336" i="8"/>
  <c r="D1336" i="8"/>
  <c r="C1336" i="8"/>
  <c r="D1335" i="8"/>
  <c r="G1335" i="8" s="1"/>
  <c r="C1335" i="8"/>
  <c r="D1334" i="8"/>
  <c r="G1334" i="8" s="1"/>
  <c r="C1334" i="8"/>
  <c r="D1333" i="8"/>
  <c r="G1333" i="8" s="1"/>
  <c r="C1333" i="8"/>
  <c r="D1332" i="8"/>
  <c r="G1332" i="8" s="1"/>
  <c r="C1332" i="8"/>
  <c r="G1331" i="8"/>
  <c r="D1331" i="8"/>
  <c r="C1331" i="8"/>
  <c r="D1330" i="8"/>
  <c r="G1330" i="8" s="1"/>
  <c r="C1330" i="8"/>
  <c r="G1329" i="8"/>
  <c r="D1329" i="8"/>
  <c r="G1328" i="8"/>
  <c r="D1328" i="8"/>
  <c r="G1327" i="8"/>
  <c r="D1327" i="8"/>
  <c r="C1327" i="8"/>
  <c r="G1326" i="8"/>
  <c r="D1326" i="8"/>
  <c r="C1326" i="8"/>
  <c r="D1325" i="8"/>
  <c r="G1325" i="8" s="1"/>
  <c r="C1325" i="8"/>
  <c r="G1324" i="8"/>
  <c r="D1324" i="8"/>
  <c r="C1324" i="8"/>
  <c r="D1323" i="8"/>
  <c r="G1323" i="8" s="1"/>
  <c r="C1323" i="8"/>
  <c r="G1322" i="8"/>
  <c r="D1322" i="8"/>
  <c r="C1322" i="8"/>
  <c r="G1321" i="8"/>
  <c r="D1321" i="8"/>
  <c r="C1321" i="8"/>
  <c r="G1320" i="8"/>
  <c r="D1320" i="8"/>
  <c r="C1320" i="8"/>
  <c r="D1319" i="8"/>
  <c r="G1319" i="8" s="1"/>
  <c r="C1319" i="8"/>
  <c r="D1318" i="8"/>
  <c r="G1318" i="8" s="1"/>
  <c r="C1318" i="8"/>
  <c r="G1317" i="8"/>
  <c r="D1317" i="8"/>
  <c r="C1317" i="8"/>
  <c r="D1316" i="8"/>
  <c r="G1316" i="8" s="1"/>
  <c r="C1316" i="8"/>
  <c r="G1315" i="8"/>
  <c r="D1315" i="8"/>
  <c r="C1315" i="8"/>
  <c r="G1314" i="8"/>
  <c r="D1314" i="8"/>
  <c r="C1314" i="8"/>
  <c r="G1312" i="8"/>
  <c r="D1312" i="8"/>
  <c r="C1312" i="8"/>
  <c r="G1311" i="8"/>
  <c r="D1311" i="8"/>
  <c r="C1311" i="8"/>
  <c r="G1310" i="8"/>
  <c r="D1310" i="8"/>
  <c r="C1310" i="8"/>
  <c r="D1309" i="8"/>
  <c r="G1309" i="8" s="1"/>
  <c r="C1309" i="8"/>
  <c r="G1308" i="8"/>
  <c r="D1308" i="8"/>
  <c r="C1308" i="8"/>
  <c r="D1307" i="8"/>
  <c r="G1307" i="8" s="1"/>
  <c r="C1307" i="8"/>
  <c r="G1306" i="8"/>
  <c r="D1306" i="8"/>
  <c r="C1306" i="8"/>
  <c r="D1305" i="8"/>
  <c r="G1305" i="8" s="1"/>
  <c r="C1305" i="8"/>
  <c r="D1304" i="8"/>
  <c r="G1304" i="8" s="1"/>
  <c r="C1304" i="8"/>
  <c r="D1303" i="8"/>
  <c r="G1303" i="8" s="1"/>
  <c r="C1303" i="8"/>
  <c r="D1302" i="8"/>
  <c r="G1302" i="8" s="1"/>
  <c r="C1302" i="8"/>
  <c r="C1301" i="8"/>
  <c r="G1300" i="8"/>
  <c r="D1300" i="8"/>
  <c r="C1300" i="8"/>
  <c r="G1299" i="8"/>
  <c r="D1299" i="8"/>
  <c r="C1299" i="8"/>
  <c r="C1297" i="8"/>
  <c r="D1296" i="8"/>
  <c r="G1296" i="8" s="1"/>
  <c r="C1296" i="8"/>
  <c r="D1295" i="8"/>
  <c r="G1295" i="8" s="1"/>
  <c r="C1295" i="8"/>
  <c r="G1294" i="8"/>
  <c r="D1294" i="8"/>
  <c r="D1293" i="8"/>
  <c r="G1293" i="8" s="1"/>
  <c r="C1293" i="8"/>
  <c r="G1292" i="8"/>
  <c r="D1292" i="8"/>
  <c r="C1292" i="8"/>
  <c r="D1291" i="8"/>
  <c r="G1291" i="8" s="1"/>
  <c r="C1291" i="8"/>
  <c r="D1290" i="8"/>
  <c r="G1290" i="8" s="1"/>
  <c r="C1290" i="8"/>
  <c r="G1289" i="8"/>
  <c r="D1289" i="8"/>
  <c r="C1288" i="8"/>
  <c r="G1287" i="8"/>
  <c r="D1287" i="8"/>
  <c r="C1287" i="8"/>
  <c r="G1286" i="8"/>
  <c r="D1286" i="8"/>
  <c r="C1286" i="8"/>
  <c r="G1285" i="8"/>
  <c r="D1285" i="8"/>
  <c r="C1285" i="8"/>
  <c r="D1283" i="8"/>
  <c r="G1283" i="8" s="1"/>
  <c r="C1283" i="8"/>
  <c r="G1282" i="8"/>
  <c r="D1282" i="8"/>
  <c r="C1282" i="8"/>
  <c r="D1281" i="8"/>
  <c r="G1281" i="8" s="1"/>
  <c r="C1281" i="8"/>
  <c r="G1280" i="8"/>
  <c r="D1280" i="8"/>
  <c r="C1280" i="8"/>
  <c r="D1279" i="8"/>
  <c r="G1279" i="8" s="1"/>
  <c r="C1279" i="8"/>
  <c r="G1278" i="8"/>
  <c r="D1278" i="8"/>
  <c r="C1278" i="8"/>
  <c r="C1277" i="8"/>
  <c r="D1276" i="8"/>
  <c r="G1276" i="8" s="1"/>
  <c r="C1276" i="8"/>
  <c r="G1275" i="8"/>
  <c r="D1275" i="8"/>
  <c r="C1275" i="8"/>
  <c r="D1274" i="8"/>
  <c r="G1274" i="8" s="1"/>
  <c r="C1274" i="8"/>
  <c r="G1273" i="8"/>
  <c r="D1273" i="8"/>
  <c r="C1273" i="8"/>
  <c r="D1272" i="8"/>
  <c r="G1272" i="8" s="1"/>
  <c r="C1272" i="8"/>
  <c r="G1271" i="8"/>
  <c r="D1271" i="8"/>
  <c r="C1271" i="8"/>
  <c r="G1270" i="8"/>
  <c r="D1270" i="8"/>
  <c r="G1269" i="8"/>
  <c r="D1269" i="8"/>
  <c r="D1268" i="8"/>
  <c r="G1268" i="8" s="1"/>
  <c r="D1267" i="8"/>
  <c r="G1267" i="8" s="1"/>
  <c r="C1267" i="8"/>
  <c r="G1266" i="8"/>
  <c r="D1266" i="8"/>
  <c r="C1266" i="8"/>
  <c r="G1265" i="8"/>
  <c r="D1265" i="8"/>
  <c r="C1265" i="8"/>
  <c r="G1264" i="8"/>
  <c r="D1264" i="8"/>
  <c r="C1264" i="8"/>
  <c r="C1263" i="8"/>
  <c r="G1262" i="8"/>
  <c r="D1262" i="8"/>
  <c r="C1262" i="8"/>
  <c r="D1261" i="8"/>
  <c r="G1261" i="8" s="1"/>
  <c r="C1261" i="8"/>
  <c r="D1260" i="8"/>
  <c r="G1260" i="8" s="1"/>
  <c r="C1260" i="8"/>
  <c r="D1259" i="8"/>
  <c r="G1259" i="8" s="1"/>
  <c r="C1259" i="8"/>
  <c r="D1258" i="8"/>
  <c r="G1258" i="8" s="1"/>
  <c r="C1258" i="8"/>
  <c r="G1257" i="8"/>
  <c r="D1257" i="8"/>
  <c r="C1257" i="8"/>
  <c r="G1256" i="8"/>
  <c r="D1256" i="8"/>
  <c r="C1256" i="8"/>
  <c r="G1255" i="8"/>
  <c r="D1255" i="8"/>
  <c r="C1255" i="8"/>
  <c r="D1254" i="8"/>
  <c r="G1254" i="8" s="1"/>
  <c r="C1254" i="8"/>
  <c r="G1253" i="8"/>
  <c r="D1253" i="8"/>
  <c r="C1253" i="8"/>
  <c r="D1252" i="8"/>
  <c r="G1252" i="8" s="1"/>
  <c r="C1252" i="8"/>
  <c r="D1251" i="8"/>
  <c r="G1251" i="8" s="1"/>
  <c r="C1251" i="8"/>
  <c r="D1250" i="8"/>
  <c r="G1250" i="8" s="1"/>
  <c r="C1250" i="8"/>
  <c r="D1249" i="8"/>
  <c r="G1249" i="8" s="1"/>
  <c r="G1248" i="8"/>
  <c r="D1248" i="8"/>
  <c r="C1248" i="8"/>
  <c r="G1247" i="8"/>
  <c r="D1247" i="8"/>
  <c r="C1247" i="8"/>
  <c r="G1246" i="8"/>
  <c r="D1246" i="8"/>
  <c r="C1246" i="8"/>
  <c r="D1245" i="8"/>
  <c r="G1245" i="8" s="1"/>
  <c r="C1245" i="8"/>
  <c r="G1244" i="8"/>
  <c r="D1244" i="8"/>
  <c r="C1244" i="8"/>
  <c r="G1243" i="8"/>
  <c r="D1243" i="8"/>
  <c r="C1243" i="8"/>
  <c r="D1242" i="8"/>
  <c r="G1242" i="8" s="1"/>
  <c r="C1242" i="8"/>
  <c r="D1241" i="8"/>
  <c r="G1241" i="8" s="1"/>
  <c r="C1241" i="8"/>
  <c r="D1240" i="8"/>
  <c r="G1240" i="8" s="1"/>
  <c r="C1240" i="8"/>
  <c r="D1239" i="8"/>
  <c r="G1239" i="8" s="1"/>
  <c r="C1239" i="8"/>
  <c r="D1238" i="8"/>
  <c r="G1238" i="8" s="1"/>
  <c r="C1238" i="8"/>
  <c r="G1237" i="8"/>
  <c r="D1237" i="8"/>
  <c r="C1237" i="8"/>
  <c r="G1236" i="8"/>
  <c r="D1236" i="8"/>
  <c r="C1236" i="8"/>
  <c r="G1235" i="8"/>
  <c r="D1235" i="8"/>
  <c r="C1235" i="8"/>
  <c r="G1234" i="8"/>
  <c r="D1234" i="8"/>
  <c r="D1233" i="8"/>
  <c r="G1233" i="8" s="1"/>
  <c r="C1233" i="8"/>
  <c r="D1232" i="8"/>
  <c r="G1232" i="8" s="1"/>
  <c r="C1232" i="8"/>
  <c r="D1230" i="8"/>
  <c r="G1230" i="8" s="1"/>
  <c r="C1230" i="8"/>
  <c r="D1229" i="8"/>
  <c r="G1229" i="8" s="1"/>
  <c r="C1229" i="8"/>
  <c r="G1228" i="8"/>
  <c r="D1228" i="8"/>
  <c r="C1228" i="8"/>
  <c r="G1227" i="8"/>
  <c r="D1227" i="8"/>
  <c r="C1227" i="8"/>
  <c r="G1226" i="8"/>
  <c r="D1226" i="8"/>
  <c r="C1226" i="8"/>
  <c r="G1225" i="8"/>
  <c r="D1225" i="8"/>
  <c r="D1224" i="8"/>
  <c r="G1224" i="8" s="1"/>
  <c r="C1224" i="8"/>
  <c r="D1223" i="8"/>
  <c r="G1223" i="8" s="1"/>
  <c r="C1223" i="8"/>
  <c r="D1222" i="8"/>
  <c r="G1222" i="8" s="1"/>
  <c r="C1222" i="8"/>
  <c r="G1221" i="8"/>
  <c r="D1221" i="8"/>
  <c r="C1221" i="8"/>
  <c r="D1220" i="8"/>
  <c r="G1220" i="8" s="1"/>
  <c r="C1220" i="8"/>
  <c r="G1219" i="8"/>
  <c r="D1219" i="8"/>
  <c r="C1219" i="8"/>
  <c r="G1218" i="8"/>
  <c r="D1218" i="8"/>
  <c r="C1218" i="8"/>
  <c r="G1216" i="8"/>
  <c r="D1216" i="8"/>
  <c r="C1216" i="8"/>
  <c r="G1215" i="8"/>
  <c r="D1215" i="8"/>
  <c r="C1215" i="8"/>
  <c r="C1214" i="8"/>
  <c r="C1213" i="8"/>
  <c r="D1212" i="8"/>
  <c r="G1212" i="8" s="1"/>
  <c r="C1212" i="8"/>
  <c r="D1211" i="8"/>
  <c r="G1211" i="8" s="1"/>
  <c r="C1211" i="8"/>
  <c r="G1210" i="8"/>
  <c r="D1210" i="8"/>
  <c r="C1210" i="8"/>
  <c r="G1209" i="8"/>
  <c r="D1209" i="8"/>
  <c r="C1209" i="8"/>
  <c r="D1208" i="8"/>
  <c r="G1208" i="8" s="1"/>
  <c r="C1208" i="8"/>
  <c r="G1207" i="8"/>
  <c r="D1207" i="8"/>
  <c r="C1207" i="8"/>
  <c r="G1206" i="8"/>
  <c r="D1206" i="8"/>
  <c r="C1206" i="8"/>
  <c r="G1205" i="8"/>
  <c r="D1205" i="8"/>
  <c r="C1205" i="8"/>
  <c r="G1204" i="8"/>
  <c r="D1204" i="8"/>
  <c r="C1204" i="8"/>
  <c r="D1203" i="8"/>
  <c r="G1203" i="8" s="1"/>
  <c r="C1203" i="8"/>
  <c r="D1202" i="8"/>
  <c r="G1202" i="8" s="1"/>
  <c r="C1202" i="8"/>
  <c r="G1201" i="8"/>
  <c r="D1201" i="8"/>
  <c r="C1201" i="8"/>
  <c r="G1200" i="8"/>
  <c r="D1200" i="8"/>
  <c r="C1200" i="8"/>
  <c r="G1199" i="8"/>
  <c r="D1199" i="8"/>
  <c r="C1199" i="8"/>
  <c r="G1198" i="8"/>
  <c r="D1198" i="8"/>
  <c r="C1198" i="8"/>
  <c r="G1197" i="8"/>
  <c r="D1197" i="8"/>
  <c r="C1197" i="8"/>
  <c r="C1196" i="8"/>
  <c r="D1195" i="8"/>
  <c r="G1195" i="8" s="1"/>
  <c r="C1195" i="8"/>
  <c r="G1194" i="8"/>
  <c r="D1194" i="8"/>
  <c r="C1194" i="8"/>
  <c r="D1193" i="8"/>
  <c r="G1193" i="8" s="1"/>
  <c r="C1193" i="8"/>
  <c r="G1192" i="8"/>
  <c r="D1192" i="8"/>
  <c r="C1192" i="8"/>
  <c r="D1191" i="8"/>
  <c r="G1191" i="8" s="1"/>
  <c r="C1191" i="8"/>
  <c r="G1190" i="8"/>
  <c r="D1190" i="8"/>
  <c r="C1190" i="8"/>
  <c r="G1189" i="8"/>
  <c r="D1189" i="8"/>
  <c r="C1189" i="8"/>
  <c r="G1188" i="8"/>
  <c r="D1188" i="8"/>
  <c r="C1188" i="8"/>
  <c r="G1187" i="8"/>
  <c r="D1187" i="8"/>
  <c r="C1187" i="8"/>
  <c r="D1186" i="8"/>
  <c r="G1186" i="8" s="1"/>
  <c r="D1185" i="8"/>
  <c r="G1185" i="8" s="1"/>
  <c r="C1185" i="8"/>
  <c r="D1184" i="8"/>
  <c r="G1184" i="8" s="1"/>
  <c r="C1184" i="8"/>
  <c r="G1183" i="8"/>
  <c r="D1183" i="8"/>
  <c r="C1183" i="8"/>
  <c r="G1182" i="8"/>
  <c r="D1182" i="8"/>
  <c r="C1182" i="8"/>
  <c r="G1181" i="8"/>
  <c r="D1181" i="8"/>
  <c r="C1181" i="8"/>
  <c r="G1180" i="8"/>
  <c r="D1180" i="8"/>
  <c r="C1180" i="8"/>
  <c r="G1179" i="8"/>
  <c r="D1179" i="8"/>
  <c r="C1179" i="8"/>
  <c r="G1178" i="8"/>
  <c r="D1178" i="8"/>
  <c r="C1178" i="8"/>
  <c r="D1177" i="8"/>
  <c r="G1177" i="8" s="1"/>
  <c r="C1177" i="8"/>
  <c r="G1176" i="8"/>
  <c r="D1176" i="8"/>
  <c r="C1176" i="8"/>
  <c r="D1175" i="8"/>
  <c r="G1175" i="8" s="1"/>
  <c r="C1175" i="8"/>
  <c r="G1174" i="8"/>
  <c r="D1174" i="8"/>
  <c r="C1174" i="8"/>
  <c r="D1173" i="8"/>
  <c r="G1173" i="8" s="1"/>
  <c r="C1173" i="8"/>
  <c r="D1172" i="8"/>
  <c r="G1172" i="8" s="1"/>
  <c r="C1172" i="8"/>
  <c r="G1171" i="8"/>
  <c r="D1171" i="8"/>
  <c r="C1171" i="8"/>
  <c r="G1170" i="8"/>
  <c r="D1170" i="8"/>
  <c r="C1170" i="8"/>
  <c r="G1169" i="8"/>
  <c r="D1169" i="8"/>
  <c r="G1168" i="8"/>
  <c r="D1168" i="8"/>
  <c r="G1167" i="8"/>
  <c r="D1167" i="8"/>
  <c r="C1167" i="8"/>
  <c r="G1166" i="8"/>
  <c r="D1166" i="8"/>
  <c r="C1166" i="8"/>
  <c r="C1165" i="8"/>
  <c r="D1164" i="8"/>
  <c r="G1164" i="8" s="1"/>
  <c r="C1164" i="8"/>
  <c r="D1163" i="8"/>
  <c r="G1163" i="8" s="1"/>
  <c r="G1162" i="8"/>
  <c r="D1162" i="8"/>
  <c r="C1162" i="8"/>
  <c r="D1161" i="8"/>
  <c r="G1161" i="8" s="1"/>
  <c r="G1160" i="8"/>
  <c r="D1160" i="8"/>
  <c r="C1160" i="8"/>
  <c r="G1159" i="8"/>
  <c r="D1159" i="8"/>
  <c r="C1159" i="8"/>
  <c r="D1158" i="8"/>
  <c r="G1158" i="8" s="1"/>
  <c r="C1158" i="8"/>
  <c r="G1157" i="8"/>
  <c r="D1157" i="8"/>
  <c r="C1157" i="8"/>
  <c r="D1156" i="8"/>
  <c r="G1156" i="8" s="1"/>
  <c r="C1156" i="8"/>
  <c r="G1155" i="8"/>
  <c r="D1155" i="8"/>
  <c r="C1155" i="8"/>
  <c r="D1154" i="8"/>
  <c r="G1154" i="8" s="1"/>
  <c r="C1154" i="8"/>
  <c r="D1153" i="8"/>
  <c r="G1153" i="8" s="1"/>
  <c r="C1153" i="8"/>
  <c r="D1152" i="8"/>
  <c r="G1152" i="8" s="1"/>
  <c r="C1152" i="8"/>
  <c r="G1151" i="8"/>
  <c r="D1151" i="8"/>
  <c r="C1151" i="8"/>
  <c r="D1150" i="8"/>
  <c r="G1150" i="8" s="1"/>
  <c r="C1150" i="8"/>
  <c r="G1149" i="8"/>
  <c r="D1149" i="8"/>
  <c r="C1149" i="8"/>
  <c r="G1148" i="8"/>
  <c r="D1148" i="8"/>
  <c r="C1147" i="8"/>
  <c r="G1146" i="8"/>
  <c r="D1146" i="8"/>
  <c r="C1146" i="8"/>
  <c r="D1145" i="8"/>
  <c r="G1145" i="8" s="1"/>
  <c r="C1145" i="8"/>
  <c r="D1143" i="8"/>
  <c r="G1143" i="8" s="1"/>
  <c r="C1143" i="8"/>
  <c r="D1142" i="8"/>
  <c r="G1142" i="8" s="1"/>
  <c r="C1142" i="8"/>
  <c r="C1141" i="8"/>
  <c r="D1140" i="8"/>
  <c r="G1140" i="8" s="1"/>
  <c r="C1140" i="8"/>
  <c r="G1139" i="8"/>
  <c r="D1139" i="8"/>
  <c r="C1139" i="8"/>
  <c r="G1138" i="8"/>
  <c r="D1138" i="8"/>
  <c r="C1138" i="8"/>
  <c r="G1137" i="8"/>
  <c r="D1137" i="8"/>
  <c r="C1137" i="8"/>
  <c r="D1136" i="8"/>
  <c r="G1136" i="8" s="1"/>
  <c r="C1136" i="8"/>
  <c r="D1135" i="8"/>
  <c r="G1135" i="8" s="1"/>
  <c r="C1135" i="8"/>
  <c r="D1134" i="8"/>
  <c r="G1134" i="8" s="1"/>
  <c r="G1133" i="8"/>
  <c r="D1133" i="8"/>
  <c r="D1132" i="8"/>
  <c r="G1132" i="8" s="1"/>
  <c r="C1132" i="8"/>
  <c r="G1131" i="8"/>
  <c r="D1131" i="8"/>
  <c r="C1131" i="8"/>
  <c r="G1130" i="8"/>
  <c r="D1130" i="8"/>
  <c r="C1130" i="8"/>
  <c r="D1129" i="8"/>
  <c r="G1129" i="8" s="1"/>
  <c r="C1129" i="8"/>
  <c r="C1128" i="8"/>
  <c r="D1127" i="8"/>
  <c r="G1127" i="8" s="1"/>
  <c r="C1127" i="8"/>
  <c r="G1126" i="8"/>
  <c r="D1126" i="8"/>
  <c r="C1126" i="8"/>
  <c r="D1125" i="8"/>
  <c r="G1125" i="8" s="1"/>
  <c r="C1125" i="8"/>
  <c r="G1124" i="8"/>
  <c r="D1124" i="8"/>
  <c r="C1124" i="8"/>
  <c r="D1123" i="8"/>
  <c r="G1123" i="8" s="1"/>
  <c r="C1123" i="8"/>
  <c r="G1121" i="8"/>
  <c r="D1121" i="8"/>
  <c r="C1121" i="8"/>
  <c r="D1118" i="8"/>
  <c r="G1118" i="8" s="1"/>
  <c r="C1118" i="8"/>
  <c r="G1117" i="8"/>
  <c r="D1117" i="8"/>
  <c r="C1117" i="8"/>
  <c r="G1116" i="8"/>
  <c r="D1116" i="8"/>
  <c r="C1115" i="8"/>
  <c r="G1113" i="8"/>
  <c r="D1113" i="8"/>
  <c r="C1113" i="8"/>
  <c r="G1112" i="8"/>
  <c r="D1112" i="8"/>
  <c r="C1112" i="8"/>
  <c r="G1111" i="8"/>
  <c r="D1111" i="8"/>
  <c r="C1111" i="8"/>
  <c r="G1110" i="8"/>
  <c r="D1110" i="8"/>
  <c r="C1110" i="8"/>
  <c r="D1109" i="8"/>
  <c r="G1109" i="8" s="1"/>
  <c r="C1109" i="8"/>
  <c r="G1108" i="8"/>
  <c r="D1108" i="8"/>
  <c r="C1108" i="8"/>
  <c r="D1107" i="8"/>
  <c r="G1107" i="8" s="1"/>
  <c r="C1107" i="8"/>
  <c r="G1106" i="8"/>
  <c r="D1106" i="8"/>
  <c r="C1106" i="8"/>
  <c r="G1105" i="8"/>
  <c r="D1105" i="8"/>
  <c r="C1105" i="8"/>
  <c r="D1104" i="8"/>
  <c r="G1104" i="8" s="1"/>
  <c r="C1104" i="8"/>
  <c r="G1103" i="8"/>
  <c r="D1103" i="8"/>
  <c r="C1103" i="8"/>
  <c r="G1102" i="8"/>
  <c r="D1102" i="8"/>
  <c r="C1102" i="8"/>
  <c r="D1101" i="8"/>
  <c r="G1101" i="8" s="1"/>
  <c r="C1101" i="8"/>
  <c r="D1100" i="8"/>
  <c r="G1100" i="8" s="1"/>
  <c r="C1100" i="8"/>
  <c r="D1098" i="8"/>
  <c r="G1098" i="8" s="1"/>
  <c r="C1098" i="8"/>
  <c r="G1097" i="8"/>
  <c r="D1097" i="8"/>
  <c r="C1097" i="8"/>
  <c r="D1096" i="8"/>
  <c r="G1096" i="8" s="1"/>
  <c r="C1096" i="8"/>
  <c r="D1095" i="8"/>
  <c r="G1095" i="8" s="1"/>
  <c r="C1095" i="8"/>
  <c r="C1094" i="8"/>
  <c r="G1093" i="8"/>
  <c r="D1093" i="8"/>
  <c r="C1093" i="8"/>
  <c r="D1092" i="8"/>
  <c r="G1092" i="8" s="1"/>
  <c r="C1092" i="8"/>
  <c r="G1090" i="8"/>
  <c r="D1090" i="8"/>
  <c r="C1090" i="8"/>
  <c r="D1089" i="8"/>
  <c r="G1089" i="8" s="1"/>
  <c r="C1089" i="8"/>
  <c r="G1088" i="8"/>
  <c r="D1088" i="8"/>
  <c r="C1088" i="8"/>
  <c r="D1087" i="8"/>
  <c r="G1087" i="8" s="1"/>
  <c r="C1087" i="8"/>
  <c r="D1086" i="8"/>
  <c r="G1086" i="8" s="1"/>
  <c r="C1086" i="8"/>
  <c r="G1083" i="8"/>
  <c r="D1083" i="8"/>
  <c r="C1083" i="8"/>
  <c r="G1082" i="8"/>
  <c r="D1082" i="8"/>
  <c r="C1082" i="8"/>
  <c r="D1079" i="8"/>
  <c r="G1079" i="8" s="1"/>
  <c r="C1079" i="8"/>
  <c r="G1078" i="8"/>
  <c r="D1078" i="8"/>
  <c r="C1077" i="8"/>
  <c r="G1076" i="8"/>
  <c r="D1076" i="8"/>
  <c r="C1076" i="8"/>
  <c r="G1075" i="8"/>
  <c r="D1075" i="8"/>
  <c r="C1075" i="8"/>
  <c r="D1074" i="8"/>
  <c r="G1074" i="8" s="1"/>
  <c r="C1074" i="8"/>
  <c r="G1073" i="8"/>
  <c r="D1073" i="8"/>
  <c r="C1073" i="8"/>
  <c r="C1072" i="8"/>
  <c r="C1071" i="8"/>
  <c r="D1070" i="8"/>
  <c r="G1070" i="8" s="1"/>
  <c r="D1069" i="8"/>
  <c r="G1069" i="8" s="1"/>
  <c r="C1069" i="8"/>
  <c r="G1068" i="8"/>
  <c r="D1068" i="8"/>
  <c r="C1068" i="8"/>
  <c r="G1067" i="8"/>
  <c r="D1067" i="8"/>
  <c r="C1066" i="8"/>
  <c r="D1065" i="8"/>
  <c r="G1065" i="8" s="1"/>
  <c r="C1064" i="8"/>
  <c r="D1063" i="8"/>
  <c r="G1063" i="8" s="1"/>
  <c r="G1062" i="8"/>
  <c r="D1062" i="8"/>
  <c r="C1062" i="8"/>
  <c r="G1061" i="8"/>
  <c r="D1061" i="8"/>
  <c r="C1061" i="8"/>
  <c r="C1060" i="8"/>
  <c r="G1058" i="8"/>
  <c r="D1058" i="8"/>
  <c r="C1058" i="8"/>
  <c r="C1057" i="8"/>
  <c r="D1056" i="8"/>
  <c r="G1056" i="8" s="1"/>
  <c r="G1055" i="8"/>
  <c r="D1055" i="8"/>
  <c r="C1055" i="8"/>
  <c r="G1054" i="8"/>
  <c r="D1054" i="8"/>
  <c r="C1054" i="8"/>
  <c r="C1053" i="8"/>
  <c r="D1052" i="8"/>
  <c r="G1052" i="8" s="1"/>
  <c r="C1052" i="8"/>
  <c r="D1051" i="8"/>
  <c r="G1051" i="8" s="1"/>
  <c r="C1051" i="8"/>
  <c r="D1050" i="8"/>
  <c r="G1050" i="8" s="1"/>
  <c r="C1050" i="8"/>
  <c r="D1049" i="8"/>
  <c r="G1049" i="8" s="1"/>
  <c r="C1049" i="8"/>
  <c r="D1048" i="8"/>
  <c r="G1048" i="8" s="1"/>
  <c r="C1048" i="8"/>
  <c r="D1047" i="8"/>
  <c r="G1047" i="8" s="1"/>
  <c r="C1047" i="8"/>
  <c r="G1046" i="8"/>
  <c r="D1046" i="8"/>
  <c r="D1045" i="8"/>
  <c r="G1045" i="8" s="1"/>
  <c r="G1044" i="8"/>
  <c r="D1044" i="8"/>
  <c r="C1044" i="8"/>
  <c r="D1043" i="8"/>
  <c r="G1043" i="8" s="1"/>
  <c r="C1043" i="8"/>
  <c r="G1042" i="8"/>
  <c r="D1042" i="8"/>
  <c r="C1042" i="8"/>
  <c r="D1041" i="8"/>
  <c r="G1041" i="8" s="1"/>
  <c r="C1041" i="8"/>
  <c r="G1040" i="8"/>
  <c r="D1040" i="8"/>
  <c r="C1040" i="8"/>
  <c r="D1039" i="8"/>
  <c r="G1039" i="8" s="1"/>
  <c r="C1039" i="8"/>
  <c r="C1038" i="8"/>
  <c r="G1037" i="8"/>
  <c r="D1037" i="8"/>
  <c r="C1037" i="8"/>
  <c r="G1036" i="8"/>
  <c r="D1036" i="8"/>
  <c r="C1036" i="8"/>
  <c r="D1035" i="8"/>
  <c r="G1035" i="8" s="1"/>
  <c r="C1035" i="8"/>
  <c r="D1034" i="8"/>
  <c r="G1034" i="8" s="1"/>
  <c r="C1034" i="8"/>
  <c r="G1033" i="8"/>
  <c r="D1033" i="8"/>
  <c r="C1033" i="8"/>
  <c r="G1031" i="8"/>
  <c r="D1031" i="8"/>
  <c r="C1031" i="8"/>
  <c r="D1030" i="8"/>
  <c r="G1030" i="8" s="1"/>
  <c r="C1030" i="8"/>
  <c r="D1029" i="8"/>
  <c r="G1029" i="8" s="1"/>
  <c r="C1029" i="8"/>
  <c r="D1028" i="8"/>
  <c r="G1028" i="8" s="1"/>
  <c r="C1028" i="8"/>
  <c r="G1027" i="8"/>
  <c r="D1027" i="8"/>
  <c r="C1027" i="8"/>
  <c r="D1026" i="8"/>
  <c r="G1026" i="8" s="1"/>
  <c r="C1026" i="8"/>
  <c r="D1025" i="8"/>
  <c r="G1025" i="8" s="1"/>
  <c r="C1025" i="8"/>
  <c r="G1024" i="8"/>
  <c r="D1024" i="8"/>
  <c r="C1024" i="8"/>
  <c r="G1023" i="8"/>
  <c r="D1023" i="8"/>
  <c r="C1023" i="8"/>
  <c r="G1022" i="8"/>
  <c r="D1022" i="8"/>
  <c r="C1022" i="8"/>
  <c r="G1021" i="8"/>
  <c r="D1021" i="8"/>
  <c r="C1021" i="8"/>
  <c r="D1020" i="8"/>
  <c r="G1020" i="8" s="1"/>
  <c r="C1020" i="8"/>
  <c r="D1019" i="8"/>
  <c r="G1019" i="8" s="1"/>
  <c r="C1019" i="8"/>
  <c r="G1018" i="8"/>
  <c r="D1018" i="8"/>
  <c r="C1018" i="8"/>
  <c r="D1017" i="8"/>
  <c r="G1017" i="8" s="1"/>
  <c r="C1017" i="8"/>
  <c r="G1016" i="8"/>
  <c r="D1016" i="8"/>
  <c r="C1016" i="8"/>
  <c r="G1014" i="8"/>
  <c r="D1014" i="8"/>
  <c r="D1013" i="8"/>
  <c r="G1013" i="8" s="1"/>
  <c r="C1013" i="8"/>
  <c r="G1012" i="8"/>
  <c r="D1012" i="8"/>
  <c r="C1012" i="8"/>
  <c r="C1011" i="8"/>
  <c r="D1010" i="8"/>
  <c r="G1010" i="8" s="1"/>
  <c r="G1009" i="8"/>
  <c r="D1009" i="8"/>
  <c r="C1009" i="8"/>
  <c r="D1008" i="8"/>
  <c r="G1008" i="8" s="1"/>
  <c r="C1008" i="8"/>
  <c r="G1007" i="8"/>
  <c r="D1007" i="8"/>
  <c r="C1007" i="8"/>
  <c r="D1006" i="8"/>
  <c r="G1006" i="8" s="1"/>
  <c r="C1006" i="8"/>
  <c r="G1005" i="8"/>
  <c r="D1005" i="8"/>
  <c r="C1005" i="8"/>
  <c r="D1004" i="8"/>
  <c r="G1004" i="8" s="1"/>
  <c r="C1004" i="8"/>
  <c r="D1003" i="8"/>
  <c r="G1003" i="8" s="1"/>
  <c r="G1002" i="8"/>
  <c r="D1002" i="8"/>
  <c r="D1001" i="8"/>
  <c r="G1001" i="8" s="1"/>
  <c r="C1000" i="8"/>
  <c r="D999" i="8"/>
  <c r="G999" i="8" s="1"/>
  <c r="C999" i="8"/>
  <c r="G998" i="8"/>
  <c r="D998" i="8"/>
  <c r="C998" i="8"/>
  <c r="D997" i="8"/>
  <c r="G997" i="8" s="1"/>
  <c r="C997" i="8"/>
  <c r="G996" i="8"/>
  <c r="D996" i="8"/>
  <c r="C996" i="8"/>
  <c r="D995" i="8"/>
  <c r="G995" i="8" s="1"/>
  <c r="G994" i="8"/>
  <c r="D994" i="8"/>
  <c r="C994" i="8"/>
  <c r="C993" i="8"/>
  <c r="D992" i="8"/>
  <c r="G992" i="8" s="1"/>
  <c r="C992" i="8"/>
  <c r="D991" i="8"/>
  <c r="G991" i="8" s="1"/>
  <c r="C991" i="8"/>
  <c r="D990" i="8"/>
  <c r="G990" i="8" s="1"/>
  <c r="C989" i="8"/>
  <c r="G987" i="8"/>
  <c r="D987" i="8"/>
  <c r="C987" i="8"/>
  <c r="D986" i="8"/>
  <c r="G986" i="8" s="1"/>
  <c r="D985" i="8"/>
  <c r="G985" i="8" s="1"/>
  <c r="C985" i="8"/>
  <c r="D984" i="8"/>
  <c r="G984" i="8" s="1"/>
  <c r="C984" i="8"/>
  <c r="D982" i="8"/>
  <c r="G982" i="8" s="1"/>
  <c r="C982" i="8"/>
  <c r="C981" i="8"/>
  <c r="D979" i="8"/>
  <c r="G979" i="8" s="1"/>
  <c r="C979" i="8"/>
  <c r="G978" i="8"/>
  <c r="D978" i="8"/>
  <c r="C978" i="8"/>
  <c r="D977" i="8"/>
  <c r="G977" i="8" s="1"/>
  <c r="C977" i="8"/>
  <c r="D976" i="8"/>
  <c r="G976" i="8" s="1"/>
  <c r="C976" i="8"/>
  <c r="G975" i="8"/>
  <c r="D975" i="8"/>
  <c r="C975" i="8"/>
  <c r="G974" i="8"/>
  <c r="D974" i="8"/>
  <c r="C974" i="8"/>
  <c r="D973" i="8"/>
  <c r="G973" i="8" s="1"/>
  <c r="C973" i="8"/>
  <c r="D972" i="8"/>
  <c r="G972" i="8" s="1"/>
  <c r="C972" i="8"/>
  <c r="D971" i="8"/>
  <c r="G971" i="8" s="1"/>
  <c r="C971" i="8"/>
  <c r="G970" i="8"/>
  <c r="D970" i="8"/>
  <c r="C970" i="8"/>
  <c r="D969" i="8"/>
  <c r="G969" i="8" s="1"/>
  <c r="C969" i="8"/>
  <c r="G968" i="8"/>
  <c r="D968" i="8"/>
  <c r="D967" i="8"/>
  <c r="G967" i="8" s="1"/>
  <c r="C967" i="8"/>
  <c r="D966" i="8"/>
  <c r="G966" i="8" s="1"/>
  <c r="C966" i="8"/>
  <c r="G965" i="8"/>
  <c r="D965" i="8"/>
  <c r="C965" i="8"/>
  <c r="D964" i="8"/>
  <c r="G964" i="8" s="1"/>
  <c r="C964" i="8"/>
  <c r="G963" i="8"/>
  <c r="D963" i="8"/>
  <c r="C963" i="8"/>
  <c r="D962" i="8"/>
  <c r="G962" i="8" s="1"/>
  <c r="C962" i="8"/>
  <c r="D961" i="8"/>
  <c r="G961" i="8" s="1"/>
  <c r="C961" i="8"/>
  <c r="C960" i="8"/>
  <c r="G959" i="8"/>
  <c r="D959" i="8"/>
  <c r="C958" i="8"/>
  <c r="D957" i="8"/>
  <c r="G957" i="8" s="1"/>
  <c r="C957" i="8"/>
  <c r="G956" i="8"/>
  <c r="D956" i="8"/>
  <c r="C956" i="8"/>
  <c r="C955" i="8"/>
  <c r="G954" i="8"/>
  <c r="D954" i="8"/>
  <c r="C954" i="8"/>
  <c r="G953" i="8"/>
  <c r="D953" i="8"/>
  <c r="C953" i="8"/>
  <c r="D952" i="8"/>
  <c r="G952" i="8" s="1"/>
  <c r="C952" i="8"/>
  <c r="G951" i="8"/>
  <c r="D951" i="8"/>
  <c r="C951" i="8"/>
  <c r="G950" i="8"/>
  <c r="D950" i="8"/>
  <c r="C950" i="8"/>
  <c r="G949" i="8"/>
  <c r="D949" i="8"/>
  <c r="C949" i="8"/>
  <c r="C948" i="8"/>
  <c r="D947" i="8"/>
  <c r="G947" i="8" s="1"/>
  <c r="C947" i="8"/>
  <c r="D946" i="8"/>
  <c r="G946" i="8" s="1"/>
  <c r="C946" i="8"/>
  <c r="G945" i="8"/>
  <c r="D945" i="8"/>
  <c r="C945" i="8"/>
  <c r="D944" i="8"/>
  <c r="G944" i="8" s="1"/>
  <c r="C944" i="8"/>
  <c r="G943" i="8"/>
  <c r="D943" i="8"/>
  <c r="C943" i="8"/>
  <c r="D942" i="8"/>
  <c r="G942" i="8" s="1"/>
  <c r="C942" i="8"/>
  <c r="D941" i="8"/>
  <c r="G941" i="8" s="1"/>
  <c r="C941" i="8"/>
  <c r="D940" i="8"/>
  <c r="G940" i="8" s="1"/>
  <c r="C940" i="8"/>
  <c r="G939" i="8"/>
  <c r="D939" i="8"/>
  <c r="C939" i="8"/>
  <c r="D938" i="8"/>
  <c r="G938" i="8" s="1"/>
  <c r="C938" i="8"/>
  <c r="G937" i="8"/>
  <c r="D937" i="8"/>
  <c r="C937" i="8"/>
  <c r="D936" i="8"/>
  <c r="G936" i="8" s="1"/>
  <c r="C936" i="8"/>
  <c r="D935" i="8"/>
  <c r="G935" i="8" s="1"/>
  <c r="C935" i="8"/>
  <c r="C934" i="8"/>
  <c r="G933" i="8"/>
  <c r="D933" i="8"/>
  <c r="C933" i="8"/>
  <c r="G932" i="8"/>
  <c r="D932" i="8"/>
  <c r="C932" i="8"/>
  <c r="D931" i="8"/>
  <c r="G931" i="8" s="1"/>
  <c r="C931" i="8"/>
  <c r="D930" i="8"/>
  <c r="G930" i="8" s="1"/>
  <c r="C930" i="8"/>
  <c r="G929" i="8"/>
  <c r="D929" i="8"/>
  <c r="C929" i="8"/>
  <c r="G928" i="8"/>
  <c r="D928" i="8"/>
  <c r="C928" i="8"/>
  <c r="D927" i="8"/>
  <c r="G927" i="8" s="1"/>
  <c r="C927" i="8"/>
  <c r="G926" i="8"/>
  <c r="D926" i="8"/>
  <c r="D925" i="8"/>
  <c r="G925" i="8" s="1"/>
  <c r="C925" i="8"/>
  <c r="G924" i="8"/>
  <c r="D924" i="8"/>
  <c r="C924" i="8"/>
  <c r="D923" i="8"/>
  <c r="G923" i="8" s="1"/>
  <c r="D922" i="8"/>
  <c r="G922" i="8" s="1"/>
  <c r="C922" i="8"/>
  <c r="G921" i="8"/>
  <c r="D921" i="8"/>
  <c r="C921" i="8"/>
  <c r="D920" i="8"/>
  <c r="G920" i="8" s="1"/>
  <c r="C920" i="8"/>
  <c r="D919" i="8"/>
  <c r="G919" i="8" s="1"/>
  <c r="G918" i="8"/>
  <c r="D918" i="8"/>
  <c r="C918" i="8"/>
  <c r="D917" i="8"/>
  <c r="G917" i="8" s="1"/>
  <c r="C917" i="8"/>
  <c r="D916" i="8"/>
  <c r="G916" i="8" s="1"/>
  <c r="C916" i="8"/>
  <c r="G915" i="8"/>
  <c r="D915" i="8"/>
  <c r="C915" i="8"/>
  <c r="G914" i="8"/>
  <c r="D914" i="8"/>
  <c r="C914" i="8"/>
  <c r="G913" i="8"/>
  <c r="D913" i="8"/>
  <c r="C913" i="8"/>
  <c r="G912" i="8"/>
  <c r="D912" i="8"/>
  <c r="C912" i="8"/>
  <c r="D911" i="8"/>
  <c r="G911" i="8" s="1"/>
  <c r="C911" i="8"/>
  <c r="G910" i="8"/>
  <c r="D910" i="8"/>
  <c r="C910" i="8"/>
  <c r="D909" i="8"/>
  <c r="G909" i="8" s="1"/>
  <c r="C909" i="8"/>
  <c r="D908" i="8"/>
  <c r="G908" i="8" s="1"/>
  <c r="C908" i="8"/>
  <c r="G907" i="8"/>
  <c r="D907" i="8"/>
  <c r="C907" i="8"/>
  <c r="G906" i="8"/>
  <c r="D906" i="8"/>
  <c r="C906" i="8"/>
  <c r="D905" i="8"/>
  <c r="G905" i="8" s="1"/>
  <c r="C905" i="8"/>
  <c r="G904" i="8"/>
  <c r="D904" i="8"/>
  <c r="D903" i="8"/>
  <c r="G903" i="8" s="1"/>
  <c r="C903" i="8"/>
  <c r="G902" i="8"/>
  <c r="D902" i="8"/>
  <c r="C902" i="8"/>
  <c r="D901" i="8"/>
  <c r="G901" i="8" s="1"/>
  <c r="C901" i="8"/>
  <c r="G900" i="8"/>
  <c r="D900" i="8"/>
  <c r="C900" i="8"/>
  <c r="G899" i="8"/>
  <c r="D899" i="8"/>
  <c r="C899" i="8"/>
  <c r="G898" i="8"/>
  <c r="D898" i="8"/>
  <c r="C898" i="8"/>
  <c r="D897" i="8"/>
  <c r="G897" i="8" s="1"/>
  <c r="C897" i="8"/>
  <c r="G896" i="8"/>
  <c r="D896" i="8"/>
  <c r="C896" i="8"/>
  <c r="D895" i="8"/>
  <c r="G895" i="8" s="1"/>
  <c r="D894" i="8"/>
  <c r="G894" i="8" s="1"/>
  <c r="C894" i="8"/>
  <c r="G893" i="8"/>
  <c r="D893" i="8"/>
  <c r="C893" i="8"/>
  <c r="G892" i="8"/>
  <c r="D892" i="8"/>
  <c r="C892" i="8"/>
  <c r="D891" i="8"/>
  <c r="G891" i="8" s="1"/>
  <c r="G890" i="8"/>
  <c r="D890" i="8"/>
  <c r="C890" i="8"/>
  <c r="D889" i="8"/>
  <c r="G889" i="8" s="1"/>
  <c r="C889" i="8"/>
  <c r="D888" i="8"/>
  <c r="G888" i="8" s="1"/>
  <c r="C888" i="8"/>
  <c r="D887" i="8"/>
  <c r="G887" i="8" s="1"/>
  <c r="C887" i="8"/>
  <c r="G886" i="8"/>
  <c r="D886" i="8"/>
  <c r="C886" i="8"/>
  <c r="G885" i="8"/>
  <c r="D885" i="8"/>
  <c r="C885" i="8"/>
  <c r="G884" i="8"/>
  <c r="D884" i="8"/>
  <c r="C884" i="8"/>
  <c r="D883" i="8"/>
  <c r="G883" i="8" s="1"/>
  <c r="G882" i="8"/>
  <c r="D882" i="8"/>
  <c r="C882" i="8"/>
  <c r="D880" i="8"/>
  <c r="G880" i="8" s="1"/>
  <c r="C880" i="8"/>
  <c r="G879" i="8"/>
  <c r="D879" i="8"/>
  <c r="C879" i="8"/>
  <c r="G878" i="8"/>
  <c r="D878" i="8"/>
  <c r="C878" i="8"/>
  <c r="G877" i="8"/>
  <c r="D877" i="8"/>
  <c r="C877" i="8"/>
  <c r="G876" i="8"/>
  <c r="D876" i="8"/>
  <c r="C876" i="8"/>
  <c r="G875" i="8"/>
  <c r="D875" i="8"/>
  <c r="C875" i="8"/>
  <c r="D874" i="8"/>
  <c r="G874" i="8" s="1"/>
  <c r="C874" i="8"/>
  <c r="G873" i="8"/>
  <c r="D873" i="8"/>
  <c r="C873" i="8"/>
  <c r="D872" i="8"/>
  <c r="G872" i="8" s="1"/>
  <c r="C872" i="8"/>
  <c r="D871" i="8"/>
  <c r="G871" i="8" s="1"/>
  <c r="C871" i="8"/>
  <c r="G870" i="8"/>
  <c r="D870" i="8"/>
  <c r="C870" i="8"/>
  <c r="D869" i="8"/>
  <c r="G869" i="8" s="1"/>
  <c r="C869" i="8"/>
  <c r="G868" i="8"/>
  <c r="D868" i="8"/>
  <c r="C868" i="8"/>
  <c r="D867" i="8"/>
  <c r="G867" i="8" s="1"/>
  <c r="C867" i="8"/>
  <c r="D866" i="8"/>
  <c r="G866" i="8" s="1"/>
  <c r="C866" i="8"/>
  <c r="G865" i="8"/>
  <c r="D865" i="8"/>
  <c r="C865" i="8"/>
  <c r="G864" i="8"/>
  <c r="D864" i="8"/>
  <c r="C864" i="8"/>
  <c r="C863" i="8"/>
  <c r="G862" i="8"/>
  <c r="D862" i="8"/>
  <c r="C862" i="8"/>
  <c r="D861" i="8"/>
  <c r="G861" i="8" s="1"/>
  <c r="C861" i="8"/>
  <c r="D860" i="8"/>
  <c r="G860" i="8" s="1"/>
  <c r="C860" i="8"/>
  <c r="D859" i="8"/>
  <c r="G859" i="8" s="1"/>
  <c r="C859" i="8"/>
  <c r="G858" i="8"/>
  <c r="D858" i="8"/>
  <c r="C858" i="8"/>
  <c r="D857" i="8"/>
  <c r="G857" i="8" s="1"/>
  <c r="C857" i="8"/>
  <c r="G856" i="8"/>
  <c r="D856" i="8"/>
  <c r="C856" i="8"/>
  <c r="G855" i="8"/>
  <c r="D855" i="8"/>
  <c r="C855" i="8"/>
  <c r="G854" i="8"/>
  <c r="D854" i="8"/>
  <c r="C854" i="8"/>
  <c r="D853" i="8"/>
  <c r="G853" i="8" s="1"/>
  <c r="C853" i="8"/>
  <c r="D852" i="8"/>
  <c r="G852" i="8" s="1"/>
  <c r="C852" i="8"/>
  <c r="D851" i="8"/>
  <c r="G851" i="8" s="1"/>
  <c r="C851" i="8"/>
  <c r="D850" i="8"/>
  <c r="G850" i="8" s="1"/>
  <c r="C850" i="8"/>
  <c r="G849" i="8"/>
  <c r="D849" i="8"/>
  <c r="C849" i="8"/>
  <c r="D848" i="8"/>
  <c r="G848" i="8" s="1"/>
  <c r="C848" i="8"/>
  <c r="D847" i="8"/>
  <c r="G847" i="8" s="1"/>
  <c r="C847" i="8"/>
  <c r="G846" i="8"/>
  <c r="D846" i="8"/>
  <c r="C846" i="8"/>
  <c r="G845" i="8"/>
  <c r="D845" i="8"/>
  <c r="C845" i="8"/>
  <c r="D844" i="8"/>
  <c r="G844" i="8" s="1"/>
  <c r="C844" i="8"/>
  <c r="D843" i="8"/>
  <c r="G843" i="8" s="1"/>
  <c r="C843" i="8"/>
  <c r="D842" i="8"/>
  <c r="G842" i="8" s="1"/>
  <c r="C842" i="8"/>
  <c r="C841" i="8"/>
  <c r="G840" i="8"/>
  <c r="D840" i="8"/>
  <c r="C840" i="8"/>
  <c r="D839" i="8"/>
  <c r="G839" i="8" s="1"/>
  <c r="C839" i="8"/>
  <c r="G838" i="8"/>
  <c r="D838" i="8"/>
  <c r="C838" i="8"/>
  <c r="D837" i="8"/>
  <c r="G837" i="8" s="1"/>
  <c r="C837" i="8"/>
  <c r="G836" i="8"/>
  <c r="D836" i="8"/>
  <c r="C836" i="8"/>
  <c r="D835" i="8"/>
  <c r="G835" i="8" s="1"/>
  <c r="D834" i="8"/>
  <c r="G834" i="8" s="1"/>
  <c r="C834" i="8"/>
  <c r="G833" i="8"/>
  <c r="D833" i="8"/>
  <c r="C833" i="8"/>
  <c r="D832" i="8"/>
  <c r="G832" i="8" s="1"/>
  <c r="G831" i="8"/>
  <c r="D831" i="8"/>
  <c r="C831" i="8"/>
  <c r="D830" i="8"/>
  <c r="G830" i="8" s="1"/>
  <c r="C830" i="8"/>
  <c r="G829" i="8"/>
  <c r="D829" i="8"/>
  <c r="D828" i="8"/>
  <c r="G828" i="8" s="1"/>
  <c r="C828" i="8"/>
  <c r="D827" i="8"/>
  <c r="G827" i="8" s="1"/>
  <c r="C827" i="8"/>
  <c r="D825" i="8"/>
  <c r="G825" i="8" s="1"/>
  <c r="D824" i="8"/>
  <c r="G824" i="8" s="1"/>
  <c r="C824" i="8"/>
  <c r="D823" i="8"/>
  <c r="G823" i="8" s="1"/>
  <c r="C823" i="8"/>
  <c r="G822" i="8"/>
  <c r="D822" i="8"/>
  <c r="C822" i="8"/>
  <c r="D821" i="8"/>
  <c r="G821" i="8" s="1"/>
  <c r="C821" i="8"/>
  <c r="G820" i="8"/>
  <c r="D820" i="8"/>
  <c r="C820" i="8"/>
  <c r="G819" i="8"/>
  <c r="D819" i="8"/>
  <c r="C819" i="8"/>
  <c r="D818" i="8"/>
  <c r="G818" i="8" s="1"/>
  <c r="C818" i="8"/>
  <c r="G817" i="8"/>
  <c r="D817" i="8"/>
  <c r="C817" i="8"/>
  <c r="G816" i="8"/>
  <c r="D816" i="8"/>
  <c r="C816" i="8"/>
  <c r="C815" i="8"/>
  <c r="C814" i="8"/>
  <c r="D812" i="8"/>
  <c r="G812" i="8" s="1"/>
  <c r="G811" i="8"/>
  <c r="D811" i="8"/>
  <c r="C811" i="8"/>
  <c r="D810" i="8"/>
  <c r="G810" i="8" s="1"/>
  <c r="C810" i="8"/>
  <c r="G809" i="8"/>
  <c r="D809" i="8"/>
  <c r="C809" i="8"/>
  <c r="D808" i="8"/>
  <c r="G808" i="8" s="1"/>
  <c r="C808" i="8"/>
  <c r="C807" i="8"/>
  <c r="D806" i="8"/>
  <c r="G806" i="8" s="1"/>
  <c r="C806" i="8"/>
  <c r="D805" i="8"/>
  <c r="G805" i="8" s="1"/>
  <c r="C805" i="8"/>
  <c r="D804" i="8"/>
  <c r="G804" i="8" s="1"/>
  <c r="C804" i="8"/>
  <c r="D803" i="8"/>
  <c r="G803" i="8" s="1"/>
  <c r="C803" i="8"/>
  <c r="D802" i="8"/>
  <c r="G802" i="8" s="1"/>
  <c r="C802" i="8"/>
  <c r="G801" i="8"/>
  <c r="D801" i="8"/>
  <c r="C801" i="8"/>
  <c r="G800" i="8"/>
  <c r="D800" i="8"/>
  <c r="C800" i="8"/>
  <c r="D799" i="8"/>
  <c r="G799" i="8" s="1"/>
  <c r="G798" i="8"/>
  <c r="D798" i="8"/>
  <c r="C798" i="8"/>
  <c r="D797" i="8"/>
  <c r="G797" i="8" s="1"/>
  <c r="C797" i="8"/>
  <c r="D796" i="8"/>
  <c r="G796" i="8" s="1"/>
  <c r="C796" i="8"/>
  <c r="G795" i="8"/>
  <c r="D795" i="8"/>
  <c r="C795" i="8"/>
  <c r="G794" i="8"/>
  <c r="D794" i="8"/>
  <c r="C794" i="8"/>
  <c r="D793" i="8"/>
  <c r="G793" i="8" s="1"/>
  <c r="C793" i="8"/>
  <c r="C792" i="8"/>
  <c r="D791" i="8"/>
  <c r="G791" i="8" s="1"/>
  <c r="C791" i="8"/>
  <c r="D790" i="8"/>
  <c r="G790" i="8" s="1"/>
  <c r="C790" i="8"/>
  <c r="G789" i="8"/>
  <c r="D789" i="8"/>
  <c r="C789" i="8"/>
  <c r="D788" i="8"/>
  <c r="G788" i="8" s="1"/>
  <c r="C788" i="8"/>
  <c r="G787" i="8"/>
  <c r="D787" i="8"/>
  <c r="C787" i="8"/>
  <c r="D786" i="8"/>
  <c r="G786" i="8" s="1"/>
  <c r="C786" i="8"/>
  <c r="D785" i="8"/>
  <c r="G785" i="8" s="1"/>
  <c r="C785" i="8"/>
  <c r="D784" i="8"/>
  <c r="G784" i="8" s="1"/>
  <c r="C784" i="8"/>
  <c r="D783" i="8"/>
  <c r="G783" i="8" s="1"/>
  <c r="C783" i="8"/>
  <c r="D782" i="8"/>
  <c r="G782" i="8" s="1"/>
  <c r="C782" i="8"/>
  <c r="D781" i="8"/>
  <c r="G781" i="8" s="1"/>
  <c r="C781" i="8"/>
  <c r="D780" i="8"/>
  <c r="G780" i="8" s="1"/>
  <c r="D779" i="8"/>
  <c r="G779" i="8" s="1"/>
  <c r="C779" i="8"/>
  <c r="G778" i="8"/>
  <c r="D778" i="8"/>
  <c r="C778" i="8"/>
  <c r="D777" i="8"/>
  <c r="G777" i="8" s="1"/>
  <c r="C777" i="8"/>
  <c r="G776" i="8"/>
  <c r="D776" i="8"/>
  <c r="C776" i="8"/>
  <c r="D775" i="8"/>
  <c r="G775" i="8" s="1"/>
  <c r="C775" i="8"/>
  <c r="D774" i="8"/>
  <c r="G774" i="8" s="1"/>
  <c r="C774" i="8"/>
  <c r="G773" i="8"/>
  <c r="D773" i="8"/>
  <c r="C773" i="8"/>
  <c r="D772" i="8"/>
  <c r="G772" i="8" s="1"/>
  <c r="C772" i="8"/>
  <c r="D771" i="8"/>
  <c r="G771" i="8" s="1"/>
  <c r="C771" i="8"/>
  <c r="G770" i="8"/>
  <c r="D770" i="8"/>
  <c r="C770" i="8"/>
  <c r="D769" i="8"/>
  <c r="G769" i="8" s="1"/>
  <c r="C769" i="8"/>
  <c r="D768" i="8"/>
  <c r="G768" i="8" s="1"/>
  <c r="C768" i="8"/>
  <c r="G767" i="8"/>
  <c r="D767" i="8"/>
  <c r="C767" i="8"/>
  <c r="D766" i="8"/>
  <c r="G766" i="8" s="1"/>
  <c r="C766" i="8"/>
  <c r="G765" i="8"/>
  <c r="D765" i="8"/>
  <c r="C765" i="8"/>
  <c r="C764" i="8"/>
  <c r="D763" i="8"/>
  <c r="G763" i="8" s="1"/>
  <c r="C763" i="8"/>
  <c r="D762" i="8"/>
  <c r="G762" i="8" s="1"/>
  <c r="C762" i="8"/>
  <c r="G761" i="8"/>
  <c r="D761" i="8"/>
  <c r="C761" i="8"/>
  <c r="D760" i="8"/>
  <c r="G760" i="8" s="1"/>
  <c r="C760" i="8"/>
  <c r="D759" i="8"/>
  <c r="G759" i="8" s="1"/>
  <c r="C759" i="8"/>
  <c r="D758" i="8"/>
  <c r="G758" i="8" s="1"/>
  <c r="C758" i="8"/>
  <c r="G757" i="8"/>
  <c r="D757" i="8"/>
  <c r="C757" i="8"/>
  <c r="G756" i="8"/>
  <c r="D756" i="8"/>
  <c r="C756" i="8"/>
  <c r="D755" i="8"/>
  <c r="G755" i="8" s="1"/>
  <c r="C755" i="8"/>
  <c r="G754" i="8"/>
  <c r="D754" i="8"/>
  <c r="C754" i="8"/>
  <c r="D753" i="8"/>
  <c r="G753" i="8" s="1"/>
  <c r="C753" i="8"/>
  <c r="D752" i="8"/>
  <c r="G752" i="8" s="1"/>
  <c r="C752" i="8"/>
  <c r="D749" i="8"/>
  <c r="G749" i="8" s="1"/>
  <c r="C749" i="8"/>
  <c r="G748" i="8"/>
  <c r="D748" i="8"/>
  <c r="C748" i="8"/>
  <c r="D747" i="8"/>
  <c r="G747" i="8" s="1"/>
  <c r="C747" i="8"/>
  <c r="D746" i="8"/>
  <c r="G746" i="8" s="1"/>
  <c r="C746" i="8"/>
  <c r="G745" i="8"/>
  <c r="D745" i="8"/>
  <c r="C745" i="8"/>
  <c r="G744" i="8"/>
  <c r="D744" i="8"/>
  <c r="G743" i="8"/>
  <c r="D743" i="8"/>
  <c r="C743" i="8"/>
  <c r="G742" i="8"/>
  <c r="D742" i="8"/>
  <c r="C742" i="8"/>
  <c r="G741" i="8"/>
  <c r="D741" i="8"/>
  <c r="C741" i="8"/>
  <c r="D740" i="8"/>
  <c r="G740" i="8" s="1"/>
  <c r="C740" i="8"/>
  <c r="D739" i="8"/>
  <c r="G739" i="8" s="1"/>
  <c r="C739" i="8"/>
  <c r="D738" i="8"/>
  <c r="G738" i="8" s="1"/>
  <c r="C738" i="8"/>
  <c r="D737" i="8"/>
  <c r="G737" i="8" s="1"/>
  <c r="C737" i="8"/>
  <c r="D736" i="8"/>
  <c r="G736" i="8" s="1"/>
  <c r="C736" i="8"/>
  <c r="D735" i="8"/>
  <c r="G735" i="8" s="1"/>
  <c r="C735" i="8"/>
  <c r="G734" i="8"/>
  <c r="D734" i="8"/>
  <c r="C734" i="8"/>
  <c r="D733" i="8"/>
  <c r="G733" i="8" s="1"/>
  <c r="C733" i="8"/>
  <c r="G732" i="8"/>
  <c r="D732" i="8"/>
  <c r="C732" i="8"/>
  <c r="D731" i="8"/>
  <c r="G731" i="8" s="1"/>
  <c r="C731" i="8"/>
  <c r="D730" i="8"/>
  <c r="G730" i="8" s="1"/>
  <c r="G729" i="8"/>
  <c r="D729" i="8"/>
  <c r="C729" i="8"/>
  <c r="G728" i="8"/>
  <c r="D728" i="8"/>
  <c r="D727" i="8"/>
  <c r="G727" i="8" s="1"/>
  <c r="C727" i="8"/>
  <c r="G726" i="8"/>
  <c r="D726" i="8"/>
  <c r="C726" i="8"/>
  <c r="D725" i="8"/>
  <c r="G725" i="8" s="1"/>
  <c r="C725" i="8"/>
  <c r="C724" i="8"/>
  <c r="G723" i="8"/>
  <c r="D723" i="8"/>
  <c r="C723" i="8"/>
  <c r="G722" i="8"/>
  <c r="D722" i="8"/>
  <c r="C722" i="8"/>
  <c r="G721" i="8"/>
  <c r="D721" i="8"/>
  <c r="C721" i="8"/>
  <c r="D720" i="8"/>
  <c r="G720" i="8" s="1"/>
  <c r="C720" i="8"/>
  <c r="G719" i="8"/>
  <c r="D719" i="8"/>
  <c r="C719" i="8"/>
  <c r="D718" i="8"/>
  <c r="G718" i="8" s="1"/>
  <c r="C718" i="8"/>
  <c r="G717" i="8"/>
  <c r="D717" i="8"/>
  <c r="C717" i="8"/>
  <c r="D716" i="8"/>
  <c r="G716" i="8" s="1"/>
  <c r="C716" i="8"/>
  <c r="D715" i="8"/>
  <c r="G715" i="8" s="1"/>
  <c r="C715" i="8"/>
  <c r="D714" i="8"/>
  <c r="G714" i="8" s="1"/>
  <c r="C714" i="8"/>
  <c r="G713" i="8"/>
  <c r="D713" i="8"/>
  <c r="C713" i="8"/>
  <c r="G712" i="8"/>
  <c r="D712" i="8"/>
  <c r="C712" i="8"/>
  <c r="D711" i="8"/>
  <c r="G711" i="8" s="1"/>
  <c r="C711" i="8"/>
  <c r="G710" i="8"/>
  <c r="D710" i="8"/>
  <c r="C710" i="8"/>
  <c r="D709" i="8"/>
  <c r="G709" i="8" s="1"/>
  <c r="D708" i="8"/>
  <c r="G708" i="8" s="1"/>
  <c r="C708" i="8"/>
  <c r="C707" i="8"/>
  <c r="C706" i="8"/>
  <c r="D705" i="8"/>
  <c r="G705" i="8" s="1"/>
  <c r="C705" i="8"/>
  <c r="G704" i="8"/>
  <c r="D704" i="8"/>
  <c r="C704" i="8"/>
  <c r="D703" i="8"/>
  <c r="G703" i="8" s="1"/>
  <c r="C703" i="8"/>
  <c r="G702" i="8"/>
  <c r="D702" i="8"/>
  <c r="C702" i="8"/>
  <c r="G701" i="8"/>
  <c r="D701" i="8"/>
  <c r="G700" i="8"/>
  <c r="D700" i="8"/>
  <c r="G699" i="8"/>
  <c r="D699" i="8"/>
  <c r="C699" i="8"/>
  <c r="D698" i="8"/>
  <c r="G698" i="8" s="1"/>
  <c r="C698" i="8"/>
  <c r="G697" i="8"/>
  <c r="D697" i="8"/>
  <c r="C697" i="8"/>
  <c r="D696" i="8"/>
  <c r="G696" i="8" s="1"/>
  <c r="C696" i="8"/>
  <c r="C695" i="8"/>
  <c r="D694" i="8"/>
  <c r="G694" i="8" s="1"/>
  <c r="D693" i="8"/>
  <c r="G693" i="8" s="1"/>
  <c r="C693" i="8"/>
  <c r="C692" i="8"/>
  <c r="G691" i="8"/>
  <c r="D691" i="8"/>
  <c r="C691" i="8"/>
  <c r="G690" i="8"/>
  <c r="D690" i="8"/>
  <c r="C690" i="8"/>
  <c r="C689" i="8"/>
  <c r="G688" i="8"/>
  <c r="D688" i="8"/>
  <c r="D687" i="8"/>
  <c r="G687" i="8" s="1"/>
  <c r="D686" i="8"/>
  <c r="G686" i="8" s="1"/>
  <c r="G684" i="8"/>
  <c r="D684" i="8"/>
  <c r="C684" i="8"/>
  <c r="D683" i="8"/>
  <c r="G683" i="8" s="1"/>
  <c r="C683" i="8"/>
  <c r="G682" i="8"/>
  <c r="D682" i="8"/>
  <c r="D681" i="8"/>
  <c r="G681" i="8" s="1"/>
  <c r="G680" i="8"/>
  <c r="D680" i="8"/>
  <c r="C680" i="8"/>
  <c r="G679" i="8"/>
  <c r="D679" i="8"/>
  <c r="D678" i="8"/>
  <c r="G678" i="8" s="1"/>
  <c r="C678" i="8"/>
  <c r="G677" i="8"/>
  <c r="D677" i="8"/>
  <c r="C677" i="8"/>
  <c r="D676" i="8"/>
  <c r="G676" i="8" s="1"/>
  <c r="C676" i="8"/>
  <c r="G675" i="8"/>
  <c r="D675" i="8"/>
  <c r="C675" i="8"/>
  <c r="D674" i="8"/>
  <c r="G674" i="8" s="1"/>
  <c r="C674" i="8"/>
  <c r="D672" i="8"/>
  <c r="G672" i="8" s="1"/>
  <c r="C672" i="8"/>
  <c r="C671" i="8"/>
  <c r="D670" i="8"/>
  <c r="G670" i="8" s="1"/>
  <c r="C670" i="8"/>
  <c r="G669" i="8"/>
  <c r="D669" i="8"/>
  <c r="C669" i="8"/>
  <c r="G668" i="8"/>
  <c r="D668" i="8"/>
  <c r="C668" i="8"/>
  <c r="D667" i="8"/>
  <c r="G667" i="8" s="1"/>
  <c r="C667" i="8"/>
  <c r="C666" i="8"/>
  <c r="D665" i="8"/>
  <c r="G665" i="8" s="1"/>
  <c r="C665" i="8"/>
  <c r="D664" i="8"/>
  <c r="G664" i="8" s="1"/>
  <c r="C664" i="8"/>
  <c r="G663" i="8"/>
  <c r="D663" i="8"/>
  <c r="C663" i="8"/>
  <c r="D661" i="8"/>
  <c r="G661" i="8" s="1"/>
  <c r="C661" i="8"/>
  <c r="G660" i="8"/>
  <c r="D660" i="8"/>
  <c r="C660" i="8"/>
  <c r="D659" i="8"/>
  <c r="G659" i="8" s="1"/>
  <c r="C659" i="8"/>
  <c r="D658" i="8"/>
  <c r="G658" i="8" s="1"/>
  <c r="C658" i="8"/>
  <c r="G657" i="8"/>
  <c r="D657" i="8"/>
  <c r="C657" i="8"/>
  <c r="D656" i="8"/>
  <c r="G656" i="8" s="1"/>
  <c r="C656" i="8"/>
  <c r="G655" i="8"/>
  <c r="D655" i="8"/>
  <c r="C655" i="8"/>
  <c r="D654" i="8"/>
  <c r="G654" i="8" s="1"/>
  <c r="D653" i="8"/>
  <c r="G653" i="8" s="1"/>
  <c r="C653" i="8"/>
  <c r="G652" i="8"/>
  <c r="D652" i="8"/>
  <c r="C652" i="8"/>
  <c r="D651" i="8"/>
  <c r="G651" i="8" s="1"/>
  <c r="C651" i="8"/>
  <c r="D649" i="8"/>
  <c r="G649" i="8" s="1"/>
  <c r="C649" i="8"/>
  <c r="D648" i="8"/>
  <c r="G648" i="8" s="1"/>
  <c r="C648" i="8"/>
  <c r="D647" i="8"/>
  <c r="G647" i="8" s="1"/>
  <c r="C647" i="8"/>
  <c r="G646" i="8"/>
  <c r="D646" i="8"/>
  <c r="C646" i="8"/>
  <c r="D645" i="8"/>
  <c r="G645" i="8" s="1"/>
  <c r="G644" i="8"/>
  <c r="D644" i="8"/>
  <c r="C644" i="8"/>
  <c r="D643" i="8"/>
  <c r="G643" i="8" s="1"/>
  <c r="C643" i="8"/>
  <c r="D642" i="8"/>
  <c r="G642" i="8" s="1"/>
  <c r="C642" i="8"/>
  <c r="G641" i="8"/>
  <c r="D641" i="8"/>
  <c r="C641" i="8"/>
  <c r="D640" i="8"/>
  <c r="G640" i="8" s="1"/>
  <c r="C640" i="8"/>
  <c r="D639" i="8"/>
  <c r="G639" i="8" s="1"/>
  <c r="C639" i="8"/>
  <c r="G638" i="8"/>
  <c r="D638" i="8"/>
  <c r="C638" i="8"/>
  <c r="D637" i="8"/>
  <c r="G637" i="8" s="1"/>
  <c r="C637" i="8"/>
  <c r="G636" i="8"/>
  <c r="D636" i="8"/>
  <c r="C636" i="8"/>
  <c r="G635" i="8"/>
  <c r="D635" i="8"/>
  <c r="C635" i="8"/>
  <c r="D634" i="8"/>
  <c r="G634" i="8" s="1"/>
  <c r="C634" i="8"/>
  <c r="G633" i="8"/>
  <c r="D633" i="8"/>
  <c r="C633" i="8"/>
  <c r="D632" i="8"/>
  <c r="G632" i="8" s="1"/>
  <c r="C632" i="8"/>
  <c r="G631" i="8"/>
  <c r="D631" i="8"/>
  <c r="C631" i="8"/>
  <c r="G630" i="8"/>
  <c r="D630" i="8"/>
  <c r="C630" i="8"/>
  <c r="G629" i="8"/>
  <c r="D629" i="8"/>
  <c r="D628" i="8"/>
  <c r="G628" i="8" s="1"/>
  <c r="C628" i="8"/>
  <c r="D627" i="8"/>
  <c r="G627" i="8" s="1"/>
  <c r="C627" i="8"/>
  <c r="C626" i="8"/>
  <c r="D625" i="8"/>
  <c r="G625" i="8" s="1"/>
  <c r="C625" i="8"/>
  <c r="D624" i="8"/>
  <c r="G624" i="8" s="1"/>
  <c r="D623" i="8"/>
  <c r="G623" i="8" s="1"/>
  <c r="C623" i="8"/>
  <c r="C622" i="8"/>
  <c r="G621" i="8"/>
  <c r="D621" i="8"/>
  <c r="C621" i="8"/>
  <c r="D620" i="8"/>
  <c r="G620" i="8" s="1"/>
  <c r="C620" i="8"/>
  <c r="G619" i="8"/>
  <c r="D619" i="8"/>
  <c r="C619" i="8"/>
  <c r="D618" i="8"/>
  <c r="G618" i="8" s="1"/>
  <c r="D617" i="8"/>
  <c r="G617" i="8" s="1"/>
  <c r="C616" i="8"/>
  <c r="G614" i="8"/>
  <c r="D614" i="8"/>
  <c r="C614" i="8"/>
  <c r="D613" i="8"/>
  <c r="G613" i="8" s="1"/>
  <c r="C613" i="8"/>
  <c r="D612" i="8"/>
  <c r="G612" i="8" s="1"/>
  <c r="C612" i="8"/>
  <c r="G611" i="8"/>
  <c r="D611" i="8"/>
  <c r="C611" i="8"/>
  <c r="G610" i="8"/>
  <c r="D610" i="8"/>
  <c r="C610" i="8"/>
  <c r="G609" i="8"/>
  <c r="D609" i="8"/>
  <c r="C609" i="8"/>
  <c r="G608" i="8"/>
  <c r="D608" i="8"/>
  <c r="C608" i="8"/>
  <c r="D607" i="8"/>
  <c r="G607" i="8" s="1"/>
  <c r="C607" i="8"/>
  <c r="D606" i="8"/>
  <c r="G606" i="8" s="1"/>
  <c r="C606" i="8"/>
  <c r="D605" i="8"/>
  <c r="G605" i="8" s="1"/>
  <c r="C605" i="8"/>
  <c r="D604" i="8"/>
  <c r="G604" i="8" s="1"/>
  <c r="C604" i="8"/>
  <c r="C603" i="8"/>
  <c r="D602" i="8"/>
  <c r="G602" i="8" s="1"/>
  <c r="C602" i="8"/>
  <c r="G600" i="8"/>
  <c r="D600" i="8"/>
  <c r="C600" i="8"/>
  <c r="G599" i="8"/>
  <c r="D599" i="8"/>
  <c r="C599" i="8"/>
  <c r="G598" i="8"/>
  <c r="D598" i="8"/>
  <c r="C598" i="8"/>
  <c r="G597" i="8"/>
  <c r="D597" i="8"/>
  <c r="C597" i="8"/>
  <c r="D596" i="8"/>
  <c r="G596" i="8" s="1"/>
  <c r="C596" i="8"/>
  <c r="D595" i="8"/>
  <c r="G595" i="8" s="1"/>
  <c r="C595" i="8"/>
  <c r="D594" i="8"/>
  <c r="G594" i="8" s="1"/>
  <c r="C594" i="8"/>
  <c r="D593" i="8"/>
  <c r="G593" i="8" s="1"/>
  <c r="C593" i="8"/>
  <c r="D592" i="8"/>
  <c r="G592" i="8" s="1"/>
  <c r="C592" i="8"/>
  <c r="D591" i="8"/>
  <c r="G591" i="8" s="1"/>
  <c r="C591" i="8"/>
  <c r="G590" i="8"/>
  <c r="D590" i="8"/>
  <c r="C590" i="8"/>
  <c r="G589" i="8"/>
  <c r="D589" i="8"/>
  <c r="C589" i="8"/>
  <c r="G588" i="8"/>
  <c r="D588" i="8"/>
  <c r="C588" i="8"/>
  <c r="D587" i="8"/>
  <c r="G587" i="8" s="1"/>
  <c r="C587" i="8"/>
  <c r="G586" i="8"/>
  <c r="D586" i="8"/>
  <c r="C586" i="8"/>
  <c r="D585" i="8"/>
  <c r="G585" i="8" s="1"/>
  <c r="C585" i="8"/>
  <c r="G583" i="8"/>
  <c r="D583" i="8"/>
  <c r="D582" i="8"/>
  <c r="G582" i="8" s="1"/>
  <c r="C582" i="8"/>
  <c r="D581" i="8"/>
  <c r="G581" i="8" s="1"/>
  <c r="C581" i="8"/>
  <c r="C580" i="8"/>
  <c r="D579" i="8"/>
  <c r="G579" i="8" s="1"/>
  <c r="C579" i="8"/>
  <c r="G578" i="8"/>
  <c r="D578" i="8"/>
  <c r="C578" i="8"/>
  <c r="G576" i="8"/>
  <c r="D576" i="8"/>
  <c r="D575" i="8"/>
  <c r="G575" i="8" s="1"/>
  <c r="C574" i="8"/>
  <c r="C573" i="8"/>
  <c r="D572" i="8"/>
  <c r="G572" i="8" s="1"/>
  <c r="C572" i="8"/>
  <c r="D571" i="8"/>
  <c r="G571" i="8" s="1"/>
  <c r="C571" i="8"/>
  <c r="G570" i="8"/>
  <c r="D570" i="8"/>
  <c r="G569" i="8"/>
  <c r="D569" i="8"/>
  <c r="C569" i="8"/>
  <c r="G567" i="8"/>
  <c r="D567" i="8"/>
  <c r="C566" i="8"/>
  <c r="D565" i="8"/>
  <c r="G565" i="8" s="1"/>
  <c r="C565" i="8"/>
  <c r="D564" i="8"/>
  <c r="G564" i="8" s="1"/>
  <c r="C564" i="8"/>
  <c r="D563" i="8"/>
  <c r="G563" i="8" s="1"/>
  <c r="C563" i="8"/>
  <c r="G562" i="8"/>
  <c r="D562" i="8"/>
  <c r="C562" i="8"/>
  <c r="G561" i="8"/>
  <c r="D561" i="8"/>
  <c r="D560" i="8"/>
  <c r="G560" i="8" s="1"/>
  <c r="D559" i="8"/>
  <c r="G559" i="8" s="1"/>
  <c r="D558" i="8"/>
  <c r="G558" i="8" s="1"/>
  <c r="C558" i="8"/>
  <c r="G557" i="8"/>
  <c r="D557" i="8"/>
  <c r="C557" i="8"/>
  <c r="C556" i="8"/>
  <c r="G555" i="8"/>
  <c r="D555" i="8"/>
  <c r="C555" i="8"/>
  <c r="G554" i="8"/>
  <c r="D554" i="8"/>
  <c r="D552" i="8"/>
  <c r="G552" i="8" s="1"/>
  <c r="C552" i="8"/>
  <c r="D551" i="8"/>
  <c r="G551" i="8" s="1"/>
  <c r="C551" i="8"/>
  <c r="D550" i="8"/>
  <c r="G550" i="8" s="1"/>
  <c r="C550" i="8"/>
  <c r="D549" i="8"/>
  <c r="G549" i="8" s="1"/>
  <c r="C549" i="8"/>
  <c r="G548" i="8"/>
  <c r="D548" i="8"/>
  <c r="G547" i="8"/>
  <c r="D547" i="8"/>
  <c r="C547" i="8"/>
  <c r="G546" i="8"/>
  <c r="D546" i="8"/>
  <c r="C546" i="8"/>
  <c r="G545" i="8"/>
  <c r="D545" i="8"/>
  <c r="C545" i="8"/>
  <c r="D544" i="8"/>
  <c r="G544" i="8" s="1"/>
  <c r="C544" i="8"/>
  <c r="D543" i="8"/>
  <c r="G543" i="8" s="1"/>
  <c r="C543" i="8"/>
  <c r="D542" i="8"/>
  <c r="G542" i="8" s="1"/>
  <c r="D541" i="8"/>
  <c r="G541" i="8" s="1"/>
  <c r="C541" i="8"/>
  <c r="D540" i="8"/>
  <c r="G540" i="8" s="1"/>
  <c r="C540" i="8"/>
  <c r="G539" i="8"/>
  <c r="D539" i="8"/>
  <c r="C539" i="8"/>
  <c r="G538" i="8"/>
  <c r="D538" i="8"/>
  <c r="C538" i="8"/>
  <c r="G537" i="8"/>
  <c r="D537" i="8"/>
  <c r="C537" i="8"/>
  <c r="D536" i="8"/>
  <c r="G536" i="8" s="1"/>
  <c r="C536" i="8"/>
  <c r="D535" i="8"/>
  <c r="G535" i="8" s="1"/>
  <c r="C535" i="8"/>
  <c r="G534" i="8"/>
  <c r="D534" i="8"/>
  <c r="D533" i="8"/>
  <c r="G533" i="8" s="1"/>
  <c r="C533" i="8"/>
  <c r="G532" i="8"/>
  <c r="D532" i="8"/>
  <c r="D531" i="8"/>
  <c r="G531" i="8" s="1"/>
  <c r="D530" i="8"/>
  <c r="G530" i="8" s="1"/>
  <c r="C530" i="8"/>
  <c r="D529" i="8"/>
  <c r="G529" i="8" s="1"/>
  <c r="C529" i="8"/>
  <c r="D527" i="8"/>
  <c r="G527" i="8" s="1"/>
  <c r="C527" i="8"/>
  <c r="D526" i="8"/>
  <c r="G526" i="8" s="1"/>
  <c r="G525" i="8"/>
  <c r="D525" i="8"/>
  <c r="C525" i="8"/>
  <c r="G524" i="8"/>
  <c r="D524" i="8"/>
  <c r="C524" i="8"/>
  <c r="G523" i="8"/>
  <c r="D523" i="8"/>
  <c r="C523" i="8"/>
  <c r="G522" i="8"/>
  <c r="D522" i="8"/>
  <c r="C522" i="8"/>
  <c r="D521" i="8"/>
  <c r="G521" i="8" s="1"/>
  <c r="D520" i="8"/>
  <c r="G520" i="8" s="1"/>
  <c r="C520" i="8"/>
  <c r="G519" i="8"/>
  <c r="D519" i="8"/>
  <c r="C519" i="8"/>
  <c r="D517" i="8"/>
  <c r="G517" i="8" s="1"/>
  <c r="C517" i="8"/>
  <c r="G516" i="8"/>
  <c r="D516" i="8"/>
  <c r="C516" i="8"/>
  <c r="G515" i="8"/>
  <c r="D515" i="8"/>
  <c r="C515" i="8"/>
  <c r="G514" i="8"/>
  <c r="D514" i="8"/>
  <c r="C514" i="8"/>
  <c r="D513" i="8"/>
  <c r="G513" i="8" s="1"/>
  <c r="C513" i="8"/>
  <c r="D512" i="8"/>
  <c r="G512" i="8" s="1"/>
  <c r="C512" i="8"/>
  <c r="D511" i="8"/>
  <c r="G511" i="8" s="1"/>
  <c r="C511" i="8"/>
  <c r="D510" i="8"/>
  <c r="G510" i="8" s="1"/>
  <c r="C510" i="8"/>
  <c r="D509" i="8"/>
  <c r="G509" i="8" s="1"/>
  <c r="C509" i="8"/>
  <c r="D508" i="8"/>
  <c r="G508" i="8" s="1"/>
  <c r="C508" i="8"/>
  <c r="G507" i="8"/>
  <c r="D507" i="8"/>
  <c r="C507" i="8"/>
  <c r="G506" i="8"/>
  <c r="D506" i="8"/>
  <c r="C506" i="8"/>
  <c r="D505" i="8"/>
  <c r="G505" i="8" s="1"/>
  <c r="C505" i="8"/>
  <c r="D504" i="8"/>
  <c r="G504" i="8" s="1"/>
  <c r="C504" i="8"/>
  <c r="G503" i="8"/>
  <c r="D503" i="8"/>
  <c r="C503" i="8"/>
  <c r="D502" i="8"/>
  <c r="G502" i="8" s="1"/>
  <c r="C502" i="8"/>
  <c r="G501" i="8"/>
  <c r="D501" i="8"/>
  <c r="C501" i="8"/>
  <c r="D500" i="8"/>
  <c r="G500" i="8" s="1"/>
  <c r="C500" i="8"/>
  <c r="G499" i="8"/>
  <c r="D499" i="8"/>
  <c r="G498" i="8"/>
  <c r="D498" i="8"/>
  <c r="C498" i="8"/>
  <c r="G497" i="8"/>
  <c r="D497" i="8"/>
  <c r="C497" i="8"/>
  <c r="G496" i="8"/>
  <c r="D496" i="8"/>
  <c r="D495" i="8"/>
  <c r="G495" i="8" s="1"/>
  <c r="C495" i="8"/>
  <c r="G494" i="8"/>
  <c r="D494" i="8"/>
  <c r="C494" i="8"/>
  <c r="C492" i="8"/>
  <c r="D490" i="8"/>
  <c r="G490" i="8" s="1"/>
  <c r="C490" i="8"/>
  <c r="D488" i="8"/>
  <c r="G488" i="8" s="1"/>
  <c r="C488" i="8"/>
  <c r="G487" i="8"/>
  <c r="D487" i="8"/>
  <c r="C487" i="8"/>
  <c r="G486" i="8"/>
  <c r="D486" i="8"/>
  <c r="C486" i="8"/>
  <c r="G485" i="8"/>
  <c r="D485" i="8"/>
  <c r="D484" i="8"/>
  <c r="G484" i="8" s="1"/>
  <c r="G483" i="8"/>
  <c r="D483" i="8"/>
  <c r="C483" i="8"/>
  <c r="D482" i="8"/>
  <c r="G482" i="8" s="1"/>
  <c r="C482" i="8"/>
  <c r="D481" i="8"/>
  <c r="G481" i="8" s="1"/>
  <c r="C481" i="8"/>
  <c r="D480" i="8"/>
  <c r="G480" i="8" s="1"/>
  <c r="C480" i="8"/>
  <c r="D479" i="8"/>
  <c r="G479" i="8" s="1"/>
  <c r="D478" i="8"/>
  <c r="G478" i="8" s="1"/>
  <c r="C478" i="8"/>
  <c r="G477" i="8"/>
  <c r="D477" i="8"/>
  <c r="C477" i="8"/>
  <c r="G476" i="8"/>
  <c r="D476" i="8"/>
  <c r="C476" i="8"/>
  <c r="G475" i="8"/>
  <c r="D475" i="8"/>
  <c r="C475" i="8"/>
  <c r="G474" i="8"/>
  <c r="D474" i="8"/>
  <c r="C474" i="8"/>
  <c r="D473" i="8"/>
  <c r="G473" i="8" s="1"/>
  <c r="C473" i="8"/>
  <c r="G472" i="8"/>
  <c r="D472" i="8"/>
  <c r="C472" i="8"/>
  <c r="D471" i="8"/>
  <c r="G471" i="8" s="1"/>
  <c r="C471" i="8"/>
  <c r="D470" i="8"/>
  <c r="G470" i="8" s="1"/>
  <c r="C470" i="8"/>
  <c r="D469" i="8"/>
  <c r="G469" i="8" s="1"/>
  <c r="C469" i="8"/>
  <c r="G468" i="8"/>
  <c r="D468" i="8"/>
  <c r="C468" i="8"/>
  <c r="G467" i="8"/>
  <c r="D467" i="8"/>
  <c r="C467" i="8"/>
  <c r="D466" i="8"/>
  <c r="G466" i="8" s="1"/>
  <c r="C466" i="8"/>
  <c r="G465" i="8"/>
  <c r="D465" i="8"/>
  <c r="C465" i="8"/>
  <c r="G464" i="8"/>
  <c r="D464" i="8"/>
  <c r="C464" i="8"/>
  <c r="G463" i="8"/>
  <c r="D463" i="8"/>
  <c r="C463" i="8"/>
  <c r="D462" i="8"/>
  <c r="G462" i="8" s="1"/>
  <c r="C462" i="8"/>
  <c r="G461" i="8"/>
  <c r="D461" i="8"/>
  <c r="C461" i="8"/>
  <c r="D460" i="8"/>
  <c r="G460" i="8" s="1"/>
  <c r="C460" i="8"/>
  <c r="G459" i="8"/>
  <c r="D459" i="8"/>
  <c r="C459" i="8"/>
  <c r="D458" i="8"/>
  <c r="G458" i="8" s="1"/>
  <c r="C458" i="8"/>
  <c r="D457" i="8"/>
  <c r="G457" i="8" s="1"/>
  <c r="C457" i="8"/>
  <c r="D456" i="8"/>
  <c r="G456" i="8" s="1"/>
  <c r="C456" i="8"/>
  <c r="G455" i="8"/>
  <c r="D455" i="8"/>
  <c r="G454" i="8"/>
  <c r="D454" i="8"/>
  <c r="C454" i="8"/>
  <c r="G453" i="8"/>
  <c r="D453" i="8"/>
  <c r="C453" i="8"/>
  <c r="G452" i="8"/>
  <c r="D452" i="8"/>
  <c r="C452" i="8"/>
  <c r="D451" i="8"/>
  <c r="G451" i="8" s="1"/>
  <c r="C451" i="8"/>
  <c r="G450" i="8"/>
  <c r="D450" i="8"/>
  <c r="C450" i="8"/>
  <c r="D449" i="8"/>
  <c r="G449" i="8" s="1"/>
  <c r="C449" i="8"/>
  <c r="G448" i="8"/>
  <c r="D448" i="8"/>
  <c r="C448" i="8"/>
  <c r="D447" i="8"/>
  <c r="G447" i="8" s="1"/>
  <c r="C447" i="8"/>
  <c r="D446" i="8"/>
  <c r="G446" i="8" s="1"/>
  <c r="C446" i="8"/>
  <c r="G445" i="8"/>
  <c r="D445" i="8"/>
  <c r="C445" i="8"/>
  <c r="G444" i="8"/>
  <c r="D444" i="8"/>
  <c r="C444" i="8"/>
  <c r="G443" i="8"/>
  <c r="D443" i="8"/>
  <c r="C443" i="8"/>
  <c r="D442" i="8"/>
  <c r="G442" i="8" s="1"/>
  <c r="C442" i="8"/>
  <c r="G441" i="8"/>
  <c r="D441" i="8"/>
  <c r="C441" i="8"/>
  <c r="D440" i="8"/>
  <c r="G440" i="8" s="1"/>
  <c r="G439" i="8"/>
  <c r="D439" i="8"/>
  <c r="C439" i="8"/>
  <c r="D438" i="8"/>
  <c r="G438" i="8" s="1"/>
  <c r="C438" i="8"/>
  <c r="D437" i="8"/>
  <c r="G437" i="8" s="1"/>
  <c r="C437" i="8"/>
  <c r="D436" i="8"/>
  <c r="G436" i="8" s="1"/>
  <c r="C436" i="8"/>
  <c r="D435" i="8"/>
  <c r="G435" i="8" s="1"/>
  <c r="C435" i="8"/>
  <c r="D434" i="8"/>
  <c r="G434" i="8" s="1"/>
  <c r="C434" i="8"/>
  <c r="G433" i="8"/>
  <c r="D433" i="8"/>
  <c r="C433" i="8"/>
  <c r="G432" i="8"/>
  <c r="D432" i="8"/>
  <c r="C432" i="8"/>
  <c r="G431" i="8"/>
  <c r="D431" i="8"/>
  <c r="C431" i="8"/>
  <c r="G430" i="8"/>
  <c r="D430" i="8"/>
  <c r="C430" i="8"/>
  <c r="D429" i="8"/>
  <c r="G429" i="8" s="1"/>
  <c r="C429" i="8"/>
  <c r="G428" i="8"/>
  <c r="D428" i="8"/>
  <c r="C427" i="8"/>
  <c r="D426" i="8"/>
  <c r="G426" i="8" s="1"/>
  <c r="C426" i="8"/>
  <c r="D425" i="8"/>
  <c r="G425" i="8" s="1"/>
  <c r="C425" i="8"/>
  <c r="D424" i="8"/>
  <c r="G424" i="8" s="1"/>
  <c r="C424" i="8"/>
  <c r="G423" i="8"/>
  <c r="D423" i="8"/>
  <c r="G422" i="8"/>
  <c r="D422" i="8"/>
  <c r="C422" i="8"/>
  <c r="C421" i="8"/>
  <c r="D420" i="8"/>
  <c r="G420" i="8" s="1"/>
  <c r="C420" i="8"/>
  <c r="G419" i="8"/>
  <c r="D419" i="8"/>
  <c r="C419" i="8"/>
  <c r="D418" i="8"/>
  <c r="G418" i="8" s="1"/>
  <c r="C418" i="8"/>
  <c r="G417" i="8"/>
  <c r="D417" i="8"/>
  <c r="C417" i="8"/>
  <c r="D416" i="8"/>
  <c r="G416" i="8" s="1"/>
  <c r="C416" i="8"/>
  <c r="D415" i="8"/>
  <c r="G415" i="8" s="1"/>
  <c r="C415" i="8"/>
  <c r="D414" i="8"/>
  <c r="G414" i="8" s="1"/>
  <c r="C414" i="8"/>
  <c r="D413" i="8"/>
  <c r="G413" i="8" s="1"/>
  <c r="C413" i="8"/>
  <c r="D412" i="8"/>
  <c r="G412" i="8" s="1"/>
  <c r="C412" i="8"/>
  <c r="G411" i="8"/>
  <c r="D411" i="8"/>
  <c r="C411" i="8"/>
  <c r="G410" i="8"/>
  <c r="D410" i="8"/>
  <c r="C410" i="8"/>
  <c r="G409" i="8"/>
  <c r="D409" i="8"/>
  <c r="C409" i="8"/>
  <c r="G408" i="8"/>
  <c r="D408" i="8"/>
  <c r="C408" i="8"/>
  <c r="G407" i="8"/>
  <c r="D407" i="8"/>
  <c r="C407" i="8"/>
  <c r="G406" i="8"/>
  <c r="D406" i="8"/>
  <c r="C406" i="8"/>
  <c r="D405" i="8"/>
  <c r="G405" i="8" s="1"/>
  <c r="G404" i="8"/>
  <c r="D404" i="8"/>
  <c r="C404" i="8"/>
  <c r="D403" i="8"/>
  <c r="G403" i="8" s="1"/>
  <c r="C403" i="8"/>
  <c r="G402" i="8"/>
  <c r="D402" i="8"/>
  <c r="G401" i="8"/>
  <c r="D401" i="8"/>
  <c r="G400" i="8"/>
  <c r="D400" i="8"/>
  <c r="C400" i="8"/>
  <c r="G399" i="8"/>
  <c r="D399" i="8"/>
  <c r="C399" i="8"/>
  <c r="D398" i="8"/>
  <c r="G398" i="8" s="1"/>
  <c r="C398" i="8"/>
  <c r="G397" i="8"/>
  <c r="D397" i="8"/>
  <c r="C397" i="8"/>
  <c r="G396" i="8"/>
  <c r="D396" i="8"/>
  <c r="C396" i="8"/>
  <c r="D395" i="8"/>
  <c r="G395" i="8" s="1"/>
  <c r="C395" i="8"/>
  <c r="D394" i="8"/>
  <c r="G394" i="8" s="1"/>
  <c r="C394" i="8"/>
  <c r="D393" i="8"/>
  <c r="G393" i="8" s="1"/>
  <c r="C393" i="8"/>
  <c r="D392" i="8"/>
  <c r="G392" i="8" s="1"/>
  <c r="C392" i="8"/>
  <c r="D391" i="8"/>
  <c r="G391" i="8" s="1"/>
  <c r="C391" i="8"/>
  <c r="D390" i="8"/>
  <c r="G390" i="8" s="1"/>
  <c r="C390" i="8"/>
  <c r="D389" i="8"/>
  <c r="G389" i="8" s="1"/>
  <c r="C389" i="8"/>
  <c r="G388" i="8"/>
  <c r="D388" i="8"/>
  <c r="C388" i="8"/>
  <c r="G387" i="8"/>
  <c r="D387" i="8"/>
  <c r="C387" i="8"/>
  <c r="G386" i="8"/>
  <c r="D386" i="8"/>
  <c r="C386" i="8"/>
  <c r="D385" i="8"/>
  <c r="G385" i="8" s="1"/>
  <c r="C385" i="8"/>
  <c r="G384" i="8"/>
  <c r="D384" i="8"/>
  <c r="D383" i="8"/>
  <c r="G383" i="8" s="1"/>
  <c r="C383" i="8"/>
  <c r="D382" i="8"/>
  <c r="G382" i="8" s="1"/>
  <c r="C382" i="8"/>
  <c r="D381" i="8"/>
  <c r="G381" i="8" s="1"/>
  <c r="G380" i="8"/>
  <c r="D380" i="8"/>
  <c r="C379" i="8"/>
  <c r="G378" i="8"/>
  <c r="D378" i="8"/>
  <c r="C378" i="8"/>
  <c r="G377" i="8"/>
  <c r="D377" i="8"/>
  <c r="C377" i="8"/>
  <c r="G376" i="8"/>
  <c r="D376" i="8"/>
  <c r="C376" i="8"/>
  <c r="G375" i="8"/>
  <c r="D375" i="8"/>
  <c r="C375" i="8"/>
  <c r="D374" i="8"/>
  <c r="G374" i="8" s="1"/>
  <c r="C374" i="8"/>
  <c r="G373" i="8"/>
  <c r="D373" i="8"/>
  <c r="C373" i="8"/>
  <c r="D372" i="8"/>
  <c r="G372" i="8" s="1"/>
  <c r="C372" i="8"/>
  <c r="C371" i="8"/>
  <c r="D370" i="8"/>
  <c r="G370" i="8" s="1"/>
  <c r="C370" i="8"/>
  <c r="D369" i="8"/>
  <c r="G369" i="8" s="1"/>
  <c r="C369" i="8"/>
  <c r="D368" i="8"/>
  <c r="G368" i="8" s="1"/>
  <c r="C368" i="8"/>
  <c r="D367" i="8"/>
  <c r="G367" i="8" s="1"/>
  <c r="C367" i="8"/>
  <c r="G366" i="8"/>
  <c r="D366" i="8"/>
  <c r="C366" i="8"/>
  <c r="G365" i="8"/>
  <c r="D365" i="8"/>
  <c r="C365" i="8"/>
  <c r="G364" i="8"/>
  <c r="D364" i="8"/>
  <c r="C364" i="8"/>
  <c r="G363" i="8"/>
  <c r="D363" i="8"/>
  <c r="C363" i="8"/>
  <c r="D362" i="8"/>
  <c r="G362" i="8" s="1"/>
  <c r="C362" i="8"/>
  <c r="D361" i="8"/>
  <c r="G361" i="8" s="1"/>
  <c r="C361" i="8"/>
  <c r="D360" i="8"/>
  <c r="G360" i="8" s="1"/>
  <c r="C360" i="8"/>
  <c r="D359" i="8"/>
  <c r="G359" i="8" s="1"/>
  <c r="C359" i="8"/>
  <c r="G358" i="8"/>
  <c r="D358" i="8"/>
  <c r="C358" i="8"/>
  <c r="G357" i="8"/>
  <c r="D357" i="8"/>
  <c r="C357" i="8"/>
  <c r="G356" i="8"/>
  <c r="D356" i="8"/>
  <c r="C356" i="8"/>
  <c r="G355" i="8"/>
  <c r="D355" i="8"/>
  <c r="C355" i="8"/>
  <c r="D354" i="8"/>
  <c r="G354" i="8" s="1"/>
  <c r="C354" i="8"/>
  <c r="D353" i="8"/>
  <c r="G353" i="8" s="1"/>
  <c r="C353" i="8"/>
  <c r="D352" i="8"/>
  <c r="G352" i="8" s="1"/>
  <c r="C352" i="8"/>
  <c r="G351" i="8"/>
  <c r="D351" i="8"/>
  <c r="C351" i="8"/>
  <c r="D350" i="8"/>
  <c r="G350" i="8" s="1"/>
  <c r="C350" i="8"/>
  <c r="D349" i="8"/>
  <c r="G349" i="8" s="1"/>
  <c r="C349" i="8"/>
  <c r="G348" i="8"/>
  <c r="D348" i="8"/>
  <c r="C348" i="8"/>
  <c r="D347" i="8"/>
  <c r="G347" i="8" s="1"/>
  <c r="C347" i="8"/>
  <c r="D346" i="8"/>
  <c r="G346" i="8" s="1"/>
  <c r="C346" i="8"/>
  <c r="C345" i="8"/>
  <c r="D344" i="8"/>
  <c r="G344" i="8" s="1"/>
  <c r="C344" i="8"/>
  <c r="G343" i="8"/>
  <c r="D343" i="8"/>
  <c r="C343" i="8"/>
  <c r="G342" i="8"/>
  <c r="D342" i="8"/>
  <c r="C342" i="8"/>
  <c r="G341" i="8"/>
  <c r="D341" i="8"/>
  <c r="C341" i="8"/>
  <c r="D340" i="8"/>
  <c r="G340" i="8" s="1"/>
  <c r="C340" i="8"/>
  <c r="D339" i="8"/>
  <c r="G339" i="8" s="1"/>
  <c r="C339" i="8"/>
  <c r="D338" i="8"/>
  <c r="G338" i="8" s="1"/>
  <c r="C338" i="8"/>
  <c r="D337" i="8"/>
  <c r="G337" i="8" s="1"/>
  <c r="C337" i="8"/>
  <c r="G336" i="8"/>
  <c r="D336" i="8"/>
  <c r="C336" i="8"/>
  <c r="D335" i="8"/>
  <c r="G335" i="8" s="1"/>
  <c r="C335" i="8"/>
  <c r="G334" i="8"/>
  <c r="D334" i="8"/>
  <c r="C334" i="8"/>
  <c r="D333" i="8"/>
  <c r="G333" i="8" s="1"/>
  <c r="C333" i="8"/>
  <c r="G332" i="8"/>
  <c r="D332" i="8"/>
  <c r="C332" i="8"/>
  <c r="D331" i="8"/>
  <c r="G331" i="8" s="1"/>
  <c r="C331" i="8"/>
  <c r="D330" i="8"/>
  <c r="G330" i="8" s="1"/>
  <c r="C330" i="8"/>
  <c r="G329" i="8"/>
  <c r="D329" i="8"/>
  <c r="C329" i="8"/>
  <c r="G328" i="8"/>
  <c r="D328" i="8"/>
  <c r="C328" i="8"/>
  <c r="G327" i="8"/>
  <c r="D327" i="8"/>
  <c r="C327" i="8"/>
  <c r="D326" i="8"/>
  <c r="G326" i="8" s="1"/>
  <c r="C326" i="8"/>
  <c r="D325" i="8"/>
  <c r="G325" i="8" s="1"/>
  <c r="C325" i="8"/>
  <c r="D324" i="8"/>
  <c r="G324" i="8" s="1"/>
  <c r="C324" i="8"/>
  <c r="D323" i="8"/>
  <c r="G323" i="8" s="1"/>
  <c r="C323" i="8"/>
  <c r="G322" i="8"/>
  <c r="D322" i="8"/>
  <c r="C322" i="8"/>
  <c r="G321" i="8"/>
  <c r="D321" i="8"/>
  <c r="C321" i="8"/>
  <c r="G320" i="8"/>
  <c r="D320" i="8"/>
  <c r="C320" i="8"/>
  <c r="D319" i="8"/>
  <c r="G319" i="8" s="1"/>
  <c r="C319" i="8"/>
  <c r="G318" i="8"/>
  <c r="D318" i="8"/>
  <c r="C318" i="8"/>
  <c r="G317" i="8"/>
  <c r="D317" i="8"/>
  <c r="C317" i="8"/>
  <c r="D316" i="8"/>
  <c r="G316" i="8" s="1"/>
  <c r="C316" i="8"/>
  <c r="G315" i="8"/>
  <c r="D315" i="8"/>
  <c r="C315" i="8"/>
  <c r="G314" i="8"/>
  <c r="D314" i="8"/>
  <c r="C314" i="8"/>
  <c r="G313" i="8"/>
  <c r="D313" i="8"/>
  <c r="C313" i="8"/>
  <c r="D312" i="8"/>
  <c r="G312" i="8" s="1"/>
  <c r="C312" i="8"/>
  <c r="D311" i="8"/>
  <c r="G311" i="8" s="1"/>
  <c r="C311" i="8"/>
  <c r="G310" i="8"/>
  <c r="D310" i="8"/>
  <c r="C310" i="8"/>
  <c r="D309" i="8"/>
  <c r="G309" i="8" s="1"/>
  <c r="C309" i="8"/>
  <c r="G308" i="8"/>
  <c r="D308" i="8"/>
  <c r="C308" i="8"/>
  <c r="D307" i="8"/>
  <c r="G307" i="8" s="1"/>
  <c r="C307" i="8"/>
  <c r="G306" i="8"/>
  <c r="D306" i="8"/>
  <c r="C306" i="8"/>
  <c r="D305" i="8"/>
  <c r="G305" i="8" s="1"/>
  <c r="C305" i="8"/>
  <c r="G304" i="8"/>
  <c r="D304" i="8"/>
  <c r="C304" i="8"/>
  <c r="D303" i="8"/>
  <c r="G303" i="8" s="1"/>
  <c r="C303" i="8"/>
  <c r="D302" i="8"/>
  <c r="G302" i="8" s="1"/>
  <c r="G301" i="8"/>
  <c r="D301" i="8"/>
  <c r="C301" i="8"/>
  <c r="D300" i="8"/>
  <c r="G300" i="8" s="1"/>
  <c r="C300" i="8"/>
  <c r="G299" i="8"/>
  <c r="D299" i="8"/>
  <c r="C299" i="8"/>
  <c r="G298" i="8"/>
  <c r="D298" i="8"/>
  <c r="C298" i="8"/>
  <c r="G297" i="8"/>
  <c r="D297" i="8"/>
  <c r="C297" i="8"/>
  <c r="G295" i="8"/>
  <c r="D295" i="8"/>
  <c r="C295" i="8"/>
  <c r="D294" i="8"/>
  <c r="G294" i="8" s="1"/>
  <c r="C294" i="8"/>
  <c r="D293" i="8"/>
  <c r="G293" i="8" s="1"/>
  <c r="C293" i="8"/>
  <c r="G292" i="8"/>
  <c r="D292" i="8"/>
  <c r="C292" i="8"/>
  <c r="D291" i="8"/>
  <c r="G291" i="8" s="1"/>
  <c r="C291" i="8"/>
  <c r="G290" i="8"/>
  <c r="D290" i="8"/>
  <c r="C290" i="8"/>
  <c r="C289" i="8"/>
  <c r="D288" i="8"/>
  <c r="G288" i="8" s="1"/>
  <c r="G287" i="8"/>
  <c r="D287" i="8"/>
  <c r="C287" i="8"/>
  <c r="G286" i="8"/>
  <c r="D286" i="8"/>
  <c r="C286" i="8"/>
  <c r="G285" i="8"/>
  <c r="D285" i="8"/>
  <c r="C285" i="8"/>
  <c r="D284" i="8"/>
  <c r="G284" i="8" s="1"/>
  <c r="C284" i="8"/>
  <c r="D283" i="8"/>
  <c r="G283" i="8" s="1"/>
  <c r="C283" i="8"/>
  <c r="D282" i="8"/>
  <c r="G282" i="8" s="1"/>
  <c r="C282" i="8"/>
  <c r="D281" i="8"/>
  <c r="G281" i="8" s="1"/>
  <c r="C281" i="8"/>
  <c r="D280" i="8"/>
  <c r="G280" i="8" s="1"/>
  <c r="C280" i="8"/>
  <c r="D279" i="8"/>
  <c r="G279" i="8" s="1"/>
  <c r="G278" i="8"/>
  <c r="D278" i="8"/>
  <c r="C278" i="8"/>
  <c r="G277" i="8"/>
  <c r="D277" i="8"/>
  <c r="C277" i="8"/>
  <c r="G276" i="8"/>
  <c r="D276" i="8"/>
  <c r="C276" i="8"/>
  <c r="G275" i="8"/>
  <c r="D275" i="8"/>
  <c r="C275" i="8"/>
  <c r="D274" i="8"/>
  <c r="G274" i="8" s="1"/>
  <c r="C274" i="8"/>
  <c r="C273" i="8"/>
  <c r="D272" i="8"/>
  <c r="G272" i="8" s="1"/>
  <c r="C272" i="8"/>
  <c r="G271" i="8"/>
  <c r="D271" i="8"/>
  <c r="C271" i="8"/>
  <c r="D270" i="8"/>
  <c r="G270" i="8" s="1"/>
  <c r="C270" i="8"/>
  <c r="D269" i="8"/>
  <c r="G269" i="8" s="1"/>
  <c r="C269" i="8"/>
  <c r="D268" i="8"/>
  <c r="G268" i="8" s="1"/>
  <c r="C268" i="8"/>
  <c r="G267" i="8"/>
  <c r="D267" i="8"/>
  <c r="C267" i="8"/>
  <c r="G266" i="8"/>
  <c r="D266" i="8"/>
  <c r="C266" i="8"/>
  <c r="D265" i="8"/>
  <c r="G265" i="8" s="1"/>
  <c r="C265" i="8"/>
  <c r="G264" i="8"/>
  <c r="D264" i="8"/>
  <c r="C264" i="8"/>
  <c r="D263" i="8"/>
  <c r="G263" i="8" s="1"/>
  <c r="C263" i="8"/>
  <c r="G262" i="8"/>
  <c r="D262" i="8"/>
  <c r="C262" i="8"/>
  <c r="C261" i="8"/>
  <c r="D260" i="8"/>
  <c r="G260" i="8" s="1"/>
  <c r="C260" i="8"/>
  <c r="D259" i="8"/>
  <c r="G259" i="8" s="1"/>
  <c r="C259" i="8"/>
  <c r="D258" i="8"/>
  <c r="G258" i="8" s="1"/>
  <c r="C258" i="8"/>
  <c r="G257" i="8"/>
  <c r="D257" i="8"/>
  <c r="C257" i="8"/>
  <c r="D256" i="8"/>
  <c r="G256" i="8" s="1"/>
  <c r="C256" i="8"/>
  <c r="G255" i="8"/>
  <c r="D255" i="8"/>
  <c r="C255" i="8"/>
  <c r="G254" i="8"/>
  <c r="D254" i="8"/>
  <c r="C254" i="8"/>
  <c r="C253" i="8"/>
  <c r="G252" i="8"/>
  <c r="D252" i="8"/>
  <c r="C252" i="8"/>
  <c r="D251" i="8"/>
  <c r="G251" i="8" s="1"/>
  <c r="C251" i="8"/>
  <c r="D250" i="8"/>
  <c r="G250" i="8" s="1"/>
  <c r="C250" i="8"/>
  <c r="G249" i="8"/>
  <c r="D249" i="8"/>
  <c r="C249" i="8"/>
  <c r="G248" i="8"/>
  <c r="D248" i="8"/>
  <c r="C248" i="8"/>
  <c r="D247" i="8"/>
  <c r="G247" i="8" s="1"/>
  <c r="C247" i="8"/>
  <c r="G246" i="8"/>
  <c r="D246" i="8"/>
  <c r="C246" i="8"/>
  <c r="D245" i="8"/>
  <c r="G245" i="8" s="1"/>
  <c r="G244" i="8"/>
  <c r="D244" i="8"/>
  <c r="G243" i="8"/>
  <c r="D243" i="8"/>
  <c r="C243" i="8"/>
  <c r="D242" i="8"/>
  <c r="G242" i="8" s="1"/>
  <c r="C242" i="8"/>
  <c r="G241" i="8"/>
  <c r="D241" i="8"/>
  <c r="C241" i="8"/>
  <c r="D240" i="8"/>
  <c r="G240" i="8" s="1"/>
  <c r="C240" i="8"/>
  <c r="G239" i="8"/>
  <c r="D239" i="8"/>
  <c r="C239" i="8"/>
  <c r="D238" i="8"/>
  <c r="G238" i="8" s="1"/>
  <c r="C238" i="8"/>
  <c r="G237" i="8"/>
  <c r="D237" i="8"/>
  <c r="C237" i="8"/>
  <c r="D236" i="8"/>
  <c r="G236" i="8" s="1"/>
  <c r="C236" i="8"/>
  <c r="G235" i="8"/>
  <c r="D235" i="8"/>
  <c r="C235" i="8"/>
  <c r="G234" i="8"/>
  <c r="D234" i="8"/>
  <c r="C234" i="8"/>
  <c r="D233" i="8"/>
  <c r="G233" i="8" s="1"/>
  <c r="C233" i="8"/>
  <c r="G232" i="8"/>
  <c r="D232" i="8"/>
  <c r="C232" i="8"/>
  <c r="G231" i="8"/>
  <c r="D231" i="8"/>
  <c r="C230" i="8"/>
  <c r="D229" i="8"/>
  <c r="G229" i="8" s="1"/>
  <c r="C229" i="8"/>
  <c r="G228" i="8"/>
  <c r="D228" i="8"/>
  <c r="C228" i="8"/>
  <c r="D227" i="8"/>
  <c r="G227" i="8" s="1"/>
  <c r="G226" i="8"/>
  <c r="D226" i="8"/>
  <c r="C226" i="8"/>
  <c r="G225" i="8"/>
  <c r="D225" i="8"/>
  <c r="C225" i="8"/>
  <c r="D224" i="8"/>
  <c r="G224" i="8" s="1"/>
  <c r="C224" i="8"/>
  <c r="G223" i="8"/>
  <c r="D223" i="8"/>
  <c r="C223" i="8"/>
  <c r="G222" i="8"/>
  <c r="D222" i="8"/>
  <c r="C222" i="8"/>
  <c r="G221" i="8"/>
  <c r="D221" i="8"/>
  <c r="C221" i="8"/>
  <c r="D220" i="8"/>
  <c r="G220" i="8" s="1"/>
  <c r="D219" i="8"/>
  <c r="G219" i="8" s="1"/>
  <c r="C219" i="8"/>
  <c r="D218" i="8"/>
  <c r="G218" i="8" s="1"/>
  <c r="C218" i="8"/>
  <c r="G217" i="8"/>
  <c r="D217" i="8"/>
  <c r="C217" i="8"/>
  <c r="G216" i="8"/>
  <c r="D216" i="8"/>
  <c r="C216" i="8"/>
  <c r="D215" i="8"/>
  <c r="G215" i="8" s="1"/>
  <c r="C215" i="8"/>
  <c r="D214" i="8"/>
  <c r="G214" i="8" s="1"/>
  <c r="C214" i="8"/>
  <c r="D213" i="8"/>
  <c r="G213" i="8" s="1"/>
  <c r="C213" i="8"/>
  <c r="C212" i="8"/>
  <c r="D211" i="8"/>
  <c r="G211" i="8" s="1"/>
  <c r="C211" i="8"/>
  <c r="G210" i="8"/>
  <c r="D210" i="8"/>
  <c r="C210" i="8"/>
  <c r="D209" i="8"/>
  <c r="G209" i="8" s="1"/>
  <c r="C209" i="8"/>
  <c r="G208" i="8"/>
  <c r="D208" i="8"/>
  <c r="C208" i="8"/>
  <c r="D207" i="8"/>
  <c r="G207" i="8" s="1"/>
  <c r="C207" i="8"/>
  <c r="D206" i="8"/>
  <c r="G206" i="8" s="1"/>
  <c r="C206" i="8"/>
  <c r="G205" i="8"/>
  <c r="D205" i="8"/>
  <c r="C205" i="8"/>
  <c r="G204" i="8"/>
  <c r="D204" i="8"/>
  <c r="C204" i="8"/>
  <c r="G203" i="8"/>
  <c r="D203" i="8"/>
  <c r="C203" i="8"/>
  <c r="D202" i="8"/>
  <c r="G202" i="8" s="1"/>
  <c r="C202" i="8"/>
  <c r="D201" i="8"/>
  <c r="G201" i="8" s="1"/>
  <c r="C201" i="8"/>
  <c r="D200" i="8"/>
  <c r="G200" i="8" s="1"/>
  <c r="C200" i="8"/>
  <c r="D199" i="8"/>
  <c r="G199" i="8" s="1"/>
  <c r="C199" i="8"/>
  <c r="G198" i="8"/>
  <c r="D198" i="8"/>
  <c r="C198" i="8"/>
  <c r="D197" i="8"/>
  <c r="G197" i="8" s="1"/>
  <c r="C197" i="8"/>
  <c r="G196" i="8"/>
  <c r="D196" i="8"/>
  <c r="C196" i="8"/>
  <c r="D195" i="8"/>
  <c r="G195" i="8" s="1"/>
  <c r="G194" i="8"/>
  <c r="D194" i="8"/>
  <c r="C194" i="8"/>
  <c r="D193" i="8"/>
  <c r="G193" i="8" s="1"/>
  <c r="C193" i="8"/>
  <c r="D192" i="8"/>
  <c r="G192" i="8" s="1"/>
  <c r="C192" i="8"/>
  <c r="D191" i="8"/>
  <c r="G191" i="8" s="1"/>
  <c r="C191" i="8"/>
  <c r="D190" i="8"/>
  <c r="G190" i="8" s="1"/>
  <c r="C190" i="8"/>
  <c r="D189" i="8"/>
  <c r="G189" i="8" s="1"/>
  <c r="C189" i="8"/>
  <c r="D188" i="8"/>
  <c r="G188" i="8" s="1"/>
  <c r="C188" i="8"/>
  <c r="G187" i="8"/>
  <c r="D187" i="8"/>
  <c r="C187" i="8"/>
  <c r="G186" i="8"/>
  <c r="D186" i="8"/>
  <c r="C186" i="8"/>
  <c r="G185" i="8"/>
  <c r="D185" i="8"/>
  <c r="C185" i="8"/>
  <c r="D184" i="8"/>
  <c r="G184" i="8" s="1"/>
  <c r="C184" i="8"/>
  <c r="G183" i="8"/>
  <c r="D183" i="8"/>
  <c r="C183" i="8"/>
  <c r="D182" i="8"/>
  <c r="G182" i="8" s="1"/>
  <c r="C182" i="8"/>
  <c r="G181" i="8"/>
  <c r="D181" i="8"/>
  <c r="C181" i="8"/>
  <c r="G180" i="8"/>
  <c r="D180" i="8"/>
  <c r="C180" i="8"/>
  <c r="D179" i="8"/>
  <c r="G179" i="8" s="1"/>
  <c r="C179" i="8"/>
  <c r="D178" i="8"/>
  <c r="G178" i="8" s="1"/>
  <c r="C178" i="8"/>
  <c r="D177" i="8"/>
  <c r="G177" i="8" s="1"/>
  <c r="C177" i="8"/>
  <c r="G176" i="8"/>
  <c r="D176" i="8"/>
  <c r="C176" i="8"/>
  <c r="D175" i="8"/>
  <c r="G175" i="8" s="1"/>
  <c r="C175" i="8"/>
  <c r="G174" i="8"/>
  <c r="D174" i="8"/>
  <c r="C174" i="8"/>
  <c r="D173" i="8"/>
  <c r="G173" i="8" s="1"/>
  <c r="C173" i="8"/>
  <c r="G172" i="8"/>
  <c r="D172" i="8"/>
  <c r="C172" i="8"/>
  <c r="D171" i="8"/>
  <c r="G171" i="8" s="1"/>
  <c r="C171" i="8"/>
  <c r="D170" i="8"/>
  <c r="G170" i="8" s="1"/>
  <c r="C170" i="8"/>
  <c r="D169" i="8"/>
  <c r="G169" i="8" s="1"/>
  <c r="C169" i="8"/>
  <c r="G168" i="8"/>
  <c r="D168" i="8"/>
  <c r="C168" i="8"/>
  <c r="D167" i="8"/>
  <c r="G167" i="8" s="1"/>
  <c r="D166" i="8"/>
  <c r="G166" i="8" s="1"/>
  <c r="C166" i="8"/>
  <c r="G165" i="8"/>
  <c r="D165" i="8"/>
  <c r="C165" i="8"/>
  <c r="G164" i="8"/>
  <c r="D164" i="8"/>
  <c r="C164" i="8"/>
  <c r="G163" i="8"/>
  <c r="D163" i="8"/>
  <c r="C163" i="8"/>
  <c r="D162" i="8"/>
  <c r="G162" i="8" s="1"/>
  <c r="C162" i="8"/>
  <c r="G161" i="8"/>
  <c r="D161" i="8"/>
  <c r="C161" i="8"/>
  <c r="D160" i="8"/>
  <c r="G160" i="8" s="1"/>
  <c r="C160" i="8"/>
  <c r="G159" i="8"/>
  <c r="D159" i="8"/>
  <c r="C159" i="8"/>
  <c r="G158" i="8"/>
  <c r="D158" i="8"/>
  <c r="C158" i="8"/>
  <c r="D157" i="8"/>
  <c r="G157" i="8" s="1"/>
  <c r="C157" i="8"/>
  <c r="D156" i="8"/>
  <c r="G156" i="8" s="1"/>
  <c r="C156" i="8"/>
  <c r="G155" i="8"/>
  <c r="D155" i="8"/>
  <c r="C155" i="8"/>
  <c r="G154" i="8"/>
  <c r="D154" i="8"/>
  <c r="C154" i="8"/>
  <c r="D153" i="8"/>
  <c r="G153" i="8" s="1"/>
  <c r="C153" i="8"/>
  <c r="G152" i="8"/>
  <c r="D152" i="8"/>
  <c r="C152" i="8"/>
  <c r="G151" i="8"/>
  <c r="D151" i="8"/>
  <c r="C151" i="8"/>
  <c r="G150" i="8"/>
  <c r="D150" i="8"/>
  <c r="C150" i="8"/>
  <c r="D149" i="8"/>
  <c r="G149" i="8" s="1"/>
  <c r="C149" i="8"/>
  <c r="D148" i="8"/>
  <c r="G148" i="8" s="1"/>
  <c r="C148" i="8"/>
  <c r="D147" i="8"/>
  <c r="G147" i="8" s="1"/>
  <c r="C147" i="8"/>
  <c r="G146" i="8"/>
  <c r="D146" i="8"/>
  <c r="C146" i="8"/>
  <c r="D145" i="8"/>
  <c r="G145" i="8" s="1"/>
  <c r="C145" i="8"/>
  <c r="D144" i="8"/>
  <c r="G144" i="8" s="1"/>
  <c r="C144" i="8"/>
  <c r="G143" i="8"/>
  <c r="D143" i="8"/>
  <c r="C143" i="8"/>
  <c r="G142" i="8"/>
  <c r="D142" i="8"/>
  <c r="C142" i="8"/>
  <c r="G141" i="8"/>
  <c r="D141" i="8"/>
  <c r="C141" i="8"/>
  <c r="D140" i="8"/>
  <c r="G140" i="8" s="1"/>
  <c r="C140" i="8"/>
  <c r="G139" i="8"/>
  <c r="D139" i="8"/>
  <c r="C139" i="8"/>
  <c r="D138" i="8"/>
  <c r="G138" i="8" s="1"/>
  <c r="C138" i="8"/>
  <c r="G137" i="8"/>
  <c r="D137" i="8"/>
  <c r="C137" i="8"/>
  <c r="G136" i="8"/>
  <c r="D136" i="8"/>
  <c r="C136" i="8"/>
  <c r="D135" i="8"/>
  <c r="G135" i="8" s="1"/>
  <c r="C135" i="8"/>
  <c r="D134" i="8"/>
  <c r="G134" i="8" s="1"/>
  <c r="C134" i="8"/>
  <c r="G133" i="8"/>
  <c r="D133" i="8"/>
  <c r="C133" i="8"/>
  <c r="G132" i="8"/>
  <c r="D132" i="8"/>
  <c r="C132" i="8"/>
  <c r="D131" i="8"/>
  <c r="G131" i="8" s="1"/>
  <c r="C131" i="8"/>
  <c r="G130" i="8"/>
  <c r="D130" i="8"/>
  <c r="C130" i="8"/>
  <c r="D129" i="8"/>
  <c r="G129" i="8" s="1"/>
  <c r="C129" i="8"/>
  <c r="G128" i="8"/>
  <c r="D128" i="8"/>
  <c r="C128" i="8"/>
  <c r="D127" i="8"/>
  <c r="G127" i="8" s="1"/>
  <c r="C127" i="8"/>
  <c r="D126" i="8"/>
  <c r="G126" i="8" s="1"/>
  <c r="C126" i="8"/>
  <c r="D125" i="8"/>
  <c r="G125" i="8" s="1"/>
  <c r="C125" i="8"/>
  <c r="G124" i="8"/>
  <c r="D124" i="8"/>
  <c r="C124" i="8"/>
  <c r="D123" i="8"/>
  <c r="G123" i="8" s="1"/>
  <c r="C123" i="8"/>
  <c r="D122" i="8"/>
  <c r="G122" i="8" s="1"/>
  <c r="C122" i="8"/>
  <c r="G121" i="8"/>
  <c r="D121" i="8"/>
  <c r="C121" i="8"/>
  <c r="D120" i="8"/>
  <c r="G120" i="8" s="1"/>
  <c r="C120" i="8"/>
  <c r="G119" i="8"/>
  <c r="D119" i="8"/>
  <c r="D118" i="8"/>
  <c r="G118" i="8" s="1"/>
  <c r="C118" i="8"/>
  <c r="G117" i="8"/>
  <c r="D117" i="8"/>
  <c r="C117" i="8"/>
  <c r="D116" i="8"/>
  <c r="G116" i="8" s="1"/>
  <c r="C116" i="8"/>
  <c r="D115" i="8"/>
  <c r="G115" i="8" s="1"/>
  <c r="G114" i="8"/>
  <c r="D114" i="8"/>
  <c r="C114" i="8"/>
  <c r="D113" i="8"/>
  <c r="G113" i="8" s="1"/>
  <c r="C113" i="8"/>
  <c r="D112" i="8"/>
  <c r="G112" i="8" s="1"/>
  <c r="C112" i="8"/>
  <c r="D111" i="8"/>
  <c r="G111" i="8" s="1"/>
  <c r="C111" i="8"/>
  <c r="G110" i="8"/>
  <c r="D110" i="8"/>
  <c r="C110" i="8"/>
  <c r="D109" i="8"/>
  <c r="G109" i="8" s="1"/>
  <c r="C109" i="8"/>
  <c r="C108" i="8"/>
  <c r="C107" i="8"/>
  <c r="G106" i="8"/>
  <c r="D106" i="8"/>
  <c r="C106" i="8"/>
  <c r="D105" i="8"/>
  <c r="G105" i="8" s="1"/>
  <c r="C105" i="8"/>
  <c r="C104" i="8"/>
  <c r="D103" i="8"/>
  <c r="G103" i="8" s="1"/>
  <c r="C103" i="8"/>
  <c r="G102" i="8"/>
  <c r="D102" i="8"/>
  <c r="C102" i="8"/>
  <c r="D100" i="8"/>
  <c r="G100" i="8" s="1"/>
  <c r="C100" i="8"/>
  <c r="C99" i="8"/>
  <c r="G97" i="8"/>
  <c r="D97" i="8"/>
  <c r="C97" i="8"/>
  <c r="D96" i="8"/>
  <c r="G96" i="8" s="1"/>
  <c r="C96" i="8"/>
  <c r="G95" i="8"/>
  <c r="D95" i="8"/>
  <c r="C95" i="8"/>
  <c r="D94" i="8"/>
  <c r="G94" i="8" s="1"/>
  <c r="G93" i="8"/>
  <c r="D93" i="8"/>
  <c r="C93" i="8"/>
  <c r="C92" i="8"/>
  <c r="C91" i="8"/>
  <c r="D90" i="8"/>
  <c r="G90" i="8" s="1"/>
  <c r="G89" i="8"/>
  <c r="D89" i="8"/>
  <c r="C89" i="8"/>
  <c r="G88" i="8"/>
  <c r="D88" i="8"/>
  <c r="C88" i="8"/>
  <c r="G86" i="8"/>
  <c r="D86" i="8"/>
  <c r="C86" i="8"/>
  <c r="C85" i="8"/>
  <c r="G84" i="8"/>
  <c r="D84" i="8"/>
  <c r="C84" i="8"/>
  <c r="D83" i="8"/>
  <c r="G83" i="8" s="1"/>
  <c r="C83" i="8"/>
  <c r="G82" i="8"/>
  <c r="D82" i="8"/>
  <c r="C82" i="8"/>
  <c r="D81" i="8"/>
  <c r="G81" i="8" s="1"/>
  <c r="C81" i="8"/>
  <c r="G80" i="8"/>
  <c r="D80" i="8"/>
  <c r="C80" i="8"/>
  <c r="D79" i="8"/>
  <c r="G79" i="8" s="1"/>
  <c r="C79" i="8"/>
  <c r="D78" i="8"/>
  <c r="G78" i="8" s="1"/>
  <c r="C78" i="8"/>
  <c r="G77" i="8"/>
  <c r="D77" i="8"/>
  <c r="C77" i="8"/>
  <c r="D76" i="8"/>
  <c r="G76" i="8" s="1"/>
  <c r="G75" i="8"/>
  <c r="D75" i="8"/>
  <c r="C75" i="8"/>
  <c r="D74" i="8"/>
  <c r="G74" i="8" s="1"/>
  <c r="C74" i="8"/>
  <c r="G73" i="8"/>
  <c r="D73" i="8"/>
  <c r="D72" i="8"/>
  <c r="G72" i="8" s="1"/>
  <c r="C72" i="8"/>
  <c r="G71" i="8"/>
  <c r="D71" i="8"/>
  <c r="C71" i="8"/>
  <c r="G70" i="8"/>
  <c r="D70" i="8"/>
  <c r="C70" i="8"/>
  <c r="C69" i="8"/>
  <c r="D68" i="8"/>
  <c r="G68" i="8" s="1"/>
  <c r="C68" i="8"/>
  <c r="D67" i="8"/>
  <c r="G67" i="8" s="1"/>
  <c r="C67" i="8"/>
  <c r="G66" i="8"/>
  <c r="D66" i="8"/>
  <c r="D65" i="8"/>
  <c r="G65" i="8" s="1"/>
  <c r="C64" i="8"/>
  <c r="G63" i="8"/>
  <c r="D63" i="8"/>
  <c r="C63" i="8"/>
  <c r="D61" i="8"/>
  <c r="G61" i="8" s="1"/>
  <c r="C61" i="8"/>
  <c r="D60" i="8"/>
  <c r="G60" i="8" s="1"/>
  <c r="C60" i="8"/>
  <c r="D59" i="8"/>
  <c r="G59" i="8" s="1"/>
  <c r="G58" i="8"/>
  <c r="D58" i="8"/>
  <c r="C57" i="8"/>
  <c r="G55" i="8"/>
  <c r="D55" i="8"/>
  <c r="C55" i="8"/>
  <c r="G54" i="8"/>
  <c r="D54" i="8"/>
  <c r="C54" i="8"/>
  <c r="G53" i="8"/>
  <c r="D53" i="8"/>
  <c r="C53" i="8"/>
  <c r="D52" i="8"/>
  <c r="G52" i="8" s="1"/>
  <c r="C51" i="8"/>
  <c r="D50" i="8"/>
  <c r="G50" i="8" s="1"/>
  <c r="D49" i="8"/>
  <c r="G49" i="8" s="1"/>
  <c r="C49" i="8"/>
  <c r="G48" i="8"/>
  <c r="D48" i="8"/>
  <c r="C48" i="8"/>
  <c r="D47" i="8"/>
  <c r="G47" i="8" s="1"/>
  <c r="C47" i="8"/>
  <c r="D46" i="8"/>
  <c r="G46" i="8" s="1"/>
  <c r="C46" i="8"/>
  <c r="G45" i="8"/>
  <c r="D45" i="8"/>
  <c r="C45" i="8"/>
  <c r="G44" i="8"/>
  <c r="D44" i="8"/>
  <c r="C44" i="8"/>
  <c r="C43" i="8"/>
  <c r="C42" i="8"/>
  <c r="G40" i="8"/>
  <c r="D40" i="8"/>
  <c r="C40" i="8"/>
  <c r="D39" i="8"/>
  <c r="G39" i="8" s="1"/>
  <c r="C39" i="8"/>
  <c r="C37" i="8"/>
  <c r="G36" i="8"/>
  <c r="D36" i="8"/>
  <c r="D35" i="8"/>
  <c r="G35" i="8" s="1"/>
  <c r="C35" i="8"/>
  <c r="D34" i="8"/>
  <c r="G34" i="8" s="1"/>
  <c r="C34" i="8"/>
  <c r="G33" i="8"/>
  <c r="D33" i="8"/>
  <c r="C33" i="8"/>
  <c r="D32" i="8"/>
  <c r="G32" i="8" s="1"/>
  <c r="C32" i="8"/>
  <c r="G31" i="8"/>
  <c r="D31" i="8"/>
  <c r="D30" i="8"/>
  <c r="G30" i="8" s="1"/>
  <c r="G29" i="8"/>
  <c r="D29" i="8"/>
  <c r="D28" i="8"/>
  <c r="G28" i="8" s="1"/>
  <c r="D27" i="8"/>
  <c r="G27" i="8" s="1"/>
  <c r="C27" i="8"/>
  <c r="G26" i="8"/>
  <c r="D26" i="8"/>
  <c r="C26" i="8"/>
  <c r="D25" i="8"/>
  <c r="G25" i="8" s="1"/>
  <c r="C25" i="8"/>
  <c r="D24" i="8"/>
  <c r="G24" i="8" s="1"/>
  <c r="C24" i="8"/>
  <c r="D23" i="8"/>
  <c r="G23" i="8" s="1"/>
  <c r="C23" i="8"/>
  <c r="G22" i="8"/>
  <c r="D22" i="8"/>
  <c r="D21" i="8"/>
  <c r="G21" i="8" s="1"/>
  <c r="C21" i="8"/>
  <c r="C20" i="8"/>
  <c r="G19" i="8"/>
  <c r="D19" i="8"/>
  <c r="C19" i="8"/>
  <c r="G18" i="8"/>
  <c r="D18" i="8"/>
  <c r="C18" i="8"/>
  <c r="D17" i="8"/>
  <c r="G17" i="8" s="1"/>
  <c r="C17" i="8"/>
  <c r="G16" i="8"/>
  <c r="D16" i="8"/>
  <c r="C16" i="8"/>
  <c r="D15" i="8"/>
  <c r="G15" i="8" s="1"/>
  <c r="D14" i="8"/>
  <c r="G14" i="8" s="1"/>
  <c r="C14" i="8"/>
  <c r="D13" i="8"/>
  <c r="G13" i="8" s="1"/>
  <c r="C13" i="8"/>
  <c r="D12" i="8"/>
  <c r="G12" i="8" s="1"/>
  <c r="C12" i="8"/>
  <c r="G11" i="8"/>
  <c r="D11" i="8"/>
  <c r="C11" i="8"/>
  <c r="G10" i="8"/>
  <c r="D10" i="8"/>
  <c r="C10" i="8"/>
  <c r="G9" i="8"/>
  <c r="D9" i="8"/>
  <c r="C9" i="8"/>
  <c r="D8" i="8"/>
  <c r="G8" i="8" s="1"/>
  <c r="G7" i="8"/>
  <c r="D7" i="8"/>
  <c r="C7" i="8"/>
  <c r="D6" i="8"/>
  <c r="G6" i="8" s="1"/>
  <c r="C6" i="8"/>
  <c r="D5" i="8"/>
  <c r="G5" i="8" s="1"/>
  <c r="C5" i="8"/>
  <c r="G4" i="8"/>
  <c r="D4" i="8"/>
  <c r="C4" i="8"/>
  <c r="H3" i="8"/>
  <c r="D3" i="8"/>
  <c r="G3" i="8" s="1"/>
  <c r="O112" i="7"/>
  <c r="N112" i="7"/>
  <c r="M112" i="7"/>
  <c r="L112" i="7"/>
  <c r="K112" i="7"/>
  <c r="J112" i="7"/>
  <c r="I112" i="7"/>
  <c r="H112" i="7"/>
  <c r="G112" i="7"/>
  <c r="F112" i="7"/>
  <c r="E112" i="7"/>
  <c r="D112" i="7"/>
  <c r="O110" i="7"/>
  <c r="N110" i="7"/>
  <c r="M110" i="7"/>
  <c r="L110" i="7"/>
  <c r="K110" i="7"/>
  <c r="J110" i="7"/>
  <c r="I110" i="7"/>
  <c r="H110" i="7"/>
  <c r="G110" i="7"/>
  <c r="F110" i="7"/>
  <c r="E110" i="7"/>
  <c r="D110" i="7"/>
  <c r="O94" i="7"/>
  <c r="N94" i="7"/>
  <c r="M94" i="7"/>
  <c r="L94" i="7"/>
  <c r="K94" i="7"/>
  <c r="J94" i="7"/>
  <c r="I94" i="7"/>
  <c r="H94" i="7"/>
  <c r="G94" i="7"/>
  <c r="F94" i="7"/>
  <c r="E94" i="7"/>
  <c r="D94" i="7"/>
  <c r="O92" i="7"/>
  <c r="N92" i="7"/>
  <c r="M92" i="7"/>
  <c r="L92" i="7"/>
  <c r="K92" i="7"/>
  <c r="J92" i="7"/>
  <c r="I92" i="7"/>
  <c r="H92" i="7"/>
  <c r="G92" i="7"/>
  <c r="F92" i="7"/>
  <c r="E92" i="7"/>
  <c r="D92" i="7"/>
  <c r="F81" i="7"/>
  <c r="F76" i="7" s="1"/>
  <c r="E81" i="7"/>
  <c r="D81" i="7"/>
  <c r="D76" i="7" s="1"/>
  <c r="O76" i="7"/>
  <c r="N76" i="7"/>
  <c r="M76" i="7"/>
  <c r="L76" i="7"/>
  <c r="K76" i="7"/>
  <c r="J76" i="7"/>
  <c r="I76" i="7"/>
  <c r="H76" i="7"/>
  <c r="G76" i="7"/>
  <c r="E76" i="7"/>
  <c r="O74" i="7"/>
  <c r="N74" i="7"/>
  <c r="M74" i="7"/>
  <c r="L74" i="7"/>
  <c r="K74" i="7"/>
  <c r="J74" i="7"/>
  <c r="I74" i="7"/>
  <c r="H74" i="7"/>
  <c r="G74" i="7"/>
  <c r="F74" i="7"/>
  <c r="E74" i="7"/>
  <c r="D74" i="7"/>
  <c r="M70" i="7"/>
  <c r="O64" i="7"/>
  <c r="O59" i="7" s="1"/>
  <c r="N64" i="7"/>
  <c r="N59" i="7"/>
  <c r="J59" i="7"/>
  <c r="G59" i="7"/>
  <c r="F59" i="7"/>
  <c r="E59" i="7"/>
  <c r="O57" i="7"/>
  <c r="N57" i="7"/>
  <c r="M57" i="7"/>
  <c r="M59" i="7" s="1"/>
  <c r="L57" i="7"/>
  <c r="L59" i="7" s="1"/>
  <c r="K57" i="7"/>
  <c r="K59" i="7" s="1"/>
  <c r="J57" i="7"/>
  <c r="I57" i="7"/>
  <c r="I59" i="7" s="1"/>
  <c r="H57" i="7"/>
  <c r="H59" i="7" s="1"/>
  <c r="G57" i="7"/>
  <c r="F57" i="7"/>
  <c r="E57" i="7"/>
  <c r="D57" i="7"/>
  <c r="D59" i="7" s="1"/>
  <c r="O46" i="7"/>
  <c r="N46" i="7"/>
  <c r="M46" i="7"/>
  <c r="L46" i="7"/>
  <c r="K46" i="7"/>
  <c r="J46" i="7"/>
  <c r="I46" i="7"/>
  <c r="H46" i="7"/>
  <c r="G46" i="7"/>
  <c r="F46" i="7"/>
  <c r="E46" i="7"/>
  <c r="D46" i="7"/>
  <c r="O44" i="7"/>
  <c r="N44" i="7"/>
  <c r="M44" i="7"/>
  <c r="L44" i="7"/>
  <c r="K44" i="7"/>
  <c r="J44" i="7"/>
  <c r="I44" i="7"/>
  <c r="H44" i="7"/>
  <c r="G44" i="7"/>
  <c r="F44" i="7"/>
  <c r="E44" i="7"/>
  <c r="D44" i="7"/>
  <c r="O37" i="7"/>
  <c r="M37" i="7"/>
  <c r="M34" i="7" s="1"/>
  <c r="K37" i="7"/>
  <c r="K34" i="7" s="1"/>
  <c r="I37" i="7"/>
  <c r="G37" i="7"/>
  <c r="E37" i="7"/>
  <c r="E34" i="7" s="1"/>
  <c r="O34" i="7"/>
  <c r="N34" i="7"/>
  <c r="L34" i="7"/>
  <c r="J34" i="7"/>
  <c r="I34" i="7"/>
  <c r="H34" i="7"/>
  <c r="G34" i="7"/>
  <c r="F34" i="7"/>
  <c r="D34" i="7"/>
  <c r="O32" i="7"/>
  <c r="N32" i="7"/>
  <c r="M32" i="7"/>
  <c r="L32" i="7"/>
  <c r="K32" i="7"/>
  <c r="J32" i="7"/>
  <c r="I32" i="7"/>
  <c r="H32" i="7"/>
  <c r="G32" i="7"/>
  <c r="F32" i="7"/>
  <c r="E32" i="7"/>
  <c r="D32" i="7"/>
  <c r="O24" i="7"/>
  <c r="M24" i="7"/>
  <c r="K24" i="7"/>
  <c r="K21" i="7" s="1"/>
  <c r="I24" i="7"/>
  <c r="I21" i="7" s="1"/>
  <c r="G24" i="7"/>
  <c r="G21" i="7" s="1"/>
  <c r="E24" i="7"/>
  <c r="E21" i="7" s="1"/>
  <c r="O21" i="7"/>
  <c r="N21" i="7"/>
  <c r="M21" i="7"/>
  <c r="L21" i="7"/>
  <c r="J21" i="7"/>
  <c r="H21" i="7"/>
  <c r="F21" i="7"/>
  <c r="D21" i="7"/>
  <c r="O19" i="7"/>
  <c r="N19" i="7"/>
  <c r="M19" i="7"/>
  <c r="L19" i="7"/>
  <c r="K19" i="7"/>
  <c r="J19" i="7"/>
  <c r="I19" i="7"/>
  <c r="H19" i="7"/>
  <c r="G19" i="7"/>
  <c r="F19" i="7"/>
  <c r="E19" i="7"/>
  <c r="D19" i="7"/>
  <c r="O12" i="7"/>
  <c r="O9" i="7"/>
  <c r="N9" i="7"/>
  <c r="M9" i="7"/>
  <c r="L9" i="7"/>
  <c r="K9" i="7"/>
  <c r="J9" i="7"/>
  <c r="I9" i="7"/>
  <c r="H9" i="7"/>
  <c r="G9" i="7"/>
  <c r="F9" i="7"/>
  <c r="E9" i="7"/>
  <c r="D9" i="7"/>
  <c r="O7" i="7"/>
  <c r="N7" i="7"/>
  <c r="T304" i="6"/>
  <c r="M304" i="6"/>
  <c r="H304" i="6"/>
  <c r="G304" i="6"/>
  <c r="T303" i="6"/>
  <c r="M303" i="6"/>
  <c r="G303" i="6"/>
  <c r="H303" i="6" s="1"/>
  <c r="T302" i="6"/>
  <c r="H302" i="6" s="1"/>
  <c r="M302" i="6"/>
  <c r="G302" i="6"/>
  <c r="T301" i="6"/>
  <c r="M301" i="6"/>
  <c r="G301" i="6"/>
  <c r="H301" i="6" s="1"/>
  <c r="T300" i="6"/>
  <c r="M300" i="6"/>
  <c r="G300" i="6"/>
  <c r="T299" i="6"/>
  <c r="M299" i="6"/>
  <c r="G299" i="6"/>
  <c r="H299" i="6" s="1"/>
  <c r="T298" i="6"/>
  <c r="M298" i="6"/>
  <c r="G298" i="6"/>
  <c r="H298" i="6" s="1"/>
  <c r="T297" i="6"/>
  <c r="M297" i="6"/>
  <c r="G297" i="6"/>
  <c r="H297" i="6" s="1"/>
  <c r="T296" i="6"/>
  <c r="M296" i="6"/>
  <c r="G296" i="6"/>
  <c r="T295" i="6"/>
  <c r="M295" i="6"/>
  <c r="G295" i="6"/>
  <c r="H295" i="6" s="1"/>
  <c r="T294" i="6"/>
  <c r="H294" i="6" s="1"/>
  <c r="M294" i="6"/>
  <c r="G294" i="6"/>
  <c r="T293" i="6"/>
  <c r="M293" i="6"/>
  <c r="G293" i="6"/>
  <c r="H293" i="6" s="1"/>
  <c r="T292" i="6"/>
  <c r="M292" i="6"/>
  <c r="G292" i="6"/>
  <c r="T291" i="6"/>
  <c r="M291" i="6"/>
  <c r="H291" i="6"/>
  <c r="G291" i="6"/>
  <c r="T285" i="6"/>
  <c r="M285" i="6"/>
  <c r="H285" i="6"/>
  <c r="G285" i="6"/>
  <c r="T284" i="6"/>
  <c r="M284" i="6"/>
  <c r="G284" i="6"/>
  <c r="T283" i="6"/>
  <c r="M283" i="6"/>
  <c r="G283" i="6"/>
  <c r="H283" i="6" s="1"/>
  <c r="T282" i="6"/>
  <c r="M282" i="6"/>
  <c r="G282" i="6"/>
  <c r="T280" i="6"/>
  <c r="M280" i="6"/>
  <c r="G280" i="6"/>
  <c r="T279" i="6"/>
  <c r="M279" i="6"/>
  <c r="G279" i="6"/>
  <c r="H279" i="6" s="1"/>
  <c r="T278" i="6"/>
  <c r="H278" i="6" s="1"/>
  <c r="M278" i="6"/>
  <c r="G278" i="6"/>
  <c r="T277" i="6"/>
  <c r="H277" i="6" s="1"/>
  <c r="M277" i="6"/>
  <c r="G277" i="6"/>
  <c r="T276" i="6"/>
  <c r="M276" i="6"/>
  <c r="G276" i="6"/>
  <c r="H276" i="6" s="1"/>
  <c r="T275" i="6"/>
  <c r="M275" i="6"/>
  <c r="H275" i="6"/>
  <c r="G275" i="6"/>
  <c r="T274" i="6"/>
  <c r="H274" i="6" s="1"/>
  <c r="M274" i="6"/>
  <c r="G274" i="6"/>
  <c r="T273" i="6"/>
  <c r="M273" i="6"/>
  <c r="G273" i="6"/>
  <c r="H273" i="6" s="1"/>
  <c r="T272" i="6"/>
  <c r="M272" i="6"/>
  <c r="G272" i="6"/>
  <c r="H272" i="6" s="1"/>
  <c r="T271" i="6"/>
  <c r="M271" i="6"/>
  <c r="G271" i="6"/>
  <c r="H271" i="6" s="1"/>
  <c r="T270" i="6"/>
  <c r="M270" i="6"/>
  <c r="H270" i="6"/>
  <c r="G270" i="6"/>
  <c r="T269" i="6"/>
  <c r="M269" i="6"/>
  <c r="H269" i="6"/>
  <c r="G269" i="6"/>
  <c r="T268" i="6"/>
  <c r="M268" i="6"/>
  <c r="G268" i="6"/>
  <c r="H268" i="6" s="1"/>
  <c r="T267" i="6"/>
  <c r="M267" i="6"/>
  <c r="G267" i="6"/>
  <c r="H267" i="6" s="1"/>
  <c r="T266" i="6"/>
  <c r="H266" i="6" s="1"/>
  <c r="M266" i="6"/>
  <c r="G266" i="6"/>
  <c r="T265" i="6"/>
  <c r="M265" i="6"/>
  <c r="G265" i="6"/>
  <c r="H265" i="6" s="1"/>
  <c r="T264" i="6"/>
  <c r="M264" i="6"/>
  <c r="G264" i="6"/>
  <c r="T263" i="6"/>
  <c r="H263" i="6" s="1"/>
  <c r="M263" i="6"/>
  <c r="G263" i="6"/>
  <c r="T262" i="6"/>
  <c r="M262" i="6"/>
  <c r="G262" i="6"/>
  <c r="H262" i="6" s="1"/>
  <c r="T261" i="6"/>
  <c r="M261" i="6"/>
  <c r="G261" i="6"/>
  <c r="H261" i="6" s="1"/>
  <c r="T260" i="6"/>
  <c r="M260" i="6"/>
  <c r="G260" i="6"/>
  <c r="H260" i="6" s="1"/>
  <c r="T259" i="6"/>
  <c r="M259" i="6"/>
  <c r="G259" i="6"/>
  <c r="H259" i="6" s="1"/>
  <c r="T258" i="6"/>
  <c r="M258" i="6"/>
  <c r="G258" i="6"/>
  <c r="H258" i="6" s="1"/>
  <c r="T257" i="6"/>
  <c r="M257" i="6"/>
  <c r="G257" i="6"/>
  <c r="T256" i="6"/>
  <c r="M256" i="6"/>
  <c r="G256" i="6"/>
  <c r="H256" i="6" s="1"/>
  <c r="T255" i="6"/>
  <c r="H255" i="6" s="1"/>
  <c r="M255" i="6"/>
  <c r="G255" i="6"/>
  <c r="T254" i="6"/>
  <c r="M254" i="6"/>
  <c r="H254" i="6"/>
  <c r="G254" i="6"/>
  <c r="T253" i="6"/>
  <c r="M253" i="6"/>
  <c r="G253" i="6"/>
  <c r="H253" i="6" s="1"/>
  <c r="T252" i="6"/>
  <c r="H252" i="6" s="1"/>
  <c r="M252" i="6"/>
  <c r="G252" i="6"/>
  <c r="T251" i="6"/>
  <c r="M251" i="6"/>
  <c r="H251" i="6"/>
  <c r="G251" i="6"/>
  <c r="T250" i="6"/>
  <c r="M250" i="6"/>
  <c r="G250" i="6"/>
  <c r="H250" i="6" s="1"/>
  <c r="T249" i="6"/>
  <c r="M249" i="6"/>
  <c r="G249" i="6"/>
  <c r="H249" i="6" s="1"/>
  <c r="T248" i="6"/>
  <c r="H248" i="6" s="1"/>
  <c r="M248" i="6"/>
  <c r="G248" i="6"/>
  <c r="T247" i="6"/>
  <c r="M247" i="6"/>
  <c r="G247" i="6"/>
  <c r="H247" i="6" s="1"/>
  <c r="T246" i="6"/>
  <c r="M246" i="6"/>
  <c r="G246" i="6"/>
  <c r="T245" i="6"/>
  <c r="H245" i="6" s="1"/>
  <c r="M245" i="6"/>
  <c r="G245" i="6"/>
  <c r="T244" i="6"/>
  <c r="H244" i="6" s="1"/>
  <c r="M244" i="6"/>
  <c r="G244" i="6"/>
  <c r="F243" i="6"/>
  <c r="F241" i="6"/>
  <c r="T240" i="6"/>
  <c r="M240" i="6"/>
  <c r="H240" i="6"/>
  <c r="G240" i="6"/>
  <c r="T239" i="6"/>
  <c r="M239" i="6"/>
  <c r="G239" i="6"/>
  <c r="H239" i="6" s="1"/>
  <c r="T238" i="6"/>
  <c r="M238" i="6"/>
  <c r="G238" i="6"/>
  <c r="H238" i="6" s="1"/>
  <c r="T237" i="6"/>
  <c r="M237" i="6"/>
  <c r="G237" i="6"/>
  <c r="H237" i="6" s="1"/>
  <c r="T236" i="6"/>
  <c r="H236" i="6" s="1"/>
  <c r="M236" i="6"/>
  <c r="G236" i="6"/>
  <c r="T235" i="6"/>
  <c r="M235" i="6"/>
  <c r="G235" i="6"/>
  <c r="H235" i="6" s="1"/>
  <c r="T234" i="6"/>
  <c r="M234" i="6"/>
  <c r="H234" i="6"/>
  <c r="G234" i="6"/>
  <c r="T233" i="6"/>
  <c r="H233" i="6" s="1"/>
  <c r="M233" i="6"/>
  <c r="G233" i="6"/>
  <c r="T232" i="6"/>
  <c r="M232" i="6"/>
  <c r="G232" i="6"/>
  <c r="H232" i="6" s="1"/>
  <c r="T231" i="6"/>
  <c r="M231" i="6"/>
  <c r="G231" i="6"/>
  <c r="H231" i="6" s="1"/>
  <c r="T230" i="6"/>
  <c r="M230" i="6"/>
  <c r="G230" i="6"/>
  <c r="H230" i="6" s="1"/>
  <c r="T229" i="6"/>
  <c r="M229" i="6"/>
  <c r="G229" i="6"/>
  <c r="H229" i="6" s="1"/>
  <c r="T228" i="6"/>
  <c r="M228" i="6"/>
  <c r="G228" i="6"/>
  <c r="H228" i="6" s="1"/>
  <c r="T227" i="6"/>
  <c r="M227" i="6"/>
  <c r="G227" i="6"/>
  <c r="H227" i="6" s="1"/>
  <c r="T226" i="6"/>
  <c r="M226" i="6"/>
  <c r="H226" i="6"/>
  <c r="G226" i="6"/>
  <c r="T225" i="6"/>
  <c r="H225" i="6" s="1"/>
  <c r="M225" i="6"/>
  <c r="G225" i="6"/>
  <c r="T224" i="6"/>
  <c r="M224" i="6"/>
  <c r="G224" i="6"/>
  <c r="H224" i="6" s="1"/>
  <c r="T223" i="6"/>
  <c r="M223" i="6"/>
  <c r="G223" i="6"/>
  <c r="H223" i="6" s="1"/>
  <c r="T222" i="6"/>
  <c r="H222" i="6" s="1"/>
  <c r="M222" i="6"/>
  <c r="G222" i="6"/>
  <c r="T221" i="6"/>
  <c r="M221" i="6"/>
  <c r="H221" i="6"/>
  <c r="G221" i="6"/>
  <c r="T220" i="6"/>
  <c r="H220" i="6" s="1"/>
  <c r="M220" i="6"/>
  <c r="G220" i="6"/>
  <c r="T219" i="6"/>
  <c r="M219" i="6"/>
  <c r="G219" i="6"/>
  <c r="H219" i="6" s="1"/>
  <c r="T218" i="6"/>
  <c r="M218" i="6"/>
  <c r="H218" i="6"/>
  <c r="G218" i="6"/>
  <c r="T217" i="6"/>
  <c r="M217" i="6"/>
  <c r="G217" i="6"/>
  <c r="H217" i="6" s="1"/>
  <c r="T216" i="6"/>
  <c r="M216" i="6"/>
  <c r="G216" i="6"/>
  <c r="H216" i="6" s="1"/>
  <c r="T215" i="6"/>
  <c r="M215" i="6"/>
  <c r="H215" i="6"/>
  <c r="G215" i="6"/>
  <c r="T214" i="6"/>
  <c r="H214" i="6" s="1"/>
  <c r="M214" i="6"/>
  <c r="G214" i="6"/>
  <c r="T213" i="6"/>
  <c r="M213" i="6"/>
  <c r="H213" i="6"/>
  <c r="G213" i="6"/>
  <c r="T212" i="6"/>
  <c r="M212" i="6"/>
  <c r="H212" i="6"/>
  <c r="G212" i="6"/>
  <c r="T211" i="6"/>
  <c r="M211" i="6"/>
  <c r="H211" i="6"/>
  <c r="G211" i="6"/>
  <c r="T210" i="6"/>
  <c r="M210" i="6"/>
  <c r="H210" i="6"/>
  <c r="G210" i="6"/>
  <c r="T209" i="6"/>
  <c r="M209" i="6"/>
  <c r="G209" i="6"/>
  <c r="H209" i="6" s="1"/>
  <c r="T208" i="6"/>
  <c r="M208" i="6"/>
  <c r="G208" i="6"/>
  <c r="H208" i="6" s="1"/>
  <c r="T207" i="6"/>
  <c r="H207" i="6" s="1"/>
  <c r="M207" i="6"/>
  <c r="G207" i="6"/>
  <c r="T206" i="6"/>
  <c r="M206" i="6"/>
  <c r="G206" i="6"/>
  <c r="H206" i="6" s="1"/>
  <c r="T205" i="6"/>
  <c r="M205" i="6"/>
  <c r="G205" i="6"/>
  <c r="H205" i="6" s="1"/>
  <c r="T204" i="6"/>
  <c r="M204" i="6"/>
  <c r="H204" i="6"/>
  <c r="G204" i="6"/>
  <c r="T203" i="6"/>
  <c r="H203" i="6" s="1"/>
  <c r="M203" i="6"/>
  <c r="G203" i="6"/>
  <c r="T202" i="6"/>
  <c r="M202" i="6"/>
  <c r="G202" i="6"/>
  <c r="H202" i="6" s="1"/>
  <c r="T201" i="6"/>
  <c r="H201" i="6" s="1"/>
  <c r="M201" i="6"/>
  <c r="G201" i="6"/>
  <c r="T200" i="6"/>
  <c r="M200" i="6"/>
  <c r="H200" i="6"/>
  <c r="G200" i="6"/>
  <c r="F200" i="6"/>
  <c r="T198" i="6"/>
  <c r="H198" i="6" s="1"/>
  <c r="M198" i="6"/>
  <c r="G198" i="6"/>
  <c r="T197" i="6"/>
  <c r="H197" i="6" s="1"/>
  <c r="M197" i="6"/>
  <c r="G197" i="6"/>
  <c r="T196" i="6"/>
  <c r="M196" i="6"/>
  <c r="H196" i="6"/>
  <c r="G196" i="6"/>
  <c r="T193" i="6"/>
  <c r="M193" i="6"/>
  <c r="H193" i="6"/>
  <c r="G193" i="6"/>
  <c r="T192" i="6"/>
  <c r="M192" i="6"/>
  <c r="G192" i="6"/>
  <c r="H192" i="6" s="1"/>
  <c r="T191" i="6"/>
  <c r="M191" i="6"/>
  <c r="H191" i="6"/>
  <c r="G191" i="6"/>
  <c r="T190" i="6"/>
  <c r="H190" i="6" s="1"/>
  <c r="M190" i="6"/>
  <c r="G190" i="6"/>
  <c r="T189" i="6"/>
  <c r="M189" i="6"/>
  <c r="G189" i="6"/>
  <c r="F188" i="6"/>
  <c r="T183" i="6"/>
  <c r="M183" i="6"/>
  <c r="G183" i="6"/>
  <c r="T182" i="6"/>
  <c r="M182" i="6"/>
  <c r="G182" i="6"/>
  <c r="H182" i="6" s="1"/>
  <c r="T181" i="6"/>
  <c r="M181" i="6"/>
  <c r="G181" i="6"/>
  <c r="T180" i="6"/>
  <c r="M180" i="6"/>
  <c r="H180" i="6"/>
  <c r="G180" i="6"/>
  <c r="F179" i="6"/>
  <c r="T178" i="6"/>
  <c r="M178" i="6"/>
  <c r="G178" i="6"/>
  <c r="H178" i="6" s="1"/>
  <c r="T177" i="6"/>
  <c r="H177" i="6" s="1"/>
  <c r="M177" i="6"/>
  <c r="G177" i="6"/>
  <c r="T176" i="6"/>
  <c r="M176" i="6"/>
  <c r="G176" i="6"/>
  <c r="H176" i="6" s="1"/>
  <c r="T175" i="6"/>
  <c r="H175" i="6" s="1"/>
  <c r="M175" i="6"/>
  <c r="G175" i="6"/>
  <c r="T174" i="6"/>
  <c r="H174" i="6" s="1"/>
  <c r="M174" i="6"/>
  <c r="G174" i="6"/>
  <c r="T173" i="6"/>
  <c r="H173" i="6" s="1"/>
  <c r="M173" i="6"/>
  <c r="G173" i="6"/>
  <c r="T172" i="6"/>
  <c r="M172" i="6"/>
  <c r="G172" i="6"/>
  <c r="H172" i="6" s="1"/>
  <c r="T171" i="6"/>
  <c r="M171" i="6"/>
  <c r="H171" i="6"/>
  <c r="G171" i="6"/>
  <c r="T170" i="6"/>
  <c r="M170" i="6"/>
  <c r="H170" i="6"/>
  <c r="G170" i="6"/>
  <c r="T169" i="6"/>
  <c r="M169" i="6"/>
  <c r="G169" i="6"/>
  <c r="H169" i="6" s="1"/>
  <c r="T168" i="6"/>
  <c r="M168" i="6"/>
  <c r="H168" i="6"/>
  <c r="G168" i="6"/>
  <c r="T167" i="6"/>
  <c r="M167" i="6"/>
  <c r="G167" i="6"/>
  <c r="T166" i="6"/>
  <c r="M166" i="6"/>
  <c r="H166" i="6"/>
  <c r="G166" i="6"/>
  <c r="T165" i="6"/>
  <c r="M165" i="6"/>
  <c r="H165" i="6"/>
  <c r="G165" i="6"/>
  <c r="T164" i="6"/>
  <c r="M164" i="6"/>
  <c r="G164" i="6"/>
  <c r="H164" i="6" s="1"/>
  <c r="T162" i="6"/>
  <c r="M162" i="6"/>
  <c r="G162" i="6"/>
  <c r="H162" i="6" s="1"/>
  <c r="T161" i="6"/>
  <c r="M161" i="6"/>
  <c r="H161" i="6"/>
  <c r="G161" i="6"/>
  <c r="T160" i="6"/>
  <c r="M160" i="6"/>
  <c r="H160" i="6"/>
  <c r="G160" i="6"/>
  <c r="T159" i="6"/>
  <c r="M159" i="6"/>
  <c r="G159" i="6"/>
  <c r="H159" i="6" s="1"/>
  <c r="T158" i="6"/>
  <c r="H158" i="6" s="1"/>
  <c r="M158" i="6"/>
  <c r="G158" i="6"/>
  <c r="T157" i="6"/>
  <c r="M157" i="6"/>
  <c r="G157" i="6"/>
  <c r="H157" i="6" s="1"/>
  <c r="T156" i="6"/>
  <c r="H156" i="6" s="1"/>
  <c r="M156" i="6"/>
  <c r="G156" i="6"/>
  <c r="T155" i="6"/>
  <c r="M155" i="6"/>
  <c r="G155" i="6"/>
  <c r="H155" i="6" s="1"/>
  <c r="T154" i="6"/>
  <c r="M154" i="6"/>
  <c r="G154" i="6"/>
  <c r="T153" i="6"/>
  <c r="M153" i="6"/>
  <c r="H153" i="6"/>
  <c r="G153" i="6"/>
  <c r="T152" i="6"/>
  <c r="M152" i="6"/>
  <c r="G152" i="6"/>
  <c r="H152" i="6" s="1"/>
  <c r="T151" i="6"/>
  <c r="H151" i="6" s="1"/>
  <c r="G151" i="6"/>
  <c r="T150" i="6"/>
  <c r="G150" i="6"/>
  <c r="H150" i="6" s="1"/>
  <c r="T149" i="6"/>
  <c r="M149" i="6"/>
  <c r="G149" i="6"/>
  <c r="T148" i="6"/>
  <c r="M148" i="6"/>
  <c r="H148" i="6"/>
  <c r="G148" i="6"/>
  <c r="T147" i="6"/>
  <c r="M147" i="6"/>
  <c r="G147" i="6"/>
  <c r="H147" i="6" s="1"/>
  <c r="T146" i="6"/>
  <c r="M146" i="6"/>
  <c r="G146" i="6"/>
  <c r="T142" i="6"/>
  <c r="M142" i="6"/>
  <c r="H142" i="6"/>
  <c r="G142" i="6"/>
  <c r="T141" i="6"/>
  <c r="M141" i="6"/>
  <c r="H141" i="6"/>
  <c r="G141" i="6"/>
  <c r="F140" i="6"/>
  <c r="T139" i="6"/>
  <c r="M139" i="6"/>
  <c r="G139" i="6"/>
  <c r="H139" i="6" s="1"/>
  <c r="T138" i="6"/>
  <c r="M138" i="6"/>
  <c r="G138" i="6"/>
  <c r="H138" i="6" s="1"/>
  <c r="T137" i="6"/>
  <c r="M137" i="6"/>
  <c r="H137" i="6"/>
  <c r="G137" i="6"/>
  <c r="T136" i="6"/>
  <c r="M136" i="6"/>
  <c r="G136" i="6"/>
  <c r="H136" i="6" s="1"/>
  <c r="T135" i="6"/>
  <c r="M135" i="6"/>
  <c r="G135" i="6"/>
  <c r="T134" i="6"/>
  <c r="M134" i="6"/>
  <c r="G134" i="6"/>
  <c r="H134" i="6" s="1"/>
  <c r="T133" i="6"/>
  <c r="H133" i="6" s="1"/>
  <c r="M133" i="6"/>
  <c r="G133" i="6"/>
  <c r="T132" i="6"/>
  <c r="M132" i="6"/>
  <c r="H132" i="6"/>
  <c r="G132" i="6"/>
  <c r="T131" i="6"/>
  <c r="M131" i="6"/>
  <c r="G131" i="6"/>
  <c r="H131" i="6" s="1"/>
  <c r="T130" i="6"/>
  <c r="H130" i="6" s="1"/>
  <c r="M130" i="6"/>
  <c r="G130" i="6"/>
  <c r="T129" i="6"/>
  <c r="H129" i="6" s="1"/>
  <c r="M129" i="6"/>
  <c r="G129" i="6"/>
  <c r="F129" i="6"/>
  <c r="T128" i="6"/>
  <c r="M128" i="6"/>
  <c r="G128" i="6"/>
  <c r="H128" i="6" s="1"/>
  <c r="T127" i="6"/>
  <c r="M127" i="6"/>
  <c r="G127" i="6"/>
  <c r="T126" i="6"/>
  <c r="H126" i="6" s="1"/>
  <c r="M126" i="6"/>
  <c r="G126" i="6"/>
  <c r="T125" i="6"/>
  <c r="M125" i="6"/>
  <c r="G125" i="6"/>
  <c r="H125" i="6" s="1"/>
  <c r="T124" i="6"/>
  <c r="H124" i="6" s="1"/>
  <c r="M124" i="6"/>
  <c r="G124" i="6"/>
  <c r="F124" i="6"/>
  <c r="T122" i="6"/>
  <c r="M122" i="6"/>
  <c r="H122" i="6"/>
  <c r="G122" i="6"/>
  <c r="T121" i="6"/>
  <c r="M121" i="6"/>
  <c r="G121" i="6"/>
  <c r="H121" i="6" s="1"/>
  <c r="T120" i="6"/>
  <c r="H120" i="6" s="1"/>
  <c r="M120" i="6"/>
  <c r="G120" i="6"/>
  <c r="T119" i="6"/>
  <c r="M119" i="6"/>
  <c r="H119" i="6"/>
  <c r="G119" i="6"/>
  <c r="T118" i="6"/>
  <c r="M118" i="6"/>
  <c r="H118" i="6"/>
  <c r="G118" i="6"/>
  <c r="T117" i="6"/>
  <c r="M117" i="6"/>
  <c r="G117" i="6"/>
  <c r="H117" i="6" s="1"/>
  <c r="T116" i="6"/>
  <c r="H116" i="6" s="1"/>
  <c r="M116" i="6"/>
  <c r="G116" i="6"/>
  <c r="T115" i="6"/>
  <c r="M115" i="6"/>
  <c r="G115" i="6"/>
  <c r="H115" i="6" s="1"/>
  <c r="T114" i="6"/>
  <c r="M114" i="6"/>
  <c r="G114" i="6"/>
  <c r="H114" i="6" s="1"/>
  <c r="T113" i="6"/>
  <c r="H113" i="6" s="1"/>
  <c r="M113" i="6"/>
  <c r="G113" i="6"/>
  <c r="T112" i="6"/>
  <c r="H112" i="6" s="1"/>
  <c r="M112" i="6"/>
  <c r="G112" i="6"/>
  <c r="T111" i="6"/>
  <c r="M111" i="6"/>
  <c r="G111" i="6"/>
  <c r="H111" i="6" s="1"/>
  <c r="T110" i="6"/>
  <c r="M110" i="6"/>
  <c r="H110" i="6"/>
  <c r="G110" i="6"/>
  <c r="T109" i="6"/>
  <c r="M109" i="6"/>
  <c r="H109" i="6"/>
  <c r="G109" i="6"/>
  <c r="T108" i="6"/>
  <c r="M108" i="6"/>
  <c r="G108" i="6"/>
  <c r="H108" i="6" s="1"/>
  <c r="T107" i="6"/>
  <c r="H107" i="6" s="1"/>
  <c r="M107" i="6"/>
  <c r="G107" i="6"/>
  <c r="T106" i="6"/>
  <c r="M106" i="6"/>
  <c r="G106" i="6"/>
  <c r="H106" i="6" s="1"/>
  <c r="T105" i="6"/>
  <c r="M105" i="6"/>
  <c r="G105" i="6"/>
  <c r="T104" i="6"/>
  <c r="H104" i="6" s="1"/>
  <c r="M104" i="6"/>
  <c r="G104" i="6"/>
  <c r="T103" i="6"/>
  <c r="M103" i="6"/>
  <c r="G103" i="6"/>
  <c r="T102" i="6"/>
  <c r="M102" i="6"/>
  <c r="G102" i="6"/>
  <c r="H102" i="6" s="1"/>
  <c r="T101" i="6"/>
  <c r="H101" i="6" s="1"/>
  <c r="M101" i="6"/>
  <c r="G101" i="6"/>
  <c r="T100" i="6"/>
  <c r="M100" i="6"/>
  <c r="H100" i="6"/>
  <c r="G100" i="6"/>
  <c r="T99" i="6"/>
  <c r="M99" i="6"/>
  <c r="G99" i="6"/>
  <c r="H99" i="6" s="1"/>
  <c r="T98" i="6"/>
  <c r="M98" i="6"/>
  <c r="H98" i="6"/>
  <c r="G98" i="6"/>
  <c r="T97" i="6"/>
  <c r="M97" i="6"/>
  <c r="H97" i="6"/>
  <c r="G97" i="6"/>
  <c r="T96" i="6"/>
  <c r="M96" i="6"/>
  <c r="G96" i="6"/>
  <c r="H96" i="6" s="1"/>
  <c r="T95" i="6"/>
  <c r="M95" i="6"/>
  <c r="G95" i="6"/>
  <c r="H95" i="6" s="1"/>
  <c r="T94" i="6"/>
  <c r="M94" i="6"/>
  <c r="G94" i="6"/>
  <c r="H94" i="6" s="1"/>
  <c r="T93" i="6"/>
  <c r="M93" i="6"/>
  <c r="G93" i="6"/>
  <c r="H93" i="6" s="1"/>
  <c r="T92" i="6"/>
  <c r="M92" i="6"/>
  <c r="G92" i="6"/>
  <c r="H92" i="6" s="1"/>
  <c r="T91" i="6"/>
  <c r="M91" i="6"/>
  <c r="G91" i="6"/>
  <c r="H91" i="6" s="1"/>
  <c r="T90" i="6"/>
  <c r="H90" i="6" s="1"/>
  <c r="M90" i="6"/>
  <c r="G90" i="6"/>
  <c r="T89" i="6"/>
  <c r="M89" i="6"/>
  <c r="G89" i="6"/>
  <c r="H89" i="6" s="1"/>
  <c r="T88" i="6"/>
  <c r="M88" i="6"/>
  <c r="G88" i="6"/>
  <c r="H88" i="6" s="1"/>
  <c r="T87" i="6"/>
  <c r="M87" i="6"/>
  <c r="H87" i="6"/>
  <c r="G87" i="6"/>
  <c r="T86" i="6"/>
  <c r="M86" i="6"/>
  <c r="H86" i="6"/>
  <c r="G86" i="6"/>
  <c r="T85" i="6"/>
  <c r="H85" i="6" s="1"/>
  <c r="M85" i="6"/>
  <c r="G85" i="6"/>
  <c r="T84" i="6"/>
  <c r="M84" i="6"/>
  <c r="G84" i="6"/>
  <c r="H84" i="6" s="1"/>
  <c r="T83" i="6"/>
  <c r="M83" i="6"/>
  <c r="H83" i="6"/>
  <c r="G83" i="6"/>
  <c r="T82" i="6"/>
  <c r="M82" i="6"/>
  <c r="H82" i="6"/>
  <c r="G82" i="6"/>
  <c r="T81" i="6"/>
  <c r="M81" i="6"/>
  <c r="G81" i="6"/>
  <c r="H81" i="6" s="1"/>
  <c r="T80" i="6"/>
  <c r="M80" i="6"/>
  <c r="H80" i="6"/>
  <c r="G80" i="6"/>
  <c r="T79" i="6"/>
  <c r="H79" i="6" s="1"/>
  <c r="M79" i="6"/>
  <c r="G79" i="6"/>
  <c r="T78" i="6"/>
  <c r="M78" i="6"/>
  <c r="G78" i="6"/>
  <c r="H78" i="6" s="1"/>
  <c r="T77" i="6"/>
  <c r="M77" i="6"/>
  <c r="H77" i="6"/>
  <c r="G77" i="6"/>
  <c r="T76" i="6"/>
  <c r="M76" i="6"/>
  <c r="H76" i="6"/>
  <c r="G76" i="6"/>
  <c r="T75" i="6"/>
  <c r="M75" i="6"/>
  <c r="G75" i="6"/>
  <c r="H75" i="6" s="1"/>
  <c r="T74" i="6"/>
  <c r="H74" i="6" s="1"/>
  <c r="M74" i="6"/>
  <c r="G74" i="6"/>
  <c r="T73" i="6"/>
  <c r="M73" i="6"/>
  <c r="G73" i="6"/>
  <c r="H73" i="6" s="1"/>
  <c r="T72" i="6"/>
  <c r="M72" i="6"/>
  <c r="H72" i="6"/>
  <c r="G72" i="6"/>
  <c r="T71" i="6"/>
  <c r="H71" i="6" s="1"/>
  <c r="M71" i="6"/>
  <c r="G71" i="6"/>
  <c r="T70" i="6"/>
  <c r="M70" i="6"/>
  <c r="G70" i="6"/>
  <c r="T69" i="6"/>
  <c r="M69" i="6"/>
  <c r="H69" i="6"/>
  <c r="G69" i="6"/>
  <c r="T68" i="6"/>
  <c r="H68" i="6" s="1"/>
  <c r="M68" i="6"/>
  <c r="G68" i="6"/>
  <c r="T67" i="6"/>
  <c r="M67" i="6"/>
  <c r="H67" i="6"/>
  <c r="G67" i="6"/>
  <c r="T66" i="6"/>
  <c r="M66" i="6"/>
  <c r="G66" i="6"/>
  <c r="T65" i="6"/>
  <c r="H65" i="6" s="1"/>
  <c r="M65" i="6"/>
  <c r="G65" i="6"/>
  <c r="T64" i="6"/>
  <c r="M64" i="6"/>
  <c r="G64" i="6"/>
  <c r="H64" i="6" s="1"/>
  <c r="T63" i="6"/>
  <c r="M63" i="6"/>
  <c r="G63" i="6"/>
  <c r="H63" i="6" s="1"/>
  <c r="T62" i="6"/>
  <c r="M62" i="6"/>
  <c r="G62" i="6"/>
  <c r="H62" i="6" s="1"/>
  <c r="T61" i="6"/>
  <c r="M61" i="6"/>
  <c r="G61" i="6"/>
  <c r="T60" i="6"/>
  <c r="M60" i="6"/>
  <c r="G60" i="6"/>
  <c r="H60" i="6" s="1"/>
  <c r="T59" i="6"/>
  <c r="M59" i="6"/>
  <c r="G59" i="6"/>
  <c r="H59" i="6" s="1"/>
  <c r="T58" i="6"/>
  <c r="M58" i="6"/>
  <c r="G58" i="6"/>
  <c r="H58" i="6" s="1"/>
  <c r="T57" i="6"/>
  <c r="H57" i="6" s="1"/>
  <c r="M57" i="6"/>
  <c r="G57" i="6"/>
  <c r="T56" i="6"/>
  <c r="M56" i="6"/>
  <c r="G56" i="6"/>
  <c r="H56" i="6" s="1"/>
  <c r="T55" i="6"/>
  <c r="M55" i="6"/>
  <c r="G55" i="6"/>
  <c r="H55" i="6" s="1"/>
  <c r="T54" i="6"/>
  <c r="M54" i="6"/>
  <c r="G54" i="6"/>
  <c r="H54" i="6" s="1"/>
  <c r="T53" i="6"/>
  <c r="M53" i="6"/>
  <c r="H53" i="6"/>
  <c r="G53" i="6"/>
  <c r="T52" i="6"/>
  <c r="M52" i="6"/>
  <c r="G52" i="6"/>
  <c r="T51" i="6"/>
  <c r="M51" i="6"/>
  <c r="G51" i="6"/>
  <c r="H51" i="6" s="1"/>
  <c r="T50" i="6"/>
  <c r="M50" i="6"/>
  <c r="H50" i="6"/>
  <c r="G50" i="6"/>
  <c r="T49" i="6"/>
  <c r="M49" i="6"/>
  <c r="H49" i="6"/>
  <c r="G49" i="6"/>
  <c r="T48" i="6"/>
  <c r="M48" i="6"/>
  <c r="G48" i="6"/>
  <c r="T47" i="6"/>
  <c r="H47" i="6" s="1"/>
  <c r="M47" i="6"/>
  <c r="G47" i="6"/>
  <c r="T46" i="6"/>
  <c r="H46" i="6" s="1"/>
  <c r="M46" i="6"/>
  <c r="G46" i="6"/>
  <c r="T45" i="6"/>
  <c r="M45" i="6"/>
  <c r="H45" i="6"/>
  <c r="G45" i="6"/>
  <c r="T44" i="6"/>
  <c r="M44" i="6"/>
  <c r="H44" i="6"/>
  <c r="G44" i="6"/>
  <c r="T43" i="6"/>
  <c r="M43" i="6"/>
  <c r="G43" i="6"/>
  <c r="H43" i="6" s="1"/>
  <c r="T42" i="6"/>
  <c r="M42" i="6"/>
  <c r="G42" i="6"/>
  <c r="H42" i="6" s="1"/>
  <c r="T41" i="6"/>
  <c r="M41" i="6"/>
  <c r="H41" i="6"/>
  <c r="G41" i="6"/>
  <c r="T40" i="6"/>
  <c r="M40" i="6"/>
  <c r="G40" i="6"/>
  <c r="H40" i="6" s="1"/>
  <c r="T39" i="6"/>
  <c r="H39" i="6" s="1"/>
  <c r="M39" i="6"/>
  <c r="G39" i="6"/>
  <c r="T38" i="6"/>
  <c r="M38" i="6"/>
  <c r="H38" i="6"/>
  <c r="G38" i="6"/>
  <c r="T37" i="6"/>
  <c r="M37" i="6"/>
  <c r="G37" i="6"/>
  <c r="H37" i="6" s="1"/>
  <c r="T36" i="6"/>
  <c r="M36" i="6"/>
  <c r="G36" i="6"/>
  <c r="T35" i="6"/>
  <c r="H35" i="6" s="1"/>
  <c r="M35" i="6"/>
  <c r="G35" i="6"/>
  <c r="T34" i="6"/>
  <c r="M34" i="6"/>
  <c r="G34" i="6"/>
  <c r="H34" i="6" s="1"/>
  <c r="T33" i="6"/>
  <c r="M33" i="6"/>
  <c r="G33" i="6"/>
  <c r="E31" i="6"/>
  <c r="R24" i="6"/>
  <c r="R23" i="6"/>
  <c r="G23" i="6"/>
  <c r="G22" i="6"/>
  <c r="F20" i="6"/>
  <c r="D15" i="6"/>
  <c r="O12" i="6"/>
  <c r="N12" i="6"/>
  <c r="O11" i="6"/>
  <c r="N11" i="6"/>
  <c r="C11" i="6"/>
  <c r="O10" i="6"/>
  <c r="N10" i="6"/>
  <c r="P9" i="6"/>
  <c r="O9" i="6" s="1"/>
  <c r="N9" i="6"/>
  <c r="O8" i="6"/>
  <c r="N8" i="6"/>
  <c r="G8" i="6"/>
  <c r="E8" i="6"/>
  <c r="H8" i="6" s="1"/>
  <c r="D8" i="6"/>
  <c r="N7" i="6"/>
  <c r="O7" i="6" s="1"/>
  <c r="D7" i="6"/>
  <c r="E7" i="6" s="1"/>
  <c r="G6" i="6"/>
  <c r="E6" i="6"/>
  <c r="D6" i="6"/>
  <c r="D11" i="6" s="1"/>
  <c r="H475" i="5"/>
  <c r="H476" i="5" s="1"/>
  <c r="H477" i="5" s="1"/>
  <c r="H478" i="5" s="1"/>
  <c r="H479" i="5" s="1"/>
  <c r="H480" i="5" s="1"/>
  <c r="H481" i="5" s="1"/>
  <c r="H482" i="5" s="1"/>
  <c r="H483" i="5" s="1"/>
  <c r="H484" i="5" s="1"/>
  <c r="H485" i="5" s="1"/>
  <c r="H486" i="5" s="1"/>
  <c r="H487" i="5" s="1"/>
  <c r="H488" i="5" s="1"/>
  <c r="H489" i="5" s="1"/>
  <c r="H490" i="5" s="1"/>
  <c r="H491" i="5" s="1"/>
  <c r="H492" i="5" s="1"/>
  <c r="H493" i="5" s="1"/>
  <c r="H494" i="5" s="1"/>
  <c r="H495" i="5" s="1"/>
  <c r="H496" i="5" s="1"/>
  <c r="H497" i="5" s="1"/>
  <c r="H498" i="5" s="1"/>
  <c r="H499" i="5" s="1"/>
  <c r="H500" i="5" s="1"/>
  <c r="H501" i="5" s="1"/>
  <c r="H502" i="5" s="1"/>
  <c r="H503" i="5" s="1"/>
  <c r="H504" i="5" s="1"/>
  <c r="H505" i="5" s="1"/>
  <c r="H506" i="5" s="1"/>
  <c r="H507" i="5" s="1"/>
  <c r="H508" i="5" s="1"/>
  <c r="H509" i="5" s="1"/>
  <c r="H510" i="5" s="1"/>
  <c r="H511" i="5" s="1"/>
  <c r="H512" i="5" s="1"/>
  <c r="H513" i="5" s="1"/>
  <c r="H514" i="5" s="1"/>
  <c r="H515" i="5" s="1"/>
  <c r="H516" i="5" s="1"/>
  <c r="H517" i="5" s="1"/>
  <c r="H518" i="5" s="1"/>
  <c r="H519" i="5" s="1"/>
  <c r="H520" i="5" s="1"/>
  <c r="H521" i="5" s="1"/>
  <c r="H522" i="5" s="1"/>
  <c r="H523" i="5" s="1"/>
  <c r="H524" i="5" s="1"/>
  <c r="H525" i="5" s="1"/>
  <c r="H526" i="5" s="1"/>
  <c r="H527" i="5" s="1"/>
  <c r="H528" i="5" s="1"/>
  <c r="H529" i="5" s="1"/>
  <c r="H530" i="5" s="1"/>
  <c r="H531" i="5" s="1"/>
  <c r="H532" i="5" s="1"/>
  <c r="H533" i="5" s="1"/>
  <c r="H534" i="5" s="1"/>
  <c r="H535" i="5" s="1"/>
  <c r="H536" i="5" s="1"/>
  <c r="H537" i="5" s="1"/>
  <c r="H538" i="5" s="1"/>
  <c r="H539" i="5" s="1"/>
  <c r="H540" i="5" s="1"/>
  <c r="H541" i="5" s="1"/>
  <c r="H542" i="5" s="1"/>
  <c r="H543" i="5" s="1"/>
  <c r="H544" i="5" s="1"/>
  <c r="H545" i="5" s="1"/>
  <c r="H546" i="5" s="1"/>
  <c r="H547" i="5" s="1"/>
  <c r="H548" i="5" s="1"/>
  <c r="H549" i="5" s="1"/>
  <c r="H550" i="5" s="1"/>
  <c r="H551" i="5" s="1"/>
  <c r="H552" i="5" s="1"/>
  <c r="H553" i="5" s="1"/>
  <c r="H554" i="5" s="1"/>
  <c r="H555" i="5" s="1"/>
  <c r="H556" i="5" s="1"/>
  <c r="H557" i="5" s="1"/>
  <c r="H558" i="5" s="1"/>
  <c r="H559" i="5" s="1"/>
  <c r="H560" i="5" s="1"/>
  <c r="H561" i="5" s="1"/>
  <c r="H562" i="5" s="1"/>
  <c r="H563" i="5" s="1"/>
  <c r="H564" i="5" s="1"/>
  <c r="H565" i="5" s="1"/>
  <c r="H566" i="5" s="1"/>
  <c r="H567" i="5" s="1"/>
  <c r="H568" i="5" s="1"/>
  <c r="H569" i="5" s="1"/>
  <c r="H570" i="5" s="1"/>
  <c r="H571" i="5" s="1"/>
  <c r="H572" i="5" s="1"/>
  <c r="H573" i="5" s="1"/>
  <c r="H574" i="5" s="1"/>
  <c r="H575" i="5" s="1"/>
  <c r="H576" i="5" s="1"/>
  <c r="H577" i="5" s="1"/>
  <c r="H578" i="5" s="1"/>
  <c r="H579" i="5" s="1"/>
  <c r="H580" i="5" s="1"/>
  <c r="H581" i="5" s="1"/>
  <c r="H582" i="5" s="1"/>
  <c r="H583" i="5" s="1"/>
  <c r="H584" i="5" s="1"/>
  <c r="H585" i="5" s="1"/>
  <c r="H586" i="5" s="1"/>
  <c r="H587" i="5" s="1"/>
  <c r="H588" i="5" s="1"/>
  <c r="H589" i="5" s="1"/>
  <c r="H590" i="5" s="1"/>
  <c r="H591" i="5" s="1"/>
  <c r="H592" i="5" s="1"/>
  <c r="H593" i="5" s="1"/>
  <c r="H594" i="5" s="1"/>
  <c r="H595" i="5" s="1"/>
  <c r="H596" i="5" s="1"/>
  <c r="H597" i="5" s="1"/>
  <c r="H598" i="5" s="1"/>
  <c r="H599" i="5" s="1"/>
  <c r="H600" i="5" s="1"/>
  <c r="H601" i="5" s="1"/>
  <c r="H602" i="5" s="1"/>
  <c r="H603" i="5" s="1"/>
  <c r="H604" i="5" s="1"/>
  <c r="H605" i="5" s="1"/>
  <c r="H606" i="5" s="1"/>
  <c r="H607" i="5" s="1"/>
  <c r="H608" i="5" s="1"/>
  <c r="H609" i="5" s="1"/>
  <c r="H610" i="5" s="1"/>
  <c r="H611" i="5" s="1"/>
  <c r="H612" i="5" s="1"/>
  <c r="H613" i="5" s="1"/>
  <c r="H614" i="5" s="1"/>
  <c r="H615" i="5" s="1"/>
  <c r="H616" i="5" s="1"/>
  <c r="H617" i="5" s="1"/>
  <c r="H618" i="5" s="1"/>
  <c r="H619" i="5" s="1"/>
  <c r="H620" i="5" s="1"/>
  <c r="H621" i="5" s="1"/>
  <c r="H622" i="5" s="1"/>
  <c r="H623" i="5" s="1"/>
  <c r="H624" i="5" s="1"/>
  <c r="H625" i="5" s="1"/>
  <c r="H626" i="5" s="1"/>
  <c r="H627" i="5" s="1"/>
  <c r="H628" i="5" s="1"/>
  <c r="H629" i="5" s="1"/>
  <c r="H630" i="5" s="1"/>
  <c r="H631" i="5" s="1"/>
  <c r="H632" i="5" s="1"/>
  <c r="H633" i="5" s="1"/>
  <c r="H634" i="5" s="1"/>
  <c r="H635" i="5" s="1"/>
  <c r="H636" i="5" s="1"/>
  <c r="H637" i="5" s="1"/>
  <c r="H638" i="5" s="1"/>
  <c r="H639" i="5" s="1"/>
  <c r="H640" i="5" s="1"/>
  <c r="H641" i="5" s="1"/>
  <c r="H642" i="5" s="1"/>
  <c r="H643" i="5" s="1"/>
  <c r="H644" i="5" s="1"/>
  <c r="H645" i="5" s="1"/>
  <c r="H646" i="5" s="1"/>
  <c r="H647" i="5" s="1"/>
  <c r="H648" i="5" s="1"/>
  <c r="H649" i="5" s="1"/>
  <c r="H650" i="5" s="1"/>
  <c r="H651" i="5" s="1"/>
  <c r="H652" i="5" s="1"/>
  <c r="H653" i="5" s="1"/>
  <c r="H654" i="5" s="1"/>
  <c r="H655" i="5" s="1"/>
  <c r="H656" i="5" s="1"/>
  <c r="H657" i="5" s="1"/>
  <c r="H658" i="5" s="1"/>
  <c r="H659" i="5" s="1"/>
  <c r="H660" i="5" s="1"/>
  <c r="H661" i="5" s="1"/>
  <c r="H662" i="5" s="1"/>
  <c r="H663" i="5" s="1"/>
  <c r="H664" i="5" s="1"/>
  <c r="H665" i="5" s="1"/>
  <c r="H666" i="5" s="1"/>
  <c r="H667" i="5" s="1"/>
  <c r="H668" i="5" s="1"/>
  <c r="H669" i="5" s="1"/>
  <c r="H670" i="5" s="1"/>
  <c r="H671" i="5" s="1"/>
  <c r="H672" i="5" s="1"/>
  <c r="H673" i="5" s="1"/>
  <c r="H674" i="5" s="1"/>
  <c r="H675" i="5" s="1"/>
  <c r="H676" i="5" s="1"/>
  <c r="H677" i="5" s="1"/>
  <c r="H678" i="5" s="1"/>
  <c r="H679" i="5" s="1"/>
  <c r="H680" i="5" s="1"/>
  <c r="H681" i="5" s="1"/>
  <c r="H682" i="5" s="1"/>
  <c r="H683" i="5" s="1"/>
  <c r="H684" i="5" s="1"/>
  <c r="H685" i="5" s="1"/>
  <c r="H686" i="5" s="1"/>
  <c r="H687" i="5" s="1"/>
  <c r="H688" i="5" s="1"/>
  <c r="H689" i="5" s="1"/>
  <c r="H690" i="5" s="1"/>
  <c r="H691" i="5" s="1"/>
  <c r="H692" i="5" s="1"/>
  <c r="H693" i="5" s="1"/>
  <c r="H694" i="5" s="1"/>
  <c r="H695" i="5" s="1"/>
  <c r="H696" i="5" s="1"/>
  <c r="H697" i="5" s="1"/>
  <c r="H698" i="5" s="1"/>
  <c r="H699" i="5" s="1"/>
  <c r="H700" i="5" s="1"/>
  <c r="H701" i="5" s="1"/>
  <c r="H702" i="5" s="1"/>
  <c r="H703" i="5" s="1"/>
  <c r="H704" i="5" s="1"/>
  <c r="H705" i="5" s="1"/>
  <c r="H706" i="5" s="1"/>
  <c r="H707" i="5" s="1"/>
  <c r="H708" i="5" s="1"/>
  <c r="H709" i="5" s="1"/>
  <c r="H710" i="5" s="1"/>
  <c r="H711" i="5" s="1"/>
  <c r="H712" i="5" s="1"/>
  <c r="H713" i="5" s="1"/>
  <c r="H714" i="5" s="1"/>
  <c r="H715" i="5" s="1"/>
  <c r="H716" i="5" s="1"/>
  <c r="H717" i="5" s="1"/>
  <c r="H718" i="5" s="1"/>
  <c r="H719" i="5" s="1"/>
  <c r="H720" i="5" s="1"/>
  <c r="H721" i="5" s="1"/>
  <c r="H722" i="5" s="1"/>
  <c r="H723" i="5" s="1"/>
  <c r="H724" i="5" s="1"/>
  <c r="H725" i="5" s="1"/>
  <c r="H726" i="5" s="1"/>
  <c r="H727" i="5" s="1"/>
  <c r="H728" i="5" s="1"/>
  <c r="H729" i="5" s="1"/>
  <c r="H730" i="5" s="1"/>
  <c r="H731" i="5" s="1"/>
  <c r="H732" i="5" s="1"/>
  <c r="H733" i="5" s="1"/>
  <c r="H734" i="5" s="1"/>
  <c r="H735" i="5" s="1"/>
  <c r="H736" i="5" s="1"/>
  <c r="H737" i="5" s="1"/>
  <c r="H738" i="5" s="1"/>
  <c r="H739" i="5" s="1"/>
  <c r="H740" i="5" s="1"/>
  <c r="H741" i="5" s="1"/>
  <c r="H742" i="5" s="1"/>
  <c r="H743" i="5" s="1"/>
  <c r="H744" i="5" s="1"/>
  <c r="H745" i="5" s="1"/>
  <c r="H746" i="5" s="1"/>
  <c r="H747" i="5" s="1"/>
  <c r="H748" i="5" s="1"/>
  <c r="H749" i="5" s="1"/>
  <c r="H750" i="5" s="1"/>
  <c r="H751" i="5" s="1"/>
  <c r="H752" i="5" s="1"/>
  <c r="H753" i="5" s="1"/>
  <c r="H754" i="5" s="1"/>
  <c r="H755" i="5" s="1"/>
  <c r="H756" i="5" s="1"/>
  <c r="H757" i="5" s="1"/>
  <c r="H758" i="5" s="1"/>
  <c r="H759" i="5" s="1"/>
  <c r="H760" i="5" s="1"/>
  <c r="H761" i="5" s="1"/>
  <c r="H762" i="5" s="1"/>
  <c r="H763" i="5" s="1"/>
  <c r="H764" i="5" s="1"/>
  <c r="H765" i="5" s="1"/>
  <c r="H766" i="5" s="1"/>
  <c r="H767" i="5" s="1"/>
  <c r="H768" i="5" s="1"/>
  <c r="H769" i="5" s="1"/>
  <c r="H770" i="5" s="1"/>
  <c r="H771" i="5" s="1"/>
  <c r="H772" i="5" s="1"/>
  <c r="H773" i="5" s="1"/>
  <c r="H774" i="5" s="1"/>
  <c r="H775" i="5" s="1"/>
  <c r="H776" i="5" s="1"/>
  <c r="H777" i="5" s="1"/>
  <c r="H778" i="5" s="1"/>
  <c r="H779" i="5" s="1"/>
  <c r="H780" i="5" s="1"/>
  <c r="H781" i="5" s="1"/>
  <c r="H782" i="5" s="1"/>
  <c r="H783" i="5" s="1"/>
  <c r="H784" i="5" s="1"/>
  <c r="H785" i="5" s="1"/>
  <c r="H786" i="5" s="1"/>
  <c r="H787" i="5" s="1"/>
  <c r="H788" i="5" s="1"/>
  <c r="H789" i="5" s="1"/>
  <c r="H790" i="5" s="1"/>
  <c r="H791" i="5" s="1"/>
  <c r="H792" i="5" s="1"/>
  <c r="H793" i="5" s="1"/>
  <c r="H794" i="5" s="1"/>
  <c r="H795" i="5" s="1"/>
  <c r="H796" i="5" s="1"/>
  <c r="H797" i="5" s="1"/>
  <c r="H798" i="5" s="1"/>
  <c r="H799" i="5" s="1"/>
  <c r="H800" i="5" s="1"/>
  <c r="H801" i="5" s="1"/>
  <c r="H802" i="5" s="1"/>
  <c r="H803" i="5" s="1"/>
  <c r="H804" i="5" s="1"/>
  <c r="H805" i="5" s="1"/>
  <c r="H806" i="5" s="1"/>
  <c r="H807" i="5" s="1"/>
  <c r="H808" i="5" s="1"/>
  <c r="H809" i="5" s="1"/>
  <c r="H810" i="5" s="1"/>
  <c r="H811" i="5" s="1"/>
  <c r="H812" i="5" s="1"/>
  <c r="H813" i="5" s="1"/>
  <c r="H814" i="5" s="1"/>
  <c r="H815" i="5" s="1"/>
  <c r="H816" i="5" s="1"/>
  <c r="H817" i="5" s="1"/>
  <c r="H818" i="5" s="1"/>
  <c r="H819" i="5" s="1"/>
  <c r="H820" i="5" s="1"/>
  <c r="H821" i="5" s="1"/>
  <c r="H822" i="5" s="1"/>
  <c r="H823" i="5" s="1"/>
  <c r="H824" i="5" s="1"/>
  <c r="H825" i="5" s="1"/>
  <c r="H826" i="5" s="1"/>
  <c r="H827" i="5" s="1"/>
  <c r="H828" i="5" s="1"/>
  <c r="H829" i="5" s="1"/>
  <c r="H830" i="5" s="1"/>
  <c r="H831" i="5" s="1"/>
  <c r="H832" i="5" s="1"/>
  <c r="H833" i="5" s="1"/>
  <c r="H834" i="5" s="1"/>
  <c r="H835" i="5" s="1"/>
  <c r="H836" i="5" s="1"/>
  <c r="H837" i="5" s="1"/>
  <c r="H838" i="5" s="1"/>
  <c r="H839" i="5" s="1"/>
  <c r="H840" i="5" s="1"/>
  <c r="H841" i="5" s="1"/>
  <c r="H842" i="5" s="1"/>
  <c r="H843" i="5" s="1"/>
  <c r="H844" i="5" s="1"/>
  <c r="H845" i="5" s="1"/>
  <c r="H846" i="5" s="1"/>
  <c r="H847" i="5" s="1"/>
  <c r="H848" i="5" s="1"/>
  <c r="H849" i="5" s="1"/>
  <c r="H850" i="5" s="1"/>
  <c r="H851" i="5" s="1"/>
  <c r="H852" i="5" s="1"/>
  <c r="H853" i="5" s="1"/>
  <c r="H854" i="5" s="1"/>
  <c r="H855" i="5" s="1"/>
  <c r="H856" i="5" s="1"/>
  <c r="H857" i="5" s="1"/>
  <c r="H858" i="5" s="1"/>
  <c r="H859" i="5" s="1"/>
  <c r="H860" i="5" s="1"/>
  <c r="H861" i="5" s="1"/>
  <c r="H862" i="5" s="1"/>
  <c r="H863" i="5" s="1"/>
  <c r="H864" i="5" s="1"/>
  <c r="H865" i="5" s="1"/>
  <c r="H866" i="5" s="1"/>
  <c r="H867" i="5" s="1"/>
  <c r="H868" i="5" s="1"/>
  <c r="H869" i="5" s="1"/>
  <c r="H870" i="5" s="1"/>
  <c r="H871" i="5" s="1"/>
  <c r="H872" i="5" s="1"/>
  <c r="H873" i="5" s="1"/>
  <c r="H874" i="5" s="1"/>
  <c r="H875" i="5" s="1"/>
  <c r="H876" i="5" s="1"/>
  <c r="H877" i="5" s="1"/>
  <c r="H878" i="5" s="1"/>
  <c r="H879" i="5" s="1"/>
  <c r="H880" i="5" s="1"/>
  <c r="H881" i="5" s="1"/>
  <c r="H882" i="5" s="1"/>
  <c r="H883" i="5" s="1"/>
  <c r="H884" i="5" s="1"/>
  <c r="H885" i="5" s="1"/>
  <c r="H886" i="5" s="1"/>
  <c r="H887" i="5" s="1"/>
  <c r="H888" i="5" s="1"/>
  <c r="H889" i="5" s="1"/>
  <c r="H890" i="5" s="1"/>
  <c r="H891" i="5" s="1"/>
  <c r="H892" i="5" s="1"/>
  <c r="H893" i="5" s="1"/>
  <c r="H894" i="5" s="1"/>
  <c r="H895" i="5" s="1"/>
  <c r="H896" i="5" s="1"/>
  <c r="H897" i="5" s="1"/>
  <c r="H898" i="5" s="1"/>
  <c r="H899" i="5" s="1"/>
  <c r="H900" i="5" s="1"/>
  <c r="H901" i="5" s="1"/>
  <c r="H902" i="5" s="1"/>
  <c r="H903" i="5" s="1"/>
  <c r="H904" i="5" s="1"/>
  <c r="H905" i="5" s="1"/>
  <c r="H906" i="5" s="1"/>
  <c r="H907" i="5" s="1"/>
  <c r="H908" i="5" s="1"/>
  <c r="H909" i="5" s="1"/>
  <c r="H910" i="5" s="1"/>
  <c r="H911" i="5" s="1"/>
  <c r="H912" i="5" s="1"/>
  <c r="H913" i="5" s="1"/>
  <c r="H914" i="5" s="1"/>
  <c r="H915" i="5" s="1"/>
  <c r="H916" i="5" s="1"/>
  <c r="H917" i="5" s="1"/>
  <c r="H918" i="5" s="1"/>
  <c r="H919" i="5" s="1"/>
  <c r="H920" i="5" s="1"/>
  <c r="H921" i="5" s="1"/>
  <c r="H922" i="5" s="1"/>
  <c r="H923" i="5" s="1"/>
  <c r="H924" i="5" s="1"/>
  <c r="H925" i="5" s="1"/>
  <c r="H926" i="5" s="1"/>
  <c r="H927" i="5" s="1"/>
  <c r="H928" i="5" s="1"/>
  <c r="H929" i="5" s="1"/>
  <c r="H930" i="5" s="1"/>
  <c r="H931" i="5" s="1"/>
  <c r="H932" i="5" s="1"/>
  <c r="H933" i="5" s="1"/>
  <c r="H934" i="5" s="1"/>
  <c r="H935" i="5" s="1"/>
  <c r="H936" i="5" s="1"/>
  <c r="H937" i="5" s="1"/>
  <c r="H938" i="5" s="1"/>
  <c r="H939" i="5" s="1"/>
  <c r="H940" i="5" s="1"/>
  <c r="H941" i="5" s="1"/>
  <c r="H942" i="5" s="1"/>
  <c r="H943" i="5" s="1"/>
  <c r="H944" i="5" s="1"/>
  <c r="H945" i="5" s="1"/>
  <c r="H946" i="5" s="1"/>
  <c r="H947" i="5" s="1"/>
  <c r="H948" i="5" s="1"/>
  <c r="H949" i="5" s="1"/>
  <c r="H950" i="5" s="1"/>
  <c r="H951" i="5" s="1"/>
  <c r="H952" i="5" s="1"/>
  <c r="H953" i="5" s="1"/>
  <c r="H954" i="5" s="1"/>
  <c r="H955" i="5" s="1"/>
  <c r="H956" i="5" s="1"/>
  <c r="H957" i="5" s="1"/>
  <c r="H958" i="5" s="1"/>
  <c r="H959" i="5" s="1"/>
  <c r="H960" i="5" s="1"/>
  <c r="H961" i="5" s="1"/>
  <c r="H962" i="5" s="1"/>
  <c r="H963" i="5" s="1"/>
  <c r="H964" i="5" s="1"/>
  <c r="H965" i="5" s="1"/>
  <c r="H966" i="5" s="1"/>
  <c r="H967" i="5" s="1"/>
  <c r="H968" i="5" s="1"/>
  <c r="H969" i="5" s="1"/>
  <c r="H970" i="5" s="1"/>
  <c r="H971" i="5" s="1"/>
  <c r="H972" i="5" s="1"/>
  <c r="H973" i="5" s="1"/>
  <c r="H974" i="5" s="1"/>
  <c r="H975" i="5" s="1"/>
  <c r="H976" i="5" s="1"/>
  <c r="H977" i="5" s="1"/>
  <c r="H978" i="5" s="1"/>
  <c r="H979" i="5" s="1"/>
  <c r="H980" i="5" s="1"/>
  <c r="H981" i="5" s="1"/>
  <c r="H982" i="5" s="1"/>
  <c r="H983" i="5" s="1"/>
  <c r="H984" i="5" s="1"/>
  <c r="H985" i="5" s="1"/>
  <c r="H986" i="5" s="1"/>
  <c r="H987" i="5" s="1"/>
  <c r="H988" i="5" s="1"/>
  <c r="H989" i="5" s="1"/>
  <c r="H990" i="5" s="1"/>
  <c r="H991" i="5" s="1"/>
  <c r="H992" i="5" s="1"/>
  <c r="H993" i="5" s="1"/>
  <c r="H994" i="5" s="1"/>
  <c r="H995" i="5" s="1"/>
  <c r="H996" i="5" s="1"/>
  <c r="H997" i="5" s="1"/>
  <c r="H998" i="5" s="1"/>
  <c r="H999" i="5" s="1"/>
  <c r="H1000" i="5" s="1"/>
  <c r="H1001" i="5" s="1"/>
  <c r="H1002" i="5" s="1"/>
  <c r="H1003" i="5" s="1"/>
  <c r="H1004" i="5" s="1"/>
  <c r="H1005" i="5" s="1"/>
  <c r="H1006" i="5" s="1"/>
  <c r="H1007" i="5" s="1"/>
  <c r="H1008" i="5" s="1"/>
  <c r="H1009" i="5" s="1"/>
  <c r="H1010" i="5" s="1"/>
  <c r="H1011" i="5" s="1"/>
  <c r="H1012" i="5" s="1"/>
  <c r="H1013" i="5" s="1"/>
  <c r="H1014" i="5" s="1"/>
  <c r="H1015" i="5" s="1"/>
  <c r="H1016" i="5" s="1"/>
  <c r="H1017" i="5" s="1"/>
  <c r="H1018" i="5" s="1"/>
  <c r="H1019" i="5" s="1"/>
  <c r="H1020" i="5" s="1"/>
  <c r="H1021" i="5" s="1"/>
  <c r="H1022" i="5" s="1"/>
  <c r="H1023" i="5" s="1"/>
  <c r="H1024" i="5" s="1"/>
  <c r="H1025" i="5" s="1"/>
  <c r="H1026" i="5" s="1"/>
  <c r="H1027" i="5" s="1"/>
  <c r="H1028" i="5" s="1"/>
  <c r="H1029" i="5" s="1"/>
  <c r="H1030" i="5" s="1"/>
  <c r="H1031" i="5" s="1"/>
  <c r="H1032" i="5" s="1"/>
  <c r="H1033" i="5" s="1"/>
  <c r="H1034" i="5" s="1"/>
  <c r="H1035" i="5" s="1"/>
  <c r="H1036" i="5" s="1"/>
  <c r="H1037" i="5" s="1"/>
  <c r="H1038" i="5" s="1"/>
  <c r="H1039" i="5" s="1"/>
  <c r="H1040" i="5" s="1"/>
  <c r="H1041" i="5" s="1"/>
  <c r="H1042" i="5" s="1"/>
  <c r="H1043" i="5" s="1"/>
  <c r="H1044" i="5" s="1"/>
  <c r="H1045" i="5" s="1"/>
  <c r="H1046" i="5" s="1"/>
  <c r="H1047" i="5" s="1"/>
  <c r="H1048" i="5" s="1"/>
  <c r="H1049" i="5" s="1"/>
  <c r="H1050" i="5" s="1"/>
  <c r="H1051" i="5" s="1"/>
  <c r="H1052" i="5" s="1"/>
  <c r="H1053" i="5" s="1"/>
  <c r="H1054" i="5" s="1"/>
  <c r="H1055" i="5" s="1"/>
  <c r="H1056" i="5" s="1"/>
  <c r="H1057" i="5" s="1"/>
  <c r="H1058" i="5" s="1"/>
  <c r="H1059" i="5" s="1"/>
  <c r="H1060" i="5" s="1"/>
  <c r="H1061" i="5" s="1"/>
  <c r="H1062" i="5" s="1"/>
  <c r="H1063" i="5" s="1"/>
  <c r="H1064" i="5" s="1"/>
  <c r="H1065" i="5" s="1"/>
  <c r="H1066" i="5" s="1"/>
  <c r="H1067" i="5" s="1"/>
  <c r="H1068" i="5" s="1"/>
  <c r="H1069" i="5" s="1"/>
  <c r="H1070" i="5" s="1"/>
  <c r="H1071" i="5" s="1"/>
  <c r="H1072" i="5" s="1"/>
  <c r="H1073" i="5" s="1"/>
  <c r="H1074" i="5" s="1"/>
  <c r="H1075" i="5" s="1"/>
  <c r="H1076" i="5" s="1"/>
  <c r="H1077" i="5" s="1"/>
  <c r="H1078" i="5" s="1"/>
  <c r="H1079" i="5" s="1"/>
  <c r="H1080" i="5" s="1"/>
  <c r="H1081" i="5" s="1"/>
  <c r="H1082" i="5" s="1"/>
  <c r="H1083" i="5" s="1"/>
  <c r="H1084" i="5" s="1"/>
  <c r="H1085" i="5" s="1"/>
  <c r="H1086" i="5" s="1"/>
  <c r="H1087" i="5" s="1"/>
  <c r="H1088" i="5" s="1"/>
  <c r="H1089" i="5" s="1"/>
  <c r="H1090" i="5" s="1"/>
  <c r="H1091" i="5" s="1"/>
  <c r="H1092" i="5" s="1"/>
  <c r="H1093" i="5" s="1"/>
  <c r="H1094" i="5" s="1"/>
  <c r="H1095" i="5" s="1"/>
  <c r="H1096" i="5" s="1"/>
  <c r="H1097" i="5" s="1"/>
  <c r="H1098" i="5" s="1"/>
  <c r="H1099" i="5" s="1"/>
  <c r="H1100" i="5" s="1"/>
  <c r="H1101" i="5" s="1"/>
  <c r="H1102" i="5" s="1"/>
  <c r="H1103" i="5" s="1"/>
  <c r="H1104" i="5" s="1"/>
  <c r="H1105" i="5" s="1"/>
  <c r="H1106" i="5" s="1"/>
  <c r="H1107" i="5" s="1"/>
  <c r="H1108" i="5" s="1"/>
  <c r="H1109" i="5" s="1"/>
  <c r="H1110" i="5" s="1"/>
  <c r="H1111" i="5" s="1"/>
  <c r="H1112" i="5" s="1"/>
  <c r="H1113" i="5" s="1"/>
  <c r="H1114" i="5" s="1"/>
  <c r="H1115" i="5" s="1"/>
  <c r="H1116" i="5" s="1"/>
  <c r="H1117" i="5" s="1"/>
  <c r="H1118" i="5" s="1"/>
  <c r="H1119" i="5" s="1"/>
  <c r="H1120" i="5" s="1"/>
  <c r="H1121" i="5" s="1"/>
  <c r="H1122" i="5" s="1"/>
  <c r="H1123" i="5" s="1"/>
  <c r="H1124" i="5" s="1"/>
  <c r="H1125" i="5" s="1"/>
  <c r="H1126" i="5" s="1"/>
  <c r="H1127" i="5" s="1"/>
  <c r="H1128" i="5" s="1"/>
  <c r="H1129" i="5" s="1"/>
  <c r="H1130" i="5" s="1"/>
  <c r="H1131" i="5" s="1"/>
  <c r="H1132" i="5" s="1"/>
  <c r="H1133" i="5" s="1"/>
  <c r="H1134" i="5" s="1"/>
  <c r="H1135" i="5" s="1"/>
  <c r="H1136" i="5" s="1"/>
  <c r="H1137" i="5" s="1"/>
  <c r="H1138" i="5" s="1"/>
  <c r="H1139" i="5" s="1"/>
  <c r="H1140" i="5" s="1"/>
  <c r="H1141" i="5" s="1"/>
  <c r="H1142" i="5" s="1"/>
  <c r="H1143" i="5" s="1"/>
  <c r="H1144" i="5" s="1"/>
  <c r="H1145" i="5" s="1"/>
  <c r="H1146" i="5" s="1"/>
  <c r="H1147" i="5" s="1"/>
  <c r="H1148" i="5" s="1"/>
  <c r="H1149" i="5" s="1"/>
  <c r="H1150" i="5" s="1"/>
  <c r="H1151" i="5" s="1"/>
  <c r="H1152" i="5" s="1"/>
  <c r="H1153" i="5" s="1"/>
  <c r="H1154" i="5" s="1"/>
  <c r="H1155" i="5" s="1"/>
  <c r="H1156" i="5" s="1"/>
  <c r="H1157" i="5" s="1"/>
  <c r="H1158" i="5" s="1"/>
  <c r="H1159" i="5" s="1"/>
  <c r="H1160" i="5" s="1"/>
  <c r="H1161" i="5" s="1"/>
  <c r="H1162" i="5" s="1"/>
  <c r="H1163" i="5" s="1"/>
  <c r="H1164" i="5" s="1"/>
  <c r="H1165" i="5" s="1"/>
  <c r="H1166" i="5" s="1"/>
  <c r="H1167" i="5" s="1"/>
  <c r="H1168" i="5" s="1"/>
  <c r="H1169" i="5" s="1"/>
  <c r="H1170" i="5" s="1"/>
  <c r="H1171" i="5" s="1"/>
  <c r="H1172" i="5" s="1"/>
  <c r="H1173" i="5" s="1"/>
  <c r="H1174" i="5" s="1"/>
  <c r="H1175" i="5" s="1"/>
  <c r="H1176" i="5" s="1"/>
  <c r="H1177" i="5" s="1"/>
  <c r="H1178" i="5" s="1"/>
  <c r="H1179" i="5" s="1"/>
  <c r="H1180" i="5" s="1"/>
  <c r="H1181" i="5" s="1"/>
  <c r="H1182" i="5" s="1"/>
  <c r="H1183" i="5" s="1"/>
  <c r="H1184" i="5" s="1"/>
  <c r="H1185" i="5" s="1"/>
  <c r="H1186" i="5" s="1"/>
  <c r="H1187" i="5" s="1"/>
  <c r="H1188" i="5" s="1"/>
  <c r="H1189" i="5" s="1"/>
  <c r="H1190" i="5" s="1"/>
  <c r="H1191" i="5" s="1"/>
  <c r="H1192" i="5" s="1"/>
  <c r="H1193" i="5" s="1"/>
  <c r="H1194" i="5" s="1"/>
  <c r="H1195" i="5" s="1"/>
  <c r="H1196" i="5" s="1"/>
  <c r="H1197" i="5" s="1"/>
  <c r="H1198" i="5" s="1"/>
  <c r="H1199" i="5" s="1"/>
  <c r="H1200" i="5" s="1"/>
  <c r="H1201" i="5" s="1"/>
  <c r="H1202" i="5" s="1"/>
  <c r="H1203" i="5" s="1"/>
  <c r="H1204" i="5" s="1"/>
  <c r="H1205" i="5" s="1"/>
  <c r="H1206" i="5" s="1"/>
  <c r="H1207" i="5" s="1"/>
  <c r="H1208" i="5" s="1"/>
  <c r="H1209" i="5" s="1"/>
  <c r="H1210" i="5" s="1"/>
  <c r="H1211" i="5" s="1"/>
  <c r="H1212" i="5" s="1"/>
  <c r="H1213" i="5" s="1"/>
  <c r="H1214" i="5" s="1"/>
  <c r="H1215" i="5" s="1"/>
  <c r="H1216" i="5" s="1"/>
  <c r="H1217" i="5" s="1"/>
  <c r="H1218" i="5" s="1"/>
  <c r="H1219" i="5" s="1"/>
  <c r="H1220" i="5" s="1"/>
  <c r="H1221" i="5" s="1"/>
  <c r="H1222" i="5" s="1"/>
  <c r="H1223" i="5" s="1"/>
  <c r="H1224" i="5" s="1"/>
  <c r="H1225" i="5" s="1"/>
  <c r="H1226" i="5" s="1"/>
  <c r="H1227" i="5" s="1"/>
  <c r="H1228" i="5" s="1"/>
  <c r="H1229" i="5" s="1"/>
  <c r="H1230" i="5" s="1"/>
  <c r="H1231" i="5" s="1"/>
  <c r="H1232" i="5" s="1"/>
  <c r="H1233" i="5" s="1"/>
  <c r="H1234" i="5" s="1"/>
  <c r="H1235" i="5" s="1"/>
  <c r="H1236" i="5" s="1"/>
  <c r="H1237" i="5" s="1"/>
  <c r="H1238" i="5" s="1"/>
  <c r="H1239" i="5" s="1"/>
  <c r="H1240" i="5" s="1"/>
  <c r="H1241" i="5" s="1"/>
  <c r="H1242" i="5" s="1"/>
  <c r="H1243" i="5" s="1"/>
  <c r="H1244" i="5" s="1"/>
  <c r="H1245" i="5" s="1"/>
  <c r="H1246" i="5" s="1"/>
  <c r="H1247" i="5" s="1"/>
  <c r="H1248" i="5" s="1"/>
  <c r="H1249" i="5" s="1"/>
  <c r="H1250" i="5" s="1"/>
  <c r="H1251" i="5" s="1"/>
  <c r="H1252" i="5" s="1"/>
  <c r="H1253" i="5" s="1"/>
  <c r="H1254" i="5" s="1"/>
  <c r="H1255" i="5" s="1"/>
  <c r="H1256" i="5" s="1"/>
  <c r="H1257" i="5" s="1"/>
  <c r="H1258" i="5" s="1"/>
  <c r="H1259" i="5" s="1"/>
  <c r="H1260" i="5" s="1"/>
  <c r="H1261" i="5" s="1"/>
  <c r="H1262" i="5" s="1"/>
  <c r="H1263" i="5" s="1"/>
  <c r="H1264" i="5" s="1"/>
  <c r="H1265" i="5" s="1"/>
  <c r="H1266" i="5" s="1"/>
  <c r="H1267" i="5" s="1"/>
  <c r="H1268" i="5" s="1"/>
  <c r="H1269" i="5" s="1"/>
  <c r="H1270" i="5" s="1"/>
  <c r="H1271" i="5" s="1"/>
  <c r="H1272" i="5" s="1"/>
  <c r="H1273" i="5" s="1"/>
  <c r="H1274" i="5" s="1"/>
  <c r="H1275" i="5" s="1"/>
  <c r="H1276" i="5" s="1"/>
  <c r="H1277" i="5" s="1"/>
  <c r="H1278" i="5" s="1"/>
  <c r="H1279" i="5" s="1"/>
  <c r="H1280" i="5" s="1"/>
  <c r="H1281" i="5" s="1"/>
  <c r="H1282" i="5" s="1"/>
  <c r="H1283" i="5" s="1"/>
  <c r="H1284" i="5" s="1"/>
  <c r="H1285" i="5" s="1"/>
  <c r="H1286" i="5" s="1"/>
  <c r="H1287" i="5" s="1"/>
  <c r="H1288" i="5" s="1"/>
  <c r="H1289" i="5" s="1"/>
  <c r="H1290" i="5" s="1"/>
  <c r="H1291" i="5" s="1"/>
  <c r="H1292" i="5" s="1"/>
  <c r="H1293" i="5" s="1"/>
  <c r="H1294" i="5" s="1"/>
  <c r="H1295" i="5" s="1"/>
  <c r="H1296" i="5" s="1"/>
  <c r="H1297" i="5" s="1"/>
  <c r="H1298" i="5" s="1"/>
  <c r="H1299" i="5" s="1"/>
  <c r="H1300" i="5" s="1"/>
  <c r="H1301" i="5" s="1"/>
  <c r="H1302" i="5" s="1"/>
  <c r="H1303" i="5" s="1"/>
  <c r="H1304" i="5" s="1"/>
  <c r="H1305" i="5" s="1"/>
  <c r="H1306" i="5" s="1"/>
  <c r="H1307" i="5" s="1"/>
  <c r="H1308" i="5" s="1"/>
  <c r="H1309" i="5" s="1"/>
  <c r="H1310" i="5" s="1"/>
  <c r="H1311" i="5" s="1"/>
  <c r="H1312" i="5" s="1"/>
  <c r="H1313" i="5" s="1"/>
  <c r="H1314" i="5" s="1"/>
  <c r="H1315" i="5" s="1"/>
  <c r="H1316" i="5" s="1"/>
  <c r="H1317" i="5" s="1"/>
  <c r="H1318" i="5" s="1"/>
  <c r="H1319" i="5" s="1"/>
  <c r="H1320" i="5" s="1"/>
  <c r="H1321" i="5" s="1"/>
  <c r="H1322" i="5" s="1"/>
  <c r="H1323" i="5" s="1"/>
  <c r="H1324" i="5" s="1"/>
  <c r="H1325" i="5" s="1"/>
  <c r="H1326" i="5" s="1"/>
  <c r="H1327" i="5" s="1"/>
  <c r="H1328" i="5" s="1"/>
  <c r="H1329" i="5" s="1"/>
  <c r="H1330" i="5" s="1"/>
  <c r="H1331" i="5" s="1"/>
  <c r="H1332" i="5" s="1"/>
  <c r="H1333" i="5" s="1"/>
  <c r="H1334" i="5" s="1"/>
  <c r="H1335" i="5" s="1"/>
  <c r="H1336" i="5" s="1"/>
  <c r="H1337" i="5" s="1"/>
  <c r="H1338" i="5" s="1"/>
  <c r="H1339" i="5" s="1"/>
  <c r="H1340" i="5" s="1"/>
  <c r="H1341" i="5" s="1"/>
  <c r="H1342" i="5" s="1"/>
  <c r="H1343" i="5" s="1"/>
  <c r="H1344" i="5" s="1"/>
  <c r="H1345" i="5" s="1"/>
  <c r="H1346" i="5" s="1"/>
  <c r="H1347" i="5" s="1"/>
  <c r="H1348" i="5" s="1"/>
  <c r="H1349" i="5" s="1"/>
  <c r="H1350" i="5" s="1"/>
  <c r="H1351" i="5" s="1"/>
  <c r="H1352" i="5" s="1"/>
  <c r="H1353" i="5" s="1"/>
  <c r="H1354" i="5" s="1"/>
  <c r="H1355" i="5" s="1"/>
  <c r="H1356" i="5" s="1"/>
  <c r="H1357" i="5" s="1"/>
  <c r="H1358" i="5" s="1"/>
  <c r="H1359" i="5" s="1"/>
  <c r="H1360" i="5" s="1"/>
  <c r="H1361" i="5" s="1"/>
  <c r="H1362" i="5" s="1"/>
  <c r="H1363" i="5" s="1"/>
  <c r="H1364" i="5" s="1"/>
  <c r="H1365" i="5" s="1"/>
  <c r="H1366" i="5" s="1"/>
  <c r="H1367" i="5" s="1"/>
  <c r="H1368" i="5" s="1"/>
  <c r="H1369" i="5" s="1"/>
  <c r="H1370" i="5" s="1"/>
  <c r="H1371" i="5" s="1"/>
  <c r="H1372" i="5" s="1"/>
  <c r="H1373" i="5" s="1"/>
  <c r="H1374" i="5" s="1"/>
  <c r="H1375" i="5" s="1"/>
  <c r="H1376" i="5" s="1"/>
  <c r="H1377" i="5" s="1"/>
  <c r="H1378" i="5" s="1"/>
  <c r="H1379" i="5" s="1"/>
  <c r="H1380" i="5" s="1"/>
  <c r="H1381" i="5" s="1"/>
  <c r="H1382" i="5" s="1"/>
  <c r="H1383" i="5" s="1"/>
  <c r="H1384" i="5" s="1"/>
  <c r="H1385" i="5" s="1"/>
  <c r="H1386" i="5" s="1"/>
  <c r="H1387" i="5" s="1"/>
  <c r="H1388" i="5" s="1"/>
  <c r="H1389" i="5" s="1"/>
  <c r="H1390" i="5" s="1"/>
  <c r="H1391" i="5" s="1"/>
  <c r="H1392" i="5" s="1"/>
  <c r="H1393" i="5" s="1"/>
  <c r="H1394" i="5" s="1"/>
  <c r="H1395" i="5" s="1"/>
  <c r="H1396" i="5" s="1"/>
  <c r="H1397" i="5" s="1"/>
  <c r="H1398" i="5" s="1"/>
  <c r="H1399" i="5" s="1"/>
  <c r="H1400" i="5" s="1"/>
  <c r="H1401" i="5" s="1"/>
  <c r="H1402" i="5" s="1"/>
  <c r="H1403" i="5" s="1"/>
  <c r="H1404" i="5" s="1"/>
  <c r="H1405" i="5" s="1"/>
  <c r="H1406" i="5" s="1"/>
  <c r="H1407" i="5" s="1"/>
  <c r="H1408" i="5" s="1"/>
  <c r="H1409" i="5" s="1"/>
  <c r="H1410" i="5" s="1"/>
  <c r="H1411" i="5" s="1"/>
  <c r="H1412" i="5" s="1"/>
  <c r="H1413" i="5" s="1"/>
  <c r="H1414" i="5" s="1"/>
  <c r="H1415" i="5" s="1"/>
  <c r="H1416" i="5" s="1"/>
  <c r="H1417" i="5" s="1"/>
  <c r="H1418" i="5" s="1"/>
  <c r="H1419" i="5" s="1"/>
  <c r="H1420" i="5" s="1"/>
  <c r="H1421" i="5" s="1"/>
  <c r="H1422" i="5" s="1"/>
  <c r="H1423" i="5" s="1"/>
  <c r="H1424" i="5" s="1"/>
  <c r="H1425" i="5" s="1"/>
  <c r="H1426" i="5" s="1"/>
  <c r="H1427" i="5" s="1"/>
  <c r="H1428" i="5" s="1"/>
  <c r="H1429" i="5" s="1"/>
  <c r="H1430" i="5" s="1"/>
  <c r="H1431" i="5" s="1"/>
  <c r="H1432" i="5" s="1"/>
  <c r="H1433" i="5" s="1"/>
  <c r="H1434" i="5" s="1"/>
  <c r="H1435" i="5" s="1"/>
  <c r="H1436" i="5" s="1"/>
  <c r="H1437" i="5" s="1"/>
  <c r="H1438" i="5" s="1"/>
  <c r="H1439" i="5" s="1"/>
  <c r="H1440" i="5" s="1"/>
  <c r="H1441" i="5" s="1"/>
  <c r="H1442" i="5" s="1"/>
  <c r="H1443" i="5" s="1"/>
  <c r="H1444" i="5" s="1"/>
  <c r="H1445" i="5" s="1"/>
  <c r="H1446" i="5" s="1"/>
  <c r="H1447" i="5" s="1"/>
  <c r="H1448" i="5" s="1"/>
  <c r="H1449" i="5" s="1"/>
  <c r="H1450" i="5" s="1"/>
  <c r="H1451" i="5" s="1"/>
  <c r="H1452" i="5" s="1"/>
  <c r="H1453" i="5" s="1"/>
  <c r="H1454" i="5" s="1"/>
  <c r="H1455" i="5" s="1"/>
  <c r="H1456" i="5" s="1"/>
  <c r="H1457" i="5" s="1"/>
  <c r="H1458" i="5" s="1"/>
  <c r="H1459" i="5" s="1"/>
  <c r="H1460" i="5" s="1"/>
  <c r="H1461" i="5" s="1"/>
  <c r="H1462" i="5" s="1"/>
  <c r="H1463" i="5" s="1"/>
  <c r="H1464" i="5" s="1"/>
  <c r="H1465" i="5" s="1"/>
  <c r="H1466" i="5" s="1"/>
  <c r="H1467" i="5" s="1"/>
  <c r="H1468" i="5" s="1"/>
  <c r="H1469" i="5" s="1"/>
  <c r="H1470" i="5" s="1"/>
  <c r="H1471" i="5" s="1"/>
  <c r="H1472" i="5" s="1"/>
  <c r="H1473" i="5" s="1"/>
  <c r="H1474" i="5" s="1"/>
  <c r="H1475" i="5" s="1"/>
  <c r="H1476" i="5" s="1"/>
  <c r="H1477" i="5" s="1"/>
  <c r="H1478" i="5" s="1"/>
  <c r="H1479" i="5" s="1"/>
  <c r="H1480" i="5" s="1"/>
  <c r="H1481" i="5" s="1"/>
  <c r="H1482" i="5" s="1"/>
  <c r="H1483" i="5" s="1"/>
  <c r="H1484" i="5" s="1"/>
  <c r="H1485" i="5" s="1"/>
  <c r="H1486" i="5" s="1"/>
  <c r="H1487" i="5" s="1"/>
  <c r="H1488" i="5" s="1"/>
  <c r="H1489" i="5" s="1"/>
  <c r="H1490" i="5" s="1"/>
  <c r="H1491" i="5" s="1"/>
  <c r="H1492" i="5" s="1"/>
  <c r="H1493" i="5" s="1"/>
  <c r="H1494" i="5" s="1"/>
  <c r="H1495" i="5" s="1"/>
  <c r="H1496" i="5" s="1"/>
  <c r="H1497" i="5" s="1"/>
  <c r="H1498" i="5" s="1"/>
  <c r="H1499" i="5" s="1"/>
  <c r="H1500" i="5" s="1"/>
  <c r="H1501" i="5" s="1"/>
  <c r="H1502" i="5" s="1"/>
  <c r="H1503" i="5" s="1"/>
  <c r="H1504" i="5" s="1"/>
  <c r="H1505" i="5" s="1"/>
  <c r="H1506" i="5" s="1"/>
  <c r="H1507" i="5" s="1"/>
  <c r="H1508" i="5" s="1"/>
  <c r="H1509" i="5" s="1"/>
  <c r="H1510" i="5" s="1"/>
  <c r="H1511" i="5" s="1"/>
  <c r="H1512" i="5" s="1"/>
  <c r="H1513" i="5" s="1"/>
  <c r="H1514" i="5" s="1"/>
  <c r="H1515" i="5" s="1"/>
  <c r="H1516" i="5" s="1"/>
  <c r="H1517" i="5" s="1"/>
  <c r="H1518" i="5" s="1"/>
  <c r="H1519" i="5" s="1"/>
  <c r="H1520" i="5" s="1"/>
  <c r="H1521" i="5" s="1"/>
  <c r="H1522" i="5" s="1"/>
  <c r="H1523" i="5" s="1"/>
  <c r="H1524" i="5" s="1"/>
  <c r="H1525" i="5" s="1"/>
  <c r="H1526" i="5" s="1"/>
  <c r="H1527" i="5" s="1"/>
  <c r="H1528" i="5" s="1"/>
  <c r="H1529" i="5" s="1"/>
  <c r="H1530" i="5" s="1"/>
  <c r="H1531" i="5" s="1"/>
  <c r="H1532" i="5" s="1"/>
  <c r="H1533" i="5" s="1"/>
  <c r="H1534" i="5" s="1"/>
  <c r="H1535" i="5" s="1"/>
  <c r="H1536" i="5" s="1"/>
  <c r="H1537" i="5" s="1"/>
  <c r="H1538" i="5" s="1"/>
  <c r="H1539" i="5" s="1"/>
  <c r="H1540" i="5" s="1"/>
  <c r="H1541" i="5" s="1"/>
  <c r="H1542" i="5" s="1"/>
  <c r="H1543" i="5" s="1"/>
  <c r="H1544" i="5" s="1"/>
  <c r="H1545" i="5" s="1"/>
  <c r="H1546" i="5" s="1"/>
  <c r="H1547" i="5" s="1"/>
  <c r="H1548" i="5" s="1"/>
  <c r="H1549" i="5" s="1"/>
  <c r="H1550" i="5" s="1"/>
  <c r="H1551" i="5" s="1"/>
  <c r="H1552" i="5" s="1"/>
  <c r="H1553" i="5" s="1"/>
  <c r="H1554" i="5" s="1"/>
  <c r="H1555" i="5" s="1"/>
  <c r="H1556" i="5" s="1"/>
  <c r="H1557" i="5" s="1"/>
  <c r="H1558" i="5" s="1"/>
  <c r="H1559" i="5" s="1"/>
  <c r="H1560" i="5" s="1"/>
  <c r="H1561" i="5" s="1"/>
  <c r="H1562" i="5" s="1"/>
  <c r="H1563" i="5" s="1"/>
  <c r="H1564" i="5" s="1"/>
  <c r="H1565" i="5" s="1"/>
  <c r="H1566" i="5" s="1"/>
  <c r="H1567" i="5" s="1"/>
  <c r="H1568" i="5" s="1"/>
  <c r="H1569" i="5" s="1"/>
  <c r="H1570" i="5" s="1"/>
  <c r="H1571" i="5" s="1"/>
  <c r="H1572" i="5" s="1"/>
  <c r="H1573" i="5" s="1"/>
  <c r="H1574" i="5" s="1"/>
  <c r="H1575" i="5" s="1"/>
  <c r="H1576" i="5" s="1"/>
  <c r="H1577" i="5" s="1"/>
  <c r="H1578" i="5" s="1"/>
  <c r="H1579" i="5" s="1"/>
  <c r="H1580" i="5" s="1"/>
  <c r="H1581" i="5" s="1"/>
  <c r="H1582" i="5" s="1"/>
  <c r="H1583" i="5" s="1"/>
  <c r="H1584" i="5" s="1"/>
  <c r="H1585" i="5" s="1"/>
  <c r="H1586" i="5" s="1"/>
  <c r="H1587" i="5" s="1"/>
  <c r="H1588" i="5" s="1"/>
  <c r="H1589" i="5" s="1"/>
  <c r="H1590" i="5" s="1"/>
  <c r="H1591" i="5" s="1"/>
  <c r="H1592" i="5" s="1"/>
  <c r="H1593" i="5" s="1"/>
  <c r="H1594" i="5" s="1"/>
  <c r="H1595" i="5" s="1"/>
  <c r="H1596" i="5" s="1"/>
  <c r="H1597" i="5" s="1"/>
  <c r="H1598" i="5" s="1"/>
  <c r="H1599" i="5" s="1"/>
  <c r="H1600" i="5" s="1"/>
  <c r="H1601" i="5" s="1"/>
  <c r="H1602" i="5" s="1"/>
  <c r="H1603" i="5" s="1"/>
  <c r="H1604" i="5" s="1"/>
  <c r="H1605" i="5" s="1"/>
  <c r="H1606" i="5" s="1"/>
  <c r="H1607" i="5" s="1"/>
  <c r="H1608" i="5" s="1"/>
  <c r="H1609" i="5" s="1"/>
  <c r="H1610" i="5" s="1"/>
  <c r="H1611" i="5" s="1"/>
  <c r="H1612" i="5" s="1"/>
  <c r="H1613" i="5" s="1"/>
  <c r="H1614" i="5" s="1"/>
  <c r="H1615" i="5" s="1"/>
  <c r="H1616" i="5" s="1"/>
  <c r="H1617" i="5" s="1"/>
  <c r="H1618" i="5" s="1"/>
  <c r="H1619" i="5" s="1"/>
  <c r="H1620" i="5" s="1"/>
  <c r="H1621" i="5" s="1"/>
  <c r="H1622" i="5" s="1"/>
  <c r="H1623" i="5" s="1"/>
  <c r="H1624" i="5" s="1"/>
  <c r="H1625" i="5" s="1"/>
  <c r="H1626" i="5" s="1"/>
  <c r="H1627" i="5" s="1"/>
  <c r="H1628" i="5" s="1"/>
  <c r="H1629" i="5" s="1"/>
  <c r="H1630" i="5" s="1"/>
  <c r="H1631" i="5" s="1"/>
  <c r="H1632" i="5" s="1"/>
  <c r="H1633" i="5" s="1"/>
  <c r="H1634" i="5" s="1"/>
  <c r="H1635" i="5" s="1"/>
  <c r="H1636" i="5" s="1"/>
  <c r="H1637" i="5" s="1"/>
  <c r="H1638" i="5" s="1"/>
  <c r="H1639" i="5" s="1"/>
  <c r="H1640" i="5" s="1"/>
  <c r="H1641" i="5" s="1"/>
  <c r="H1642" i="5" s="1"/>
  <c r="H1643" i="5" s="1"/>
  <c r="H1644" i="5" s="1"/>
  <c r="H1645" i="5" s="1"/>
  <c r="H1646" i="5" s="1"/>
  <c r="H1647" i="5" s="1"/>
  <c r="H1648" i="5" s="1"/>
  <c r="H1649" i="5" s="1"/>
  <c r="H1650" i="5" s="1"/>
  <c r="H1651" i="5" s="1"/>
  <c r="H1652" i="5" s="1"/>
  <c r="H1653" i="5" s="1"/>
  <c r="H1654" i="5" s="1"/>
  <c r="H1655" i="5" s="1"/>
  <c r="H1656" i="5" s="1"/>
  <c r="H1657" i="5" s="1"/>
  <c r="H1658" i="5" s="1"/>
  <c r="H1659" i="5" s="1"/>
  <c r="H1660" i="5" s="1"/>
  <c r="H1661" i="5" s="1"/>
  <c r="H1662" i="5" s="1"/>
  <c r="H1663" i="5" s="1"/>
  <c r="H1664" i="5" s="1"/>
  <c r="H1665" i="5" s="1"/>
  <c r="H1666" i="5" s="1"/>
  <c r="H1667" i="5" s="1"/>
  <c r="H1668" i="5" s="1"/>
  <c r="H1669" i="5" s="1"/>
  <c r="H1670" i="5" s="1"/>
  <c r="H1671" i="5" s="1"/>
  <c r="H1672" i="5" s="1"/>
  <c r="H1673" i="5" s="1"/>
  <c r="H1674" i="5" s="1"/>
  <c r="H1675" i="5" s="1"/>
  <c r="H1676" i="5" s="1"/>
  <c r="H1677" i="5" s="1"/>
  <c r="H1678" i="5" s="1"/>
  <c r="H1679" i="5" s="1"/>
  <c r="H1680" i="5" s="1"/>
  <c r="H1681" i="5" s="1"/>
  <c r="H1682" i="5" s="1"/>
  <c r="H1683" i="5" s="1"/>
  <c r="H1684" i="5" s="1"/>
  <c r="H1685" i="5" s="1"/>
  <c r="H1686" i="5" s="1"/>
  <c r="H1687" i="5" s="1"/>
  <c r="H1688" i="5" s="1"/>
  <c r="H1689" i="5" s="1"/>
  <c r="H1690" i="5" s="1"/>
  <c r="H1691" i="5" s="1"/>
  <c r="H1692" i="5" s="1"/>
  <c r="H1693" i="5" s="1"/>
  <c r="H1694" i="5" s="1"/>
  <c r="H1695" i="5" s="1"/>
  <c r="H1696" i="5" s="1"/>
  <c r="H1697" i="5" s="1"/>
  <c r="H1698" i="5" s="1"/>
  <c r="H1699" i="5" s="1"/>
  <c r="H1700" i="5" s="1"/>
  <c r="H1701" i="5" s="1"/>
  <c r="H1702" i="5" s="1"/>
  <c r="H1703" i="5" s="1"/>
  <c r="H1704" i="5" s="1"/>
  <c r="H1705" i="5" s="1"/>
  <c r="H1706" i="5" s="1"/>
  <c r="H1707" i="5" s="1"/>
  <c r="H1708" i="5" s="1"/>
  <c r="H1709" i="5" s="1"/>
  <c r="H1710" i="5" s="1"/>
  <c r="H1711" i="5" s="1"/>
  <c r="H1712" i="5" s="1"/>
  <c r="H1713" i="5" s="1"/>
  <c r="H1714" i="5" s="1"/>
  <c r="H1715" i="5" s="1"/>
  <c r="H1716" i="5" s="1"/>
  <c r="H1717" i="5" s="1"/>
  <c r="H1718" i="5" s="1"/>
  <c r="H1719" i="5" s="1"/>
  <c r="H1720" i="5" s="1"/>
  <c r="H1721" i="5" s="1"/>
  <c r="H1722" i="5" s="1"/>
  <c r="H1723" i="5" s="1"/>
  <c r="H1724" i="5" s="1"/>
  <c r="H1725" i="5" s="1"/>
  <c r="H1726" i="5" s="1"/>
  <c r="H1727" i="5" s="1"/>
  <c r="H1728" i="5" s="1"/>
  <c r="H1729" i="5" s="1"/>
  <c r="H1730" i="5" s="1"/>
  <c r="H1731" i="5" s="1"/>
  <c r="H1732" i="5" s="1"/>
  <c r="H1733" i="5" s="1"/>
  <c r="H1734" i="5" s="1"/>
  <c r="H1735" i="5" s="1"/>
  <c r="H1736" i="5" s="1"/>
  <c r="H1737" i="5" s="1"/>
  <c r="H1738" i="5" s="1"/>
  <c r="H1739" i="5" s="1"/>
  <c r="H1740" i="5" s="1"/>
  <c r="H1741" i="5" s="1"/>
  <c r="H1742" i="5" s="1"/>
  <c r="H1743" i="5" s="1"/>
  <c r="H1744" i="5" s="1"/>
  <c r="H1745" i="5" s="1"/>
  <c r="H1746" i="5" s="1"/>
  <c r="H1747" i="5" s="1"/>
  <c r="H1748" i="5" s="1"/>
  <c r="H1749" i="5" s="1"/>
  <c r="H1750" i="5" s="1"/>
  <c r="H1751" i="5" s="1"/>
  <c r="H1752" i="5" s="1"/>
  <c r="H1753" i="5" s="1"/>
  <c r="H1754" i="5" s="1"/>
  <c r="H1755" i="5" s="1"/>
  <c r="H1756" i="5" s="1"/>
  <c r="H1757" i="5" s="1"/>
  <c r="H1758" i="5" s="1"/>
  <c r="H1759" i="5" s="1"/>
  <c r="H1760" i="5" s="1"/>
  <c r="H1761" i="5" s="1"/>
  <c r="H1762" i="5" s="1"/>
  <c r="H1763" i="5" s="1"/>
  <c r="H1764" i="5" s="1"/>
  <c r="H1765" i="5" s="1"/>
  <c r="H1766" i="5" s="1"/>
  <c r="H1767" i="5" s="1"/>
  <c r="H1768" i="5" s="1"/>
  <c r="H1769" i="5" s="1"/>
  <c r="H1770" i="5" s="1"/>
  <c r="H1771" i="5" s="1"/>
  <c r="H1772" i="5" s="1"/>
  <c r="H1773" i="5" s="1"/>
  <c r="H1774" i="5" s="1"/>
  <c r="H1775" i="5" s="1"/>
  <c r="H1776" i="5" s="1"/>
  <c r="H1777" i="5" s="1"/>
  <c r="H1778" i="5" s="1"/>
  <c r="H1779" i="5" s="1"/>
  <c r="H1780" i="5" s="1"/>
  <c r="H1781" i="5" s="1"/>
  <c r="H1782" i="5" s="1"/>
  <c r="H1783" i="5" s="1"/>
  <c r="H1784" i="5" s="1"/>
  <c r="H1785" i="5" s="1"/>
  <c r="H1786" i="5" s="1"/>
  <c r="H1787" i="5" s="1"/>
  <c r="H1788" i="5" s="1"/>
  <c r="H1789" i="5" s="1"/>
  <c r="H1790" i="5" s="1"/>
  <c r="H1791" i="5" s="1"/>
  <c r="H1792" i="5" s="1"/>
  <c r="H1793" i="5" s="1"/>
  <c r="H1794" i="5" s="1"/>
  <c r="H1795" i="5" s="1"/>
  <c r="H1796" i="5" s="1"/>
  <c r="H1797" i="5" s="1"/>
  <c r="H1798" i="5" s="1"/>
  <c r="H1799" i="5" s="1"/>
  <c r="H1800" i="5" s="1"/>
  <c r="H1801" i="5" s="1"/>
  <c r="H1802" i="5" s="1"/>
  <c r="H1803" i="5" s="1"/>
  <c r="H1804" i="5" s="1"/>
  <c r="H1805" i="5" s="1"/>
  <c r="H1806" i="5" s="1"/>
  <c r="H1807" i="5" s="1"/>
  <c r="H1808" i="5" s="1"/>
  <c r="H1809" i="5" s="1"/>
  <c r="H1810" i="5" s="1"/>
  <c r="H1811" i="5" s="1"/>
  <c r="H1812" i="5" s="1"/>
  <c r="H1813" i="5" s="1"/>
  <c r="H1814" i="5" s="1"/>
  <c r="H1815" i="5" s="1"/>
  <c r="H1816" i="5" s="1"/>
  <c r="H1817" i="5" s="1"/>
  <c r="H1818" i="5" s="1"/>
  <c r="H1819" i="5" s="1"/>
  <c r="H1820" i="5" s="1"/>
  <c r="H1821" i="5" s="1"/>
  <c r="H1822" i="5" s="1"/>
  <c r="H1823" i="5" s="1"/>
  <c r="H1824" i="5" s="1"/>
  <c r="H1825" i="5" s="1"/>
  <c r="H1826" i="5" s="1"/>
  <c r="H1827" i="5" s="1"/>
  <c r="H1828" i="5" s="1"/>
  <c r="H1829" i="5" s="1"/>
  <c r="H1830" i="5" s="1"/>
  <c r="H1831" i="5" s="1"/>
  <c r="H1832" i="5" s="1"/>
  <c r="H1833" i="5" s="1"/>
  <c r="H1834" i="5" s="1"/>
  <c r="H1835" i="5" s="1"/>
  <c r="H1836" i="5" s="1"/>
  <c r="H1837" i="5" s="1"/>
  <c r="H1838" i="5" s="1"/>
  <c r="H1839" i="5" s="1"/>
  <c r="H1840" i="5" s="1"/>
  <c r="H1841" i="5" s="1"/>
  <c r="H1842" i="5" s="1"/>
  <c r="H1843" i="5" s="1"/>
  <c r="H1844" i="5" s="1"/>
  <c r="H1845" i="5" s="1"/>
  <c r="H1846" i="5" s="1"/>
  <c r="H1847" i="5" s="1"/>
  <c r="H1848" i="5" s="1"/>
  <c r="H1849" i="5" s="1"/>
  <c r="H1850" i="5" s="1"/>
  <c r="H1851" i="5" s="1"/>
  <c r="H1852" i="5" s="1"/>
  <c r="H1853" i="5" s="1"/>
  <c r="H1854" i="5" s="1"/>
  <c r="H1855" i="5" s="1"/>
  <c r="H1856" i="5" s="1"/>
  <c r="H1857" i="5" s="1"/>
  <c r="H1858" i="5" s="1"/>
  <c r="H1859" i="5" s="1"/>
  <c r="H1860" i="5" s="1"/>
  <c r="H1861" i="5" s="1"/>
  <c r="H1862" i="5" s="1"/>
  <c r="H1863" i="5" s="1"/>
  <c r="H1864" i="5" s="1"/>
  <c r="H1865" i="5" s="1"/>
  <c r="H1866" i="5" s="1"/>
  <c r="H1867" i="5" s="1"/>
  <c r="H1868" i="5" s="1"/>
  <c r="H1869" i="5" s="1"/>
  <c r="H1870" i="5" s="1"/>
  <c r="H1871" i="5" s="1"/>
  <c r="H1872" i="5" s="1"/>
  <c r="H1873" i="5" s="1"/>
  <c r="H1874" i="5" s="1"/>
  <c r="H1875" i="5" s="1"/>
  <c r="H1876" i="5" s="1"/>
  <c r="H1877" i="5" s="1"/>
  <c r="H1878" i="5" s="1"/>
  <c r="H1879" i="5" s="1"/>
  <c r="H1880" i="5" s="1"/>
  <c r="H1881" i="5" s="1"/>
  <c r="H1882" i="5" s="1"/>
  <c r="H1883" i="5" s="1"/>
  <c r="H1884" i="5" s="1"/>
  <c r="H1885" i="5" s="1"/>
  <c r="H1886" i="5" s="1"/>
  <c r="H1887" i="5" s="1"/>
  <c r="H1888" i="5" s="1"/>
  <c r="H1889" i="5" s="1"/>
  <c r="H1890" i="5" s="1"/>
  <c r="H1891" i="5" s="1"/>
  <c r="H1892" i="5" s="1"/>
  <c r="H1893" i="5" s="1"/>
  <c r="H1894" i="5" s="1"/>
  <c r="H1895" i="5" s="1"/>
  <c r="H1896" i="5" s="1"/>
  <c r="H1897" i="5" s="1"/>
  <c r="H1898" i="5" s="1"/>
  <c r="H1899" i="5" s="1"/>
  <c r="H1900" i="5" s="1"/>
  <c r="H1901" i="5" s="1"/>
  <c r="H1902" i="5" s="1"/>
  <c r="H1903" i="5" s="1"/>
  <c r="H1904" i="5" s="1"/>
  <c r="H1905" i="5" s="1"/>
  <c r="H1906" i="5" s="1"/>
  <c r="H1907" i="5" s="1"/>
  <c r="H1908" i="5" s="1"/>
  <c r="H1909" i="5" s="1"/>
  <c r="H1910" i="5" s="1"/>
  <c r="H1911" i="5" s="1"/>
  <c r="H1912" i="5" s="1"/>
  <c r="H1913" i="5" s="1"/>
  <c r="H1914" i="5" s="1"/>
  <c r="H1915" i="5" s="1"/>
  <c r="H1916" i="5" s="1"/>
  <c r="H1917" i="5" s="1"/>
  <c r="H1918" i="5" s="1"/>
  <c r="H1919" i="5" s="1"/>
  <c r="H1920" i="5" s="1"/>
  <c r="H1921" i="5" s="1"/>
  <c r="H1922" i="5" s="1"/>
  <c r="H1923" i="5" s="1"/>
  <c r="H1924" i="5" s="1"/>
  <c r="H1925" i="5" s="1"/>
  <c r="H1926" i="5" s="1"/>
  <c r="H1927" i="5" s="1"/>
  <c r="H1928" i="5" s="1"/>
  <c r="H1929" i="5" s="1"/>
  <c r="H1930" i="5" s="1"/>
  <c r="H1931" i="5" s="1"/>
  <c r="H1932" i="5" s="1"/>
  <c r="H1933" i="5" s="1"/>
  <c r="H1934" i="5" s="1"/>
  <c r="H1935" i="5" s="1"/>
  <c r="H1936" i="5" s="1"/>
  <c r="H1937" i="5" s="1"/>
  <c r="H1938" i="5" s="1"/>
  <c r="H1939" i="5" s="1"/>
  <c r="H1940" i="5" s="1"/>
  <c r="H1941" i="5" s="1"/>
  <c r="H1942" i="5" s="1"/>
  <c r="H1943" i="5" s="1"/>
  <c r="H1944" i="5" s="1"/>
  <c r="H1945" i="5" s="1"/>
  <c r="H1946" i="5" s="1"/>
  <c r="H1947" i="5" s="1"/>
  <c r="H1948" i="5" s="1"/>
  <c r="H1949" i="5" s="1"/>
  <c r="H1950" i="5" s="1"/>
  <c r="H1951" i="5" s="1"/>
  <c r="H1952" i="5" s="1"/>
  <c r="H1953" i="5" s="1"/>
  <c r="H1954" i="5" s="1"/>
  <c r="H1955" i="5" s="1"/>
  <c r="H1956" i="5" s="1"/>
  <c r="H1957" i="5" s="1"/>
  <c r="H1958" i="5" s="1"/>
  <c r="H1959" i="5" s="1"/>
  <c r="H1960" i="5" s="1"/>
  <c r="H1961" i="5" s="1"/>
  <c r="H1962" i="5" s="1"/>
  <c r="H1963" i="5" s="1"/>
  <c r="H1964" i="5" s="1"/>
  <c r="H1965" i="5" s="1"/>
  <c r="H1966" i="5" s="1"/>
  <c r="H1967" i="5" s="1"/>
  <c r="H1968" i="5" s="1"/>
  <c r="H1969" i="5" s="1"/>
  <c r="H1970" i="5" s="1"/>
  <c r="H1971" i="5" s="1"/>
  <c r="H1972" i="5" s="1"/>
  <c r="H1973" i="5" s="1"/>
  <c r="H1974" i="5" s="1"/>
  <c r="H1975" i="5" s="1"/>
  <c r="H1976" i="5" s="1"/>
  <c r="H1977" i="5" s="1"/>
  <c r="H1978" i="5" s="1"/>
  <c r="H1979" i="5" s="1"/>
  <c r="H1980" i="5" s="1"/>
  <c r="H1981" i="5" s="1"/>
  <c r="H1982" i="5" s="1"/>
  <c r="H1983" i="5" s="1"/>
  <c r="H1984" i="5" s="1"/>
  <c r="H1985" i="5" s="1"/>
  <c r="H1986" i="5" s="1"/>
  <c r="H1987" i="5" s="1"/>
  <c r="H1988" i="5" s="1"/>
  <c r="H1989" i="5" s="1"/>
  <c r="H1990" i="5" s="1"/>
  <c r="H1991" i="5" s="1"/>
  <c r="H1992" i="5" s="1"/>
  <c r="H1993" i="5" s="1"/>
  <c r="H1994" i="5" s="1"/>
  <c r="H1995" i="5" s="1"/>
  <c r="H1996" i="5" s="1"/>
  <c r="H1997" i="5" s="1"/>
  <c r="H1998" i="5" s="1"/>
  <c r="H1999" i="5" s="1"/>
  <c r="H2000" i="5" s="1"/>
  <c r="H2001" i="5" s="1"/>
  <c r="H2002" i="5" s="1"/>
  <c r="H2003" i="5" s="1"/>
  <c r="H2004" i="5" s="1"/>
  <c r="H2005" i="5" s="1"/>
  <c r="H2006" i="5" s="1"/>
  <c r="H2007" i="5" s="1"/>
  <c r="H2008" i="5" s="1"/>
  <c r="H2009" i="5" s="1"/>
  <c r="H2010" i="5" s="1"/>
  <c r="H2011" i="5" s="1"/>
  <c r="H2012" i="5" s="1"/>
  <c r="H2013" i="5" s="1"/>
  <c r="H2014" i="5" s="1"/>
  <c r="H2015" i="5" s="1"/>
  <c r="H2016" i="5" s="1"/>
  <c r="H2017" i="5" s="1"/>
  <c r="H2018" i="5" s="1"/>
  <c r="H2019" i="5" s="1"/>
  <c r="H2020" i="5" s="1"/>
  <c r="H2021" i="5" s="1"/>
  <c r="H2022" i="5" s="1"/>
  <c r="H2023" i="5" s="1"/>
  <c r="H2024" i="5" s="1"/>
  <c r="H2025" i="5" s="1"/>
  <c r="H2026" i="5" s="1"/>
  <c r="H2027" i="5" s="1"/>
  <c r="H2028" i="5" s="1"/>
  <c r="H2029" i="5" s="1"/>
  <c r="H2030" i="5" s="1"/>
  <c r="H2031" i="5" s="1"/>
  <c r="H2032" i="5" s="1"/>
  <c r="H2033" i="5" s="1"/>
  <c r="H2034" i="5" s="1"/>
  <c r="H2035" i="5" s="1"/>
  <c r="H2036" i="5" s="1"/>
  <c r="H2037" i="5" s="1"/>
  <c r="H2038" i="5" s="1"/>
  <c r="H2039" i="5" s="1"/>
  <c r="H2040" i="5" s="1"/>
  <c r="H2041" i="5" s="1"/>
  <c r="H2042" i="5" s="1"/>
  <c r="H2043" i="5" s="1"/>
  <c r="H2044" i="5" s="1"/>
  <c r="H2045" i="5" s="1"/>
  <c r="H2046" i="5" s="1"/>
  <c r="H2047" i="5" s="1"/>
  <c r="H2048" i="5" s="1"/>
  <c r="H2049" i="5" s="1"/>
  <c r="H2050" i="5" s="1"/>
  <c r="H2051" i="5" s="1"/>
  <c r="H2052" i="5" s="1"/>
  <c r="H2053" i="5" s="1"/>
  <c r="H2054" i="5" s="1"/>
  <c r="H2055" i="5" s="1"/>
  <c r="H2056" i="5" s="1"/>
  <c r="H2057" i="5" s="1"/>
  <c r="H2058" i="5" s="1"/>
  <c r="H2059" i="5" s="1"/>
  <c r="H2060" i="5" s="1"/>
  <c r="H2061" i="5" s="1"/>
  <c r="H2062" i="5" s="1"/>
  <c r="H2063" i="5" s="1"/>
  <c r="H2064" i="5" s="1"/>
  <c r="H2065" i="5" s="1"/>
  <c r="H2066" i="5" s="1"/>
  <c r="H2067" i="5" s="1"/>
  <c r="H2068" i="5" s="1"/>
  <c r="H2069" i="5" s="1"/>
  <c r="H2070" i="5" s="1"/>
  <c r="H2071" i="5" s="1"/>
  <c r="H2072" i="5" s="1"/>
  <c r="H2073" i="5" s="1"/>
  <c r="H2074" i="5" s="1"/>
  <c r="H2075" i="5" s="1"/>
  <c r="H2076" i="5" s="1"/>
  <c r="H2077" i="5" s="1"/>
  <c r="H2078" i="5" s="1"/>
  <c r="H2079" i="5" s="1"/>
  <c r="H2080" i="5" s="1"/>
  <c r="H2081" i="5" s="1"/>
  <c r="H2082" i="5" s="1"/>
  <c r="H2083" i="5" s="1"/>
  <c r="H2084" i="5" s="1"/>
  <c r="H2085" i="5" s="1"/>
  <c r="H2086" i="5" s="1"/>
  <c r="H2087" i="5" s="1"/>
  <c r="H2088" i="5" s="1"/>
  <c r="H2089" i="5" s="1"/>
  <c r="H2090" i="5" s="1"/>
  <c r="H2091" i="5" s="1"/>
  <c r="H2092" i="5" s="1"/>
  <c r="H2093" i="5" s="1"/>
  <c r="H2094" i="5" s="1"/>
  <c r="H2095" i="5" s="1"/>
  <c r="H2096" i="5" s="1"/>
  <c r="H2097" i="5" s="1"/>
  <c r="H2098" i="5" s="1"/>
  <c r="H2099" i="5" s="1"/>
  <c r="H2100" i="5" s="1"/>
  <c r="H2101" i="5" s="1"/>
  <c r="H2102" i="5" s="1"/>
  <c r="H2103" i="5" s="1"/>
  <c r="H2104" i="5" s="1"/>
  <c r="H2105" i="5" s="1"/>
  <c r="H2106" i="5" s="1"/>
  <c r="H2107" i="5" s="1"/>
  <c r="H2108" i="5" s="1"/>
  <c r="H2109" i="5" s="1"/>
  <c r="H2110" i="5" s="1"/>
  <c r="H2111" i="5" s="1"/>
  <c r="H2112" i="5" s="1"/>
  <c r="H2113" i="5" s="1"/>
  <c r="H2114" i="5" s="1"/>
  <c r="H2115" i="5" s="1"/>
  <c r="H2116" i="5" s="1"/>
  <c r="H2117" i="5" s="1"/>
  <c r="H2118" i="5" s="1"/>
  <c r="H2119" i="5" s="1"/>
  <c r="H2120" i="5" s="1"/>
  <c r="H2121" i="5" s="1"/>
  <c r="H2122" i="5" s="1"/>
  <c r="H2123" i="5" s="1"/>
  <c r="H2124" i="5" s="1"/>
  <c r="H2125" i="5" s="1"/>
  <c r="H2126" i="5" s="1"/>
  <c r="H2127" i="5" s="1"/>
  <c r="H2128" i="5" s="1"/>
  <c r="H2129" i="5" s="1"/>
  <c r="H2130" i="5" s="1"/>
  <c r="H2131" i="5" s="1"/>
  <c r="H2132" i="5" s="1"/>
  <c r="H2133" i="5" s="1"/>
  <c r="H2134" i="5" s="1"/>
  <c r="H2135" i="5" s="1"/>
  <c r="H2136" i="5" s="1"/>
  <c r="H2137" i="5" s="1"/>
  <c r="H2138" i="5" s="1"/>
  <c r="H2139" i="5" s="1"/>
  <c r="H2140" i="5" s="1"/>
  <c r="H2141" i="5" s="1"/>
  <c r="H2142" i="5" s="1"/>
  <c r="H2143" i="5" s="1"/>
  <c r="H2144" i="5" s="1"/>
  <c r="H2145" i="5" s="1"/>
  <c r="H2146" i="5" s="1"/>
  <c r="H2147" i="5" s="1"/>
  <c r="H2148" i="5" s="1"/>
  <c r="H2149" i="5" s="1"/>
  <c r="H2150" i="5" s="1"/>
  <c r="H2151" i="5" s="1"/>
  <c r="H2152" i="5" s="1"/>
  <c r="H2153" i="5" s="1"/>
  <c r="H2154" i="5" s="1"/>
  <c r="H2155" i="5" s="1"/>
  <c r="H2156" i="5" s="1"/>
  <c r="H2157" i="5" s="1"/>
  <c r="H2158" i="5" s="1"/>
  <c r="H2159" i="5" s="1"/>
  <c r="H2160" i="5" s="1"/>
  <c r="H2161" i="5" s="1"/>
  <c r="H2162" i="5" s="1"/>
  <c r="H2163" i="5" s="1"/>
  <c r="H2164" i="5" s="1"/>
  <c r="H2165" i="5" s="1"/>
  <c r="H2166" i="5" s="1"/>
  <c r="H2167" i="5" s="1"/>
  <c r="H2168" i="5" s="1"/>
  <c r="H2169" i="5" s="1"/>
  <c r="H2170" i="5" s="1"/>
  <c r="H2171" i="5" s="1"/>
  <c r="H2172" i="5" s="1"/>
  <c r="H2173" i="5" s="1"/>
  <c r="H2174" i="5" s="1"/>
  <c r="H2175" i="5" s="1"/>
  <c r="H2176" i="5" s="1"/>
  <c r="H2177" i="5" s="1"/>
  <c r="H2178" i="5" s="1"/>
  <c r="H2179" i="5" s="1"/>
  <c r="H2180" i="5" s="1"/>
  <c r="H2181" i="5" s="1"/>
  <c r="H2182" i="5" s="1"/>
  <c r="H2183" i="5" s="1"/>
  <c r="H2184" i="5" s="1"/>
  <c r="H2185" i="5" s="1"/>
  <c r="H2186" i="5" s="1"/>
  <c r="H2187" i="5" s="1"/>
  <c r="H2188" i="5" s="1"/>
  <c r="H2189" i="5" s="1"/>
  <c r="H2190" i="5" s="1"/>
  <c r="H2191" i="5" s="1"/>
  <c r="H2192" i="5" s="1"/>
  <c r="H2193" i="5" s="1"/>
  <c r="H2194" i="5" s="1"/>
  <c r="H2195" i="5" s="1"/>
  <c r="H2196" i="5" s="1"/>
  <c r="H2197" i="5" s="1"/>
  <c r="H2198" i="5" s="1"/>
  <c r="H2199" i="5" s="1"/>
  <c r="H2200" i="5" s="1"/>
  <c r="H2201" i="5" s="1"/>
  <c r="H2202" i="5" s="1"/>
  <c r="H2203" i="5" s="1"/>
  <c r="H2204" i="5" s="1"/>
  <c r="H2205" i="5" s="1"/>
  <c r="H2206" i="5" s="1"/>
  <c r="H2207" i="5" s="1"/>
  <c r="H2208" i="5" s="1"/>
  <c r="H2209" i="5" s="1"/>
  <c r="H2210" i="5" s="1"/>
  <c r="H2211" i="5" s="1"/>
  <c r="H2212" i="5" s="1"/>
  <c r="H2213" i="5" s="1"/>
  <c r="P407" i="5"/>
  <c r="P408" i="5" s="1"/>
  <c r="P409" i="5" s="1"/>
  <c r="P410" i="5" s="1"/>
  <c r="P411" i="5" s="1"/>
  <c r="P412" i="5" s="1"/>
  <c r="P413" i="5" s="1"/>
  <c r="P414" i="5" s="1"/>
  <c r="P415" i="5" s="1"/>
  <c r="P416" i="5" s="1"/>
  <c r="P417" i="5" s="1"/>
  <c r="P418" i="5" s="1"/>
  <c r="P419" i="5" s="1"/>
  <c r="P420" i="5" s="1"/>
  <c r="P421" i="5" s="1"/>
  <c r="P422" i="5" s="1"/>
  <c r="P423" i="5" s="1"/>
  <c r="P424" i="5" s="1"/>
  <c r="P425" i="5" s="1"/>
  <c r="P426" i="5" s="1"/>
  <c r="P427" i="5" s="1"/>
  <c r="P428" i="5" s="1"/>
  <c r="P429" i="5" s="1"/>
  <c r="P430" i="5" s="1"/>
  <c r="P431" i="5" s="1"/>
  <c r="P432" i="5" s="1"/>
  <c r="P433" i="5" s="1"/>
  <c r="P434" i="5" s="1"/>
  <c r="P435" i="5" s="1"/>
  <c r="P436" i="5" s="1"/>
  <c r="P437" i="5" s="1"/>
  <c r="P438" i="5" s="1"/>
  <c r="P439" i="5" s="1"/>
  <c r="P440" i="5" s="1"/>
  <c r="P441" i="5" s="1"/>
  <c r="P442" i="5" s="1"/>
  <c r="P443" i="5" s="1"/>
  <c r="P444" i="5" s="1"/>
  <c r="P445" i="5" s="1"/>
  <c r="P446" i="5" s="1"/>
  <c r="P447" i="5" s="1"/>
  <c r="P448" i="5" s="1"/>
  <c r="P449" i="5" s="1"/>
  <c r="P450" i="5" s="1"/>
  <c r="P451" i="5" s="1"/>
  <c r="P452" i="5" s="1"/>
  <c r="P453" i="5" s="1"/>
  <c r="P454" i="5" s="1"/>
  <c r="P455" i="5" s="1"/>
  <c r="P456" i="5" s="1"/>
  <c r="P457" i="5" s="1"/>
  <c r="P458" i="5" s="1"/>
  <c r="P459" i="5" s="1"/>
  <c r="P460" i="5" s="1"/>
  <c r="P461" i="5" s="1"/>
  <c r="P462" i="5" s="1"/>
  <c r="P463" i="5" s="1"/>
  <c r="P464" i="5" s="1"/>
  <c r="P465" i="5" s="1"/>
  <c r="P466" i="5" s="1"/>
  <c r="P467" i="5" s="1"/>
  <c r="P468" i="5" s="1"/>
  <c r="P469" i="5" s="1"/>
  <c r="P470" i="5" s="1"/>
  <c r="P471" i="5" s="1"/>
  <c r="P472" i="5" s="1"/>
  <c r="P473" i="5" s="1"/>
  <c r="P474" i="5" s="1"/>
  <c r="P475" i="5" s="1"/>
  <c r="P476" i="5" s="1"/>
  <c r="P477" i="5" s="1"/>
  <c r="P478" i="5" s="1"/>
  <c r="P479" i="5" s="1"/>
  <c r="P480" i="5" s="1"/>
  <c r="P481" i="5" s="1"/>
  <c r="P482" i="5" s="1"/>
  <c r="P483" i="5" s="1"/>
  <c r="P484" i="5" s="1"/>
  <c r="P485" i="5" s="1"/>
  <c r="P486" i="5" s="1"/>
  <c r="P487" i="5" s="1"/>
  <c r="P488" i="5" s="1"/>
  <c r="P489" i="5" s="1"/>
  <c r="P490" i="5" s="1"/>
  <c r="P491" i="5" s="1"/>
  <c r="P492" i="5" s="1"/>
  <c r="P493" i="5" s="1"/>
  <c r="P494" i="5" s="1"/>
  <c r="P495" i="5" s="1"/>
  <c r="P496" i="5" s="1"/>
  <c r="P497" i="5" s="1"/>
  <c r="P498" i="5" s="1"/>
  <c r="P499" i="5" s="1"/>
  <c r="P500" i="5" s="1"/>
  <c r="P501" i="5" s="1"/>
  <c r="P502" i="5" s="1"/>
  <c r="P503" i="5" s="1"/>
  <c r="P504" i="5" s="1"/>
  <c r="P505" i="5" s="1"/>
  <c r="P506" i="5" s="1"/>
  <c r="P507" i="5" s="1"/>
  <c r="P508" i="5" s="1"/>
  <c r="P509" i="5" s="1"/>
  <c r="P510" i="5" s="1"/>
  <c r="P511" i="5" s="1"/>
  <c r="P512" i="5" s="1"/>
  <c r="P513" i="5" s="1"/>
  <c r="P514" i="5" s="1"/>
  <c r="P515" i="5" s="1"/>
  <c r="P516" i="5" s="1"/>
  <c r="P517" i="5" s="1"/>
  <c r="P518" i="5" s="1"/>
  <c r="P519" i="5" s="1"/>
  <c r="P520" i="5" s="1"/>
  <c r="P521" i="5" s="1"/>
  <c r="P522" i="5" s="1"/>
  <c r="P523" i="5" s="1"/>
  <c r="P524" i="5" s="1"/>
  <c r="P525" i="5" s="1"/>
  <c r="P526" i="5" s="1"/>
  <c r="P527" i="5" s="1"/>
  <c r="P528" i="5" s="1"/>
  <c r="P529" i="5" s="1"/>
  <c r="P530" i="5" s="1"/>
  <c r="P531" i="5" s="1"/>
  <c r="P532" i="5" s="1"/>
  <c r="P533" i="5" s="1"/>
  <c r="P534" i="5" s="1"/>
  <c r="P535" i="5" s="1"/>
  <c r="P536" i="5" s="1"/>
  <c r="P537" i="5" s="1"/>
  <c r="P538" i="5" s="1"/>
  <c r="P539" i="5" s="1"/>
  <c r="P540" i="5" s="1"/>
  <c r="P541" i="5" s="1"/>
  <c r="P542" i="5" s="1"/>
  <c r="P543" i="5" s="1"/>
  <c r="P544" i="5" s="1"/>
  <c r="P545" i="5" s="1"/>
  <c r="P546" i="5" s="1"/>
  <c r="P547" i="5" s="1"/>
  <c r="P548" i="5" s="1"/>
  <c r="P549" i="5" s="1"/>
  <c r="P550" i="5" s="1"/>
  <c r="P551" i="5" s="1"/>
  <c r="P552" i="5" s="1"/>
  <c r="P553" i="5" s="1"/>
  <c r="P554" i="5" s="1"/>
  <c r="P555" i="5" s="1"/>
  <c r="P556" i="5" s="1"/>
  <c r="P557" i="5" s="1"/>
  <c r="P558" i="5" s="1"/>
  <c r="P559" i="5" s="1"/>
  <c r="P560" i="5" s="1"/>
  <c r="P561" i="5" s="1"/>
  <c r="P562" i="5" s="1"/>
  <c r="P563" i="5" s="1"/>
  <c r="P564" i="5" s="1"/>
  <c r="P565" i="5" s="1"/>
  <c r="P566" i="5" s="1"/>
  <c r="P567" i="5" s="1"/>
  <c r="P568" i="5" s="1"/>
  <c r="P569" i="5" s="1"/>
  <c r="P570" i="5" s="1"/>
  <c r="P571" i="5" s="1"/>
  <c r="P572" i="5" s="1"/>
  <c r="P573" i="5" s="1"/>
  <c r="P574" i="5" s="1"/>
  <c r="P575" i="5" s="1"/>
  <c r="P576" i="5" s="1"/>
  <c r="P577" i="5" s="1"/>
  <c r="P578" i="5" s="1"/>
  <c r="P579" i="5" s="1"/>
  <c r="P580" i="5" s="1"/>
  <c r="P581" i="5" s="1"/>
  <c r="P582" i="5" s="1"/>
  <c r="P583" i="5" s="1"/>
  <c r="P584" i="5" s="1"/>
  <c r="P585" i="5" s="1"/>
  <c r="P586" i="5" s="1"/>
  <c r="P587" i="5" s="1"/>
  <c r="P588" i="5" s="1"/>
  <c r="P589" i="5" s="1"/>
  <c r="P590" i="5" s="1"/>
  <c r="P591" i="5" s="1"/>
  <c r="P592" i="5" s="1"/>
  <c r="P593" i="5" s="1"/>
  <c r="P594" i="5" s="1"/>
  <c r="P595" i="5" s="1"/>
  <c r="P596" i="5" s="1"/>
  <c r="P597" i="5" s="1"/>
  <c r="P598" i="5" s="1"/>
  <c r="P599" i="5" s="1"/>
  <c r="P600" i="5" s="1"/>
  <c r="P601" i="5" s="1"/>
  <c r="P602" i="5" s="1"/>
  <c r="P603" i="5" s="1"/>
  <c r="P604" i="5" s="1"/>
  <c r="P605" i="5" s="1"/>
  <c r="P606" i="5" s="1"/>
  <c r="P607" i="5" s="1"/>
  <c r="P608" i="5" s="1"/>
  <c r="P609" i="5" s="1"/>
  <c r="P610" i="5" s="1"/>
  <c r="P611" i="5" s="1"/>
  <c r="P612" i="5" s="1"/>
  <c r="P613" i="5" s="1"/>
  <c r="P614" i="5" s="1"/>
  <c r="P615" i="5" s="1"/>
  <c r="P616" i="5" s="1"/>
  <c r="P617" i="5" s="1"/>
  <c r="P618" i="5" s="1"/>
  <c r="P619" i="5" s="1"/>
  <c r="P620" i="5" s="1"/>
  <c r="P621" i="5" s="1"/>
  <c r="P622" i="5" s="1"/>
  <c r="P623" i="5" s="1"/>
  <c r="P624" i="5" s="1"/>
  <c r="P625" i="5" s="1"/>
  <c r="P626" i="5" s="1"/>
  <c r="P627" i="5" s="1"/>
  <c r="P628" i="5" s="1"/>
  <c r="P629" i="5" s="1"/>
  <c r="P630" i="5" s="1"/>
  <c r="P631" i="5" s="1"/>
  <c r="P632" i="5" s="1"/>
  <c r="P633" i="5" s="1"/>
  <c r="P634" i="5" s="1"/>
  <c r="P635" i="5" s="1"/>
  <c r="P636" i="5" s="1"/>
  <c r="P637" i="5" s="1"/>
  <c r="P638" i="5" s="1"/>
  <c r="P639" i="5" s="1"/>
  <c r="P640" i="5" s="1"/>
  <c r="P641" i="5" s="1"/>
  <c r="P642" i="5" s="1"/>
  <c r="P643" i="5" s="1"/>
  <c r="P644" i="5" s="1"/>
  <c r="P645" i="5" s="1"/>
  <c r="P646" i="5" s="1"/>
  <c r="P647" i="5" s="1"/>
  <c r="P648" i="5" s="1"/>
  <c r="P649" i="5" s="1"/>
  <c r="P650" i="5" s="1"/>
  <c r="P651" i="5" s="1"/>
  <c r="P652" i="5" s="1"/>
  <c r="P653" i="5" s="1"/>
  <c r="P654" i="5" s="1"/>
  <c r="P655" i="5" s="1"/>
  <c r="P656" i="5" s="1"/>
  <c r="P657" i="5" s="1"/>
  <c r="P658" i="5" s="1"/>
  <c r="P659" i="5" s="1"/>
  <c r="P660" i="5" s="1"/>
  <c r="P661" i="5" s="1"/>
  <c r="P662" i="5" s="1"/>
  <c r="P663" i="5" s="1"/>
  <c r="P664" i="5" s="1"/>
  <c r="P665" i="5" s="1"/>
  <c r="P666" i="5" s="1"/>
  <c r="P667" i="5" s="1"/>
  <c r="P668" i="5" s="1"/>
  <c r="P669" i="5" s="1"/>
  <c r="P670" i="5" s="1"/>
  <c r="P671" i="5" s="1"/>
  <c r="P672" i="5" s="1"/>
  <c r="P673" i="5" s="1"/>
  <c r="P674" i="5" s="1"/>
  <c r="P675" i="5" s="1"/>
  <c r="P676" i="5" s="1"/>
  <c r="P677" i="5" s="1"/>
  <c r="P678" i="5" s="1"/>
  <c r="P679" i="5" s="1"/>
  <c r="P680" i="5" s="1"/>
  <c r="P681" i="5" s="1"/>
  <c r="P682" i="5" s="1"/>
  <c r="P683" i="5" s="1"/>
  <c r="P684" i="5" s="1"/>
  <c r="P685" i="5" s="1"/>
  <c r="P686" i="5" s="1"/>
  <c r="P687" i="5" s="1"/>
  <c r="P688" i="5" s="1"/>
  <c r="P689" i="5" s="1"/>
  <c r="P690" i="5" s="1"/>
  <c r="P691" i="5" s="1"/>
  <c r="P692" i="5" s="1"/>
  <c r="P693" i="5" s="1"/>
  <c r="P694" i="5" s="1"/>
  <c r="P695" i="5" s="1"/>
  <c r="P696" i="5" s="1"/>
  <c r="P697" i="5" s="1"/>
  <c r="P698" i="5" s="1"/>
  <c r="P699" i="5" s="1"/>
  <c r="P700" i="5" s="1"/>
  <c r="P701" i="5" s="1"/>
  <c r="P702" i="5" s="1"/>
  <c r="P703" i="5" s="1"/>
  <c r="P704" i="5" s="1"/>
  <c r="P705" i="5" s="1"/>
  <c r="P706" i="5" s="1"/>
  <c r="P707" i="5" s="1"/>
  <c r="P708" i="5" s="1"/>
  <c r="P709" i="5" s="1"/>
  <c r="P710" i="5" s="1"/>
  <c r="P711" i="5" s="1"/>
  <c r="P712" i="5" s="1"/>
  <c r="P713" i="5" s="1"/>
  <c r="P714" i="5" s="1"/>
  <c r="P715" i="5" s="1"/>
  <c r="P716" i="5" s="1"/>
  <c r="P717" i="5" s="1"/>
  <c r="P718" i="5" s="1"/>
  <c r="P719" i="5" s="1"/>
  <c r="P720" i="5" s="1"/>
  <c r="P721" i="5" s="1"/>
  <c r="P722" i="5" s="1"/>
  <c r="P723" i="5" s="1"/>
  <c r="P724" i="5" s="1"/>
  <c r="P725" i="5" s="1"/>
  <c r="P726" i="5" s="1"/>
  <c r="P727" i="5" s="1"/>
  <c r="P728" i="5" s="1"/>
  <c r="P729" i="5" s="1"/>
  <c r="P730" i="5" s="1"/>
  <c r="P731" i="5" s="1"/>
  <c r="P732" i="5" s="1"/>
  <c r="P733" i="5" s="1"/>
  <c r="P734" i="5" s="1"/>
  <c r="P735" i="5" s="1"/>
  <c r="P736" i="5" s="1"/>
  <c r="P737" i="5" s="1"/>
  <c r="P738" i="5" s="1"/>
  <c r="P739" i="5" s="1"/>
  <c r="P740" i="5" s="1"/>
  <c r="P741" i="5" s="1"/>
  <c r="P742" i="5" s="1"/>
  <c r="P743" i="5" s="1"/>
  <c r="P744" i="5" s="1"/>
  <c r="P745" i="5" s="1"/>
  <c r="P746" i="5" s="1"/>
  <c r="P747" i="5" s="1"/>
  <c r="P748" i="5" s="1"/>
  <c r="P749" i="5" s="1"/>
  <c r="P750" i="5" s="1"/>
  <c r="P751" i="5" s="1"/>
  <c r="P752" i="5" s="1"/>
  <c r="P753" i="5" s="1"/>
  <c r="P754" i="5" s="1"/>
  <c r="P755" i="5" s="1"/>
  <c r="P756" i="5" s="1"/>
  <c r="P757" i="5" s="1"/>
  <c r="P758" i="5" s="1"/>
  <c r="P759" i="5" s="1"/>
  <c r="P760" i="5" s="1"/>
  <c r="P761" i="5" s="1"/>
  <c r="P762" i="5" s="1"/>
  <c r="P763" i="5" s="1"/>
  <c r="P764" i="5" s="1"/>
  <c r="P765" i="5" s="1"/>
  <c r="P766" i="5" s="1"/>
  <c r="P767" i="5" s="1"/>
  <c r="P768" i="5" s="1"/>
  <c r="P769" i="5" s="1"/>
  <c r="P770" i="5" s="1"/>
  <c r="P771" i="5" s="1"/>
  <c r="P772" i="5" s="1"/>
  <c r="P773" i="5" s="1"/>
  <c r="P774" i="5" s="1"/>
  <c r="P775" i="5" s="1"/>
  <c r="P776" i="5" s="1"/>
  <c r="P777" i="5" s="1"/>
  <c r="P778" i="5" s="1"/>
  <c r="P779" i="5" s="1"/>
  <c r="P780" i="5" s="1"/>
  <c r="P781" i="5" s="1"/>
  <c r="P782" i="5" s="1"/>
  <c r="P783" i="5" s="1"/>
  <c r="P784" i="5" s="1"/>
  <c r="P785" i="5" s="1"/>
  <c r="P786" i="5" s="1"/>
  <c r="P787" i="5" s="1"/>
  <c r="P788" i="5" s="1"/>
  <c r="P789" i="5" s="1"/>
  <c r="P790" i="5" s="1"/>
  <c r="P791" i="5" s="1"/>
  <c r="P792" i="5" s="1"/>
  <c r="P793" i="5" s="1"/>
  <c r="P794" i="5" s="1"/>
  <c r="P795" i="5" s="1"/>
  <c r="P796" i="5" s="1"/>
  <c r="P797" i="5" s="1"/>
  <c r="P798" i="5" s="1"/>
  <c r="P799" i="5" s="1"/>
  <c r="P800" i="5" s="1"/>
  <c r="P801" i="5" s="1"/>
  <c r="P802" i="5" s="1"/>
  <c r="P803" i="5" s="1"/>
  <c r="P804" i="5" s="1"/>
  <c r="P805" i="5" s="1"/>
  <c r="P806" i="5" s="1"/>
  <c r="P807" i="5" s="1"/>
  <c r="P808" i="5" s="1"/>
  <c r="P809" i="5" s="1"/>
  <c r="P810" i="5" s="1"/>
  <c r="P811" i="5" s="1"/>
  <c r="P812" i="5" s="1"/>
  <c r="P813" i="5" s="1"/>
  <c r="P814" i="5" s="1"/>
  <c r="P815" i="5" s="1"/>
  <c r="P816" i="5" s="1"/>
  <c r="P817" i="5" s="1"/>
  <c r="P818" i="5" s="1"/>
  <c r="P819" i="5" s="1"/>
  <c r="P820" i="5" s="1"/>
  <c r="P821" i="5" s="1"/>
  <c r="P822" i="5" s="1"/>
  <c r="P823" i="5" s="1"/>
  <c r="P824" i="5" s="1"/>
  <c r="P825" i="5" s="1"/>
  <c r="P826" i="5" s="1"/>
  <c r="P827" i="5" s="1"/>
  <c r="P828" i="5" s="1"/>
  <c r="P829" i="5" s="1"/>
  <c r="P830" i="5" s="1"/>
  <c r="P831" i="5" s="1"/>
  <c r="P832" i="5" s="1"/>
  <c r="P833" i="5" s="1"/>
  <c r="P834" i="5" s="1"/>
  <c r="P835" i="5" s="1"/>
  <c r="P836" i="5" s="1"/>
  <c r="P837" i="5" s="1"/>
  <c r="P838" i="5" s="1"/>
  <c r="P839" i="5" s="1"/>
  <c r="P840" i="5" s="1"/>
  <c r="P841" i="5" s="1"/>
  <c r="P842" i="5" s="1"/>
  <c r="P843" i="5" s="1"/>
  <c r="P844" i="5" s="1"/>
  <c r="P845" i="5" s="1"/>
  <c r="P846" i="5" s="1"/>
  <c r="P847" i="5" s="1"/>
  <c r="P848" i="5" s="1"/>
  <c r="P849" i="5" s="1"/>
  <c r="P850" i="5" s="1"/>
  <c r="P851" i="5" s="1"/>
  <c r="P852" i="5" s="1"/>
  <c r="P853" i="5" s="1"/>
  <c r="P854" i="5" s="1"/>
  <c r="P855" i="5" s="1"/>
  <c r="P856" i="5" s="1"/>
  <c r="P857" i="5" s="1"/>
  <c r="P858" i="5" s="1"/>
  <c r="P859" i="5" s="1"/>
  <c r="P860" i="5" s="1"/>
  <c r="P861" i="5" s="1"/>
  <c r="P862" i="5" s="1"/>
  <c r="P863" i="5" s="1"/>
  <c r="P864" i="5" s="1"/>
  <c r="P865" i="5" s="1"/>
  <c r="P866" i="5" s="1"/>
  <c r="P867" i="5" s="1"/>
  <c r="P868" i="5" s="1"/>
  <c r="P869" i="5" s="1"/>
  <c r="P870" i="5" s="1"/>
  <c r="P871" i="5" s="1"/>
  <c r="P872" i="5" s="1"/>
  <c r="P873" i="5" s="1"/>
  <c r="P874" i="5" s="1"/>
  <c r="P875" i="5" s="1"/>
  <c r="P876" i="5" s="1"/>
  <c r="P877" i="5" s="1"/>
  <c r="P878" i="5" s="1"/>
  <c r="P879" i="5" s="1"/>
  <c r="P880" i="5" s="1"/>
  <c r="P881" i="5" s="1"/>
  <c r="P882" i="5" s="1"/>
  <c r="P883" i="5" s="1"/>
  <c r="P884" i="5" s="1"/>
  <c r="P885" i="5" s="1"/>
  <c r="P886" i="5" s="1"/>
  <c r="P887" i="5" s="1"/>
  <c r="P888" i="5" s="1"/>
  <c r="P889" i="5" s="1"/>
  <c r="P890" i="5" s="1"/>
  <c r="P891" i="5" s="1"/>
  <c r="P892" i="5" s="1"/>
  <c r="P893" i="5" s="1"/>
  <c r="P894" i="5" s="1"/>
  <c r="P895" i="5" s="1"/>
  <c r="P896" i="5" s="1"/>
  <c r="P897" i="5" s="1"/>
  <c r="P898" i="5" s="1"/>
  <c r="P899" i="5" s="1"/>
  <c r="P900" i="5" s="1"/>
  <c r="P901" i="5" s="1"/>
  <c r="P902" i="5" s="1"/>
  <c r="P903" i="5" s="1"/>
  <c r="P904" i="5" s="1"/>
  <c r="P905" i="5" s="1"/>
  <c r="P906" i="5" s="1"/>
  <c r="P907" i="5" s="1"/>
  <c r="P908" i="5" s="1"/>
  <c r="P909" i="5" s="1"/>
  <c r="P910" i="5" s="1"/>
  <c r="P911" i="5" s="1"/>
  <c r="P912" i="5" s="1"/>
  <c r="P913" i="5" s="1"/>
  <c r="P914" i="5" s="1"/>
  <c r="P915" i="5" s="1"/>
  <c r="P916" i="5" s="1"/>
  <c r="P917" i="5" s="1"/>
  <c r="P918" i="5" s="1"/>
  <c r="P919" i="5" s="1"/>
  <c r="P920" i="5" s="1"/>
  <c r="P921" i="5" s="1"/>
  <c r="P922" i="5" s="1"/>
  <c r="P923" i="5" s="1"/>
  <c r="P924" i="5" s="1"/>
  <c r="P925" i="5" s="1"/>
  <c r="P926" i="5" s="1"/>
  <c r="P927" i="5" s="1"/>
  <c r="P928" i="5" s="1"/>
  <c r="P929" i="5" s="1"/>
  <c r="P930" i="5" s="1"/>
  <c r="P931" i="5" s="1"/>
  <c r="P932" i="5" s="1"/>
  <c r="P933" i="5" s="1"/>
  <c r="P934" i="5" s="1"/>
  <c r="P935" i="5" s="1"/>
  <c r="P936" i="5" s="1"/>
  <c r="P937" i="5" s="1"/>
  <c r="P938" i="5" s="1"/>
  <c r="P939" i="5" s="1"/>
  <c r="P940" i="5" s="1"/>
  <c r="P941" i="5" s="1"/>
  <c r="P942" i="5" s="1"/>
  <c r="P943" i="5" s="1"/>
  <c r="P944" i="5" s="1"/>
  <c r="P945" i="5" s="1"/>
  <c r="P946" i="5" s="1"/>
  <c r="P947" i="5" s="1"/>
  <c r="P948" i="5" s="1"/>
  <c r="P949" i="5" s="1"/>
  <c r="P950" i="5" s="1"/>
  <c r="P951" i="5" s="1"/>
  <c r="P952" i="5" s="1"/>
  <c r="P953" i="5" s="1"/>
  <c r="P954" i="5" s="1"/>
  <c r="P955" i="5" s="1"/>
  <c r="P956" i="5" s="1"/>
  <c r="P957" i="5" s="1"/>
  <c r="P958" i="5" s="1"/>
  <c r="P959" i="5" s="1"/>
  <c r="P960" i="5" s="1"/>
  <c r="P961" i="5" s="1"/>
  <c r="P962" i="5" s="1"/>
  <c r="P963" i="5" s="1"/>
  <c r="P964" i="5" s="1"/>
  <c r="P965" i="5" s="1"/>
  <c r="P966" i="5" s="1"/>
  <c r="P967" i="5" s="1"/>
  <c r="P968" i="5" s="1"/>
  <c r="P969" i="5" s="1"/>
  <c r="P970" i="5" s="1"/>
  <c r="P971" i="5" s="1"/>
  <c r="P972" i="5" s="1"/>
  <c r="P973" i="5" s="1"/>
  <c r="P974" i="5" s="1"/>
  <c r="P975" i="5" s="1"/>
  <c r="P976" i="5" s="1"/>
  <c r="P977" i="5" s="1"/>
  <c r="P978" i="5" s="1"/>
  <c r="P979" i="5" s="1"/>
  <c r="P980" i="5" s="1"/>
  <c r="P981" i="5" s="1"/>
  <c r="P982" i="5" s="1"/>
  <c r="P983" i="5" s="1"/>
  <c r="P984" i="5" s="1"/>
  <c r="P985" i="5" s="1"/>
  <c r="P986" i="5" s="1"/>
  <c r="P987" i="5" s="1"/>
  <c r="P988" i="5" s="1"/>
  <c r="P989" i="5" s="1"/>
  <c r="P990" i="5" s="1"/>
  <c r="P991" i="5" s="1"/>
  <c r="P992" i="5" s="1"/>
  <c r="P993" i="5" s="1"/>
  <c r="P994" i="5" s="1"/>
  <c r="P995" i="5" s="1"/>
  <c r="P996" i="5" s="1"/>
  <c r="P997" i="5" s="1"/>
  <c r="P998" i="5" s="1"/>
  <c r="P999" i="5" s="1"/>
  <c r="P1000" i="5" s="1"/>
  <c r="P1001" i="5" s="1"/>
  <c r="P1002" i="5" s="1"/>
  <c r="P1003" i="5" s="1"/>
  <c r="P1004" i="5" s="1"/>
  <c r="P1005" i="5" s="1"/>
  <c r="P1006" i="5" s="1"/>
  <c r="P1007" i="5" s="1"/>
  <c r="P1008" i="5" s="1"/>
  <c r="P1009" i="5" s="1"/>
  <c r="P1010" i="5" s="1"/>
  <c r="P1011" i="5" s="1"/>
  <c r="P1012" i="5" s="1"/>
  <c r="P1013" i="5" s="1"/>
  <c r="P1014" i="5" s="1"/>
  <c r="P1015" i="5" s="1"/>
  <c r="P1016" i="5" s="1"/>
  <c r="P1017" i="5" s="1"/>
  <c r="P1018" i="5" s="1"/>
  <c r="P1019" i="5" s="1"/>
  <c r="P1020" i="5" s="1"/>
  <c r="P1021" i="5" s="1"/>
  <c r="P1022" i="5" s="1"/>
  <c r="P1023" i="5" s="1"/>
  <c r="P1024" i="5" s="1"/>
  <c r="P1025" i="5" s="1"/>
  <c r="P1026" i="5" s="1"/>
  <c r="P1027" i="5" s="1"/>
  <c r="P1028" i="5" s="1"/>
  <c r="P1029" i="5" s="1"/>
  <c r="P1030" i="5" s="1"/>
  <c r="P1031" i="5" s="1"/>
  <c r="P1032" i="5" s="1"/>
  <c r="P1033" i="5" s="1"/>
  <c r="P1034" i="5" s="1"/>
  <c r="P1035" i="5" s="1"/>
  <c r="P1036" i="5" s="1"/>
  <c r="P1037" i="5" s="1"/>
  <c r="P1038" i="5" s="1"/>
  <c r="P1039" i="5" s="1"/>
  <c r="P1040" i="5" s="1"/>
  <c r="P1041" i="5" s="1"/>
  <c r="P1042" i="5" s="1"/>
  <c r="P1043" i="5" s="1"/>
  <c r="P1044" i="5" s="1"/>
  <c r="P1045" i="5" s="1"/>
  <c r="P1046" i="5" s="1"/>
  <c r="P1047" i="5" s="1"/>
  <c r="P1048" i="5" s="1"/>
  <c r="P1049" i="5" s="1"/>
  <c r="P1050" i="5" s="1"/>
  <c r="P1051" i="5" s="1"/>
  <c r="P1052" i="5" s="1"/>
  <c r="P1053" i="5" s="1"/>
  <c r="P1054" i="5" s="1"/>
  <c r="P1055" i="5" s="1"/>
  <c r="P1056" i="5" s="1"/>
  <c r="P1057" i="5" s="1"/>
  <c r="P1058" i="5" s="1"/>
  <c r="P1059" i="5" s="1"/>
  <c r="P1060" i="5" s="1"/>
  <c r="P1061" i="5" s="1"/>
  <c r="P1062" i="5" s="1"/>
  <c r="P1063" i="5" s="1"/>
  <c r="P1064" i="5" s="1"/>
  <c r="P1065" i="5" s="1"/>
  <c r="P1066" i="5" s="1"/>
  <c r="P1067" i="5" s="1"/>
  <c r="P1068" i="5" s="1"/>
  <c r="P1069" i="5" s="1"/>
  <c r="P1070" i="5" s="1"/>
  <c r="P1071" i="5" s="1"/>
  <c r="P1072" i="5" s="1"/>
  <c r="P1073" i="5" s="1"/>
  <c r="P1074" i="5" s="1"/>
  <c r="P1075" i="5" s="1"/>
  <c r="P1076" i="5" s="1"/>
  <c r="P1077" i="5" s="1"/>
  <c r="P1078" i="5" s="1"/>
  <c r="P1079" i="5" s="1"/>
  <c r="P1080" i="5" s="1"/>
  <c r="P1081" i="5" s="1"/>
  <c r="P1082" i="5" s="1"/>
  <c r="P1083" i="5" s="1"/>
  <c r="P1084" i="5" s="1"/>
  <c r="P1085" i="5" s="1"/>
  <c r="P1086" i="5" s="1"/>
  <c r="P1087" i="5" s="1"/>
  <c r="P1088" i="5" s="1"/>
  <c r="P1089" i="5" s="1"/>
  <c r="P1090" i="5" s="1"/>
  <c r="P1091" i="5" s="1"/>
  <c r="P1092" i="5" s="1"/>
  <c r="P1093" i="5" s="1"/>
  <c r="P1094" i="5" s="1"/>
  <c r="P1095" i="5" s="1"/>
  <c r="P1096" i="5" s="1"/>
  <c r="P1097" i="5" s="1"/>
  <c r="P1098" i="5" s="1"/>
  <c r="P1099" i="5" s="1"/>
  <c r="P1100" i="5" s="1"/>
  <c r="P1101" i="5" s="1"/>
  <c r="P1102" i="5" s="1"/>
  <c r="P1103" i="5" s="1"/>
  <c r="P1104" i="5" s="1"/>
  <c r="P1105" i="5" s="1"/>
  <c r="P1106" i="5" s="1"/>
  <c r="P1107" i="5" s="1"/>
  <c r="P1108" i="5" s="1"/>
  <c r="P1109" i="5" s="1"/>
  <c r="P1110" i="5" s="1"/>
  <c r="P1111" i="5" s="1"/>
  <c r="P1112" i="5" s="1"/>
  <c r="P1113" i="5" s="1"/>
  <c r="P1114" i="5" s="1"/>
  <c r="P1115" i="5" s="1"/>
  <c r="P1116" i="5" s="1"/>
  <c r="P1117" i="5" s="1"/>
  <c r="P1118" i="5" s="1"/>
  <c r="P1119" i="5" s="1"/>
  <c r="P1120" i="5" s="1"/>
  <c r="P1121" i="5" s="1"/>
  <c r="P1122" i="5" s="1"/>
  <c r="P1123" i="5" s="1"/>
  <c r="P1124" i="5" s="1"/>
  <c r="P1125" i="5" s="1"/>
  <c r="P1126" i="5" s="1"/>
  <c r="P1127" i="5" s="1"/>
  <c r="P1128" i="5" s="1"/>
  <c r="P1129" i="5" s="1"/>
  <c r="P1130" i="5" s="1"/>
  <c r="P1131" i="5" s="1"/>
  <c r="P1132" i="5" s="1"/>
  <c r="P1133" i="5" s="1"/>
  <c r="P1134" i="5" s="1"/>
  <c r="P1135" i="5" s="1"/>
  <c r="P1136" i="5" s="1"/>
  <c r="P1137" i="5" s="1"/>
  <c r="P1138" i="5" s="1"/>
  <c r="P1139" i="5" s="1"/>
  <c r="P1140" i="5" s="1"/>
  <c r="P1141" i="5" s="1"/>
  <c r="P1142" i="5" s="1"/>
  <c r="P1143" i="5" s="1"/>
  <c r="P1144" i="5" s="1"/>
  <c r="P1145" i="5" s="1"/>
  <c r="P1146" i="5" s="1"/>
  <c r="P1147" i="5" s="1"/>
  <c r="P1148" i="5" s="1"/>
  <c r="P1149" i="5" s="1"/>
  <c r="P1150" i="5" s="1"/>
  <c r="P1151" i="5" s="1"/>
  <c r="P1152" i="5" s="1"/>
  <c r="P1153" i="5" s="1"/>
  <c r="P1154" i="5" s="1"/>
  <c r="P1155" i="5" s="1"/>
  <c r="P1156" i="5" s="1"/>
  <c r="P1157" i="5" s="1"/>
  <c r="P1158" i="5" s="1"/>
  <c r="P1159" i="5" s="1"/>
  <c r="P1160" i="5" s="1"/>
  <c r="P1161" i="5" s="1"/>
  <c r="P1162" i="5" s="1"/>
  <c r="P1163" i="5" s="1"/>
  <c r="P1164" i="5" s="1"/>
  <c r="P1165" i="5" s="1"/>
  <c r="P1166" i="5" s="1"/>
  <c r="P1167" i="5" s="1"/>
  <c r="P1168" i="5" s="1"/>
  <c r="P1169" i="5" s="1"/>
  <c r="P1170" i="5" s="1"/>
  <c r="P1171" i="5" s="1"/>
  <c r="P1172" i="5" s="1"/>
  <c r="P1173" i="5" s="1"/>
  <c r="P1174" i="5" s="1"/>
  <c r="P1175" i="5" s="1"/>
  <c r="P1176" i="5" s="1"/>
  <c r="P1177" i="5" s="1"/>
  <c r="P1178" i="5" s="1"/>
  <c r="P1179" i="5" s="1"/>
  <c r="P1180" i="5" s="1"/>
  <c r="P1181" i="5" s="1"/>
  <c r="P1182" i="5" s="1"/>
  <c r="P1183" i="5" s="1"/>
  <c r="P1184" i="5" s="1"/>
  <c r="P1185" i="5" s="1"/>
  <c r="P1186" i="5" s="1"/>
  <c r="P1187" i="5" s="1"/>
  <c r="P1188" i="5" s="1"/>
  <c r="P1189" i="5" s="1"/>
  <c r="P1190" i="5" s="1"/>
  <c r="P1191" i="5" s="1"/>
  <c r="P1192" i="5" s="1"/>
  <c r="P1193" i="5" s="1"/>
  <c r="P1194" i="5" s="1"/>
  <c r="P1195" i="5" s="1"/>
  <c r="P1196" i="5" s="1"/>
  <c r="P1197" i="5" s="1"/>
  <c r="P1198" i="5" s="1"/>
  <c r="P1199" i="5" s="1"/>
  <c r="P1200" i="5" s="1"/>
  <c r="P1201" i="5" s="1"/>
  <c r="P1202" i="5" s="1"/>
  <c r="P1203" i="5" s="1"/>
  <c r="P1204" i="5" s="1"/>
  <c r="P1205" i="5" s="1"/>
  <c r="P1206" i="5" s="1"/>
  <c r="P1207" i="5" s="1"/>
  <c r="P1208" i="5" s="1"/>
  <c r="P1209" i="5" s="1"/>
  <c r="P1210" i="5" s="1"/>
  <c r="P1211" i="5" s="1"/>
  <c r="P1212" i="5" s="1"/>
  <c r="P1213" i="5" s="1"/>
  <c r="P1214" i="5" s="1"/>
  <c r="P1215" i="5" s="1"/>
  <c r="P1216" i="5" s="1"/>
  <c r="P1217" i="5" s="1"/>
  <c r="P1218" i="5" s="1"/>
  <c r="P1219" i="5" s="1"/>
  <c r="P1220" i="5" s="1"/>
  <c r="P1221" i="5" s="1"/>
  <c r="P1222" i="5" s="1"/>
  <c r="P1223" i="5" s="1"/>
  <c r="P1224" i="5" s="1"/>
  <c r="P1225" i="5" s="1"/>
  <c r="P1226" i="5" s="1"/>
  <c r="P1227" i="5" s="1"/>
  <c r="P1228" i="5" s="1"/>
  <c r="P1229" i="5" s="1"/>
  <c r="P1230" i="5" s="1"/>
  <c r="P1231" i="5" s="1"/>
  <c r="P1232" i="5" s="1"/>
  <c r="P1233" i="5" s="1"/>
  <c r="P1234" i="5" s="1"/>
  <c r="P1235" i="5" s="1"/>
  <c r="P1236" i="5" s="1"/>
  <c r="P1237" i="5" s="1"/>
  <c r="P1238" i="5" s="1"/>
  <c r="P1239" i="5" s="1"/>
  <c r="P1240" i="5" s="1"/>
  <c r="P1241" i="5" s="1"/>
  <c r="P1242" i="5" s="1"/>
  <c r="P1243" i="5" s="1"/>
  <c r="P1244" i="5" s="1"/>
  <c r="P1245" i="5" s="1"/>
  <c r="P1246" i="5" s="1"/>
  <c r="P1247" i="5" s="1"/>
  <c r="P1248" i="5" s="1"/>
  <c r="P1249" i="5" s="1"/>
  <c r="P1250" i="5" s="1"/>
  <c r="P1251" i="5" s="1"/>
  <c r="P1252" i="5" s="1"/>
  <c r="P1253" i="5" s="1"/>
  <c r="P1254" i="5" s="1"/>
  <c r="P1255" i="5" s="1"/>
  <c r="P1256" i="5" s="1"/>
  <c r="P1257" i="5" s="1"/>
  <c r="P1258" i="5" s="1"/>
  <c r="P1259" i="5" s="1"/>
  <c r="P1260" i="5" s="1"/>
  <c r="P1261" i="5" s="1"/>
  <c r="P1262" i="5" s="1"/>
  <c r="P1263" i="5" s="1"/>
  <c r="P1264" i="5" s="1"/>
  <c r="P1265" i="5" s="1"/>
  <c r="P1266" i="5" s="1"/>
  <c r="P1267" i="5" s="1"/>
  <c r="P1268" i="5" s="1"/>
  <c r="P1269" i="5" s="1"/>
  <c r="P1270" i="5" s="1"/>
  <c r="P1271" i="5" s="1"/>
  <c r="P1272" i="5" s="1"/>
  <c r="P1273" i="5" s="1"/>
  <c r="P1274" i="5" s="1"/>
  <c r="P1275" i="5" s="1"/>
  <c r="P1276" i="5" s="1"/>
  <c r="P1277" i="5" s="1"/>
  <c r="P1278" i="5" s="1"/>
  <c r="P1279" i="5" s="1"/>
  <c r="P1280" i="5" s="1"/>
  <c r="P1281" i="5" s="1"/>
  <c r="P1282" i="5" s="1"/>
  <c r="P1283" i="5" s="1"/>
  <c r="P1284" i="5" s="1"/>
  <c r="P1285" i="5" s="1"/>
  <c r="P1286" i="5" s="1"/>
  <c r="P1287" i="5" s="1"/>
  <c r="P1288" i="5" s="1"/>
  <c r="P1289" i="5" s="1"/>
  <c r="P1290" i="5" s="1"/>
  <c r="P1291" i="5" s="1"/>
  <c r="P1292" i="5" s="1"/>
  <c r="P1293" i="5" s="1"/>
  <c r="P1294" i="5" s="1"/>
  <c r="P1295" i="5" s="1"/>
  <c r="P1296" i="5" s="1"/>
  <c r="P1297" i="5" s="1"/>
  <c r="P1298" i="5" s="1"/>
  <c r="P1299" i="5" s="1"/>
  <c r="P1300" i="5" s="1"/>
  <c r="P1301" i="5" s="1"/>
  <c r="P1302" i="5" s="1"/>
  <c r="P1303" i="5" s="1"/>
  <c r="P1304" i="5" s="1"/>
  <c r="P1305" i="5" s="1"/>
  <c r="P1306" i="5" s="1"/>
  <c r="P1307" i="5" s="1"/>
  <c r="P1308" i="5" s="1"/>
  <c r="P1309" i="5" s="1"/>
  <c r="P1310" i="5" s="1"/>
  <c r="P1311" i="5" s="1"/>
  <c r="P1312" i="5" s="1"/>
  <c r="P1313" i="5" s="1"/>
  <c r="P1314" i="5" s="1"/>
  <c r="P1315" i="5" s="1"/>
  <c r="P1316" i="5" s="1"/>
  <c r="P1317" i="5" s="1"/>
  <c r="P1318" i="5" s="1"/>
  <c r="P1319" i="5" s="1"/>
  <c r="P1320" i="5" s="1"/>
  <c r="P1321" i="5" s="1"/>
  <c r="P1322" i="5" s="1"/>
  <c r="P1323" i="5" s="1"/>
  <c r="P1324" i="5" s="1"/>
  <c r="P1325" i="5" s="1"/>
  <c r="P1326" i="5" s="1"/>
  <c r="P1327" i="5" s="1"/>
  <c r="P1328" i="5" s="1"/>
  <c r="P1329" i="5" s="1"/>
  <c r="P1330" i="5" s="1"/>
  <c r="P1331" i="5" s="1"/>
  <c r="P1332" i="5" s="1"/>
  <c r="P1333" i="5" s="1"/>
  <c r="P1334" i="5" s="1"/>
  <c r="P1335" i="5" s="1"/>
  <c r="P1336" i="5" s="1"/>
  <c r="P1337" i="5" s="1"/>
  <c r="P1338" i="5" s="1"/>
  <c r="P1339" i="5" s="1"/>
  <c r="P1340" i="5" s="1"/>
  <c r="P1341" i="5" s="1"/>
  <c r="P1342" i="5" s="1"/>
  <c r="P1343" i="5" s="1"/>
  <c r="P1344" i="5" s="1"/>
  <c r="P1345" i="5" s="1"/>
  <c r="P1346" i="5" s="1"/>
  <c r="P1347" i="5" s="1"/>
  <c r="P1348" i="5" s="1"/>
  <c r="P1349" i="5" s="1"/>
  <c r="P1350" i="5" s="1"/>
  <c r="P1351" i="5" s="1"/>
  <c r="P1352" i="5" s="1"/>
  <c r="P1353" i="5" s="1"/>
  <c r="P1354" i="5" s="1"/>
  <c r="P1355" i="5" s="1"/>
  <c r="P1356" i="5" s="1"/>
  <c r="P1357" i="5" s="1"/>
  <c r="P1358" i="5" s="1"/>
  <c r="P1359" i="5" s="1"/>
  <c r="P1360" i="5" s="1"/>
  <c r="P1361" i="5" s="1"/>
  <c r="P1362" i="5" s="1"/>
  <c r="P1363" i="5" s="1"/>
  <c r="P1364" i="5" s="1"/>
  <c r="P1365" i="5" s="1"/>
  <c r="P1366" i="5" s="1"/>
  <c r="P1367" i="5" s="1"/>
  <c r="P1368" i="5" s="1"/>
  <c r="P1369" i="5" s="1"/>
  <c r="P1370" i="5" s="1"/>
  <c r="P1371" i="5" s="1"/>
  <c r="P1372" i="5" s="1"/>
  <c r="P1373" i="5" s="1"/>
  <c r="P1374" i="5" s="1"/>
  <c r="P1375" i="5" s="1"/>
  <c r="P1376" i="5" s="1"/>
  <c r="P1377" i="5" s="1"/>
  <c r="P1378" i="5" s="1"/>
  <c r="P1379" i="5" s="1"/>
  <c r="P1380" i="5" s="1"/>
  <c r="P1381" i="5" s="1"/>
  <c r="P1382" i="5" s="1"/>
  <c r="P1383" i="5" s="1"/>
  <c r="P1384" i="5" s="1"/>
  <c r="P1385" i="5" s="1"/>
  <c r="P1386" i="5" s="1"/>
  <c r="P1387" i="5" s="1"/>
  <c r="P1388" i="5" s="1"/>
  <c r="P1389" i="5" s="1"/>
  <c r="P1390" i="5" s="1"/>
  <c r="P1391" i="5" s="1"/>
  <c r="P1392" i="5" s="1"/>
  <c r="P1393" i="5" s="1"/>
  <c r="P1394" i="5" s="1"/>
  <c r="P1395" i="5" s="1"/>
  <c r="P1396" i="5" s="1"/>
  <c r="P1397" i="5" s="1"/>
  <c r="P1398" i="5" s="1"/>
  <c r="P1399" i="5" s="1"/>
  <c r="P1400" i="5" s="1"/>
  <c r="P1401" i="5" s="1"/>
  <c r="P1402" i="5" s="1"/>
  <c r="P1403" i="5" s="1"/>
  <c r="P1404" i="5" s="1"/>
  <c r="P1405" i="5" s="1"/>
  <c r="P1406" i="5" s="1"/>
  <c r="P1407" i="5" s="1"/>
  <c r="P1408" i="5" s="1"/>
  <c r="P1409" i="5" s="1"/>
  <c r="P1410" i="5" s="1"/>
  <c r="P1411" i="5" s="1"/>
  <c r="P1412" i="5" s="1"/>
  <c r="P1413" i="5" s="1"/>
  <c r="P1414" i="5" s="1"/>
  <c r="P1415" i="5" s="1"/>
  <c r="P1416" i="5" s="1"/>
  <c r="P1417" i="5" s="1"/>
  <c r="P1418" i="5" s="1"/>
  <c r="P1419" i="5" s="1"/>
  <c r="P1420" i="5" s="1"/>
  <c r="P1421" i="5" s="1"/>
  <c r="P1422" i="5" s="1"/>
  <c r="P1423" i="5" s="1"/>
  <c r="P1424" i="5" s="1"/>
  <c r="P1425" i="5" s="1"/>
  <c r="P1426" i="5" s="1"/>
  <c r="P1427" i="5" s="1"/>
  <c r="P1428" i="5" s="1"/>
  <c r="P1429" i="5" s="1"/>
  <c r="P1430" i="5" s="1"/>
  <c r="P1431" i="5" s="1"/>
  <c r="P1432" i="5" s="1"/>
  <c r="P1433" i="5" s="1"/>
  <c r="P1434" i="5" s="1"/>
  <c r="P1435" i="5" s="1"/>
  <c r="P1436" i="5" s="1"/>
  <c r="P1437" i="5" s="1"/>
  <c r="P1438" i="5" s="1"/>
  <c r="P1439" i="5" s="1"/>
  <c r="P1440" i="5" s="1"/>
  <c r="P1441" i="5" s="1"/>
  <c r="P1442" i="5" s="1"/>
  <c r="P1443" i="5" s="1"/>
  <c r="P1444" i="5" s="1"/>
  <c r="P1445" i="5" s="1"/>
  <c r="P1446" i="5" s="1"/>
  <c r="P1447" i="5" s="1"/>
  <c r="P1448" i="5" s="1"/>
  <c r="P1449" i="5" s="1"/>
  <c r="P1450" i="5" s="1"/>
  <c r="P1451" i="5" s="1"/>
  <c r="P1452" i="5" s="1"/>
  <c r="P1453" i="5" s="1"/>
  <c r="P1454" i="5" s="1"/>
  <c r="P1455" i="5" s="1"/>
  <c r="P1456" i="5" s="1"/>
  <c r="P1457" i="5" s="1"/>
  <c r="P1458" i="5" s="1"/>
  <c r="P1459" i="5" s="1"/>
  <c r="P1460" i="5" s="1"/>
  <c r="P1461" i="5" s="1"/>
  <c r="P1462" i="5" s="1"/>
  <c r="P1463" i="5" s="1"/>
  <c r="P1464" i="5" s="1"/>
  <c r="P1465" i="5" s="1"/>
  <c r="P1466" i="5" s="1"/>
  <c r="P1467" i="5" s="1"/>
  <c r="P1468" i="5" s="1"/>
  <c r="P1469" i="5" s="1"/>
  <c r="P1470" i="5" s="1"/>
  <c r="P1471" i="5" s="1"/>
  <c r="P1472" i="5" s="1"/>
  <c r="P1473" i="5" s="1"/>
  <c r="P1474" i="5" s="1"/>
  <c r="P1475" i="5" s="1"/>
  <c r="P1476" i="5" s="1"/>
  <c r="P1477" i="5" s="1"/>
  <c r="P1478" i="5" s="1"/>
  <c r="P1479" i="5" s="1"/>
  <c r="P1480" i="5" s="1"/>
  <c r="P1481" i="5" s="1"/>
  <c r="P1482" i="5" s="1"/>
  <c r="P1483" i="5" s="1"/>
  <c r="P1484" i="5" s="1"/>
  <c r="P1485" i="5" s="1"/>
  <c r="P1486" i="5" s="1"/>
  <c r="P1487" i="5" s="1"/>
  <c r="P1488" i="5" s="1"/>
  <c r="P1489" i="5" s="1"/>
  <c r="P1490" i="5" s="1"/>
  <c r="P1491" i="5" s="1"/>
  <c r="P1492" i="5" s="1"/>
  <c r="P1493" i="5" s="1"/>
  <c r="P1494" i="5" s="1"/>
  <c r="P1495" i="5" s="1"/>
  <c r="P1496" i="5" s="1"/>
  <c r="P1497" i="5" s="1"/>
  <c r="P1498" i="5" s="1"/>
  <c r="P1499" i="5" s="1"/>
  <c r="P1500" i="5" s="1"/>
  <c r="P1501" i="5" s="1"/>
  <c r="P1502" i="5" s="1"/>
  <c r="P1503" i="5" s="1"/>
  <c r="P1504" i="5" s="1"/>
  <c r="P1505" i="5" s="1"/>
  <c r="P1506" i="5" s="1"/>
  <c r="P1507" i="5" s="1"/>
  <c r="P1508" i="5" s="1"/>
  <c r="P1509" i="5" s="1"/>
  <c r="P1510" i="5" s="1"/>
  <c r="P1511" i="5" s="1"/>
  <c r="P1512" i="5" s="1"/>
  <c r="P1513" i="5" s="1"/>
  <c r="P1514" i="5" s="1"/>
  <c r="P1515" i="5" s="1"/>
  <c r="P1516" i="5" s="1"/>
  <c r="P1517" i="5" s="1"/>
  <c r="P1518" i="5" s="1"/>
  <c r="P1519" i="5" s="1"/>
  <c r="P1520" i="5" s="1"/>
  <c r="P1521" i="5" s="1"/>
  <c r="P1522" i="5" s="1"/>
  <c r="P1523" i="5" s="1"/>
  <c r="P1524" i="5" s="1"/>
  <c r="P1525" i="5" s="1"/>
  <c r="P1526" i="5" s="1"/>
  <c r="P1527" i="5" s="1"/>
  <c r="P1528" i="5" s="1"/>
  <c r="P1529" i="5" s="1"/>
  <c r="P1530" i="5" s="1"/>
  <c r="P1531" i="5" s="1"/>
  <c r="P1532" i="5" s="1"/>
  <c r="P1533" i="5" s="1"/>
  <c r="P1534" i="5" s="1"/>
  <c r="P1535" i="5" s="1"/>
  <c r="P1536" i="5" s="1"/>
  <c r="P1537" i="5" s="1"/>
  <c r="P1538" i="5" s="1"/>
  <c r="P1539" i="5" s="1"/>
  <c r="P1540" i="5" s="1"/>
  <c r="P1541" i="5" s="1"/>
  <c r="P1542" i="5" s="1"/>
  <c r="P1543" i="5" s="1"/>
  <c r="P1544" i="5" s="1"/>
  <c r="P1545" i="5" s="1"/>
  <c r="P1546" i="5" s="1"/>
  <c r="P1547" i="5" s="1"/>
  <c r="P1548" i="5" s="1"/>
  <c r="P1549" i="5" s="1"/>
  <c r="P1550" i="5" s="1"/>
  <c r="P1551" i="5" s="1"/>
  <c r="P1552" i="5" s="1"/>
  <c r="P1553" i="5" s="1"/>
  <c r="P1554" i="5" s="1"/>
  <c r="P1555" i="5" s="1"/>
  <c r="P1556" i="5" s="1"/>
  <c r="P1557" i="5" s="1"/>
  <c r="P1558" i="5" s="1"/>
  <c r="P1559" i="5" s="1"/>
  <c r="P1560" i="5" s="1"/>
  <c r="P1561" i="5" s="1"/>
  <c r="P1562" i="5" s="1"/>
  <c r="P1563" i="5" s="1"/>
  <c r="P1564" i="5" s="1"/>
  <c r="P1565" i="5" s="1"/>
  <c r="P1566" i="5" s="1"/>
  <c r="P1567" i="5" s="1"/>
  <c r="P1568" i="5" s="1"/>
  <c r="P1569" i="5" s="1"/>
  <c r="P1570" i="5" s="1"/>
  <c r="P1571" i="5" s="1"/>
  <c r="P1572" i="5" s="1"/>
  <c r="P1573" i="5" s="1"/>
  <c r="P1574" i="5" s="1"/>
  <c r="P1575" i="5" s="1"/>
  <c r="P1576" i="5" s="1"/>
  <c r="P1577" i="5" s="1"/>
  <c r="P1578" i="5" s="1"/>
  <c r="P1579" i="5" s="1"/>
  <c r="P1580" i="5" s="1"/>
  <c r="P1581" i="5" s="1"/>
  <c r="P1582" i="5" s="1"/>
  <c r="P1583" i="5" s="1"/>
  <c r="P1584" i="5" s="1"/>
  <c r="P1585" i="5" s="1"/>
  <c r="P1586" i="5" s="1"/>
  <c r="P1587" i="5" s="1"/>
  <c r="P1588" i="5" s="1"/>
  <c r="P1589" i="5" s="1"/>
  <c r="P1590" i="5" s="1"/>
  <c r="P1591" i="5" s="1"/>
  <c r="P1592" i="5" s="1"/>
  <c r="P1593" i="5" s="1"/>
  <c r="P1594" i="5" s="1"/>
  <c r="P1595" i="5" s="1"/>
  <c r="P1596" i="5" s="1"/>
  <c r="P1597" i="5" s="1"/>
  <c r="P1598" i="5" s="1"/>
  <c r="P1599" i="5" s="1"/>
  <c r="P1600" i="5" s="1"/>
  <c r="P1601" i="5" s="1"/>
  <c r="P1602" i="5" s="1"/>
  <c r="P1603" i="5" s="1"/>
  <c r="P1604" i="5" s="1"/>
  <c r="P1605" i="5" s="1"/>
  <c r="P1606" i="5" s="1"/>
  <c r="P1607" i="5" s="1"/>
  <c r="P1608" i="5" s="1"/>
  <c r="P1609" i="5" s="1"/>
  <c r="P1610" i="5" s="1"/>
  <c r="P1611" i="5" s="1"/>
  <c r="P1612" i="5" s="1"/>
  <c r="P1613" i="5" s="1"/>
  <c r="P1614" i="5" s="1"/>
  <c r="P1615" i="5" s="1"/>
  <c r="P1616" i="5" s="1"/>
  <c r="P1617" i="5" s="1"/>
  <c r="P1618" i="5" s="1"/>
  <c r="P1619" i="5" s="1"/>
  <c r="P1620" i="5" s="1"/>
  <c r="P1621" i="5" s="1"/>
  <c r="P1622" i="5" s="1"/>
  <c r="P1623" i="5" s="1"/>
  <c r="P1624" i="5" s="1"/>
  <c r="P1625" i="5" s="1"/>
  <c r="P1626" i="5" s="1"/>
  <c r="P1627" i="5" s="1"/>
  <c r="P1628" i="5" s="1"/>
  <c r="P1629" i="5" s="1"/>
  <c r="P1630" i="5" s="1"/>
  <c r="P1631" i="5" s="1"/>
  <c r="P1632" i="5" s="1"/>
  <c r="P1633" i="5" s="1"/>
  <c r="P1634" i="5" s="1"/>
  <c r="P1635" i="5" s="1"/>
  <c r="P1636" i="5" s="1"/>
  <c r="P1637" i="5" s="1"/>
  <c r="P1638" i="5" s="1"/>
  <c r="P1639" i="5" s="1"/>
  <c r="P1640" i="5" s="1"/>
  <c r="P1641" i="5" s="1"/>
  <c r="P1642" i="5" s="1"/>
  <c r="P1643" i="5" s="1"/>
  <c r="P1644" i="5" s="1"/>
  <c r="P1645" i="5" s="1"/>
  <c r="P1646" i="5" s="1"/>
  <c r="P1647" i="5" s="1"/>
  <c r="P1648" i="5" s="1"/>
  <c r="P1649" i="5" s="1"/>
  <c r="P1650" i="5" s="1"/>
  <c r="P1651" i="5" s="1"/>
  <c r="P1652" i="5" s="1"/>
  <c r="P1653" i="5" s="1"/>
  <c r="P1654" i="5" s="1"/>
  <c r="P1655" i="5" s="1"/>
  <c r="P1656" i="5" s="1"/>
  <c r="P1657" i="5" s="1"/>
  <c r="P1658" i="5" s="1"/>
  <c r="P1659" i="5" s="1"/>
  <c r="P1660" i="5" s="1"/>
  <c r="P1661" i="5" s="1"/>
  <c r="P1662" i="5" s="1"/>
  <c r="P1663" i="5" s="1"/>
  <c r="P1664" i="5" s="1"/>
  <c r="P1665" i="5" s="1"/>
  <c r="P1666" i="5" s="1"/>
  <c r="P1667" i="5" s="1"/>
  <c r="P1668" i="5" s="1"/>
  <c r="P1669" i="5" s="1"/>
  <c r="P1670" i="5" s="1"/>
  <c r="P1671" i="5" s="1"/>
  <c r="P1672" i="5" s="1"/>
  <c r="P1673" i="5" s="1"/>
  <c r="P1674" i="5" s="1"/>
  <c r="P1675" i="5" s="1"/>
  <c r="P1676" i="5" s="1"/>
  <c r="P1677" i="5" s="1"/>
  <c r="P1678" i="5" s="1"/>
  <c r="P1679" i="5" s="1"/>
  <c r="P1680" i="5" s="1"/>
  <c r="P1681" i="5" s="1"/>
  <c r="P1682" i="5" s="1"/>
  <c r="P1683" i="5" s="1"/>
  <c r="P1684" i="5" s="1"/>
  <c r="P1685" i="5" s="1"/>
  <c r="P1686" i="5" s="1"/>
  <c r="P1687" i="5" s="1"/>
  <c r="P1688" i="5" s="1"/>
  <c r="P1689" i="5" s="1"/>
  <c r="P1690" i="5" s="1"/>
  <c r="P1691" i="5" s="1"/>
  <c r="P1692" i="5" s="1"/>
  <c r="P1693" i="5" s="1"/>
  <c r="P1694" i="5" s="1"/>
  <c r="P1695" i="5" s="1"/>
  <c r="P1696" i="5" s="1"/>
  <c r="P1697" i="5" s="1"/>
  <c r="P1698" i="5" s="1"/>
  <c r="P1699" i="5" s="1"/>
  <c r="P1700" i="5" s="1"/>
  <c r="P1701" i="5" s="1"/>
  <c r="P1702" i="5" s="1"/>
  <c r="P1703" i="5" s="1"/>
  <c r="P1704" i="5" s="1"/>
  <c r="P1705" i="5" s="1"/>
  <c r="P1706" i="5" s="1"/>
  <c r="P1707" i="5" s="1"/>
  <c r="P1708" i="5" s="1"/>
  <c r="P1709" i="5" s="1"/>
  <c r="P1710" i="5" s="1"/>
  <c r="P1711" i="5" s="1"/>
  <c r="P1712" i="5" s="1"/>
  <c r="P1713" i="5" s="1"/>
  <c r="P1714" i="5" s="1"/>
  <c r="P1715" i="5" s="1"/>
  <c r="P1716" i="5" s="1"/>
  <c r="P1717" i="5" s="1"/>
  <c r="P1718" i="5" s="1"/>
  <c r="P1719" i="5" s="1"/>
  <c r="P1720" i="5" s="1"/>
  <c r="P1721" i="5" s="1"/>
  <c r="P1722" i="5" s="1"/>
  <c r="P1723" i="5" s="1"/>
  <c r="P1724" i="5" s="1"/>
  <c r="P1725" i="5" s="1"/>
  <c r="P1726" i="5" s="1"/>
  <c r="P1727" i="5" s="1"/>
  <c r="P1728" i="5" s="1"/>
  <c r="P1729" i="5" s="1"/>
  <c r="P1730" i="5" s="1"/>
  <c r="P1731" i="5" s="1"/>
  <c r="P1732" i="5" s="1"/>
  <c r="P1733" i="5" s="1"/>
  <c r="P1734" i="5" s="1"/>
  <c r="P1735" i="5" s="1"/>
  <c r="P1736" i="5" s="1"/>
  <c r="P1737" i="5" s="1"/>
  <c r="P1738" i="5" s="1"/>
  <c r="P1739" i="5" s="1"/>
  <c r="P1740" i="5" s="1"/>
  <c r="P1741" i="5" s="1"/>
  <c r="P1742" i="5" s="1"/>
  <c r="P1743" i="5" s="1"/>
  <c r="P1744" i="5" s="1"/>
  <c r="P1745" i="5" s="1"/>
  <c r="P1746" i="5" s="1"/>
  <c r="P1747" i="5" s="1"/>
  <c r="P1748" i="5" s="1"/>
  <c r="P1749" i="5" s="1"/>
  <c r="P1750" i="5" s="1"/>
  <c r="P1751" i="5" s="1"/>
  <c r="P1752" i="5" s="1"/>
  <c r="P1753" i="5" s="1"/>
  <c r="P1754" i="5" s="1"/>
  <c r="P1755" i="5" s="1"/>
  <c r="P1756" i="5" s="1"/>
  <c r="P1757" i="5" s="1"/>
  <c r="P1758" i="5" s="1"/>
  <c r="P1759" i="5" s="1"/>
  <c r="P1760" i="5" s="1"/>
  <c r="P1761" i="5" s="1"/>
  <c r="P1762" i="5" s="1"/>
  <c r="P1763" i="5" s="1"/>
  <c r="P1764" i="5" s="1"/>
  <c r="P1765" i="5" s="1"/>
  <c r="P1766" i="5" s="1"/>
  <c r="P1767" i="5" s="1"/>
  <c r="P1768" i="5" s="1"/>
  <c r="P1769" i="5" s="1"/>
  <c r="P1770" i="5" s="1"/>
  <c r="P1771" i="5" s="1"/>
  <c r="P1772" i="5" s="1"/>
  <c r="P1773" i="5" s="1"/>
  <c r="P1774" i="5" s="1"/>
  <c r="P1775" i="5" s="1"/>
  <c r="P1776" i="5" s="1"/>
  <c r="P1777" i="5" s="1"/>
  <c r="P1778" i="5" s="1"/>
  <c r="P1779" i="5" s="1"/>
  <c r="P1780" i="5" s="1"/>
  <c r="P1781" i="5" s="1"/>
  <c r="P1782" i="5" s="1"/>
  <c r="P1783" i="5" s="1"/>
  <c r="P1784" i="5" s="1"/>
  <c r="P1785" i="5" s="1"/>
  <c r="P1786" i="5" s="1"/>
  <c r="P1787" i="5" s="1"/>
  <c r="P1788" i="5" s="1"/>
  <c r="P1789" i="5" s="1"/>
  <c r="P1790" i="5" s="1"/>
  <c r="P1791" i="5" s="1"/>
  <c r="P1792" i="5" s="1"/>
  <c r="P1793" i="5" s="1"/>
  <c r="P1794" i="5" s="1"/>
  <c r="P1795" i="5" s="1"/>
  <c r="P1796" i="5" s="1"/>
  <c r="P1797" i="5" s="1"/>
  <c r="P1798" i="5" s="1"/>
  <c r="P1799" i="5" s="1"/>
  <c r="P1800" i="5" s="1"/>
  <c r="P1801" i="5" s="1"/>
  <c r="P1802" i="5" s="1"/>
  <c r="P1803" i="5" s="1"/>
  <c r="P1804" i="5" s="1"/>
  <c r="P1805" i="5" s="1"/>
  <c r="P1806" i="5" s="1"/>
  <c r="P1807" i="5" s="1"/>
  <c r="P1808" i="5" s="1"/>
  <c r="P1809" i="5" s="1"/>
  <c r="P1810" i="5" s="1"/>
  <c r="P1811" i="5" s="1"/>
  <c r="P1812" i="5" s="1"/>
  <c r="P1813" i="5" s="1"/>
  <c r="P1814" i="5" s="1"/>
  <c r="P1815" i="5" s="1"/>
  <c r="P1816" i="5" s="1"/>
  <c r="P1817" i="5" s="1"/>
  <c r="P1818" i="5" s="1"/>
  <c r="P1819" i="5" s="1"/>
  <c r="P1820" i="5" s="1"/>
  <c r="P1821" i="5" s="1"/>
  <c r="P1822" i="5" s="1"/>
  <c r="P1823" i="5" s="1"/>
  <c r="P1824" i="5" s="1"/>
  <c r="P1825" i="5" s="1"/>
  <c r="P1826" i="5" s="1"/>
  <c r="P1827" i="5" s="1"/>
  <c r="P1828" i="5" s="1"/>
  <c r="P1829" i="5" s="1"/>
  <c r="P1830" i="5" s="1"/>
  <c r="P1831" i="5" s="1"/>
  <c r="P1832" i="5" s="1"/>
  <c r="P1833" i="5" s="1"/>
  <c r="P1834" i="5" s="1"/>
  <c r="P1835" i="5" s="1"/>
  <c r="P1836" i="5" s="1"/>
  <c r="P1837" i="5" s="1"/>
  <c r="P1838" i="5" s="1"/>
  <c r="P1839" i="5" s="1"/>
  <c r="P1840" i="5" s="1"/>
  <c r="P1841" i="5" s="1"/>
  <c r="P1842" i="5" s="1"/>
  <c r="P1843" i="5" s="1"/>
  <c r="P1844" i="5" s="1"/>
  <c r="P1845" i="5" s="1"/>
  <c r="P1846" i="5" s="1"/>
  <c r="P1847" i="5" s="1"/>
  <c r="P1848" i="5" s="1"/>
  <c r="P1849" i="5" s="1"/>
  <c r="P1850" i="5" s="1"/>
  <c r="P1851" i="5" s="1"/>
  <c r="P1852" i="5" s="1"/>
  <c r="P1853" i="5" s="1"/>
  <c r="P1854" i="5" s="1"/>
  <c r="P1855" i="5" s="1"/>
  <c r="P1856" i="5" s="1"/>
  <c r="P1857" i="5" s="1"/>
  <c r="P1858" i="5" s="1"/>
  <c r="P1859" i="5" s="1"/>
  <c r="P1860" i="5" s="1"/>
  <c r="P1861" i="5" s="1"/>
  <c r="P1862" i="5" s="1"/>
  <c r="P1863" i="5" s="1"/>
  <c r="P1864" i="5" s="1"/>
  <c r="P1865" i="5" s="1"/>
  <c r="P1866" i="5" s="1"/>
  <c r="P1867" i="5" s="1"/>
  <c r="P1868" i="5" s="1"/>
  <c r="P1869" i="5" s="1"/>
  <c r="P1870" i="5" s="1"/>
  <c r="P1871" i="5" s="1"/>
  <c r="P1872" i="5" s="1"/>
  <c r="P1873" i="5" s="1"/>
  <c r="P1874" i="5" s="1"/>
  <c r="P1875" i="5" s="1"/>
  <c r="P1876" i="5" s="1"/>
  <c r="P1877" i="5" s="1"/>
  <c r="P1878" i="5" s="1"/>
  <c r="P1879" i="5" s="1"/>
  <c r="P1880" i="5" s="1"/>
  <c r="P1881" i="5" s="1"/>
  <c r="P1882" i="5" s="1"/>
  <c r="P1883" i="5" s="1"/>
  <c r="P1884" i="5" s="1"/>
  <c r="P1885" i="5" s="1"/>
  <c r="P1886" i="5" s="1"/>
  <c r="P1887" i="5" s="1"/>
  <c r="P1888" i="5" s="1"/>
  <c r="P1889" i="5" s="1"/>
  <c r="P1890" i="5" s="1"/>
  <c r="P1891" i="5" s="1"/>
  <c r="P1892" i="5" s="1"/>
  <c r="P1893" i="5" s="1"/>
  <c r="P1894" i="5" s="1"/>
  <c r="P1895" i="5" s="1"/>
  <c r="P1896" i="5" s="1"/>
  <c r="P1897" i="5" s="1"/>
  <c r="P1898" i="5" s="1"/>
  <c r="P1899" i="5" s="1"/>
  <c r="P1900" i="5" s="1"/>
  <c r="P1901" i="5" s="1"/>
  <c r="P1902" i="5" s="1"/>
  <c r="P1903" i="5" s="1"/>
  <c r="P1904" i="5" s="1"/>
  <c r="P1905" i="5" s="1"/>
  <c r="P1906" i="5" s="1"/>
  <c r="P1907" i="5" s="1"/>
  <c r="P1908" i="5" s="1"/>
  <c r="P1909" i="5" s="1"/>
  <c r="P1910" i="5" s="1"/>
  <c r="P1911" i="5" s="1"/>
  <c r="P1912" i="5" s="1"/>
  <c r="P1913" i="5" s="1"/>
  <c r="P1914" i="5" s="1"/>
  <c r="P1915" i="5" s="1"/>
  <c r="P1916" i="5" s="1"/>
  <c r="P1917" i="5" s="1"/>
  <c r="P1918" i="5" s="1"/>
  <c r="P1919" i="5" s="1"/>
  <c r="P1920" i="5" s="1"/>
  <c r="P1921" i="5" s="1"/>
  <c r="P1922" i="5" s="1"/>
  <c r="P1923" i="5" s="1"/>
  <c r="P1924" i="5" s="1"/>
  <c r="P1925" i="5" s="1"/>
  <c r="P1926" i="5" s="1"/>
  <c r="P1927" i="5" s="1"/>
  <c r="P1928" i="5" s="1"/>
  <c r="P1929" i="5" s="1"/>
  <c r="P1930" i="5" s="1"/>
  <c r="P1931" i="5" s="1"/>
  <c r="P1932" i="5" s="1"/>
  <c r="P1933" i="5" s="1"/>
  <c r="P1934" i="5" s="1"/>
  <c r="P1935" i="5" s="1"/>
  <c r="P1936" i="5" s="1"/>
  <c r="P1937" i="5" s="1"/>
  <c r="P1938" i="5" s="1"/>
  <c r="P1939" i="5" s="1"/>
  <c r="P1940" i="5" s="1"/>
  <c r="P1941" i="5" s="1"/>
  <c r="P1942" i="5" s="1"/>
  <c r="P1943" i="5" s="1"/>
  <c r="P1944" i="5" s="1"/>
  <c r="P1945" i="5" s="1"/>
  <c r="P1946" i="5" s="1"/>
  <c r="P1947" i="5" s="1"/>
  <c r="P1948" i="5" s="1"/>
  <c r="P1949" i="5" s="1"/>
  <c r="P1950" i="5" s="1"/>
  <c r="P1951" i="5" s="1"/>
  <c r="P1952" i="5" s="1"/>
  <c r="P1953" i="5" s="1"/>
  <c r="P1954" i="5" s="1"/>
  <c r="P1955" i="5" s="1"/>
  <c r="P1956" i="5" s="1"/>
  <c r="P1957" i="5" s="1"/>
  <c r="P1958" i="5" s="1"/>
  <c r="P1959" i="5" s="1"/>
  <c r="P1960" i="5" s="1"/>
  <c r="P1961" i="5" s="1"/>
  <c r="P1962" i="5" s="1"/>
  <c r="P1963" i="5" s="1"/>
  <c r="P1964" i="5" s="1"/>
  <c r="P1965" i="5" s="1"/>
  <c r="P1966" i="5" s="1"/>
  <c r="P1967" i="5" s="1"/>
  <c r="P1968" i="5" s="1"/>
  <c r="P1969" i="5" s="1"/>
  <c r="P1970" i="5" s="1"/>
  <c r="P1971" i="5" s="1"/>
  <c r="P1972" i="5" s="1"/>
  <c r="P1973" i="5" s="1"/>
  <c r="P1974" i="5" s="1"/>
  <c r="P1975" i="5" s="1"/>
  <c r="P1976" i="5" s="1"/>
  <c r="P1977" i="5" s="1"/>
  <c r="P1978" i="5" s="1"/>
  <c r="P1979" i="5" s="1"/>
  <c r="P1980" i="5" s="1"/>
  <c r="P1981" i="5" s="1"/>
  <c r="P1982" i="5" s="1"/>
  <c r="P1983" i="5" s="1"/>
  <c r="P1984" i="5" s="1"/>
  <c r="P1985" i="5" s="1"/>
  <c r="P1986" i="5" s="1"/>
  <c r="P1987" i="5" s="1"/>
  <c r="P1988" i="5" s="1"/>
  <c r="P1989" i="5" s="1"/>
  <c r="P1990" i="5" s="1"/>
  <c r="P1991" i="5" s="1"/>
  <c r="P1992" i="5" s="1"/>
  <c r="P1993" i="5" s="1"/>
  <c r="P1994" i="5" s="1"/>
  <c r="P1995" i="5" s="1"/>
  <c r="P1996" i="5" s="1"/>
  <c r="P1997" i="5" s="1"/>
  <c r="P1998" i="5" s="1"/>
  <c r="P1999" i="5" s="1"/>
  <c r="P2000" i="5" s="1"/>
  <c r="P2001" i="5" s="1"/>
  <c r="P2002" i="5" s="1"/>
  <c r="P2003" i="5" s="1"/>
  <c r="P2004" i="5" s="1"/>
  <c r="P2005" i="5" s="1"/>
  <c r="P2006" i="5" s="1"/>
  <c r="P2007" i="5" s="1"/>
  <c r="P2008" i="5" s="1"/>
  <c r="P2009" i="5" s="1"/>
  <c r="P2010" i="5" s="1"/>
  <c r="P2011" i="5" s="1"/>
  <c r="P2012" i="5" s="1"/>
  <c r="P2013" i="5" s="1"/>
  <c r="P2014" i="5" s="1"/>
  <c r="P2015" i="5" s="1"/>
  <c r="P2016" i="5" s="1"/>
  <c r="P2017" i="5" s="1"/>
  <c r="P2018" i="5" s="1"/>
  <c r="P2019" i="5" s="1"/>
  <c r="P2020" i="5" s="1"/>
  <c r="P2021" i="5" s="1"/>
  <c r="P2022" i="5" s="1"/>
  <c r="P2023" i="5" s="1"/>
  <c r="P2024" i="5" s="1"/>
  <c r="P2025" i="5" s="1"/>
  <c r="P2026" i="5" s="1"/>
  <c r="P2027" i="5" s="1"/>
  <c r="P2028" i="5" s="1"/>
  <c r="P2029" i="5" s="1"/>
  <c r="P2030" i="5" s="1"/>
  <c r="P2031" i="5" s="1"/>
  <c r="P2032" i="5" s="1"/>
  <c r="P2033" i="5" s="1"/>
  <c r="P2034" i="5" s="1"/>
  <c r="P2035" i="5" s="1"/>
  <c r="P2036" i="5" s="1"/>
  <c r="P2037" i="5" s="1"/>
  <c r="P2038" i="5" s="1"/>
  <c r="P2039" i="5" s="1"/>
  <c r="P2040" i="5" s="1"/>
  <c r="P2041" i="5" s="1"/>
  <c r="P2042" i="5" s="1"/>
  <c r="P2043" i="5" s="1"/>
  <c r="P2044" i="5" s="1"/>
  <c r="P2045" i="5" s="1"/>
  <c r="P2046" i="5" s="1"/>
  <c r="P2047" i="5" s="1"/>
  <c r="P2048" i="5" s="1"/>
  <c r="P2049" i="5" s="1"/>
  <c r="P2050" i="5" s="1"/>
  <c r="P2051" i="5" s="1"/>
  <c r="P2052" i="5" s="1"/>
  <c r="P2053" i="5" s="1"/>
  <c r="P2054" i="5" s="1"/>
  <c r="P2055" i="5" s="1"/>
  <c r="P2056" i="5" s="1"/>
  <c r="P2057" i="5" s="1"/>
  <c r="P2058" i="5" s="1"/>
  <c r="P2059" i="5" s="1"/>
  <c r="P2060" i="5" s="1"/>
  <c r="P2061" i="5" s="1"/>
  <c r="P2062" i="5" s="1"/>
  <c r="P2063" i="5" s="1"/>
  <c r="P2064" i="5" s="1"/>
  <c r="P2065" i="5" s="1"/>
  <c r="P2066" i="5" s="1"/>
  <c r="P2067" i="5" s="1"/>
  <c r="P2068" i="5" s="1"/>
  <c r="P2069" i="5" s="1"/>
  <c r="P2070" i="5" s="1"/>
  <c r="P2071" i="5" s="1"/>
  <c r="P2072" i="5" s="1"/>
  <c r="P2073" i="5" s="1"/>
  <c r="P2074" i="5" s="1"/>
  <c r="P2075" i="5" s="1"/>
  <c r="P2076" i="5" s="1"/>
  <c r="P2077" i="5" s="1"/>
  <c r="P2078" i="5" s="1"/>
  <c r="P2079" i="5" s="1"/>
  <c r="P2080" i="5" s="1"/>
  <c r="P2081" i="5" s="1"/>
  <c r="P2082" i="5" s="1"/>
  <c r="P2083" i="5" s="1"/>
  <c r="P2084" i="5" s="1"/>
  <c r="P2085" i="5" s="1"/>
  <c r="P2086" i="5" s="1"/>
  <c r="P2087" i="5" s="1"/>
  <c r="P2088" i="5" s="1"/>
  <c r="P2089" i="5" s="1"/>
  <c r="P2090" i="5" s="1"/>
  <c r="P2091" i="5" s="1"/>
  <c r="P2092" i="5" s="1"/>
  <c r="P2093" i="5" s="1"/>
  <c r="P2094" i="5" s="1"/>
  <c r="P2095" i="5" s="1"/>
  <c r="P2096" i="5" s="1"/>
  <c r="P2097" i="5" s="1"/>
  <c r="P2098" i="5" s="1"/>
  <c r="P2099" i="5" s="1"/>
  <c r="P2100" i="5" s="1"/>
  <c r="P2101" i="5" s="1"/>
  <c r="P2102" i="5" s="1"/>
  <c r="P2103" i="5" s="1"/>
  <c r="P2104" i="5" s="1"/>
  <c r="P2105" i="5" s="1"/>
  <c r="P2106" i="5" s="1"/>
  <c r="P2107" i="5" s="1"/>
  <c r="P2108" i="5" s="1"/>
  <c r="P2109" i="5" s="1"/>
  <c r="P2110" i="5" s="1"/>
  <c r="P2111" i="5" s="1"/>
  <c r="P2112" i="5" s="1"/>
  <c r="P2113" i="5" s="1"/>
  <c r="P2114" i="5" s="1"/>
  <c r="P2115" i="5" s="1"/>
  <c r="P2116" i="5" s="1"/>
  <c r="P2117" i="5" s="1"/>
  <c r="P2118" i="5" s="1"/>
  <c r="P2119" i="5" s="1"/>
  <c r="P2120" i="5" s="1"/>
  <c r="P2121" i="5" s="1"/>
  <c r="P2122" i="5" s="1"/>
  <c r="P2123" i="5" s="1"/>
  <c r="P2124" i="5" s="1"/>
  <c r="P2125" i="5" s="1"/>
  <c r="P2126" i="5" s="1"/>
  <c r="P2127" i="5" s="1"/>
  <c r="P2128" i="5" s="1"/>
  <c r="P2129" i="5" s="1"/>
  <c r="P2130" i="5" s="1"/>
  <c r="P2131" i="5" s="1"/>
  <c r="P2132" i="5" s="1"/>
  <c r="P2133" i="5" s="1"/>
  <c r="P2134" i="5" s="1"/>
  <c r="P2135" i="5" s="1"/>
  <c r="P2136" i="5" s="1"/>
  <c r="P2137" i="5" s="1"/>
  <c r="P2138" i="5" s="1"/>
  <c r="P2139" i="5" s="1"/>
  <c r="P2140" i="5" s="1"/>
  <c r="P2141" i="5" s="1"/>
  <c r="P2142" i="5" s="1"/>
  <c r="P2143" i="5" s="1"/>
  <c r="P2144" i="5" s="1"/>
  <c r="P2145" i="5" s="1"/>
  <c r="P2146" i="5" s="1"/>
  <c r="P2147" i="5" s="1"/>
  <c r="P2148" i="5" s="1"/>
  <c r="P2149" i="5" s="1"/>
  <c r="P2150" i="5" s="1"/>
  <c r="P2151" i="5" s="1"/>
  <c r="P2152" i="5" s="1"/>
  <c r="P2153" i="5" s="1"/>
  <c r="P2154" i="5" s="1"/>
  <c r="P2155" i="5" s="1"/>
  <c r="P2156" i="5" s="1"/>
  <c r="P2157" i="5" s="1"/>
  <c r="P2158" i="5" s="1"/>
  <c r="P2159" i="5" s="1"/>
  <c r="P2160" i="5" s="1"/>
  <c r="P2161" i="5" s="1"/>
  <c r="P2162" i="5" s="1"/>
  <c r="P2163" i="5" s="1"/>
  <c r="P2164" i="5" s="1"/>
  <c r="P2165" i="5" s="1"/>
  <c r="P2166" i="5" s="1"/>
  <c r="P2167" i="5" s="1"/>
  <c r="P2168" i="5" s="1"/>
  <c r="P2169" i="5" s="1"/>
  <c r="P2170" i="5" s="1"/>
  <c r="P2171" i="5" s="1"/>
  <c r="P2172" i="5" s="1"/>
  <c r="P2173" i="5" s="1"/>
  <c r="P2174" i="5" s="1"/>
  <c r="P2175" i="5" s="1"/>
  <c r="P2176" i="5" s="1"/>
  <c r="P2177" i="5" s="1"/>
  <c r="P2178" i="5" s="1"/>
  <c r="P2179" i="5" s="1"/>
  <c r="P2180" i="5" s="1"/>
  <c r="P2181" i="5" s="1"/>
  <c r="P2182" i="5" s="1"/>
  <c r="P2183" i="5" s="1"/>
  <c r="P2184" i="5" s="1"/>
  <c r="P2185" i="5" s="1"/>
  <c r="P2186" i="5" s="1"/>
  <c r="P2187" i="5" s="1"/>
  <c r="P2188" i="5" s="1"/>
  <c r="P2189" i="5" s="1"/>
  <c r="P2190" i="5" s="1"/>
  <c r="P2191" i="5" s="1"/>
  <c r="P2192" i="5" s="1"/>
  <c r="P2193" i="5" s="1"/>
  <c r="P2194" i="5" s="1"/>
  <c r="P2195" i="5" s="1"/>
  <c r="P2196" i="5" s="1"/>
  <c r="P2197" i="5" s="1"/>
  <c r="P2198" i="5" s="1"/>
  <c r="P2199" i="5" s="1"/>
  <c r="P2200" i="5" s="1"/>
  <c r="P2201" i="5" s="1"/>
  <c r="P2202" i="5" s="1"/>
  <c r="P2203" i="5" s="1"/>
  <c r="P2204" i="5" s="1"/>
  <c r="P2205" i="5" s="1"/>
  <c r="P2206" i="5" s="1"/>
  <c r="P2207" i="5" s="1"/>
  <c r="P2208" i="5" s="1"/>
  <c r="P2209" i="5" s="1"/>
  <c r="P2210" i="5" s="1"/>
  <c r="P2211" i="5" s="1"/>
  <c r="P2212" i="5" s="1"/>
  <c r="P2213" i="5" s="1"/>
  <c r="E404" i="5"/>
  <c r="E405" i="5" s="1"/>
  <c r="E406" i="5" s="1"/>
  <c r="E407" i="5" s="1"/>
  <c r="E408" i="5" s="1"/>
  <c r="E409" i="5" s="1"/>
  <c r="E410" i="5" s="1"/>
  <c r="E411" i="5" s="1"/>
  <c r="E412" i="5" s="1"/>
  <c r="E413" i="5" s="1"/>
  <c r="E414" i="5" s="1"/>
  <c r="E415" i="5" s="1"/>
  <c r="E416" i="5" s="1"/>
  <c r="E417" i="5" s="1"/>
  <c r="E418" i="5" s="1"/>
  <c r="E419" i="5" s="1"/>
  <c r="E420" i="5" s="1"/>
  <c r="E421" i="5" s="1"/>
  <c r="E422" i="5" s="1"/>
  <c r="E423" i="5" s="1"/>
  <c r="E424" i="5" s="1"/>
  <c r="E425" i="5" s="1"/>
  <c r="E426" i="5" s="1"/>
  <c r="E427" i="5" s="1"/>
  <c r="E428" i="5" s="1"/>
  <c r="E429" i="5" s="1"/>
  <c r="E430" i="5" s="1"/>
  <c r="E431" i="5" s="1"/>
  <c r="E432" i="5" s="1"/>
  <c r="E433" i="5" s="1"/>
  <c r="E434" i="5" s="1"/>
  <c r="E435" i="5" s="1"/>
  <c r="E436" i="5" s="1"/>
  <c r="E437" i="5" s="1"/>
  <c r="E438" i="5" s="1"/>
  <c r="E439" i="5" s="1"/>
  <c r="E440" i="5" s="1"/>
  <c r="E441" i="5" s="1"/>
  <c r="E442" i="5" s="1"/>
  <c r="E443" i="5" s="1"/>
  <c r="E444" i="5" s="1"/>
  <c r="E445" i="5" s="1"/>
  <c r="E446" i="5" s="1"/>
  <c r="E447" i="5" s="1"/>
  <c r="E448" i="5" s="1"/>
  <c r="E449" i="5" s="1"/>
  <c r="E450" i="5" s="1"/>
  <c r="E451" i="5" s="1"/>
  <c r="E452" i="5" s="1"/>
  <c r="E453" i="5" s="1"/>
  <c r="E454" i="5" s="1"/>
  <c r="E455" i="5" s="1"/>
  <c r="E456" i="5" s="1"/>
  <c r="E457" i="5" s="1"/>
  <c r="E458" i="5" s="1"/>
  <c r="E459" i="5" s="1"/>
  <c r="E460" i="5" s="1"/>
  <c r="E461" i="5" s="1"/>
  <c r="E462" i="5" s="1"/>
  <c r="E463" i="5" s="1"/>
  <c r="E464" i="5" s="1"/>
  <c r="E465" i="5" s="1"/>
  <c r="E466" i="5" s="1"/>
  <c r="E467" i="5" s="1"/>
  <c r="E468" i="5" s="1"/>
  <c r="E469" i="5" s="1"/>
  <c r="E470" i="5" s="1"/>
  <c r="E471" i="5" s="1"/>
  <c r="E472" i="5" s="1"/>
  <c r="E473" i="5" s="1"/>
  <c r="E474" i="5" s="1"/>
  <c r="E475" i="5" s="1"/>
  <c r="E476" i="5" s="1"/>
  <c r="E477" i="5" s="1"/>
  <c r="E478" i="5" s="1"/>
  <c r="E479" i="5" s="1"/>
  <c r="E480" i="5" s="1"/>
  <c r="E481" i="5" s="1"/>
  <c r="E482" i="5" s="1"/>
  <c r="E483" i="5" s="1"/>
  <c r="E484" i="5" s="1"/>
  <c r="E485" i="5" s="1"/>
  <c r="E486" i="5" s="1"/>
  <c r="E487" i="5" s="1"/>
  <c r="E488" i="5" s="1"/>
  <c r="E489" i="5" s="1"/>
  <c r="E490" i="5" s="1"/>
  <c r="E491" i="5" s="1"/>
  <c r="E492" i="5" s="1"/>
  <c r="E493" i="5" s="1"/>
  <c r="E494" i="5" s="1"/>
  <c r="E495" i="5" s="1"/>
  <c r="E496" i="5" s="1"/>
  <c r="E497" i="5" s="1"/>
  <c r="E498" i="5" s="1"/>
  <c r="E499" i="5" s="1"/>
  <c r="E500" i="5" s="1"/>
  <c r="E501" i="5" s="1"/>
  <c r="E502" i="5" s="1"/>
  <c r="E503" i="5" s="1"/>
  <c r="E504" i="5" s="1"/>
  <c r="E505" i="5" s="1"/>
  <c r="E506" i="5" s="1"/>
  <c r="E507" i="5" s="1"/>
  <c r="E508" i="5" s="1"/>
  <c r="E509" i="5" s="1"/>
  <c r="E510" i="5" s="1"/>
  <c r="E511" i="5" s="1"/>
  <c r="E512" i="5" s="1"/>
  <c r="E513" i="5" s="1"/>
  <c r="E514" i="5" s="1"/>
  <c r="E515" i="5" s="1"/>
  <c r="E516" i="5" s="1"/>
  <c r="E517" i="5" s="1"/>
  <c r="E518" i="5" s="1"/>
  <c r="E519" i="5" s="1"/>
  <c r="E520" i="5" s="1"/>
  <c r="E521" i="5" s="1"/>
  <c r="E522" i="5" s="1"/>
  <c r="E523" i="5" s="1"/>
  <c r="E524" i="5" s="1"/>
  <c r="E525" i="5" s="1"/>
  <c r="E526" i="5" s="1"/>
  <c r="E527" i="5" s="1"/>
  <c r="E528" i="5" s="1"/>
  <c r="E529" i="5" s="1"/>
  <c r="E530" i="5" s="1"/>
  <c r="E531" i="5" s="1"/>
  <c r="E532" i="5" s="1"/>
  <c r="E533" i="5" s="1"/>
  <c r="E534" i="5" s="1"/>
  <c r="E535" i="5" s="1"/>
  <c r="E536" i="5" s="1"/>
  <c r="E537" i="5" s="1"/>
  <c r="E538" i="5" s="1"/>
  <c r="E539" i="5" s="1"/>
  <c r="E540" i="5" s="1"/>
  <c r="E541" i="5" s="1"/>
  <c r="E542" i="5" s="1"/>
  <c r="E543" i="5" s="1"/>
  <c r="E544" i="5" s="1"/>
  <c r="E545" i="5" s="1"/>
  <c r="E546" i="5" s="1"/>
  <c r="E547" i="5" s="1"/>
  <c r="E548" i="5" s="1"/>
  <c r="E549" i="5" s="1"/>
  <c r="E550" i="5" s="1"/>
  <c r="E551" i="5" s="1"/>
  <c r="E552" i="5" s="1"/>
  <c r="E553" i="5" s="1"/>
  <c r="E554" i="5" s="1"/>
  <c r="E555" i="5" s="1"/>
  <c r="E556" i="5" s="1"/>
  <c r="E557" i="5" s="1"/>
  <c r="E558" i="5" s="1"/>
  <c r="E559" i="5" s="1"/>
  <c r="E560" i="5" s="1"/>
  <c r="E561" i="5" s="1"/>
  <c r="E562" i="5" s="1"/>
  <c r="E563" i="5" s="1"/>
  <c r="E564" i="5" s="1"/>
  <c r="E565" i="5" s="1"/>
  <c r="E566" i="5" s="1"/>
  <c r="E567" i="5" s="1"/>
  <c r="E568" i="5" s="1"/>
  <c r="E569" i="5" s="1"/>
  <c r="E570" i="5" s="1"/>
  <c r="E571" i="5" s="1"/>
  <c r="E572" i="5" s="1"/>
  <c r="E573" i="5" s="1"/>
  <c r="E574" i="5" s="1"/>
  <c r="E575" i="5" s="1"/>
  <c r="E576" i="5" s="1"/>
  <c r="E577" i="5" s="1"/>
  <c r="E578" i="5" s="1"/>
  <c r="E579" i="5" s="1"/>
  <c r="E580" i="5" s="1"/>
  <c r="E581" i="5" s="1"/>
  <c r="E582" i="5" s="1"/>
  <c r="E583" i="5" s="1"/>
  <c r="E584" i="5" s="1"/>
  <c r="E585" i="5" s="1"/>
  <c r="E586" i="5" s="1"/>
  <c r="E587" i="5" s="1"/>
  <c r="E588" i="5" s="1"/>
  <c r="E589" i="5" s="1"/>
  <c r="E590" i="5" s="1"/>
  <c r="E591" i="5" s="1"/>
  <c r="E592" i="5" s="1"/>
  <c r="E593" i="5" s="1"/>
  <c r="E594" i="5" s="1"/>
  <c r="E595" i="5" s="1"/>
  <c r="E596" i="5" s="1"/>
  <c r="E597" i="5" s="1"/>
  <c r="E598" i="5" s="1"/>
  <c r="E599" i="5" s="1"/>
  <c r="E600" i="5" s="1"/>
  <c r="E601" i="5" s="1"/>
  <c r="E602" i="5" s="1"/>
  <c r="E603" i="5" s="1"/>
  <c r="E604" i="5" s="1"/>
  <c r="E605" i="5" s="1"/>
  <c r="E606" i="5" s="1"/>
  <c r="E607" i="5" s="1"/>
  <c r="E608" i="5" s="1"/>
  <c r="E609" i="5" s="1"/>
  <c r="E610" i="5" s="1"/>
  <c r="E611" i="5" s="1"/>
  <c r="E612" i="5" s="1"/>
  <c r="E613" i="5" s="1"/>
  <c r="E614" i="5" s="1"/>
  <c r="E615" i="5" s="1"/>
  <c r="E616" i="5" s="1"/>
  <c r="E617" i="5" s="1"/>
  <c r="E618" i="5" s="1"/>
  <c r="E619" i="5" s="1"/>
  <c r="E620" i="5" s="1"/>
  <c r="E621" i="5" s="1"/>
  <c r="E622" i="5" s="1"/>
  <c r="E623" i="5" s="1"/>
  <c r="E624" i="5" s="1"/>
  <c r="E625" i="5" s="1"/>
  <c r="E626" i="5" s="1"/>
  <c r="E627" i="5" s="1"/>
  <c r="E628" i="5" s="1"/>
  <c r="E629" i="5" s="1"/>
  <c r="E630" i="5" s="1"/>
  <c r="E631" i="5" s="1"/>
  <c r="E632" i="5" s="1"/>
  <c r="E633" i="5" s="1"/>
  <c r="E634" i="5" s="1"/>
  <c r="E635" i="5" s="1"/>
  <c r="E636" i="5" s="1"/>
  <c r="E637" i="5" s="1"/>
  <c r="E638" i="5" s="1"/>
  <c r="E639" i="5" s="1"/>
  <c r="E640" i="5" s="1"/>
  <c r="E641" i="5" s="1"/>
  <c r="E642" i="5" s="1"/>
  <c r="E643" i="5" s="1"/>
  <c r="E644" i="5" s="1"/>
  <c r="E645" i="5" s="1"/>
  <c r="E646" i="5" s="1"/>
  <c r="E647" i="5" s="1"/>
  <c r="E648" i="5" s="1"/>
  <c r="E649" i="5" s="1"/>
  <c r="E650" i="5" s="1"/>
  <c r="E651" i="5" s="1"/>
  <c r="E652" i="5" s="1"/>
  <c r="E653" i="5" s="1"/>
  <c r="E654" i="5" s="1"/>
  <c r="E655" i="5" s="1"/>
  <c r="E656" i="5" s="1"/>
  <c r="E657" i="5" s="1"/>
  <c r="E658" i="5" s="1"/>
  <c r="E659" i="5" s="1"/>
  <c r="E660" i="5" s="1"/>
  <c r="E661" i="5" s="1"/>
  <c r="E662" i="5" s="1"/>
  <c r="E663" i="5" s="1"/>
  <c r="E664" i="5" s="1"/>
  <c r="E665" i="5" s="1"/>
  <c r="E666" i="5" s="1"/>
  <c r="E667" i="5" s="1"/>
  <c r="E668" i="5" s="1"/>
  <c r="E669" i="5" s="1"/>
  <c r="E670" i="5" s="1"/>
  <c r="E671" i="5" s="1"/>
  <c r="E672" i="5" s="1"/>
  <c r="E673" i="5" s="1"/>
  <c r="E674" i="5" s="1"/>
  <c r="E675" i="5" s="1"/>
  <c r="E676" i="5" s="1"/>
  <c r="E677" i="5" s="1"/>
  <c r="E678" i="5" s="1"/>
  <c r="E679" i="5" s="1"/>
  <c r="E680" i="5" s="1"/>
  <c r="E681" i="5" s="1"/>
  <c r="E682" i="5" s="1"/>
  <c r="E683" i="5" s="1"/>
  <c r="E684" i="5" s="1"/>
  <c r="E685" i="5" s="1"/>
  <c r="E686" i="5" s="1"/>
  <c r="E687" i="5" s="1"/>
  <c r="E688" i="5" s="1"/>
  <c r="E689" i="5" s="1"/>
  <c r="E690" i="5" s="1"/>
  <c r="E691" i="5" s="1"/>
  <c r="E692" i="5" s="1"/>
  <c r="E693" i="5" s="1"/>
  <c r="E694" i="5" s="1"/>
  <c r="E695" i="5" s="1"/>
  <c r="E696" i="5" s="1"/>
  <c r="E697" i="5" s="1"/>
  <c r="E698" i="5" s="1"/>
  <c r="E699" i="5" s="1"/>
  <c r="E700" i="5" s="1"/>
  <c r="E701" i="5" s="1"/>
  <c r="E702" i="5" s="1"/>
  <c r="E703" i="5" s="1"/>
  <c r="E704" i="5" s="1"/>
  <c r="E705" i="5" s="1"/>
  <c r="E706" i="5" s="1"/>
  <c r="E707" i="5" s="1"/>
  <c r="E708" i="5" s="1"/>
  <c r="E709" i="5" s="1"/>
  <c r="E710" i="5" s="1"/>
  <c r="E711" i="5" s="1"/>
  <c r="E712" i="5" s="1"/>
  <c r="E713" i="5" s="1"/>
  <c r="E714" i="5" s="1"/>
  <c r="E715" i="5" s="1"/>
  <c r="E716" i="5" s="1"/>
  <c r="E717" i="5" s="1"/>
  <c r="E718" i="5" s="1"/>
  <c r="E719" i="5" s="1"/>
  <c r="E720" i="5" s="1"/>
  <c r="E721" i="5" s="1"/>
  <c r="E722" i="5" s="1"/>
  <c r="E723" i="5" s="1"/>
  <c r="E724" i="5" s="1"/>
  <c r="E725" i="5" s="1"/>
  <c r="E726" i="5" s="1"/>
  <c r="E727" i="5" s="1"/>
  <c r="E728" i="5" s="1"/>
  <c r="E729" i="5" s="1"/>
  <c r="E730" i="5" s="1"/>
  <c r="E731" i="5" s="1"/>
  <c r="E732" i="5" s="1"/>
  <c r="E733" i="5" s="1"/>
  <c r="E734" i="5" s="1"/>
  <c r="E735" i="5" s="1"/>
  <c r="E736" i="5" s="1"/>
  <c r="E737" i="5" s="1"/>
  <c r="E738" i="5" s="1"/>
  <c r="E739" i="5" s="1"/>
  <c r="E740" i="5" s="1"/>
  <c r="E741" i="5" s="1"/>
  <c r="E742" i="5" s="1"/>
  <c r="E743" i="5" s="1"/>
  <c r="E744" i="5" s="1"/>
  <c r="E745" i="5" s="1"/>
  <c r="E746" i="5" s="1"/>
  <c r="E747" i="5" s="1"/>
  <c r="E748" i="5" s="1"/>
  <c r="E749" i="5" s="1"/>
  <c r="E750" i="5" s="1"/>
  <c r="E751" i="5" s="1"/>
  <c r="E752" i="5" s="1"/>
  <c r="E753" i="5" s="1"/>
  <c r="E754" i="5" s="1"/>
  <c r="E755" i="5" s="1"/>
  <c r="E756" i="5" s="1"/>
  <c r="E757" i="5" s="1"/>
  <c r="E758" i="5" s="1"/>
  <c r="E759" i="5" s="1"/>
  <c r="E760" i="5" s="1"/>
  <c r="E761" i="5" s="1"/>
  <c r="E762" i="5" s="1"/>
  <c r="E763" i="5" s="1"/>
  <c r="E764" i="5" s="1"/>
  <c r="E765" i="5" s="1"/>
  <c r="E766" i="5" s="1"/>
  <c r="E767" i="5" s="1"/>
  <c r="E768" i="5" s="1"/>
  <c r="E769" i="5" s="1"/>
  <c r="E770" i="5" s="1"/>
  <c r="E771" i="5" s="1"/>
  <c r="E772" i="5" s="1"/>
  <c r="E773" i="5" s="1"/>
  <c r="E774" i="5" s="1"/>
  <c r="E775" i="5" s="1"/>
  <c r="E776" i="5" s="1"/>
  <c r="E777" i="5" s="1"/>
  <c r="E778" i="5" s="1"/>
  <c r="E779" i="5" s="1"/>
  <c r="E780" i="5" s="1"/>
  <c r="E781" i="5" s="1"/>
  <c r="E782" i="5" s="1"/>
  <c r="E783" i="5" s="1"/>
  <c r="E784" i="5" s="1"/>
  <c r="E785" i="5" s="1"/>
  <c r="E786" i="5" s="1"/>
  <c r="E787" i="5" s="1"/>
  <c r="E788" i="5" s="1"/>
  <c r="E789" i="5" s="1"/>
  <c r="E790" i="5" s="1"/>
  <c r="E791" i="5" s="1"/>
  <c r="E792" i="5" s="1"/>
  <c r="E793" i="5" s="1"/>
  <c r="E794" i="5" s="1"/>
  <c r="E795" i="5" s="1"/>
  <c r="E796" i="5" s="1"/>
  <c r="E797" i="5" s="1"/>
  <c r="E798" i="5" s="1"/>
  <c r="E799" i="5" s="1"/>
  <c r="E800" i="5" s="1"/>
  <c r="E801" i="5" s="1"/>
  <c r="E802" i="5" s="1"/>
  <c r="E803" i="5" s="1"/>
  <c r="E804" i="5" s="1"/>
  <c r="E805" i="5" s="1"/>
  <c r="E806" i="5" s="1"/>
  <c r="E807" i="5" s="1"/>
  <c r="E808" i="5" s="1"/>
  <c r="E809" i="5" s="1"/>
  <c r="E810" i="5" s="1"/>
  <c r="E811" i="5" s="1"/>
  <c r="E812" i="5" s="1"/>
  <c r="E813" i="5" s="1"/>
  <c r="E814" i="5" s="1"/>
  <c r="E815" i="5" s="1"/>
  <c r="E816" i="5" s="1"/>
  <c r="E817" i="5" s="1"/>
  <c r="E818" i="5" s="1"/>
  <c r="E819" i="5" s="1"/>
  <c r="E820" i="5" s="1"/>
  <c r="E821" i="5" s="1"/>
  <c r="E822" i="5" s="1"/>
  <c r="E823" i="5" s="1"/>
  <c r="E824" i="5" s="1"/>
  <c r="E825" i="5" s="1"/>
  <c r="E826" i="5" s="1"/>
  <c r="E827" i="5" s="1"/>
  <c r="E828" i="5" s="1"/>
  <c r="E829" i="5" s="1"/>
  <c r="E830" i="5" s="1"/>
  <c r="E831" i="5" s="1"/>
  <c r="E832" i="5" s="1"/>
  <c r="E833" i="5" s="1"/>
  <c r="E834" i="5" s="1"/>
  <c r="E835" i="5" s="1"/>
  <c r="E836" i="5" s="1"/>
  <c r="E837" i="5" s="1"/>
  <c r="E838" i="5" s="1"/>
  <c r="E839" i="5" s="1"/>
  <c r="E840" i="5" s="1"/>
  <c r="E841" i="5" s="1"/>
  <c r="E842" i="5" s="1"/>
  <c r="E843" i="5" s="1"/>
  <c r="E844" i="5" s="1"/>
  <c r="E845" i="5" s="1"/>
  <c r="E846" i="5" s="1"/>
  <c r="E847" i="5" s="1"/>
  <c r="E848" i="5" s="1"/>
  <c r="E849" i="5" s="1"/>
  <c r="E850" i="5" s="1"/>
  <c r="E851" i="5" s="1"/>
  <c r="E852" i="5" s="1"/>
  <c r="E853" i="5" s="1"/>
  <c r="E854" i="5" s="1"/>
  <c r="E855" i="5" s="1"/>
  <c r="E856" i="5" s="1"/>
  <c r="E857" i="5" s="1"/>
  <c r="E858" i="5" s="1"/>
  <c r="E859" i="5" s="1"/>
  <c r="E860" i="5" s="1"/>
  <c r="E861" i="5" s="1"/>
  <c r="E862" i="5" s="1"/>
  <c r="E863" i="5" s="1"/>
  <c r="E864" i="5" s="1"/>
  <c r="E865" i="5" s="1"/>
  <c r="E866" i="5" s="1"/>
  <c r="E867" i="5" s="1"/>
  <c r="E868" i="5" s="1"/>
  <c r="E869" i="5" s="1"/>
  <c r="E870" i="5" s="1"/>
  <c r="E871" i="5" s="1"/>
  <c r="E872" i="5" s="1"/>
  <c r="E873" i="5" s="1"/>
  <c r="E874" i="5" s="1"/>
  <c r="E875" i="5" s="1"/>
  <c r="E876" i="5" s="1"/>
  <c r="E877" i="5" s="1"/>
  <c r="E878" i="5" s="1"/>
  <c r="E879" i="5" s="1"/>
  <c r="E880" i="5" s="1"/>
  <c r="E881" i="5" s="1"/>
  <c r="E882" i="5" s="1"/>
  <c r="E883" i="5" s="1"/>
  <c r="E884" i="5" s="1"/>
  <c r="E885" i="5" s="1"/>
  <c r="E886" i="5" s="1"/>
  <c r="E887" i="5" s="1"/>
  <c r="E888" i="5" s="1"/>
  <c r="E889" i="5" s="1"/>
  <c r="E890" i="5" s="1"/>
  <c r="E891" i="5" s="1"/>
  <c r="E892" i="5" s="1"/>
  <c r="E893" i="5" s="1"/>
  <c r="E894" i="5" s="1"/>
  <c r="E895" i="5" s="1"/>
  <c r="E896" i="5" s="1"/>
  <c r="E897" i="5" s="1"/>
  <c r="E898" i="5" s="1"/>
  <c r="E899" i="5" s="1"/>
  <c r="E900" i="5" s="1"/>
  <c r="E901" i="5" s="1"/>
  <c r="E902" i="5" s="1"/>
  <c r="E903" i="5" s="1"/>
  <c r="E904" i="5" s="1"/>
  <c r="E905" i="5" s="1"/>
  <c r="E906" i="5" s="1"/>
  <c r="E907" i="5" s="1"/>
  <c r="E908" i="5" s="1"/>
  <c r="E909" i="5" s="1"/>
  <c r="E910" i="5" s="1"/>
  <c r="E911" i="5" s="1"/>
  <c r="E912" i="5" s="1"/>
  <c r="E913" i="5" s="1"/>
  <c r="E914" i="5" s="1"/>
  <c r="E915" i="5" s="1"/>
  <c r="E916" i="5" s="1"/>
  <c r="E917" i="5" s="1"/>
  <c r="E918" i="5" s="1"/>
  <c r="E919" i="5" s="1"/>
  <c r="E920" i="5" s="1"/>
  <c r="E921" i="5" s="1"/>
  <c r="E922" i="5" s="1"/>
  <c r="E923" i="5" s="1"/>
  <c r="E924" i="5" s="1"/>
  <c r="E925" i="5" s="1"/>
  <c r="E926" i="5" s="1"/>
  <c r="E927" i="5" s="1"/>
  <c r="E928" i="5" s="1"/>
  <c r="E929" i="5" s="1"/>
  <c r="E930" i="5" s="1"/>
  <c r="E931" i="5" s="1"/>
  <c r="E932" i="5" s="1"/>
  <c r="E933" i="5" s="1"/>
  <c r="E934" i="5" s="1"/>
  <c r="E935" i="5" s="1"/>
  <c r="E936" i="5" s="1"/>
  <c r="E937" i="5" s="1"/>
  <c r="E938" i="5" s="1"/>
  <c r="E939" i="5" s="1"/>
  <c r="E940" i="5" s="1"/>
  <c r="E941" i="5" s="1"/>
  <c r="E942" i="5" s="1"/>
  <c r="E943" i="5" s="1"/>
  <c r="E944" i="5" s="1"/>
  <c r="E945" i="5" s="1"/>
  <c r="E946" i="5" s="1"/>
  <c r="E947" i="5" s="1"/>
  <c r="E948" i="5" s="1"/>
  <c r="E949" i="5" s="1"/>
  <c r="E950" i="5" s="1"/>
  <c r="E951" i="5" s="1"/>
  <c r="E952" i="5" s="1"/>
  <c r="E953" i="5" s="1"/>
  <c r="E954" i="5" s="1"/>
  <c r="E955" i="5" s="1"/>
  <c r="E956" i="5" s="1"/>
  <c r="E957" i="5" s="1"/>
  <c r="E958" i="5" s="1"/>
  <c r="E959" i="5" s="1"/>
  <c r="E960" i="5" s="1"/>
  <c r="E961" i="5" s="1"/>
  <c r="E962" i="5" s="1"/>
  <c r="E963" i="5" s="1"/>
  <c r="E964" i="5" s="1"/>
  <c r="E965" i="5" s="1"/>
  <c r="E966" i="5" s="1"/>
  <c r="E967" i="5" s="1"/>
  <c r="E968" i="5" s="1"/>
  <c r="E969" i="5" s="1"/>
  <c r="E970" i="5" s="1"/>
  <c r="E971" i="5" s="1"/>
  <c r="E972" i="5" s="1"/>
  <c r="E973" i="5" s="1"/>
  <c r="E974" i="5" s="1"/>
  <c r="E975" i="5" s="1"/>
  <c r="E976" i="5" s="1"/>
  <c r="E977" i="5" s="1"/>
  <c r="E978" i="5" s="1"/>
  <c r="E979" i="5" s="1"/>
  <c r="E980" i="5" s="1"/>
  <c r="E981" i="5" s="1"/>
  <c r="E982" i="5" s="1"/>
  <c r="E983" i="5" s="1"/>
  <c r="E984" i="5" s="1"/>
  <c r="E985" i="5" s="1"/>
  <c r="E986" i="5" s="1"/>
  <c r="E987" i="5" s="1"/>
  <c r="E988" i="5" s="1"/>
  <c r="E989" i="5" s="1"/>
  <c r="E990" i="5" s="1"/>
  <c r="E991" i="5" s="1"/>
  <c r="E992" i="5" s="1"/>
  <c r="E993" i="5" s="1"/>
  <c r="E994" i="5" s="1"/>
  <c r="E995" i="5" s="1"/>
  <c r="E996" i="5" s="1"/>
  <c r="E997" i="5" s="1"/>
  <c r="E998" i="5" s="1"/>
  <c r="E999" i="5" s="1"/>
  <c r="E1000" i="5" s="1"/>
  <c r="E1001" i="5" s="1"/>
  <c r="E1002" i="5" s="1"/>
  <c r="E1003" i="5" s="1"/>
  <c r="E1004" i="5" s="1"/>
  <c r="E1005" i="5" s="1"/>
  <c r="E1006" i="5" s="1"/>
  <c r="E1007" i="5" s="1"/>
  <c r="E1008" i="5" s="1"/>
  <c r="E1009" i="5" s="1"/>
  <c r="E1010" i="5" s="1"/>
  <c r="E1011" i="5" s="1"/>
  <c r="E1012" i="5" s="1"/>
  <c r="E1013" i="5" s="1"/>
  <c r="E1014" i="5" s="1"/>
  <c r="E1015" i="5" s="1"/>
  <c r="E1016" i="5" s="1"/>
  <c r="E1017" i="5" s="1"/>
  <c r="E1018" i="5" s="1"/>
  <c r="E1019" i="5" s="1"/>
  <c r="E1020" i="5" s="1"/>
  <c r="E1021" i="5" s="1"/>
  <c r="E1022" i="5" s="1"/>
  <c r="E1023" i="5" s="1"/>
  <c r="E1024" i="5" s="1"/>
  <c r="E1025" i="5" s="1"/>
  <c r="E1026" i="5" s="1"/>
  <c r="E1027" i="5" s="1"/>
  <c r="E1028" i="5" s="1"/>
  <c r="E1029" i="5" s="1"/>
  <c r="E1030" i="5" s="1"/>
  <c r="E1031" i="5" s="1"/>
  <c r="E1032" i="5" s="1"/>
  <c r="E1033" i="5" s="1"/>
  <c r="E1034" i="5" s="1"/>
  <c r="E1035" i="5" s="1"/>
  <c r="E1036" i="5" s="1"/>
  <c r="E1037" i="5" s="1"/>
  <c r="E1038" i="5" s="1"/>
  <c r="E1039" i="5" s="1"/>
  <c r="E1040" i="5" s="1"/>
  <c r="E1041" i="5" s="1"/>
  <c r="E1042" i="5" s="1"/>
  <c r="E1043" i="5" s="1"/>
  <c r="E1044" i="5" s="1"/>
  <c r="E1045" i="5" s="1"/>
  <c r="E1046" i="5" s="1"/>
  <c r="E1047" i="5" s="1"/>
  <c r="E1048" i="5" s="1"/>
  <c r="E1049" i="5" s="1"/>
  <c r="E1050" i="5" s="1"/>
  <c r="E1051" i="5" s="1"/>
  <c r="E1052" i="5" s="1"/>
  <c r="E1053" i="5" s="1"/>
  <c r="E1054" i="5" s="1"/>
  <c r="E1055" i="5" s="1"/>
  <c r="E1056" i="5" s="1"/>
  <c r="E1057" i="5" s="1"/>
  <c r="E1058" i="5" s="1"/>
  <c r="E1059" i="5" s="1"/>
  <c r="E1060" i="5" s="1"/>
  <c r="E1061" i="5" s="1"/>
  <c r="E1062" i="5" s="1"/>
  <c r="E1063" i="5" s="1"/>
  <c r="E1064" i="5" s="1"/>
  <c r="E1065" i="5" s="1"/>
  <c r="E1066" i="5" s="1"/>
  <c r="E1067" i="5" s="1"/>
  <c r="E1068" i="5" s="1"/>
  <c r="E1069" i="5" s="1"/>
  <c r="E1070" i="5" s="1"/>
  <c r="E1071" i="5" s="1"/>
  <c r="E1072" i="5" s="1"/>
  <c r="E1073" i="5" s="1"/>
  <c r="E1074" i="5" s="1"/>
  <c r="E1075" i="5" s="1"/>
  <c r="E1076" i="5" s="1"/>
  <c r="E1077" i="5" s="1"/>
  <c r="E1078" i="5" s="1"/>
  <c r="E1079" i="5" s="1"/>
  <c r="E1080" i="5" s="1"/>
  <c r="E1081" i="5" s="1"/>
  <c r="E1082" i="5" s="1"/>
  <c r="E1083" i="5" s="1"/>
  <c r="E1084" i="5" s="1"/>
  <c r="E1085" i="5" s="1"/>
  <c r="E1086" i="5" s="1"/>
  <c r="E1087" i="5" s="1"/>
  <c r="E1088" i="5" s="1"/>
  <c r="E1089" i="5" s="1"/>
  <c r="E1090" i="5" s="1"/>
  <c r="E1091" i="5" s="1"/>
  <c r="E1092" i="5" s="1"/>
  <c r="E1093" i="5" s="1"/>
  <c r="E1094" i="5" s="1"/>
  <c r="E1095" i="5" s="1"/>
  <c r="E1096" i="5" s="1"/>
  <c r="E1097" i="5" s="1"/>
  <c r="E1098" i="5" s="1"/>
  <c r="E1099" i="5" s="1"/>
  <c r="E1100" i="5" s="1"/>
  <c r="E1101" i="5" s="1"/>
  <c r="E1102" i="5" s="1"/>
  <c r="E1103" i="5" s="1"/>
  <c r="E1104" i="5" s="1"/>
  <c r="E1105" i="5" s="1"/>
  <c r="E1106" i="5" s="1"/>
  <c r="E1107" i="5" s="1"/>
  <c r="E1108" i="5" s="1"/>
  <c r="E1109" i="5" s="1"/>
  <c r="E1110" i="5" s="1"/>
  <c r="E1111" i="5" s="1"/>
  <c r="E1112" i="5" s="1"/>
  <c r="E1113" i="5" s="1"/>
  <c r="E1114" i="5" s="1"/>
  <c r="E1115" i="5" s="1"/>
  <c r="E1116" i="5" s="1"/>
  <c r="E1117" i="5" s="1"/>
  <c r="E1118" i="5" s="1"/>
  <c r="E1119" i="5" s="1"/>
  <c r="E1120" i="5" s="1"/>
  <c r="E1121" i="5" s="1"/>
  <c r="E1122" i="5" s="1"/>
  <c r="E1123" i="5" s="1"/>
  <c r="E1124" i="5" s="1"/>
  <c r="E1125" i="5" s="1"/>
  <c r="E1126" i="5" s="1"/>
  <c r="E1127" i="5" s="1"/>
  <c r="E1128" i="5" s="1"/>
  <c r="E1129" i="5" s="1"/>
  <c r="E1130" i="5" s="1"/>
  <c r="E1131" i="5" s="1"/>
  <c r="E1132" i="5" s="1"/>
  <c r="E1133" i="5" s="1"/>
  <c r="E1134" i="5" s="1"/>
  <c r="E1135" i="5" s="1"/>
  <c r="E1136" i="5" s="1"/>
  <c r="E1137" i="5" s="1"/>
  <c r="E1138" i="5" s="1"/>
  <c r="E1139" i="5" s="1"/>
  <c r="E1140" i="5" s="1"/>
  <c r="E1141" i="5" s="1"/>
  <c r="E1142" i="5" s="1"/>
  <c r="E1143" i="5" s="1"/>
  <c r="E1144" i="5" s="1"/>
  <c r="E1145" i="5" s="1"/>
  <c r="E1146" i="5" s="1"/>
  <c r="E1147" i="5" s="1"/>
  <c r="E1148" i="5" s="1"/>
  <c r="E1149" i="5" s="1"/>
  <c r="E1150" i="5" s="1"/>
  <c r="E1151" i="5" s="1"/>
  <c r="E1152" i="5" s="1"/>
  <c r="E1153" i="5" s="1"/>
  <c r="E1154" i="5" s="1"/>
  <c r="E1155" i="5" s="1"/>
  <c r="E1156" i="5" s="1"/>
  <c r="E1157" i="5" s="1"/>
  <c r="E1158" i="5" s="1"/>
  <c r="E1159" i="5" s="1"/>
  <c r="E1160" i="5" s="1"/>
  <c r="E1161" i="5" s="1"/>
  <c r="E1162" i="5" s="1"/>
  <c r="E1163" i="5" s="1"/>
  <c r="E1164" i="5" s="1"/>
  <c r="E1165" i="5" s="1"/>
  <c r="E1166" i="5" s="1"/>
  <c r="E1167" i="5" s="1"/>
  <c r="E1168" i="5" s="1"/>
  <c r="E1169" i="5" s="1"/>
  <c r="E1170" i="5" s="1"/>
  <c r="E1171" i="5" s="1"/>
  <c r="E1172" i="5" s="1"/>
  <c r="E1173" i="5" s="1"/>
  <c r="E1174" i="5" s="1"/>
  <c r="E1175" i="5" s="1"/>
  <c r="E1176" i="5" s="1"/>
  <c r="E1177" i="5" s="1"/>
  <c r="E1178" i="5" s="1"/>
  <c r="E1179" i="5" s="1"/>
  <c r="E1180" i="5" s="1"/>
  <c r="E1181" i="5" s="1"/>
  <c r="E1182" i="5" s="1"/>
  <c r="E1183" i="5" s="1"/>
  <c r="E1184" i="5" s="1"/>
  <c r="E1185" i="5" s="1"/>
  <c r="E1186" i="5" s="1"/>
  <c r="E1187" i="5" s="1"/>
  <c r="E1188" i="5" s="1"/>
  <c r="E1189" i="5" s="1"/>
  <c r="E1190" i="5" s="1"/>
  <c r="E1191" i="5" s="1"/>
  <c r="E1192" i="5" s="1"/>
  <c r="E1193" i="5" s="1"/>
  <c r="E1194" i="5" s="1"/>
  <c r="E1195" i="5" s="1"/>
  <c r="E1196" i="5" s="1"/>
  <c r="E1197" i="5" s="1"/>
  <c r="E1198" i="5" s="1"/>
  <c r="E1199" i="5" s="1"/>
  <c r="E1200" i="5" s="1"/>
  <c r="E1201" i="5" s="1"/>
  <c r="E1202" i="5" s="1"/>
  <c r="E1203" i="5" s="1"/>
  <c r="E1204" i="5" s="1"/>
  <c r="E1205" i="5" s="1"/>
  <c r="E1206" i="5" s="1"/>
  <c r="E1207" i="5" s="1"/>
  <c r="E1208" i="5" s="1"/>
  <c r="E1209" i="5" s="1"/>
  <c r="E1210" i="5" s="1"/>
  <c r="E1211" i="5" s="1"/>
  <c r="E1212" i="5" s="1"/>
  <c r="E1213" i="5" s="1"/>
  <c r="E1214" i="5" s="1"/>
  <c r="E1215" i="5" s="1"/>
  <c r="E1216" i="5" s="1"/>
  <c r="E1217" i="5" s="1"/>
  <c r="E1218" i="5" s="1"/>
  <c r="E1219" i="5" s="1"/>
  <c r="E1220" i="5" s="1"/>
  <c r="E1221" i="5" s="1"/>
  <c r="E1222" i="5" s="1"/>
  <c r="E1223" i="5" s="1"/>
  <c r="E1224" i="5" s="1"/>
  <c r="E1225" i="5" s="1"/>
  <c r="E1226" i="5" s="1"/>
  <c r="E1227" i="5" s="1"/>
  <c r="E1228" i="5" s="1"/>
  <c r="E1229" i="5" s="1"/>
  <c r="E1230" i="5" s="1"/>
  <c r="E1231" i="5" s="1"/>
  <c r="E1232" i="5" s="1"/>
  <c r="E1233" i="5" s="1"/>
  <c r="E1234" i="5" s="1"/>
  <c r="E1235" i="5" s="1"/>
  <c r="E1236" i="5" s="1"/>
  <c r="E1237" i="5" s="1"/>
  <c r="E1238" i="5" s="1"/>
  <c r="E1239" i="5" s="1"/>
  <c r="E1240" i="5" s="1"/>
  <c r="E1241" i="5" s="1"/>
  <c r="E1242" i="5" s="1"/>
  <c r="E1243" i="5" s="1"/>
  <c r="E1244" i="5" s="1"/>
  <c r="E1245" i="5" s="1"/>
  <c r="E1246" i="5" s="1"/>
  <c r="E1247" i="5" s="1"/>
  <c r="E1248" i="5" s="1"/>
  <c r="E1249" i="5" s="1"/>
  <c r="E1250" i="5" s="1"/>
  <c r="E1251" i="5" s="1"/>
  <c r="E1252" i="5" s="1"/>
  <c r="E1253" i="5" s="1"/>
  <c r="E1254" i="5" s="1"/>
  <c r="E1255" i="5" s="1"/>
  <c r="E1256" i="5" s="1"/>
  <c r="E1257" i="5" s="1"/>
  <c r="E1258" i="5" s="1"/>
  <c r="E1259" i="5" s="1"/>
  <c r="E1260" i="5" s="1"/>
  <c r="E1261" i="5" s="1"/>
  <c r="E1262" i="5" s="1"/>
  <c r="E1263" i="5" s="1"/>
  <c r="E1264" i="5" s="1"/>
  <c r="E1265" i="5" s="1"/>
  <c r="E1266" i="5" s="1"/>
  <c r="E1267" i="5" s="1"/>
  <c r="E1268" i="5" s="1"/>
  <c r="E1269" i="5" s="1"/>
  <c r="E1270" i="5" s="1"/>
  <c r="E1271" i="5" s="1"/>
  <c r="E1272" i="5" s="1"/>
  <c r="E1273" i="5" s="1"/>
  <c r="E1274" i="5" s="1"/>
  <c r="E1275" i="5" s="1"/>
  <c r="E1276" i="5" s="1"/>
  <c r="E1277" i="5" s="1"/>
  <c r="E1278" i="5" s="1"/>
  <c r="E1279" i="5" s="1"/>
  <c r="E1280" i="5" s="1"/>
  <c r="E1281" i="5" s="1"/>
  <c r="E1282" i="5" s="1"/>
  <c r="E1283" i="5" s="1"/>
  <c r="E1284" i="5" s="1"/>
  <c r="E1285" i="5" s="1"/>
  <c r="E1286" i="5" s="1"/>
  <c r="E1287" i="5" s="1"/>
  <c r="E1288" i="5" s="1"/>
  <c r="E1289" i="5" s="1"/>
  <c r="E1290" i="5" s="1"/>
  <c r="E1291" i="5" s="1"/>
  <c r="E1292" i="5" s="1"/>
  <c r="E1293" i="5" s="1"/>
  <c r="E1294" i="5" s="1"/>
  <c r="E1295" i="5" s="1"/>
  <c r="E1296" i="5" s="1"/>
  <c r="E1297" i="5" s="1"/>
  <c r="E1298" i="5" s="1"/>
  <c r="E1299" i="5" s="1"/>
  <c r="E1300" i="5" s="1"/>
  <c r="E1301" i="5" s="1"/>
  <c r="E1302" i="5" s="1"/>
  <c r="E1303" i="5" s="1"/>
  <c r="E1304" i="5" s="1"/>
  <c r="E1305" i="5" s="1"/>
  <c r="E1306" i="5" s="1"/>
  <c r="E1307" i="5" s="1"/>
  <c r="E1308" i="5" s="1"/>
  <c r="E1309" i="5" s="1"/>
  <c r="E1310" i="5" s="1"/>
  <c r="E1311" i="5" s="1"/>
  <c r="E1312" i="5" s="1"/>
  <c r="E1313" i="5" s="1"/>
  <c r="E1314" i="5" s="1"/>
  <c r="E1315" i="5" s="1"/>
  <c r="E1316" i="5" s="1"/>
  <c r="E1317" i="5" s="1"/>
  <c r="E1318" i="5" s="1"/>
  <c r="E1319" i="5" s="1"/>
  <c r="E1320" i="5" s="1"/>
  <c r="E1321" i="5" s="1"/>
  <c r="E1322" i="5" s="1"/>
  <c r="E1323" i="5" s="1"/>
  <c r="E1324" i="5" s="1"/>
  <c r="E1325" i="5" s="1"/>
  <c r="E1326" i="5" s="1"/>
  <c r="E1327" i="5" s="1"/>
  <c r="E1328" i="5" s="1"/>
  <c r="E1329" i="5" s="1"/>
  <c r="E1330" i="5" s="1"/>
  <c r="E1331" i="5" s="1"/>
  <c r="E1332" i="5" s="1"/>
  <c r="E1333" i="5" s="1"/>
  <c r="E1334" i="5" s="1"/>
  <c r="E1335" i="5" s="1"/>
  <c r="E1336" i="5" s="1"/>
  <c r="E1337" i="5" s="1"/>
  <c r="E1338" i="5" s="1"/>
  <c r="E1339" i="5" s="1"/>
  <c r="E1340" i="5" s="1"/>
  <c r="E1341" i="5" s="1"/>
  <c r="E1342" i="5" s="1"/>
  <c r="E1343" i="5" s="1"/>
  <c r="E1344" i="5" s="1"/>
  <c r="E1345" i="5" s="1"/>
  <c r="E1346" i="5" s="1"/>
  <c r="E1347" i="5" s="1"/>
  <c r="E1348" i="5" s="1"/>
  <c r="E1349" i="5" s="1"/>
  <c r="E1350" i="5" s="1"/>
  <c r="E1351" i="5" s="1"/>
  <c r="E1352" i="5" s="1"/>
  <c r="E1353" i="5" s="1"/>
  <c r="E1354" i="5" s="1"/>
  <c r="E1355" i="5" s="1"/>
  <c r="E1356" i="5" s="1"/>
  <c r="E1357" i="5" s="1"/>
  <c r="E1358" i="5" s="1"/>
  <c r="E1359" i="5" s="1"/>
  <c r="E1360" i="5" s="1"/>
  <c r="E1361" i="5" s="1"/>
  <c r="E1362" i="5" s="1"/>
  <c r="E1363" i="5" s="1"/>
  <c r="E1364" i="5" s="1"/>
  <c r="E1365" i="5" s="1"/>
  <c r="E1366" i="5" s="1"/>
  <c r="E1367" i="5" s="1"/>
  <c r="E1368" i="5" s="1"/>
  <c r="E1369" i="5" s="1"/>
  <c r="E1370" i="5" s="1"/>
  <c r="E1371" i="5" s="1"/>
  <c r="E1372" i="5" s="1"/>
  <c r="E1373" i="5" s="1"/>
  <c r="E1374" i="5" s="1"/>
  <c r="E1375" i="5" s="1"/>
  <c r="E1376" i="5" s="1"/>
  <c r="E1377" i="5" s="1"/>
  <c r="E1378" i="5" s="1"/>
  <c r="E1379" i="5" s="1"/>
  <c r="E1380" i="5" s="1"/>
  <c r="E1381" i="5" s="1"/>
  <c r="E1382" i="5" s="1"/>
  <c r="E1383" i="5" s="1"/>
  <c r="E1384" i="5" s="1"/>
  <c r="E1385" i="5" s="1"/>
  <c r="E1386" i="5" s="1"/>
  <c r="E1387" i="5" s="1"/>
  <c r="E1388" i="5" s="1"/>
  <c r="E1389" i="5" s="1"/>
  <c r="E1390" i="5" s="1"/>
  <c r="E1391" i="5" s="1"/>
  <c r="E1392" i="5" s="1"/>
  <c r="E1393" i="5" s="1"/>
  <c r="E1394" i="5" s="1"/>
  <c r="E1395" i="5" s="1"/>
  <c r="E1396" i="5" s="1"/>
  <c r="E1397" i="5" s="1"/>
  <c r="E1398" i="5" s="1"/>
  <c r="E1399" i="5" s="1"/>
  <c r="E1400" i="5" s="1"/>
  <c r="E1401" i="5" s="1"/>
  <c r="E1402" i="5" s="1"/>
  <c r="E1403" i="5" s="1"/>
  <c r="E1404" i="5" s="1"/>
  <c r="E1405" i="5" s="1"/>
  <c r="E1406" i="5" s="1"/>
  <c r="E1407" i="5" s="1"/>
  <c r="E1408" i="5" s="1"/>
  <c r="E1409" i="5" s="1"/>
  <c r="E1410" i="5" s="1"/>
  <c r="E1411" i="5" s="1"/>
  <c r="E1412" i="5" s="1"/>
  <c r="E1413" i="5" s="1"/>
  <c r="E1414" i="5" s="1"/>
  <c r="E1415" i="5" s="1"/>
  <c r="E1416" i="5" s="1"/>
  <c r="E1417" i="5" s="1"/>
  <c r="E1418" i="5" s="1"/>
  <c r="E1419" i="5" s="1"/>
  <c r="E1420" i="5" s="1"/>
  <c r="E1421" i="5" s="1"/>
  <c r="E1422" i="5" s="1"/>
  <c r="E1423" i="5" s="1"/>
  <c r="E1424" i="5" s="1"/>
  <c r="E1425" i="5" s="1"/>
  <c r="E1426" i="5" s="1"/>
  <c r="E1427" i="5" s="1"/>
  <c r="E1428" i="5" s="1"/>
  <c r="E1429" i="5" s="1"/>
  <c r="E1430" i="5" s="1"/>
  <c r="E1431" i="5" s="1"/>
  <c r="E1432" i="5" s="1"/>
  <c r="E1433" i="5" s="1"/>
  <c r="E1434" i="5" s="1"/>
  <c r="E1435" i="5" s="1"/>
  <c r="E1436" i="5" s="1"/>
  <c r="E1437" i="5" s="1"/>
  <c r="E1438" i="5" s="1"/>
  <c r="E1439" i="5" s="1"/>
  <c r="E1440" i="5" s="1"/>
  <c r="E1441" i="5" s="1"/>
  <c r="E1442" i="5" s="1"/>
  <c r="E1443" i="5" s="1"/>
  <c r="E1444" i="5" s="1"/>
  <c r="E1445" i="5" s="1"/>
  <c r="E1446" i="5" s="1"/>
  <c r="E1447" i="5" s="1"/>
  <c r="E1448" i="5" s="1"/>
  <c r="E1449" i="5" s="1"/>
  <c r="E1450" i="5" s="1"/>
  <c r="E1451" i="5" s="1"/>
  <c r="E1452" i="5" s="1"/>
  <c r="E1453" i="5" s="1"/>
  <c r="E1454" i="5" s="1"/>
  <c r="E1455" i="5" s="1"/>
  <c r="E1456" i="5" s="1"/>
  <c r="E1457" i="5" s="1"/>
  <c r="E1458" i="5" s="1"/>
  <c r="E1459" i="5" s="1"/>
  <c r="E1460" i="5" s="1"/>
  <c r="E1461" i="5" s="1"/>
  <c r="E1462" i="5" s="1"/>
  <c r="E1463" i="5" s="1"/>
  <c r="E1464" i="5" s="1"/>
  <c r="E1465" i="5" s="1"/>
  <c r="E1466" i="5" s="1"/>
  <c r="E1467" i="5" s="1"/>
  <c r="E1468" i="5" s="1"/>
  <c r="E1469" i="5" s="1"/>
  <c r="E1470" i="5" s="1"/>
  <c r="E1471" i="5" s="1"/>
  <c r="E1472" i="5" s="1"/>
  <c r="E1473" i="5" s="1"/>
  <c r="E1474" i="5" s="1"/>
  <c r="E1475" i="5" s="1"/>
  <c r="E1476" i="5" s="1"/>
  <c r="E1477" i="5" s="1"/>
  <c r="E1478" i="5" s="1"/>
  <c r="E1479" i="5" s="1"/>
  <c r="E1480" i="5" s="1"/>
  <c r="E1481" i="5" s="1"/>
  <c r="E1482" i="5" s="1"/>
  <c r="E1483" i="5" s="1"/>
  <c r="E1484" i="5" s="1"/>
  <c r="E1485" i="5" s="1"/>
  <c r="E1486" i="5" s="1"/>
  <c r="E1487" i="5" s="1"/>
  <c r="E1488" i="5" s="1"/>
  <c r="E1489" i="5" s="1"/>
  <c r="E1490" i="5" s="1"/>
  <c r="E1491" i="5" s="1"/>
  <c r="E1492" i="5" s="1"/>
  <c r="E1493" i="5" s="1"/>
  <c r="E1494" i="5" s="1"/>
  <c r="E1495" i="5" s="1"/>
  <c r="E1496" i="5" s="1"/>
  <c r="E1497" i="5" s="1"/>
  <c r="E1498" i="5" s="1"/>
  <c r="E1499" i="5" s="1"/>
  <c r="E1500" i="5" s="1"/>
  <c r="E1501" i="5" s="1"/>
  <c r="E1502" i="5" s="1"/>
  <c r="E1503" i="5" s="1"/>
  <c r="E1504" i="5" s="1"/>
  <c r="E1505" i="5" s="1"/>
  <c r="E1506" i="5" s="1"/>
  <c r="E1507" i="5" s="1"/>
  <c r="E1508" i="5" s="1"/>
  <c r="E1509" i="5" s="1"/>
  <c r="E1510" i="5" s="1"/>
  <c r="E1511" i="5" s="1"/>
  <c r="E1512" i="5" s="1"/>
  <c r="E1513" i="5" s="1"/>
  <c r="E1514" i="5" s="1"/>
  <c r="E1515" i="5" s="1"/>
  <c r="E1516" i="5" s="1"/>
  <c r="E1517" i="5" s="1"/>
  <c r="E1518" i="5" s="1"/>
  <c r="E1519" i="5" s="1"/>
  <c r="E1520" i="5" s="1"/>
  <c r="E1521" i="5" s="1"/>
  <c r="E1522" i="5" s="1"/>
  <c r="E1523" i="5" s="1"/>
  <c r="E1524" i="5" s="1"/>
  <c r="E1525" i="5" s="1"/>
  <c r="E1526" i="5" s="1"/>
  <c r="E1527" i="5" s="1"/>
  <c r="E1528" i="5" s="1"/>
  <c r="E1529" i="5" s="1"/>
  <c r="E1530" i="5" s="1"/>
  <c r="E1531" i="5" s="1"/>
  <c r="E1532" i="5" s="1"/>
  <c r="E1533" i="5" s="1"/>
  <c r="E1534" i="5" s="1"/>
  <c r="E1535" i="5" s="1"/>
  <c r="E1536" i="5" s="1"/>
  <c r="E1537" i="5" s="1"/>
  <c r="E1538" i="5" s="1"/>
  <c r="E1539" i="5" s="1"/>
  <c r="E1540" i="5" s="1"/>
  <c r="E1541" i="5" s="1"/>
  <c r="E1542" i="5" s="1"/>
  <c r="E1543" i="5" s="1"/>
  <c r="E1544" i="5" s="1"/>
  <c r="E1545" i="5" s="1"/>
  <c r="E1546" i="5" s="1"/>
  <c r="E1547" i="5" s="1"/>
  <c r="E1548" i="5" s="1"/>
  <c r="E1549" i="5" s="1"/>
  <c r="E1550" i="5" s="1"/>
  <c r="E1551" i="5" s="1"/>
  <c r="E1552" i="5" s="1"/>
  <c r="E1553" i="5" s="1"/>
  <c r="E1554" i="5" s="1"/>
  <c r="E1555" i="5" s="1"/>
  <c r="E1556" i="5" s="1"/>
  <c r="E1557" i="5" s="1"/>
  <c r="E1558" i="5" s="1"/>
  <c r="E1559" i="5" s="1"/>
  <c r="E1560" i="5" s="1"/>
  <c r="E1561" i="5" s="1"/>
  <c r="E1562" i="5" s="1"/>
  <c r="E1563" i="5" s="1"/>
  <c r="E1564" i="5" s="1"/>
  <c r="E1565" i="5" s="1"/>
  <c r="E1566" i="5" s="1"/>
  <c r="E1567" i="5" s="1"/>
  <c r="E1568" i="5" s="1"/>
  <c r="E1569" i="5" s="1"/>
  <c r="E1570" i="5" s="1"/>
  <c r="E1571" i="5" s="1"/>
  <c r="E1572" i="5" s="1"/>
  <c r="E1573" i="5" s="1"/>
  <c r="E1574" i="5" s="1"/>
  <c r="E1575" i="5" s="1"/>
  <c r="E1576" i="5" s="1"/>
  <c r="E1577" i="5" s="1"/>
  <c r="E1578" i="5" s="1"/>
  <c r="E1579" i="5" s="1"/>
  <c r="E1580" i="5" s="1"/>
  <c r="E1581" i="5" s="1"/>
  <c r="E1582" i="5" s="1"/>
  <c r="E1583" i="5" s="1"/>
  <c r="E1584" i="5" s="1"/>
  <c r="E1585" i="5" s="1"/>
  <c r="E1586" i="5" s="1"/>
  <c r="E1587" i="5" s="1"/>
  <c r="E1588" i="5" s="1"/>
  <c r="E1589" i="5" s="1"/>
  <c r="E1590" i="5" s="1"/>
  <c r="E1591" i="5" s="1"/>
  <c r="E1592" i="5" s="1"/>
  <c r="E1593" i="5" s="1"/>
  <c r="E1594" i="5" s="1"/>
  <c r="E1595" i="5" s="1"/>
  <c r="E1596" i="5" s="1"/>
  <c r="E1597" i="5" s="1"/>
  <c r="E1598" i="5" s="1"/>
  <c r="E1599" i="5" s="1"/>
  <c r="E1600" i="5" s="1"/>
  <c r="E1601" i="5" s="1"/>
  <c r="E1602" i="5" s="1"/>
  <c r="E1603" i="5" s="1"/>
  <c r="E1604" i="5" s="1"/>
  <c r="E1605" i="5" s="1"/>
  <c r="E1606" i="5" s="1"/>
  <c r="E1607" i="5" s="1"/>
  <c r="E1608" i="5" s="1"/>
  <c r="E1609" i="5" s="1"/>
  <c r="E1610" i="5" s="1"/>
  <c r="E1611" i="5" s="1"/>
  <c r="E1612" i="5" s="1"/>
  <c r="E1613" i="5" s="1"/>
  <c r="E1614" i="5" s="1"/>
  <c r="E1615" i="5" s="1"/>
  <c r="E1616" i="5" s="1"/>
  <c r="E1617" i="5" s="1"/>
  <c r="E1618" i="5" s="1"/>
  <c r="E1619" i="5" s="1"/>
  <c r="E1620" i="5" s="1"/>
  <c r="E1621" i="5" s="1"/>
  <c r="E1622" i="5" s="1"/>
  <c r="E1623" i="5" s="1"/>
  <c r="E1624" i="5" s="1"/>
  <c r="E1625" i="5" s="1"/>
  <c r="E1626" i="5" s="1"/>
  <c r="E1627" i="5" s="1"/>
  <c r="E1628" i="5" s="1"/>
  <c r="E1629" i="5" s="1"/>
  <c r="E1630" i="5" s="1"/>
  <c r="E1631" i="5" s="1"/>
  <c r="E1632" i="5" s="1"/>
  <c r="E1633" i="5" s="1"/>
  <c r="E1634" i="5" s="1"/>
  <c r="E1635" i="5" s="1"/>
  <c r="E1636" i="5" s="1"/>
  <c r="E1637" i="5" s="1"/>
  <c r="E1638" i="5" s="1"/>
  <c r="E1639" i="5" s="1"/>
  <c r="E1640" i="5" s="1"/>
  <c r="E1641" i="5" s="1"/>
  <c r="E1642" i="5" s="1"/>
  <c r="E1643" i="5" s="1"/>
  <c r="E1644" i="5" s="1"/>
  <c r="E1645" i="5" s="1"/>
  <c r="E1646" i="5" s="1"/>
  <c r="E1647" i="5" s="1"/>
  <c r="E1648" i="5" s="1"/>
  <c r="E1649" i="5" s="1"/>
  <c r="E1650" i="5" s="1"/>
  <c r="E1651" i="5" s="1"/>
  <c r="E1652" i="5" s="1"/>
  <c r="E1653" i="5" s="1"/>
  <c r="E1654" i="5" s="1"/>
  <c r="E1655" i="5" s="1"/>
  <c r="E1656" i="5" s="1"/>
  <c r="E1657" i="5" s="1"/>
  <c r="E1658" i="5" s="1"/>
  <c r="E1659" i="5" s="1"/>
  <c r="E1660" i="5" s="1"/>
  <c r="E1661" i="5" s="1"/>
  <c r="E1662" i="5" s="1"/>
  <c r="E1663" i="5" s="1"/>
  <c r="E1664" i="5" s="1"/>
  <c r="E1665" i="5" s="1"/>
  <c r="E1666" i="5" s="1"/>
  <c r="E1667" i="5" s="1"/>
  <c r="E1668" i="5" s="1"/>
  <c r="E1669" i="5" s="1"/>
  <c r="E1670" i="5" s="1"/>
  <c r="E1671" i="5" s="1"/>
  <c r="E1672" i="5" s="1"/>
  <c r="E1673" i="5" s="1"/>
  <c r="E1674" i="5" s="1"/>
  <c r="E1675" i="5" s="1"/>
  <c r="E1676" i="5" s="1"/>
  <c r="E1677" i="5" s="1"/>
  <c r="E1678" i="5" s="1"/>
  <c r="E1679" i="5" s="1"/>
  <c r="E1680" i="5" s="1"/>
  <c r="E1681" i="5" s="1"/>
  <c r="E1682" i="5" s="1"/>
  <c r="E1683" i="5" s="1"/>
  <c r="E1684" i="5" s="1"/>
  <c r="E1685" i="5" s="1"/>
  <c r="E1686" i="5" s="1"/>
  <c r="E1687" i="5" s="1"/>
  <c r="E1688" i="5" s="1"/>
  <c r="E1689" i="5" s="1"/>
  <c r="E1690" i="5" s="1"/>
  <c r="E1691" i="5" s="1"/>
  <c r="E1692" i="5" s="1"/>
  <c r="E1693" i="5" s="1"/>
  <c r="E1694" i="5" s="1"/>
  <c r="E1695" i="5" s="1"/>
  <c r="E1696" i="5" s="1"/>
  <c r="E1697" i="5" s="1"/>
  <c r="E1698" i="5" s="1"/>
  <c r="E1699" i="5" s="1"/>
  <c r="E1700" i="5" s="1"/>
  <c r="E1701" i="5" s="1"/>
  <c r="E1702" i="5" s="1"/>
  <c r="E1703" i="5" s="1"/>
  <c r="E1704" i="5" s="1"/>
  <c r="E1705" i="5" s="1"/>
  <c r="E1706" i="5" s="1"/>
  <c r="E1707" i="5" s="1"/>
  <c r="E1708" i="5" s="1"/>
  <c r="E1709" i="5" s="1"/>
  <c r="E1710" i="5" s="1"/>
  <c r="E1711" i="5" s="1"/>
  <c r="E1712" i="5" s="1"/>
  <c r="E1713" i="5" s="1"/>
  <c r="E1714" i="5" s="1"/>
  <c r="E1715" i="5" s="1"/>
  <c r="E1716" i="5" s="1"/>
  <c r="E1717" i="5" s="1"/>
  <c r="E1718" i="5" s="1"/>
  <c r="E1719" i="5" s="1"/>
  <c r="E1720" i="5" s="1"/>
  <c r="E1721" i="5" s="1"/>
  <c r="E1722" i="5" s="1"/>
  <c r="E1723" i="5" s="1"/>
  <c r="E1724" i="5" s="1"/>
  <c r="E1725" i="5" s="1"/>
  <c r="E1726" i="5" s="1"/>
  <c r="E1727" i="5" s="1"/>
  <c r="E1728" i="5" s="1"/>
  <c r="E1729" i="5" s="1"/>
  <c r="E1730" i="5" s="1"/>
  <c r="E1731" i="5" s="1"/>
  <c r="E1732" i="5" s="1"/>
  <c r="E1733" i="5" s="1"/>
  <c r="E1734" i="5" s="1"/>
  <c r="E1735" i="5" s="1"/>
  <c r="E1736" i="5" s="1"/>
  <c r="E1737" i="5" s="1"/>
  <c r="E1738" i="5" s="1"/>
  <c r="E1739" i="5" s="1"/>
  <c r="E1740" i="5" s="1"/>
  <c r="E1741" i="5" s="1"/>
  <c r="E1742" i="5" s="1"/>
  <c r="E1743" i="5" s="1"/>
  <c r="E1744" i="5" s="1"/>
  <c r="E1745" i="5" s="1"/>
  <c r="E1746" i="5" s="1"/>
  <c r="E1747" i="5" s="1"/>
  <c r="E1748" i="5" s="1"/>
  <c r="E1749" i="5" s="1"/>
  <c r="E1750" i="5" s="1"/>
  <c r="E1751" i="5" s="1"/>
  <c r="E1752" i="5" s="1"/>
  <c r="E1753" i="5" s="1"/>
  <c r="E1754" i="5" s="1"/>
  <c r="E1755" i="5" s="1"/>
  <c r="E1756" i="5" s="1"/>
  <c r="E1757" i="5" s="1"/>
  <c r="E1758" i="5" s="1"/>
  <c r="E1759" i="5" s="1"/>
  <c r="E1760" i="5" s="1"/>
  <c r="E1761" i="5" s="1"/>
  <c r="E1762" i="5" s="1"/>
  <c r="E1763" i="5" s="1"/>
  <c r="E1764" i="5" s="1"/>
  <c r="E1765" i="5" s="1"/>
  <c r="E1766" i="5" s="1"/>
  <c r="E1767" i="5" s="1"/>
  <c r="E1768" i="5" s="1"/>
  <c r="E1769" i="5" s="1"/>
  <c r="E1770" i="5" s="1"/>
  <c r="E1771" i="5" s="1"/>
  <c r="E1772" i="5" s="1"/>
  <c r="E1773" i="5" s="1"/>
  <c r="E1774" i="5" s="1"/>
  <c r="E1775" i="5" s="1"/>
  <c r="E1776" i="5" s="1"/>
  <c r="E1777" i="5" s="1"/>
  <c r="E1778" i="5" s="1"/>
  <c r="E1779" i="5" s="1"/>
  <c r="E1780" i="5" s="1"/>
  <c r="E1781" i="5" s="1"/>
  <c r="E1782" i="5" s="1"/>
  <c r="E1783" i="5" s="1"/>
  <c r="E1784" i="5" s="1"/>
  <c r="E1785" i="5" s="1"/>
  <c r="E1786" i="5" s="1"/>
  <c r="E1787" i="5" s="1"/>
  <c r="E1788" i="5" s="1"/>
  <c r="E1789" i="5" s="1"/>
  <c r="E1790" i="5" s="1"/>
  <c r="E1791" i="5" s="1"/>
  <c r="E1792" i="5" s="1"/>
  <c r="E1793" i="5" s="1"/>
  <c r="E1794" i="5" s="1"/>
  <c r="E1795" i="5" s="1"/>
  <c r="E1796" i="5" s="1"/>
  <c r="E1797" i="5" s="1"/>
  <c r="E1798" i="5" s="1"/>
  <c r="E1799" i="5" s="1"/>
  <c r="E1800" i="5" s="1"/>
  <c r="E1801" i="5" s="1"/>
  <c r="E1802" i="5" s="1"/>
  <c r="E1803" i="5" s="1"/>
  <c r="E1804" i="5" s="1"/>
  <c r="E1805" i="5" s="1"/>
  <c r="E1806" i="5" s="1"/>
  <c r="E1807" i="5" s="1"/>
  <c r="E1808" i="5" s="1"/>
  <c r="E1809" i="5" s="1"/>
  <c r="E1810" i="5" s="1"/>
  <c r="E1811" i="5" s="1"/>
  <c r="E1812" i="5" s="1"/>
  <c r="E1813" i="5" s="1"/>
  <c r="E1814" i="5" s="1"/>
  <c r="E1815" i="5" s="1"/>
  <c r="E1816" i="5" s="1"/>
  <c r="E1817" i="5" s="1"/>
  <c r="E1818" i="5" s="1"/>
  <c r="E1819" i="5" s="1"/>
  <c r="E1820" i="5" s="1"/>
  <c r="E1821" i="5" s="1"/>
  <c r="E1822" i="5" s="1"/>
  <c r="E1823" i="5" s="1"/>
  <c r="E1824" i="5" s="1"/>
  <c r="E1825" i="5" s="1"/>
  <c r="E1826" i="5" s="1"/>
  <c r="E1827" i="5" s="1"/>
  <c r="E1828" i="5" s="1"/>
  <c r="E1829" i="5" s="1"/>
  <c r="E1830" i="5" s="1"/>
  <c r="E1831" i="5" s="1"/>
  <c r="E1832" i="5" s="1"/>
  <c r="E1833" i="5" s="1"/>
  <c r="E1834" i="5" s="1"/>
  <c r="E1835" i="5" s="1"/>
  <c r="E1836" i="5" s="1"/>
  <c r="E1837" i="5" s="1"/>
  <c r="E1838" i="5" s="1"/>
  <c r="E1839" i="5" s="1"/>
  <c r="E1840" i="5" s="1"/>
  <c r="E1841" i="5" s="1"/>
  <c r="E1842" i="5" s="1"/>
  <c r="E1843" i="5" s="1"/>
  <c r="E1844" i="5" s="1"/>
  <c r="E1845" i="5" s="1"/>
  <c r="E1846" i="5" s="1"/>
  <c r="E1847" i="5" s="1"/>
  <c r="E1848" i="5" s="1"/>
  <c r="E1849" i="5" s="1"/>
  <c r="E1850" i="5" s="1"/>
  <c r="E1851" i="5" s="1"/>
  <c r="E1852" i="5" s="1"/>
  <c r="E1853" i="5" s="1"/>
  <c r="E1854" i="5" s="1"/>
  <c r="E1855" i="5" s="1"/>
  <c r="E1856" i="5" s="1"/>
  <c r="E1857" i="5" s="1"/>
  <c r="E1858" i="5" s="1"/>
  <c r="E1859" i="5" s="1"/>
  <c r="E1860" i="5" s="1"/>
  <c r="E1861" i="5" s="1"/>
  <c r="E1862" i="5" s="1"/>
  <c r="E1863" i="5" s="1"/>
  <c r="E1864" i="5" s="1"/>
  <c r="E1865" i="5" s="1"/>
  <c r="E1866" i="5" s="1"/>
  <c r="E1867" i="5" s="1"/>
  <c r="E1868" i="5" s="1"/>
  <c r="E1869" i="5" s="1"/>
  <c r="E1870" i="5" s="1"/>
  <c r="E1871" i="5" s="1"/>
  <c r="E1872" i="5" s="1"/>
  <c r="E1873" i="5" s="1"/>
  <c r="E1874" i="5" s="1"/>
  <c r="E1875" i="5" s="1"/>
  <c r="E1876" i="5" s="1"/>
  <c r="E1877" i="5" s="1"/>
  <c r="E1878" i="5" s="1"/>
  <c r="E1879" i="5" s="1"/>
  <c r="E1880" i="5" s="1"/>
  <c r="E1881" i="5" s="1"/>
  <c r="E1882" i="5" s="1"/>
  <c r="E1883" i="5" s="1"/>
  <c r="E1884" i="5" s="1"/>
  <c r="E1885" i="5" s="1"/>
  <c r="E1886" i="5" s="1"/>
  <c r="E1887" i="5" s="1"/>
  <c r="E1888" i="5" s="1"/>
  <c r="E1889" i="5" s="1"/>
  <c r="E1890" i="5" s="1"/>
  <c r="E1891" i="5" s="1"/>
  <c r="E1892" i="5" s="1"/>
  <c r="E1893" i="5" s="1"/>
  <c r="E1894" i="5" s="1"/>
  <c r="E1895" i="5" s="1"/>
  <c r="E1896" i="5" s="1"/>
  <c r="E1897" i="5" s="1"/>
  <c r="E1898" i="5" s="1"/>
  <c r="E1899" i="5" s="1"/>
  <c r="E1900" i="5" s="1"/>
  <c r="E1901" i="5" s="1"/>
  <c r="E1902" i="5" s="1"/>
  <c r="E1903" i="5" s="1"/>
  <c r="E1904" i="5" s="1"/>
  <c r="E1905" i="5" s="1"/>
  <c r="E1906" i="5" s="1"/>
  <c r="E1907" i="5" s="1"/>
  <c r="E1908" i="5" s="1"/>
  <c r="E1909" i="5" s="1"/>
  <c r="E1910" i="5" s="1"/>
  <c r="E1911" i="5" s="1"/>
  <c r="E1912" i="5" s="1"/>
  <c r="E1913" i="5" s="1"/>
  <c r="E1914" i="5" s="1"/>
  <c r="E1915" i="5" s="1"/>
  <c r="E1916" i="5" s="1"/>
  <c r="E1917" i="5" s="1"/>
  <c r="E1918" i="5" s="1"/>
  <c r="E1919" i="5" s="1"/>
  <c r="E1920" i="5" s="1"/>
  <c r="E1921" i="5" s="1"/>
  <c r="E1922" i="5" s="1"/>
  <c r="E1923" i="5" s="1"/>
  <c r="E1924" i="5" s="1"/>
  <c r="E1925" i="5" s="1"/>
  <c r="E1926" i="5" s="1"/>
  <c r="E1927" i="5" s="1"/>
  <c r="E1928" i="5" s="1"/>
  <c r="E1929" i="5" s="1"/>
  <c r="E1930" i="5" s="1"/>
  <c r="E1931" i="5" s="1"/>
  <c r="E1932" i="5" s="1"/>
  <c r="E1933" i="5" s="1"/>
  <c r="E1934" i="5" s="1"/>
  <c r="E1935" i="5" s="1"/>
  <c r="E1936" i="5" s="1"/>
  <c r="E1937" i="5" s="1"/>
  <c r="E1938" i="5" s="1"/>
  <c r="E1939" i="5" s="1"/>
  <c r="E1940" i="5" s="1"/>
  <c r="E1941" i="5" s="1"/>
  <c r="E1942" i="5" s="1"/>
  <c r="E1943" i="5" s="1"/>
  <c r="E1944" i="5" s="1"/>
  <c r="E1945" i="5" s="1"/>
  <c r="E1946" i="5" s="1"/>
  <c r="E1947" i="5" s="1"/>
  <c r="E1948" i="5" s="1"/>
  <c r="E1949" i="5" s="1"/>
  <c r="E1950" i="5" s="1"/>
  <c r="E1951" i="5" s="1"/>
  <c r="E1952" i="5" s="1"/>
  <c r="E1953" i="5" s="1"/>
  <c r="E1954" i="5" s="1"/>
  <c r="E1955" i="5" s="1"/>
  <c r="E1956" i="5" s="1"/>
  <c r="E1957" i="5" s="1"/>
  <c r="E1958" i="5" s="1"/>
  <c r="E1959" i="5" s="1"/>
  <c r="E1960" i="5" s="1"/>
  <c r="E1961" i="5" s="1"/>
  <c r="E1962" i="5" s="1"/>
  <c r="E1963" i="5" s="1"/>
  <c r="E1964" i="5" s="1"/>
  <c r="E1965" i="5" s="1"/>
  <c r="E1966" i="5" s="1"/>
  <c r="E1967" i="5" s="1"/>
  <c r="E1968" i="5" s="1"/>
  <c r="E1969" i="5" s="1"/>
  <c r="E1970" i="5" s="1"/>
  <c r="E1971" i="5" s="1"/>
  <c r="E1972" i="5" s="1"/>
  <c r="E1973" i="5" s="1"/>
  <c r="E1974" i="5" s="1"/>
  <c r="E1975" i="5" s="1"/>
  <c r="E1976" i="5" s="1"/>
  <c r="E1977" i="5" s="1"/>
  <c r="E1978" i="5" s="1"/>
  <c r="E1979" i="5" s="1"/>
  <c r="E1980" i="5" s="1"/>
  <c r="E1981" i="5" s="1"/>
  <c r="E1982" i="5" s="1"/>
  <c r="E1983" i="5" s="1"/>
  <c r="E1984" i="5" s="1"/>
  <c r="E1985" i="5" s="1"/>
  <c r="E1986" i="5" s="1"/>
  <c r="E1987" i="5" s="1"/>
  <c r="E1988" i="5" s="1"/>
  <c r="E1989" i="5" s="1"/>
  <c r="E1990" i="5" s="1"/>
  <c r="E1991" i="5" s="1"/>
  <c r="E1992" i="5" s="1"/>
  <c r="E1993" i="5" s="1"/>
  <c r="E1994" i="5" s="1"/>
  <c r="E1995" i="5" s="1"/>
  <c r="E1996" i="5" s="1"/>
  <c r="E1997" i="5" s="1"/>
  <c r="E1998" i="5" s="1"/>
  <c r="E1999" i="5" s="1"/>
  <c r="E2000" i="5" s="1"/>
  <c r="E2001" i="5" s="1"/>
  <c r="E2002" i="5" s="1"/>
  <c r="E2003" i="5" s="1"/>
  <c r="E2004" i="5" s="1"/>
  <c r="E2005" i="5" s="1"/>
  <c r="E2006" i="5" s="1"/>
  <c r="E2007" i="5" s="1"/>
  <c r="H400" i="5"/>
  <c r="H401" i="5" s="1"/>
  <c r="H402" i="5" s="1"/>
  <c r="H403" i="5" s="1"/>
  <c r="H404" i="5" s="1"/>
  <c r="H405" i="5" s="1"/>
  <c r="H406" i="5" s="1"/>
  <c r="H407" i="5" s="1"/>
  <c r="H408" i="5" s="1"/>
  <c r="H409" i="5" s="1"/>
  <c r="H410" i="5" s="1"/>
  <c r="H411" i="5" s="1"/>
  <c r="H412" i="5" s="1"/>
  <c r="H413" i="5" s="1"/>
  <c r="H414" i="5" s="1"/>
  <c r="H415" i="5" s="1"/>
  <c r="H416" i="5" s="1"/>
  <c r="H417" i="5" s="1"/>
  <c r="H418" i="5" s="1"/>
  <c r="H419" i="5" s="1"/>
  <c r="H420" i="5" s="1"/>
  <c r="H421" i="5" s="1"/>
  <c r="H422" i="5" s="1"/>
  <c r="H423" i="5" s="1"/>
  <c r="H424" i="5" s="1"/>
  <c r="H425" i="5" s="1"/>
  <c r="H426" i="5" s="1"/>
  <c r="H427" i="5" s="1"/>
  <c r="H428" i="5" s="1"/>
  <c r="H429" i="5" s="1"/>
  <c r="H430" i="5" s="1"/>
  <c r="H431" i="5" s="1"/>
  <c r="H432" i="5" s="1"/>
  <c r="H433" i="5" s="1"/>
  <c r="H434" i="5" s="1"/>
  <c r="H435" i="5" s="1"/>
  <c r="H436" i="5" s="1"/>
  <c r="H437" i="5" s="1"/>
  <c r="H438" i="5" s="1"/>
  <c r="H439" i="5" s="1"/>
  <c r="H440" i="5" s="1"/>
  <c r="H441" i="5" s="1"/>
  <c r="H442" i="5" s="1"/>
  <c r="H443" i="5" s="1"/>
  <c r="H444" i="5" s="1"/>
  <c r="H445" i="5" s="1"/>
  <c r="H446" i="5" s="1"/>
  <c r="H447" i="5" s="1"/>
  <c r="H448" i="5" s="1"/>
  <c r="H449" i="5" s="1"/>
  <c r="H450" i="5" s="1"/>
  <c r="H451" i="5" s="1"/>
  <c r="H452" i="5" s="1"/>
  <c r="H453" i="5" s="1"/>
  <c r="H454" i="5" s="1"/>
  <c r="H455" i="5" s="1"/>
  <c r="H456" i="5" s="1"/>
  <c r="H457" i="5" s="1"/>
  <c r="H458" i="5" s="1"/>
  <c r="H459" i="5" s="1"/>
  <c r="H460" i="5" s="1"/>
  <c r="H461" i="5" s="1"/>
  <c r="H462" i="5" s="1"/>
  <c r="H463" i="5" s="1"/>
  <c r="H464" i="5" s="1"/>
  <c r="H465" i="5" s="1"/>
  <c r="H466" i="5" s="1"/>
  <c r="H467" i="5" s="1"/>
  <c r="H468" i="5" s="1"/>
  <c r="H469" i="5" s="1"/>
  <c r="H470" i="5" s="1"/>
  <c r="H471" i="5" s="1"/>
  <c r="H472" i="5" s="1"/>
  <c r="H473" i="5" s="1"/>
  <c r="H474" i="5" s="1"/>
  <c r="K398" i="5"/>
  <c r="P396" i="5"/>
  <c r="P397" i="5" s="1"/>
  <c r="P398" i="5" s="1"/>
  <c r="P399" i="5" s="1"/>
  <c r="P400" i="5" s="1"/>
  <c r="P401" i="5" s="1"/>
  <c r="P402" i="5" s="1"/>
  <c r="P403" i="5" s="1"/>
  <c r="P404" i="5" s="1"/>
  <c r="P405" i="5" s="1"/>
  <c r="P406" i="5" s="1"/>
  <c r="O396" i="5"/>
  <c r="O397" i="5" s="1"/>
  <c r="O398" i="5" s="1"/>
  <c r="O399" i="5" s="1"/>
  <c r="O400" i="5" s="1"/>
  <c r="O401" i="5" s="1"/>
  <c r="O402" i="5" s="1"/>
  <c r="O403" i="5" s="1"/>
  <c r="O404" i="5" s="1"/>
  <c r="O405" i="5" s="1"/>
  <c r="O406" i="5" s="1"/>
  <c r="O407" i="5" s="1"/>
  <c r="O408" i="5" s="1"/>
  <c r="O409" i="5" s="1"/>
  <c r="O410" i="5" s="1"/>
  <c r="O411" i="5" s="1"/>
  <c r="O412" i="5" s="1"/>
  <c r="O413" i="5" s="1"/>
  <c r="O414" i="5" s="1"/>
  <c r="O415" i="5" s="1"/>
  <c r="O416" i="5" s="1"/>
  <c r="O417" i="5" s="1"/>
  <c r="O418" i="5" s="1"/>
  <c r="O419" i="5" s="1"/>
  <c r="O420" i="5" s="1"/>
  <c r="O421" i="5" s="1"/>
  <c r="O422" i="5" s="1"/>
  <c r="O423" i="5" s="1"/>
  <c r="O424" i="5" s="1"/>
  <c r="O425" i="5" s="1"/>
  <c r="O426" i="5" s="1"/>
  <c r="O427" i="5" s="1"/>
  <c r="O428" i="5" s="1"/>
  <c r="O429" i="5" s="1"/>
  <c r="O430" i="5" s="1"/>
  <c r="O431" i="5" s="1"/>
  <c r="O432" i="5" s="1"/>
  <c r="O433" i="5" s="1"/>
  <c r="O434" i="5" s="1"/>
  <c r="O435" i="5" s="1"/>
  <c r="O436" i="5" s="1"/>
  <c r="O437" i="5" s="1"/>
  <c r="O438" i="5" s="1"/>
  <c r="O439" i="5" s="1"/>
  <c r="O440" i="5" s="1"/>
  <c r="O441" i="5" s="1"/>
  <c r="O442" i="5" s="1"/>
  <c r="O443" i="5" s="1"/>
  <c r="O444" i="5" s="1"/>
  <c r="O445" i="5" s="1"/>
  <c r="O446" i="5" s="1"/>
  <c r="O447" i="5" s="1"/>
  <c r="O448" i="5" s="1"/>
  <c r="O449" i="5" s="1"/>
  <c r="O450" i="5" s="1"/>
  <c r="O451" i="5" s="1"/>
  <c r="O452" i="5" s="1"/>
  <c r="O453" i="5" s="1"/>
  <c r="O454" i="5" s="1"/>
  <c r="O455" i="5" s="1"/>
  <c r="O456" i="5" s="1"/>
  <c r="O457" i="5" s="1"/>
  <c r="O458" i="5" s="1"/>
  <c r="O459" i="5" s="1"/>
  <c r="O460" i="5" s="1"/>
  <c r="O461" i="5" s="1"/>
  <c r="O462" i="5" s="1"/>
  <c r="O463" i="5" s="1"/>
  <c r="O464" i="5" s="1"/>
  <c r="O465" i="5" s="1"/>
  <c r="O466" i="5" s="1"/>
  <c r="O467" i="5" s="1"/>
  <c r="O468" i="5" s="1"/>
  <c r="O469" i="5" s="1"/>
  <c r="O470" i="5" s="1"/>
  <c r="O471" i="5" s="1"/>
  <c r="O472" i="5" s="1"/>
  <c r="O473" i="5" s="1"/>
  <c r="O474" i="5" s="1"/>
  <c r="O475" i="5" s="1"/>
  <c r="O476" i="5" s="1"/>
  <c r="O477" i="5" s="1"/>
  <c r="O478" i="5" s="1"/>
  <c r="O479" i="5" s="1"/>
  <c r="O480" i="5" s="1"/>
  <c r="O481" i="5" s="1"/>
  <c r="O482" i="5" s="1"/>
  <c r="O483" i="5" s="1"/>
  <c r="O484" i="5" s="1"/>
  <c r="O485" i="5" s="1"/>
  <c r="O486" i="5" s="1"/>
  <c r="O487" i="5" s="1"/>
  <c r="O488" i="5" s="1"/>
  <c r="O489" i="5" s="1"/>
  <c r="O490" i="5" s="1"/>
  <c r="O491" i="5" s="1"/>
  <c r="O492" i="5" s="1"/>
  <c r="O493" i="5" s="1"/>
  <c r="O494" i="5" s="1"/>
  <c r="O495" i="5" s="1"/>
  <c r="O496" i="5" s="1"/>
  <c r="O497" i="5" s="1"/>
  <c r="O498" i="5" s="1"/>
  <c r="O499" i="5" s="1"/>
  <c r="O500" i="5" s="1"/>
  <c r="O501" i="5" s="1"/>
  <c r="O502" i="5" s="1"/>
  <c r="O503" i="5" s="1"/>
  <c r="O504" i="5" s="1"/>
  <c r="O505" i="5" s="1"/>
  <c r="O506" i="5" s="1"/>
  <c r="O507" i="5" s="1"/>
  <c r="O508" i="5" s="1"/>
  <c r="O509" i="5" s="1"/>
  <c r="O510" i="5" s="1"/>
  <c r="O511" i="5" s="1"/>
  <c r="O512" i="5" s="1"/>
  <c r="O513" i="5" s="1"/>
  <c r="O514" i="5" s="1"/>
  <c r="O515" i="5" s="1"/>
  <c r="O516" i="5" s="1"/>
  <c r="O517" i="5" s="1"/>
  <c r="O518" i="5" s="1"/>
  <c r="O519" i="5" s="1"/>
  <c r="O520" i="5" s="1"/>
  <c r="O521" i="5" s="1"/>
  <c r="O522" i="5" s="1"/>
  <c r="O523" i="5" s="1"/>
  <c r="O524" i="5" s="1"/>
  <c r="O525" i="5" s="1"/>
  <c r="O526" i="5" s="1"/>
  <c r="O527" i="5" s="1"/>
  <c r="O528" i="5" s="1"/>
  <c r="O529" i="5" s="1"/>
  <c r="O530" i="5" s="1"/>
  <c r="O531" i="5" s="1"/>
  <c r="O532" i="5" s="1"/>
  <c r="O533" i="5" s="1"/>
  <c r="O534" i="5" s="1"/>
  <c r="O535" i="5" s="1"/>
  <c r="O536" i="5" s="1"/>
  <c r="O537" i="5" s="1"/>
  <c r="O538" i="5" s="1"/>
  <c r="O539" i="5" s="1"/>
  <c r="O540" i="5" s="1"/>
  <c r="O541" i="5" s="1"/>
  <c r="O542" i="5" s="1"/>
  <c r="O543" i="5" s="1"/>
  <c r="O544" i="5" s="1"/>
  <c r="O545" i="5" s="1"/>
  <c r="O546" i="5" s="1"/>
  <c r="O547" i="5" s="1"/>
  <c r="O548" i="5" s="1"/>
  <c r="O549" i="5" s="1"/>
  <c r="O550" i="5" s="1"/>
  <c r="O551" i="5" s="1"/>
  <c r="O552" i="5" s="1"/>
  <c r="O553" i="5" s="1"/>
  <c r="O554" i="5" s="1"/>
  <c r="O555" i="5" s="1"/>
  <c r="O556" i="5" s="1"/>
  <c r="O557" i="5" s="1"/>
  <c r="O558" i="5" s="1"/>
  <c r="O559" i="5" s="1"/>
  <c r="O560" i="5" s="1"/>
  <c r="O561" i="5" s="1"/>
  <c r="O562" i="5" s="1"/>
  <c r="O563" i="5" s="1"/>
  <c r="O564" i="5" s="1"/>
  <c r="O565" i="5" s="1"/>
  <c r="O566" i="5" s="1"/>
  <c r="O567" i="5" s="1"/>
  <c r="O568" i="5" s="1"/>
  <c r="O569" i="5" s="1"/>
  <c r="O570" i="5" s="1"/>
  <c r="O571" i="5" s="1"/>
  <c r="O572" i="5" s="1"/>
  <c r="O573" i="5" s="1"/>
  <c r="O574" i="5" s="1"/>
  <c r="O575" i="5" s="1"/>
  <c r="O576" i="5" s="1"/>
  <c r="O577" i="5" s="1"/>
  <c r="O578" i="5" s="1"/>
  <c r="O579" i="5" s="1"/>
  <c r="O580" i="5" s="1"/>
  <c r="O581" i="5" s="1"/>
  <c r="O582" i="5" s="1"/>
  <c r="O583" i="5" s="1"/>
  <c r="O584" i="5" s="1"/>
  <c r="O585" i="5" s="1"/>
  <c r="O586" i="5" s="1"/>
  <c r="O587" i="5" s="1"/>
  <c r="O588" i="5" s="1"/>
  <c r="O589" i="5" s="1"/>
  <c r="O590" i="5" s="1"/>
  <c r="O591" i="5" s="1"/>
  <c r="O592" i="5" s="1"/>
  <c r="O593" i="5" s="1"/>
  <c r="O594" i="5" s="1"/>
  <c r="O595" i="5" s="1"/>
  <c r="O596" i="5" s="1"/>
  <c r="O597" i="5" s="1"/>
  <c r="O598" i="5" s="1"/>
  <c r="O599" i="5" s="1"/>
  <c r="O600" i="5" s="1"/>
  <c r="O601" i="5" s="1"/>
  <c r="O602" i="5" s="1"/>
  <c r="O603" i="5" s="1"/>
  <c r="O604" i="5" s="1"/>
  <c r="O605" i="5" s="1"/>
  <c r="O606" i="5" s="1"/>
  <c r="O607" i="5" s="1"/>
  <c r="O608" i="5" s="1"/>
  <c r="O609" i="5" s="1"/>
  <c r="O610" i="5" s="1"/>
  <c r="O611" i="5" s="1"/>
  <c r="O612" i="5" s="1"/>
  <c r="O613" i="5" s="1"/>
  <c r="O614" i="5" s="1"/>
  <c r="O615" i="5" s="1"/>
  <c r="O616" i="5" s="1"/>
  <c r="O617" i="5" s="1"/>
  <c r="O618" i="5" s="1"/>
  <c r="O619" i="5" s="1"/>
  <c r="O620" i="5" s="1"/>
  <c r="O621" i="5" s="1"/>
  <c r="O622" i="5" s="1"/>
  <c r="O623" i="5" s="1"/>
  <c r="O624" i="5" s="1"/>
  <c r="O625" i="5" s="1"/>
  <c r="O626" i="5" s="1"/>
  <c r="O627" i="5" s="1"/>
  <c r="O628" i="5" s="1"/>
  <c r="O629" i="5" s="1"/>
  <c r="O630" i="5" s="1"/>
  <c r="O631" i="5" s="1"/>
  <c r="O632" i="5" s="1"/>
  <c r="O633" i="5" s="1"/>
  <c r="O634" i="5" s="1"/>
  <c r="O635" i="5" s="1"/>
  <c r="O636" i="5" s="1"/>
  <c r="O637" i="5" s="1"/>
  <c r="O638" i="5" s="1"/>
  <c r="O639" i="5" s="1"/>
  <c r="O640" i="5" s="1"/>
  <c r="O641" i="5" s="1"/>
  <c r="O642" i="5" s="1"/>
  <c r="O643" i="5" s="1"/>
  <c r="O644" i="5" s="1"/>
  <c r="O645" i="5" s="1"/>
  <c r="O646" i="5" s="1"/>
  <c r="O647" i="5" s="1"/>
  <c r="O648" i="5" s="1"/>
  <c r="O649" i="5" s="1"/>
  <c r="O650" i="5" s="1"/>
  <c r="O651" i="5" s="1"/>
  <c r="O652" i="5" s="1"/>
  <c r="O653" i="5" s="1"/>
  <c r="O654" i="5" s="1"/>
  <c r="O655" i="5" s="1"/>
  <c r="O656" i="5" s="1"/>
  <c r="O657" i="5" s="1"/>
  <c r="O658" i="5" s="1"/>
  <c r="O659" i="5" s="1"/>
  <c r="O660" i="5" s="1"/>
  <c r="O661" i="5" s="1"/>
  <c r="O662" i="5" s="1"/>
  <c r="O663" i="5" s="1"/>
  <c r="O664" i="5" s="1"/>
  <c r="O665" i="5" s="1"/>
  <c r="O666" i="5" s="1"/>
  <c r="O667" i="5" s="1"/>
  <c r="O668" i="5" s="1"/>
  <c r="O669" i="5" s="1"/>
  <c r="O670" i="5" s="1"/>
  <c r="O671" i="5" s="1"/>
  <c r="O672" i="5" s="1"/>
  <c r="O673" i="5" s="1"/>
  <c r="O674" i="5" s="1"/>
  <c r="O675" i="5" s="1"/>
  <c r="O676" i="5" s="1"/>
  <c r="O677" i="5" s="1"/>
  <c r="O678" i="5" s="1"/>
  <c r="O679" i="5" s="1"/>
  <c r="O680" i="5" s="1"/>
  <c r="O681" i="5" s="1"/>
  <c r="O682" i="5" s="1"/>
  <c r="O683" i="5" s="1"/>
  <c r="O684" i="5" s="1"/>
  <c r="O685" i="5" s="1"/>
  <c r="O686" i="5" s="1"/>
  <c r="O687" i="5" s="1"/>
  <c r="O688" i="5" s="1"/>
  <c r="O689" i="5" s="1"/>
  <c r="O690" i="5" s="1"/>
  <c r="O691" i="5" s="1"/>
  <c r="O692" i="5" s="1"/>
  <c r="O693" i="5" s="1"/>
  <c r="O694" i="5" s="1"/>
  <c r="O695" i="5" s="1"/>
  <c r="O696" i="5" s="1"/>
  <c r="O697" i="5" s="1"/>
  <c r="O698" i="5" s="1"/>
  <c r="O699" i="5" s="1"/>
  <c r="O700" i="5" s="1"/>
  <c r="O701" i="5" s="1"/>
  <c r="O702" i="5" s="1"/>
  <c r="O703" i="5" s="1"/>
  <c r="O704" i="5" s="1"/>
  <c r="O705" i="5" s="1"/>
  <c r="O706" i="5" s="1"/>
  <c r="O707" i="5" s="1"/>
  <c r="O708" i="5" s="1"/>
  <c r="O709" i="5" s="1"/>
  <c r="O710" i="5" s="1"/>
  <c r="O711" i="5" s="1"/>
  <c r="O712" i="5" s="1"/>
  <c r="O713" i="5" s="1"/>
  <c r="O714" i="5" s="1"/>
  <c r="O715" i="5" s="1"/>
  <c r="O716" i="5" s="1"/>
  <c r="O717" i="5" s="1"/>
  <c r="O718" i="5" s="1"/>
  <c r="O719" i="5" s="1"/>
  <c r="O720" i="5" s="1"/>
  <c r="O721" i="5" s="1"/>
  <c r="O722" i="5" s="1"/>
  <c r="O723" i="5" s="1"/>
  <c r="O724" i="5" s="1"/>
  <c r="O725" i="5" s="1"/>
  <c r="O726" i="5" s="1"/>
  <c r="O727" i="5" s="1"/>
  <c r="O728" i="5" s="1"/>
  <c r="O729" i="5" s="1"/>
  <c r="O730" i="5" s="1"/>
  <c r="O731" i="5" s="1"/>
  <c r="O732" i="5" s="1"/>
  <c r="O733" i="5" s="1"/>
  <c r="O734" i="5" s="1"/>
  <c r="O735" i="5" s="1"/>
  <c r="O736" i="5" s="1"/>
  <c r="O737" i="5" s="1"/>
  <c r="O738" i="5" s="1"/>
  <c r="O739" i="5" s="1"/>
  <c r="O740" i="5" s="1"/>
  <c r="O741" i="5" s="1"/>
  <c r="O742" i="5" s="1"/>
  <c r="O743" i="5" s="1"/>
  <c r="O744" i="5" s="1"/>
  <c r="O745" i="5" s="1"/>
  <c r="O746" i="5" s="1"/>
  <c r="O747" i="5" s="1"/>
  <c r="O748" i="5" s="1"/>
  <c r="O749" i="5" s="1"/>
  <c r="O750" i="5" s="1"/>
  <c r="O751" i="5" s="1"/>
  <c r="O752" i="5" s="1"/>
  <c r="O753" i="5" s="1"/>
  <c r="O754" i="5" s="1"/>
  <c r="O755" i="5" s="1"/>
  <c r="O756" i="5" s="1"/>
  <c r="O757" i="5" s="1"/>
  <c r="O758" i="5" s="1"/>
  <c r="O759" i="5" s="1"/>
  <c r="O760" i="5" s="1"/>
  <c r="O761" i="5" s="1"/>
  <c r="O762" i="5" s="1"/>
  <c r="O763" i="5" s="1"/>
  <c r="O764" i="5" s="1"/>
  <c r="O765" i="5" s="1"/>
  <c r="O766" i="5" s="1"/>
  <c r="O767" i="5" s="1"/>
  <c r="O768" i="5" s="1"/>
  <c r="O769" i="5" s="1"/>
  <c r="O770" i="5" s="1"/>
  <c r="O771" i="5" s="1"/>
  <c r="O772" i="5" s="1"/>
  <c r="O773" i="5" s="1"/>
  <c r="O774" i="5" s="1"/>
  <c r="O775" i="5" s="1"/>
  <c r="O776" i="5" s="1"/>
  <c r="O777" i="5" s="1"/>
  <c r="O778" i="5" s="1"/>
  <c r="O779" i="5" s="1"/>
  <c r="O780" i="5" s="1"/>
  <c r="O781" i="5" s="1"/>
  <c r="O782" i="5" s="1"/>
  <c r="O783" i="5" s="1"/>
  <c r="O784" i="5" s="1"/>
  <c r="O785" i="5" s="1"/>
  <c r="O786" i="5" s="1"/>
  <c r="O787" i="5" s="1"/>
  <c r="O788" i="5" s="1"/>
  <c r="O789" i="5" s="1"/>
  <c r="O790" i="5" s="1"/>
  <c r="O791" i="5" s="1"/>
  <c r="O792" i="5" s="1"/>
  <c r="O793" i="5" s="1"/>
  <c r="O794" i="5" s="1"/>
  <c r="O795" i="5" s="1"/>
  <c r="O796" i="5" s="1"/>
  <c r="O797" i="5" s="1"/>
  <c r="O798" i="5" s="1"/>
  <c r="O799" i="5" s="1"/>
  <c r="O800" i="5" s="1"/>
  <c r="O801" i="5" s="1"/>
  <c r="O802" i="5" s="1"/>
  <c r="O803" i="5" s="1"/>
  <c r="O804" i="5" s="1"/>
  <c r="O805" i="5" s="1"/>
  <c r="O806" i="5" s="1"/>
  <c r="O807" i="5" s="1"/>
  <c r="O808" i="5" s="1"/>
  <c r="O809" i="5" s="1"/>
  <c r="O810" i="5" s="1"/>
  <c r="O811" i="5" s="1"/>
  <c r="O812" i="5" s="1"/>
  <c r="O813" i="5" s="1"/>
  <c r="O814" i="5" s="1"/>
  <c r="O815" i="5" s="1"/>
  <c r="O816" i="5" s="1"/>
  <c r="O817" i="5" s="1"/>
  <c r="O818" i="5" s="1"/>
  <c r="O819" i="5" s="1"/>
  <c r="O820" i="5" s="1"/>
  <c r="O821" i="5" s="1"/>
  <c r="O822" i="5" s="1"/>
  <c r="O823" i="5" s="1"/>
  <c r="O824" i="5" s="1"/>
  <c r="O825" i="5" s="1"/>
  <c r="O826" i="5" s="1"/>
  <c r="O827" i="5" s="1"/>
  <c r="O828" i="5" s="1"/>
  <c r="O829" i="5" s="1"/>
  <c r="O830" i="5" s="1"/>
  <c r="O831" i="5" s="1"/>
  <c r="O832" i="5" s="1"/>
  <c r="O833" i="5" s="1"/>
  <c r="O834" i="5" s="1"/>
  <c r="O835" i="5" s="1"/>
  <c r="O836" i="5" s="1"/>
  <c r="O837" i="5" s="1"/>
  <c r="O838" i="5" s="1"/>
  <c r="O839" i="5" s="1"/>
  <c r="O840" i="5" s="1"/>
  <c r="O841" i="5" s="1"/>
  <c r="O842" i="5" s="1"/>
  <c r="O843" i="5" s="1"/>
  <c r="O844" i="5" s="1"/>
  <c r="O845" i="5" s="1"/>
  <c r="O846" i="5" s="1"/>
  <c r="O847" i="5" s="1"/>
  <c r="O848" i="5" s="1"/>
  <c r="O849" i="5" s="1"/>
  <c r="O850" i="5" s="1"/>
  <c r="O851" i="5" s="1"/>
  <c r="O852" i="5" s="1"/>
  <c r="O853" i="5" s="1"/>
  <c r="O854" i="5" s="1"/>
  <c r="O855" i="5" s="1"/>
  <c r="O856" i="5" s="1"/>
  <c r="O857" i="5" s="1"/>
  <c r="O858" i="5" s="1"/>
  <c r="O859" i="5" s="1"/>
  <c r="O860" i="5" s="1"/>
  <c r="O861" i="5" s="1"/>
  <c r="O862" i="5" s="1"/>
  <c r="O863" i="5" s="1"/>
  <c r="O864" i="5" s="1"/>
  <c r="O865" i="5" s="1"/>
  <c r="O866" i="5" s="1"/>
  <c r="O867" i="5" s="1"/>
  <c r="O868" i="5" s="1"/>
  <c r="O869" i="5" s="1"/>
  <c r="O870" i="5" s="1"/>
  <c r="O871" i="5" s="1"/>
  <c r="O872" i="5" s="1"/>
  <c r="O873" i="5" s="1"/>
  <c r="O874" i="5" s="1"/>
  <c r="O875" i="5" s="1"/>
  <c r="O876" i="5" s="1"/>
  <c r="O877" i="5" s="1"/>
  <c r="O878" i="5" s="1"/>
  <c r="O879" i="5" s="1"/>
  <c r="O880" i="5" s="1"/>
  <c r="O881" i="5" s="1"/>
  <c r="O882" i="5" s="1"/>
  <c r="O883" i="5" s="1"/>
  <c r="O884" i="5" s="1"/>
  <c r="O885" i="5" s="1"/>
  <c r="O886" i="5" s="1"/>
  <c r="O887" i="5" s="1"/>
  <c r="O888" i="5" s="1"/>
  <c r="O889" i="5" s="1"/>
  <c r="O890" i="5" s="1"/>
  <c r="O891" i="5" s="1"/>
  <c r="O892" i="5" s="1"/>
  <c r="O893" i="5" s="1"/>
  <c r="O894" i="5" s="1"/>
  <c r="O895" i="5" s="1"/>
  <c r="O896" i="5" s="1"/>
  <c r="O897" i="5" s="1"/>
  <c r="O898" i="5" s="1"/>
  <c r="O899" i="5" s="1"/>
  <c r="O900" i="5" s="1"/>
  <c r="O901" i="5" s="1"/>
  <c r="O902" i="5" s="1"/>
  <c r="O903" i="5" s="1"/>
  <c r="O904" i="5" s="1"/>
  <c r="O905" i="5" s="1"/>
  <c r="O906" i="5" s="1"/>
  <c r="O907" i="5" s="1"/>
  <c r="O908" i="5" s="1"/>
  <c r="O909" i="5" s="1"/>
  <c r="O910" i="5" s="1"/>
  <c r="O911" i="5" s="1"/>
  <c r="O912" i="5" s="1"/>
  <c r="O913" i="5" s="1"/>
  <c r="O914" i="5" s="1"/>
  <c r="O915" i="5" s="1"/>
  <c r="O916" i="5" s="1"/>
  <c r="O917" i="5" s="1"/>
  <c r="O918" i="5" s="1"/>
  <c r="O919" i="5" s="1"/>
  <c r="O920" i="5" s="1"/>
  <c r="O921" i="5" s="1"/>
  <c r="O922" i="5" s="1"/>
  <c r="O923" i="5" s="1"/>
  <c r="O924" i="5" s="1"/>
  <c r="O925" i="5" s="1"/>
  <c r="O926" i="5" s="1"/>
  <c r="O927" i="5" s="1"/>
  <c r="O928" i="5" s="1"/>
  <c r="O929" i="5" s="1"/>
  <c r="O930" i="5" s="1"/>
  <c r="O931" i="5" s="1"/>
  <c r="O932" i="5" s="1"/>
  <c r="O933" i="5" s="1"/>
  <c r="O934" i="5" s="1"/>
  <c r="O935" i="5" s="1"/>
  <c r="O936" i="5" s="1"/>
  <c r="O937" i="5" s="1"/>
  <c r="O938" i="5" s="1"/>
  <c r="O939" i="5" s="1"/>
  <c r="O940" i="5" s="1"/>
  <c r="O941" i="5" s="1"/>
  <c r="O942" i="5" s="1"/>
  <c r="O943" i="5" s="1"/>
  <c r="O944" i="5" s="1"/>
  <c r="O945" i="5" s="1"/>
  <c r="O946" i="5" s="1"/>
  <c r="O947" i="5" s="1"/>
  <c r="O948" i="5" s="1"/>
  <c r="O949" i="5" s="1"/>
  <c r="O950" i="5" s="1"/>
  <c r="O951" i="5" s="1"/>
  <c r="O952" i="5" s="1"/>
  <c r="O953" i="5" s="1"/>
  <c r="O954" i="5" s="1"/>
  <c r="O955" i="5" s="1"/>
  <c r="O956" i="5" s="1"/>
  <c r="O957" i="5" s="1"/>
  <c r="O958" i="5" s="1"/>
  <c r="O959" i="5" s="1"/>
  <c r="O960" i="5" s="1"/>
  <c r="O961" i="5" s="1"/>
  <c r="O962" i="5" s="1"/>
  <c r="O963" i="5" s="1"/>
  <c r="O964" i="5" s="1"/>
  <c r="O965" i="5" s="1"/>
  <c r="O966" i="5" s="1"/>
  <c r="O967" i="5" s="1"/>
  <c r="O968" i="5" s="1"/>
  <c r="O969" i="5" s="1"/>
  <c r="O970" i="5" s="1"/>
  <c r="O971" i="5" s="1"/>
  <c r="O972" i="5" s="1"/>
  <c r="O973" i="5" s="1"/>
  <c r="O974" i="5" s="1"/>
  <c r="O975" i="5" s="1"/>
  <c r="O976" i="5" s="1"/>
  <c r="O977" i="5" s="1"/>
  <c r="O978" i="5" s="1"/>
  <c r="O979" i="5" s="1"/>
  <c r="O980" i="5" s="1"/>
  <c r="O981" i="5" s="1"/>
  <c r="O982" i="5" s="1"/>
  <c r="O983" i="5" s="1"/>
  <c r="O984" i="5" s="1"/>
  <c r="O985" i="5" s="1"/>
  <c r="O986" i="5" s="1"/>
  <c r="O987" i="5" s="1"/>
  <c r="O988" i="5" s="1"/>
  <c r="O989" i="5" s="1"/>
  <c r="O990" i="5" s="1"/>
  <c r="O991" i="5" s="1"/>
  <c r="O992" i="5" s="1"/>
  <c r="O993" i="5" s="1"/>
  <c r="O994" i="5" s="1"/>
  <c r="O995" i="5" s="1"/>
  <c r="O996" i="5" s="1"/>
  <c r="O997" i="5" s="1"/>
  <c r="O998" i="5" s="1"/>
  <c r="O999" i="5" s="1"/>
  <c r="O1000" i="5" s="1"/>
  <c r="O1001" i="5" s="1"/>
  <c r="O1002" i="5" s="1"/>
  <c r="O1003" i="5" s="1"/>
  <c r="O1004" i="5" s="1"/>
  <c r="O1005" i="5" s="1"/>
  <c r="O1006" i="5" s="1"/>
  <c r="O1007" i="5" s="1"/>
  <c r="O1008" i="5" s="1"/>
  <c r="O1009" i="5" s="1"/>
  <c r="O1010" i="5" s="1"/>
  <c r="O1011" i="5" s="1"/>
  <c r="O1012" i="5" s="1"/>
  <c r="O1013" i="5" s="1"/>
  <c r="O1014" i="5" s="1"/>
  <c r="O1015" i="5" s="1"/>
  <c r="O1016" i="5" s="1"/>
  <c r="O1017" i="5" s="1"/>
  <c r="O1018" i="5" s="1"/>
  <c r="O1019" i="5" s="1"/>
  <c r="O1020" i="5" s="1"/>
  <c r="O1021" i="5" s="1"/>
  <c r="O1022" i="5" s="1"/>
  <c r="O1023" i="5" s="1"/>
  <c r="O1024" i="5" s="1"/>
  <c r="O1025" i="5" s="1"/>
  <c r="O1026" i="5" s="1"/>
  <c r="O1027" i="5" s="1"/>
  <c r="O1028" i="5" s="1"/>
  <c r="O1029" i="5" s="1"/>
  <c r="O1030" i="5" s="1"/>
  <c r="O1031" i="5" s="1"/>
  <c r="O1032" i="5" s="1"/>
  <c r="O1033" i="5" s="1"/>
  <c r="O1034" i="5" s="1"/>
  <c r="O1035" i="5" s="1"/>
  <c r="O1036" i="5" s="1"/>
  <c r="O1037" i="5" s="1"/>
  <c r="O1038" i="5" s="1"/>
  <c r="O1039" i="5" s="1"/>
  <c r="O1040" i="5" s="1"/>
  <c r="O1041" i="5" s="1"/>
  <c r="O1042" i="5" s="1"/>
  <c r="O1043" i="5" s="1"/>
  <c r="O1044" i="5" s="1"/>
  <c r="O1045" i="5" s="1"/>
  <c r="O1046" i="5" s="1"/>
  <c r="O1047" i="5" s="1"/>
  <c r="O1048" i="5" s="1"/>
  <c r="O1049" i="5" s="1"/>
  <c r="O1050" i="5" s="1"/>
  <c r="O1051" i="5" s="1"/>
  <c r="O1052" i="5" s="1"/>
  <c r="O1053" i="5" s="1"/>
  <c r="O1054" i="5" s="1"/>
  <c r="O1055" i="5" s="1"/>
  <c r="O1056" i="5" s="1"/>
  <c r="O1057" i="5" s="1"/>
  <c r="O1058" i="5" s="1"/>
  <c r="O1059" i="5" s="1"/>
  <c r="O1060" i="5" s="1"/>
  <c r="O1061" i="5" s="1"/>
  <c r="O1062" i="5" s="1"/>
  <c r="O1063" i="5" s="1"/>
  <c r="O1064" i="5" s="1"/>
  <c r="O1065" i="5" s="1"/>
  <c r="O1066" i="5" s="1"/>
  <c r="O1067" i="5" s="1"/>
  <c r="O1068" i="5" s="1"/>
  <c r="O1069" i="5" s="1"/>
  <c r="O1070" i="5" s="1"/>
  <c r="O1071" i="5" s="1"/>
  <c r="O1072" i="5" s="1"/>
  <c r="O1073" i="5" s="1"/>
  <c r="O1074" i="5" s="1"/>
  <c r="O1075" i="5" s="1"/>
  <c r="O1076" i="5" s="1"/>
  <c r="O1077" i="5" s="1"/>
  <c r="O1078" i="5" s="1"/>
  <c r="O1079" i="5" s="1"/>
  <c r="O1080" i="5" s="1"/>
  <c r="O1081" i="5" s="1"/>
  <c r="O1082" i="5" s="1"/>
  <c r="O1083" i="5" s="1"/>
  <c r="O1084" i="5" s="1"/>
  <c r="O1085" i="5" s="1"/>
  <c r="O1086" i="5" s="1"/>
  <c r="O1087" i="5" s="1"/>
  <c r="O1088" i="5" s="1"/>
  <c r="O1089" i="5" s="1"/>
  <c r="O1090" i="5" s="1"/>
  <c r="O1091" i="5" s="1"/>
  <c r="O1092" i="5" s="1"/>
  <c r="O1093" i="5" s="1"/>
  <c r="O1094" i="5" s="1"/>
  <c r="O1095" i="5" s="1"/>
  <c r="O1096" i="5" s="1"/>
  <c r="O1097" i="5" s="1"/>
  <c r="O1098" i="5" s="1"/>
  <c r="O1099" i="5" s="1"/>
  <c r="O1100" i="5" s="1"/>
  <c r="O1101" i="5" s="1"/>
  <c r="O1102" i="5" s="1"/>
  <c r="O1103" i="5" s="1"/>
  <c r="O1104" i="5" s="1"/>
  <c r="O1105" i="5" s="1"/>
  <c r="O1106" i="5" s="1"/>
  <c r="O1107" i="5" s="1"/>
  <c r="O1108" i="5" s="1"/>
  <c r="O1109" i="5" s="1"/>
  <c r="O1110" i="5" s="1"/>
  <c r="O1111" i="5" s="1"/>
  <c r="O1112" i="5" s="1"/>
  <c r="O1113" i="5" s="1"/>
  <c r="O1114" i="5" s="1"/>
  <c r="O1115" i="5" s="1"/>
  <c r="O1116" i="5" s="1"/>
  <c r="O1117" i="5" s="1"/>
  <c r="O1118" i="5" s="1"/>
  <c r="O1119" i="5" s="1"/>
  <c r="O1120" i="5" s="1"/>
  <c r="O1121" i="5" s="1"/>
  <c r="O1122" i="5" s="1"/>
  <c r="O1123" i="5" s="1"/>
  <c r="O1124" i="5" s="1"/>
  <c r="O1125" i="5" s="1"/>
  <c r="O1126" i="5" s="1"/>
  <c r="O1127" i="5" s="1"/>
  <c r="O1128" i="5" s="1"/>
  <c r="O1129" i="5" s="1"/>
  <c r="O1130" i="5" s="1"/>
  <c r="O1131" i="5" s="1"/>
  <c r="O1132" i="5" s="1"/>
  <c r="O1133" i="5" s="1"/>
  <c r="O1134" i="5" s="1"/>
  <c r="O1135" i="5" s="1"/>
  <c r="O1136" i="5" s="1"/>
  <c r="O1137" i="5" s="1"/>
  <c r="O1138" i="5" s="1"/>
  <c r="O1139" i="5" s="1"/>
  <c r="O1140" i="5" s="1"/>
  <c r="O1141" i="5" s="1"/>
  <c r="O1142" i="5" s="1"/>
  <c r="O1143" i="5" s="1"/>
  <c r="O1144" i="5" s="1"/>
  <c r="O1145" i="5" s="1"/>
  <c r="O1146" i="5" s="1"/>
  <c r="O1147" i="5" s="1"/>
  <c r="O1148" i="5" s="1"/>
  <c r="O1149" i="5" s="1"/>
  <c r="O1150" i="5" s="1"/>
  <c r="O1151" i="5" s="1"/>
  <c r="O1152" i="5" s="1"/>
  <c r="O1153" i="5" s="1"/>
  <c r="O1154" i="5" s="1"/>
  <c r="O1155" i="5" s="1"/>
  <c r="O1156" i="5" s="1"/>
  <c r="O1157" i="5" s="1"/>
  <c r="O1158" i="5" s="1"/>
  <c r="O1159" i="5" s="1"/>
  <c r="O1160" i="5" s="1"/>
  <c r="O1161" i="5" s="1"/>
  <c r="O1162" i="5" s="1"/>
  <c r="O1163" i="5" s="1"/>
  <c r="O1164" i="5" s="1"/>
  <c r="O1165" i="5" s="1"/>
  <c r="O1166" i="5" s="1"/>
  <c r="O1167" i="5" s="1"/>
  <c r="O1168" i="5" s="1"/>
  <c r="O1169" i="5" s="1"/>
  <c r="O1170" i="5" s="1"/>
  <c r="O1171" i="5" s="1"/>
  <c r="O1172" i="5" s="1"/>
  <c r="O1173" i="5" s="1"/>
  <c r="O1174" i="5" s="1"/>
  <c r="O1175" i="5" s="1"/>
  <c r="O1176" i="5" s="1"/>
  <c r="O1177" i="5" s="1"/>
  <c r="O1178" i="5" s="1"/>
  <c r="O1179" i="5" s="1"/>
  <c r="O1180" i="5" s="1"/>
  <c r="O1181" i="5" s="1"/>
  <c r="O1182" i="5" s="1"/>
  <c r="O1183" i="5" s="1"/>
  <c r="O1184" i="5" s="1"/>
  <c r="O1185" i="5" s="1"/>
  <c r="O1186" i="5" s="1"/>
  <c r="O1187" i="5" s="1"/>
  <c r="O1188" i="5" s="1"/>
  <c r="O1189" i="5" s="1"/>
  <c r="O1190" i="5" s="1"/>
  <c r="O1191" i="5" s="1"/>
  <c r="O1192" i="5" s="1"/>
  <c r="O1193" i="5" s="1"/>
  <c r="O1194" i="5" s="1"/>
  <c r="O1195" i="5" s="1"/>
  <c r="O1196" i="5" s="1"/>
  <c r="O1197" i="5" s="1"/>
  <c r="O1198" i="5" s="1"/>
  <c r="O1199" i="5" s="1"/>
  <c r="O1200" i="5" s="1"/>
  <c r="O1201" i="5" s="1"/>
  <c r="O1202" i="5" s="1"/>
  <c r="O1203" i="5" s="1"/>
  <c r="O1204" i="5" s="1"/>
  <c r="O1205" i="5" s="1"/>
  <c r="O1206" i="5" s="1"/>
  <c r="O1207" i="5" s="1"/>
  <c r="O1208" i="5" s="1"/>
  <c r="O1209" i="5" s="1"/>
  <c r="O1210" i="5" s="1"/>
  <c r="O1211" i="5" s="1"/>
  <c r="O1212" i="5" s="1"/>
  <c r="O1213" i="5" s="1"/>
  <c r="O1214" i="5" s="1"/>
  <c r="O1215" i="5" s="1"/>
  <c r="O1216" i="5" s="1"/>
  <c r="O1217" i="5" s="1"/>
  <c r="O1218" i="5" s="1"/>
  <c r="O1219" i="5" s="1"/>
  <c r="O1220" i="5" s="1"/>
  <c r="O1221" i="5" s="1"/>
  <c r="O1222" i="5" s="1"/>
  <c r="O1223" i="5" s="1"/>
  <c r="O1224" i="5" s="1"/>
  <c r="O1225" i="5" s="1"/>
  <c r="O1226" i="5" s="1"/>
  <c r="O1227" i="5" s="1"/>
  <c r="O1228" i="5" s="1"/>
  <c r="O1229" i="5" s="1"/>
  <c r="O1230" i="5" s="1"/>
  <c r="O1231" i="5" s="1"/>
  <c r="O1232" i="5" s="1"/>
  <c r="O1233" i="5" s="1"/>
  <c r="O1234" i="5" s="1"/>
  <c r="O1235" i="5" s="1"/>
  <c r="O1236" i="5" s="1"/>
  <c r="O1237" i="5" s="1"/>
  <c r="O1238" i="5" s="1"/>
  <c r="O1239" i="5" s="1"/>
  <c r="O1240" i="5" s="1"/>
  <c r="O1241" i="5" s="1"/>
  <c r="O1242" i="5" s="1"/>
  <c r="O1243" i="5" s="1"/>
  <c r="O1244" i="5" s="1"/>
  <c r="O1245" i="5" s="1"/>
  <c r="O1246" i="5" s="1"/>
  <c r="O1247" i="5" s="1"/>
  <c r="O1248" i="5" s="1"/>
  <c r="O1249" i="5" s="1"/>
  <c r="O1250" i="5" s="1"/>
  <c r="O1251" i="5" s="1"/>
  <c r="O1252" i="5" s="1"/>
  <c r="O1253" i="5" s="1"/>
  <c r="O1254" i="5" s="1"/>
  <c r="O1255" i="5" s="1"/>
  <c r="O1256" i="5" s="1"/>
  <c r="O1257" i="5" s="1"/>
  <c r="O1258" i="5" s="1"/>
  <c r="O1259" i="5" s="1"/>
  <c r="O1260" i="5" s="1"/>
  <c r="O1261" i="5" s="1"/>
  <c r="O1262" i="5" s="1"/>
  <c r="O1263" i="5" s="1"/>
  <c r="O1264" i="5" s="1"/>
  <c r="O1265" i="5" s="1"/>
  <c r="O1266" i="5" s="1"/>
  <c r="O1267" i="5" s="1"/>
  <c r="O1268" i="5" s="1"/>
  <c r="O1269" i="5" s="1"/>
  <c r="O1270" i="5" s="1"/>
  <c r="O1271" i="5" s="1"/>
  <c r="O1272" i="5" s="1"/>
  <c r="O1273" i="5" s="1"/>
  <c r="O1274" i="5" s="1"/>
  <c r="O1275" i="5" s="1"/>
  <c r="O1276" i="5" s="1"/>
  <c r="O1277" i="5" s="1"/>
  <c r="O1278" i="5" s="1"/>
  <c r="O1279" i="5" s="1"/>
  <c r="O1280" i="5" s="1"/>
  <c r="O1281" i="5" s="1"/>
  <c r="O1282" i="5" s="1"/>
  <c r="O1283" i="5" s="1"/>
  <c r="O1284" i="5" s="1"/>
  <c r="O1285" i="5" s="1"/>
  <c r="O1286" i="5" s="1"/>
  <c r="O1287" i="5" s="1"/>
  <c r="O1288" i="5" s="1"/>
  <c r="O1289" i="5" s="1"/>
  <c r="O1290" i="5" s="1"/>
  <c r="O1291" i="5" s="1"/>
  <c r="O1292" i="5" s="1"/>
  <c r="O1293" i="5" s="1"/>
  <c r="O1294" i="5" s="1"/>
  <c r="O1295" i="5" s="1"/>
  <c r="O1296" i="5" s="1"/>
  <c r="O1297" i="5" s="1"/>
  <c r="O1298" i="5" s="1"/>
  <c r="O1299" i="5" s="1"/>
  <c r="O1300" i="5" s="1"/>
  <c r="O1301" i="5" s="1"/>
  <c r="O1302" i="5" s="1"/>
  <c r="O1303" i="5" s="1"/>
  <c r="O1304" i="5" s="1"/>
  <c r="O1305" i="5" s="1"/>
  <c r="O1306" i="5" s="1"/>
  <c r="O1307" i="5" s="1"/>
  <c r="O1308" i="5" s="1"/>
  <c r="O1309" i="5" s="1"/>
  <c r="O1310" i="5" s="1"/>
  <c r="O1311" i="5" s="1"/>
  <c r="O1312" i="5" s="1"/>
  <c r="O1313" i="5" s="1"/>
  <c r="O1314" i="5" s="1"/>
  <c r="O1315" i="5" s="1"/>
  <c r="O1316" i="5" s="1"/>
  <c r="O1317" i="5" s="1"/>
  <c r="O1318" i="5" s="1"/>
  <c r="O1319" i="5" s="1"/>
  <c r="O1320" i="5" s="1"/>
  <c r="O1321" i="5" s="1"/>
  <c r="O1322" i="5" s="1"/>
  <c r="O1323" i="5" s="1"/>
  <c r="O1324" i="5" s="1"/>
  <c r="O1325" i="5" s="1"/>
  <c r="O1326" i="5" s="1"/>
  <c r="O1327" i="5" s="1"/>
  <c r="O1328" i="5" s="1"/>
  <c r="O1329" i="5" s="1"/>
  <c r="O1330" i="5" s="1"/>
  <c r="O1331" i="5" s="1"/>
  <c r="O1332" i="5" s="1"/>
  <c r="O1333" i="5" s="1"/>
  <c r="O1334" i="5" s="1"/>
  <c r="O1335" i="5" s="1"/>
  <c r="O1336" i="5" s="1"/>
  <c r="O1337" i="5" s="1"/>
  <c r="O1338" i="5" s="1"/>
  <c r="O1339" i="5" s="1"/>
  <c r="O1340" i="5" s="1"/>
  <c r="O1341" i="5" s="1"/>
  <c r="O1342" i="5" s="1"/>
  <c r="O1343" i="5" s="1"/>
  <c r="O1344" i="5" s="1"/>
  <c r="O1345" i="5" s="1"/>
  <c r="O1346" i="5" s="1"/>
  <c r="O1347" i="5" s="1"/>
  <c r="O1348" i="5" s="1"/>
  <c r="O1349" i="5" s="1"/>
  <c r="O1350" i="5" s="1"/>
  <c r="O1351" i="5" s="1"/>
  <c r="O1352" i="5" s="1"/>
  <c r="O1353" i="5" s="1"/>
  <c r="O1354" i="5" s="1"/>
  <c r="O1355" i="5" s="1"/>
  <c r="O1356" i="5" s="1"/>
  <c r="O1357" i="5" s="1"/>
  <c r="O1358" i="5" s="1"/>
  <c r="O1359" i="5" s="1"/>
  <c r="O1360" i="5" s="1"/>
  <c r="O1361" i="5" s="1"/>
  <c r="O1362" i="5" s="1"/>
  <c r="O1363" i="5" s="1"/>
  <c r="O1364" i="5" s="1"/>
  <c r="O1365" i="5" s="1"/>
  <c r="O1366" i="5" s="1"/>
  <c r="O1367" i="5" s="1"/>
  <c r="O1368" i="5" s="1"/>
  <c r="O1369" i="5" s="1"/>
  <c r="O1370" i="5" s="1"/>
  <c r="O1371" i="5" s="1"/>
  <c r="O1372" i="5" s="1"/>
  <c r="O1373" i="5" s="1"/>
  <c r="O1374" i="5" s="1"/>
  <c r="O1375" i="5" s="1"/>
  <c r="O1376" i="5" s="1"/>
  <c r="O1377" i="5" s="1"/>
  <c r="O1378" i="5" s="1"/>
  <c r="O1379" i="5" s="1"/>
  <c r="O1380" i="5" s="1"/>
  <c r="O1381" i="5" s="1"/>
  <c r="O1382" i="5" s="1"/>
  <c r="O1383" i="5" s="1"/>
  <c r="O1384" i="5" s="1"/>
  <c r="O1385" i="5" s="1"/>
  <c r="O1386" i="5" s="1"/>
  <c r="O1387" i="5" s="1"/>
  <c r="O1388" i="5" s="1"/>
  <c r="O1389" i="5" s="1"/>
  <c r="O1390" i="5" s="1"/>
  <c r="O1391" i="5" s="1"/>
  <c r="O1392" i="5" s="1"/>
  <c r="O1393" i="5" s="1"/>
  <c r="O1394" i="5" s="1"/>
  <c r="O1395" i="5" s="1"/>
  <c r="O1396" i="5" s="1"/>
  <c r="O1397" i="5" s="1"/>
  <c r="O1398" i="5" s="1"/>
  <c r="O1399" i="5" s="1"/>
  <c r="O1400" i="5" s="1"/>
  <c r="O1401" i="5" s="1"/>
  <c r="O1402" i="5" s="1"/>
  <c r="O1403" i="5" s="1"/>
  <c r="O1404" i="5" s="1"/>
  <c r="O1405" i="5" s="1"/>
  <c r="O1406" i="5" s="1"/>
  <c r="O1407" i="5" s="1"/>
  <c r="O1408" i="5" s="1"/>
  <c r="O1409" i="5" s="1"/>
  <c r="O1410" i="5" s="1"/>
  <c r="O1411" i="5" s="1"/>
  <c r="O1412" i="5" s="1"/>
  <c r="O1413" i="5" s="1"/>
  <c r="O1414" i="5" s="1"/>
  <c r="O1415" i="5" s="1"/>
  <c r="O1416" i="5" s="1"/>
  <c r="O1417" i="5" s="1"/>
  <c r="O1418" i="5" s="1"/>
  <c r="O1419" i="5" s="1"/>
  <c r="O1420" i="5" s="1"/>
  <c r="O1421" i="5" s="1"/>
  <c r="O1422" i="5" s="1"/>
  <c r="O1423" i="5" s="1"/>
  <c r="O1424" i="5" s="1"/>
  <c r="O1425" i="5" s="1"/>
  <c r="O1426" i="5" s="1"/>
  <c r="O1427" i="5" s="1"/>
  <c r="O1428" i="5" s="1"/>
  <c r="O1429" i="5" s="1"/>
  <c r="O1430" i="5" s="1"/>
  <c r="O1431" i="5" s="1"/>
  <c r="O1432" i="5" s="1"/>
  <c r="O1433" i="5" s="1"/>
  <c r="O1434" i="5" s="1"/>
  <c r="O1435" i="5" s="1"/>
  <c r="O1436" i="5" s="1"/>
  <c r="O1437" i="5" s="1"/>
  <c r="O1438" i="5" s="1"/>
  <c r="O1439" i="5" s="1"/>
  <c r="O1440" i="5" s="1"/>
  <c r="O1441" i="5" s="1"/>
  <c r="O1442" i="5" s="1"/>
  <c r="O1443" i="5" s="1"/>
  <c r="O1444" i="5" s="1"/>
  <c r="O1445" i="5" s="1"/>
  <c r="O1446" i="5" s="1"/>
  <c r="O1447" i="5" s="1"/>
  <c r="O1448" i="5" s="1"/>
  <c r="O1449" i="5" s="1"/>
  <c r="O1450" i="5" s="1"/>
  <c r="O1451" i="5" s="1"/>
  <c r="O1452" i="5" s="1"/>
  <c r="O1453" i="5" s="1"/>
  <c r="O1454" i="5" s="1"/>
  <c r="O1455" i="5" s="1"/>
  <c r="O1456" i="5" s="1"/>
  <c r="O1457" i="5" s="1"/>
  <c r="O1458" i="5" s="1"/>
  <c r="O1459" i="5" s="1"/>
  <c r="O1460" i="5" s="1"/>
  <c r="O1461" i="5" s="1"/>
  <c r="O1462" i="5" s="1"/>
  <c r="O1463" i="5" s="1"/>
  <c r="O1464" i="5" s="1"/>
  <c r="O1465" i="5" s="1"/>
  <c r="O1466" i="5" s="1"/>
  <c r="O1467" i="5" s="1"/>
  <c r="O1468" i="5" s="1"/>
  <c r="O1469" i="5" s="1"/>
  <c r="O1470" i="5" s="1"/>
  <c r="O1471" i="5" s="1"/>
  <c r="O1472" i="5" s="1"/>
  <c r="O1473" i="5" s="1"/>
  <c r="O1474" i="5" s="1"/>
  <c r="O1475" i="5" s="1"/>
  <c r="O1476" i="5" s="1"/>
  <c r="O1477" i="5" s="1"/>
  <c r="O1478" i="5" s="1"/>
  <c r="O1479" i="5" s="1"/>
  <c r="O1480" i="5" s="1"/>
  <c r="O1481" i="5" s="1"/>
  <c r="O1482" i="5" s="1"/>
  <c r="O1483" i="5" s="1"/>
  <c r="O1484" i="5" s="1"/>
  <c r="O1485" i="5" s="1"/>
  <c r="O1486" i="5" s="1"/>
  <c r="O1487" i="5" s="1"/>
  <c r="O1488" i="5" s="1"/>
  <c r="O1489" i="5" s="1"/>
  <c r="O1490" i="5" s="1"/>
  <c r="O1491" i="5" s="1"/>
  <c r="O1492" i="5" s="1"/>
  <c r="O1493" i="5" s="1"/>
  <c r="O1494" i="5" s="1"/>
  <c r="O1495" i="5" s="1"/>
  <c r="O1496" i="5" s="1"/>
  <c r="O1497" i="5" s="1"/>
  <c r="O1498" i="5" s="1"/>
  <c r="O1499" i="5" s="1"/>
  <c r="O1500" i="5" s="1"/>
  <c r="O1501" i="5" s="1"/>
  <c r="O1502" i="5" s="1"/>
  <c r="O1503" i="5" s="1"/>
  <c r="O1504" i="5" s="1"/>
  <c r="O1505" i="5" s="1"/>
  <c r="O1506" i="5" s="1"/>
  <c r="O1507" i="5" s="1"/>
  <c r="O1508" i="5" s="1"/>
  <c r="O1509" i="5" s="1"/>
  <c r="O1510" i="5" s="1"/>
  <c r="O1511" i="5" s="1"/>
  <c r="O1512" i="5" s="1"/>
  <c r="O1513" i="5" s="1"/>
  <c r="O1514" i="5" s="1"/>
  <c r="O1515" i="5" s="1"/>
  <c r="O1516" i="5" s="1"/>
  <c r="O1517" i="5" s="1"/>
  <c r="O1518" i="5" s="1"/>
  <c r="O1519" i="5" s="1"/>
  <c r="O1520" i="5" s="1"/>
  <c r="O1521" i="5" s="1"/>
  <c r="O1522" i="5" s="1"/>
  <c r="O1523" i="5" s="1"/>
  <c r="O1524" i="5" s="1"/>
  <c r="O1525" i="5" s="1"/>
  <c r="O1526" i="5" s="1"/>
  <c r="O1527" i="5" s="1"/>
  <c r="O1528" i="5" s="1"/>
  <c r="O1529" i="5" s="1"/>
  <c r="O1530" i="5" s="1"/>
  <c r="O1531" i="5" s="1"/>
  <c r="O1532" i="5" s="1"/>
  <c r="O1533" i="5" s="1"/>
  <c r="O1534" i="5" s="1"/>
  <c r="O1535" i="5" s="1"/>
  <c r="O1536" i="5" s="1"/>
  <c r="O1537" i="5" s="1"/>
  <c r="O1538" i="5" s="1"/>
  <c r="O1539" i="5" s="1"/>
  <c r="O1540" i="5" s="1"/>
  <c r="O1541" i="5" s="1"/>
  <c r="O1542" i="5" s="1"/>
  <c r="O1543" i="5" s="1"/>
  <c r="O1544" i="5" s="1"/>
  <c r="O1545" i="5" s="1"/>
  <c r="O1546" i="5" s="1"/>
  <c r="O1547" i="5" s="1"/>
  <c r="O1548" i="5" s="1"/>
  <c r="O1549" i="5" s="1"/>
  <c r="O1550" i="5" s="1"/>
  <c r="O1551" i="5" s="1"/>
  <c r="O1552" i="5" s="1"/>
  <c r="O1553" i="5" s="1"/>
  <c r="O1554" i="5" s="1"/>
  <c r="O1555" i="5" s="1"/>
  <c r="O1556" i="5" s="1"/>
  <c r="O1557" i="5" s="1"/>
  <c r="O1558" i="5" s="1"/>
  <c r="O1559" i="5" s="1"/>
  <c r="O1560" i="5" s="1"/>
  <c r="O1561" i="5" s="1"/>
  <c r="O1562" i="5" s="1"/>
  <c r="O1563" i="5" s="1"/>
  <c r="O1564" i="5" s="1"/>
  <c r="O1565" i="5" s="1"/>
  <c r="O1566" i="5" s="1"/>
  <c r="O1567" i="5" s="1"/>
  <c r="O1568" i="5" s="1"/>
  <c r="O1569" i="5" s="1"/>
  <c r="O1570" i="5" s="1"/>
  <c r="O1571" i="5" s="1"/>
  <c r="O1572" i="5" s="1"/>
  <c r="O1573" i="5" s="1"/>
  <c r="O1574" i="5" s="1"/>
  <c r="O1575" i="5" s="1"/>
  <c r="O1576" i="5" s="1"/>
  <c r="O1577" i="5" s="1"/>
  <c r="O1578" i="5" s="1"/>
  <c r="O1579" i="5" s="1"/>
  <c r="O1580" i="5" s="1"/>
  <c r="O1581" i="5" s="1"/>
  <c r="O1582" i="5" s="1"/>
  <c r="O1583" i="5" s="1"/>
  <c r="O1584" i="5" s="1"/>
  <c r="O1585" i="5" s="1"/>
  <c r="O1586" i="5" s="1"/>
  <c r="O1587" i="5" s="1"/>
  <c r="O1588" i="5" s="1"/>
  <c r="O1589" i="5" s="1"/>
  <c r="O1590" i="5" s="1"/>
  <c r="O1591" i="5" s="1"/>
  <c r="O1592" i="5" s="1"/>
  <c r="O1593" i="5" s="1"/>
  <c r="O1594" i="5" s="1"/>
  <c r="O1595" i="5" s="1"/>
  <c r="O1596" i="5" s="1"/>
  <c r="O1597" i="5" s="1"/>
  <c r="O1598" i="5" s="1"/>
  <c r="O1599" i="5" s="1"/>
  <c r="O1600" i="5" s="1"/>
  <c r="O1601" i="5" s="1"/>
  <c r="O1602" i="5" s="1"/>
  <c r="O1603" i="5" s="1"/>
  <c r="O1604" i="5" s="1"/>
  <c r="O1605" i="5" s="1"/>
  <c r="O1606" i="5" s="1"/>
  <c r="O1607" i="5" s="1"/>
  <c r="O1608" i="5" s="1"/>
  <c r="O1609" i="5" s="1"/>
  <c r="O1610" i="5" s="1"/>
  <c r="O1611" i="5" s="1"/>
  <c r="O1612" i="5" s="1"/>
  <c r="O1613" i="5" s="1"/>
  <c r="O1614" i="5" s="1"/>
  <c r="O1615" i="5" s="1"/>
  <c r="O1616" i="5" s="1"/>
  <c r="O1617" i="5" s="1"/>
  <c r="O1618" i="5" s="1"/>
  <c r="O1619" i="5" s="1"/>
  <c r="O1620" i="5" s="1"/>
  <c r="O1621" i="5" s="1"/>
  <c r="O1622" i="5" s="1"/>
  <c r="O1623" i="5" s="1"/>
  <c r="O1624" i="5" s="1"/>
  <c r="O1625" i="5" s="1"/>
  <c r="O1626" i="5" s="1"/>
  <c r="O1627" i="5" s="1"/>
  <c r="O1628" i="5" s="1"/>
  <c r="O1629" i="5" s="1"/>
  <c r="O1630" i="5" s="1"/>
  <c r="O1631" i="5" s="1"/>
  <c r="O1632" i="5" s="1"/>
  <c r="O1633" i="5" s="1"/>
  <c r="O1634" i="5" s="1"/>
  <c r="O1635" i="5" s="1"/>
  <c r="O1636" i="5" s="1"/>
  <c r="O1637" i="5" s="1"/>
  <c r="O1638" i="5" s="1"/>
  <c r="O1639" i="5" s="1"/>
  <c r="O1640" i="5" s="1"/>
  <c r="O1641" i="5" s="1"/>
  <c r="O1642" i="5" s="1"/>
  <c r="O1643" i="5" s="1"/>
  <c r="O1644" i="5" s="1"/>
  <c r="O1645" i="5" s="1"/>
  <c r="O1646" i="5" s="1"/>
  <c r="O1647" i="5" s="1"/>
  <c r="O1648" i="5" s="1"/>
  <c r="O1649" i="5" s="1"/>
  <c r="O1650" i="5" s="1"/>
  <c r="O1651" i="5" s="1"/>
  <c r="O1652" i="5" s="1"/>
  <c r="O1653" i="5" s="1"/>
  <c r="O1654" i="5" s="1"/>
  <c r="O1655" i="5" s="1"/>
  <c r="O1656" i="5" s="1"/>
  <c r="O1657" i="5" s="1"/>
  <c r="O1658" i="5" s="1"/>
  <c r="O1659" i="5" s="1"/>
  <c r="O1660" i="5" s="1"/>
  <c r="O1661" i="5" s="1"/>
  <c r="O1662" i="5" s="1"/>
  <c r="O1663" i="5" s="1"/>
  <c r="O1664" i="5" s="1"/>
  <c r="O1665" i="5" s="1"/>
  <c r="O1666" i="5" s="1"/>
  <c r="O1667" i="5" s="1"/>
  <c r="O1668" i="5" s="1"/>
  <c r="O1669" i="5" s="1"/>
  <c r="O1670" i="5" s="1"/>
  <c r="O1671" i="5" s="1"/>
  <c r="O1672" i="5" s="1"/>
  <c r="O1673" i="5" s="1"/>
  <c r="O1674" i="5" s="1"/>
  <c r="O1675" i="5" s="1"/>
  <c r="O1676" i="5" s="1"/>
  <c r="O1677" i="5" s="1"/>
  <c r="O1678" i="5" s="1"/>
  <c r="O1679" i="5" s="1"/>
  <c r="O1680" i="5" s="1"/>
  <c r="O1681" i="5" s="1"/>
  <c r="O1682" i="5" s="1"/>
  <c r="O1683" i="5" s="1"/>
  <c r="O1684" i="5" s="1"/>
  <c r="O1685" i="5" s="1"/>
  <c r="O1686" i="5" s="1"/>
  <c r="O1687" i="5" s="1"/>
  <c r="O1688" i="5" s="1"/>
  <c r="O1689" i="5" s="1"/>
  <c r="O1690" i="5" s="1"/>
  <c r="O1691" i="5" s="1"/>
  <c r="O1692" i="5" s="1"/>
  <c r="O1693" i="5" s="1"/>
  <c r="O1694" i="5" s="1"/>
  <c r="O1695" i="5" s="1"/>
  <c r="O1696" i="5" s="1"/>
  <c r="O1697" i="5" s="1"/>
  <c r="O1698" i="5" s="1"/>
  <c r="O1699" i="5" s="1"/>
  <c r="O1700" i="5" s="1"/>
  <c r="O1701" i="5" s="1"/>
  <c r="O1702" i="5" s="1"/>
  <c r="O1703" i="5" s="1"/>
  <c r="O1704" i="5" s="1"/>
  <c r="O1705" i="5" s="1"/>
  <c r="O1706" i="5" s="1"/>
  <c r="O1707" i="5" s="1"/>
  <c r="O1708" i="5" s="1"/>
  <c r="O1709" i="5" s="1"/>
  <c r="O1710" i="5" s="1"/>
  <c r="O1711" i="5" s="1"/>
  <c r="O1712" i="5" s="1"/>
  <c r="O1713" i="5" s="1"/>
  <c r="O1714" i="5" s="1"/>
  <c r="O1715" i="5" s="1"/>
  <c r="O1716" i="5" s="1"/>
  <c r="O1717" i="5" s="1"/>
  <c r="O1718" i="5" s="1"/>
  <c r="O1719" i="5" s="1"/>
  <c r="O1720" i="5" s="1"/>
  <c r="O1721" i="5" s="1"/>
  <c r="O1722" i="5" s="1"/>
  <c r="O1723" i="5" s="1"/>
  <c r="O1724" i="5" s="1"/>
  <c r="O1725" i="5" s="1"/>
  <c r="O1726" i="5" s="1"/>
  <c r="O1727" i="5" s="1"/>
  <c r="O1728" i="5" s="1"/>
  <c r="O1729" i="5" s="1"/>
  <c r="O1730" i="5" s="1"/>
  <c r="O1731" i="5" s="1"/>
  <c r="O1732" i="5" s="1"/>
  <c r="O1733" i="5" s="1"/>
  <c r="O1734" i="5" s="1"/>
  <c r="O1735" i="5" s="1"/>
  <c r="O1736" i="5" s="1"/>
  <c r="O1737" i="5" s="1"/>
  <c r="O1738" i="5" s="1"/>
  <c r="O1739" i="5" s="1"/>
  <c r="O1740" i="5" s="1"/>
  <c r="O1741" i="5" s="1"/>
  <c r="O1742" i="5" s="1"/>
  <c r="O1743" i="5" s="1"/>
  <c r="O1744" i="5" s="1"/>
  <c r="O1745" i="5" s="1"/>
  <c r="O1746" i="5" s="1"/>
  <c r="O1747" i="5" s="1"/>
  <c r="O1748" i="5" s="1"/>
  <c r="O1749" i="5" s="1"/>
  <c r="O1750" i="5" s="1"/>
  <c r="O1751" i="5" s="1"/>
  <c r="O1752" i="5" s="1"/>
  <c r="O1753" i="5" s="1"/>
  <c r="O1754" i="5" s="1"/>
  <c r="O1755" i="5" s="1"/>
  <c r="O1756" i="5" s="1"/>
  <c r="O1757" i="5" s="1"/>
  <c r="O1758" i="5" s="1"/>
  <c r="O1759" i="5" s="1"/>
  <c r="O1760" i="5" s="1"/>
  <c r="O1761" i="5" s="1"/>
  <c r="O1762" i="5" s="1"/>
  <c r="O1763" i="5" s="1"/>
  <c r="O1764" i="5" s="1"/>
  <c r="O1765" i="5" s="1"/>
  <c r="O1766" i="5" s="1"/>
  <c r="O1767" i="5" s="1"/>
  <c r="O1768" i="5" s="1"/>
  <c r="O1769" i="5" s="1"/>
  <c r="O1770" i="5" s="1"/>
  <c r="O1771" i="5" s="1"/>
  <c r="O1772" i="5" s="1"/>
  <c r="O1773" i="5" s="1"/>
  <c r="O1774" i="5" s="1"/>
  <c r="O1775" i="5" s="1"/>
  <c r="O1776" i="5" s="1"/>
  <c r="O1777" i="5" s="1"/>
  <c r="O1778" i="5" s="1"/>
  <c r="O1779" i="5" s="1"/>
  <c r="O1780" i="5" s="1"/>
  <c r="O1781" i="5" s="1"/>
  <c r="O1782" i="5" s="1"/>
  <c r="O1783" i="5" s="1"/>
  <c r="O1784" i="5" s="1"/>
  <c r="O1785" i="5" s="1"/>
  <c r="O1786" i="5" s="1"/>
  <c r="O1787" i="5" s="1"/>
  <c r="O1788" i="5" s="1"/>
  <c r="O1789" i="5" s="1"/>
  <c r="O1790" i="5" s="1"/>
  <c r="O1791" i="5" s="1"/>
  <c r="O1792" i="5" s="1"/>
  <c r="O1793" i="5" s="1"/>
  <c r="O1794" i="5" s="1"/>
  <c r="O1795" i="5" s="1"/>
  <c r="O1796" i="5" s="1"/>
  <c r="O1797" i="5" s="1"/>
  <c r="O1798" i="5" s="1"/>
  <c r="O1799" i="5" s="1"/>
  <c r="O1800" i="5" s="1"/>
  <c r="O1801" i="5" s="1"/>
  <c r="O1802" i="5" s="1"/>
  <c r="O1803" i="5" s="1"/>
  <c r="O1804" i="5" s="1"/>
  <c r="O1805" i="5" s="1"/>
  <c r="O1806" i="5" s="1"/>
  <c r="O1807" i="5" s="1"/>
  <c r="O1808" i="5" s="1"/>
  <c r="O1809" i="5" s="1"/>
  <c r="O1810" i="5" s="1"/>
  <c r="O1811" i="5" s="1"/>
  <c r="O1812" i="5" s="1"/>
  <c r="O1813" i="5" s="1"/>
  <c r="O1814" i="5" s="1"/>
  <c r="O1815" i="5" s="1"/>
  <c r="O1816" i="5" s="1"/>
  <c r="O1817" i="5" s="1"/>
  <c r="O1818" i="5" s="1"/>
  <c r="O1819" i="5" s="1"/>
  <c r="O1820" i="5" s="1"/>
  <c r="O1821" i="5" s="1"/>
  <c r="O1822" i="5" s="1"/>
  <c r="O1823" i="5" s="1"/>
  <c r="O1824" i="5" s="1"/>
  <c r="O1825" i="5" s="1"/>
  <c r="O1826" i="5" s="1"/>
  <c r="O1827" i="5" s="1"/>
  <c r="O1828" i="5" s="1"/>
  <c r="O1829" i="5" s="1"/>
  <c r="O1830" i="5" s="1"/>
  <c r="O1831" i="5" s="1"/>
  <c r="O1832" i="5" s="1"/>
  <c r="O1833" i="5" s="1"/>
  <c r="O1834" i="5" s="1"/>
  <c r="O1835" i="5" s="1"/>
  <c r="O1836" i="5" s="1"/>
  <c r="O1837" i="5" s="1"/>
  <c r="O1838" i="5" s="1"/>
  <c r="O1839" i="5" s="1"/>
  <c r="O1840" i="5" s="1"/>
  <c r="O1841" i="5" s="1"/>
  <c r="O1842" i="5" s="1"/>
  <c r="O1843" i="5" s="1"/>
  <c r="O1844" i="5" s="1"/>
  <c r="O1845" i="5" s="1"/>
  <c r="O1846" i="5" s="1"/>
  <c r="O1847" i="5" s="1"/>
  <c r="O1848" i="5" s="1"/>
  <c r="O1849" i="5" s="1"/>
  <c r="O1850" i="5" s="1"/>
  <c r="O1851" i="5" s="1"/>
  <c r="O1852" i="5" s="1"/>
  <c r="O1853" i="5" s="1"/>
  <c r="O1854" i="5" s="1"/>
  <c r="O1855" i="5" s="1"/>
  <c r="O1856" i="5" s="1"/>
  <c r="O1857" i="5" s="1"/>
  <c r="O1858" i="5" s="1"/>
  <c r="O1859" i="5" s="1"/>
  <c r="O1860" i="5" s="1"/>
  <c r="O1861" i="5" s="1"/>
  <c r="O1862" i="5" s="1"/>
  <c r="O1863" i="5" s="1"/>
  <c r="O1864" i="5" s="1"/>
  <c r="O1865" i="5" s="1"/>
  <c r="O1866" i="5" s="1"/>
  <c r="O1867" i="5" s="1"/>
  <c r="O1868" i="5" s="1"/>
  <c r="O1869" i="5" s="1"/>
  <c r="O1870" i="5" s="1"/>
  <c r="O1871" i="5" s="1"/>
  <c r="O1872" i="5" s="1"/>
  <c r="O1873" i="5" s="1"/>
  <c r="O1874" i="5" s="1"/>
  <c r="O1875" i="5" s="1"/>
  <c r="O1876" i="5" s="1"/>
  <c r="O1877" i="5" s="1"/>
  <c r="O1878" i="5" s="1"/>
  <c r="O1879" i="5" s="1"/>
  <c r="O1880" i="5" s="1"/>
  <c r="O1881" i="5" s="1"/>
  <c r="O1882" i="5" s="1"/>
  <c r="O1883" i="5" s="1"/>
  <c r="O1884" i="5" s="1"/>
  <c r="O1885" i="5" s="1"/>
  <c r="O1886" i="5" s="1"/>
  <c r="O1887" i="5" s="1"/>
  <c r="O1888" i="5" s="1"/>
  <c r="O1889" i="5" s="1"/>
  <c r="O1890" i="5" s="1"/>
  <c r="O1891" i="5" s="1"/>
  <c r="O1892" i="5" s="1"/>
  <c r="O1893" i="5" s="1"/>
  <c r="O1894" i="5" s="1"/>
  <c r="O1895" i="5" s="1"/>
  <c r="O1896" i="5" s="1"/>
  <c r="O1897" i="5" s="1"/>
  <c r="O1898" i="5" s="1"/>
  <c r="O1899" i="5" s="1"/>
  <c r="O1900" i="5" s="1"/>
  <c r="O1901" i="5" s="1"/>
  <c r="O1902" i="5" s="1"/>
  <c r="O1903" i="5" s="1"/>
  <c r="O1904" i="5" s="1"/>
  <c r="O1905" i="5" s="1"/>
  <c r="O1906" i="5" s="1"/>
  <c r="O1907" i="5" s="1"/>
  <c r="O1908" i="5" s="1"/>
  <c r="O1909" i="5" s="1"/>
  <c r="O1910" i="5" s="1"/>
  <c r="O1911" i="5" s="1"/>
  <c r="O1912" i="5" s="1"/>
  <c r="O1913" i="5" s="1"/>
  <c r="O1914" i="5" s="1"/>
  <c r="O1915" i="5" s="1"/>
  <c r="O1916" i="5" s="1"/>
  <c r="O1917" i="5" s="1"/>
  <c r="O1918" i="5" s="1"/>
  <c r="O1919" i="5" s="1"/>
  <c r="O1920" i="5" s="1"/>
  <c r="O1921" i="5" s="1"/>
  <c r="O1922" i="5" s="1"/>
  <c r="O1923" i="5" s="1"/>
  <c r="O1924" i="5" s="1"/>
  <c r="O1925" i="5" s="1"/>
  <c r="O1926" i="5" s="1"/>
  <c r="O1927" i="5" s="1"/>
  <c r="O1928" i="5" s="1"/>
  <c r="O1929" i="5" s="1"/>
  <c r="O1930" i="5" s="1"/>
  <c r="O1931" i="5" s="1"/>
  <c r="O1932" i="5" s="1"/>
  <c r="O1933" i="5" s="1"/>
  <c r="O1934" i="5" s="1"/>
  <c r="O1935" i="5" s="1"/>
  <c r="O1936" i="5" s="1"/>
  <c r="O1937" i="5" s="1"/>
  <c r="O1938" i="5" s="1"/>
  <c r="O1939" i="5" s="1"/>
  <c r="O1940" i="5" s="1"/>
  <c r="O1941" i="5" s="1"/>
  <c r="O1942" i="5" s="1"/>
  <c r="O1943" i="5" s="1"/>
  <c r="O1944" i="5" s="1"/>
  <c r="O1945" i="5" s="1"/>
  <c r="O1946" i="5" s="1"/>
  <c r="O1947" i="5" s="1"/>
  <c r="O1948" i="5" s="1"/>
  <c r="O1949" i="5" s="1"/>
  <c r="O1950" i="5" s="1"/>
  <c r="O1951" i="5" s="1"/>
  <c r="O1952" i="5" s="1"/>
  <c r="O1953" i="5" s="1"/>
  <c r="O1954" i="5" s="1"/>
  <c r="O1955" i="5" s="1"/>
  <c r="O1956" i="5" s="1"/>
  <c r="O1957" i="5" s="1"/>
  <c r="O1958" i="5" s="1"/>
  <c r="O1959" i="5" s="1"/>
  <c r="O1960" i="5" s="1"/>
  <c r="O1961" i="5" s="1"/>
  <c r="O1962" i="5" s="1"/>
  <c r="O1963" i="5" s="1"/>
  <c r="O1964" i="5" s="1"/>
  <c r="O1965" i="5" s="1"/>
  <c r="O1966" i="5" s="1"/>
  <c r="O1967" i="5" s="1"/>
  <c r="O1968" i="5" s="1"/>
  <c r="O1969" i="5" s="1"/>
  <c r="O1970" i="5" s="1"/>
  <c r="O1971" i="5" s="1"/>
  <c r="O1972" i="5" s="1"/>
  <c r="O1973" i="5" s="1"/>
  <c r="O1974" i="5" s="1"/>
  <c r="O1975" i="5" s="1"/>
  <c r="O1976" i="5" s="1"/>
  <c r="O1977" i="5" s="1"/>
  <c r="O1978" i="5" s="1"/>
  <c r="O1979" i="5" s="1"/>
  <c r="O1980" i="5" s="1"/>
  <c r="O1981" i="5" s="1"/>
  <c r="O1982" i="5" s="1"/>
  <c r="O1983" i="5" s="1"/>
  <c r="O1984" i="5" s="1"/>
  <c r="O1985" i="5" s="1"/>
  <c r="O1986" i="5" s="1"/>
  <c r="O1987" i="5" s="1"/>
  <c r="O1988" i="5" s="1"/>
  <c r="O1989" i="5" s="1"/>
  <c r="O1990" i="5" s="1"/>
  <c r="O1991" i="5" s="1"/>
  <c r="O1992" i="5" s="1"/>
  <c r="O1993" i="5" s="1"/>
  <c r="O1994" i="5" s="1"/>
  <c r="O1995" i="5" s="1"/>
  <c r="O1996" i="5" s="1"/>
  <c r="O1997" i="5" s="1"/>
  <c r="O1998" i="5" s="1"/>
  <c r="O1999" i="5" s="1"/>
  <c r="O2000" i="5" s="1"/>
  <c r="O2001" i="5" s="1"/>
  <c r="O2002" i="5" s="1"/>
  <c r="O2003" i="5" s="1"/>
  <c r="O2004" i="5" s="1"/>
  <c r="O2005" i="5" s="1"/>
  <c r="O2006" i="5" s="1"/>
  <c r="O2007" i="5" s="1"/>
  <c r="O2008" i="5" s="1"/>
  <c r="O2009" i="5" s="1"/>
  <c r="O2010" i="5" s="1"/>
  <c r="O2011" i="5" s="1"/>
  <c r="O2012" i="5" s="1"/>
  <c r="O2013" i="5" s="1"/>
  <c r="O2014" i="5" s="1"/>
  <c r="O2015" i="5" s="1"/>
  <c r="O2016" i="5" s="1"/>
  <c r="O2017" i="5" s="1"/>
  <c r="O2018" i="5" s="1"/>
  <c r="O2019" i="5" s="1"/>
  <c r="O2020" i="5" s="1"/>
  <c r="O2021" i="5" s="1"/>
  <c r="O2022" i="5" s="1"/>
  <c r="O2023" i="5" s="1"/>
  <c r="O2024" i="5" s="1"/>
  <c r="O2025" i="5" s="1"/>
  <c r="O2026" i="5" s="1"/>
  <c r="O2027" i="5" s="1"/>
  <c r="O2028" i="5" s="1"/>
  <c r="O2029" i="5" s="1"/>
  <c r="O2030" i="5" s="1"/>
  <c r="O2031" i="5" s="1"/>
  <c r="O2032" i="5" s="1"/>
  <c r="O2033" i="5" s="1"/>
  <c r="O2034" i="5" s="1"/>
  <c r="O2035" i="5" s="1"/>
  <c r="O2036" i="5" s="1"/>
  <c r="O2037" i="5" s="1"/>
  <c r="O2038" i="5" s="1"/>
  <c r="O2039" i="5" s="1"/>
  <c r="O2040" i="5" s="1"/>
  <c r="O2041" i="5" s="1"/>
  <c r="O2042" i="5" s="1"/>
  <c r="O2043" i="5" s="1"/>
  <c r="O2044" i="5" s="1"/>
  <c r="O2045" i="5" s="1"/>
  <c r="O2046" i="5" s="1"/>
  <c r="O2047" i="5" s="1"/>
  <c r="O2048" i="5" s="1"/>
  <c r="O2049" i="5" s="1"/>
  <c r="O2050" i="5" s="1"/>
  <c r="O2051" i="5" s="1"/>
  <c r="O2052" i="5" s="1"/>
  <c r="O2053" i="5" s="1"/>
  <c r="O2054" i="5" s="1"/>
  <c r="O2055" i="5" s="1"/>
  <c r="O2056" i="5" s="1"/>
  <c r="O2057" i="5" s="1"/>
  <c r="O2058" i="5" s="1"/>
  <c r="O2059" i="5" s="1"/>
  <c r="O2060" i="5" s="1"/>
  <c r="O2061" i="5" s="1"/>
  <c r="O2062" i="5" s="1"/>
  <c r="O2063" i="5" s="1"/>
  <c r="O2064" i="5" s="1"/>
  <c r="O2065" i="5" s="1"/>
  <c r="O2066" i="5" s="1"/>
  <c r="O2067" i="5" s="1"/>
  <c r="O2068" i="5" s="1"/>
  <c r="O2069" i="5" s="1"/>
  <c r="O2070" i="5" s="1"/>
  <c r="O2071" i="5" s="1"/>
  <c r="O2072" i="5" s="1"/>
  <c r="O2073" i="5" s="1"/>
  <c r="O2074" i="5" s="1"/>
  <c r="O2075" i="5" s="1"/>
  <c r="O2076" i="5" s="1"/>
  <c r="O2077" i="5" s="1"/>
  <c r="O2078" i="5" s="1"/>
  <c r="O2079" i="5" s="1"/>
  <c r="O2080" i="5" s="1"/>
  <c r="O2081" i="5" s="1"/>
  <c r="O2082" i="5" s="1"/>
  <c r="O2083" i="5" s="1"/>
  <c r="O2084" i="5" s="1"/>
  <c r="O2085" i="5" s="1"/>
  <c r="O2086" i="5" s="1"/>
  <c r="O2087" i="5" s="1"/>
  <c r="O2088" i="5" s="1"/>
  <c r="O2089" i="5" s="1"/>
  <c r="O2090" i="5" s="1"/>
  <c r="O2091" i="5" s="1"/>
  <c r="O2092" i="5" s="1"/>
  <c r="O2093" i="5" s="1"/>
  <c r="O2094" i="5" s="1"/>
  <c r="O2095" i="5" s="1"/>
  <c r="O2096" i="5" s="1"/>
  <c r="O2097" i="5" s="1"/>
  <c r="O2098" i="5" s="1"/>
  <c r="O2099" i="5" s="1"/>
  <c r="O2100" i="5" s="1"/>
  <c r="O2101" i="5" s="1"/>
  <c r="O2102" i="5" s="1"/>
  <c r="O2103" i="5" s="1"/>
  <c r="O2104" i="5" s="1"/>
  <c r="O2105" i="5" s="1"/>
  <c r="O2106" i="5" s="1"/>
  <c r="O2107" i="5" s="1"/>
  <c r="O2108" i="5" s="1"/>
  <c r="O2109" i="5" s="1"/>
  <c r="O2110" i="5" s="1"/>
  <c r="O2111" i="5" s="1"/>
  <c r="O2112" i="5" s="1"/>
  <c r="O2113" i="5" s="1"/>
  <c r="O2114" i="5" s="1"/>
  <c r="O2115" i="5" s="1"/>
  <c r="O2116" i="5" s="1"/>
  <c r="O2117" i="5" s="1"/>
  <c r="O2118" i="5" s="1"/>
  <c r="O2119" i="5" s="1"/>
  <c r="O2120" i="5" s="1"/>
  <c r="O2121" i="5" s="1"/>
  <c r="O2122" i="5" s="1"/>
  <c r="O2123" i="5" s="1"/>
  <c r="O2124" i="5" s="1"/>
  <c r="O2125" i="5" s="1"/>
  <c r="O2126" i="5" s="1"/>
  <c r="O2127" i="5" s="1"/>
  <c r="O2128" i="5" s="1"/>
  <c r="O2129" i="5" s="1"/>
  <c r="O2130" i="5" s="1"/>
  <c r="O2131" i="5" s="1"/>
  <c r="O2132" i="5" s="1"/>
  <c r="O2133" i="5" s="1"/>
  <c r="O2134" i="5" s="1"/>
  <c r="O2135" i="5" s="1"/>
  <c r="O2136" i="5" s="1"/>
  <c r="O2137" i="5" s="1"/>
  <c r="O2138" i="5" s="1"/>
  <c r="O2139" i="5" s="1"/>
  <c r="O2140" i="5" s="1"/>
  <c r="O2141" i="5" s="1"/>
  <c r="O2142" i="5" s="1"/>
  <c r="O2143" i="5" s="1"/>
  <c r="O2144" i="5" s="1"/>
  <c r="O2145" i="5" s="1"/>
  <c r="O2146" i="5" s="1"/>
  <c r="O2147" i="5" s="1"/>
  <c r="O2148" i="5" s="1"/>
  <c r="O2149" i="5" s="1"/>
  <c r="O2150" i="5" s="1"/>
  <c r="O2151" i="5" s="1"/>
  <c r="O2152" i="5" s="1"/>
  <c r="O2153" i="5" s="1"/>
  <c r="O2154" i="5" s="1"/>
  <c r="O2155" i="5" s="1"/>
  <c r="O2156" i="5" s="1"/>
  <c r="O2157" i="5" s="1"/>
  <c r="O2158" i="5" s="1"/>
  <c r="O2159" i="5" s="1"/>
  <c r="O2160" i="5" s="1"/>
  <c r="O2161" i="5" s="1"/>
  <c r="O2162" i="5" s="1"/>
  <c r="O2163" i="5" s="1"/>
  <c r="O2164" i="5" s="1"/>
  <c r="O2165" i="5" s="1"/>
  <c r="O2166" i="5" s="1"/>
  <c r="O2167" i="5" s="1"/>
  <c r="O2168" i="5" s="1"/>
  <c r="O2169" i="5" s="1"/>
  <c r="O2170" i="5" s="1"/>
  <c r="O2171" i="5" s="1"/>
  <c r="O2172" i="5" s="1"/>
  <c r="O2173" i="5" s="1"/>
  <c r="O2174" i="5" s="1"/>
  <c r="O2175" i="5" s="1"/>
  <c r="O2176" i="5" s="1"/>
  <c r="O2177" i="5" s="1"/>
  <c r="O2178" i="5" s="1"/>
  <c r="O2179" i="5" s="1"/>
  <c r="O2180" i="5" s="1"/>
  <c r="O2181" i="5" s="1"/>
  <c r="O2182" i="5" s="1"/>
  <c r="O2183" i="5" s="1"/>
  <c r="O2184" i="5" s="1"/>
  <c r="O2185" i="5" s="1"/>
  <c r="O2186" i="5" s="1"/>
  <c r="O2187" i="5" s="1"/>
  <c r="O2188" i="5" s="1"/>
  <c r="O2189" i="5" s="1"/>
  <c r="O2190" i="5" s="1"/>
  <c r="O2191" i="5" s="1"/>
  <c r="O2192" i="5" s="1"/>
  <c r="O2193" i="5" s="1"/>
  <c r="O2194" i="5" s="1"/>
  <c r="O2195" i="5" s="1"/>
  <c r="O2196" i="5" s="1"/>
  <c r="O2197" i="5" s="1"/>
  <c r="O2198" i="5" s="1"/>
  <c r="O2199" i="5" s="1"/>
  <c r="O2200" i="5" s="1"/>
  <c r="O2201" i="5" s="1"/>
  <c r="O2202" i="5" s="1"/>
  <c r="O2203" i="5" s="1"/>
  <c r="O2204" i="5" s="1"/>
  <c r="O2205" i="5" s="1"/>
  <c r="O2206" i="5" s="1"/>
  <c r="O2207" i="5" s="1"/>
  <c r="O2208" i="5" s="1"/>
  <c r="O2209" i="5" s="1"/>
  <c r="O2210" i="5" s="1"/>
  <c r="O2211" i="5" s="1"/>
  <c r="O2212" i="5" s="1"/>
  <c r="O2213" i="5" s="1"/>
  <c r="N396" i="5"/>
  <c r="L396" i="5"/>
  <c r="K396" i="5"/>
  <c r="K397" i="5" s="1"/>
  <c r="N397" i="5" s="1"/>
  <c r="N395" i="5"/>
  <c r="M395" i="5"/>
  <c r="M396" i="5" s="1"/>
  <c r="M397" i="5" s="1"/>
  <c r="M398" i="5" s="1"/>
  <c r="M399" i="5" s="1"/>
  <c r="M400" i="5" s="1"/>
  <c r="M401" i="5" s="1"/>
  <c r="M402" i="5" s="1"/>
  <c r="M403" i="5" s="1"/>
  <c r="M404" i="5" s="1"/>
  <c r="M405" i="5" s="1"/>
  <c r="M406" i="5" s="1"/>
  <c r="M407" i="5" s="1"/>
  <c r="M408" i="5" s="1"/>
  <c r="M409" i="5" s="1"/>
  <c r="M410" i="5" s="1"/>
  <c r="M411" i="5" s="1"/>
  <c r="M412" i="5" s="1"/>
  <c r="M413" i="5" s="1"/>
  <c r="M414" i="5" s="1"/>
  <c r="M415" i="5" s="1"/>
  <c r="M416" i="5" s="1"/>
  <c r="M417" i="5" s="1"/>
  <c r="M418" i="5" s="1"/>
  <c r="M419" i="5" s="1"/>
  <c r="M420" i="5" s="1"/>
  <c r="M421" i="5" s="1"/>
  <c r="M422" i="5" s="1"/>
  <c r="M423" i="5" s="1"/>
  <c r="M424" i="5" s="1"/>
  <c r="M425" i="5" s="1"/>
  <c r="M426" i="5" s="1"/>
  <c r="M427" i="5" s="1"/>
  <c r="M428" i="5" s="1"/>
  <c r="M429" i="5" s="1"/>
  <c r="M430" i="5" s="1"/>
  <c r="M431" i="5" s="1"/>
  <c r="M432" i="5" s="1"/>
  <c r="M433" i="5" s="1"/>
  <c r="M434" i="5" s="1"/>
  <c r="M435" i="5" s="1"/>
  <c r="M436" i="5" s="1"/>
  <c r="M437" i="5" s="1"/>
  <c r="M438" i="5" s="1"/>
  <c r="M439" i="5" s="1"/>
  <c r="M440" i="5" s="1"/>
  <c r="M441" i="5" s="1"/>
  <c r="M442" i="5" s="1"/>
  <c r="M443" i="5" s="1"/>
  <c r="M444" i="5" s="1"/>
  <c r="M445" i="5" s="1"/>
  <c r="M446" i="5" s="1"/>
  <c r="M447" i="5" s="1"/>
  <c r="M448" i="5" s="1"/>
  <c r="M449" i="5" s="1"/>
  <c r="M450" i="5" s="1"/>
  <c r="M451" i="5" s="1"/>
  <c r="M452" i="5" s="1"/>
  <c r="M453" i="5" s="1"/>
  <c r="M454" i="5" s="1"/>
  <c r="M455" i="5" s="1"/>
  <c r="M456" i="5" s="1"/>
  <c r="M457" i="5" s="1"/>
  <c r="M458" i="5" s="1"/>
  <c r="M459" i="5" s="1"/>
  <c r="M460" i="5" s="1"/>
  <c r="M461" i="5" s="1"/>
  <c r="M462" i="5" s="1"/>
  <c r="M463" i="5" s="1"/>
  <c r="M464" i="5" s="1"/>
  <c r="M465" i="5" s="1"/>
  <c r="M466" i="5" s="1"/>
  <c r="M467" i="5" s="1"/>
  <c r="M468" i="5" s="1"/>
  <c r="M469" i="5" s="1"/>
  <c r="M470" i="5" s="1"/>
  <c r="M471" i="5" s="1"/>
  <c r="M472" i="5" s="1"/>
  <c r="M473" i="5" s="1"/>
  <c r="M474" i="5" s="1"/>
  <c r="M475" i="5" s="1"/>
  <c r="M476" i="5" s="1"/>
  <c r="M477" i="5" s="1"/>
  <c r="M478" i="5" s="1"/>
  <c r="M479" i="5" s="1"/>
  <c r="M480" i="5" s="1"/>
  <c r="M481" i="5" s="1"/>
  <c r="M482" i="5" s="1"/>
  <c r="M483" i="5" s="1"/>
  <c r="M484" i="5" s="1"/>
  <c r="M485" i="5" s="1"/>
  <c r="M486" i="5" s="1"/>
  <c r="M487" i="5" s="1"/>
  <c r="M488" i="5" s="1"/>
  <c r="M489" i="5" s="1"/>
  <c r="M490" i="5" s="1"/>
  <c r="M491" i="5" s="1"/>
  <c r="M492" i="5" s="1"/>
  <c r="M493" i="5" s="1"/>
  <c r="M494" i="5" s="1"/>
  <c r="M495" i="5" s="1"/>
  <c r="M496" i="5" s="1"/>
  <c r="M497" i="5" s="1"/>
  <c r="M498" i="5" s="1"/>
  <c r="M499" i="5" s="1"/>
  <c r="M500" i="5" s="1"/>
  <c r="M501" i="5" s="1"/>
  <c r="M502" i="5" s="1"/>
  <c r="M503" i="5" s="1"/>
  <c r="M504" i="5" s="1"/>
  <c r="M505" i="5" s="1"/>
  <c r="M506" i="5" s="1"/>
  <c r="M507" i="5" s="1"/>
  <c r="M508" i="5" s="1"/>
  <c r="M509" i="5" s="1"/>
  <c r="M510" i="5" s="1"/>
  <c r="M511" i="5" s="1"/>
  <c r="M512" i="5" s="1"/>
  <c r="M513" i="5" s="1"/>
  <c r="M514" i="5" s="1"/>
  <c r="M515" i="5" s="1"/>
  <c r="M516" i="5" s="1"/>
  <c r="M517" i="5" s="1"/>
  <c r="M518" i="5" s="1"/>
  <c r="M519" i="5" s="1"/>
  <c r="M520" i="5" s="1"/>
  <c r="M521" i="5" s="1"/>
  <c r="M522" i="5" s="1"/>
  <c r="M523" i="5" s="1"/>
  <c r="M524" i="5" s="1"/>
  <c r="M525" i="5" s="1"/>
  <c r="M526" i="5" s="1"/>
  <c r="M527" i="5" s="1"/>
  <c r="M528" i="5" s="1"/>
  <c r="M529" i="5" s="1"/>
  <c r="M530" i="5" s="1"/>
  <c r="M531" i="5" s="1"/>
  <c r="M532" i="5" s="1"/>
  <c r="M533" i="5" s="1"/>
  <c r="M534" i="5" s="1"/>
  <c r="M535" i="5" s="1"/>
  <c r="M536" i="5" s="1"/>
  <c r="M537" i="5" s="1"/>
  <c r="M538" i="5" s="1"/>
  <c r="M539" i="5" s="1"/>
  <c r="M540" i="5" s="1"/>
  <c r="M541" i="5" s="1"/>
  <c r="M542" i="5" s="1"/>
  <c r="M543" i="5" s="1"/>
  <c r="M544" i="5" s="1"/>
  <c r="M545" i="5" s="1"/>
  <c r="M546" i="5" s="1"/>
  <c r="M547" i="5" s="1"/>
  <c r="M548" i="5" s="1"/>
  <c r="M549" i="5" s="1"/>
  <c r="M550" i="5" s="1"/>
  <c r="M551" i="5" s="1"/>
  <c r="M552" i="5" s="1"/>
  <c r="M553" i="5" s="1"/>
  <c r="M554" i="5" s="1"/>
  <c r="M555" i="5" s="1"/>
  <c r="M556" i="5" s="1"/>
  <c r="M557" i="5" s="1"/>
  <c r="M558" i="5" s="1"/>
  <c r="M559" i="5" s="1"/>
  <c r="M560" i="5" s="1"/>
  <c r="M561" i="5" s="1"/>
  <c r="M562" i="5" s="1"/>
  <c r="M563" i="5" s="1"/>
  <c r="M564" i="5" s="1"/>
  <c r="M565" i="5" s="1"/>
  <c r="M566" i="5" s="1"/>
  <c r="M567" i="5" s="1"/>
  <c r="M568" i="5" s="1"/>
  <c r="M569" i="5" s="1"/>
  <c r="M570" i="5" s="1"/>
  <c r="M571" i="5" s="1"/>
  <c r="M572" i="5" s="1"/>
  <c r="M573" i="5" s="1"/>
  <c r="M574" i="5" s="1"/>
  <c r="M575" i="5" s="1"/>
  <c r="M576" i="5" s="1"/>
  <c r="M577" i="5" s="1"/>
  <c r="M578" i="5" s="1"/>
  <c r="M579" i="5" s="1"/>
  <c r="M580" i="5" s="1"/>
  <c r="M581" i="5" s="1"/>
  <c r="M582" i="5" s="1"/>
  <c r="M583" i="5" s="1"/>
  <c r="M584" i="5" s="1"/>
  <c r="M585" i="5" s="1"/>
  <c r="M586" i="5" s="1"/>
  <c r="M587" i="5" s="1"/>
  <c r="M588" i="5" s="1"/>
  <c r="M589" i="5" s="1"/>
  <c r="M590" i="5" s="1"/>
  <c r="M591" i="5" s="1"/>
  <c r="M592" i="5" s="1"/>
  <c r="M593" i="5" s="1"/>
  <c r="M594" i="5" s="1"/>
  <c r="M595" i="5" s="1"/>
  <c r="M596" i="5" s="1"/>
  <c r="M597" i="5" s="1"/>
  <c r="M598" i="5" s="1"/>
  <c r="M599" i="5" s="1"/>
  <c r="M600" i="5" s="1"/>
  <c r="M601" i="5" s="1"/>
  <c r="M602" i="5" s="1"/>
  <c r="M603" i="5" s="1"/>
  <c r="M604" i="5" s="1"/>
  <c r="M605" i="5" s="1"/>
  <c r="M606" i="5" s="1"/>
  <c r="M607" i="5" s="1"/>
  <c r="M608" i="5" s="1"/>
  <c r="M609" i="5" s="1"/>
  <c r="M610" i="5" s="1"/>
  <c r="M611" i="5" s="1"/>
  <c r="M612" i="5" s="1"/>
  <c r="M613" i="5" s="1"/>
  <c r="M614" i="5" s="1"/>
  <c r="M615" i="5" s="1"/>
  <c r="M616" i="5" s="1"/>
  <c r="M617" i="5" s="1"/>
  <c r="M618" i="5" s="1"/>
  <c r="M619" i="5" s="1"/>
  <c r="M620" i="5" s="1"/>
  <c r="M621" i="5" s="1"/>
  <c r="M622" i="5" s="1"/>
  <c r="M623" i="5" s="1"/>
  <c r="M624" i="5" s="1"/>
  <c r="M625" i="5" s="1"/>
  <c r="M626" i="5" s="1"/>
  <c r="M627" i="5" s="1"/>
  <c r="M628" i="5" s="1"/>
  <c r="M629" i="5" s="1"/>
  <c r="M630" i="5" s="1"/>
  <c r="M631" i="5" s="1"/>
  <c r="M632" i="5" s="1"/>
  <c r="M633" i="5" s="1"/>
  <c r="M634" i="5" s="1"/>
  <c r="M635" i="5" s="1"/>
  <c r="M636" i="5" s="1"/>
  <c r="M637" i="5" s="1"/>
  <c r="M638" i="5" s="1"/>
  <c r="M639" i="5" s="1"/>
  <c r="M640" i="5" s="1"/>
  <c r="M641" i="5" s="1"/>
  <c r="M642" i="5" s="1"/>
  <c r="M643" i="5" s="1"/>
  <c r="M644" i="5" s="1"/>
  <c r="M645" i="5" s="1"/>
  <c r="M646" i="5" s="1"/>
  <c r="M647" i="5" s="1"/>
  <c r="M648" i="5" s="1"/>
  <c r="M649" i="5" s="1"/>
  <c r="M650" i="5" s="1"/>
  <c r="M651" i="5" s="1"/>
  <c r="M652" i="5" s="1"/>
  <c r="M653" i="5" s="1"/>
  <c r="M654" i="5" s="1"/>
  <c r="M655" i="5" s="1"/>
  <c r="M656" i="5" s="1"/>
  <c r="M657" i="5" s="1"/>
  <c r="M658" i="5" s="1"/>
  <c r="M659" i="5" s="1"/>
  <c r="M660" i="5" s="1"/>
  <c r="M661" i="5" s="1"/>
  <c r="M662" i="5" s="1"/>
  <c r="M663" i="5" s="1"/>
  <c r="M664" i="5" s="1"/>
  <c r="M665" i="5" s="1"/>
  <c r="M666" i="5" s="1"/>
  <c r="M667" i="5" s="1"/>
  <c r="M668" i="5" s="1"/>
  <c r="M669" i="5" s="1"/>
  <c r="M670" i="5" s="1"/>
  <c r="M671" i="5" s="1"/>
  <c r="M672" i="5" s="1"/>
  <c r="M673" i="5" s="1"/>
  <c r="M674" i="5" s="1"/>
  <c r="M675" i="5" s="1"/>
  <c r="M676" i="5" s="1"/>
  <c r="M677" i="5" s="1"/>
  <c r="M678" i="5" s="1"/>
  <c r="M679" i="5" s="1"/>
  <c r="M680" i="5" s="1"/>
  <c r="M681" i="5" s="1"/>
  <c r="M682" i="5" s="1"/>
  <c r="M683" i="5" s="1"/>
  <c r="M684" i="5" s="1"/>
  <c r="M685" i="5" s="1"/>
  <c r="M686" i="5" s="1"/>
  <c r="M687" i="5" s="1"/>
  <c r="M688" i="5" s="1"/>
  <c r="M689" i="5" s="1"/>
  <c r="M690" i="5" s="1"/>
  <c r="M691" i="5" s="1"/>
  <c r="M692" i="5" s="1"/>
  <c r="M693" i="5" s="1"/>
  <c r="M694" i="5" s="1"/>
  <c r="M695" i="5" s="1"/>
  <c r="M696" i="5" s="1"/>
  <c r="M697" i="5" s="1"/>
  <c r="M698" i="5" s="1"/>
  <c r="M699" i="5" s="1"/>
  <c r="M700" i="5" s="1"/>
  <c r="M701" i="5" s="1"/>
  <c r="M702" i="5" s="1"/>
  <c r="M703" i="5" s="1"/>
  <c r="M704" i="5" s="1"/>
  <c r="M705" i="5" s="1"/>
  <c r="M706" i="5" s="1"/>
  <c r="M707" i="5" s="1"/>
  <c r="M708" i="5" s="1"/>
  <c r="M709" i="5" s="1"/>
  <c r="M710" i="5" s="1"/>
  <c r="M711" i="5" s="1"/>
  <c r="M712" i="5" s="1"/>
  <c r="M713" i="5" s="1"/>
  <c r="M714" i="5" s="1"/>
  <c r="M715" i="5" s="1"/>
  <c r="M716" i="5" s="1"/>
  <c r="M717" i="5" s="1"/>
  <c r="M718" i="5" s="1"/>
  <c r="M719" i="5" s="1"/>
  <c r="M720" i="5" s="1"/>
  <c r="M721" i="5" s="1"/>
  <c r="M722" i="5" s="1"/>
  <c r="M723" i="5" s="1"/>
  <c r="M724" i="5" s="1"/>
  <c r="M725" i="5" s="1"/>
  <c r="M726" i="5" s="1"/>
  <c r="M727" i="5" s="1"/>
  <c r="M728" i="5" s="1"/>
  <c r="M729" i="5" s="1"/>
  <c r="M730" i="5" s="1"/>
  <c r="M731" i="5" s="1"/>
  <c r="M732" i="5" s="1"/>
  <c r="M733" i="5" s="1"/>
  <c r="M734" i="5" s="1"/>
  <c r="M735" i="5" s="1"/>
  <c r="M736" i="5" s="1"/>
  <c r="M737" i="5" s="1"/>
  <c r="M738" i="5" s="1"/>
  <c r="M739" i="5" s="1"/>
  <c r="M740" i="5" s="1"/>
  <c r="M741" i="5" s="1"/>
  <c r="M742" i="5" s="1"/>
  <c r="M743" i="5" s="1"/>
  <c r="M744" i="5" s="1"/>
  <c r="M745" i="5" s="1"/>
  <c r="M746" i="5" s="1"/>
  <c r="M747" i="5" s="1"/>
  <c r="M748" i="5" s="1"/>
  <c r="M749" i="5" s="1"/>
  <c r="M750" i="5" s="1"/>
  <c r="M751" i="5" s="1"/>
  <c r="M752" i="5" s="1"/>
  <c r="M753" i="5" s="1"/>
  <c r="M754" i="5" s="1"/>
  <c r="M755" i="5" s="1"/>
  <c r="M756" i="5" s="1"/>
  <c r="M757" i="5" s="1"/>
  <c r="M758" i="5" s="1"/>
  <c r="M759" i="5" s="1"/>
  <c r="M760" i="5" s="1"/>
  <c r="M761" i="5" s="1"/>
  <c r="M762" i="5" s="1"/>
  <c r="M763" i="5" s="1"/>
  <c r="M764" i="5" s="1"/>
  <c r="M765" i="5" s="1"/>
  <c r="M766" i="5" s="1"/>
  <c r="M767" i="5" s="1"/>
  <c r="M768" i="5" s="1"/>
  <c r="M769" i="5" s="1"/>
  <c r="M770" i="5" s="1"/>
  <c r="M771" i="5" s="1"/>
  <c r="M772" i="5" s="1"/>
  <c r="M773" i="5" s="1"/>
  <c r="M774" i="5" s="1"/>
  <c r="M775" i="5" s="1"/>
  <c r="M776" i="5" s="1"/>
  <c r="M777" i="5" s="1"/>
  <c r="M778" i="5" s="1"/>
  <c r="M779" i="5" s="1"/>
  <c r="M780" i="5" s="1"/>
  <c r="M781" i="5" s="1"/>
  <c r="M782" i="5" s="1"/>
  <c r="M783" i="5" s="1"/>
  <c r="M784" i="5" s="1"/>
  <c r="M785" i="5" s="1"/>
  <c r="M786" i="5" s="1"/>
  <c r="M787" i="5" s="1"/>
  <c r="M788" i="5" s="1"/>
  <c r="M789" i="5" s="1"/>
  <c r="M790" i="5" s="1"/>
  <c r="M791" i="5" s="1"/>
  <c r="M792" i="5" s="1"/>
  <c r="M793" i="5" s="1"/>
  <c r="M794" i="5" s="1"/>
  <c r="M795" i="5" s="1"/>
  <c r="M796" i="5" s="1"/>
  <c r="M797" i="5" s="1"/>
  <c r="M798" i="5" s="1"/>
  <c r="M799" i="5" s="1"/>
  <c r="M800" i="5" s="1"/>
  <c r="M801" i="5" s="1"/>
  <c r="M802" i="5" s="1"/>
  <c r="M803" i="5" s="1"/>
  <c r="M804" i="5" s="1"/>
  <c r="M805" i="5" s="1"/>
  <c r="M806" i="5" s="1"/>
  <c r="M807" i="5" s="1"/>
  <c r="M808" i="5" s="1"/>
  <c r="M809" i="5" s="1"/>
  <c r="M810" i="5" s="1"/>
  <c r="M811" i="5" s="1"/>
  <c r="M812" i="5" s="1"/>
  <c r="M813" i="5" s="1"/>
  <c r="M814" i="5" s="1"/>
  <c r="M815" i="5" s="1"/>
  <c r="M816" i="5" s="1"/>
  <c r="M817" i="5" s="1"/>
  <c r="M818" i="5" s="1"/>
  <c r="M819" i="5" s="1"/>
  <c r="M820" i="5" s="1"/>
  <c r="M821" i="5" s="1"/>
  <c r="M822" i="5" s="1"/>
  <c r="M823" i="5" s="1"/>
  <c r="M824" i="5" s="1"/>
  <c r="M825" i="5" s="1"/>
  <c r="M826" i="5" s="1"/>
  <c r="M827" i="5" s="1"/>
  <c r="M828" i="5" s="1"/>
  <c r="M829" i="5" s="1"/>
  <c r="M830" i="5" s="1"/>
  <c r="M831" i="5" s="1"/>
  <c r="M832" i="5" s="1"/>
  <c r="M833" i="5" s="1"/>
  <c r="M834" i="5" s="1"/>
  <c r="M835" i="5" s="1"/>
  <c r="M836" i="5" s="1"/>
  <c r="M837" i="5" s="1"/>
  <c r="M838" i="5" s="1"/>
  <c r="M839" i="5" s="1"/>
  <c r="M840" i="5" s="1"/>
  <c r="M841" i="5" s="1"/>
  <c r="M842" i="5" s="1"/>
  <c r="M843" i="5" s="1"/>
  <c r="M844" i="5" s="1"/>
  <c r="M845" i="5" s="1"/>
  <c r="M846" i="5" s="1"/>
  <c r="M847" i="5" s="1"/>
  <c r="M848" i="5" s="1"/>
  <c r="M849" i="5" s="1"/>
  <c r="M850" i="5" s="1"/>
  <c r="M851" i="5" s="1"/>
  <c r="M852" i="5" s="1"/>
  <c r="M853" i="5" s="1"/>
  <c r="M854" i="5" s="1"/>
  <c r="M855" i="5" s="1"/>
  <c r="M856" i="5" s="1"/>
  <c r="M857" i="5" s="1"/>
  <c r="M858" i="5" s="1"/>
  <c r="M859" i="5" s="1"/>
  <c r="M860" i="5" s="1"/>
  <c r="M861" i="5" s="1"/>
  <c r="M862" i="5" s="1"/>
  <c r="M863" i="5" s="1"/>
  <c r="M864" i="5" s="1"/>
  <c r="M865" i="5" s="1"/>
  <c r="M866" i="5" s="1"/>
  <c r="M867" i="5" s="1"/>
  <c r="M868" i="5" s="1"/>
  <c r="M869" i="5" s="1"/>
  <c r="M870" i="5" s="1"/>
  <c r="M871" i="5" s="1"/>
  <c r="M872" i="5" s="1"/>
  <c r="M873" i="5" s="1"/>
  <c r="M874" i="5" s="1"/>
  <c r="M875" i="5" s="1"/>
  <c r="M876" i="5" s="1"/>
  <c r="M877" i="5" s="1"/>
  <c r="M878" i="5" s="1"/>
  <c r="M879" i="5" s="1"/>
  <c r="M880" i="5" s="1"/>
  <c r="M881" i="5" s="1"/>
  <c r="M882" i="5" s="1"/>
  <c r="M883" i="5" s="1"/>
  <c r="M884" i="5" s="1"/>
  <c r="M885" i="5" s="1"/>
  <c r="M886" i="5" s="1"/>
  <c r="M887" i="5" s="1"/>
  <c r="M888" i="5" s="1"/>
  <c r="M889" i="5" s="1"/>
  <c r="M890" i="5" s="1"/>
  <c r="M891" i="5" s="1"/>
  <c r="M892" i="5" s="1"/>
  <c r="M893" i="5" s="1"/>
  <c r="M894" i="5" s="1"/>
  <c r="M895" i="5" s="1"/>
  <c r="M896" i="5" s="1"/>
  <c r="M897" i="5" s="1"/>
  <c r="M898" i="5" s="1"/>
  <c r="M899" i="5" s="1"/>
  <c r="M900" i="5" s="1"/>
  <c r="M901" i="5" s="1"/>
  <c r="M902" i="5" s="1"/>
  <c r="M903" i="5" s="1"/>
  <c r="M904" i="5" s="1"/>
  <c r="M905" i="5" s="1"/>
  <c r="M906" i="5" s="1"/>
  <c r="M907" i="5" s="1"/>
  <c r="M908" i="5" s="1"/>
  <c r="M909" i="5" s="1"/>
  <c r="M910" i="5" s="1"/>
  <c r="M911" i="5" s="1"/>
  <c r="M912" i="5" s="1"/>
  <c r="M913" i="5" s="1"/>
  <c r="M914" i="5" s="1"/>
  <c r="M915" i="5" s="1"/>
  <c r="M916" i="5" s="1"/>
  <c r="M917" i="5" s="1"/>
  <c r="M918" i="5" s="1"/>
  <c r="M919" i="5" s="1"/>
  <c r="M920" i="5" s="1"/>
  <c r="M921" i="5" s="1"/>
  <c r="M922" i="5" s="1"/>
  <c r="M923" i="5" s="1"/>
  <c r="M924" i="5" s="1"/>
  <c r="M925" i="5" s="1"/>
  <c r="M926" i="5" s="1"/>
  <c r="M927" i="5" s="1"/>
  <c r="M928" i="5" s="1"/>
  <c r="M929" i="5" s="1"/>
  <c r="M930" i="5" s="1"/>
  <c r="M931" i="5" s="1"/>
  <c r="M932" i="5" s="1"/>
  <c r="M933" i="5" s="1"/>
  <c r="M934" i="5" s="1"/>
  <c r="M935" i="5" s="1"/>
  <c r="M936" i="5" s="1"/>
  <c r="M937" i="5" s="1"/>
  <c r="M938" i="5" s="1"/>
  <c r="M939" i="5" s="1"/>
  <c r="M940" i="5" s="1"/>
  <c r="M941" i="5" s="1"/>
  <c r="M942" i="5" s="1"/>
  <c r="M943" i="5" s="1"/>
  <c r="M944" i="5" s="1"/>
  <c r="M945" i="5" s="1"/>
  <c r="M946" i="5" s="1"/>
  <c r="M947" i="5" s="1"/>
  <c r="M948" i="5" s="1"/>
  <c r="M949" i="5" s="1"/>
  <c r="M950" i="5" s="1"/>
  <c r="M951" i="5" s="1"/>
  <c r="M952" i="5" s="1"/>
  <c r="M953" i="5" s="1"/>
  <c r="M954" i="5" s="1"/>
  <c r="M955" i="5" s="1"/>
  <c r="M956" i="5" s="1"/>
  <c r="M957" i="5" s="1"/>
  <c r="M958" i="5" s="1"/>
  <c r="M959" i="5" s="1"/>
  <c r="M960" i="5" s="1"/>
  <c r="M961" i="5" s="1"/>
  <c r="M962" i="5" s="1"/>
  <c r="M963" i="5" s="1"/>
  <c r="M964" i="5" s="1"/>
  <c r="M965" i="5" s="1"/>
  <c r="M966" i="5" s="1"/>
  <c r="M967" i="5" s="1"/>
  <c r="M968" i="5" s="1"/>
  <c r="M969" i="5" s="1"/>
  <c r="M970" i="5" s="1"/>
  <c r="M971" i="5" s="1"/>
  <c r="M972" i="5" s="1"/>
  <c r="M973" i="5" s="1"/>
  <c r="M974" i="5" s="1"/>
  <c r="M975" i="5" s="1"/>
  <c r="M976" i="5" s="1"/>
  <c r="M977" i="5" s="1"/>
  <c r="M978" i="5" s="1"/>
  <c r="M979" i="5" s="1"/>
  <c r="M980" i="5" s="1"/>
  <c r="M981" i="5" s="1"/>
  <c r="M982" i="5" s="1"/>
  <c r="M983" i="5" s="1"/>
  <c r="M984" i="5" s="1"/>
  <c r="M985" i="5" s="1"/>
  <c r="M986" i="5" s="1"/>
  <c r="M987" i="5" s="1"/>
  <c r="M988" i="5" s="1"/>
  <c r="M989" i="5" s="1"/>
  <c r="M990" i="5" s="1"/>
  <c r="M991" i="5" s="1"/>
  <c r="M992" i="5" s="1"/>
  <c r="M993" i="5" s="1"/>
  <c r="M994" i="5" s="1"/>
  <c r="M995" i="5" s="1"/>
  <c r="M996" i="5" s="1"/>
  <c r="M997" i="5" s="1"/>
  <c r="M998" i="5" s="1"/>
  <c r="M999" i="5" s="1"/>
  <c r="M1000" i="5" s="1"/>
  <c r="M1001" i="5" s="1"/>
  <c r="M1002" i="5" s="1"/>
  <c r="M1003" i="5" s="1"/>
  <c r="M1004" i="5" s="1"/>
  <c r="M1005" i="5" s="1"/>
  <c r="M1006" i="5" s="1"/>
  <c r="M1007" i="5" s="1"/>
  <c r="M1008" i="5" s="1"/>
  <c r="M1009" i="5" s="1"/>
  <c r="M1010" i="5" s="1"/>
  <c r="M1011" i="5" s="1"/>
  <c r="M1012" i="5" s="1"/>
  <c r="M1013" i="5" s="1"/>
  <c r="M1014" i="5" s="1"/>
  <c r="M1015" i="5" s="1"/>
  <c r="M1016" i="5" s="1"/>
  <c r="M1017" i="5" s="1"/>
  <c r="M1018" i="5" s="1"/>
  <c r="M1019" i="5" s="1"/>
  <c r="M1020" i="5" s="1"/>
  <c r="M1021" i="5" s="1"/>
  <c r="M1022" i="5" s="1"/>
  <c r="M1023" i="5" s="1"/>
  <c r="M1024" i="5" s="1"/>
  <c r="M1025" i="5" s="1"/>
  <c r="M1026" i="5" s="1"/>
  <c r="M1027" i="5" s="1"/>
  <c r="M1028" i="5" s="1"/>
  <c r="M1029" i="5" s="1"/>
  <c r="M1030" i="5" s="1"/>
  <c r="M1031" i="5" s="1"/>
  <c r="M1032" i="5" s="1"/>
  <c r="M1033" i="5" s="1"/>
  <c r="M1034" i="5" s="1"/>
  <c r="M1035" i="5" s="1"/>
  <c r="M1036" i="5" s="1"/>
  <c r="M1037" i="5" s="1"/>
  <c r="M1038" i="5" s="1"/>
  <c r="M1039" i="5" s="1"/>
  <c r="M1040" i="5" s="1"/>
  <c r="M1041" i="5" s="1"/>
  <c r="M1042" i="5" s="1"/>
  <c r="M1043" i="5" s="1"/>
  <c r="M1044" i="5" s="1"/>
  <c r="M1045" i="5" s="1"/>
  <c r="M1046" i="5" s="1"/>
  <c r="M1047" i="5" s="1"/>
  <c r="M1048" i="5" s="1"/>
  <c r="M1049" i="5" s="1"/>
  <c r="M1050" i="5" s="1"/>
  <c r="M1051" i="5" s="1"/>
  <c r="M1052" i="5" s="1"/>
  <c r="M1053" i="5" s="1"/>
  <c r="M1054" i="5" s="1"/>
  <c r="M1055" i="5" s="1"/>
  <c r="M1056" i="5" s="1"/>
  <c r="M1057" i="5" s="1"/>
  <c r="M1058" i="5" s="1"/>
  <c r="M1059" i="5" s="1"/>
  <c r="M1060" i="5" s="1"/>
  <c r="M1061" i="5" s="1"/>
  <c r="M1062" i="5" s="1"/>
  <c r="M1063" i="5" s="1"/>
  <c r="M1064" i="5" s="1"/>
  <c r="M1065" i="5" s="1"/>
  <c r="M1066" i="5" s="1"/>
  <c r="M1067" i="5" s="1"/>
  <c r="M1068" i="5" s="1"/>
  <c r="M1069" i="5" s="1"/>
  <c r="M1070" i="5" s="1"/>
  <c r="M1071" i="5" s="1"/>
  <c r="M1072" i="5" s="1"/>
  <c r="M1073" i="5" s="1"/>
  <c r="M1074" i="5" s="1"/>
  <c r="M1075" i="5" s="1"/>
  <c r="M1076" i="5" s="1"/>
  <c r="M1077" i="5" s="1"/>
  <c r="M1078" i="5" s="1"/>
  <c r="M1079" i="5" s="1"/>
  <c r="M1080" i="5" s="1"/>
  <c r="M1081" i="5" s="1"/>
  <c r="M1082" i="5" s="1"/>
  <c r="M1083" i="5" s="1"/>
  <c r="M1084" i="5" s="1"/>
  <c r="M1085" i="5" s="1"/>
  <c r="M1086" i="5" s="1"/>
  <c r="M1087" i="5" s="1"/>
  <c r="M1088" i="5" s="1"/>
  <c r="M1089" i="5" s="1"/>
  <c r="M1090" i="5" s="1"/>
  <c r="M1091" i="5" s="1"/>
  <c r="M1092" i="5" s="1"/>
  <c r="M1093" i="5" s="1"/>
  <c r="M1094" i="5" s="1"/>
  <c r="M1095" i="5" s="1"/>
  <c r="M1096" i="5" s="1"/>
  <c r="M1097" i="5" s="1"/>
  <c r="M1098" i="5" s="1"/>
  <c r="M1099" i="5" s="1"/>
  <c r="M1100" i="5" s="1"/>
  <c r="M1101" i="5" s="1"/>
  <c r="M1102" i="5" s="1"/>
  <c r="M1103" i="5" s="1"/>
  <c r="M1104" i="5" s="1"/>
  <c r="M1105" i="5" s="1"/>
  <c r="M1106" i="5" s="1"/>
  <c r="M1107" i="5" s="1"/>
  <c r="M1108" i="5" s="1"/>
  <c r="M1109" i="5" s="1"/>
  <c r="M1110" i="5" s="1"/>
  <c r="M1111" i="5" s="1"/>
  <c r="M1112" i="5" s="1"/>
  <c r="M1113" i="5" s="1"/>
  <c r="M1114" i="5" s="1"/>
  <c r="M1115" i="5" s="1"/>
  <c r="M1116" i="5" s="1"/>
  <c r="M1117" i="5" s="1"/>
  <c r="M1118" i="5" s="1"/>
  <c r="M1119" i="5" s="1"/>
  <c r="M1120" i="5" s="1"/>
  <c r="M1121" i="5" s="1"/>
  <c r="M1122" i="5" s="1"/>
  <c r="M1123" i="5" s="1"/>
  <c r="M1124" i="5" s="1"/>
  <c r="M1125" i="5" s="1"/>
  <c r="M1126" i="5" s="1"/>
  <c r="M1127" i="5" s="1"/>
  <c r="M1128" i="5" s="1"/>
  <c r="M1129" i="5" s="1"/>
  <c r="M1130" i="5" s="1"/>
  <c r="M1131" i="5" s="1"/>
  <c r="M1132" i="5" s="1"/>
  <c r="M1133" i="5" s="1"/>
  <c r="M1134" i="5" s="1"/>
  <c r="M1135" i="5" s="1"/>
  <c r="M1136" i="5" s="1"/>
  <c r="M1137" i="5" s="1"/>
  <c r="M1138" i="5" s="1"/>
  <c r="M1139" i="5" s="1"/>
  <c r="M1140" i="5" s="1"/>
  <c r="M1141" i="5" s="1"/>
  <c r="M1142" i="5" s="1"/>
  <c r="M1143" i="5" s="1"/>
  <c r="M1144" i="5" s="1"/>
  <c r="M1145" i="5" s="1"/>
  <c r="M1146" i="5" s="1"/>
  <c r="M1147" i="5" s="1"/>
  <c r="M1148" i="5" s="1"/>
  <c r="M1149" i="5" s="1"/>
  <c r="M1150" i="5" s="1"/>
  <c r="M1151" i="5" s="1"/>
  <c r="M1152" i="5" s="1"/>
  <c r="M1153" i="5" s="1"/>
  <c r="M1154" i="5" s="1"/>
  <c r="M1155" i="5" s="1"/>
  <c r="M1156" i="5" s="1"/>
  <c r="M1157" i="5" s="1"/>
  <c r="M1158" i="5" s="1"/>
  <c r="M1159" i="5" s="1"/>
  <c r="M1160" i="5" s="1"/>
  <c r="M1161" i="5" s="1"/>
  <c r="M1162" i="5" s="1"/>
  <c r="M1163" i="5" s="1"/>
  <c r="M1164" i="5" s="1"/>
  <c r="M1165" i="5" s="1"/>
  <c r="M1166" i="5" s="1"/>
  <c r="M1167" i="5" s="1"/>
  <c r="M1168" i="5" s="1"/>
  <c r="M1169" i="5" s="1"/>
  <c r="M1170" i="5" s="1"/>
  <c r="M1171" i="5" s="1"/>
  <c r="M1172" i="5" s="1"/>
  <c r="M1173" i="5" s="1"/>
  <c r="M1174" i="5" s="1"/>
  <c r="M1175" i="5" s="1"/>
  <c r="M1176" i="5" s="1"/>
  <c r="M1177" i="5" s="1"/>
  <c r="M1178" i="5" s="1"/>
  <c r="M1179" i="5" s="1"/>
  <c r="M1180" i="5" s="1"/>
  <c r="M1181" i="5" s="1"/>
  <c r="M1182" i="5" s="1"/>
  <c r="M1183" i="5" s="1"/>
  <c r="M1184" i="5" s="1"/>
  <c r="M1185" i="5" s="1"/>
  <c r="M1186" i="5" s="1"/>
  <c r="M1187" i="5" s="1"/>
  <c r="M1188" i="5" s="1"/>
  <c r="M1189" i="5" s="1"/>
  <c r="M1190" i="5" s="1"/>
  <c r="M1191" i="5" s="1"/>
  <c r="M1192" i="5" s="1"/>
  <c r="M1193" i="5" s="1"/>
  <c r="M1194" i="5" s="1"/>
  <c r="M1195" i="5" s="1"/>
  <c r="M1196" i="5" s="1"/>
  <c r="M1197" i="5" s="1"/>
  <c r="M1198" i="5" s="1"/>
  <c r="M1199" i="5" s="1"/>
  <c r="M1200" i="5" s="1"/>
  <c r="M1201" i="5" s="1"/>
  <c r="M1202" i="5" s="1"/>
  <c r="M1203" i="5" s="1"/>
  <c r="M1204" i="5" s="1"/>
  <c r="M1205" i="5" s="1"/>
  <c r="M1206" i="5" s="1"/>
  <c r="M1207" i="5" s="1"/>
  <c r="M1208" i="5" s="1"/>
  <c r="M1209" i="5" s="1"/>
  <c r="M1210" i="5" s="1"/>
  <c r="M1211" i="5" s="1"/>
  <c r="M1212" i="5" s="1"/>
  <c r="M1213" i="5" s="1"/>
  <c r="M1214" i="5" s="1"/>
  <c r="M1215" i="5" s="1"/>
  <c r="M1216" i="5" s="1"/>
  <c r="M1217" i="5" s="1"/>
  <c r="M1218" i="5" s="1"/>
  <c r="M1219" i="5" s="1"/>
  <c r="M1220" i="5" s="1"/>
  <c r="M1221" i="5" s="1"/>
  <c r="M1222" i="5" s="1"/>
  <c r="M1223" i="5" s="1"/>
  <c r="M1224" i="5" s="1"/>
  <c r="M1225" i="5" s="1"/>
  <c r="M1226" i="5" s="1"/>
  <c r="M1227" i="5" s="1"/>
  <c r="M1228" i="5" s="1"/>
  <c r="M1229" i="5" s="1"/>
  <c r="M1230" i="5" s="1"/>
  <c r="M1231" i="5" s="1"/>
  <c r="M1232" i="5" s="1"/>
  <c r="M1233" i="5" s="1"/>
  <c r="M1234" i="5" s="1"/>
  <c r="M1235" i="5" s="1"/>
  <c r="M1236" i="5" s="1"/>
  <c r="M1237" i="5" s="1"/>
  <c r="M1238" i="5" s="1"/>
  <c r="M1239" i="5" s="1"/>
  <c r="M1240" i="5" s="1"/>
  <c r="M1241" i="5" s="1"/>
  <c r="M1242" i="5" s="1"/>
  <c r="M1243" i="5" s="1"/>
  <c r="M1244" i="5" s="1"/>
  <c r="M1245" i="5" s="1"/>
  <c r="M1246" i="5" s="1"/>
  <c r="M1247" i="5" s="1"/>
  <c r="M1248" i="5" s="1"/>
  <c r="M1249" i="5" s="1"/>
  <c r="M1250" i="5" s="1"/>
  <c r="M1251" i="5" s="1"/>
  <c r="M1252" i="5" s="1"/>
  <c r="M1253" i="5" s="1"/>
  <c r="M1254" i="5" s="1"/>
  <c r="M1255" i="5" s="1"/>
  <c r="M1256" i="5" s="1"/>
  <c r="M1257" i="5" s="1"/>
  <c r="M1258" i="5" s="1"/>
  <c r="M1259" i="5" s="1"/>
  <c r="M1260" i="5" s="1"/>
  <c r="M1261" i="5" s="1"/>
  <c r="M1262" i="5" s="1"/>
  <c r="M1263" i="5" s="1"/>
  <c r="M1264" i="5" s="1"/>
  <c r="M1265" i="5" s="1"/>
  <c r="M1266" i="5" s="1"/>
  <c r="M1267" i="5" s="1"/>
  <c r="M1268" i="5" s="1"/>
  <c r="M1269" i="5" s="1"/>
  <c r="M1270" i="5" s="1"/>
  <c r="M1271" i="5" s="1"/>
  <c r="M1272" i="5" s="1"/>
  <c r="M1273" i="5" s="1"/>
  <c r="M1274" i="5" s="1"/>
  <c r="M1275" i="5" s="1"/>
  <c r="M1276" i="5" s="1"/>
  <c r="M1277" i="5" s="1"/>
  <c r="M1278" i="5" s="1"/>
  <c r="M1279" i="5" s="1"/>
  <c r="M1280" i="5" s="1"/>
  <c r="M1281" i="5" s="1"/>
  <c r="M1282" i="5" s="1"/>
  <c r="M1283" i="5" s="1"/>
  <c r="M1284" i="5" s="1"/>
  <c r="M1285" i="5" s="1"/>
  <c r="M1286" i="5" s="1"/>
  <c r="M1287" i="5" s="1"/>
  <c r="M1288" i="5" s="1"/>
  <c r="M1289" i="5" s="1"/>
  <c r="M1290" i="5" s="1"/>
  <c r="M1291" i="5" s="1"/>
  <c r="M1292" i="5" s="1"/>
  <c r="M1293" i="5" s="1"/>
  <c r="M1294" i="5" s="1"/>
  <c r="M1295" i="5" s="1"/>
  <c r="M1296" i="5" s="1"/>
  <c r="M1297" i="5" s="1"/>
  <c r="M1298" i="5" s="1"/>
  <c r="M1299" i="5" s="1"/>
  <c r="M1300" i="5" s="1"/>
  <c r="M1301" i="5" s="1"/>
  <c r="M1302" i="5" s="1"/>
  <c r="M1303" i="5" s="1"/>
  <c r="M1304" i="5" s="1"/>
  <c r="M1305" i="5" s="1"/>
  <c r="M1306" i="5" s="1"/>
  <c r="M1307" i="5" s="1"/>
  <c r="M1308" i="5" s="1"/>
  <c r="M1309" i="5" s="1"/>
  <c r="M1310" i="5" s="1"/>
  <c r="M1311" i="5" s="1"/>
  <c r="M1312" i="5" s="1"/>
  <c r="M1313" i="5" s="1"/>
  <c r="M1314" i="5" s="1"/>
  <c r="M1315" i="5" s="1"/>
  <c r="M1316" i="5" s="1"/>
  <c r="M1317" i="5" s="1"/>
  <c r="M1318" i="5" s="1"/>
  <c r="M1319" i="5" s="1"/>
  <c r="M1320" i="5" s="1"/>
  <c r="M1321" i="5" s="1"/>
  <c r="M1322" i="5" s="1"/>
  <c r="M1323" i="5" s="1"/>
  <c r="M1324" i="5" s="1"/>
  <c r="M1325" i="5" s="1"/>
  <c r="M1326" i="5" s="1"/>
  <c r="M1327" i="5" s="1"/>
  <c r="M1328" i="5" s="1"/>
  <c r="M1329" i="5" s="1"/>
  <c r="M1330" i="5" s="1"/>
  <c r="M1331" i="5" s="1"/>
  <c r="M1332" i="5" s="1"/>
  <c r="M1333" i="5" s="1"/>
  <c r="M1334" i="5" s="1"/>
  <c r="M1335" i="5" s="1"/>
  <c r="M1336" i="5" s="1"/>
  <c r="M1337" i="5" s="1"/>
  <c r="M1338" i="5" s="1"/>
  <c r="M1339" i="5" s="1"/>
  <c r="M1340" i="5" s="1"/>
  <c r="M1341" i="5" s="1"/>
  <c r="M1342" i="5" s="1"/>
  <c r="M1343" i="5" s="1"/>
  <c r="M1344" i="5" s="1"/>
  <c r="M1345" i="5" s="1"/>
  <c r="M1346" i="5" s="1"/>
  <c r="M1347" i="5" s="1"/>
  <c r="M1348" i="5" s="1"/>
  <c r="M1349" i="5" s="1"/>
  <c r="M1350" i="5" s="1"/>
  <c r="M1351" i="5" s="1"/>
  <c r="M1352" i="5" s="1"/>
  <c r="M1353" i="5" s="1"/>
  <c r="M1354" i="5" s="1"/>
  <c r="M1355" i="5" s="1"/>
  <c r="M1356" i="5" s="1"/>
  <c r="M1357" i="5" s="1"/>
  <c r="M1358" i="5" s="1"/>
  <c r="M1359" i="5" s="1"/>
  <c r="M1360" i="5" s="1"/>
  <c r="M1361" i="5" s="1"/>
  <c r="M1362" i="5" s="1"/>
  <c r="M1363" i="5" s="1"/>
  <c r="M1364" i="5" s="1"/>
  <c r="M1365" i="5" s="1"/>
  <c r="M1366" i="5" s="1"/>
  <c r="M1367" i="5" s="1"/>
  <c r="M1368" i="5" s="1"/>
  <c r="M1369" i="5" s="1"/>
  <c r="M1370" i="5" s="1"/>
  <c r="M1371" i="5" s="1"/>
  <c r="M1372" i="5" s="1"/>
  <c r="M1373" i="5" s="1"/>
  <c r="M1374" i="5" s="1"/>
  <c r="M1375" i="5" s="1"/>
  <c r="M1376" i="5" s="1"/>
  <c r="M1377" i="5" s="1"/>
  <c r="M1378" i="5" s="1"/>
  <c r="M1379" i="5" s="1"/>
  <c r="M1380" i="5" s="1"/>
  <c r="M1381" i="5" s="1"/>
  <c r="M1382" i="5" s="1"/>
  <c r="M1383" i="5" s="1"/>
  <c r="M1384" i="5" s="1"/>
  <c r="M1385" i="5" s="1"/>
  <c r="M1386" i="5" s="1"/>
  <c r="M1387" i="5" s="1"/>
  <c r="M1388" i="5" s="1"/>
  <c r="M1389" i="5" s="1"/>
  <c r="M1390" i="5" s="1"/>
  <c r="M1391" i="5" s="1"/>
  <c r="M1392" i="5" s="1"/>
  <c r="M1393" i="5" s="1"/>
  <c r="M1394" i="5" s="1"/>
  <c r="M1395" i="5" s="1"/>
  <c r="M1396" i="5" s="1"/>
  <c r="M1397" i="5" s="1"/>
  <c r="M1398" i="5" s="1"/>
  <c r="M1399" i="5" s="1"/>
  <c r="M1400" i="5" s="1"/>
  <c r="M1401" i="5" s="1"/>
  <c r="M1402" i="5" s="1"/>
  <c r="M1403" i="5" s="1"/>
  <c r="M1404" i="5" s="1"/>
  <c r="M1405" i="5" s="1"/>
  <c r="M1406" i="5" s="1"/>
  <c r="M1407" i="5" s="1"/>
  <c r="M1408" i="5" s="1"/>
  <c r="M1409" i="5" s="1"/>
  <c r="M1410" i="5" s="1"/>
  <c r="M1411" i="5" s="1"/>
  <c r="M1412" i="5" s="1"/>
  <c r="M1413" i="5" s="1"/>
  <c r="M1414" i="5" s="1"/>
  <c r="M1415" i="5" s="1"/>
  <c r="M1416" i="5" s="1"/>
  <c r="M1417" i="5" s="1"/>
  <c r="M1418" i="5" s="1"/>
  <c r="M1419" i="5" s="1"/>
  <c r="M1420" i="5" s="1"/>
  <c r="M1421" i="5" s="1"/>
  <c r="M1422" i="5" s="1"/>
  <c r="M1423" i="5" s="1"/>
  <c r="M1424" i="5" s="1"/>
  <c r="M1425" i="5" s="1"/>
  <c r="M1426" i="5" s="1"/>
  <c r="M1427" i="5" s="1"/>
  <c r="M1428" i="5" s="1"/>
  <c r="M1429" i="5" s="1"/>
  <c r="M1430" i="5" s="1"/>
  <c r="M1431" i="5" s="1"/>
  <c r="M1432" i="5" s="1"/>
  <c r="M1433" i="5" s="1"/>
  <c r="M1434" i="5" s="1"/>
  <c r="M1435" i="5" s="1"/>
  <c r="M1436" i="5" s="1"/>
  <c r="M1437" i="5" s="1"/>
  <c r="M1438" i="5" s="1"/>
  <c r="M1439" i="5" s="1"/>
  <c r="M1440" i="5" s="1"/>
  <c r="M1441" i="5" s="1"/>
  <c r="M1442" i="5" s="1"/>
  <c r="M1443" i="5" s="1"/>
  <c r="M1444" i="5" s="1"/>
  <c r="M1445" i="5" s="1"/>
  <c r="M1446" i="5" s="1"/>
  <c r="M1447" i="5" s="1"/>
  <c r="M1448" i="5" s="1"/>
  <c r="M1449" i="5" s="1"/>
  <c r="M1450" i="5" s="1"/>
  <c r="M1451" i="5" s="1"/>
  <c r="M1452" i="5" s="1"/>
  <c r="M1453" i="5" s="1"/>
  <c r="M1454" i="5" s="1"/>
  <c r="M1455" i="5" s="1"/>
  <c r="M1456" i="5" s="1"/>
  <c r="M1457" i="5" s="1"/>
  <c r="M1458" i="5" s="1"/>
  <c r="M1459" i="5" s="1"/>
  <c r="M1460" i="5" s="1"/>
  <c r="M1461" i="5" s="1"/>
  <c r="M1462" i="5" s="1"/>
  <c r="M1463" i="5" s="1"/>
  <c r="M1464" i="5" s="1"/>
  <c r="M1465" i="5" s="1"/>
  <c r="M1466" i="5" s="1"/>
  <c r="M1467" i="5" s="1"/>
  <c r="M1468" i="5" s="1"/>
  <c r="M1469" i="5" s="1"/>
  <c r="M1470" i="5" s="1"/>
  <c r="M1471" i="5" s="1"/>
  <c r="M1472" i="5" s="1"/>
  <c r="M1473" i="5" s="1"/>
  <c r="M1474" i="5" s="1"/>
  <c r="M1475" i="5" s="1"/>
  <c r="M1476" i="5" s="1"/>
  <c r="M1477" i="5" s="1"/>
  <c r="M1478" i="5" s="1"/>
  <c r="M1479" i="5" s="1"/>
  <c r="M1480" i="5" s="1"/>
  <c r="M1481" i="5" s="1"/>
  <c r="M1482" i="5" s="1"/>
  <c r="M1483" i="5" s="1"/>
  <c r="M1484" i="5" s="1"/>
  <c r="M1485" i="5" s="1"/>
  <c r="M1486" i="5" s="1"/>
  <c r="M1487" i="5" s="1"/>
  <c r="M1488" i="5" s="1"/>
  <c r="M1489" i="5" s="1"/>
  <c r="M1490" i="5" s="1"/>
  <c r="M1491" i="5" s="1"/>
  <c r="M1492" i="5" s="1"/>
  <c r="M1493" i="5" s="1"/>
  <c r="M1494" i="5" s="1"/>
  <c r="M1495" i="5" s="1"/>
  <c r="M1496" i="5" s="1"/>
  <c r="M1497" i="5" s="1"/>
  <c r="M1498" i="5" s="1"/>
  <c r="M1499" i="5" s="1"/>
  <c r="M1500" i="5" s="1"/>
  <c r="M1501" i="5" s="1"/>
  <c r="M1502" i="5" s="1"/>
  <c r="M1503" i="5" s="1"/>
  <c r="M1504" i="5" s="1"/>
  <c r="M1505" i="5" s="1"/>
  <c r="M1506" i="5" s="1"/>
  <c r="M1507" i="5" s="1"/>
  <c r="M1508" i="5" s="1"/>
  <c r="M1509" i="5" s="1"/>
  <c r="M1510" i="5" s="1"/>
  <c r="M1511" i="5" s="1"/>
  <c r="M1512" i="5" s="1"/>
  <c r="M1513" i="5" s="1"/>
  <c r="M1514" i="5" s="1"/>
  <c r="M1515" i="5" s="1"/>
  <c r="M1516" i="5" s="1"/>
  <c r="M1517" i="5" s="1"/>
  <c r="M1518" i="5" s="1"/>
  <c r="M1519" i="5" s="1"/>
  <c r="M1520" i="5" s="1"/>
  <c r="M1521" i="5" s="1"/>
  <c r="M1522" i="5" s="1"/>
  <c r="M1523" i="5" s="1"/>
  <c r="M1524" i="5" s="1"/>
  <c r="M1525" i="5" s="1"/>
  <c r="M1526" i="5" s="1"/>
  <c r="M1527" i="5" s="1"/>
  <c r="M1528" i="5" s="1"/>
  <c r="M1529" i="5" s="1"/>
  <c r="M1530" i="5" s="1"/>
  <c r="M1531" i="5" s="1"/>
  <c r="M1532" i="5" s="1"/>
  <c r="M1533" i="5" s="1"/>
  <c r="M1534" i="5" s="1"/>
  <c r="M1535" i="5" s="1"/>
  <c r="M1536" i="5" s="1"/>
  <c r="M1537" i="5" s="1"/>
  <c r="M1538" i="5" s="1"/>
  <c r="M1539" i="5" s="1"/>
  <c r="M1540" i="5" s="1"/>
  <c r="M1541" i="5" s="1"/>
  <c r="M1542" i="5" s="1"/>
  <c r="M1543" i="5" s="1"/>
  <c r="M1544" i="5" s="1"/>
  <c r="M1545" i="5" s="1"/>
  <c r="M1546" i="5" s="1"/>
  <c r="M1547" i="5" s="1"/>
  <c r="M1548" i="5" s="1"/>
  <c r="M1549" i="5" s="1"/>
  <c r="M1550" i="5" s="1"/>
  <c r="M1551" i="5" s="1"/>
  <c r="M1552" i="5" s="1"/>
  <c r="M1553" i="5" s="1"/>
  <c r="M1554" i="5" s="1"/>
  <c r="M1555" i="5" s="1"/>
  <c r="M1556" i="5" s="1"/>
  <c r="M1557" i="5" s="1"/>
  <c r="M1558" i="5" s="1"/>
  <c r="M1559" i="5" s="1"/>
  <c r="M1560" i="5" s="1"/>
  <c r="M1561" i="5" s="1"/>
  <c r="M1562" i="5" s="1"/>
  <c r="M1563" i="5" s="1"/>
  <c r="M1564" i="5" s="1"/>
  <c r="M1565" i="5" s="1"/>
  <c r="M1566" i="5" s="1"/>
  <c r="M1567" i="5" s="1"/>
  <c r="M1568" i="5" s="1"/>
  <c r="M1569" i="5" s="1"/>
  <c r="M1570" i="5" s="1"/>
  <c r="M1571" i="5" s="1"/>
  <c r="M1572" i="5" s="1"/>
  <c r="M1573" i="5" s="1"/>
  <c r="M1574" i="5" s="1"/>
  <c r="M1575" i="5" s="1"/>
  <c r="M1576" i="5" s="1"/>
  <c r="M1577" i="5" s="1"/>
  <c r="M1578" i="5" s="1"/>
  <c r="M1579" i="5" s="1"/>
  <c r="M1580" i="5" s="1"/>
  <c r="M1581" i="5" s="1"/>
  <c r="M1582" i="5" s="1"/>
  <c r="M1583" i="5" s="1"/>
  <c r="M1584" i="5" s="1"/>
  <c r="M1585" i="5" s="1"/>
  <c r="M1586" i="5" s="1"/>
  <c r="M1587" i="5" s="1"/>
  <c r="M1588" i="5" s="1"/>
  <c r="M1589" i="5" s="1"/>
  <c r="M1590" i="5" s="1"/>
  <c r="M1591" i="5" s="1"/>
  <c r="M1592" i="5" s="1"/>
  <c r="M1593" i="5" s="1"/>
  <c r="M1594" i="5" s="1"/>
  <c r="M1595" i="5" s="1"/>
  <c r="M1596" i="5" s="1"/>
  <c r="M1597" i="5" s="1"/>
  <c r="M1598" i="5" s="1"/>
  <c r="M1599" i="5" s="1"/>
  <c r="M1600" i="5" s="1"/>
  <c r="M1601" i="5" s="1"/>
  <c r="M1602" i="5" s="1"/>
  <c r="M1603" i="5" s="1"/>
  <c r="M1604" i="5" s="1"/>
  <c r="M1605" i="5" s="1"/>
  <c r="M1606" i="5" s="1"/>
  <c r="M1607" i="5" s="1"/>
  <c r="M1608" i="5" s="1"/>
  <c r="M1609" i="5" s="1"/>
  <c r="M1610" i="5" s="1"/>
  <c r="M1611" i="5" s="1"/>
  <c r="M1612" i="5" s="1"/>
  <c r="M1613" i="5" s="1"/>
  <c r="M1614" i="5" s="1"/>
  <c r="M1615" i="5" s="1"/>
  <c r="M1616" i="5" s="1"/>
  <c r="M1617" i="5" s="1"/>
  <c r="M1618" i="5" s="1"/>
  <c r="M1619" i="5" s="1"/>
  <c r="M1620" i="5" s="1"/>
  <c r="M1621" i="5" s="1"/>
  <c r="M1622" i="5" s="1"/>
  <c r="M1623" i="5" s="1"/>
  <c r="M1624" i="5" s="1"/>
  <c r="M1625" i="5" s="1"/>
  <c r="M1626" i="5" s="1"/>
  <c r="M1627" i="5" s="1"/>
  <c r="M1628" i="5" s="1"/>
  <c r="M1629" i="5" s="1"/>
  <c r="M1630" i="5" s="1"/>
  <c r="M1631" i="5" s="1"/>
  <c r="M1632" i="5" s="1"/>
  <c r="M1633" i="5" s="1"/>
  <c r="M1634" i="5" s="1"/>
  <c r="M1635" i="5" s="1"/>
  <c r="M1636" i="5" s="1"/>
  <c r="M1637" i="5" s="1"/>
  <c r="M1638" i="5" s="1"/>
  <c r="M1639" i="5" s="1"/>
  <c r="M1640" i="5" s="1"/>
  <c r="M1641" i="5" s="1"/>
  <c r="M1642" i="5" s="1"/>
  <c r="M1643" i="5" s="1"/>
  <c r="M1644" i="5" s="1"/>
  <c r="M1645" i="5" s="1"/>
  <c r="M1646" i="5" s="1"/>
  <c r="M1647" i="5" s="1"/>
  <c r="M1648" i="5" s="1"/>
  <c r="M1649" i="5" s="1"/>
  <c r="M1650" i="5" s="1"/>
  <c r="M1651" i="5" s="1"/>
  <c r="M1652" i="5" s="1"/>
  <c r="M1653" i="5" s="1"/>
  <c r="M1654" i="5" s="1"/>
  <c r="M1655" i="5" s="1"/>
  <c r="M1656" i="5" s="1"/>
  <c r="M1657" i="5" s="1"/>
  <c r="M1658" i="5" s="1"/>
  <c r="M1659" i="5" s="1"/>
  <c r="M1660" i="5" s="1"/>
  <c r="M1661" i="5" s="1"/>
  <c r="M1662" i="5" s="1"/>
  <c r="M1663" i="5" s="1"/>
  <c r="M1664" i="5" s="1"/>
  <c r="M1665" i="5" s="1"/>
  <c r="M1666" i="5" s="1"/>
  <c r="M1667" i="5" s="1"/>
  <c r="M1668" i="5" s="1"/>
  <c r="M1669" i="5" s="1"/>
  <c r="M1670" i="5" s="1"/>
  <c r="M1671" i="5" s="1"/>
  <c r="M1672" i="5" s="1"/>
  <c r="M1673" i="5" s="1"/>
  <c r="M1674" i="5" s="1"/>
  <c r="M1675" i="5" s="1"/>
  <c r="M1676" i="5" s="1"/>
  <c r="M1677" i="5" s="1"/>
  <c r="M1678" i="5" s="1"/>
  <c r="M1679" i="5" s="1"/>
  <c r="M1680" i="5" s="1"/>
  <c r="M1681" i="5" s="1"/>
  <c r="M1682" i="5" s="1"/>
  <c r="M1683" i="5" s="1"/>
  <c r="M1684" i="5" s="1"/>
  <c r="M1685" i="5" s="1"/>
  <c r="M1686" i="5" s="1"/>
  <c r="M1687" i="5" s="1"/>
  <c r="M1688" i="5" s="1"/>
  <c r="M1689" i="5" s="1"/>
  <c r="M1690" i="5" s="1"/>
  <c r="M1691" i="5" s="1"/>
  <c r="M1692" i="5" s="1"/>
  <c r="M1693" i="5" s="1"/>
  <c r="M1694" i="5" s="1"/>
  <c r="M1695" i="5" s="1"/>
  <c r="M1696" i="5" s="1"/>
  <c r="M1697" i="5" s="1"/>
  <c r="M1698" i="5" s="1"/>
  <c r="M1699" i="5" s="1"/>
  <c r="M1700" i="5" s="1"/>
  <c r="M1701" i="5" s="1"/>
  <c r="M1702" i="5" s="1"/>
  <c r="M1703" i="5" s="1"/>
  <c r="M1704" i="5" s="1"/>
  <c r="M1705" i="5" s="1"/>
  <c r="M1706" i="5" s="1"/>
  <c r="M1707" i="5" s="1"/>
  <c r="M1708" i="5" s="1"/>
  <c r="M1709" i="5" s="1"/>
  <c r="M1710" i="5" s="1"/>
  <c r="M1711" i="5" s="1"/>
  <c r="M1712" i="5" s="1"/>
  <c r="M1713" i="5" s="1"/>
  <c r="M1714" i="5" s="1"/>
  <c r="M1715" i="5" s="1"/>
  <c r="M1716" i="5" s="1"/>
  <c r="M1717" i="5" s="1"/>
  <c r="M1718" i="5" s="1"/>
  <c r="M1719" i="5" s="1"/>
  <c r="M1720" i="5" s="1"/>
  <c r="M1721" i="5" s="1"/>
  <c r="M1722" i="5" s="1"/>
  <c r="M1723" i="5" s="1"/>
  <c r="M1724" i="5" s="1"/>
  <c r="M1725" i="5" s="1"/>
  <c r="M1726" i="5" s="1"/>
  <c r="M1727" i="5" s="1"/>
  <c r="M1728" i="5" s="1"/>
  <c r="M1729" i="5" s="1"/>
  <c r="M1730" i="5" s="1"/>
  <c r="M1731" i="5" s="1"/>
  <c r="M1732" i="5" s="1"/>
  <c r="M1733" i="5" s="1"/>
  <c r="M1734" i="5" s="1"/>
  <c r="M1735" i="5" s="1"/>
  <c r="M1736" i="5" s="1"/>
  <c r="M1737" i="5" s="1"/>
  <c r="M1738" i="5" s="1"/>
  <c r="M1739" i="5" s="1"/>
  <c r="M1740" i="5" s="1"/>
  <c r="M1741" i="5" s="1"/>
  <c r="M1742" i="5" s="1"/>
  <c r="M1743" i="5" s="1"/>
  <c r="M1744" i="5" s="1"/>
  <c r="M1745" i="5" s="1"/>
  <c r="M1746" i="5" s="1"/>
  <c r="M1747" i="5" s="1"/>
  <c r="M1748" i="5" s="1"/>
  <c r="M1749" i="5" s="1"/>
  <c r="M1750" i="5" s="1"/>
  <c r="M1751" i="5" s="1"/>
  <c r="M1752" i="5" s="1"/>
  <c r="M1753" i="5" s="1"/>
  <c r="M1754" i="5" s="1"/>
  <c r="M1755" i="5" s="1"/>
  <c r="M1756" i="5" s="1"/>
  <c r="M1757" i="5" s="1"/>
  <c r="M1758" i="5" s="1"/>
  <c r="M1759" i="5" s="1"/>
  <c r="M1760" i="5" s="1"/>
  <c r="M1761" i="5" s="1"/>
  <c r="M1762" i="5" s="1"/>
  <c r="M1763" i="5" s="1"/>
  <c r="M1764" i="5" s="1"/>
  <c r="M1765" i="5" s="1"/>
  <c r="M1766" i="5" s="1"/>
  <c r="M1767" i="5" s="1"/>
  <c r="M1768" i="5" s="1"/>
  <c r="M1769" i="5" s="1"/>
  <c r="M1770" i="5" s="1"/>
  <c r="M1771" i="5" s="1"/>
  <c r="M1772" i="5" s="1"/>
  <c r="M1773" i="5" s="1"/>
  <c r="M1774" i="5" s="1"/>
  <c r="M1775" i="5" s="1"/>
  <c r="M1776" i="5" s="1"/>
  <c r="M1777" i="5" s="1"/>
  <c r="M1778" i="5" s="1"/>
  <c r="M1779" i="5" s="1"/>
  <c r="M1780" i="5" s="1"/>
  <c r="M1781" i="5" s="1"/>
  <c r="M1782" i="5" s="1"/>
  <c r="M1783" i="5" s="1"/>
  <c r="M1784" i="5" s="1"/>
  <c r="M1785" i="5" s="1"/>
  <c r="M1786" i="5" s="1"/>
  <c r="M1787" i="5" s="1"/>
  <c r="M1788" i="5" s="1"/>
  <c r="M1789" i="5" s="1"/>
  <c r="M1790" i="5" s="1"/>
  <c r="M1791" i="5" s="1"/>
  <c r="M1792" i="5" s="1"/>
  <c r="M1793" i="5" s="1"/>
  <c r="M1794" i="5" s="1"/>
  <c r="M1795" i="5" s="1"/>
  <c r="M1796" i="5" s="1"/>
  <c r="M1797" i="5" s="1"/>
  <c r="M1798" i="5" s="1"/>
  <c r="M1799" i="5" s="1"/>
  <c r="M1800" i="5" s="1"/>
  <c r="M1801" i="5" s="1"/>
  <c r="M1802" i="5" s="1"/>
  <c r="M1803" i="5" s="1"/>
  <c r="M1804" i="5" s="1"/>
  <c r="M1805" i="5" s="1"/>
  <c r="M1806" i="5" s="1"/>
  <c r="M1807" i="5" s="1"/>
  <c r="M1808" i="5" s="1"/>
  <c r="M1809" i="5" s="1"/>
  <c r="M1810" i="5" s="1"/>
  <c r="M1811" i="5" s="1"/>
  <c r="M1812" i="5" s="1"/>
  <c r="M1813" i="5" s="1"/>
  <c r="M1814" i="5" s="1"/>
  <c r="M1815" i="5" s="1"/>
  <c r="M1816" i="5" s="1"/>
  <c r="M1817" i="5" s="1"/>
  <c r="M1818" i="5" s="1"/>
  <c r="M1819" i="5" s="1"/>
  <c r="M1820" i="5" s="1"/>
  <c r="M1821" i="5" s="1"/>
  <c r="M1822" i="5" s="1"/>
  <c r="M1823" i="5" s="1"/>
  <c r="M1824" i="5" s="1"/>
  <c r="M1825" i="5" s="1"/>
  <c r="M1826" i="5" s="1"/>
  <c r="M1827" i="5" s="1"/>
  <c r="M1828" i="5" s="1"/>
  <c r="M1829" i="5" s="1"/>
  <c r="M1830" i="5" s="1"/>
  <c r="M1831" i="5" s="1"/>
  <c r="M1832" i="5" s="1"/>
  <c r="M1833" i="5" s="1"/>
  <c r="M1834" i="5" s="1"/>
  <c r="M1835" i="5" s="1"/>
  <c r="M1836" i="5" s="1"/>
  <c r="M1837" i="5" s="1"/>
  <c r="M1838" i="5" s="1"/>
  <c r="M1839" i="5" s="1"/>
  <c r="M1840" i="5" s="1"/>
  <c r="M1841" i="5" s="1"/>
  <c r="M1842" i="5" s="1"/>
  <c r="M1843" i="5" s="1"/>
  <c r="M1844" i="5" s="1"/>
  <c r="M1845" i="5" s="1"/>
  <c r="M1846" i="5" s="1"/>
  <c r="M1847" i="5" s="1"/>
  <c r="M1848" i="5" s="1"/>
  <c r="M1849" i="5" s="1"/>
  <c r="M1850" i="5" s="1"/>
  <c r="M1851" i="5" s="1"/>
  <c r="M1852" i="5" s="1"/>
  <c r="M1853" i="5" s="1"/>
  <c r="M1854" i="5" s="1"/>
  <c r="M1855" i="5" s="1"/>
  <c r="M1856" i="5" s="1"/>
  <c r="M1857" i="5" s="1"/>
  <c r="M1858" i="5" s="1"/>
  <c r="M1859" i="5" s="1"/>
  <c r="M1860" i="5" s="1"/>
  <c r="M1861" i="5" s="1"/>
  <c r="M1862" i="5" s="1"/>
  <c r="M1863" i="5" s="1"/>
  <c r="M1864" i="5" s="1"/>
  <c r="M1865" i="5" s="1"/>
  <c r="M1866" i="5" s="1"/>
  <c r="M1867" i="5" s="1"/>
  <c r="M1868" i="5" s="1"/>
  <c r="M1869" i="5" s="1"/>
  <c r="M1870" i="5" s="1"/>
  <c r="M1871" i="5" s="1"/>
  <c r="M1872" i="5" s="1"/>
  <c r="M1873" i="5" s="1"/>
  <c r="M1874" i="5" s="1"/>
  <c r="M1875" i="5" s="1"/>
  <c r="M1876" i="5" s="1"/>
  <c r="M1877" i="5" s="1"/>
  <c r="M1878" i="5" s="1"/>
  <c r="M1879" i="5" s="1"/>
  <c r="M1880" i="5" s="1"/>
  <c r="M1881" i="5" s="1"/>
  <c r="M1882" i="5" s="1"/>
  <c r="M1883" i="5" s="1"/>
  <c r="M1884" i="5" s="1"/>
  <c r="M1885" i="5" s="1"/>
  <c r="M1886" i="5" s="1"/>
  <c r="M1887" i="5" s="1"/>
  <c r="M1888" i="5" s="1"/>
  <c r="M1889" i="5" s="1"/>
  <c r="M1890" i="5" s="1"/>
  <c r="M1891" i="5" s="1"/>
  <c r="M1892" i="5" s="1"/>
  <c r="M1893" i="5" s="1"/>
  <c r="M1894" i="5" s="1"/>
  <c r="M1895" i="5" s="1"/>
  <c r="M1896" i="5" s="1"/>
  <c r="M1897" i="5" s="1"/>
  <c r="M1898" i="5" s="1"/>
  <c r="M1899" i="5" s="1"/>
  <c r="M1900" i="5" s="1"/>
  <c r="M1901" i="5" s="1"/>
  <c r="M1902" i="5" s="1"/>
  <c r="M1903" i="5" s="1"/>
  <c r="M1904" i="5" s="1"/>
  <c r="M1905" i="5" s="1"/>
  <c r="M1906" i="5" s="1"/>
  <c r="M1907" i="5" s="1"/>
  <c r="M1908" i="5" s="1"/>
  <c r="M1909" i="5" s="1"/>
  <c r="M1910" i="5" s="1"/>
  <c r="M1911" i="5" s="1"/>
  <c r="M1912" i="5" s="1"/>
  <c r="M1913" i="5" s="1"/>
  <c r="M1914" i="5" s="1"/>
  <c r="M1915" i="5" s="1"/>
  <c r="M1916" i="5" s="1"/>
  <c r="M1917" i="5" s="1"/>
  <c r="M1918" i="5" s="1"/>
  <c r="M1919" i="5" s="1"/>
  <c r="M1920" i="5" s="1"/>
  <c r="M1921" i="5" s="1"/>
  <c r="M1922" i="5" s="1"/>
  <c r="M1923" i="5" s="1"/>
  <c r="M1924" i="5" s="1"/>
  <c r="M1925" i="5" s="1"/>
  <c r="M1926" i="5" s="1"/>
  <c r="M1927" i="5" s="1"/>
  <c r="M1928" i="5" s="1"/>
  <c r="M1929" i="5" s="1"/>
  <c r="M1930" i="5" s="1"/>
  <c r="M1931" i="5" s="1"/>
  <c r="M1932" i="5" s="1"/>
  <c r="M1933" i="5" s="1"/>
  <c r="M1934" i="5" s="1"/>
  <c r="M1935" i="5" s="1"/>
  <c r="M1936" i="5" s="1"/>
  <c r="M1937" i="5" s="1"/>
  <c r="M1938" i="5" s="1"/>
  <c r="M1939" i="5" s="1"/>
  <c r="M1940" i="5" s="1"/>
  <c r="M1941" i="5" s="1"/>
  <c r="M1942" i="5" s="1"/>
  <c r="M1943" i="5" s="1"/>
  <c r="M1944" i="5" s="1"/>
  <c r="M1945" i="5" s="1"/>
  <c r="M1946" i="5" s="1"/>
  <c r="M1947" i="5" s="1"/>
  <c r="M1948" i="5" s="1"/>
  <c r="M1949" i="5" s="1"/>
  <c r="M1950" i="5" s="1"/>
  <c r="M1951" i="5" s="1"/>
  <c r="M1952" i="5" s="1"/>
  <c r="M1953" i="5" s="1"/>
  <c r="M1954" i="5" s="1"/>
  <c r="M1955" i="5" s="1"/>
  <c r="M1956" i="5" s="1"/>
  <c r="M1957" i="5" s="1"/>
  <c r="M1958" i="5" s="1"/>
  <c r="M1959" i="5" s="1"/>
  <c r="M1960" i="5" s="1"/>
  <c r="M1961" i="5" s="1"/>
  <c r="M1962" i="5" s="1"/>
  <c r="M1963" i="5" s="1"/>
  <c r="M1964" i="5" s="1"/>
  <c r="M1965" i="5" s="1"/>
  <c r="M1966" i="5" s="1"/>
  <c r="M1967" i="5" s="1"/>
  <c r="M1968" i="5" s="1"/>
  <c r="M1969" i="5" s="1"/>
  <c r="M1970" i="5" s="1"/>
  <c r="M1971" i="5" s="1"/>
  <c r="M1972" i="5" s="1"/>
  <c r="M1973" i="5" s="1"/>
  <c r="M1974" i="5" s="1"/>
  <c r="M1975" i="5" s="1"/>
  <c r="M1976" i="5" s="1"/>
  <c r="M1977" i="5" s="1"/>
  <c r="M1978" i="5" s="1"/>
  <c r="M1979" i="5" s="1"/>
  <c r="M1980" i="5" s="1"/>
  <c r="M1981" i="5" s="1"/>
  <c r="M1982" i="5" s="1"/>
  <c r="M1983" i="5" s="1"/>
  <c r="M1984" i="5" s="1"/>
  <c r="M1985" i="5" s="1"/>
  <c r="M1986" i="5" s="1"/>
  <c r="M1987" i="5" s="1"/>
  <c r="M1988" i="5" s="1"/>
  <c r="M1989" i="5" s="1"/>
  <c r="M1990" i="5" s="1"/>
  <c r="M1991" i="5" s="1"/>
  <c r="M1992" i="5" s="1"/>
  <c r="M1993" i="5" s="1"/>
  <c r="M1994" i="5" s="1"/>
  <c r="M1995" i="5" s="1"/>
  <c r="M1996" i="5" s="1"/>
  <c r="M1997" i="5" s="1"/>
  <c r="M1998" i="5" s="1"/>
  <c r="M1999" i="5" s="1"/>
  <c r="M2000" i="5" s="1"/>
  <c r="M2001" i="5" s="1"/>
  <c r="M2002" i="5" s="1"/>
  <c r="M2003" i="5" s="1"/>
  <c r="M2004" i="5" s="1"/>
  <c r="M2005" i="5" s="1"/>
  <c r="M2006" i="5" s="1"/>
  <c r="M2007" i="5" s="1"/>
  <c r="K395" i="5"/>
  <c r="H395" i="5"/>
  <c r="H396" i="5" s="1"/>
  <c r="H397" i="5" s="1"/>
  <c r="H398" i="5" s="1"/>
  <c r="H399" i="5" s="1"/>
  <c r="E395" i="5"/>
  <c r="E396" i="5" s="1"/>
  <c r="E397" i="5" s="1"/>
  <c r="E398" i="5" s="1"/>
  <c r="E399" i="5" s="1"/>
  <c r="E400" i="5" s="1"/>
  <c r="E401" i="5" s="1"/>
  <c r="E402" i="5" s="1"/>
  <c r="E403" i="5" s="1"/>
  <c r="Q394" i="5"/>
  <c r="P394" i="5"/>
  <c r="P395" i="5" s="1"/>
  <c r="O394" i="5"/>
  <c r="O395" i="5" s="1"/>
  <c r="N394" i="5"/>
  <c r="M394" i="5"/>
  <c r="L394" i="5"/>
  <c r="L395" i="5" s="1"/>
  <c r="Q395" i="5" s="1"/>
  <c r="K394" i="5"/>
  <c r="H394" i="5"/>
  <c r="G394" i="5"/>
  <c r="E394" i="5"/>
  <c r="D394" i="5"/>
  <c r="D395" i="5" s="1"/>
  <c r="D396" i="5" s="1"/>
  <c r="D397" i="5" s="1"/>
  <c r="D398" i="5" s="1"/>
  <c r="D399" i="5" s="1"/>
  <c r="D400" i="5" s="1"/>
  <c r="D401" i="5" s="1"/>
  <c r="D402" i="5" s="1"/>
  <c r="D403" i="5" s="1"/>
  <c r="D404" i="5" s="1"/>
  <c r="D405" i="5" s="1"/>
  <c r="D406" i="5" s="1"/>
  <c r="D407" i="5" s="1"/>
  <c r="D408" i="5" s="1"/>
  <c r="D409" i="5" s="1"/>
  <c r="D410" i="5" s="1"/>
  <c r="D411" i="5" s="1"/>
  <c r="D412" i="5" s="1"/>
  <c r="D413" i="5" s="1"/>
  <c r="D414" i="5" s="1"/>
  <c r="D415" i="5" s="1"/>
  <c r="D416" i="5" s="1"/>
  <c r="D417" i="5" s="1"/>
  <c r="D418" i="5" s="1"/>
  <c r="D419" i="5" s="1"/>
  <c r="D420" i="5" s="1"/>
  <c r="D421" i="5" s="1"/>
  <c r="D422" i="5" s="1"/>
  <c r="D423" i="5" s="1"/>
  <c r="D424" i="5" s="1"/>
  <c r="D425" i="5" s="1"/>
  <c r="D426" i="5" s="1"/>
  <c r="D427" i="5" s="1"/>
  <c r="D428" i="5" s="1"/>
  <c r="D429" i="5" s="1"/>
  <c r="D430" i="5" s="1"/>
  <c r="D431" i="5" s="1"/>
  <c r="D432" i="5" s="1"/>
  <c r="D433" i="5" s="1"/>
  <c r="D434" i="5" s="1"/>
  <c r="D435" i="5" s="1"/>
  <c r="D436" i="5" s="1"/>
  <c r="D437" i="5" s="1"/>
  <c r="D438" i="5" s="1"/>
  <c r="D439" i="5" s="1"/>
  <c r="D440" i="5" s="1"/>
  <c r="D441" i="5" s="1"/>
  <c r="D442" i="5" s="1"/>
  <c r="D443" i="5" s="1"/>
  <c r="D444" i="5" s="1"/>
  <c r="D445" i="5" s="1"/>
  <c r="D446" i="5" s="1"/>
  <c r="D447" i="5" s="1"/>
  <c r="D448" i="5" s="1"/>
  <c r="D449" i="5" s="1"/>
  <c r="D450" i="5" s="1"/>
  <c r="D451" i="5" s="1"/>
  <c r="D452" i="5" s="1"/>
  <c r="D453" i="5" s="1"/>
  <c r="D454" i="5" s="1"/>
  <c r="D455" i="5" s="1"/>
  <c r="D456" i="5" s="1"/>
  <c r="D457" i="5" s="1"/>
  <c r="D458" i="5" s="1"/>
  <c r="D459" i="5" s="1"/>
  <c r="D460" i="5" s="1"/>
  <c r="D461" i="5" s="1"/>
  <c r="D462" i="5" s="1"/>
  <c r="D463" i="5" s="1"/>
  <c r="D464" i="5" s="1"/>
  <c r="D465" i="5" s="1"/>
  <c r="D466" i="5" s="1"/>
  <c r="D467" i="5" s="1"/>
  <c r="D468" i="5" s="1"/>
  <c r="D469" i="5" s="1"/>
  <c r="D470" i="5" s="1"/>
  <c r="D471" i="5" s="1"/>
  <c r="D472" i="5" s="1"/>
  <c r="D473" i="5" s="1"/>
  <c r="D474" i="5" s="1"/>
  <c r="D475" i="5" s="1"/>
  <c r="D476" i="5" s="1"/>
  <c r="D477" i="5" s="1"/>
  <c r="D478" i="5" s="1"/>
  <c r="D479" i="5" s="1"/>
  <c r="D480" i="5" s="1"/>
  <c r="D481" i="5" s="1"/>
  <c r="D482" i="5" s="1"/>
  <c r="D483" i="5" s="1"/>
  <c r="D484" i="5" s="1"/>
  <c r="D485" i="5" s="1"/>
  <c r="D486" i="5" s="1"/>
  <c r="D487" i="5" s="1"/>
  <c r="D488" i="5" s="1"/>
  <c r="D489" i="5" s="1"/>
  <c r="D490" i="5" s="1"/>
  <c r="D491" i="5" s="1"/>
  <c r="D492" i="5" s="1"/>
  <c r="D493" i="5" s="1"/>
  <c r="D494" i="5" s="1"/>
  <c r="D495" i="5" s="1"/>
  <c r="D496" i="5" s="1"/>
  <c r="D497" i="5" s="1"/>
  <c r="D498" i="5" s="1"/>
  <c r="D499" i="5" s="1"/>
  <c r="D500" i="5" s="1"/>
  <c r="D501" i="5" s="1"/>
  <c r="D502" i="5" s="1"/>
  <c r="D503" i="5" s="1"/>
  <c r="D504" i="5" s="1"/>
  <c r="D505" i="5" s="1"/>
  <c r="D506" i="5" s="1"/>
  <c r="D507" i="5" s="1"/>
  <c r="D508" i="5" s="1"/>
  <c r="D509" i="5" s="1"/>
  <c r="D510" i="5" s="1"/>
  <c r="D511" i="5" s="1"/>
  <c r="D512" i="5" s="1"/>
  <c r="D513" i="5" s="1"/>
  <c r="D514" i="5" s="1"/>
  <c r="D515" i="5" s="1"/>
  <c r="D516" i="5" s="1"/>
  <c r="D517" i="5" s="1"/>
  <c r="D518" i="5" s="1"/>
  <c r="D519" i="5" s="1"/>
  <c r="D520" i="5" s="1"/>
  <c r="D521" i="5" s="1"/>
  <c r="D522" i="5" s="1"/>
  <c r="D523" i="5" s="1"/>
  <c r="D524" i="5" s="1"/>
  <c r="D525" i="5" s="1"/>
  <c r="D526" i="5" s="1"/>
  <c r="D527" i="5" s="1"/>
  <c r="D528" i="5" s="1"/>
  <c r="D529" i="5" s="1"/>
  <c r="D530" i="5" s="1"/>
  <c r="D531" i="5" s="1"/>
  <c r="D532" i="5" s="1"/>
  <c r="D533" i="5" s="1"/>
  <c r="D534" i="5" s="1"/>
  <c r="D535" i="5" s="1"/>
  <c r="D536" i="5" s="1"/>
  <c r="D537" i="5" s="1"/>
  <c r="D538" i="5" s="1"/>
  <c r="D539" i="5" s="1"/>
  <c r="D540" i="5" s="1"/>
  <c r="D541" i="5" s="1"/>
  <c r="D542" i="5" s="1"/>
  <c r="D543" i="5" s="1"/>
  <c r="D544" i="5" s="1"/>
  <c r="D545" i="5" s="1"/>
  <c r="D546" i="5" s="1"/>
  <c r="D547" i="5" s="1"/>
  <c r="D548" i="5" s="1"/>
  <c r="D549" i="5" s="1"/>
  <c r="D550" i="5" s="1"/>
  <c r="D551" i="5" s="1"/>
  <c r="D552" i="5" s="1"/>
  <c r="D553" i="5" s="1"/>
  <c r="D554" i="5" s="1"/>
  <c r="D555" i="5" s="1"/>
  <c r="D556" i="5" s="1"/>
  <c r="D557" i="5" s="1"/>
  <c r="D558" i="5" s="1"/>
  <c r="D559" i="5" s="1"/>
  <c r="D560" i="5" s="1"/>
  <c r="D561" i="5" s="1"/>
  <c r="D562" i="5" s="1"/>
  <c r="D563" i="5" s="1"/>
  <c r="D564" i="5" s="1"/>
  <c r="D565" i="5" s="1"/>
  <c r="D566" i="5" s="1"/>
  <c r="D567" i="5" s="1"/>
  <c r="D568" i="5" s="1"/>
  <c r="D569" i="5" s="1"/>
  <c r="D570" i="5" s="1"/>
  <c r="D571" i="5" s="1"/>
  <c r="D572" i="5" s="1"/>
  <c r="D573" i="5" s="1"/>
  <c r="D574" i="5" s="1"/>
  <c r="D575" i="5" s="1"/>
  <c r="D576" i="5" s="1"/>
  <c r="D577" i="5" s="1"/>
  <c r="D578" i="5" s="1"/>
  <c r="D579" i="5" s="1"/>
  <c r="D580" i="5" s="1"/>
  <c r="D581" i="5" s="1"/>
  <c r="D582" i="5" s="1"/>
  <c r="D583" i="5" s="1"/>
  <c r="D584" i="5" s="1"/>
  <c r="D585" i="5" s="1"/>
  <c r="D586" i="5" s="1"/>
  <c r="D587" i="5" s="1"/>
  <c r="D588" i="5" s="1"/>
  <c r="D589" i="5" s="1"/>
  <c r="D590" i="5" s="1"/>
  <c r="D591" i="5" s="1"/>
  <c r="D592" i="5" s="1"/>
  <c r="D593" i="5" s="1"/>
  <c r="D594" i="5" s="1"/>
  <c r="D595" i="5" s="1"/>
  <c r="D596" i="5" s="1"/>
  <c r="D597" i="5" s="1"/>
  <c r="D598" i="5" s="1"/>
  <c r="D599" i="5" s="1"/>
  <c r="D600" i="5" s="1"/>
  <c r="D601" i="5" s="1"/>
  <c r="D602" i="5" s="1"/>
  <c r="D603" i="5" s="1"/>
  <c r="D604" i="5" s="1"/>
  <c r="D605" i="5" s="1"/>
  <c r="D606" i="5" s="1"/>
  <c r="D607" i="5" s="1"/>
  <c r="D608" i="5" s="1"/>
  <c r="D609" i="5" s="1"/>
  <c r="D610" i="5" s="1"/>
  <c r="D611" i="5" s="1"/>
  <c r="D612" i="5" s="1"/>
  <c r="D613" i="5" s="1"/>
  <c r="D614" i="5" s="1"/>
  <c r="D615" i="5" s="1"/>
  <c r="D616" i="5" s="1"/>
  <c r="D617" i="5" s="1"/>
  <c r="D618" i="5" s="1"/>
  <c r="D619" i="5" s="1"/>
  <c r="D620" i="5" s="1"/>
  <c r="D621" i="5" s="1"/>
  <c r="D622" i="5" s="1"/>
  <c r="D623" i="5" s="1"/>
  <c r="D624" i="5" s="1"/>
  <c r="D625" i="5" s="1"/>
  <c r="D626" i="5" s="1"/>
  <c r="D627" i="5" s="1"/>
  <c r="D628" i="5" s="1"/>
  <c r="D629" i="5" s="1"/>
  <c r="D630" i="5" s="1"/>
  <c r="D631" i="5" s="1"/>
  <c r="D632" i="5" s="1"/>
  <c r="D633" i="5" s="1"/>
  <c r="D634" i="5" s="1"/>
  <c r="D635" i="5" s="1"/>
  <c r="D636" i="5" s="1"/>
  <c r="D637" i="5" s="1"/>
  <c r="D638" i="5" s="1"/>
  <c r="D639" i="5" s="1"/>
  <c r="D640" i="5" s="1"/>
  <c r="D641" i="5" s="1"/>
  <c r="D642" i="5" s="1"/>
  <c r="D643" i="5" s="1"/>
  <c r="D644" i="5" s="1"/>
  <c r="D645" i="5" s="1"/>
  <c r="D646" i="5" s="1"/>
  <c r="D647" i="5" s="1"/>
  <c r="D648" i="5" s="1"/>
  <c r="D649" i="5" s="1"/>
  <c r="D650" i="5" s="1"/>
  <c r="D651" i="5" s="1"/>
  <c r="D652" i="5" s="1"/>
  <c r="D653" i="5" s="1"/>
  <c r="D654" i="5" s="1"/>
  <c r="D655" i="5" s="1"/>
  <c r="D656" i="5" s="1"/>
  <c r="D657" i="5" s="1"/>
  <c r="D658" i="5" s="1"/>
  <c r="D659" i="5" s="1"/>
  <c r="D660" i="5" s="1"/>
  <c r="D661" i="5" s="1"/>
  <c r="D662" i="5" s="1"/>
  <c r="D663" i="5" s="1"/>
  <c r="D664" i="5" s="1"/>
  <c r="D665" i="5" s="1"/>
  <c r="D666" i="5" s="1"/>
  <c r="D667" i="5" s="1"/>
  <c r="D668" i="5" s="1"/>
  <c r="D669" i="5" s="1"/>
  <c r="D670" i="5" s="1"/>
  <c r="D671" i="5" s="1"/>
  <c r="D672" i="5" s="1"/>
  <c r="D673" i="5" s="1"/>
  <c r="D674" i="5" s="1"/>
  <c r="D675" i="5" s="1"/>
  <c r="D676" i="5" s="1"/>
  <c r="D677" i="5" s="1"/>
  <c r="D678" i="5" s="1"/>
  <c r="D679" i="5" s="1"/>
  <c r="D680" i="5" s="1"/>
  <c r="D681" i="5" s="1"/>
  <c r="D682" i="5" s="1"/>
  <c r="D683" i="5" s="1"/>
  <c r="D684" i="5" s="1"/>
  <c r="D685" i="5" s="1"/>
  <c r="D686" i="5" s="1"/>
  <c r="D687" i="5" s="1"/>
  <c r="D688" i="5" s="1"/>
  <c r="D689" i="5" s="1"/>
  <c r="D690" i="5" s="1"/>
  <c r="D691" i="5" s="1"/>
  <c r="D692" i="5" s="1"/>
  <c r="D693" i="5" s="1"/>
  <c r="D694" i="5" s="1"/>
  <c r="D695" i="5" s="1"/>
  <c r="D696" i="5" s="1"/>
  <c r="D697" i="5" s="1"/>
  <c r="D698" i="5" s="1"/>
  <c r="D699" i="5" s="1"/>
  <c r="D700" i="5" s="1"/>
  <c r="D701" i="5" s="1"/>
  <c r="D702" i="5" s="1"/>
  <c r="D703" i="5" s="1"/>
  <c r="D704" i="5" s="1"/>
  <c r="D705" i="5" s="1"/>
  <c r="D706" i="5" s="1"/>
  <c r="D707" i="5" s="1"/>
  <c r="D708" i="5" s="1"/>
  <c r="D709" i="5" s="1"/>
  <c r="D710" i="5" s="1"/>
  <c r="D711" i="5" s="1"/>
  <c r="D712" i="5" s="1"/>
  <c r="D713" i="5" s="1"/>
  <c r="D714" i="5" s="1"/>
  <c r="D715" i="5" s="1"/>
  <c r="D716" i="5" s="1"/>
  <c r="D717" i="5" s="1"/>
  <c r="D718" i="5" s="1"/>
  <c r="D719" i="5" s="1"/>
  <c r="D720" i="5" s="1"/>
  <c r="D721" i="5" s="1"/>
  <c r="D722" i="5" s="1"/>
  <c r="D723" i="5" s="1"/>
  <c r="D724" i="5" s="1"/>
  <c r="D725" i="5" s="1"/>
  <c r="D726" i="5" s="1"/>
  <c r="D727" i="5" s="1"/>
  <c r="D728" i="5" s="1"/>
  <c r="D729" i="5" s="1"/>
  <c r="D730" i="5" s="1"/>
  <c r="D731" i="5" s="1"/>
  <c r="D732" i="5" s="1"/>
  <c r="D733" i="5" s="1"/>
  <c r="D734" i="5" s="1"/>
  <c r="D735" i="5" s="1"/>
  <c r="D736" i="5" s="1"/>
  <c r="D737" i="5" s="1"/>
  <c r="D738" i="5" s="1"/>
  <c r="D739" i="5" s="1"/>
  <c r="D740" i="5" s="1"/>
  <c r="D741" i="5" s="1"/>
  <c r="D742" i="5" s="1"/>
  <c r="D743" i="5" s="1"/>
  <c r="D744" i="5" s="1"/>
  <c r="D745" i="5" s="1"/>
  <c r="D746" i="5" s="1"/>
  <c r="D747" i="5" s="1"/>
  <c r="D748" i="5" s="1"/>
  <c r="D749" i="5" s="1"/>
  <c r="D750" i="5" s="1"/>
  <c r="D751" i="5" s="1"/>
  <c r="D752" i="5" s="1"/>
  <c r="D753" i="5" s="1"/>
  <c r="D754" i="5" s="1"/>
  <c r="D755" i="5" s="1"/>
  <c r="D756" i="5" s="1"/>
  <c r="D757" i="5" s="1"/>
  <c r="D758" i="5" s="1"/>
  <c r="D759" i="5" s="1"/>
  <c r="D760" i="5" s="1"/>
  <c r="D761" i="5" s="1"/>
  <c r="D762" i="5" s="1"/>
  <c r="D763" i="5" s="1"/>
  <c r="D764" i="5" s="1"/>
  <c r="D765" i="5" s="1"/>
  <c r="D766" i="5" s="1"/>
  <c r="D767" i="5" s="1"/>
  <c r="D768" i="5" s="1"/>
  <c r="D769" i="5" s="1"/>
  <c r="D770" i="5" s="1"/>
  <c r="D771" i="5" s="1"/>
  <c r="D772" i="5" s="1"/>
  <c r="D773" i="5" s="1"/>
  <c r="D774" i="5" s="1"/>
  <c r="D775" i="5" s="1"/>
  <c r="D776" i="5" s="1"/>
  <c r="D777" i="5" s="1"/>
  <c r="D778" i="5" s="1"/>
  <c r="D779" i="5" s="1"/>
  <c r="D780" i="5" s="1"/>
  <c r="D781" i="5" s="1"/>
  <c r="D782" i="5" s="1"/>
  <c r="D783" i="5" s="1"/>
  <c r="D784" i="5" s="1"/>
  <c r="D785" i="5" s="1"/>
  <c r="D786" i="5" s="1"/>
  <c r="D787" i="5" s="1"/>
  <c r="D788" i="5" s="1"/>
  <c r="D789" i="5" s="1"/>
  <c r="D790" i="5" s="1"/>
  <c r="D791" i="5" s="1"/>
  <c r="D792" i="5" s="1"/>
  <c r="D793" i="5" s="1"/>
  <c r="D794" i="5" s="1"/>
  <c r="D795" i="5" s="1"/>
  <c r="D796" i="5" s="1"/>
  <c r="D797" i="5" s="1"/>
  <c r="D798" i="5" s="1"/>
  <c r="D799" i="5" s="1"/>
  <c r="D800" i="5" s="1"/>
  <c r="D801" i="5" s="1"/>
  <c r="D802" i="5" s="1"/>
  <c r="D803" i="5" s="1"/>
  <c r="D804" i="5" s="1"/>
  <c r="D805" i="5" s="1"/>
  <c r="D806" i="5" s="1"/>
  <c r="D807" i="5" s="1"/>
  <c r="D808" i="5" s="1"/>
  <c r="D809" i="5" s="1"/>
  <c r="D810" i="5" s="1"/>
  <c r="D811" i="5" s="1"/>
  <c r="D812" i="5" s="1"/>
  <c r="D813" i="5" s="1"/>
  <c r="D814" i="5" s="1"/>
  <c r="D815" i="5" s="1"/>
  <c r="D816" i="5" s="1"/>
  <c r="D817" i="5" s="1"/>
  <c r="D818" i="5" s="1"/>
  <c r="D819" i="5" s="1"/>
  <c r="D820" i="5" s="1"/>
  <c r="D821" i="5" s="1"/>
  <c r="D822" i="5" s="1"/>
  <c r="D823" i="5" s="1"/>
  <c r="D824" i="5" s="1"/>
  <c r="D825" i="5" s="1"/>
  <c r="D826" i="5" s="1"/>
  <c r="D827" i="5" s="1"/>
  <c r="D828" i="5" s="1"/>
  <c r="D829" i="5" s="1"/>
  <c r="D830" i="5" s="1"/>
  <c r="D831" i="5" s="1"/>
  <c r="D832" i="5" s="1"/>
  <c r="D833" i="5" s="1"/>
  <c r="D834" i="5" s="1"/>
  <c r="D835" i="5" s="1"/>
  <c r="D836" i="5" s="1"/>
  <c r="D837" i="5" s="1"/>
  <c r="D838" i="5" s="1"/>
  <c r="D839" i="5" s="1"/>
  <c r="D840" i="5" s="1"/>
  <c r="D841" i="5" s="1"/>
  <c r="D842" i="5" s="1"/>
  <c r="D843" i="5" s="1"/>
  <c r="D844" i="5" s="1"/>
  <c r="D845" i="5" s="1"/>
  <c r="D846" i="5" s="1"/>
  <c r="D847" i="5" s="1"/>
  <c r="D848" i="5" s="1"/>
  <c r="D849" i="5" s="1"/>
  <c r="D850" i="5" s="1"/>
  <c r="D851" i="5" s="1"/>
  <c r="D852" i="5" s="1"/>
  <c r="D853" i="5" s="1"/>
  <c r="D854" i="5" s="1"/>
  <c r="D855" i="5" s="1"/>
  <c r="D856" i="5" s="1"/>
  <c r="D857" i="5" s="1"/>
  <c r="D858" i="5" s="1"/>
  <c r="D859" i="5" s="1"/>
  <c r="D860" i="5" s="1"/>
  <c r="D861" i="5" s="1"/>
  <c r="D862" i="5" s="1"/>
  <c r="D863" i="5" s="1"/>
  <c r="D864" i="5" s="1"/>
  <c r="D865" i="5" s="1"/>
  <c r="D866" i="5" s="1"/>
  <c r="D867" i="5" s="1"/>
  <c r="D868" i="5" s="1"/>
  <c r="D869" i="5" s="1"/>
  <c r="D870" i="5" s="1"/>
  <c r="D871" i="5" s="1"/>
  <c r="D872" i="5" s="1"/>
  <c r="D873" i="5" s="1"/>
  <c r="D874" i="5" s="1"/>
  <c r="D875" i="5" s="1"/>
  <c r="D876" i="5" s="1"/>
  <c r="D877" i="5" s="1"/>
  <c r="D878" i="5" s="1"/>
  <c r="D879" i="5" s="1"/>
  <c r="D880" i="5" s="1"/>
  <c r="D881" i="5" s="1"/>
  <c r="D882" i="5" s="1"/>
  <c r="D883" i="5" s="1"/>
  <c r="D884" i="5" s="1"/>
  <c r="D885" i="5" s="1"/>
  <c r="D886" i="5" s="1"/>
  <c r="D887" i="5" s="1"/>
  <c r="D888" i="5" s="1"/>
  <c r="D889" i="5" s="1"/>
  <c r="D890" i="5" s="1"/>
  <c r="D891" i="5" s="1"/>
  <c r="D892" i="5" s="1"/>
  <c r="D893" i="5" s="1"/>
  <c r="D894" i="5" s="1"/>
  <c r="D895" i="5" s="1"/>
  <c r="D896" i="5" s="1"/>
  <c r="D897" i="5" s="1"/>
  <c r="D898" i="5" s="1"/>
  <c r="D899" i="5" s="1"/>
  <c r="D900" i="5" s="1"/>
  <c r="D901" i="5" s="1"/>
  <c r="D902" i="5" s="1"/>
  <c r="D903" i="5" s="1"/>
  <c r="D904" i="5" s="1"/>
  <c r="D905" i="5" s="1"/>
  <c r="D906" i="5" s="1"/>
  <c r="D907" i="5" s="1"/>
  <c r="D908" i="5" s="1"/>
  <c r="D909" i="5" s="1"/>
  <c r="D910" i="5" s="1"/>
  <c r="D911" i="5" s="1"/>
  <c r="D912" i="5" s="1"/>
  <c r="D913" i="5" s="1"/>
  <c r="D914" i="5" s="1"/>
  <c r="D915" i="5" s="1"/>
  <c r="D916" i="5" s="1"/>
  <c r="D917" i="5" s="1"/>
  <c r="D918" i="5" s="1"/>
  <c r="D919" i="5" s="1"/>
  <c r="D920" i="5" s="1"/>
  <c r="D921" i="5" s="1"/>
  <c r="D922" i="5" s="1"/>
  <c r="D923" i="5" s="1"/>
  <c r="D924" i="5" s="1"/>
  <c r="D925" i="5" s="1"/>
  <c r="D926" i="5" s="1"/>
  <c r="D927" i="5" s="1"/>
  <c r="D928" i="5" s="1"/>
  <c r="D929" i="5" s="1"/>
  <c r="D930" i="5" s="1"/>
  <c r="D931" i="5" s="1"/>
  <c r="D932" i="5" s="1"/>
  <c r="D933" i="5" s="1"/>
  <c r="D934" i="5" s="1"/>
  <c r="D935" i="5" s="1"/>
  <c r="D936" i="5" s="1"/>
  <c r="D937" i="5" s="1"/>
  <c r="D938" i="5" s="1"/>
  <c r="D939" i="5" s="1"/>
  <c r="D940" i="5" s="1"/>
  <c r="D941" i="5" s="1"/>
  <c r="D942" i="5" s="1"/>
  <c r="D943" i="5" s="1"/>
  <c r="D944" i="5" s="1"/>
  <c r="D945" i="5" s="1"/>
  <c r="D946" i="5" s="1"/>
  <c r="D947" i="5" s="1"/>
  <c r="D948" i="5" s="1"/>
  <c r="D949" i="5" s="1"/>
  <c r="D950" i="5" s="1"/>
  <c r="D951" i="5" s="1"/>
  <c r="D952" i="5" s="1"/>
  <c r="D953" i="5" s="1"/>
  <c r="D954" i="5" s="1"/>
  <c r="D955" i="5" s="1"/>
  <c r="D956" i="5" s="1"/>
  <c r="D957" i="5" s="1"/>
  <c r="D958" i="5" s="1"/>
  <c r="D959" i="5" s="1"/>
  <c r="D960" i="5" s="1"/>
  <c r="D961" i="5" s="1"/>
  <c r="D962" i="5" s="1"/>
  <c r="D963" i="5" s="1"/>
  <c r="D964" i="5" s="1"/>
  <c r="D965" i="5" s="1"/>
  <c r="D966" i="5" s="1"/>
  <c r="D967" i="5" s="1"/>
  <c r="D968" i="5" s="1"/>
  <c r="D969" i="5" s="1"/>
  <c r="D970" i="5" s="1"/>
  <c r="D971" i="5" s="1"/>
  <c r="D972" i="5" s="1"/>
  <c r="D973" i="5" s="1"/>
  <c r="D974" i="5" s="1"/>
  <c r="D975" i="5" s="1"/>
  <c r="D976" i="5" s="1"/>
  <c r="D977" i="5" s="1"/>
  <c r="D978" i="5" s="1"/>
  <c r="D979" i="5" s="1"/>
  <c r="D980" i="5" s="1"/>
  <c r="D981" i="5" s="1"/>
  <c r="D982" i="5" s="1"/>
  <c r="D983" i="5" s="1"/>
  <c r="D984" i="5" s="1"/>
  <c r="D985" i="5" s="1"/>
  <c r="D986" i="5" s="1"/>
  <c r="D987" i="5" s="1"/>
  <c r="D988" i="5" s="1"/>
  <c r="D989" i="5" s="1"/>
  <c r="D990" i="5" s="1"/>
  <c r="D991" i="5" s="1"/>
  <c r="D992" i="5" s="1"/>
  <c r="D993" i="5" s="1"/>
  <c r="D994" i="5" s="1"/>
  <c r="D995" i="5" s="1"/>
  <c r="D996" i="5" s="1"/>
  <c r="D997" i="5" s="1"/>
  <c r="D998" i="5" s="1"/>
  <c r="D999" i="5" s="1"/>
  <c r="D1000" i="5" s="1"/>
  <c r="D1001" i="5" s="1"/>
  <c r="D1002" i="5" s="1"/>
  <c r="D1003" i="5" s="1"/>
  <c r="D1004" i="5" s="1"/>
  <c r="D1005" i="5" s="1"/>
  <c r="D1006" i="5" s="1"/>
  <c r="D1007" i="5" s="1"/>
  <c r="D1008" i="5" s="1"/>
  <c r="D1009" i="5" s="1"/>
  <c r="D1010" i="5" s="1"/>
  <c r="D1011" i="5" s="1"/>
  <c r="D1012" i="5" s="1"/>
  <c r="D1013" i="5" s="1"/>
  <c r="D1014" i="5" s="1"/>
  <c r="D1015" i="5" s="1"/>
  <c r="D1016" i="5" s="1"/>
  <c r="D1017" i="5" s="1"/>
  <c r="D1018" i="5" s="1"/>
  <c r="D1019" i="5" s="1"/>
  <c r="D1020" i="5" s="1"/>
  <c r="D1021" i="5" s="1"/>
  <c r="D1022" i="5" s="1"/>
  <c r="D1023" i="5" s="1"/>
  <c r="D1024" i="5" s="1"/>
  <c r="D1025" i="5" s="1"/>
  <c r="D1026" i="5" s="1"/>
  <c r="D1027" i="5" s="1"/>
  <c r="D1028" i="5" s="1"/>
  <c r="D1029" i="5" s="1"/>
  <c r="D1030" i="5" s="1"/>
  <c r="D1031" i="5" s="1"/>
  <c r="D1032" i="5" s="1"/>
  <c r="D1033" i="5" s="1"/>
  <c r="D1034" i="5" s="1"/>
  <c r="D1035" i="5" s="1"/>
  <c r="D1036" i="5" s="1"/>
  <c r="D1037" i="5" s="1"/>
  <c r="D1038" i="5" s="1"/>
  <c r="D1039" i="5" s="1"/>
  <c r="D1040" i="5" s="1"/>
  <c r="D1041" i="5" s="1"/>
  <c r="D1042" i="5" s="1"/>
  <c r="D1043" i="5" s="1"/>
  <c r="D1044" i="5" s="1"/>
  <c r="D1045" i="5" s="1"/>
  <c r="D1046" i="5" s="1"/>
  <c r="D1047" i="5" s="1"/>
  <c r="D1048" i="5" s="1"/>
  <c r="D1049" i="5" s="1"/>
  <c r="D1050" i="5" s="1"/>
  <c r="D1051" i="5" s="1"/>
  <c r="D1052" i="5" s="1"/>
  <c r="D1053" i="5" s="1"/>
  <c r="D1054" i="5" s="1"/>
  <c r="D1055" i="5" s="1"/>
  <c r="D1056" i="5" s="1"/>
  <c r="D1057" i="5" s="1"/>
  <c r="D1058" i="5" s="1"/>
  <c r="D1059" i="5" s="1"/>
  <c r="D1060" i="5" s="1"/>
  <c r="D1061" i="5" s="1"/>
  <c r="D1062" i="5" s="1"/>
  <c r="D1063" i="5" s="1"/>
  <c r="D1064" i="5" s="1"/>
  <c r="D1065" i="5" s="1"/>
  <c r="D1066" i="5" s="1"/>
  <c r="D1067" i="5" s="1"/>
  <c r="D1068" i="5" s="1"/>
  <c r="D1069" i="5" s="1"/>
  <c r="D1070" i="5" s="1"/>
  <c r="D1071" i="5" s="1"/>
  <c r="D1072" i="5" s="1"/>
  <c r="D1073" i="5" s="1"/>
  <c r="D1074" i="5" s="1"/>
  <c r="D1075" i="5" s="1"/>
  <c r="D1076" i="5" s="1"/>
  <c r="D1077" i="5" s="1"/>
  <c r="D1078" i="5" s="1"/>
  <c r="D1079" i="5" s="1"/>
  <c r="D1080" i="5" s="1"/>
  <c r="D1081" i="5" s="1"/>
  <c r="D1082" i="5" s="1"/>
  <c r="D1083" i="5" s="1"/>
  <c r="D1084" i="5" s="1"/>
  <c r="D1085" i="5" s="1"/>
  <c r="D1086" i="5" s="1"/>
  <c r="D1087" i="5" s="1"/>
  <c r="D1088" i="5" s="1"/>
  <c r="D1089" i="5" s="1"/>
  <c r="D1090" i="5" s="1"/>
  <c r="D1091" i="5" s="1"/>
  <c r="D1092" i="5" s="1"/>
  <c r="D1093" i="5" s="1"/>
  <c r="D1094" i="5" s="1"/>
  <c r="D1095" i="5" s="1"/>
  <c r="D1096" i="5" s="1"/>
  <c r="D1097" i="5" s="1"/>
  <c r="D1098" i="5" s="1"/>
  <c r="D1099" i="5" s="1"/>
  <c r="D1100" i="5" s="1"/>
  <c r="D1101" i="5" s="1"/>
  <c r="D1102" i="5" s="1"/>
  <c r="D1103" i="5" s="1"/>
  <c r="D1104" i="5" s="1"/>
  <c r="D1105" i="5" s="1"/>
  <c r="D1106" i="5" s="1"/>
  <c r="D1107" i="5" s="1"/>
  <c r="D1108" i="5" s="1"/>
  <c r="D1109" i="5" s="1"/>
  <c r="D1110" i="5" s="1"/>
  <c r="D1111" i="5" s="1"/>
  <c r="D1112" i="5" s="1"/>
  <c r="D1113" i="5" s="1"/>
  <c r="D1114" i="5" s="1"/>
  <c r="D1115" i="5" s="1"/>
  <c r="D1116" i="5" s="1"/>
  <c r="D1117" i="5" s="1"/>
  <c r="D1118" i="5" s="1"/>
  <c r="D1119" i="5" s="1"/>
  <c r="D1120" i="5" s="1"/>
  <c r="D1121" i="5" s="1"/>
  <c r="D1122" i="5" s="1"/>
  <c r="D1123" i="5" s="1"/>
  <c r="D1124" i="5" s="1"/>
  <c r="D1125" i="5" s="1"/>
  <c r="D1126" i="5" s="1"/>
  <c r="D1127" i="5" s="1"/>
  <c r="D1128" i="5" s="1"/>
  <c r="D1129" i="5" s="1"/>
  <c r="D1130" i="5" s="1"/>
  <c r="D1131" i="5" s="1"/>
  <c r="D1132" i="5" s="1"/>
  <c r="D1133" i="5" s="1"/>
  <c r="D1134" i="5" s="1"/>
  <c r="D1135" i="5" s="1"/>
  <c r="D1136" i="5" s="1"/>
  <c r="D1137" i="5" s="1"/>
  <c r="D1138" i="5" s="1"/>
  <c r="D1139" i="5" s="1"/>
  <c r="D1140" i="5" s="1"/>
  <c r="D1141" i="5" s="1"/>
  <c r="D1142" i="5" s="1"/>
  <c r="D1143" i="5" s="1"/>
  <c r="D1144" i="5" s="1"/>
  <c r="D1145" i="5" s="1"/>
  <c r="D1146" i="5" s="1"/>
  <c r="D1147" i="5" s="1"/>
  <c r="D1148" i="5" s="1"/>
  <c r="D1149" i="5" s="1"/>
  <c r="D1150" i="5" s="1"/>
  <c r="D1151" i="5" s="1"/>
  <c r="D1152" i="5" s="1"/>
  <c r="D1153" i="5" s="1"/>
  <c r="D1154" i="5" s="1"/>
  <c r="D1155" i="5" s="1"/>
  <c r="D1156" i="5" s="1"/>
  <c r="D1157" i="5" s="1"/>
  <c r="D1158" i="5" s="1"/>
  <c r="D1159" i="5" s="1"/>
  <c r="D1160" i="5" s="1"/>
  <c r="D1161" i="5" s="1"/>
  <c r="D1162" i="5" s="1"/>
  <c r="D1163" i="5" s="1"/>
  <c r="D1164" i="5" s="1"/>
  <c r="D1165" i="5" s="1"/>
  <c r="D1166" i="5" s="1"/>
  <c r="D1167" i="5" s="1"/>
  <c r="D1168" i="5" s="1"/>
  <c r="D1169" i="5" s="1"/>
  <c r="D1170" i="5" s="1"/>
  <c r="D1171" i="5" s="1"/>
  <c r="D1172" i="5" s="1"/>
  <c r="D1173" i="5" s="1"/>
  <c r="D1174" i="5" s="1"/>
  <c r="D1175" i="5" s="1"/>
  <c r="D1176" i="5" s="1"/>
  <c r="D1177" i="5" s="1"/>
  <c r="D1178" i="5" s="1"/>
  <c r="D1179" i="5" s="1"/>
  <c r="D1180" i="5" s="1"/>
  <c r="D1181" i="5" s="1"/>
  <c r="D1182" i="5" s="1"/>
  <c r="D1183" i="5" s="1"/>
  <c r="D1184" i="5" s="1"/>
  <c r="D1185" i="5" s="1"/>
  <c r="D1186" i="5" s="1"/>
  <c r="D1187" i="5" s="1"/>
  <c r="D1188" i="5" s="1"/>
  <c r="D1189" i="5" s="1"/>
  <c r="D1190" i="5" s="1"/>
  <c r="D1191" i="5" s="1"/>
  <c r="D1192" i="5" s="1"/>
  <c r="D1193" i="5" s="1"/>
  <c r="D1194" i="5" s="1"/>
  <c r="D1195" i="5" s="1"/>
  <c r="D1196" i="5" s="1"/>
  <c r="D1197" i="5" s="1"/>
  <c r="D1198" i="5" s="1"/>
  <c r="D1199" i="5" s="1"/>
  <c r="D1200" i="5" s="1"/>
  <c r="D1201" i="5" s="1"/>
  <c r="D1202" i="5" s="1"/>
  <c r="D1203" i="5" s="1"/>
  <c r="D1204" i="5" s="1"/>
  <c r="D1205" i="5" s="1"/>
  <c r="D1206" i="5" s="1"/>
  <c r="D1207" i="5" s="1"/>
  <c r="D1208" i="5" s="1"/>
  <c r="D1209" i="5" s="1"/>
  <c r="D1210" i="5" s="1"/>
  <c r="D1211" i="5" s="1"/>
  <c r="D1212" i="5" s="1"/>
  <c r="D1213" i="5" s="1"/>
  <c r="D1214" i="5" s="1"/>
  <c r="D1215" i="5" s="1"/>
  <c r="D1216" i="5" s="1"/>
  <c r="D1217" i="5" s="1"/>
  <c r="D1218" i="5" s="1"/>
  <c r="D1219" i="5" s="1"/>
  <c r="D1220" i="5" s="1"/>
  <c r="D1221" i="5" s="1"/>
  <c r="D1222" i="5" s="1"/>
  <c r="D1223" i="5" s="1"/>
  <c r="D1224" i="5" s="1"/>
  <c r="D1225" i="5" s="1"/>
  <c r="D1226" i="5" s="1"/>
  <c r="D1227" i="5" s="1"/>
  <c r="D1228" i="5" s="1"/>
  <c r="D1229" i="5" s="1"/>
  <c r="D1230" i="5" s="1"/>
  <c r="D1231" i="5" s="1"/>
  <c r="D1232" i="5" s="1"/>
  <c r="D1233" i="5" s="1"/>
  <c r="D1234" i="5" s="1"/>
  <c r="D1235" i="5" s="1"/>
  <c r="D1236" i="5" s="1"/>
  <c r="D1237" i="5" s="1"/>
  <c r="D1238" i="5" s="1"/>
  <c r="D1239" i="5" s="1"/>
  <c r="D1240" i="5" s="1"/>
  <c r="D1241" i="5" s="1"/>
  <c r="D1242" i="5" s="1"/>
  <c r="D1243" i="5" s="1"/>
  <c r="D1244" i="5" s="1"/>
  <c r="D1245" i="5" s="1"/>
  <c r="D1246" i="5" s="1"/>
  <c r="D1247" i="5" s="1"/>
  <c r="D1248" i="5" s="1"/>
  <c r="D1249" i="5" s="1"/>
  <c r="D1250" i="5" s="1"/>
  <c r="D1251" i="5" s="1"/>
  <c r="D1252" i="5" s="1"/>
  <c r="D1253" i="5" s="1"/>
  <c r="D1254" i="5" s="1"/>
  <c r="D1255" i="5" s="1"/>
  <c r="D1256" i="5" s="1"/>
  <c r="D1257" i="5" s="1"/>
  <c r="D1258" i="5" s="1"/>
  <c r="D1259" i="5" s="1"/>
  <c r="D1260" i="5" s="1"/>
  <c r="D1261" i="5" s="1"/>
  <c r="D1262" i="5" s="1"/>
  <c r="D1263" i="5" s="1"/>
  <c r="D1264" i="5" s="1"/>
  <c r="D1265" i="5" s="1"/>
  <c r="D1266" i="5" s="1"/>
  <c r="D1267" i="5" s="1"/>
  <c r="D1268" i="5" s="1"/>
  <c r="D1269" i="5" s="1"/>
  <c r="D1270" i="5" s="1"/>
  <c r="D1271" i="5" s="1"/>
  <c r="D1272" i="5" s="1"/>
  <c r="D1273" i="5" s="1"/>
  <c r="D1274" i="5" s="1"/>
  <c r="D1275" i="5" s="1"/>
  <c r="D1276" i="5" s="1"/>
  <c r="D1277" i="5" s="1"/>
  <c r="D1278" i="5" s="1"/>
  <c r="D1279" i="5" s="1"/>
  <c r="D1280" i="5" s="1"/>
  <c r="D1281" i="5" s="1"/>
  <c r="D1282" i="5" s="1"/>
  <c r="D1283" i="5" s="1"/>
  <c r="D1284" i="5" s="1"/>
  <c r="D1285" i="5" s="1"/>
  <c r="D1286" i="5" s="1"/>
  <c r="D1287" i="5" s="1"/>
  <c r="D1288" i="5" s="1"/>
  <c r="D1289" i="5" s="1"/>
  <c r="D1290" i="5" s="1"/>
  <c r="D1291" i="5" s="1"/>
  <c r="D1292" i="5" s="1"/>
  <c r="D1293" i="5" s="1"/>
  <c r="D1294" i="5" s="1"/>
  <c r="D1295" i="5" s="1"/>
  <c r="D1296" i="5" s="1"/>
  <c r="D1297" i="5" s="1"/>
  <c r="D1298" i="5" s="1"/>
  <c r="D1299" i="5" s="1"/>
  <c r="D1300" i="5" s="1"/>
  <c r="D1301" i="5" s="1"/>
  <c r="D1302" i="5" s="1"/>
  <c r="D1303" i="5" s="1"/>
  <c r="D1304" i="5" s="1"/>
  <c r="D1305" i="5" s="1"/>
  <c r="D1306" i="5" s="1"/>
  <c r="D1307" i="5" s="1"/>
  <c r="D1308" i="5" s="1"/>
  <c r="D1309" i="5" s="1"/>
  <c r="D1310" i="5" s="1"/>
  <c r="D1311" i="5" s="1"/>
  <c r="D1312" i="5" s="1"/>
  <c r="D1313" i="5" s="1"/>
  <c r="D1314" i="5" s="1"/>
  <c r="D1315" i="5" s="1"/>
  <c r="D1316" i="5" s="1"/>
  <c r="D1317" i="5" s="1"/>
  <c r="D1318" i="5" s="1"/>
  <c r="D1319" i="5" s="1"/>
  <c r="D1320" i="5" s="1"/>
  <c r="D1321" i="5" s="1"/>
  <c r="D1322" i="5" s="1"/>
  <c r="D1323" i="5" s="1"/>
  <c r="D1324" i="5" s="1"/>
  <c r="D1325" i="5" s="1"/>
  <c r="D1326" i="5" s="1"/>
  <c r="D1327" i="5" s="1"/>
  <c r="D1328" i="5" s="1"/>
  <c r="D1329" i="5" s="1"/>
  <c r="D1330" i="5" s="1"/>
  <c r="D1331" i="5" s="1"/>
  <c r="D1332" i="5" s="1"/>
  <c r="D1333" i="5" s="1"/>
  <c r="D1334" i="5" s="1"/>
  <c r="D1335" i="5" s="1"/>
  <c r="D1336" i="5" s="1"/>
  <c r="D1337" i="5" s="1"/>
  <c r="D1338" i="5" s="1"/>
  <c r="D1339" i="5" s="1"/>
  <c r="D1340" i="5" s="1"/>
  <c r="D1341" i="5" s="1"/>
  <c r="D1342" i="5" s="1"/>
  <c r="D1343" i="5" s="1"/>
  <c r="D1344" i="5" s="1"/>
  <c r="D1345" i="5" s="1"/>
  <c r="D1346" i="5" s="1"/>
  <c r="D1347" i="5" s="1"/>
  <c r="D1348" i="5" s="1"/>
  <c r="D1349" i="5" s="1"/>
  <c r="D1350" i="5" s="1"/>
  <c r="D1351" i="5" s="1"/>
  <c r="D1352" i="5" s="1"/>
  <c r="D1353" i="5" s="1"/>
  <c r="D1354" i="5" s="1"/>
  <c r="D1355" i="5" s="1"/>
  <c r="D1356" i="5" s="1"/>
  <c r="D1357" i="5" s="1"/>
  <c r="D1358" i="5" s="1"/>
  <c r="D1359" i="5" s="1"/>
  <c r="D1360" i="5" s="1"/>
  <c r="D1361" i="5" s="1"/>
  <c r="D1362" i="5" s="1"/>
  <c r="D1363" i="5" s="1"/>
  <c r="D1364" i="5" s="1"/>
  <c r="D1365" i="5" s="1"/>
  <c r="D1366" i="5" s="1"/>
  <c r="D1367" i="5" s="1"/>
  <c r="D1368" i="5" s="1"/>
  <c r="D1369" i="5" s="1"/>
  <c r="D1370" i="5" s="1"/>
  <c r="D1371" i="5" s="1"/>
  <c r="D1372" i="5" s="1"/>
  <c r="D1373" i="5" s="1"/>
  <c r="D1374" i="5" s="1"/>
  <c r="D1375" i="5" s="1"/>
  <c r="D1376" i="5" s="1"/>
  <c r="D1377" i="5" s="1"/>
  <c r="D1378" i="5" s="1"/>
  <c r="D1379" i="5" s="1"/>
  <c r="D1380" i="5" s="1"/>
  <c r="D1381" i="5" s="1"/>
  <c r="D1382" i="5" s="1"/>
  <c r="D1383" i="5" s="1"/>
  <c r="D1384" i="5" s="1"/>
  <c r="D1385" i="5" s="1"/>
  <c r="D1386" i="5" s="1"/>
  <c r="D1387" i="5" s="1"/>
  <c r="D1388" i="5" s="1"/>
  <c r="D1389" i="5" s="1"/>
  <c r="D1390" i="5" s="1"/>
  <c r="D1391" i="5" s="1"/>
  <c r="D1392" i="5" s="1"/>
  <c r="D1393" i="5" s="1"/>
  <c r="D1394" i="5" s="1"/>
  <c r="D1395" i="5" s="1"/>
  <c r="D1396" i="5" s="1"/>
  <c r="D1397" i="5" s="1"/>
  <c r="D1398" i="5" s="1"/>
  <c r="D1399" i="5" s="1"/>
  <c r="D1400" i="5" s="1"/>
  <c r="D1401" i="5" s="1"/>
  <c r="D1402" i="5" s="1"/>
  <c r="D1403" i="5" s="1"/>
  <c r="D1404" i="5" s="1"/>
  <c r="D1405" i="5" s="1"/>
  <c r="D1406" i="5" s="1"/>
  <c r="D1407" i="5" s="1"/>
  <c r="D1408" i="5" s="1"/>
  <c r="D1409" i="5" s="1"/>
  <c r="D1410" i="5" s="1"/>
  <c r="D1411" i="5" s="1"/>
  <c r="D1412" i="5" s="1"/>
  <c r="D1413" i="5" s="1"/>
  <c r="D1414" i="5" s="1"/>
  <c r="D1415" i="5" s="1"/>
  <c r="D1416" i="5" s="1"/>
  <c r="D1417" i="5" s="1"/>
  <c r="D1418" i="5" s="1"/>
  <c r="D1419" i="5" s="1"/>
  <c r="D1420" i="5" s="1"/>
  <c r="D1421" i="5" s="1"/>
  <c r="D1422" i="5" s="1"/>
  <c r="D1423" i="5" s="1"/>
  <c r="D1424" i="5" s="1"/>
  <c r="D1425" i="5" s="1"/>
  <c r="D1426" i="5" s="1"/>
  <c r="D1427" i="5" s="1"/>
  <c r="D1428" i="5" s="1"/>
  <c r="D1429" i="5" s="1"/>
  <c r="D1430" i="5" s="1"/>
  <c r="D1431" i="5" s="1"/>
  <c r="D1432" i="5" s="1"/>
  <c r="D1433" i="5" s="1"/>
  <c r="D1434" i="5" s="1"/>
  <c r="D1435" i="5" s="1"/>
  <c r="D1436" i="5" s="1"/>
  <c r="D1437" i="5" s="1"/>
  <c r="D1438" i="5" s="1"/>
  <c r="D1439" i="5" s="1"/>
  <c r="D1440" i="5" s="1"/>
  <c r="D1441" i="5" s="1"/>
  <c r="D1442" i="5" s="1"/>
  <c r="D1443" i="5" s="1"/>
  <c r="D1444" i="5" s="1"/>
  <c r="D1445" i="5" s="1"/>
  <c r="D1446" i="5" s="1"/>
  <c r="D1447" i="5" s="1"/>
  <c r="D1448" i="5" s="1"/>
  <c r="D1449" i="5" s="1"/>
  <c r="D1450" i="5" s="1"/>
  <c r="D1451" i="5" s="1"/>
  <c r="D1452" i="5" s="1"/>
  <c r="D1453" i="5" s="1"/>
  <c r="D1454" i="5" s="1"/>
  <c r="D1455" i="5" s="1"/>
  <c r="D1456" i="5" s="1"/>
  <c r="D1457" i="5" s="1"/>
  <c r="D1458" i="5" s="1"/>
  <c r="D1459" i="5" s="1"/>
  <c r="D1460" i="5" s="1"/>
  <c r="D1461" i="5" s="1"/>
  <c r="D1462" i="5" s="1"/>
  <c r="D1463" i="5" s="1"/>
  <c r="D1464" i="5" s="1"/>
  <c r="D1465" i="5" s="1"/>
  <c r="D1466" i="5" s="1"/>
  <c r="D1467" i="5" s="1"/>
  <c r="D1468" i="5" s="1"/>
  <c r="D1469" i="5" s="1"/>
  <c r="D1470" i="5" s="1"/>
  <c r="D1471" i="5" s="1"/>
  <c r="D1472" i="5" s="1"/>
  <c r="D1473" i="5" s="1"/>
  <c r="D1474" i="5" s="1"/>
  <c r="D1475" i="5" s="1"/>
  <c r="D1476" i="5" s="1"/>
  <c r="D1477" i="5" s="1"/>
  <c r="D1478" i="5" s="1"/>
  <c r="D1479" i="5" s="1"/>
  <c r="D1480" i="5" s="1"/>
  <c r="D1481" i="5" s="1"/>
  <c r="D1482" i="5" s="1"/>
  <c r="D1483" i="5" s="1"/>
  <c r="D1484" i="5" s="1"/>
  <c r="D1485" i="5" s="1"/>
  <c r="D1486" i="5" s="1"/>
  <c r="D1487" i="5" s="1"/>
  <c r="D1488" i="5" s="1"/>
  <c r="D1489" i="5" s="1"/>
  <c r="D1490" i="5" s="1"/>
  <c r="D1491" i="5" s="1"/>
  <c r="D1492" i="5" s="1"/>
  <c r="D1493" i="5" s="1"/>
  <c r="D1494" i="5" s="1"/>
  <c r="D1495" i="5" s="1"/>
  <c r="D1496" i="5" s="1"/>
  <c r="D1497" i="5" s="1"/>
  <c r="D1498" i="5" s="1"/>
  <c r="D1499" i="5" s="1"/>
  <c r="D1500" i="5" s="1"/>
  <c r="D1501" i="5" s="1"/>
  <c r="D1502" i="5" s="1"/>
  <c r="D1503" i="5" s="1"/>
  <c r="D1504" i="5" s="1"/>
  <c r="D1505" i="5" s="1"/>
  <c r="D1506" i="5" s="1"/>
  <c r="D1507" i="5" s="1"/>
  <c r="D1508" i="5" s="1"/>
  <c r="D1509" i="5" s="1"/>
  <c r="D1510" i="5" s="1"/>
  <c r="D1511" i="5" s="1"/>
  <c r="D1512" i="5" s="1"/>
  <c r="D1513" i="5" s="1"/>
  <c r="D1514" i="5" s="1"/>
  <c r="D1515" i="5" s="1"/>
  <c r="D1516" i="5" s="1"/>
  <c r="D1517" i="5" s="1"/>
  <c r="D1518" i="5" s="1"/>
  <c r="D1519" i="5" s="1"/>
  <c r="D1520" i="5" s="1"/>
  <c r="D1521" i="5" s="1"/>
  <c r="D1522" i="5" s="1"/>
  <c r="D1523" i="5" s="1"/>
  <c r="D1524" i="5" s="1"/>
  <c r="D1525" i="5" s="1"/>
  <c r="D1526" i="5" s="1"/>
  <c r="D1527" i="5" s="1"/>
  <c r="D1528" i="5" s="1"/>
  <c r="D1529" i="5" s="1"/>
  <c r="D1530" i="5" s="1"/>
  <c r="D1531" i="5" s="1"/>
  <c r="D1532" i="5" s="1"/>
  <c r="D1533" i="5" s="1"/>
  <c r="D1534" i="5" s="1"/>
  <c r="D1535" i="5" s="1"/>
  <c r="D1536" i="5" s="1"/>
  <c r="D1537" i="5" s="1"/>
  <c r="D1538" i="5" s="1"/>
  <c r="D1539" i="5" s="1"/>
  <c r="D1540" i="5" s="1"/>
  <c r="D1541" i="5" s="1"/>
  <c r="D1542" i="5" s="1"/>
  <c r="D1543" i="5" s="1"/>
  <c r="D1544" i="5" s="1"/>
  <c r="D1545" i="5" s="1"/>
  <c r="D1546" i="5" s="1"/>
  <c r="D1547" i="5" s="1"/>
  <c r="D1548" i="5" s="1"/>
  <c r="D1549" i="5" s="1"/>
  <c r="D1550" i="5" s="1"/>
  <c r="D1551" i="5" s="1"/>
  <c r="D1552" i="5" s="1"/>
  <c r="D1553" i="5" s="1"/>
  <c r="D1554" i="5" s="1"/>
  <c r="D1555" i="5" s="1"/>
  <c r="D1556" i="5" s="1"/>
  <c r="D1557" i="5" s="1"/>
  <c r="D1558" i="5" s="1"/>
  <c r="D1559" i="5" s="1"/>
  <c r="D1560" i="5" s="1"/>
  <c r="D1561" i="5" s="1"/>
  <c r="D1562" i="5" s="1"/>
  <c r="D1563" i="5" s="1"/>
  <c r="D1564" i="5" s="1"/>
  <c r="D1565" i="5" s="1"/>
  <c r="D1566" i="5" s="1"/>
  <c r="D1567" i="5" s="1"/>
  <c r="D1568" i="5" s="1"/>
  <c r="D1569" i="5" s="1"/>
  <c r="D1570" i="5" s="1"/>
  <c r="D1571" i="5" s="1"/>
  <c r="D1572" i="5" s="1"/>
  <c r="D1573" i="5" s="1"/>
  <c r="D1574" i="5" s="1"/>
  <c r="D1575" i="5" s="1"/>
  <c r="D1576" i="5" s="1"/>
  <c r="D1577" i="5" s="1"/>
  <c r="D1578" i="5" s="1"/>
  <c r="D1579" i="5" s="1"/>
  <c r="D1580" i="5" s="1"/>
  <c r="D1581" i="5" s="1"/>
  <c r="D1582" i="5" s="1"/>
  <c r="D1583" i="5" s="1"/>
  <c r="D1584" i="5" s="1"/>
  <c r="D1585" i="5" s="1"/>
  <c r="D1586" i="5" s="1"/>
  <c r="D1587" i="5" s="1"/>
  <c r="D1588" i="5" s="1"/>
  <c r="D1589" i="5" s="1"/>
  <c r="D1590" i="5" s="1"/>
  <c r="D1591" i="5" s="1"/>
  <c r="D1592" i="5" s="1"/>
  <c r="D1593" i="5" s="1"/>
  <c r="D1594" i="5" s="1"/>
  <c r="D1595" i="5" s="1"/>
  <c r="D1596" i="5" s="1"/>
  <c r="D1597" i="5" s="1"/>
  <c r="D1598" i="5" s="1"/>
  <c r="D1599" i="5" s="1"/>
  <c r="D1600" i="5" s="1"/>
  <c r="D1601" i="5" s="1"/>
  <c r="D1602" i="5" s="1"/>
  <c r="D1603" i="5" s="1"/>
  <c r="D1604" i="5" s="1"/>
  <c r="D1605" i="5" s="1"/>
  <c r="D1606" i="5" s="1"/>
  <c r="D1607" i="5" s="1"/>
  <c r="D1608" i="5" s="1"/>
  <c r="D1609" i="5" s="1"/>
  <c r="D1610" i="5" s="1"/>
  <c r="D1611" i="5" s="1"/>
  <c r="D1612" i="5" s="1"/>
  <c r="D1613" i="5" s="1"/>
  <c r="D1614" i="5" s="1"/>
  <c r="D1615" i="5" s="1"/>
  <c r="D1616" i="5" s="1"/>
  <c r="D1617" i="5" s="1"/>
  <c r="D1618" i="5" s="1"/>
  <c r="D1619" i="5" s="1"/>
  <c r="D1620" i="5" s="1"/>
  <c r="D1621" i="5" s="1"/>
  <c r="D1622" i="5" s="1"/>
  <c r="D1623" i="5" s="1"/>
  <c r="D1624" i="5" s="1"/>
  <c r="D1625" i="5" s="1"/>
  <c r="D1626" i="5" s="1"/>
  <c r="D1627" i="5" s="1"/>
  <c r="D1628" i="5" s="1"/>
  <c r="D1629" i="5" s="1"/>
  <c r="D1630" i="5" s="1"/>
  <c r="D1631" i="5" s="1"/>
  <c r="D1632" i="5" s="1"/>
  <c r="D1633" i="5" s="1"/>
  <c r="D1634" i="5" s="1"/>
  <c r="D1635" i="5" s="1"/>
  <c r="D1636" i="5" s="1"/>
  <c r="D1637" i="5" s="1"/>
  <c r="D1638" i="5" s="1"/>
  <c r="D1639" i="5" s="1"/>
  <c r="D1640" i="5" s="1"/>
  <c r="D1641" i="5" s="1"/>
  <c r="D1642" i="5" s="1"/>
  <c r="D1643" i="5" s="1"/>
  <c r="D1644" i="5" s="1"/>
  <c r="D1645" i="5" s="1"/>
  <c r="D1646" i="5" s="1"/>
  <c r="D1647" i="5" s="1"/>
  <c r="D1648" i="5" s="1"/>
  <c r="D1649" i="5" s="1"/>
  <c r="D1650" i="5" s="1"/>
  <c r="D1651" i="5" s="1"/>
  <c r="D1652" i="5" s="1"/>
  <c r="D1653" i="5" s="1"/>
  <c r="D1654" i="5" s="1"/>
  <c r="D1655" i="5" s="1"/>
  <c r="D1656" i="5" s="1"/>
  <c r="D1657" i="5" s="1"/>
  <c r="D1658" i="5" s="1"/>
  <c r="D1659" i="5" s="1"/>
  <c r="D1660" i="5" s="1"/>
  <c r="D1661" i="5" s="1"/>
  <c r="D1662" i="5" s="1"/>
  <c r="D1663" i="5" s="1"/>
  <c r="D1664" i="5" s="1"/>
  <c r="D1665" i="5" s="1"/>
  <c r="D1666" i="5" s="1"/>
  <c r="D1667" i="5" s="1"/>
  <c r="D1668" i="5" s="1"/>
  <c r="D1669" i="5" s="1"/>
  <c r="D1670" i="5" s="1"/>
  <c r="D1671" i="5" s="1"/>
  <c r="D1672" i="5" s="1"/>
  <c r="D1673" i="5" s="1"/>
  <c r="D1674" i="5" s="1"/>
  <c r="D1675" i="5" s="1"/>
  <c r="D1676" i="5" s="1"/>
  <c r="D1677" i="5" s="1"/>
  <c r="D1678" i="5" s="1"/>
  <c r="D1679" i="5" s="1"/>
  <c r="D1680" i="5" s="1"/>
  <c r="D1681" i="5" s="1"/>
  <c r="D1682" i="5" s="1"/>
  <c r="D1683" i="5" s="1"/>
  <c r="D1684" i="5" s="1"/>
  <c r="D1685" i="5" s="1"/>
  <c r="D1686" i="5" s="1"/>
  <c r="D1687" i="5" s="1"/>
  <c r="D1688" i="5" s="1"/>
  <c r="D1689" i="5" s="1"/>
  <c r="D1690" i="5" s="1"/>
  <c r="D1691" i="5" s="1"/>
  <c r="D1692" i="5" s="1"/>
  <c r="D1693" i="5" s="1"/>
  <c r="D1694" i="5" s="1"/>
  <c r="D1695" i="5" s="1"/>
  <c r="D1696" i="5" s="1"/>
  <c r="D1697" i="5" s="1"/>
  <c r="D1698" i="5" s="1"/>
  <c r="D1699" i="5" s="1"/>
  <c r="D1700" i="5" s="1"/>
  <c r="D1701" i="5" s="1"/>
  <c r="D1702" i="5" s="1"/>
  <c r="D1703" i="5" s="1"/>
  <c r="D1704" i="5" s="1"/>
  <c r="D1705" i="5" s="1"/>
  <c r="D1706" i="5" s="1"/>
  <c r="D1707" i="5" s="1"/>
  <c r="D1708" i="5" s="1"/>
  <c r="D1709" i="5" s="1"/>
  <c r="D1710" i="5" s="1"/>
  <c r="D1711" i="5" s="1"/>
  <c r="D1712" i="5" s="1"/>
  <c r="D1713" i="5" s="1"/>
  <c r="D1714" i="5" s="1"/>
  <c r="D1715" i="5" s="1"/>
  <c r="D1716" i="5" s="1"/>
  <c r="D1717" i="5" s="1"/>
  <c r="D1718" i="5" s="1"/>
  <c r="D1719" i="5" s="1"/>
  <c r="D1720" i="5" s="1"/>
  <c r="D1721" i="5" s="1"/>
  <c r="D1722" i="5" s="1"/>
  <c r="D1723" i="5" s="1"/>
  <c r="D1724" i="5" s="1"/>
  <c r="D1725" i="5" s="1"/>
  <c r="D1726" i="5" s="1"/>
  <c r="D1727" i="5" s="1"/>
  <c r="D1728" i="5" s="1"/>
  <c r="D1729" i="5" s="1"/>
  <c r="D1730" i="5" s="1"/>
  <c r="D1731" i="5" s="1"/>
  <c r="D1732" i="5" s="1"/>
  <c r="D1733" i="5" s="1"/>
  <c r="D1734" i="5" s="1"/>
  <c r="D1735" i="5" s="1"/>
  <c r="D1736" i="5" s="1"/>
  <c r="D1737" i="5" s="1"/>
  <c r="D1738" i="5" s="1"/>
  <c r="D1739" i="5" s="1"/>
  <c r="D1740" i="5" s="1"/>
  <c r="D1741" i="5" s="1"/>
  <c r="D1742" i="5" s="1"/>
  <c r="D1743" i="5" s="1"/>
  <c r="D1744" i="5" s="1"/>
  <c r="D1745" i="5" s="1"/>
  <c r="D1746" i="5" s="1"/>
  <c r="D1747" i="5" s="1"/>
  <c r="D1748" i="5" s="1"/>
  <c r="D1749" i="5" s="1"/>
  <c r="D1750" i="5" s="1"/>
  <c r="D1751" i="5" s="1"/>
  <c r="D1752" i="5" s="1"/>
  <c r="D1753" i="5" s="1"/>
  <c r="D1754" i="5" s="1"/>
  <c r="D1755" i="5" s="1"/>
  <c r="D1756" i="5" s="1"/>
  <c r="D1757" i="5" s="1"/>
  <c r="D1758" i="5" s="1"/>
  <c r="D1759" i="5" s="1"/>
  <c r="D1760" i="5" s="1"/>
  <c r="D1761" i="5" s="1"/>
  <c r="D1762" i="5" s="1"/>
  <c r="D1763" i="5" s="1"/>
  <c r="D1764" i="5" s="1"/>
  <c r="D1765" i="5" s="1"/>
  <c r="D1766" i="5" s="1"/>
  <c r="D1767" i="5" s="1"/>
  <c r="D1768" i="5" s="1"/>
  <c r="D1769" i="5" s="1"/>
  <c r="D1770" i="5" s="1"/>
  <c r="D1771" i="5" s="1"/>
  <c r="D1772" i="5" s="1"/>
  <c r="D1773" i="5" s="1"/>
  <c r="D1774" i="5" s="1"/>
  <c r="D1775" i="5" s="1"/>
  <c r="D1776" i="5" s="1"/>
  <c r="D1777" i="5" s="1"/>
  <c r="D1778" i="5" s="1"/>
  <c r="D1779" i="5" s="1"/>
  <c r="D1780" i="5" s="1"/>
  <c r="D1781" i="5" s="1"/>
  <c r="D1782" i="5" s="1"/>
  <c r="D1783" i="5" s="1"/>
  <c r="D1784" i="5" s="1"/>
  <c r="D1785" i="5" s="1"/>
  <c r="D1786" i="5" s="1"/>
  <c r="D1787" i="5" s="1"/>
  <c r="D1788" i="5" s="1"/>
  <c r="D1789" i="5" s="1"/>
  <c r="D1790" i="5" s="1"/>
  <c r="D1791" i="5" s="1"/>
  <c r="D1792" i="5" s="1"/>
  <c r="D1793" i="5" s="1"/>
  <c r="D1794" i="5" s="1"/>
  <c r="D1795" i="5" s="1"/>
  <c r="D1796" i="5" s="1"/>
  <c r="D1797" i="5" s="1"/>
  <c r="D1798" i="5" s="1"/>
  <c r="D1799" i="5" s="1"/>
  <c r="D1800" i="5" s="1"/>
  <c r="D1801" i="5" s="1"/>
  <c r="D1802" i="5" s="1"/>
  <c r="D1803" i="5" s="1"/>
  <c r="D1804" i="5" s="1"/>
  <c r="D1805" i="5" s="1"/>
  <c r="D1806" i="5" s="1"/>
  <c r="D1807" i="5" s="1"/>
  <c r="D1808" i="5" s="1"/>
  <c r="D1809" i="5" s="1"/>
  <c r="D1810" i="5" s="1"/>
  <c r="D1811" i="5" s="1"/>
  <c r="D1812" i="5" s="1"/>
  <c r="D1813" i="5" s="1"/>
  <c r="D1814" i="5" s="1"/>
  <c r="D1815" i="5" s="1"/>
  <c r="D1816" i="5" s="1"/>
  <c r="D1817" i="5" s="1"/>
  <c r="D1818" i="5" s="1"/>
  <c r="D1819" i="5" s="1"/>
  <c r="D1820" i="5" s="1"/>
  <c r="D1821" i="5" s="1"/>
  <c r="D1822" i="5" s="1"/>
  <c r="D1823" i="5" s="1"/>
  <c r="D1824" i="5" s="1"/>
  <c r="D1825" i="5" s="1"/>
  <c r="D1826" i="5" s="1"/>
  <c r="D1827" i="5" s="1"/>
  <c r="D1828" i="5" s="1"/>
  <c r="D1829" i="5" s="1"/>
  <c r="D1830" i="5" s="1"/>
  <c r="D1831" i="5" s="1"/>
  <c r="D1832" i="5" s="1"/>
  <c r="D1833" i="5" s="1"/>
  <c r="D1834" i="5" s="1"/>
  <c r="D1835" i="5" s="1"/>
  <c r="D1836" i="5" s="1"/>
  <c r="D1837" i="5" s="1"/>
  <c r="D1838" i="5" s="1"/>
  <c r="D1839" i="5" s="1"/>
  <c r="D1840" i="5" s="1"/>
  <c r="D1841" i="5" s="1"/>
  <c r="D1842" i="5" s="1"/>
  <c r="D1843" i="5" s="1"/>
  <c r="D1844" i="5" s="1"/>
  <c r="D1845" i="5" s="1"/>
  <c r="D1846" i="5" s="1"/>
  <c r="D1847" i="5" s="1"/>
  <c r="D1848" i="5" s="1"/>
  <c r="D1849" i="5" s="1"/>
  <c r="D1850" i="5" s="1"/>
  <c r="D1851" i="5" s="1"/>
  <c r="D1852" i="5" s="1"/>
  <c r="D1853" i="5" s="1"/>
  <c r="D1854" i="5" s="1"/>
  <c r="D1855" i="5" s="1"/>
  <c r="D1856" i="5" s="1"/>
  <c r="D1857" i="5" s="1"/>
  <c r="D1858" i="5" s="1"/>
  <c r="D1859" i="5" s="1"/>
  <c r="D1860" i="5" s="1"/>
  <c r="D1861" i="5" s="1"/>
  <c r="D1862" i="5" s="1"/>
  <c r="D1863" i="5" s="1"/>
  <c r="D1864" i="5" s="1"/>
  <c r="D1865" i="5" s="1"/>
  <c r="D1866" i="5" s="1"/>
  <c r="D1867" i="5" s="1"/>
  <c r="D1868" i="5" s="1"/>
  <c r="D1869" i="5" s="1"/>
  <c r="D1870" i="5" s="1"/>
  <c r="D1871" i="5" s="1"/>
  <c r="D1872" i="5" s="1"/>
  <c r="D1873" i="5" s="1"/>
  <c r="D1874" i="5" s="1"/>
  <c r="D1875" i="5" s="1"/>
  <c r="D1876" i="5" s="1"/>
  <c r="D1877" i="5" s="1"/>
  <c r="D1878" i="5" s="1"/>
  <c r="D1879" i="5" s="1"/>
  <c r="D1880" i="5" s="1"/>
  <c r="D1881" i="5" s="1"/>
  <c r="D1882" i="5" s="1"/>
  <c r="D1883" i="5" s="1"/>
  <c r="D1884" i="5" s="1"/>
  <c r="D1885" i="5" s="1"/>
  <c r="D1886" i="5" s="1"/>
  <c r="D1887" i="5" s="1"/>
  <c r="D1888" i="5" s="1"/>
  <c r="D1889" i="5" s="1"/>
  <c r="D1890" i="5" s="1"/>
  <c r="D1891" i="5" s="1"/>
  <c r="D1892" i="5" s="1"/>
  <c r="D1893" i="5" s="1"/>
  <c r="D1894" i="5" s="1"/>
  <c r="D1895" i="5" s="1"/>
  <c r="D1896" i="5" s="1"/>
  <c r="D1897" i="5" s="1"/>
  <c r="D1898" i="5" s="1"/>
  <c r="D1899" i="5" s="1"/>
  <c r="D1900" i="5" s="1"/>
  <c r="D1901" i="5" s="1"/>
  <c r="D1902" i="5" s="1"/>
  <c r="D1903" i="5" s="1"/>
  <c r="D1904" i="5" s="1"/>
  <c r="D1905" i="5" s="1"/>
  <c r="D1906" i="5" s="1"/>
  <c r="D1907" i="5" s="1"/>
  <c r="D1908" i="5" s="1"/>
  <c r="D1909" i="5" s="1"/>
  <c r="D1910" i="5" s="1"/>
  <c r="D1911" i="5" s="1"/>
  <c r="D1912" i="5" s="1"/>
  <c r="D1913" i="5" s="1"/>
  <c r="D1914" i="5" s="1"/>
  <c r="D1915" i="5" s="1"/>
  <c r="D1916" i="5" s="1"/>
  <c r="D1917" i="5" s="1"/>
  <c r="D1918" i="5" s="1"/>
  <c r="D1919" i="5" s="1"/>
  <c r="D1920" i="5" s="1"/>
  <c r="D1921" i="5" s="1"/>
  <c r="D1922" i="5" s="1"/>
  <c r="D1923" i="5" s="1"/>
  <c r="D1924" i="5" s="1"/>
  <c r="D1925" i="5" s="1"/>
  <c r="D1926" i="5" s="1"/>
  <c r="D1927" i="5" s="1"/>
  <c r="D1928" i="5" s="1"/>
  <c r="D1929" i="5" s="1"/>
  <c r="D1930" i="5" s="1"/>
  <c r="D1931" i="5" s="1"/>
  <c r="D1932" i="5" s="1"/>
  <c r="D1933" i="5" s="1"/>
  <c r="D1934" i="5" s="1"/>
  <c r="D1935" i="5" s="1"/>
  <c r="D1936" i="5" s="1"/>
  <c r="D1937" i="5" s="1"/>
  <c r="D1938" i="5" s="1"/>
  <c r="D1939" i="5" s="1"/>
  <c r="D1940" i="5" s="1"/>
  <c r="D1941" i="5" s="1"/>
  <c r="D1942" i="5" s="1"/>
  <c r="D1943" i="5" s="1"/>
  <c r="D1944" i="5" s="1"/>
  <c r="D1945" i="5" s="1"/>
  <c r="D1946" i="5" s="1"/>
  <c r="D1947" i="5" s="1"/>
  <c r="D1948" i="5" s="1"/>
  <c r="D1949" i="5" s="1"/>
  <c r="D1950" i="5" s="1"/>
  <c r="D1951" i="5" s="1"/>
  <c r="D1952" i="5" s="1"/>
  <c r="D1953" i="5" s="1"/>
  <c r="D1954" i="5" s="1"/>
  <c r="D1955" i="5" s="1"/>
  <c r="D1956" i="5" s="1"/>
  <c r="D1957" i="5" s="1"/>
  <c r="D1958" i="5" s="1"/>
  <c r="D1959" i="5" s="1"/>
  <c r="D1960" i="5" s="1"/>
  <c r="D1961" i="5" s="1"/>
  <c r="D1962" i="5" s="1"/>
  <c r="D1963" i="5" s="1"/>
  <c r="D1964" i="5" s="1"/>
  <c r="D1965" i="5" s="1"/>
  <c r="D1966" i="5" s="1"/>
  <c r="D1967" i="5" s="1"/>
  <c r="D1968" i="5" s="1"/>
  <c r="D1969" i="5" s="1"/>
  <c r="D1970" i="5" s="1"/>
  <c r="D1971" i="5" s="1"/>
  <c r="D1972" i="5" s="1"/>
  <c r="D1973" i="5" s="1"/>
  <c r="D1974" i="5" s="1"/>
  <c r="D1975" i="5" s="1"/>
  <c r="D1976" i="5" s="1"/>
  <c r="D1977" i="5" s="1"/>
  <c r="D1978" i="5" s="1"/>
  <c r="D1979" i="5" s="1"/>
  <c r="D1980" i="5" s="1"/>
  <c r="D1981" i="5" s="1"/>
  <c r="D1982" i="5" s="1"/>
  <c r="D1983" i="5" s="1"/>
  <c r="D1984" i="5" s="1"/>
  <c r="D1985" i="5" s="1"/>
  <c r="D1986" i="5" s="1"/>
  <c r="D1987" i="5" s="1"/>
  <c r="D1988" i="5" s="1"/>
  <c r="D1989" i="5" s="1"/>
  <c r="D1990" i="5" s="1"/>
  <c r="D1991" i="5" s="1"/>
  <c r="D1992" i="5" s="1"/>
  <c r="D1993" i="5" s="1"/>
  <c r="D1994" i="5" s="1"/>
  <c r="D1995" i="5" s="1"/>
  <c r="D1996" i="5" s="1"/>
  <c r="D1997" i="5" s="1"/>
  <c r="D1998" i="5" s="1"/>
  <c r="D1999" i="5" s="1"/>
  <c r="D2000" i="5" s="1"/>
  <c r="D2001" i="5" s="1"/>
  <c r="D2002" i="5" s="1"/>
  <c r="D2003" i="5" s="1"/>
  <c r="D2004" i="5" s="1"/>
  <c r="D2005" i="5" s="1"/>
  <c r="D2006" i="5" s="1"/>
  <c r="D2007" i="5" s="1"/>
  <c r="D2008" i="5" s="1"/>
  <c r="D2009" i="5" s="1"/>
  <c r="D2010" i="5" s="1"/>
  <c r="D2011" i="5" s="1"/>
  <c r="D2012" i="5" s="1"/>
  <c r="D2013" i="5" s="1"/>
  <c r="D2014" i="5" s="1"/>
  <c r="D2015" i="5" s="1"/>
  <c r="D2016" i="5" s="1"/>
  <c r="D2017" i="5" s="1"/>
  <c r="D2018" i="5" s="1"/>
  <c r="D2019" i="5" s="1"/>
  <c r="D2020" i="5" s="1"/>
  <c r="D2021" i="5" s="1"/>
  <c r="D2022" i="5" s="1"/>
  <c r="D2023" i="5" s="1"/>
  <c r="D2024" i="5" s="1"/>
  <c r="D2025" i="5" s="1"/>
  <c r="D2026" i="5" s="1"/>
  <c r="D2027" i="5" s="1"/>
  <c r="D2028" i="5" s="1"/>
  <c r="D2029" i="5" s="1"/>
  <c r="D2030" i="5" s="1"/>
  <c r="D2031" i="5" s="1"/>
  <c r="D2032" i="5" s="1"/>
  <c r="D2033" i="5" s="1"/>
  <c r="D2034" i="5" s="1"/>
  <c r="D2035" i="5" s="1"/>
  <c r="D2036" i="5" s="1"/>
  <c r="D2037" i="5" s="1"/>
  <c r="D2038" i="5" s="1"/>
  <c r="D2039" i="5" s="1"/>
  <c r="D2040" i="5" s="1"/>
  <c r="D2041" i="5" s="1"/>
  <c r="D2042" i="5" s="1"/>
  <c r="D2043" i="5" s="1"/>
  <c r="D2044" i="5" s="1"/>
  <c r="D2045" i="5" s="1"/>
  <c r="D2046" i="5" s="1"/>
  <c r="D2047" i="5" s="1"/>
  <c r="D2048" i="5" s="1"/>
  <c r="D2049" i="5" s="1"/>
  <c r="D2050" i="5" s="1"/>
  <c r="D2051" i="5" s="1"/>
  <c r="D2052" i="5" s="1"/>
  <c r="D2053" i="5" s="1"/>
  <c r="D2054" i="5" s="1"/>
  <c r="D2055" i="5" s="1"/>
  <c r="D2056" i="5" s="1"/>
  <c r="D2057" i="5" s="1"/>
  <c r="D2058" i="5" s="1"/>
  <c r="D2059" i="5" s="1"/>
  <c r="D2060" i="5" s="1"/>
  <c r="D2061" i="5" s="1"/>
  <c r="D2062" i="5" s="1"/>
  <c r="D2063" i="5" s="1"/>
  <c r="D2064" i="5" s="1"/>
  <c r="D2065" i="5" s="1"/>
  <c r="D2066" i="5" s="1"/>
  <c r="D2067" i="5" s="1"/>
  <c r="D2068" i="5" s="1"/>
  <c r="D2069" i="5" s="1"/>
  <c r="D2070" i="5" s="1"/>
  <c r="D2071" i="5" s="1"/>
  <c r="D2072" i="5" s="1"/>
  <c r="D2073" i="5" s="1"/>
  <c r="D2074" i="5" s="1"/>
  <c r="D2075" i="5" s="1"/>
  <c r="D2076" i="5" s="1"/>
  <c r="D2077" i="5" s="1"/>
  <c r="D2078" i="5" s="1"/>
  <c r="D2079" i="5" s="1"/>
  <c r="D2080" i="5" s="1"/>
  <c r="D2081" i="5" s="1"/>
  <c r="D2082" i="5" s="1"/>
  <c r="D2083" i="5" s="1"/>
  <c r="D2084" i="5" s="1"/>
  <c r="D2085" i="5" s="1"/>
  <c r="D2086" i="5" s="1"/>
  <c r="D2087" i="5" s="1"/>
  <c r="D2088" i="5" s="1"/>
  <c r="D2089" i="5" s="1"/>
  <c r="D2090" i="5" s="1"/>
  <c r="D2091" i="5" s="1"/>
  <c r="D2092" i="5" s="1"/>
  <c r="D2093" i="5" s="1"/>
  <c r="D2094" i="5" s="1"/>
  <c r="D2095" i="5" s="1"/>
  <c r="D2096" i="5" s="1"/>
  <c r="D2097" i="5" s="1"/>
  <c r="D2098" i="5" s="1"/>
  <c r="D2099" i="5" s="1"/>
  <c r="D2100" i="5" s="1"/>
  <c r="D2101" i="5" s="1"/>
  <c r="D2102" i="5" s="1"/>
  <c r="D2103" i="5" s="1"/>
  <c r="D2104" i="5" s="1"/>
  <c r="D2105" i="5" s="1"/>
  <c r="D2106" i="5" s="1"/>
  <c r="D2107" i="5" s="1"/>
  <c r="D2108" i="5" s="1"/>
  <c r="D2109" i="5" s="1"/>
  <c r="D2110" i="5" s="1"/>
  <c r="D2111" i="5" s="1"/>
  <c r="D2112" i="5" s="1"/>
  <c r="D2113" i="5" s="1"/>
  <c r="D2114" i="5" s="1"/>
  <c r="D2115" i="5" s="1"/>
  <c r="D2116" i="5" s="1"/>
  <c r="D2117" i="5" s="1"/>
  <c r="D2118" i="5" s="1"/>
  <c r="D2119" i="5" s="1"/>
  <c r="D2120" i="5" s="1"/>
  <c r="D2121" i="5" s="1"/>
  <c r="D2122" i="5" s="1"/>
  <c r="D2123" i="5" s="1"/>
  <c r="D2124" i="5" s="1"/>
  <c r="D2125" i="5" s="1"/>
  <c r="D2126" i="5" s="1"/>
  <c r="D2127" i="5" s="1"/>
  <c r="D2128" i="5" s="1"/>
  <c r="D2129" i="5" s="1"/>
  <c r="D2130" i="5" s="1"/>
  <c r="D2131" i="5" s="1"/>
  <c r="D2132" i="5" s="1"/>
  <c r="D2133" i="5" s="1"/>
  <c r="D2134" i="5" s="1"/>
  <c r="D2135" i="5" s="1"/>
  <c r="D2136" i="5" s="1"/>
  <c r="D2137" i="5" s="1"/>
  <c r="D2138" i="5" s="1"/>
  <c r="D2139" i="5" s="1"/>
  <c r="D2140" i="5" s="1"/>
  <c r="D2141" i="5" s="1"/>
  <c r="D2142" i="5" s="1"/>
  <c r="D2143" i="5" s="1"/>
  <c r="D2144" i="5" s="1"/>
  <c r="D2145" i="5" s="1"/>
  <c r="D2146" i="5" s="1"/>
  <c r="D2147" i="5" s="1"/>
  <c r="D2148" i="5" s="1"/>
  <c r="D2149" i="5" s="1"/>
  <c r="D2150" i="5" s="1"/>
  <c r="D2151" i="5" s="1"/>
  <c r="D2152" i="5" s="1"/>
  <c r="D2153" i="5" s="1"/>
  <c r="D2154" i="5" s="1"/>
  <c r="D2155" i="5" s="1"/>
  <c r="D2156" i="5" s="1"/>
  <c r="D2157" i="5" s="1"/>
  <c r="D2158" i="5" s="1"/>
  <c r="D2159" i="5" s="1"/>
  <c r="D2160" i="5" s="1"/>
  <c r="D2161" i="5" s="1"/>
  <c r="D2162" i="5" s="1"/>
  <c r="D2163" i="5" s="1"/>
  <c r="D2164" i="5" s="1"/>
  <c r="D2165" i="5" s="1"/>
  <c r="D2166" i="5" s="1"/>
  <c r="D2167" i="5" s="1"/>
  <c r="D2168" i="5" s="1"/>
  <c r="D2169" i="5" s="1"/>
  <c r="D2170" i="5" s="1"/>
  <c r="D2171" i="5" s="1"/>
  <c r="D2172" i="5" s="1"/>
  <c r="D2173" i="5" s="1"/>
  <c r="D2174" i="5" s="1"/>
  <c r="D2175" i="5" s="1"/>
  <c r="D2176" i="5" s="1"/>
  <c r="D2177" i="5" s="1"/>
  <c r="D2178" i="5" s="1"/>
  <c r="D2179" i="5" s="1"/>
  <c r="D2180" i="5" s="1"/>
  <c r="D2181" i="5" s="1"/>
  <c r="D2182" i="5" s="1"/>
  <c r="D2183" i="5" s="1"/>
  <c r="D2184" i="5" s="1"/>
  <c r="D2185" i="5" s="1"/>
  <c r="D2186" i="5" s="1"/>
  <c r="D2187" i="5" s="1"/>
  <c r="D2188" i="5" s="1"/>
  <c r="D2189" i="5" s="1"/>
  <c r="D2190" i="5" s="1"/>
  <c r="D2191" i="5" s="1"/>
  <c r="D2192" i="5" s="1"/>
  <c r="D2193" i="5" s="1"/>
  <c r="D2194" i="5" s="1"/>
  <c r="D2195" i="5" s="1"/>
  <c r="D2196" i="5" s="1"/>
  <c r="D2197" i="5" s="1"/>
  <c r="D2198" i="5" s="1"/>
  <c r="D2199" i="5" s="1"/>
  <c r="D2200" i="5" s="1"/>
  <c r="D2201" i="5" s="1"/>
  <c r="D2202" i="5" s="1"/>
  <c r="D2203" i="5" s="1"/>
  <c r="D2204" i="5" s="1"/>
  <c r="D2205" i="5" s="1"/>
  <c r="D2206" i="5" s="1"/>
  <c r="D2207" i="5" s="1"/>
  <c r="D2208" i="5" s="1"/>
  <c r="D2209" i="5" s="1"/>
  <c r="D2210" i="5" s="1"/>
  <c r="D2211" i="5" s="1"/>
  <c r="D2212" i="5" s="1"/>
  <c r="D2213" i="5" s="1"/>
  <c r="C394" i="5"/>
  <c r="AH372" i="5"/>
  <c r="AG372" i="5"/>
  <c r="AF372" i="5"/>
  <c r="AE372" i="5"/>
  <c r="AA372" i="5" s="1"/>
  <c r="AD372" i="5"/>
  <c r="AC372" i="5"/>
  <c r="Z372" i="5"/>
  <c r="Y372" i="5"/>
  <c r="N372" i="5"/>
  <c r="J372" i="5" s="1"/>
  <c r="M372" i="5"/>
  <c r="H372" i="5" s="1"/>
  <c r="L372" i="5"/>
  <c r="AG371" i="5"/>
  <c r="AH371" i="5" s="1"/>
  <c r="AE371" i="5"/>
  <c r="AD371" i="5"/>
  <c r="AC371" i="5"/>
  <c r="AA371" i="5"/>
  <c r="Z371" i="5"/>
  <c r="Y371" i="5"/>
  <c r="Q371" i="5"/>
  <c r="N371" i="5"/>
  <c r="P371" i="5" s="1"/>
  <c r="M371" i="5"/>
  <c r="L371" i="5"/>
  <c r="J371" i="5"/>
  <c r="I371" i="5"/>
  <c r="H371" i="5"/>
  <c r="O371" i="5" s="1"/>
  <c r="AH370" i="5"/>
  <c r="AF370" i="5"/>
  <c r="AE370" i="5"/>
  <c r="AG370" i="5" s="1"/>
  <c r="AD370" i="5"/>
  <c r="AC370" i="5"/>
  <c r="AA370" i="5"/>
  <c r="Z370" i="5"/>
  <c r="Y370" i="5"/>
  <c r="N370" i="5"/>
  <c r="M370" i="5"/>
  <c r="H370" i="5" s="1"/>
  <c r="L370" i="5"/>
  <c r="J370" i="5"/>
  <c r="I370" i="5"/>
  <c r="AE369" i="5"/>
  <c r="Z369" i="5" s="1"/>
  <c r="AD369" i="5"/>
  <c r="Y369" i="5" s="1"/>
  <c r="AF369" i="5" s="1"/>
  <c r="AC369" i="5"/>
  <c r="AA369" i="5"/>
  <c r="N369" i="5"/>
  <c r="M369" i="5"/>
  <c r="H369" i="5" s="1"/>
  <c r="L369" i="5"/>
  <c r="AE368" i="5"/>
  <c r="AD368" i="5"/>
  <c r="Y368" i="5" s="1"/>
  <c r="AC368" i="5"/>
  <c r="N368" i="5"/>
  <c r="M368" i="5"/>
  <c r="L368" i="5"/>
  <c r="J368" i="5"/>
  <c r="I368" i="5"/>
  <c r="H368" i="5"/>
  <c r="O368" i="5" s="1"/>
  <c r="AE367" i="5"/>
  <c r="AC367" i="5"/>
  <c r="AB367" i="5"/>
  <c r="AA367" i="5"/>
  <c r="Z367" i="5"/>
  <c r="U367" i="5"/>
  <c r="AD367" i="5" s="1"/>
  <c r="Y367" i="5" s="1"/>
  <c r="AF367" i="5" s="1"/>
  <c r="AG367" i="5" s="1"/>
  <c r="AH367" i="5" s="1"/>
  <c r="N367" i="5"/>
  <c r="L367" i="5"/>
  <c r="K367" i="5"/>
  <c r="J367" i="5"/>
  <c r="I367" i="5"/>
  <c r="H367" i="5"/>
  <c r="D367" i="5"/>
  <c r="M367" i="5" s="1"/>
  <c r="AE366" i="5"/>
  <c r="AC366" i="5"/>
  <c r="AB366" i="5"/>
  <c r="U366" i="5"/>
  <c r="AD366" i="5" s="1"/>
  <c r="Y366" i="5" s="1"/>
  <c r="N366" i="5"/>
  <c r="L366" i="5"/>
  <c r="K366" i="5"/>
  <c r="D366" i="5"/>
  <c r="M366" i="5" s="1"/>
  <c r="H366" i="5" s="1"/>
  <c r="AE365" i="5"/>
  <c r="AA365" i="5" s="1"/>
  <c r="AC365" i="5"/>
  <c r="AB365" i="5"/>
  <c r="Y365" i="5"/>
  <c r="U365" i="5"/>
  <c r="AD365" i="5" s="1"/>
  <c r="N365" i="5"/>
  <c r="L365" i="5"/>
  <c r="K365" i="5"/>
  <c r="J365" i="5"/>
  <c r="I365" i="5"/>
  <c r="H365" i="5"/>
  <c r="D365" i="5"/>
  <c r="M365" i="5" s="1"/>
  <c r="AE364" i="5"/>
  <c r="AC364" i="5"/>
  <c r="AA364" i="5"/>
  <c r="Z364" i="5"/>
  <c r="U364" i="5"/>
  <c r="AD364" i="5" s="1"/>
  <c r="Y364" i="5" s="1"/>
  <c r="AF364" i="5" s="1"/>
  <c r="O364" i="5"/>
  <c r="P364" i="5" s="1"/>
  <c r="N364" i="5"/>
  <c r="L364" i="5"/>
  <c r="J364" i="5"/>
  <c r="I364" i="5"/>
  <c r="H364" i="5"/>
  <c r="D364" i="5"/>
  <c r="M364" i="5" s="1"/>
  <c r="AG363" i="5"/>
  <c r="AH363" i="5" s="1"/>
  <c r="AE363" i="5"/>
  <c r="AD363" i="5"/>
  <c r="AC363" i="5"/>
  <c r="AB363" i="5"/>
  <c r="AF363" i="5" s="1"/>
  <c r="AA363" i="5"/>
  <c r="Z363" i="5"/>
  <c r="Y363" i="5"/>
  <c r="N363" i="5"/>
  <c r="M363" i="5"/>
  <c r="H363" i="5" s="1"/>
  <c r="L363" i="5"/>
  <c r="K363" i="5"/>
  <c r="AE362" i="5"/>
  <c r="AD362" i="5"/>
  <c r="Y362" i="5" s="1"/>
  <c r="AC362" i="5"/>
  <c r="AB362" i="5"/>
  <c r="N362" i="5"/>
  <c r="M362" i="5"/>
  <c r="H362" i="5" s="1"/>
  <c r="L362" i="5"/>
  <c r="K362" i="5"/>
  <c r="AE361" i="5"/>
  <c r="AD361" i="5"/>
  <c r="Y361" i="5" s="1"/>
  <c r="AF361" i="5" s="1"/>
  <c r="AC361" i="5"/>
  <c r="AA361" i="5"/>
  <c r="Z361" i="5"/>
  <c r="N361" i="5"/>
  <c r="P361" i="5" s="1"/>
  <c r="Q361" i="5" s="1"/>
  <c r="M361" i="5"/>
  <c r="L361" i="5"/>
  <c r="J361" i="5"/>
  <c r="I361" i="5"/>
  <c r="H361" i="5"/>
  <c r="O361" i="5" s="1"/>
  <c r="AE360" i="5"/>
  <c r="AD360" i="5"/>
  <c r="Y360" i="5" s="1"/>
  <c r="AF360" i="5" s="1"/>
  <c r="AC360" i="5"/>
  <c r="AA360" i="5"/>
  <c r="Z360" i="5"/>
  <c r="N360" i="5"/>
  <c r="M360" i="5"/>
  <c r="H360" i="5" s="1"/>
  <c r="L360" i="5"/>
  <c r="AE359" i="5"/>
  <c r="Z359" i="5" s="1"/>
  <c r="AD359" i="5"/>
  <c r="Y359" i="5" s="1"/>
  <c r="AC359" i="5"/>
  <c r="N359" i="5"/>
  <c r="M359" i="5"/>
  <c r="L359" i="5"/>
  <c r="J359" i="5"/>
  <c r="I359" i="5"/>
  <c r="H359" i="5"/>
  <c r="O359" i="5" s="1"/>
  <c r="AE358" i="5"/>
  <c r="AD358" i="5"/>
  <c r="AC358" i="5"/>
  <c r="AA358" i="5"/>
  <c r="Z358" i="5"/>
  <c r="Y358" i="5"/>
  <c r="AF358" i="5" s="1"/>
  <c r="N358" i="5"/>
  <c r="I358" i="5" s="1"/>
  <c r="M358" i="5"/>
  <c r="H358" i="5" s="1"/>
  <c r="L358" i="5"/>
  <c r="AE357" i="5"/>
  <c r="AD357" i="5"/>
  <c r="Y357" i="5" s="1"/>
  <c r="AC357" i="5"/>
  <c r="AA357" i="5"/>
  <c r="N357" i="5"/>
  <c r="M357" i="5"/>
  <c r="L357" i="5"/>
  <c r="I357" i="5"/>
  <c r="H357" i="5"/>
  <c r="AE356" i="5"/>
  <c r="AD356" i="5"/>
  <c r="AC356" i="5"/>
  <c r="AB356" i="5"/>
  <c r="AA356" i="5"/>
  <c r="Z356" i="5"/>
  <c r="Y356" i="5"/>
  <c r="AF356" i="5" s="1"/>
  <c r="AG356" i="5" s="1"/>
  <c r="AH356" i="5" s="1"/>
  <c r="Q356" i="5"/>
  <c r="P356" i="5"/>
  <c r="N356" i="5"/>
  <c r="J356" i="5" s="1"/>
  <c r="M356" i="5"/>
  <c r="H356" i="5" s="1"/>
  <c r="L356" i="5"/>
  <c r="K356" i="5"/>
  <c r="O356" i="5" s="1"/>
  <c r="I356" i="5"/>
  <c r="AE355" i="5"/>
  <c r="AD355" i="5"/>
  <c r="Y355" i="5" s="1"/>
  <c r="AC355" i="5"/>
  <c r="AB355" i="5"/>
  <c r="N355" i="5"/>
  <c r="M355" i="5"/>
  <c r="H355" i="5" s="1"/>
  <c r="L355" i="5"/>
  <c r="K355" i="5"/>
  <c r="AE354" i="5"/>
  <c r="AA354" i="5" s="1"/>
  <c r="AD354" i="5"/>
  <c r="Y354" i="5" s="1"/>
  <c r="AC354" i="5"/>
  <c r="AB354" i="5"/>
  <c r="N354" i="5"/>
  <c r="M354" i="5"/>
  <c r="G395" i="5" s="1"/>
  <c r="G396" i="5" s="1"/>
  <c r="G397" i="5" s="1"/>
  <c r="G398" i="5" s="1"/>
  <c r="G399" i="5" s="1"/>
  <c r="G400" i="5" s="1"/>
  <c r="G401" i="5" s="1"/>
  <c r="G402" i="5" s="1"/>
  <c r="G403" i="5" s="1"/>
  <c r="G404" i="5" s="1"/>
  <c r="G405" i="5" s="1"/>
  <c r="G406" i="5" s="1"/>
  <c r="G407" i="5" s="1"/>
  <c r="G408" i="5" s="1"/>
  <c r="G409" i="5" s="1"/>
  <c r="G410" i="5" s="1"/>
  <c r="G411" i="5" s="1"/>
  <c r="G412" i="5" s="1"/>
  <c r="G413" i="5" s="1"/>
  <c r="G414" i="5" s="1"/>
  <c r="G415" i="5" s="1"/>
  <c r="G416" i="5" s="1"/>
  <c r="G417" i="5" s="1"/>
  <c r="G418" i="5" s="1"/>
  <c r="G419" i="5" s="1"/>
  <c r="G420" i="5" s="1"/>
  <c r="G421" i="5" s="1"/>
  <c r="G422" i="5" s="1"/>
  <c r="G423" i="5" s="1"/>
  <c r="G424" i="5" s="1"/>
  <c r="G425" i="5" s="1"/>
  <c r="G426" i="5" s="1"/>
  <c r="G427" i="5" s="1"/>
  <c r="G428" i="5" s="1"/>
  <c r="G429" i="5" s="1"/>
  <c r="G430" i="5" s="1"/>
  <c r="G431" i="5" s="1"/>
  <c r="G432" i="5" s="1"/>
  <c r="G433" i="5" s="1"/>
  <c r="G434" i="5" s="1"/>
  <c r="G435" i="5" s="1"/>
  <c r="G436" i="5" s="1"/>
  <c r="G437" i="5" s="1"/>
  <c r="G438" i="5" s="1"/>
  <c r="G439" i="5" s="1"/>
  <c r="G440" i="5" s="1"/>
  <c r="G441" i="5" s="1"/>
  <c r="G442" i="5" s="1"/>
  <c r="G443" i="5" s="1"/>
  <c r="G444" i="5" s="1"/>
  <c r="G445" i="5" s="1"/>
  <c r="G446" i="5" s="1"/>
  <c r="G447" i="5" s="1"/>
  <c r="G448" i="5" s="1"/>
  <c r="G449" i="5" s="1"/>
  <c r="G450" i="5" s="1"/>
  <c r="G451" i="5" s="1"/>
  <c r="G452" i="5" s="1"/>
  <c r="G453" i="5" s="1"/>
  <c r="G454" i="5" s="1"/>
  <c r="G455" i="5" s="1"/>
  <c r="G456" i="5" s="1"/>
  <c r="G457" i="5" s="1"/>
  <c r="G458" i="5" s="1"/>
  <c r="G459" i="5" s="1"/>
  <c r="G460" i="5" s="1"/>
  <c r="G461" i="5" s="1"/>
  <c r="G462" i="5" s="1"/>
  <c r="G463" i="5" s="1"/>
  <c r="G464" i="5" s="1"/>
  <c r="G465" i="5" s="1"/>
  <c r="G466" i="5" s="1"/>
  <c r="G467" i="5" s="1"/>
  <c r="G468" i="5" s="1"/>
  <c r="G469" i="5" s="1"/>
  <c r="G470" i="5" s="1"/>
  <c r="G471" i="5" s="1"/>
  <c r="G472" i="5" s="1"/>
  <c r="G473" i="5" s="1"/>
  <c r="G474" i="5" s="1"/>
  <c r="G475" i="5" s="1"/>
  <c r="G476" i="5" s="1"/>
  <c r="G477" i="5" s="1"/>
  <c r="G478" i="5" s="1"/>
  <c r="G479" i="5" s="1"/>
  <c r="G480" i="5" s="1"/>
  <c r="G481" i="5" s="1"/>
  <c r="G482" i="5" s="1"/>
  <c r="G483" i="5" s="1"/>
  <c r="G484" i="5" s="1"/>
  <c r="G485" i="5" s="1"/>
  <c r="G486" i="5" s="1"/>
  <c r="G487" i="5" s="1"/>
  <c r="G488" i="5" s="1"/>
  <c r="G489" i="5" s="1"/>
  <c r="G490" i="5" s="1"/>
  <c r="G491" i="5" s="1"/>
  <c r="G492" i="5" s="1"/>
  <c r="G493" i="5" s="1"/>
  <c r="G494" i="5" s="1"/>
  <c r="G495" i="5" s="1"/>
  <c r="G496" i="5" s="1"/>
  <c r="G497" i="5" s="1"/>
  <c r="G498" i="5" s="1"/>
  <c r="G499" i="5" s="1"/>
  <c r="G500" i="5" s="1"/>
  <c r="G501" i="5" s="1"/>
  <c r="G502" i="5" s="1"/>
  <c r="G503" i="5" s="1"/>
  <c r="G504" i="5" s="1"/>
  <c r="G505" i="5" s="1"/>
  <c r="G506" i="5" s="1"/>
  <c r="G507" i="5" s="1"/>
  <c r="G508" i="5" s="1"/>
  <c r="G509" i="5" s="1"/>
  <c r="G510" i="5" s="1"/>
  <c r="G511" i="5" s="1"/>
  <c r="G512" i="5" s="1"/>
  <c r="G513" i="5" s="1"/>
  <c r="G514" i="5" s="1"/>
  <c r="G515" i="5" s="1"/>
  <c r="G516" i="5" s="1"/>
  <c r="G517" i="5" s="1"/>
  <c r="G518" i="5" s="1"/>
  <c r="G519" i="5" s="1"/>
  <c r="G520" i="5" s="1"/>
  <c r="G521" i="5" s="1"/>
  <c r="G522" i="5" s="1"/>
  <c r="G523" i="5" s="1"/>
  <c r="G524" i="5" s="1"/>
  <c r="G525" i="5" s="1"/>
  <c r="G526" i="5" s="1"/>
  <c r="G527" i="5" s="1"/>
  <c r="G528" i="5" s="1"/>
  <c r="G529" i="5" s="1"/>
  <c r="G530" i="5" s="1"/>
  <c r="G531" i="5" s="1"/>
  <c r="G532" i="5" s="1"/>
  <c r="G533" i="5" s="1"/>
  <c r="G534" i="5" s="1"/>
  <c r="G535" i="5" s="1"/>
  <c r="G536" i="5" s="1"/>
  <c r="G537" i="5" s="1"/>
  <c r="G538" i="5" s="1"/>
  <c r="G539" i="5" s="1"/>
  <c r="G540" i="5" s="1"/>
  <c r="G541" i="5" s="1"/>
  <c r="G542" i="5" s="1"/>
  <c r="G543" i="5" s="1"/>
  <c r="G544" i="5" s="1"/>
  <c r="G545" i="5" s="1"/>
  <c r="G546" i="5" s="1"/>
  <c r="G547" i="5" s="1"/>
  <c r="G548" i="5" s="1"/>
  <c r="G549" i="5" s="1"/>
  <c r="G550" i="5" s="1"/>
  <c r="G551" i="5" s="1"/>
  <c r="G552" i="5" s="1"/>
  <c r="G553" i="5" s="1"/>
  <c r="G554" i="5" s="1"/>
  <c r="G555" i="5" s="1"/>
  <c r="G556" i="5" s="1"/>
  <c r="G557" i="5" s="1"/>
  <c r="G558" i="5" s="1"/>
  <c r="G559" i="5" s="1"/>
  <c r="G560" i="5" s="1"/>
  <c r="G561" i="5" s="1"/>
  <c r="G562" i="5" s="1"/>
  <c r="G563" i="5" s="1"/>
  <c r="G564" i="5" s="1"/>
  <c r="G565" i="5" s="1"/>
  <c r="G566" i="5" s="1"/>
  <c r="G567" i="5" s="1"/>
  <c r="G568" i="5" s="1"/>
  <c r="G569" i="5" s="1"/>
  <c r="G570" i="5" s="1"/>
  <c r="G571" i="5" s="1"/>
  <c r="G572" i="5" s="1"/>
  <c r="G573" i="5" s="1"/>
  <c r="G574" i="5" s="1"/>
  <c r="G575" i="5" s="1"/>
  <c r="G576" i="5" s="1"/>
  <c r="G577" i="5" s="1"/>
  <c r="G578" i="5" s="1"/>
  <c r="G579" i="5" s="1"/>
  <c r="G580" i="5" s="1"/>
  <c r="G581" i="5" s="1"/>
  <c r="G582" i="5" s="1"/>
  <c r="G583" i="5" s="1"/>
  <c r="G584" i="5" s="1"/>
  <c r="G585" i="5" s="1"/>
  <c r="G586" i="5" s="1"/>
  <c r="G587" i="5" s="1"/>
  <c r="G588" i="5" s="1"/>
  <c r="G589" i="5" s="1"/>
  <c r="G590" i="5" s="1"/>
  <c r="G591" i="5" s="1"/>
  <c r="G592" i="5" s="1"/>
  <c r="G593" i="5" s="1"/>
  <c r="G594" i="5" s="1"/>
  <c r="G595" i="5" s="1"/>
  <c r="G596" i="5" s="1"/>
  <c r="G597" i="5" s="1"/>
  <c r="G598" i="5" s="1"/>
  <c r="G599" i="5" s="1"/>
  <c r="G600" i="5" s="1"/>
  <c r="G601" i="5" s="1"/>
  <c r="G602" i="5" s="1"/>
  <c r="G603" i="5" s="1"/>
  <c r="G604" i="5" s="1"/>
  <c r="G605" i="5" s="1"/>
  <c r="G606" i="5" s="1"/>
  <c r="G607" i="5" s="1"/>
  <c r="G608" i="5" s="1"/>
  <c r="G609" i="5" s="1"/>
  <c r="G610" i="5" s="1"/>
  <c r="G611" i="5" s="1"/>
  <c r="G612" i="5" s="1"/>
  <c r="G613" i="5" s="1"/>
  <c r="G614" i="5" s="1"/>
  <c r="G615" i="5" s="1"/>
  <c r="G616" i="5" s="1"/>
  <c r="G617" i="5" s="1"/>
  <c r="G618" i="5" s="1"/>
  <c r="G619" i="5" s="1"/>
  <c r="G620" i="5" s="1"/>
  <c r="G621" i="5" s="1"/>
  <c r="G622" i="5" s="1"/>
  <c r="G623" i="5" s="1"/>
  <c r="G624" i="5" s="1"/>
  <c r="G625" i="5" s="1"/>
  <c r="G626" i="5" s="1"/>
  <c r="G627" i="5" s="1"/>
  <c r="G628" i="5" s="1"/>
  <c r="G629" i="5" s="1"/>
  <c r="G630" i="5" s="1"/>
  <c r="G631" i="5" s="1"/>
  <c r="G632" i="5" s="1"/>
  <c r="G633" i="5" s="1"/>
  <c r="G634" i="5" s="1"/>
  <c r="G635" i="5" s="1"/>
  <c r="G636" i="5" s="1"/>
  <c r="G637" i="5" s="1"/>
  <c r="G638" i="5" s="1"/>
  <c r="G639" i="5" s="1"/>
  <c r="G640" i="5" s="1"/>
  <c r="G641" i="5" s="1"/>
  <c r="G642" i="5" s="1"/>
  <c r="G643" i="5" s="1"/>
  <c r="G644" i="5" s="1"/>
  <c r="G645" i="5" s="1"/>
  <c r="G646" i="5" s="1"/>
  <c r="G647" i="5" s="1"/>
  <c r="G648" i="5" s="1"/>
  <c r="G649" i="5" s="1"/>
  <c r="G650" i="5" s="1"/>
  <c r="G651" i="5" s="1"/>
  <c r="G652" i="5" s="1"/>
  <c r="G653" i="5" s="1"/>
  <c r="G654" i="5" s="1"/>
  <c r="G655" i="5" s="1"/>
  <c r="G656" i="5" s="1"/>
  <c r="G657" i="5" s="1"/>
  <c r="G658" i="5" s="1"/>
  <c r="G659" i="5" s="1"/>
  <c r="G660" i="5" s="1"/>
  <c r="G661" i="5" s="1"/>
  <c r="G662" i="5" s="1"/>
  <c r="G663" i="5" s="1"/>
  <c r="G664" i="5" s="1"/>
  <c r="G665" i="5" s="1"/>
  <c r="G666" i="5" s="1"/>
  <c r="G667" i="5" s="1"/>
  <c r="G668" i="5" s="1"/>
  <c r="G669" i="5" s="1"/>
  <c r="G670" i="5" s="1"/>
  <c r="G671" i="5" s="1"/>
  <c r="G672" i="5" s="1"/>
  <c r="G673" i="5" s="1"/>
  <c r="G674" i="5" s="1"/>
  <c r="G675" i="5" s="1"/>
  <c r="G676" i="5" s="1"/>
  <c r="G677" i="5" s="1"/>
  <c r="G678" i="5" s="1"/>
  <c r="G679" i="5" s="1"/>
  <c r="G680" i="5" s="1"/>
  <c r="G681" i="5" s="1"/>
  <c r="G682" i="5" s="1"/>
  <c r="G683" i="5" s="1"/>
  <c r="G684" i="5" s="1"/>
  <c r="G685" i="5" s="1"/>
  <c r="G686" i="5" s="1"/>
  <c r="G687" i="5" s="1"/>
  <c r="G688" i="5" s="1"/>
  <c r="G689" i="5" s="1"/>
  <c r="G690" i="5" s="1"/>
  <c r="G691" i="5" s="1"/>
  <c r="G692" i="5" s="1"/>
  <c r="G693" i="5" s="1"/>
  <c r="G694" i="5" s="1"/>
  <c r="G695" i="5" s="1"/>
  <c r="G696" i="5" s="1"/>
  <c r="G697" i="5" s="1"/>
  <c r="G698" i="5" s="1"/>
  <c r="G699" i="5" s="1"/>
  <c r="G700" i="5" s="1"/>
  <c r="G701" i="5" s="1"/>
  <c r="G702" i="5" s="1"/>
  <c r="G703" i="5" s="1"/>
  <c r="G704" i="5" s="1"/>
  <c r="G705" i="5" s="1"/>
  <c r="G706" i="5" s="1"/>
  <c r="G707" i="5" s="1"/>
  <c r="G708" i="5" s="1"/>
  <c r="G709" i="5" s="1"/>
  <c r="G710" i="5" s="1"/>
  <c r="G711" i="5" s="1"/>
  <c r="G712" i="5" s="1"/>
  <c r="G713" i="5" s="1"/>
  <c r="G714" i="5" s="1"/>
  <c r="G715" i="5" s="1"/>
  <c r="G716" i="5" s="1"/>
  <c r="G717" i="5" s="1"/>
  <c r="G718" i="5" s="1"/>
  <c r="G719" i="5" s="1"/>
  <c r="G720" i="5" s="1"/>
  <c r="G721" i="5" s="1"/>
  <c r="G722" i="5" s="1"/>
  <c r="G723" i="5" s="1"/>
  <c r="G724" i="5" s="1"/>
  <c r="G725" i="5" s="1"/>
  <c r="G726" i="5" s="1"/>
  <c r="G727" i="5" s="1"/>
  <c r="G728" i="5" s="1"/>
  <c r="G729" i="5" s="1"/>
  <c r="G730" i="5" s="1"/>
  <c r="G731" i="5" s="1"/>
  <c r="G732" i="5" s="1"/>
  <c r="G733" i="5" s="1"/>
  <c r="G734" i="5" s="1"/>
  <c r="G735" i="5" s="1"/>
  <c r="G736" i="5" s="1"/>
  <c r="G737" i="5" s="1"/>
  <c r="G738" i="5" s="1"/>
  <c r="G739" i="5" s="1"/>
  <c r="G740" i="5" s="1"/>
  <c r="G741" i="5" s="1"/>
  <c r="G742" i="5" s="1"/>
  <c r="G743" i="5" s="1"/>
  <c r="G744" i="5" s="1"/>
  <c r="G745" i="5" s="1"/>
  <c r="G746" i="5" s="1"/>
  <c r="G747" i="5" s="1"/>
  <c r="G748" i="5" s="1"/>
  <c r="G749" i="5" s="1"/>
  <c r="G750" i="5" s="1"/>
  <c r="G751" i="5" s="1"/>
  <c r="G752" i="5" s="1"/>
  <c r="G753" i="5" s="1"/>
  <c r="G754" i="5" s="1"/>
  <c r="G755" i="5" s="1"/>
  <c r="G756" i="5" s="1"/>
  <c r="G757" i="5" s="1"/>
  <c r="G758" i="5" s="1"/>
  <c r="G759" i="5" s="1"/>
  <c r="G760" i="5" s="1"/>
  <c r="G761" i="5" s="1"/>
  <c r="G762" i="5" s="1"/>
  <c r="G763" i="5" s="1"/>
  <c r="G764" i="5" s="1"/>
  <c r="G765" i="5" s="1"/>
  <c r="G766" i="5" s="1"/>
  <c r="G767" i="5" s="1"/>
  <c r="G768" i="5" s="1"/>
  <c r="G769" i="5" s="1"/>
  <c r="G770" i="5" s="1"/>
  <c r="G771" i="5" s="1"/>
  <c r="G772" i="5" s="1"/>
  <c r="G773" i="5" s="1"/>
  <c r="G774" i="5" s="1"/>
  <c r="G775" i="5" s="1"/>
  <c r="G776" i="5" s="1"/>
  <c r="G777" i="5" s="1"/>
  <c r="G778" i="5" s="1"/>
  <c r="G779" i="5" s="1"/>
  <c r="G780" i="5" s="1"/>
  <c r="G781" i="5" s="1"/>
  <c r="G782" i="5" s="1"/>
  <c r="G783" i="5" s="1"/>
  <c r="G784" i="5" s="1"/>
  <c r="G785" i="5" s="1"/>
  <c r="G786" i="5" s="1"/>
  <c r="G787" i="5" s="1"/>
  <c r="G788" i="5" s="1"/>
  <c r="G789" i="5" s="1"/>
  <c r="G790" i="5" s="1"/>
  <c r="G791" i="5" s="1"/>
  <c r="G792" i="5" s="1"/>
  <c r="G793" i="5" s="1"/>
  <c r="G794" i="5" s="1"/>
  <c r="G795" i="5" s="1"/>
  <c r="G796" i="5" s="1"/>
  <c r="G797" i="5" s="1"/>
  <c r="G798" i="5" s="1"/>
  <c r="G799" i="5" s="1"/>
  <c r="G800" i="5" s="1"/>
  <c r="G801" i="5" s="1"/>
  <c r="G802" i="5" s="1"/>
  <c r="G803" i="5" s="1"/>
  <c r="G804" i="5" s="1"/>
  <c r="G805" i="5" s="1"/>
  <c r="G806" i="5" s="1"/>
  <c r="G807" i="5" s="1"/>
  <c r="G808" i="5" s="1"/>
  <c r="G809" i="5" s="1"/>
  <c r="G810" i="5" s="1"/>
  <c r="G811" i="5" s="1"/>
  <c r="G812" i="5" s="1"/>
  <c r="G813" i="5" s="1"/>
  <c r="G814" i="5" s="1"/>
  <c r="G815" i="5" s="1"/>
  <c r="G816" i="5" s="1"/>
  <c r="G817" i="5" s="1"/>
  <c r="G818" i="5" s="1"/>
  <c r="G819" i="5" s="1"/>
  <c r="G820" i="5" s="1"/>
  <c r="G821" i="5" s="1"/>
  <c r="G822" i="5" s="1"/>
  <c r="G823" i="5" s="1"/>
  <c r="G824" i="5" s="1"/>
  <c r="G825" i="5" s="1"/>
  <c r="G826" i="5" s="1"/>
  <c r="G827" i="5" s="1"/>
  <c r="G828" i="5" s="1"/>
  <c r="G829" i="5" s="1"/>
  <c r="G830" i="5" s="1"/>
  <c r="G831" i="5" s="1"/>
  <c r="G832" i="5" s="1"/>
  <c r="G833" i="5" s="1"/>
  <c r="G834" i="5" s="1"/>
  <c r="G835" i="5" s="1"/>
  <c r="G836" i="5" s="1"/>
  <c r="G837" i="5" s="1"/>
  <c r="G838" i="5" s="1"/>
  <c r="G839" i="5" s="1"/>
  <c r="G840" i="5" s="1"/>
  <c r="G841" i="5" s="1"/>
  <c r="G842" i="5" s="1"/>
  <c r="G843" i="5" s="1"/>
  <c r="G844" i="5" s="1"/>
  <c r="G845" i="5" s="1"/>
  <c r="G846" i="5" s="1"/>
  <c r="G847" i="5" s="1"/>
  <c r="G848" i="5" s="1"/>
  <c r="G849" i="5" s="1"/>
  <c r="G850" i="5" s="1"/>
  <c r="G851" i="5" s="1"/>
  <c r="G852" i="5" s="1"/>
  <c r="G853" i="5" s="1"/>
  <c r="G854" i="5" s="1"/>
  <c r="G855" i="5" s="1"/>
  <c r="G856" i="5" s="1"/>
  <c r="G857" i="5" s="1"/>
  <c r="G858" i="5" s="1"/>
  <c r="G859" i="5" s="1"/>
  <c r="G860" i="5" s="1"/>
  <c r="G861" i="5" s="1"/>
  <c r="G862" i="5" s="1"/>
  <c r="G863" i="5" s="1"/>
  <c r="G864" i="5" s="1"/>
  <c r="G865" i="5" s="1"/>
  <c r="G866" i="5" s="1"/>
  <c r="G867" i="5" s="1"/>
  <c r="G868" i="5" s="1"/>
  <c r="G869" i="5" s="1"/>
  <c r="G870" i="5" s="1"/>
  <c r="G871" i="5" s="1"/>
  <c r="G872" i="5" s="1"/>
  <c r="G873" i="5" s="1"/>
  <c r="G874" i="5" s="1"/>
  <c r="G875" i="5" s="1"/>
  <c r="G876" i="5" s="1"/>
  <c r="G877" i="5" s="1"/>
  <c r="G878" i="5" s="1"/>
  <c r="G879" i="5" s="1"/>
  <c r="G880" i="5" s="1"/>
  <c r="G881" i="5" s="1"/>
  <c r="G882" i="5" s="1"/>
  <c r="G883" i="5" s="1"/>
  <c r="G884" i="5" s="1"/>
  <c r="G885" i="5" s="1"/>
  <c r="G886" i="5" s="1"/>
  <c r="G887" i="5" s="1"/>
  <c r="G888" i="5" s="1"/>
  <c r="G889" i="5" s="1"/>
  <c r="G890" i="5" s="1"/>
  <c r="G891" i="5" s="1"/>
  <c r="G892" i="5" s="1"/>
  <c r="G893" i="5" s="1"/>
  <c r="G894" i="5" s="1"/>
  <c r="G895" i="5" s="1"/>
  <c r="G896" i="5" s="1"/>
  <c r="G897" i="5" s="1"/>
  <c r="G898" i="5" s="1"/>
  <c r="G899" i="5" s="1"/>
  <c r="G900" i="5" s="1"/>
  <c r="G901" i="5" s="1"/>
  <c r="G902" i="5" s="1"/>
  <c r="G903" i="5" s="1"/>
  <c r="G904" i="5" s="1"/>
  <c r="G905" i="5" s="1"/>
  <c r="G906" i="5" s="1"/>
  <c r="G907" i="5" s="1"/>
  <c r="G908" i="5" s="1"/>
  <c r="G909" i="5" s="1"/>
  <c r="G910" i="5" s="1"/>
  <c r="G911" i="5" s="1"/>
  <c r="G912" i="5" s="1"/>
  <c r="G913" i="5" s="1"/>
  <c r="G914" i="5" s="1"/>
  <c r="G915" i="5" s="1"/>
  <c r="G916" i="5" s="1"/>
  <c r="G917" i="5" s="1"/>
  <c r="G918" i="5" s="1"/>
  <c r="G919" i="5" s="1"/>
  <c r="G920" i="5" s="1"/>
  <c r="G921" i="5" s="1"/>
  <c r="G922" i="5" s="1"/>
  <c r="G923" i="5" s="1"/>
  <c r="G924" i="5" s="1"/>
  <c r="G925" i="5" s="1"/>
  <c r="G926" i="5" s="1"/>
  <c r="G927" i="5" s="1"/>
  <c r="G928" i="5" s="1"/>
  <c r="G929" i="5" s="1"/>
  <c r="G930" i="5" s="1"/>
  <c r="G931" i="5" s="1"/>
  <c r="G932" i="5" s="1"/>
  <c r="G933" i="5" s="1"/>
  <c r="G934" i="5" s="1"/>
  <c r="G935" i="5" s="1"/>
  <c r="G936" i="5" s="1"/>
  <c r="G937" i="5" s="1"/>
  <c r="G938" i="5" s="1"/>
  <c r="G939" i="5" s="1"/>
  <c r="G940" i="5" s="1"/>
  <c r="G941" i="5" s="1"/>
  <c r="G942" i="5" s="1"/>
  <c r="G943" i="5" s="1"/>
  <c r="G944" i="5" s="1"/>
  <c r="G945" i="5" s="1"/>
  <c r="G946" i="5" s="1"/>
  <c r="G947" i="5" s="1"/>
  <c r="G948" i="5" s="1"/>
  <c r="G949" i="5" s="1"/>
  <c r="G950" i="5" s="1"/>
  <c r="G951" i="5" s="1"/>
  <c r="G952" i="5" s="1"/>
  <c r="G953" i="5" s="1"/>
  <c r="G954" i="5" s="1"/>
  <c r="G955" i="5" s="1"/>
  <c r="G956" i="5" s="1"/>
  <c r="G957" i="5" s="1"/>
  <c r="G958" i="5" s="1"/>
  <c r="G959" i="5" s="1"/>
  <c r="G960" i="5" s="1"/>
  <c r="G961" i="5" s="1"/>
  <c r="G962" i="5" s="1"/>
  <c r="G963" i="5" s="1"/>
  <c r="G964" i="5" s="1"/>
  <c r="G965" i="5" s="1"/>
  <c r="G966" i="5" s="1"/>
  <c r="G967" i="5" s="1"/>
  <c r="G968" i="5" s="1"/>
  <c r="G969" i="5" s="1"/>
  <c r="G970" i="5" s="1"/>
  <c r="G971" i="5" s="1"/>
  <c r="G972" i="5" s="1"/>
  <c r="G973" i="5" s="1"/>
  <c r="G974" i="5" s="1"/>
  <c r="G975" i="5" s="1"/>
  <c r="G976" i="5" s="1"/>
  <c r="G977" i="5" s="1"/>
  <c r="G978" i="5" s="1"/>
  <c r="G979" i="5" s="1"/>
  <c r="G980" i="5" s="1"/>
  <c r="G981" i="5" s="1"/>
  <c r="G982" i="5" s="1"/>
  <c r="G983" i="5" s="1"/>
  <c r="G984" i="5" s="1"/>
  <c r="G985" i="5" s="1"/>
  <c r="G986" i="5" s="1"/>
  <c r="G987" i="5" s="1"/>
  <c r="G988" i="5" s="1"/>
  <c r="G989" i="5" s="1"/>
  <c r="G990" i="5" s="1"/>
  <c r="G991" i="5" s="1"/>
  <c r="G992" i="5" s="1"/>
  <c r="G993" i="5" s="1"/>
  <c r="G994" i="5" s="1"/>
  <c r="G995" i="5" s="1"/>
  <c r="G996" i="5" s="1"/>
  <c r="G997" i="5" s="1"/>
  <c r="G998" i="5" s="1"/>
  <c r="G999" i="5" s="1"/>
  <c r="G1000" i="5" s="1"/>
  <c r="G1001" i="5" s="1"/>
  <c r="G1002" i="5" s="1"/>
  <c r="G1003" i="5" s="1"/>
  <c r="G1004" i="5" s="1"/>
  <c r="G1005" i="5" s="1"/>
  <c r="G1006" i="5" s="1"/>
  <c r="G1007" i="5" s="1"/>
  <c r="G1008" i="5" s="1"/>
  <c r="G1009" i="5" s="1"/>
  <c r="G1010" i="5" s="1"/>
  <c r="G1011" i="5" s="1"/>
  <c r="G1012" i="5" s="1"/>
  <c r="G1013" i="5" s="1"/>
  <c r="G1014" i="5" s="1"/>
  <c r="G1015" i="5" s="1"/>
  <c r="G1016" i="5" s="1"/>
  <c r="G1017" i="5" s="1"/>
  <c r="G1018" i="5" s="1"/>
  <c r="G1019" i="5" s="1"/>
  <c r="G1020" i="5" s="1"/>
  <c r="G1021" i="5" s="1"/>
  <c r="G1022" i="5" s="1"/>
  <c r="G1023" i="5" s="1"/>
  <c r="G1024" i="5" s="1"/>
  <c r="G1025" i="5" s="1"/>
  <c r="G1026" i="5" s="1"/>
  <c r="G1027" i="5" s="1"/>
  <c r="G1028" i="5" s="1"/>
  <c r="G1029" i="5" s="1"/>
  <c r="G1030" i="5" s="1"/>
  <c r="G1031" i="5" s="1"/>
  <c r="G1032" i="5" s="1"/>
  <c r="G1033" i="5" s="1"/>
  <c r="G1034" i="5" s="1"/>
  <c r="G1035" i="5" s="1"/>
  <c r="G1036" i="5" s="1"/>
  <c r="G1037" i="5" s="1"/>
  <c r="G1038" i="5" s="1"/>
  <c r="G1039" i="5" s="1"/>
  <c r="G1040" i="5" s="1"/>
  <c r="G1041" i="5" s="1"/>
  <c r="G1042" i="5" s="1"/>
  <c r="G1043" i="5" s="1"/>
  <c r="G1044" i="5" s="1"/>
  <c r="G1045" i="5" s="1"/>
  <c r="G1046" i="5" s="1"/>
  <c r="G1047" i="5" s="1"/>
  <c r="G1048" i="5" s="1"/>
  <c r="G1049" i="5" s="1"/>
  <c r="G1050" i="5" s="1"/>
  <c r="G1051" i="5" s="1"/>
  <c r="G1052" i="5" s="1"/>
  <c r="G1053" i="5" s="1"/>
  <c r="G1054" i="5" s="1"/>
  <c r="G1055" i="5" s="1"/>
  <c r="G1056" i="5" s="1"/>
  <c r="G1057" i="5" s="1"/>
  <c r="G1058" i="5" s="1"/>
  <c r="G1059" i="5" s="1"/>
  <c r="G1060" i="5" s="1"/>
  <c r="G1061" i="5" s="1"/>
  <c r="G1062" i="5" s="1"/>
  <c r="G1063" i="5" s="1"/>
  <c r="G1064" i="5" s="1"/>
  <c r="G1065" i="5" s="1"/>
  <c r="G1066" i="5" s="1"/>
  <c r="G1067" i="5" s="1"/>
  <c r="G1068" i="5" s="1"/>
  <c r="G1069" i="5" s="1"/>
  <c r="G1070" i="5" s="1"/>
  <c r="G1071" i="5" s="1"/>
  <c r="G1072" i="5" s="1"/>
  <c r="G1073" i="5" s="1"/>
  <c r="G1074" i="5" s="1"/>
  <c r="G1075" i="5" s="1"/>
  <c r="G1076" i="5" s="1"/>
  <c r="G1077" i="5" s="1"/>
  <c r="G1078" i="5" s="1"/>
  <c r="G1079" i="5" s="1"/>
  <c r="G1080" i="5" s="1"/>
  <c r="G1081" i="5" s="1"/>
  <c r="G1082" i="5" s="1"/>
  <c r="G1083" i="5" s="1"/>
  <c r="G1084" i="5" s="1"/>
  <c r="G1085" i="5" s="1"/>
  <c r="G1086" i="5" s="1"/>
  <c r="G1087" i="5" s="1"/>
  <c r="G1088" i="5" s="1"/>
  <c r="G1089" i="5" s="1"/>
  <c r="G1090" i="5" s="1"/>
  <c r="G1091" i="5" s="1"/>
  <c r="G1092" i="5" s="1"/>
  <c r="G1093" i="5" s="1"/>
  <c r="G1094" i="5" s="1"/>
  <c r="G1095" i="5" s="1"/>
  <c r="G1096" i="5" s="1"/>
  <c r="G1097" i="5" s="1"/>
  <c r="G1098" i="5" s="1"/>
  <c r="G1099" i="5" s="1"/>
  <c r="G1100" i="5" s="1"/>
  <c r="G1101" i="5" s="1"/>
  <c r="G1102" i="5" s="1"/>
  <c r="G1103" i="5" s="1"/>
  <c r="G1104" i="5" s="1"/>
  <c r="G1105" i="5" s="1"/>
  <c r="G1106" i="5" s="1"/>
  <c r="G1107" i="5" s="1"/>
  <c r="G1108" i="5" s="1"/>
  <c r="G1109" i="5" s="1"/>
  <c r="G1110" i="5" s="1"/>
  <c r="G1111" i="5" s="1"/>
  <c r="G1112" i="5" s="1"/>
  <c r="G1113" i="5" s="1"/>
  <c r="G1114" i="5" s="1"/>
  <c r="G1115" i="5" s="1"/>
  <c r="G1116" i="5" s="1"/>
  <c r="G1117" i="5" s="1"/>
  <c r="G1118" i="5" s="1"/>
  <c r="G1119" i="5" s="1"/>
  <c r="G1120" i="5" s="1"/>
  <c r="G1121" i="5" s="1"/>
  <c r="G1122" i="5" s="1"/>
  <c r="G1123" i="5" s="1"/>
  <c r="G1124" i="5" s="1"/>
  <c r="G1125" i="5" s="1"/>
  <c r="G1126" i="5" s="1"/>
  <c r="G1127" i="5" s="1"/>
  <c r="G1128" i="5" s="1"/>
  <c r="G1129" i="5" s="1"/>
  <c r="G1130" i="5" s="1"/>
  <c r="G1131" i="5" s="1"/>
  <c r="G1132" i="5" s="1"/>
  <c r="G1133" i="5" s="1"/>
  <c r="G1134" i="5" s="1"/>
  <c r="G1135" i="5" s="1"/>
  <c r="G1136" i="5" s="1"/>
  <c r="G1137" i="5" s="1"/>
  <c r="G1138" i="5" s="1"/>
  <c r="G1139" i="5" s="1"/>
  <c r="G1140" i="5" s="1"/>
  <c r="G1141" i="5" s="1"/>
  <c r="G1142" i="5" s="1"/>
  <c r="G1143" i="5" s="1"/>
  <c r="G1144" i="5" s="1"/>
  <c r="G1145" i="5" s="1"/>
  <c r="G1146" i="5" s="1"/>
  <c r="G1147" i="5" s="1"/>
  <c r="G1148" i="5" s="1"/>
  <c r="G1149" i="5" s="1"/>
  <c r="G1150" i="5" s="1"/>
  <c r="G1151" i="5" s="1"/>
  <c r="G1152" i="5" s="1"/>
  <c r="G1153" i="5" s="1"/>
  <c r="G1154" i="5" s="1"/>
  <c r="G1155" i="5" s="1"/>
  <c r="G1156" i="5" s="1"/>
  <c r="G1157" i="5" s="1"/>
  <c r="G1158" i="5" s="1"/>
  <c r="G1159" i="5" s="1"/>
  <c r="G1160" i="5" s="1"/>
  <c r="G1161" i="5" s="1"/>
  <c r="G1162" i="5" s="1"/>
  <c r="G1163" i="5" s="1"/>
  <c r="G1164" i="5" s="1"/>
  <c r="G1165" i="5" s="1"/>
  <c r="G1166" i="5" s="1"/>
  <c r="G1167" i="5" s="1"/>
  <c r="G1168" i="5" s="1"/>
  <c r="G1169" i="5" s="1"/>
  <c r="G1170" i="5" s="1"/>
  <c r="G1171" i="5" s="1"/>
  <c r="G1172" i="5" s="1"/>
  <c r="G1173" i="5" s="1"/>
  <c r="G1174" i="5" s="1"/>
  <c r="G1175" i="5" s="1"/>
  <c r="G1176" i="5" s="1"/>
  <c r="G1177" i="5" s="1"/>
  <c r="G1178" i="5" s="1"/>
  <c r="G1179" i="5" s="1"/>
  <c r="G1180" i="5" s="1"/>
  <c r="G1181" i="5" s="1"/>
  <c r="G1182" i="5" s="1"/>
  <c r="G1183" i="5" s="1"/>
  <c r="G1184" i="5" s="1"/>
  <c r="G1185" i="5" s="1"/>
  <c r="G1186" i="5" s="1"/>
  <c r="G1187" i="5" s="1"/>
  <c r="G1188" i="5" s="1"/>
  <c r="G1189" i="5" s="1"/>
  <c r="G1190" i="5" s="1"/>
  <c r="G1191" i="5" s="1"/>
  <c r="G1192" i="5" s="1"/>
  <c r="G1193" i="5" s="1"/>
  <c r="G1194" i="5" s="1"/>
  <c r="G1195" i="5" s="1"/>
  <c r="G1196" i="5" s="1"/>
  <c r="G1197" i="5" s="1"/>
  <c r="G1198" i="5" s="1"/>
  <c r="G1199" i="5" s="1"/>
  <c r="G1200" i="5" s="1"/>
  <c r="G1201" i="5" s="1"/>
  <c r="G1202" i="5" s="1"/>
  <c r="G1203" i="5" s="1"/>
  <c r="G1204" i="5" s="1"/>
  <c r="G1205" i="5" s="1"/>
  <c r="G1206" i="5" s="1"/>
  <c r="G1207" i="5" s="1"/>
  <c r="G1208" i="5" s="1"/>
  <c r="G1209" i="5" s="1"/>
  <c r="G1210" i="5" s="1"/>
  <c r="G1211" i="5" s="1"/>
  <c r="G1212" i="5" s="1"/>
  <c r="G1213" i="5" s="1"/>
  <c r="G1214" i="5" s="1"/>
  <c r="G1215" i="5" s="1"/>
  <c r="G1216" i="5" s="1"/>
  <c r="G1217" i="5" s="1"/>
  <c r="G1218" i="5" s="1"/>
  <c r="G1219" i="5" s="1"/>
  <c r="G1220" i="5" s="1"/>
  <c r="G1221" i="5" s="1"/>
  <c r="G1222" i="5" s="1"/>
  <c r="G1223" i="5" s="1"/>
  <c r="G1224" i="5" s="1"/>
  <c r="G1225" i="5" s="1"/>
  <c r="G1226" i="5" s="1"/>
  <c r="G1227" i="5" s="1"/>
  <c r="G1228" i="5" s="1"/>
  <c r="G1229" i="5" s="1"/>
  <c r="G1230" i="5" s="1"/>
  <c r="G1231" i="5" s="1"/>
  <c r="G1232" i="5" s="1"/>
  <c r="G1233" i="5" s="1"/>
  <c r="G1234" i="5" s="1"/>
  <c r="G1235" i="5" s="1"/>
  <c r="G1236" i="5" s="1"/>
  <c r="G1237" i="5" s="1"/>
  <c r="G1238" i="5" s="1"/>
  <c r="G1239" i="5" s="1"/>
  <c r="G1240" i="5" s="1"/>
  <c r="G1241" i="5" s="1"/>
  <c r="G1242" i="5" s="1"/>
  <c r="G1243" i="5" s="1"/>
  <c r="G1244" i="5" s="1"/>
  <c r="G1245" i="5" s="1"/>
  <c r="G1246" i="5" s="1"/>
  <c r="G1247" i="5" s="1"/>
  <c r="G1248" i="5" s="1"/>
  <c r="G1249" i="5" s="1"/>
  <c r="G1250" i="5" s="1"/>
  <c r="G1251" i="5" s="1"/>
  <c r="G1252" i="5" s="1"/>
  <c r="G1253" i="5" s="1"/>
  <c r="G1254" i="5" s="1"/>
  <c r="G1255" i="5" s="1"/>
  <c r="G1256" i="5" s="1"/>
  <c r="G1257" i="5" s="1"/>
  <c r="G1258" i="5" s="1"/>
  <c r="G1259" i="5" s="1"/>
  <c r="G1260" i="5" s="1"/>
  <c r="G1261" i="5" s="1"/>
  <c r="G1262" i="5" s="1"/>
  <c r="G1263" i="5" s="1"/>
  <c r="G1264" i="5" s="1"/>
  <c r="G1265" i="5" s="1"/>
  <c r="G1266" i="5" s="1"/>
  <c r="G1267" i="5" s="1"/>
  <c r="G1268" i="5" s="1"/>
  <c r="G1269" i="5" s="1"/>
  <c r="G1270" i="5" s="1"/>
  <c r="G1271" i="5" s="1"/>
  <c r="G1272" i="5" s="1"/>
  <c r="G1273" i="5" s="1"/>
  <c r="G1274" i="5" s="1"/>
  <c r="G1275" i="5" s="1"/>
  <c r="G1276" i="5" s="1"/>
  <c r="G1277" i="5" s="1"/>
  <c r="G1278" i="5" s="1"/>
  <c r="G1279" i="5" s="1"/>
  <c r="G1280" i="5" s="1"/>
  <c r="G1281" i="5" s="1"/>
  <c r="G1282" i="5" s="1"/>
  <c r="G1283" i="5" s="1"/>
  <c r="G1284" i="5" s="1"/>
  <c r="G1285" i="5" s="1"/>
  <c r="G1286" i="5" s="1"/>
  <c r="G1287" i="5" s="1"/>
  <c r="G1288" i="5" s="1"/>
  <c r="G1289" i="5" s="1"/>
  <c r="G1290" i="5" s="1"/>
  <c r="G1291" i="5" s="1"/>
  <c r="G1292" i="5" s="1"/>
  <c r="G1293" i="5" s="1"/>
  <c r="G1294" i="5" s="1"/>
  <c r="G1295" i="5" s="1"/>
  <c r="G1296" i="5" s="1"/>
  <c r="G1297" i="5" s="1"/>
  <c r="G1298" i="5" s="1"/>
  <c r="G1299" i="5" s="1"/>
  <c r="G1300" i="5" s="1"/>
  <c r="G1301" i="5" s="1"/>
  <c r="G1302" i="5" s="1"/>
  <c r="G1303" i="5" s="1"/>
  <c r="G1304" i="5" s="1"/>
  <c r="G1305" i="5" s="1"/>
  <c r="G1306" i="5" s="1"/>
  <c r="G1307" i="5" s="1"/>
  <c r="G1308" i="5" s="1"/>
  <c r="G1309" i="5" s="1"/>
  <c r="G1310" i="5" s="1"/>
  <c r="G1311" i="5" s="1"/>
  <c r="G1312" i="5" s="1"/>
  <c r="G1313" i="5" s="1"/>
  <c r="G1314" i="5" s="1"/>
  <c r="G1315" i="5" s="1"/>
  <c r="G1316" i="5" s="1"/>
  <c r="G1317" i="5" s="1"/>
  <c r="G1318" i="5" s="1"/>
  <c r="G1319" i="5" s="1"/>
  <c r="G1320" i="5" s="1"/>
  <c r="G1321" i="5" s="1"/>
  <c r="G1322" i="5" s="1"/>
  <c r="G1323" i="5" s="1"/>
  <c r="G1324" i="5" s="1"/>
  <c r="G1325" i="5" s="1"/>
  <c r="G1326" i="5" s="1"/>
  <c r="G1327" i="5" s="1"/>
  <c r="G1328" i="5" s="1"/>
  <c r="G1329" i="5" s="1"/>
  <c r="G1330" i="5" s="1"/>
  <c r="G1331" i="5" s="1"/>
  <c r="G1332" i="5" s="1"/>
  <c r="G1333" i="5" s="1"/>
  <c r="G1334" i="5" s="1"/>
  <c r="G1335" i="5" s="1"/>
  <c r="G1336" i="5" s="1"/>
  <c r="G1337" i="5" s="1"/>
  <c r="G1338" i="5" s="1"/>
  <c r="G1339" i="5" s="1"/>
  <c r="G1340" i="5" s="1"/>
  <c r="G1341" i="5" s="1"/>
  <c r="G1342" i="5" s="1"/>
  <c r="G1343" i="5" s="1"/>
  <c r="G1344" i="5" s="1"/>
  <c r="G1345" i="5" s="1"/>
  <c r="G1346" i="5" s="1"/>
  <c r="G1347" i="5" s="1"/>
  <c r="G1348" i="5" s="1"/>
  <c r="G1349" i="5" s="1"/>
  <c r="G1350" i="5" s="1"/>
  <c r="G1351" i="5" s="1"/>
  <c r="G1352" i="5" s="1"/>
  <c r="G1353" i="5" s="1"/>
  <c r="G1354" i="5" s="1"/>
  <c r="G1355" i="5" s="1"/>
  <c r="G1356" i="5" s="1"/>
  <c r="G1357" i="5" s="1"/>
  <c r="G1358" i="5" s="1"/>
  <c r="G1359" i="5" s="1"/>
  <c r="G1360" i="5" s="1"/>
  <c r="G1361" i="5" s="1"/>
  <c r="G1362" i="5" s="1"/>
  <c r="G1363" i="5" s="1"/>
  <c r="G1364" i="5" s="1"/>
  <c r="G1365" i="5" s="1"/>
  <c r="G1366" i="5" s="1"/>
  <c r="G1367" i="5" s="1"/>
  <c r="G1368" i="5" s="1"/>
  <c r="G1369" i="5" s="1"/>
  <c r="G1370" i="5" s="1"/>
  <c r="G1371" i="5" s="1"/>
  <c r="G1372" i="5" s="1"/>
  <c r="G1373" i="5" s="1"/>
  <c r="G1374" i="5" s="1"/>
  <c r="G1375" i="5" s="1"/>
  <c r="G1376" i="5" s="1"/>
  <c r="G1377" i="5" s="1"/>
  <c r="G1378" i="5" s="1"/>
  <c r="G1379" i="5" s="1"/>
  <c r="G1380" i="5" s="1"/>
  <c r="G1381" i="5" s="1"/>
  <c r="G1382" i="5" s="1"/>
  <c r="G1383" i="5" s="1"/>
  <c r="G1384" i="5" s="1"/>
  <c r="G1385" i="5" s="1"/>
  <c r="G1386" i="5" s="1"/>
  <c r="G1387" i="5" s="1"/>
  <c r="G1388" i="5" s="1"/>
  <c r="G1389" i="5" s="1"/>
  <c r="G1390" i="5" s="1"/>
  <c r="G1391" i="5" s="1"/>
  <c r="G1392" i="5" s="1"/>
  <c r="G1393" i="5" s="1"/>
  <c r="G1394" i="5" s="1"/>
  <c r="G1395" i="5" s="1"/>
  <c r="G1396" i="5" s="1"/>
  <c r="G1397" i="5" s="1"/>
  <c r="G1398" i="5" s="1"/>
  <c r="G1399" i="5" s="1"/>
  <c r="G1400" i="5" s="1"/>
  <c r="G1401" i="5" s="1"/>
  <c r="G1402" i="5" s="1"/>
  <c r="G1403" i="5" s="1"/>
  <c r="G1404" i="5" s="1"/>
  <c r="G1405" i="5" s="1"/>
  <c r="G1406" i="5" s="1"/>
  <c r="G1407" i="5" s="1"/>
  <c r="G1408" i="5" s="1"/>
  <c r="G1409" i="5" s="1"/>
  <c r="G1410" i="5" s="1"/>
  <c r="G1411" i="5" s="1"/>
  <c r="G1412" i="5" s="1"/>
  <c r="G1413" i="5" s="1"/>
  <c r="G1414" i="5" s="1"/>
  <c r="G1415" i="5" s="1"/>
  <c r="G1416" i="5" s="1"/>
  <c r="G1417" i="5" s="1"/>
  <c r="G1418" i="5" s="1"/>
  <c r="G1419" i="5" s="1"/>
  <c r="G1420" i="5" s="1"/>
  <c r="G1421" i="5" s="1"/>
  <c r="G1422" i="5" s="1"/>
  <c r="G1423" i="5" s="1"/>
  <c r="G1424" i="5" s="1"/>
  <c r="G1425" i="5" s="1"/>
  <c r="G1426" i="5" s="1"/>
  <c r="G1427" i="5" s="1"/>
  <c r="G1428" i="5" s="1"/>
  <c r="G1429" i="5" s="1"/>
  <c r="G1430" i="5" s="1"/>
  <c r="G1431" i="5" s="1"/>
  <c r="G1432" i="5" s="1"/>
  <c r="G1433" i="5" s="1"/>
  <c r="G1434" i="5" s="1"/>
  <c r="G1435" i="5" s="1"/>
  <c r="G1436" i="5" s="1"/>
  <c r="G1437" i="5" s="1"/>
  <c r="G1438" i="5" s="1"/>
  <c r="G1439" i="5" s="1"/>
  <c r="G1440" i="5" s="1"/>
  <c r="G1441" i="5" s="1"/>
  <c r="G1442" i="5" s="1"/>
  <c r="G1443" i="5" s="1"/>
  <c r="G1444" i="5" s="1"/>
  <c r="G1445" i="5" s="1"/>
  <c r="G1446" i="5" s="1"/>
  <c r="G1447" i="5" s="1"/>
  <c r="G1448" i="5" s="1"/>
  <c r="G1449" i="5" s="1"/>
  <c r="G1450" i="5" s="1"/>
  <c r="G1451" i="5" s="1"/>
  <c r="G1452" i="5" s="1"/>
  <c r="G1453" i="5" s="1"/>
  <c r="G1454" i="5" s="1"/>
  <c r="G1455" i="5" s="1"/>
  <c r="G1456" i="5" s="1"/>
  <c r="G1457" i="5" s="1"/>
  <c r="G1458" i="5" s="1"/>
  <c r="G1459" i="5" s="1"/>
  <c r="G1460" i="5" s="1"/>
  <c r="G1461" i="5" s="1"/>
  <c r="G1462" i="5" s="1"/>
  <c r="G1463" i="5" s="1"/>
  <c r="G1464" i="5" s="1"/>
  <c r="G1465" i="5" s="1"/>
  <c r="G1466" i="5" s="1"/>
  <c r="G1467" i="5" s="1"/>
  <c r="G1468" i="5" s="1"/>
  <c r="G1469" i="5" s="1"/>
  <c r="G1470" i="5" s="1"/>
  <c r="G1471" i="5" s="1"/>
  <c r="G1472" i="5" s="1"/>
  <c r="G1473" i="5" s="1"/>
  <c r="G1474" i="5" s="1"/>
  <c r="G1475" i="5" s="1"/>
  <c r="G1476" i="5" s="1"/>
  <c r="G1477" i="5" s="1"/>
  <c r="G1478" i="5" s="1"/>
  <c r="G1479" i="5" s="1"/>
  <c r="G1480" i="5" s="1"/>
  <c r="G1481" i="5" s="1"/>
  <c r="G1482" i="5" s="1"/>
  <c r="G1483" i="5" s="1"/>
  <c r="G1484" i="5" s="1"/>
  <c r="G1485" i="5" s="1"/>
  <c r="G1486" i="5" s="1"/>
  <c r="G1487" i="5" s="1"/>
  <c r="G1488" i="5" s="1"/>
  <c r="G1489" i="5" s="1"/>
  <c r="G1490" i="5" s="1"/>
  <c r="G1491" i="5" s="1"/>
  <c r="G1492" i="5" s="1"/>
  <c r="G1493" i="5" s="1"/>
  <c r="G1494" i="5" s="1"/>
  <c r="G1495" i="5" s="1"/>
  <c r="G1496" i="5" s="1"/>
  <c r="G1497" i="5" s="1"/>
  <c r="G1498" i="5" s="1"/>
  <c r="G1499" i="5" s="1"/>
  <c r="G1500" i="5" s="1"/>
  <c r="G1501" i="5" s="1"/>
  <c r="G1502" i="5" s="1"/>
  <c r="G1503" i="5" s="1"/>
  <c r="G1504" i="5" s="1"/>
  <c r="G1505" i="5" s="1"/>
  <c r="G1506" i="5" s="1"/>
  <c r="G1507" i="5" s="1"/>
  <c r="G1508" i="5" s="1"/>
  <c r="G1509" i="5" s="1"/>
  <c r="G1510" i="5" s="1"/>
  <c r="G1511" i="5" s="1"/>
  <c r="G1512" i="5" s="1"/>
  <c r="G1513" i="5" s="1"/>
  <c r="G1514" i="5" s="1"/>
  <c r="G1515" i="5" s="1"/>
  <c r="G1516" i="5" s="1"/>
  <c r="G1517" i="5" s="1"/>
  <c r="G1518" i="5" s="1"/>
  <c r="G1519" i="5" s="1"/>
  <c r="G1520" i="5" s="1"/>
  <c r="G1521" i="5" s="1"/>
  <c r="G1522" i="5" s="1"/>
  <c r="G1523" i="5" s="1"/>
  <c r="G1524" i="5" s="1"/>
  <c r="G1525" i="5" s="1"/>
  <c r="G1526" i="5" s="1"/>
  <c r="G1527" i="5" s="1"/>
  <c r="G1528" i="5" s="1"/>
  <c r="G1529" i="5" s="1"/>
  <c r="G1530" i="5" s="1"/>
  <c r="G1531" i="5" s="1"/>
  <c r="G1532" i="5" s="1"/>
  <c r="G1533" i="5" s="1"/>
  <c r="G1534" i="5" s="1"/>
  <c r="G1535" i="5" s="1"/>
  <c r="G1536" i="5" s="1"/>
  <c r="G1537" i="5" s="1"/>
  <c r="G1538" i="5" s="1"/>
  <c r="G1539" i="5" s="1"/>
  <c r="G1540" i="5" s="1"/>
  <c r="G1541" i="5" s="1"/>
  <c r="G1542" i="5" s="1"/>
  <c r="G1543" i="5" s="1"/>
  <c r="G1544" i="5" s="1"/>
  <c r="G1545" i="5" s="1"/>
  <c r="G1546" i="5" s="1"/>
  <c r="G1547" i="5" s="1"/>
  <c r="G1548" i="5" s="1"/>
  <c r="G1549" i="5" s="1"/>
  <c r="G1550" i="5" s="1"/>
  <c r="G1551" i="5" s="1"/>
  <c r="G1552" i="5" s="1"/>
  <c r="G1553" i="5" s="1"/>
  <c r="G1554" i="5" s="1"/>
  <c r="G1555" i="5" s="1"/>
  <c r="G1556" i="5" s="1"/>
  <c r="G1557" i="5" s="1"/>
  <c r="G1558" i="5" s="1"/>
  <c r="G1559" i="5" s="1"/>
  <c r="G1560" i="5" s="1"/>
  <c r="G1561" i="5" s="1"/>
  <c r="G1562" i="5" s="1"/>
  <c r="G1563" i="5" s="1"/>
  <c r="G1564" i="5" s="1"/>
  <c r="G1565" i="5" s="1"/>
  <c r="G1566" i="5" s="1"/>
  <c r="G1567" i="5" s="1"/>
  <c r="G1568" i="5" s="1"/>
  <c r="G1569" i="5" s="1"/>
  <c r="G1570" i="5" s="1"/>
  <c r="G1571" i="5" s="1"/>
  <c r="G1572" i="5" s="1"/>
  <c r="G1573" i="5" s="1"/>
  <c r="G1574" i="5" s="1"/>
  <c r="G1575" i="5" s="1"/>
  <c r="G1576" i="5" s="1"/>
  <c r="G1577" i="5" s="1"/>
  <c r="G1578" i="5" s="1"/>
  <c r="G1579" i="5" s="1"/>
  <c r="G1580" i="5" s="1"/>
  <c r="G1581" i="5" s="1"/>
  <c r="G1582" i="5" s="1"/>
  <c r="G1583" i="5" s="1"/>
  <c r="G1584" i="5" s="1"/>
  <c r="G1585" i="5" s="1"/>
  <c r="G1586" i="5" s="1"/>
  <c r="G1587" i="5" s="1"/>
  <c r="G1588" i="5" s="1"/>
  <c r="G1589" i="5" s="1"/>
  <c r="G1590" i="5" s="1"/>
  <c r="G1591" i="5" s="1"/>
  <c r="G1592" i="5" s="1"/>
  <c r="G1593" i="5" s="1"/>
  <c r="G1594" i="5" s="1"/>
  <c r="G1595" i="5" s="1"/>
  <c r="G1596" i="5" s="1"/>
  <c r="G1597" i="5" s="1"/>
  <c r="G1598" i="5" s="1"/>
  <c r="G1599" i="5" s="1"/>
  <c r="G1600" i="5" s="1"/>
  <c r="G1601" i="5" s="1"/>
  <c r="G1602" i="5" s="1"/>
  <c r="G1603" i="5" s="1"/>
  <c r="G1604" i="5" s="1"/>
  <c r="G1605" i="5" s="1"/>
  <c r="G1606" i="5" s="1"/>
  <c r="G1607" i="5" s="1"/>
  <c r="G1608" i="5" s="1"/>
  <c r="G1609" i="5" s="1"/>
  <c r="G1610" i="5" s="1"/>
  <c r="G1611" i="5" s="1"/>
  <c r="G1612" i="5" s="1"/>
  <c r="G1613" i="5" s="1"/>
  <c r="G1614" i="5" s="1"/>
  <c r="G1615" i="5" s="1"/>
  <c r="G1616" i="5" s="1"/>
  <c r="G1617" i="5" s="1"/>
  <c r="G1618" i="5" s="1"/>
  <c r="G1619" i="5" s="1"/>
  <c r="G1620" i="5" s="1"/>
  <c r="G1621" i="5" s="1"/>
  <c r="G1622" i="5" s="1"/>
  <c r="G1623" i="5" s="1"/>
  <c r="G1624" i="5" s="1"/>
  <c r="G1625" i="5" s="1"/>
  <c r="G1626" i="5" s="1"/>
  <c r="G1627" i="5" s="1"/>
  <c r="G1628" i="5" s="1"/>
  <c r="G1629" i="5" s="1"/>
  <c r="G1630" i="5" s="1"/>
  <c r="G1631" i="5" s="1"/>
  <c r="G1632" i="5" s="1"/>
  <c r="G1633" i="5" s="1"/>
  <c r="G1634" i="5" s="1"/>
  <c r="G1635" i="5" s="1"/>
  <c r="G1636" i="5" s="1"/>
  <c r="G1637" i="5" s="1"/>
  <c r="G1638" i="5" s="1"/>
  <c r="G1639" i="5" s="1"/>
  <c r="G1640" i="5" s="1"/>
  <c r="G1641" i="5" s="1"/>
  <c r="G1642" i="5" s="1"/>
  <c r="G1643" i="5" s="1"/>
  <c r="G1644" i="5" s="1"/>
  <c r="G1645" i="5" s="1"/>
  <c r="G1646" i="5" s="1"/>
  <c r="G1647" i="5" s="1"/>
  <c r="G1648" i="5" s="1"/>
  <c r="G1649" i="5" s="1"/>
  <c r="G1650" i="5" s="1"/>
  <c r="G1651" i="5" s="1"/>
  <c r="G1652" i="5" s="1"/>
  <c r="G1653" i="5" s="1"/>
  <c r="G1654" i="5" s="1"/>
  <c r="G1655" i="5" s="1"/>
  <c r="G1656" i="5" s="1"/>
  <c r="G1657" i="5" s="1"/>
  <c r="G1658" i="5" s="1"/>
  <c r="G1659" i="5" s="1"/>
  <c r="G1660" i="5" s="1"/>
  <c r="G1661" i="5" s="1"/>
  <c r="G1662" i="5" s="1"/>
  <c r="G1663" i="5" s="1"/>
  <c r="G1664" i="5" s="1"/>
  <c r="G1665" i="5" s="1"/>
  <c r="G1666" i="5" s="1"/>
  <c r="G1667" i="5" s="1"/>
  <c r="G1668" i="5" s="1"/>
  <c r="G1669" i="5" s="1"/>
  <c r="G1670" i="5" s="1"/>
  <c r="G1671" i="5" s="1"/>
  <c r="G1672" i="5" s="1"/>
  <c r="G1673" i="5" s="1"/>
  <c r="G1674" i="5" s="1"/>
  <c r="G1675" i="5" s="1"/>
  <c r="G1676" i="5" s="1"/>
  <c r="G1677" i="5" s="1"/>
  <c r="G1678" i="5" s="1"/>
  <c r="G1679" i="5" s="1"/>
  <c r="G1680" i="5" s="1"/>
  <c r="G1681" i="5" s="1"/>
  <c r="G1682" i="5" s="1"/>
  <c r="G1683" i="5" s="1"/>
  <c r="G1684" i="5" s="1"/>
  <c r="G1685" i="5" s="1"/>
  <c r="G1686" i="5" s="1"/>
  <c r="G1687" i="5" s="1"/>
  <c r="G1688" i="5" s="1"/>
  <c r="G1689" i="5" s="1"/>
  <c r="G1690" i="5" s="1"/>
  <c r="G1691" i="5" s="1"/>
  <c r="G1692" i="5" s="1"/>
  <c r="G1693" i="5" s="1"/>
  <c r="G1694" i="5" s="1"/>
  <c r="G1695" i="5" s="1"/>
  <c r="G1696" i="5" s="1"/>
  <c r="G1697" i="5" s="1"/>
  <c r="G1698" i="5" s="1"/>
  <c r="G1699" i="5" s="1"/>
  <c r="G1700" i="5" s="1"/>
  <c r="G1701" i="5" s="1"/>
  <c r="G1702" i="5" s="1"/>
  <c r="G1703" i="5" s="1"/>
  <c r="G1704" i="5" s="1"/>
  <c r="G1705" i="5" s="1"/>
  <c r="G1706" i="5" s="1"/>
  <c r="G1707" i="5" s="1"/>
  <c r="G1708" i="5" s="1"/>
  <c r="G1709" i="5" s="1"/>
  <c r="G1710" i="5" s="1"/>
  <c r="G1711" i="5" s="1"/>
  <c r="G1712" i="5" s="1"/>
  <c r="G1713" i="5" s="1"/>
  <c r="G1714" i="5" s="1"/>
  <c r="G1715" i="5" s="1"/>
  <c r="G1716" i="5" s="1"/>
  <c r="G1717" i="5" s="1"/>
  <c r="G1718" i="5" s="1"/>
  <c r="G1719" i="5" s="1"/>
  <c r="G1720" i="5" s="1"/>
  <c r="G1721" i="5" s="1"/>
  <c r="G1722" i="5" s="1"/>
  <c r="G1723" i="5" s="1"/>
  <c r="G1724" i="5" s="1"/>
  <c r="G1725" i="5" s="1"/>
  <c r="G1726" i="5" s="1"/>
  <c r="G1727" i="5" s="1"/>
  <c r="G1728" i="5" s="1"/>
  <c r="G1729" i="5" s="1"/>
  <c r="G1730" i="5" s="1"/>
  <c r="G1731" i="5" s="1"/>
  <c r="G1732" i="5" s="1"/>
  <c r="G1733" i="5" s="1"/>
  <c r="G1734" i="5" s="1"/>
  <c r="G1735" i="5" s="1"/>
  <c r="G1736" i="5" s="1"/>
  <c r="G1737" i="5" s="1"/>
  <c r="G1738" i="5" s="1"/>
  <c r="G1739" i="5" s="1"/>
  <c r="G1740" i="5" s="1"/>
  <c r="G1741" i="5" s="1"/>
  <c r="G1742" i="5" s="1"/>
  <c r="G1743" i="5" s="1"/>
  <c r="G1744" i="5" s="1"/>
  <c r="G1745" i="5" s="1"/>
  <c r="G1746" i="5" s="1"/>
  <c r="G1747" i="5" s="1"/>
  <c r="G1748" i="5" s="1"/>
  <c r="G1749" i="5" s="1"/>
  <c r="G1750" i="5" s="1"/>
  <c r="G1751" i="5" s="1"/>
  <c r="G1752" i="5" s="1"/>
  <c r="G1753" i="5" s="1"/>
  <c r="G1754" i="5" s="1"/>
  <c r="G1755" i="5" s="1"/>
  <c r="G1756" i="5" s="1"/>
  <c r="G1757" i="5" s="1"/>
  <c r="G1758" i="5" s="1"/>
  <c r="G1759" i="5" s="1"/>
  <c r="G1760" i="5" s="1"/>
  <c r="G1761" i="5" s="1"/>
  <c r="G1762" i="5" s="1"/>
  <c r="G1763" i="5" s="1"/>
  <c r="G1764" i="5" s="1"/>
  <c r="G1765" i="5" s="1"/>
  <c r="G1766" i="5" s="1"/>
  <c r="G1767" i="5" s="1"/>
  <c r="G1768" i="5" s="1"/>
  <c r="G1769" i="5" s="1"/>
  <c r="G1770" i="5" s="1"/>
  <c r="G1771" i="5" s="1"/>
  <c r="G1772" i="5" s="1"/>
  <c r="G1773" i="5" s="1"/>
  <c r="G1774" i="5" s="1"/>
  <c r="G1775" i="5" s="1"/>
  <c r="G1776" i="5" s="1"/>
  <c r="G1777" i="5" s="1"/>
  <c r="G1778" i="5" s="1"/>
  <c r="G1779" i="5" s="1"/>
  <c r="G1780" i="5" s="1"/>
  <c r="G1781" i="5" s="1"/>
  <c r="G1782" i="5" s="1"/>
  <c r="G1783" i="5" s="1"/>
  <c r="G1784" i="5" s="1"/>
  <c r="G1785" i="5" s="1"/>
  <c r="G1786" i="5" s="1"/>
  <c r="G1787" i="5" s="1"/>
  <c r="G1788" i="5" s="1"/>
  <c r="G1789" i="5" s="1"/>
  <c r="G1790" i="5" s="1"/>
  <c r="G1791" i="5" s="1"/>
  <c r="G1792" i="5" s="1"/>
  <c r="G1793" i="5" s="1"/>
  <c r="G1794" i="5" s="1"/>
  <c r="G1795" i="5" s="1"/>
  <c r="G1796" i="5" s="1"/>
  <c r="G1797" i="5" s="1"/>
  <c r="G1798" i="5" s="1"/>
  <c r="G1799" i="5" s="1"/>
  <c r="G1800" i="5" s="1"/>
  <c r="G1801" i="5" s="1"/>
  <c r="G1802" i="5" s="1"/>
  <c r="G1803" i="5" s="1"/>
  <c r="G1804" i="5" s="1"/>
  <c r="G1805" i="5" s="1"/>
  <c r="G1806" i="5" s="1"/>
  <c r="G1807" i="5" s="1"/>
  <c r="G1808" i="5" s="1"/>
  <c r="G1809" i="5" s="1"/>
  <c r="G1810" i="5" s="1"/>
  <c r="G1811" i="5" s="1"/>
  <c r="G1812" i="5" s="1"/>
  <c r="G1813" i="5" s="1"/>
  <c r="G1814" i="5" s="1"/>
  <c r="G1815" i="5" s="1"/>
  <c r="G1816" i="5" s="1"/>
  <c r="G1817" i="5" s="1"/>
  <c r="G1818" i="5" s="1"/>
  <c r="G1819" i="5" s="1"/>
  <c r="G1820" i="5" s="1"/>
  <c r="G1821" i="5" s="1"/>
  <c r="G1822" i="5" s="1"/>
  <c r="G1823" i="5" s="1"/>
  <c r="G1824" i="5" s="1"/>
  <c r="G1825" i="5" s="1"/>
  <c r="G1826" i="5" s="1"/>
  <c r="G1827" i="5" s="1"/>
  <c r="G1828" i="5" s="1"/>
  <c r="G1829" i="5" s="1"/>
  <c r="G1830" i="5" s="1"/>
  <c r="G1831" i="5" s="1"/>
  <c r="G1832" i="5" s="1"/>
  <c r="G1833" i="5" s="1"/>
  <c r="G1834" i="5" s="1"/>
  <c r="G1835" i="5" s="1"/>
  <c r="G1836" i="5" s="1"/>
  <c r="G1837" i="5" s="1"/>
  <c r="G1838" i="5" s="1"/>
  <c r="G1839" i="5" s="1"/>
  <c r="G1840" i="5" s="1"/>
  <c r="G1841" i="5" s="1"/>
  <c r="G1842" i="5" s="1"/>
  <c r="G1843" i="5" s="1"/>
  <c r="G1844" i="5" s="1"/>
  <c r="G1845" i="5" s="1"/>
  <c r="G1846" i="5" s="1"/>
  <c r="G1847" i="5" s="1"/>
  <c r="G1848" i="5" s="1"/>
  <c r="G1849" i="5" s="1"/>
  <c r="G1850" i="5" s="1"/>
  <c r="G1851" i="5" s="1"/>
  <c r="G1852" i="5" s="1"/>
  <c r="G1853" i="5" s="1"/>
  <c r="G1854" i="5" s="1"/>
  <c r="G1855" i="5" s="1"/>
  <c r="G1856" i="5" s="1"/>
  <c r="G1857" i="5" s="1"/>
  <c r="G1858" i="5" s="1"/>
  <c r="G1859" i="5" s="1"/>
  <c r="G1860" i="5" s="1"/>
  <c r="G1861" i="5" s="1"/>
  <c r="G1862" i="5" s="1"/>
  <c r="G1863" i="5" s="1"/>
  <c r="G1864" i="5" s="1"/>
  <c r="G1865" i="5" s="1"/>
  <c r="G1866" i="5" s="1"/>
  <c r="G1867" i="5" s="1"/>
  <c r="G1868" i="5" s="1"/>
  <c r="G1869" i="5" s="1"/>
  <c r="G1870" i="5" s="1"/>
  <c r="G1871" i="5" s="1"/>
  <c r="G1872" i="5" s="1"/>
  <c r="G1873" i="5" s="1"/>
  <c r="G1874" i="5" s="1"/>
  <c r="G1875" i="5" s="1"/>
  <c r="G1876" i="5" s="1"/>
  <c r="G1877" i="5" s="1"/>
  <c r="G1878" i="5" s="1"/>
  <c r="G1879" i="5" s="1"/>
  <c r="G1880" i="5" s="1"/>
  <c r="G1881" i="5" s="1"/>
  <c r="G1882" i="5" s="1"/>
  <c r="G1883" i="5" s="1"/>
  <c r="G1884" i="5" s="1"/>
  <c r="G1885" i="5" s="1"/>
  <c r="G1886" i="5" s="1"/>
  <c r="G1887" i="5" s="1"/>
  <c r="G1888" i="5" s="1"/>
  <c r="G1889" i="5" s="1"/>
  <c r="G1890" i="5" s="1"/>
  <c r="G1891" i="5" s="1"/>
  <c r="G1892" i="5" s="1"/>
  <c r="G1893" i="5" s="1"/>
  <c r="G1894" i="5" s="1"/>
  <c r="G1895" i="5" s="1"/>
  <c r="G1896" i="5" s="1"/>
  <c r="G1897" i="5" s="1"/>
  <c r="G1898" i="5" s="1"/>
  <c r="G1899" i="5" s="1"/>
  <c r="G1900" i="5" s="1"/>
  <c r="G1901" i="5" s="1"/>
  <c r="G1902" i="5" s="1"/>
  <c r="G1903" i="5" s="1"/>
  <c r="G1904" i="5" s="1"/>
  <c r="G1905" i="5" s="1"/>
  <c r="G1906" i="5" s="1"/>
  <c r="G1907" i="5" s="1"/>
  <c r="G1908" i="5" s="1"/>
  <c r="G1909" i="5" s="1"/>
  <c r="G1910" i="5" s="1"/>
  <c r="G1911" i="5" s="1"/>
  <c r="G1912" i="5" s="1"/>
  <c r="G1913" i="5" s="1"/>
  <c r="G1914" i="5" s="1"/>
  <c r="G1915" i="5" s="1"/>
  <c r="G1916" i="5" s="1"/>
  <c r="G1917" i="5" s="1"/>
  <c r="G1918" i="5" s="1"/>
  <c r="G1919" i="5" s="1"/>
  <c r="G1920" i="5" s="1"/>
  <c r="G1921" i="5" s="1"/>
  <c r="G1922" i="5" s="1"/>
  <c r="G1923" i="5" s="1"/>
  <c r="G1924" i="5" s="1"/>
  <c r="G1925" i="5" s="1"/>
  <c r="G1926" i="5" s="1"/>
  <c r="G1927" i="5" s="1"/>
  <c r="G1928" i="5" s="1"/>
  <c r="G1929" i="5" s="1"/>
  <c r="G1930" i="5" s="1"/>
  <c r="G1931" i="5" s="1"/>
  <c r="G1932" i="5" s="1"/>
  <c r="G1933" i="5" s="1"/>
  <c r="G1934" i="5" s="1"/>
  <c r="G1935" i="5" s="1"/>
  <c r="G1936" i="5" s="1"/>
  <c r="G1937" i="5" s="1"/>
  <c r="G1938" i="5" s="1"/>
  <c r="G1939" i="5" s="1"/>
  <c r="G1940" i="5" s="1"/>
  <c r="G1941" i="5" s="1"/>
  <c r="G1942" i="5" s="1"/>
  <c r="G1943" i="5" s="1"/>
  <c r="G1944" i="5" s="1"/>
  <c r="G1945" i="5" s="1"/>
  <c r="G1946" i="5" s="1"/>
  <c r="G1947" i="5" s="1"/>
  <c r="G1948" i="5" s="1"/>
  <c r="G1949" i="5" s="1"/>
  <c r="G1950" i="5" s="1"/>
  <c r="G1951" i="5" s="1"/>
  <c r="G1952" i="5" s="1"/>
  <c r="G1953" i="5" s="1"/>
  <c r="G1954" i="5" s="1"/>
  <c r="G1955" i="5" s="1"/>
  <c r="G1956" i="5" s="1"/>
  <c r="G1957" i="5" s="1"/>
  <c r="G1958" i="5" s="1"/>
  <c r="G1959" i="5" s="1"/>
  <c r="G1960" i="5" s="1"/>
  <c r="G1961" i="5" s="1"/>
  <c r="G1962" i="5" s="1"/>
  <c r="G1963" i="5" s="1"/>
  <c r="G1964" i="5" s="1"/>
  <c r="G1965" i="5" s="1"/>
  <c r="G1966" i="5" s="1"/>
  <c r="G1967" i="5" s="1"/>
  <c r="G1968" i="5" s="1"/>
  <c r="G1969" i="5" s="1"/>
  <c r="G1970" i="5" s="1"/>
  <c r="G1971" i="5" s="1"/>
  <c r="G1972" i="5" s="1"/>
  <c r="G1973" i="5" s="1"/>
  <c r="G1974" i="5" s="1"/>
  <c r="G1975" i="5" s="1"/>
  <c r="G1976" i="5" s="1"/>
  <c r="G1977" i="5" s="1"/>
  <c r="G1978" i="5" s="1"/>
  <c r="G1979" i="5" s="1"/>
  <c r="G1980" i="5" s="1"/>
  <c r="G1981" i="5" s="1"/>
  <c r="G1982" i="5" s="1"/>
  <c r="G1983" i="5" s="1"/>
  <c r="G1984" i="5" s="1"/>
  <c r="G1985" i="5" s="1"/>
  <c r="G1986" i="5" s="1"/>
  <c r="G1987" i="5" s="1"/>
  <c r="G1988" i="5" s="1"/>
  <c r="G1989" i="5" s="1"/>
  <c r="G1990" i="5" s="1"/>
  <c r="G1991" i="5" s="1"/>
  <c r="G1992" i="5" s="1"/>
  <c r="G1993" i="5" s="1"/>
  <c r="G1994" i="5" s="1"/>
  <c r="G1995" i="5" s="1"/>
  <c r="G1996" i="5" s="1"/>
  <c r="G1997" i="5" s="1"/>
  <c r="G1998" i="5" s="1"/>
  <c r="G1999" i="5" s="1"/>
  <c r="G2000" i="5" s="1"/>
  <c r="G2001" i="5" s="1"/>
  <c r="G2002" i="5" s="1"/>
  <c r="G2003" i="5" s="1"/>
  <c r="G2004" i="5" s="1"/>
  <c r="G2005" i="5" s="1"/>
  <c r="G2006" i="5" s="1"/>
  <c r="G2007" i="5" s="1"/>
  <c r="G2008" i="5" s="1"/>
  <c r="G2009" i="5" s="1"/>
  <c r="G2010" i="5" s="1"/>
  <c r="G2011" i="5" s="1"/>
  <c r="G2012" i="5" s="1"/>
  <c r="G2013" i="5" s="1"/>
  <c r="G2014" i="5" s="1"/>
  <c r="G2015" i="5" s="1"/>
  <c r="G2016" i="5" s="1"/>
  <c r="G2017" i="5" s="1"/>
  <c r="G2018" i="5" s="1"/>
  <c r="G2019" i="5" s="1"/>
  <c r="G2020" i="5" s="1"/>
  <c r="G2021" i="5" s="1"/>
  <c r="G2022" i="5" s="1"/>
  <c r="G2023" i="5" s="1"/>
  <c r="G2024" i="5" s="1"/>
  <c r="G2025" i="5" s="1"/>
  <c r="G2026" i="5" s="1"/>
  <c r="G2027" i="5" s="1"/>
  <c r="G2028" i="5" s="1"/>
  <c r="G2029" i="5" s="1"/>
  <c r="G2030" i="5" s="1"/>
  <c r="G2031" i="5" s="1"/>
  <c r="G2032" i="5" s="1"/>
  <c r="G2033" i="5" s="1"/>
  <c r="G2034" i="5" s="1"/>
  <c r="G2035" i="5" s="1"/>
  <c r="G2036" i="5" s="1"/>
  <c r="G2037" i="5" s="1"/>
  <c r="G2038" i="5" s="1"/>
  <c r="G2039" i="5" s="1"/>
  <c r="G2040" i="5" s="1"/>
  <c r="G2041" i="5" s="1"/>
  <c r="G2042" i="5" s="1"/>
  <c r="G2043" i="5" s="1"/>
  <c r="G2044" i="5" s="1"/>
  <c r="G2045" i="5" s="1"/>
  <c r="G2046" i="5" s="1"/>
  <c r="G2047" i="5" s="1"/>
  <c r="G2048" i="5" s="1"/>
  <c r="G2049" i="5" s="1"/>
  <c r="G2050" i="5" s="1"/>
  <c r="G2051" i="5" s="1"/>
  <c r="G2052" i="5" s="1"/>
  <c r="G2053" i="5" s="1"/>
  <c r="G2054" i="5" s="1"/>
  <c r="G2055" i="5" s="1"/>
  <c r="G2056" i="5" s="1"/>
  <c r="G2057" i="5" s="1"/>
  <c r="G2058" i="5" s="1"/>
  <c r="G2059" i="5" s="1"/>
  <c r="G2060" i="5" s="1"/>
  <c r="G2061" i="5" s="1"/>
  <c r="G2062" i="5" s="1"/>
  <c r="G2063" i="5" s="1"/>
  <c r="G2064" i="5" s="1"/>
  <c r="G2065" i="5" s="1"/>
  <c r="G2066" i="5" s="1"/>
  <c r="G2067" i="5" s="1"/>
  <c r="G2068" i="5" s="1"/>
  <c r="G2069" i="5" s="1"/>
  <c r="G2070" i="5" s="1"/>
  <c r="G2071" i="5" s="1"/>
  <c r="G2072" i="5" s="1"/>
  <c r="G2073" i="5" s="1"/>
  <c r="G2074" i="5" s="1"/>
  <c r="G2075" i="5" s="1"/>
  <c r="G2076" i="5" s="1"/>
  <c r="G2077" i="5" s="1"/>
  <c r="G2078" i="5" s="1"/>
  <c r="G2079" i="5" s="1"/>
  <c r="G2080" i="5" s="1"/>
  <c r="G2081" i="5" s="1"/>
  <c r="G2082" i="5" s="1"/>
  <c r="G2083" i="5" s="1"/>
  <c r="G2084" i="5" s="1"/>
  <c r="G2085" i="5" s="1"/>
  <c r="G2086" i="5" s="1"/>
  <c r="G2087" i="5" s="1"/>
  <c r="G2088" i="5" s="1"/>
  <c r="G2089" i="5" s="1"/>
  <c r="G2090" i="5" s="1"/>
  <c r="G2091" i="5" s="1"/>
  <c r="G2092" i="5" s="1"/>
  <c r="G2093" i="5" s="1"/>
  <c r="G2094" i="5" s="1"/>
  <c r="G2095" i="5" s="1"/>
  <c r="G2096" i="5" s="1"/>
  <c r="G2097" i="5" s="1"/>
  <c r="G2098" i="5" s="1"/>
  <c r="G2099" i="5" s="1"/>
  <c r="G2100" i="5" s="1"/>
  <c r="G2101" i="5" s="1"/>
  <c r="G2102" i="5" s="1"/>
  <c r="G2103" i="5" s="1"/>
  <c r="G2104" i="5" s="1"/>
  <c r="G2105" i="5" s="1"/>
  <c r="G2106" i="5" s="1"/>
  <c r="G2107" i="5" s="1"/>
  <c r="G2108" i="5" s="1"/>
  <c r="G2109" i="5" s="1"/>
  <c r="G2110" i="5" s="1"/>
  <c r="G2111" i="5" s="1"/>
  <c r="G2112" i="5" s="1"/>
  <c r="G2113" i="5" s="1"/>
  <c r="G2114" i="5" s="1"/>
  <c r="G2115" i="5" s="1"/>
  <c r="G2116" i="5" s="1"/>
  <c r="G2117" i="5" s="1"/>
  <c r="G2118" i="5" s="1"/>
  <c r="G2119" i="5" s="1"/>
  <c r="G2120" i="5" s="1"/>
  <c r="G2121" i="5" s="1"/>
  <c r="G2122" i="5" s="1"/>
  <c r="G2123" i="5" s="1"/>
  <c r="G2124" i="5" s="1"/>
  <c r="G2125" i="5" s="1"/>
  <c r="G2126" i="5" s="1"/>
  <c r="G2127" i="5" s="1"/>
  <c r="G2128" i="5" s="1"/>
  <c r="G2129" i="5" s="1"/>
  <c r="G2130" i="5" s="1"/>
  <c r="G2131" i="5" s="1"/>
  <c r="G2132" i="5" s="1"/>
  <c r="G2133" i="5" s="1"/>
  <c r="G2134" i="5" s="1"/>
  <c r="G2135" i="5" s="1"/>
  <c r="G2136" i="5" s="1"/>
  <c r="G2137" i="5" s="1"/>
  <c r="G2138" i="5" s="1"/>
  <c r="G2139" i="5" s="1"/>
  <c r="G2140" i="5" s="1"/>
  <c r="G2141" i="5" s="1"/>
  <c r="G2142" i="5" s="1"/>
  <c r="G2143" i="5" s="1"/>
  <c r="G2144" i="5" s="1"/>
  <c r="G2145" i="5" s="1"/>
  <c r="G2146" i="5" s="1"/>
  <c r="G2147" i="5" s="1"/>
  <c r="G2148" i="5" s="1"/>
  <c r="G2149" i="5" s="1"/>
  <c r="G2150" i="5" s="1"/>
  <c r="G2151" i="5" s="1"/>
  <c r="G2152" i="5" s="1"/>
  <c r="G2153" i="5" s="1"/>
  <c r="G2154" i="5" s="1"/>
  <c r="G2155" i="5" s="1"/>
  <c r="G2156" i="5" s="1"/>
  <c r="G2157" i="5" s="1"/>
  <c r="G2158" i="5" s="1"/>
  <c r="G2159" i="5" s="1"/>
  <c r="G2160" i="5" s="1"/>
  <c r="G2161" i="5" s="1"/>
  <c r="G2162" i="5" s="1"/>
  <c r="G2163" i="5" s="1"/>
  <c r="G2164" i="5" s="1"/>
  <c r="G2165" i="5" s="1"/>
  <c r="G2166" i="5" s="1"/>
  <c r="G2167" i="5" s="1"/>
  <c r="G2168" i="5" s="1"/>
  <c r="G2169" i="5" s="1"/>
  <c r="G2170" i="5" s="1"/>
  <c r="G2171" i="5" s="1"/>
  <c r="G2172" i="5" s="1"/>
  <c r="G2173" i="5" s="1"/>
  <c r="G2174" i="5" s="1"/>
  <c r="G2175" i="5" s="1"/>
  <c r="G2176" i="5" s="1"/>
  <c r="G2177" i="5" s="1"/>
  <c r="G2178" i="5" s="1"/>
  <c r="G2179" i="5" s="1"/>
  <c r="G2180" i="5" s="1"/>
  <c r="G2181" i="5" s="1"/>
  <c r="G2182" i="5" s="1"/>
  <c r="G2183" i="5" s="1"/>
  <c r="G2184" i="5" s="1"/>
  <c r="G2185" i="5" s="1"/>
  <c r="G2186" i="5" s="1"/>
  <c r="G2187" i="5" s="1"/>
  <c r="G2188" i="5" s="1"/>
  <c r="G2189" i="5" s="1"/>
  <c r="G2190" i="5" s="1"/>
  <c r="G2191" i="5" s="1"/>
  <c r="G2192" i="5" s="1"/>
  <c r="G2193" i="5" s="1"/>
  <c r="G2194" i="5" s="1"/>
  <c r="G2195" i="5" s="1"/>
  <c r="G2196" i="5" s="1"/>
  <c r="G2197" i="5" s="1"/>
  <c r="G2198" i="5" s="1"/>
  <c r="G2199" i="5" s="1"/>
  <c r="G2200" i="5" s="1"/>
  <c r="G2201" i="5" s="1"/>
  <c r="G2202" i="5" s="1"/>
  <c r="G2203" i="5" s="1"/>
  <c r="G2204" i="5" s="1"/>
  <c r="G2205" i="5" s="1"/>
  <c r="G2206" i="5" s="1"/>
  <c r="G2207" i="5" s="1"/>
  <c r="G2208" i="5" s="1"/>
  <c r="G2209" i="5" s="1"/>
  <c r="G2210" i="5" s="1"/>
  <c r="G2211" i="5" s="1"/>
  <c r="G2212" i="5" s="1"/>
  <c r="G2213" i="5" s="1"/>
  <c r="L354" i="5"/>
  <c r="K354" i="5"/>
  <c r="J354" i="5"/>
  <c r="I354" i="5"/>
  <c r="H354" i="5"/>
  <c r="AE353" i="5"/>
  <c r="AD353" i="5"/>
  <c r="AC353" i="5"/>
  <c r="AA353" i="5"/>
  <c r="Z353" i="5"/>
  <c r="Y353" i="5"/>
  <c r="AF353" i="5" s="1"/>
  <c r="N353" i="5"/>
  <c r="M353" i="5"/>
  <c r="H353" i="5" s="1"/>
  <c r="L353" i="5"/>
  <c r="AE352" i="5"/>
  <c r="AD352" i="5"/>
  <c r="Y352" i="5" s="1"/>
  <c r="AC352" i="5"/>
  <c r="Q352" i="5"/>
  <c r="P352" i="5"/>
  <c r="N352" i="5"/>
  <c r="M352" i="5"/>
  <c r="L352" i="5"/>
  <c r="J352" i="5"/>
  <c r="I352" i="5"/>
  <c r="O352" i="5" s="1"/>
  <c r="H352" i="5"/>
  <c r="AH351" i="5"/>
  <c r="AE351" i="5"/>
  <c r="AG351" i="5" s="1"/>
  <c r="AD351" i="5"/>
  <c r="Y351" i="5" s="1"/>
  <c r="AC351" i="5"/>
  <c r="AB351" i="5"/>
  <c r="AF351" i="5" s="1"/>
  <c r="AA351" i="5"/>
  <c r="Z351" i="5"/>
  <c r="N351" i="5"/>
  <c r="M351" i="5"/>
  <c r="L351" i="5"/>
  <c r="K351" i="5"/>
  <c r="J351" i="5"/>
  <c r="I351" i="5"/>
  <c r="H351" i="5"/>
  <c r="AE350" i="5"/>
  <c r="AD350" i="5"/>
  <c r="AC350" i="5"/>
  <c r="AB350" i="5"/>
  <c r="Y350" i="5"/>
  <c r="N350" i="5"/>
  <c r="I350" i="5" s="1"/>
  <c r="M350" i="5"/>
  <c r="H350" i="5" s="1"/>
  <c r="L350" i="5"/>
  <c r="K350" i="5"/>
  <c r="AE349" i="5"/>
  <c r="Z349" i="5" s="1"/>
  <c r="AD349" i="5"/>
  <c r="Y349" i="5" s="1"/>
  <c r="AC349" i="5"/>
  <c r="AB349" i="5"/>
  <c r="N349" i="5"/>
  <c r="M349" i="5"/>
  <c r="L349" i="5"/>
  <c r="K349" i="5"/>
  <c r="J349" i="5"/>
  <c r="I349" i="5"/>
  <c r="AG348" i="5"/>
  <c r="AH348" i="5" s="1"/>
  <c r="AE348" i="5"/>
  <c r="Z348" i="5" s="1"/>
  <c r="AF348" i="5" s="1"/>
  <c r="AD348" i="5"/>
  <c r="AC348" i="5"/>
  <c r="AA348" i="5"/>
  <c r="Y348" i="5"/>
  <c r="N348" i="5"/>
  <c r="J348" i="5" s="1"/>
  <c r="M348" i="5"/>
  <c r="L348" i="5"/>
  <c r="I348" i="5"/>
  <c r="H348" i="5"/>
  <c r="AH347" i="5"/>
  <c r="AG347" i="5"/>
  <c r="AE347" i="5"/>
  <c r="AD347" i="5"/>
  <c r="AC347" i="5"/>
  <c r="AA347" i="5"/>
  <c r="Z347" i="5"/>
  <c r="Y347" i="5"/>
  <c r="Q347" i="5"/>
  <c r="P347" i="5"/>
  <c r="N347" i="5"/>
  <c r="M347" i="5"/>
  <c r="H347" i="5" s="1"/>
  <c r="L347" i="5"/>
  <c r="AE346" i="5"/>
  <c r="AD346" i="5"/>
  <c r="Y346" i="5" s="1"/>
  <c r="AC346" i="5"/>
  <c r="AA346" i="5"/>
  <c r="P346" i="5"/>
  <c r="Q346" i="5" s="1"/>
  <c r="N346" i="5"/>
  <c r="M346" i="5"/>
  <c r="L346" i="5"/>
  <c r="J346" i="5"/>
  <c r="I346" i="5"/>
  <c r="O346" i="5" s="1"/>
  <c r="H346" i="5"/>
  <c r="AH345" i="5"/>
  <c r="AG345" i="5"/>
  <c r="AE345" i="5"/>
  <c r="AD345" i="5"/>
  <c r="AC345" i="5"/>
  <c r="AA345" i="5"/>
  <c r="Z345" i="5"/>
  <c r="Y345" i="5"/>
  <c r="Q345" i="5"/>
  <c r="P345" i="5"/>
  <c r="N345" i="5"/>
  <c r="M345" i="5"/>
  <c r="L345" i="5"/>
  <c r="J345" i="5"/>
  <c r="I345" i="5"/>
  <c r="H345" i="5"/>
  <c r="AE344" i="5"/>
  <c r="AD344" i="5"/>
  <c r="Y344" i="5" s="1"/>
  <c r="AC344" i="5"/>
  <c r="N344" i="5"/>
  <c r="J344" i="5" s="1"/>
  <c r="M344" i="5"/>
  <c r="H344" i="5" s="1"/>
  <c r="L344" i="5"/>
  <c r="AG343" i="5"/>
  <c r="AE343" i="5"/>
  <c r="AD343" i="5"/>
  <c r="AC343" i="5"/>
  <c r="AA343" i="5"/>
  <c r="Z343" i="5"/>
  <c r="Y343" i="5"/>
  <c r="AF343" i="5" s="1"/>
  <c r="P343" i="5"/>
  <c r="Q343" i="5" s="1"/>
  <c r="N343" i="5"/>
  <c r="M343" i="5"/>
  <c r="L343" i="5"/>
  <c r="J343" i="5"/>
  <c r="I343" i="5"/>
  <c r="H343" i="5"/>
  <c r="O343" i="5" s="1"/>
  <c r="AG342" i="5"/>
  <c r="AH342" i="5" s="1"/>
  <c r="AE342" i="5"/>
  <c r="AD342" i="5"/>
  <c r="AC342" i="5"/>
  <c r="AA342" i="5"/>
  <c r="Z342" i="5"/>
  <c r="Y342" i="5"/>
  <c r="P342" i="5"/>
  <c r="Q342" i="5" s="1"/>
  <c r="N342" i="5"/>
  <c r="M342" i="5"/>
  <c r="H342" i="5" s="1"/>
  <c r="L342" i="5"/>
  <c r="AE341" i="5"/>
  <c r="AD341" i="5"/>
  <c r="Y341" i="5" s="1"/>
  <c r="AC341" i="5"/>
  <c r="N341" i="5"/>
  <c r="M341" i="5"/>
  <c r="L341" i="5"/>
  <c r="J341" i="5"/>
  <c r="I341" i="5"/>
  <c r="AE340" i="5"/>
  <c r="AD340" i="5"/>
  <c r="AC340" i="5"/>
  <c r="AA340" i="5"/>
  <c r="Z340" i="5"/>
  <c r="Y340" i="5"/>
  <c r="AF340" i="5" s="1"/>
  <c r="N340" i="5"/>
  <c r="M340" i="5"/>
  <c r="H340" i="5" s="1"/>
  <c r="O340" i="5" s="1"/>
  <c r="L340" i="5"/>
  <c r="J340" i="5"/>
  <c r="I340" i="5"/>
  <c r="AE339" i="5"/>
  <c r="AD339" i="5"/>
  <c r="Y339" i="5" s="1"/>
  <c r="AC339" i="5"/>
  <c r="N339" i="5"/>
  <c r="M339" i="5"/>
  <c r="L339" i="5"/>
  <c r="H339" i="5"/>
  <c r="AE338" i="5"/>
  <c r="AD338" i="5"/>
  <c r="Y338" i="5" s="1"/>
  <c r="AC338" i="5"/>
  <c r="N338" i="5"/>
  <c r="M338" i="5"/>
  <c r="H338" i="5" s="1"/>
  <c r="O338" i="5" s="1"/>
  <c r="L338" i="5"/>
  <c r="J338" i="5"/>
  <c r="I338" i="5"/>
  <c r="AE337" i="5"/>
  <c r="AA337" i="5" s="1"/>
  <c r="AD337" i="5"/>
  <c r="Y337" i="5" s="1"/>
  <c r="AC337" i="5"/>
  <c r="N337" i="5"/>
  <c r="M337" i="5"/>
  <c r="L337" i="5"/>
  <c r="H337" i="5"/>
  <c r="AE336" i="5"/>
  <c r="AA336" i="5" s="1"/>
  <c r="AD336" i="5"/>
  <c r="AC336" i="5"/>
  <c r="Z336" i="5"/>
  <c r="Y336" i="5"/>
  <c r="AF336" i="5" s="1"/>
  <c r="N336" i="5"/>
  <c r="I336" i="5" s="1"/>
  <c r="O336" i="5" s="1"/>
  <c r="P336" i="5" s="1"/>
  <c r="Q336" i="5" s="1"/>
  <c r="M336" i="5"/>
  <c r="H336" i="5" s="1"/>
  <c r="L336" i="5"/>
  <c r="J336" i="5"/>
  <c r="AE335" i="5"/>
  <c r="AD335" i="5"/>
  <c r="Y335" i="5" s="1"/>
  <c r="AC335" i="5"/>
  <c r="AA335" i="5"/>
  <c r="Z335" i="5"/>
  <c r="N335" i="5"/>
  <c r="M335" i="5"/>
  <c r="L335" i="5"/>
  <c r="J335" i="5"/>
  <c r="I335" i="5"/>
  <c r="H335" i="5"/>
  <c r="O335" i="5" s="1"/>
  <c r="AG334" i="5"/>
  <c r="AH334" i="5" s="1"/>
  <c r="AF334" i="5"/>
  <c r="AE334" i="5"/>
  <c r="AD334" i="5"/>
  <c r="AC334" i="5"/>
  <c r="AA334" i="5"/>
  <c r="Z334" i="5"/>
  <c r="Y334" i="5"/>
  <c r="O334" i="5"/>
  <c r="P334" i="5" s="1"/>
  <c r="Q334" i="5" s="1"/>
  <c r="N334" i="5"/>
  <c r="M334" i="5"/>
  <c r="L334" i="5"/>
  <c r="J334" i="5"/>
  <c r="I334" i="5"/>
  <c r="H334" i="5"/>
  <c r="AE333" i="5"/>
  <c r="Z333" i="5" s="1"/>
  <c r="AD333" i="5"/>
  <c r="Y333" i="5" s="1"/>
  <c r="AC333" i="5"/>
  <c r="N333" i="5"/>
  <c r="I333" i="5" s="1"/>
  <c r="M333" i="5"/>
  <c r="L333" i="5"/>
  <c r="J333" i="5"/>
  <c r="H333" i="5"/>
  <c r="O333" i="5" s="1"/>
  <c r="AE332" i="5"/>
  <c r="AA332" i="5" s="1"/>
  <c r="AF332" i="5" s="1"/>
  <c r="AG332" i="5" s="1"/>
  <c r="AH332" i="5" s="1"/>
  <c r="AD332" i="5"/>
  <c r="AC332" i="5"/>
  <c r="Z332" i="5"/>
  <c r="Y332" i="5"/>
  <c r="N332" i="5"/>
  <c r="M332" i="5"/>
  <c r="L332" i="5"/>
  <c r="J332" i="5"/>
  <c r="I332" i="5"/>
  <c r="H332" i="5"/>
  <c r="AE331" i="5"/>
  <c r="AD331" i="5"/>
  <c r="AC331" i="5"/>
  <c r="AA331" i="5"/>
  <c r="Z331" i="5"/>
  <c r="Y331" i="5"/>
  <c r="N331" i="5"/>
  <c r="M331" i="5"/>
  <c r="H331" i="5" s="1"/>
  <c r="L331" i="5"/>
  <c r="AE330" i="5"/>
  <c r="AA330" i="5" s="1"/>
  <c r="AD330" i="5"/>
  <c r="Y330" i="5" s="1"/>
  <c r="AC330" i="5"/>
  <c r="N330" i="5"/>
  <c r="M330" i="5"/>
  <c r="H330" i="5" s="1"/>
  <c r="L330" i="5"/>
  <c r="J330" i="5"/>
  <c r="I330" i="5"/>
  <c r="AE329" i="5"/>
  <c r="AD329" i="5"/>
  <c r="AC329" i="5"/>
  <c r="AA329" i="5"/>
  <c r="Z329" i="5"/>
  <c r="Y329" i="5"/>
  <c r="AF329" i="5" s="1"/>
  <c r="N329" i="5"/>
  <c r="J329" i="5" s="1"/>
  <c r="M329" i="5"/>
  <c r="H329" i="5" s="1"/>
  <c r="L329" i="5"/>
  <c r="AE328" i="5"/>
  <c r="AD328" i="5"/>
  <c r="Y328" i="5" s="1"/>
  <c r="AC328" i="5"/>
  <c r="N328" i="5"/>
  <c r="P328" i="5" s="1"/>
  <c r="Q328" i="5" s="1"/>
  <c r="M328" i="5"/>
  <c r="H328" i="5" s="1"/>
  <c r="O328" i="5" s="1"/>
  <c r="L328" i="5"/>
  <c r="J328" i="5"/>
  <c r="I328" i="5"/>
  <c r="AE327" i="5"/>
  <c r="AD327" i="5"/>
  <c r="AC327" i="5"/>
  <c r="AA327" i="5"/>
  <c r="Z327" i="5"/>
  <c r="Y327" i="5"/>
  <c r="AF327" i="5" s="1"/>
  <c r="AG327" i="5" s="1"/>
  <c r="AH327" i="5" s="1"/>
  <c r="N327" i="5"/>
  <c r="M327" i="5"/>
  <c r="H327" i="5" s="1"/>
  <c r="L327" i="5"/>
  <c r="AE326" i="5"/>
  <c r="AD326" i="5"/>
  <c r="AC326" i="5"/>
  <c r="AA326" i="5"/>
  <c r="Z326" i="5"/>
  <c r="N326" i="5"/>
  <c r="J326" i="5" s="1"/>
  <c r="M326" i="5"/>
  <c r="L326" i="5"/>
  <c r="I326" i="5"/>
  <c r="H326" i="5"/>
  <c r="O326" i="5" s="1"/>
  <c r="AH325" i="5"/>
  <c r="AE325" i="5"/>
  <c r="AD325" i="5"/>
  <c r="AC325" i="5"/>
  <c r="AA325" i="5"/>
  <c r="Z325" i="5"/>
  <c r="AF325" i="5" s="1"/>
  <c r="AG325" i="5" s="1"/>
  <c r="Y325" i="5"/>
  <c r="N325" i="5"/>
  <c r="J325" i="5" s="1"/>
  <c r="M325" i="5"/>
  <c r="H325" i="5" s="1"/>
  <c r="L325" i="5"/>
  <c r="AE324" i="5"/>
  <c r="AD324" i="5"/>
  <c r="AC324" i="5"/>
  <c r="AA324" i="5"/>
  <c r="Z324" i="5"/>
  <c r="Y324" i="5"/>
  <c r="AF324" i="5" s="1"/>
  <c r="N324" i="5"/>
  <c r="M324" i="5"/>
  <c r="L324" i="5"/>
  <c r="J324" i="5"/>
  <c r="I324" i="5"/>
  <c r="H324" i="5"/>
  <c r="O324" i="5" s="1"/>
  <c r="AG323" i="5"/>
  <c r="AH323" i="5" s="1"/>
  <c r="AF323" i="5"/>
  <c r="AE323" i="5"/>
  <c r="AD323" i="5"/>
  <c r="AC323" i="5"/>
  <c r="AA323" i="5"/>
  <c r="Z323" i="5"/>
  <c r="Y323" i="5"/>
  <c r="N323" i="5"/>
  <c r="M323" i="5"/>
  <c r="L323" i="5"/>
  <c r="H323" i="5"/>
  <c r="AE322" i="5"/>
  <c r="Z322" i="5" s="1"/>
  <c r="AD322" i="5"/>
  <c r="Y322" i="5" s="1"/>
  <c r="AC322" i="5"/>
  <c r="N322" i="5"/>
  <c r="M322" i="5"/>
  <c r="L322" i="5"/>
  <c r="J322" i="5"/>
  <c r="I322" i="5"/>
  <c r="H322" i="5"/>
  <c r="O322" i="5" s="1"/>
  <c r="AE321" i="5"/>
  <c r="AD321" i="5"/>
  <c r="AC321" i="5"/>
  <c r="AA321" i="5"/>
  <c r="Z321" i="5"/>
  <c r="AF321" i="5" s="1"/>
  <c r="AG321" i="5" s="1"/>
  <c r="AH321" i="5" s="1"/>
  <c r="Y321" i="5"/>
  <c r="N321" i="5"/>
  <c r="M321" i="5"/>
  <c r="L321" i="5"/>
  <c r="J321" i="5"/>
  <c r="I321" i="5"/>
  <c r="H321" i="5"/>
  <c r="AE320" i="5"/>
  <c r="Z320" i="5" s="1"/>
  <c r="AD320" i="5"/>
  <c r="Y320" i="5" s="1"/>
  <c r="AF320" i="5" s="1"/>
  <c r="AC320" i="5"/>
  <c r="AA320" i="5"/>
  <c r="N320" i="5"/>
  <c r="M320" i="5"/>
  <c r="H320" i="5" s="1"/>
  <c r="L320" i="5"/>
  <c r="AE319" i="5"/>
  <c r="AD319" i="5"/>
  <c r="Y319" i="5" s="1"/>
  <c r="AC319" i="5"/>
  <c r="N319" i="5"/>
  <c r="M319" i="5"/>
  <c r="H319" i="5" s="1"/>
  <c r="L319" i="5"/>
  <c r="AE318" i="5"/>
  <c r="AD318" i="5"/>
  <c r="Y318" i="5" s="1"/>
  <c r="AF318" i="5" s="1"/>
  <c r="AC318" i="5"/>
  <c r="AA318" i="5"/>
  <c r="Z318" i="5"/>
  <c r="N318" i="5"/>
  <c r="P318" i="5" s="1"/>
  <c r="Q318" i="5" s="1"/>
  <c r="M318" i="5"/>
  <c r="L318" i="5"/>
  <c r="J318" i="5"/>
  <c r="I318" i="5"/>
  <c r="H318" i="5"/>
  <c r="O318" i="5" s="1"/>
  <c r="AH317" i="5"/>
  <c r="AE317" i="5"/>
  <c r="AD317" i="5"/>
  <c r="AC317" i="5"/>
  <c r="AA317" i="5"/>
  <c r="Z317" i="5"/>
  <c r="Y317" i="5"/>
  <c r="AF317" i="5" s="1"/>
  <c r="AG317" i="5" s="1"/>
  <c r="N317" i="5"/>
  <c r="M317" i="5"/>
  <c r="H317" i="5" s="1"/>
  <c r="L317" i="5"/>
  <c r="AE316" i="5"/>
  <c r="AD316" i="5"/>
  <c r="Y316" i="5" s="1"/>
  <c r="AC316" i="5"/>
  <c r="N316" i="5"/>
  <c r="M316" i="5"/>
  <c r="L316" i="5"/>
  <c r="J316" i="5"/>
  <c r="I316" i="5"/>
  <c r="AE315" i="5"/>
  <c r="AD315" i="5"/>
  <c r="AC315" i="5"/>
  <c r="AA315" i="5"/>
  <c r="Z315" i="5"/>
  <c r="Y315" i="5"/>
  <c r="AF315" i="5" s="1"/>
  <c r="Q315" i="5"/>
  <c r="N315" i="5"/>
  <c r="M315" i="5"/>
  <c r="L315" i="5"/>
  <c r="J315" i="5"/>
  <c r="I315" i="5"/>
  <c r="H315" i="5"/>
  <c r="O315" i="5" s="1"/>
  <c r="P315" i="5" s="1"/>
  <c r="AE314" i="5"/>
  <c r="AD314" i="5"/>
  <c r="Y314" i="5" s="1"/>
  <c r="AC314" i="5"/>
  <c r="N314" i="5"/>
  <c r="M314" i="5"/>
  <c r="H314" i="5" s="1"/>
  <c r="L314" i="5"/>
  <c r="AE313" i="5"/>
  <c r="AD313" i="5"/>
  <c r="AC313" i="5"/>
  <c r="AA313" i="5"/>
  <c r="Z313" i="5"/>
  <c r="N313" i="5"/>
  <c r="M313" i="5"/>
  <c r="L313" i="5"/>
  <c r="J313" i="5"/>
  <c r="I313" i="5"/>
  <c r="H313" i="5"/>
  <c r="O313" i="5" s="1"/>
  <c r="AH312" i="5"/>
  <c r="AE312" i="5"/>
  <c r="AD312" i="5"/>
  <c r="AC312" i="5"/>
  <c r="AA312" i="5"/>
  <c r="Z312" i="5"/>
  <c r="Y312" i="5"/>
  <c r="AF312" i="5" s="1"/>
  <c r="AG312" i="5" s="1"/>
  <c r="N312" i="5"/>
  <c r="M312" i="5"/>
  <c r="H312" i="5" s="1"/>
  <c r="L312" i="5"/>
  <c r="AE311" i="5"/>
  <c r="AD311" i="5"/>
  <c r="Y311" i="5" s="1"/>
  <c r="AC311" i="5"/>
  <c r="N311" i="5"/>
  <c r="M311" i="5"/>
  <c r="L311" i="5"/>
  <c r="J311" i="5"/>
  <c r="I311" i="5"/>
  <c r="AE310" i="5"/>
  <c r="AD310" i="5"/>
  <c r="AC310" i="5"/>
  <c r="AA310" i="5"/>
  <c r="Z310" i="5"/>
  <c r="Y310" i="5"/>
  <c r="AF310" i="5" s="1"/>
  <c r="N310" i="5"/>
  <c r="M310" i="5"/>
  <c r="L310" i="5"/>
  <c r="J310" i="5"/>
  <c r="I310" i="5"/>
  <c r="H310" i="5"/>
  <c r="AE309" i="5"/>
  <c r="AA309" i="5" s="1"/>
  <c r="AD309" i="5"/>
  <c r="Y309" i="5" s="1"/>
  <c r="AC309" i="5"/>
  <c r="N309" i="5"/>
  <c r="J309" i="5" s="1"/>
  <c r="M309" i="5"/>
  <c r="H309" i="5" s="1"/>
  <c r="L309" i="5"/>
  <c r="AE308" i="5"/>
  <c r="AD308" i="5"/>
  <c r="AC308" i="5"/>
  <c r="AA308" i="5"/>
  <c r="Y308" i="5"/>
  <c r="N308" i="5"/>
  <c r="M308" i="5"/>
  <c r="P308" i="5" s="1"/>
  <c r="Q308" i="5" s="1"/>
  <c r="L308" i="5"/>
  <c r="J308" i="5"/>
  <c r="I308" i="5"/>
  <c r="H308" i="5"/>
  <c r="O308" i="5" s="1"/>
  <c r="AF307" i="5"/>
  <c r="AE307" i="5"/>
  <c r="AA307" i="5" s="1"/>
  <c r="AD307" i="5"/>
  <c r="AC307" i="5"/>
  <c r="Z307" i="5"/>
  <c r="Y307" i="5"/>
  <c r="N307" i="5"/>
  <c r="J307" i="5" s="1"/>
  <c r="M307" i="5"/>
  <c r="H307" i="5" s="1"/>
  <c r="L307" i="5"/>
  <c r="AE306" i="5"/>
  <c r="Z306" i="5" s="1"/>
  <c r="AD306" i="5"/>
  <c r="Y306" i="5" s="1"/>
  <c r="AF306" i="5" s="1"/>
  <c r="AC306" i="5"/>
  <c r="AA306" i="5"/>
  <c r="N306" i="5"/>
  <c r="M306" i="5"/>
  <c r="L306" i="5"/>
  <c r="J306" i="5"/>
  <c r="H306" i="5"/>
  <c r="AE305" i="5"/>
  <c r="AD305" i="5"/>
  <c r="AG305" i="5" s="1"/>
  <c r="AH305" i="5" s="1"/>
  <c r="AC305" i="5"/>
  <c r="AA305" i="5"/>
  <c r="Z305" i="5"/>
  <c r="Y305" i="5"/>
  <c r="AF305" i="5" s="1"/>
  <c r="N305" i="5"/>
  <c r="J305" i="5" s="1"/>
  <c r="O305" i="5" s="1"/>
  <c r="P305" i="5" s="1"/>
  <c r="Q305" i="5" s="1"/>
  <c r="M305" i="5"/>
  <c r="L305" i="5"/>
  <c r="I305" i="5"/>
  <c r="H305" i="5"/>
  <c r="AE304" i="5"/>
  <c r="AA304" i="5" s="1"/>
  <c r="AD304" i="5"/>
  <c r="Y304" i="5" s="1"/>
  <c r="AC304" i="5"/>
  <c r="N304" i="5"/>
  <c r="I304" i="5" s="1"/>
  <c r="M304" i="5"/>
  <c r="L304" i="5"/>
  <c r="J304" i="5"/>
  <c r="H304" i="5"/>
  <c r="AE303" i="5"/>
  <c r="AD303" i="5"/>
  <c r="AC303" i="5"/>
  <c r="AA303" i="5"/>
  <c r="Y303" i="5"/>
  <c r="N303" i="5"/>
  <c r="M303" i="5"/>
  <c r="H303" i="5" s="1"/>
  <c r="O303" i="5" s="1"/>
  <c r="L303" i="5"/>
  <c r="J303" i="5"/>
  <c r="I303" i="5"/>
  <c r="AF302" i="5"/>
  <c r="AG302" i="5" s="1"/>
  <c r="AH302" i="5" s="1"/>
  <c r="AE302" i="5"/>
  <c r="AA302" i="5" s="1"/>
  <c r="AD302" i="5"/>
  <c r="AC302" i="5"/>
  <c r="Z302" i="5"/>
  <c r="Y302" i="5"/>
  <c r="N302" i="5"/>
  <c r="J302" i="5" s="1"/>
  <c r="M302" i="5"/>
  <c r="H302" i="5" s="1"/>
  <c r="L302" i="5"/>
  <c r="AE301" i="5"/>
  <c r="AD301" i="5"/>
  <c r="Y301" i="5" s="1"/>
  <c r="AF301" i="5" s="1"/>
  <c r="AC301" i="5"/>
  <c r="AA301" i="5"/>
  <c r="Z301" i="5"/>
  <c r="N301" i="5"/>
  <c r="M301" i="5"/>
  <c r="L301" i="5"/>
  <c r="J301" i="5"/>
  <c r="H301" i="5"/>
  <c r="AE300" i="5"/>
  <c r="Z300" i="5" s="1"/>
  <c r="AD300" i="5"/>
  <c r="AC300" i="5"/>
  <c r="AA300" i="5"/>
  <c r="Y300" i="5"/>
  <c r="AF300" i="5" s="1"/>
  <c r="N300" i="5"/>
  <c r="J300" i="5" s="1"/>
  <c r="O300" i="5" s="1"/>
  <c r="P300" i="5" s="1"/>
  <c r="Q300" i="5" s="1"/>
  <c r="M300" i="5"/>
  <c r="L300" i="5"/>
  <c r="I300" i="5"/>
  <c r="H300" i="5"/>
  <c r="AE299" i="5"/>
  <c r="AA299" i="5" s="1"/>
  <c r="AD299" i="5"/>
  <c r="Y299" i="5" s="1"/>
  <c r="AC299" i="5"/>
  <c r="N299" i="5"/>
  <c r="M299" i="5"/>
  <c r="H299" i="5" s="1"/>
  <c r="L299" i="5"/>
  <c r="J299" i="5"/>
  <c r="I299" i="5"/>
  <c r="AE298" i="5"/>
  <c r="AG298" i="5" s="1"/>
  <c r="AH298" i="5" s="1"/>
  <c r="AD298" i="5"/>
  <c r="Y298" i="5" s="1"/>
  <c r="AF298" i="5" s="1"/>
  <c r="AC298" i="5"/>
  <c r="AA298" i="5"/>
  <c r="Z298" i="5"/>
  <c r="Q298" i="5"/>
  <c r="P298" i="5"/>
  <c r="N298" i="5"/>
  <c r="J298" i="5" s="1"/>
  <c r="M298" i="5"/>
  <c r="L298" i="5"/>
  <c r="I298" i="5"/>
  <c r="H298" i="5"/>
  <c r="O298" i="5" s="1"/>
  <c r="AE297" i="5"/>
  <c r="AD297" i="5"/>
  <c r="AC297" i="5"/>
  <c r="Y297" i="5"/>
  <c r="N297" i="5"/>
  <c r="P297" i="5" s="1"/>
  <c r="Q297" i="5" s="1"/>
  <c r="M297" i="5"/>
  <c r="H297" i="5" s="1"/>
  <c r="L297" i="5"/>
  <c r="AE296" i="5"/>
  <c r="AG296" i="5" s="1"/>
  <c r="AH296" i="5" s="1"/>
  <c r="AD296" i="5"/>
  <c r="AC296" i="5"/>
  <c r="AA296" i="5"/>
  <c r="Z296" i="5"/>
  <c r="Y296" i="5"/>
  <c r="AF296" i="5" s="1"/>
  <c r="P296" i="5"/>
  <c r="N296" i="5"/>
  <c r="M296" i="5"/>
  <c r="Q296" i="5" s="1"/>
  <c r="L296" i="5"/>
  <c r="J296" i="5"/>
  <c r="I296" i="5"/>
  <c r="H296" i="5"/>
  <c r="O296" i="5" s="1"/>
  <c r="AG295" i="5"/>
  <c r="AH295" i="5" s="1"/>
  <c r="AE295" i="5"/>
  <c r="Z295" i="5" s="1"/>
  <c r="AF295" i="5" s="1"/>
  <c r="AD295" i="5"/>
  <c r="AC295" i="5"/>
  <c r="AA295" i="5"/>
  <c r="Y295" i="5"/>
  <c r="N295" i="5"/>
  <c r="M295" i="5"/>
  <c r="L295" i="5"/>
  <c r="H295" i="5"/>
  <c r="AE294" i="5"/>
  <c r="AG294" i="5" s="1"/>
  <c r="AH294" i="5" s="1"/>
  <c r="AD294" i="5"/>
  <c r="Y294" i="5" s="1"/>
  <c r="AC294" i="5"/>
  <c r="N294" i="5"/>
  <c r="P294" i="5" s="1"/>
  <c r="Q294" i="5" s="1"/>
  <c r="M294" i="5"/>
  <c r="L294" i="5"/>
  <c r="J294" i="5"/>
  <c r="I294" i="5"/>
  <c r="H294" i="5"/>
  <c r="AG293" i="5"/>
  <c r="AE293" i="5"/>
  <c r="AD293" i="5"/>
  <c r="AH293" i="5" s="1"/>
  <c r="AC293" i="5"/>
  <c r="AA293" i="5"/>
  <c r="Z293" i="5"/>
  <c r="Y293" i="5"/>
  <c r="AF293" i="5" s="1"/>
  <c r="P293" i="5"/>
  <c r="Q293" i="5" s="1"/>
  <c r="N293" i="5"/>
  <c r="I293" i="5" s="1"/>
  <c r="O293" i="5" s="1"/>
  <c r="M293" i="5"/>
  <c r="L293" i="5"/>
  <c r="J293" i="5"/>
  <c r="H293" i="5"/>
  <c r="AE292" i="5"/>
  <c r="AD292" i="5"/>
  <c r="AC292" i="5"/>
  <c r="Y292" i="5"/>
  <c r="N292" i="5"/>
  <c r="P292" i="5" s="1"/>
  <c r="Q292" i="5" s="1"/>
  <c r="M292" i="5"/>
  <c r="H292" i="5" s="1"/>
  <c r="L292" i="5"/>
  <c r="AE291" i="5"/>
  <c r="AG291" i="5" s="1"/>
  <c r="AH291" i="5" s="1"/>
  <c r="AD291" i="5"/>
  <c r="AC291" i="5"/>
  <c r="AA291" i="5"/>
  <c r="Z291" i="5"/>
  <c r="Y291" i="5"/>
  <c r="P291" i="5"/>
  <c r="N291" i="5"/>
  <c r="M291" i="5"/>
  <c r="Q291" i="5" s="1"/>
  <c r="L291" i="5"/>
  <c r="J291" i="5"/>
  <c r="I291" i="5"/>
  <c r="H291" i="5"/>
  <c r="O291" i="5" s="1"/>
  <c r="AG290" i="5"/>
  <c r="AH290" i="5" s="1"/>
  <c r="AF290" i="5"/>
  <c r="AE290" i="5"/>
  <c r="AD290" i="5"/>
  <c r="AC290" i="5"/>
  <c r="AA290" i="5"/>
  <c r="Z290" i="5"/>
  <c r="Y290" i="5"/>
  <c r="N290" i="5"/>
  <c r="M290" i="5"/>
  <c r="L290" i="5"/>
  <c r="H290" i="5"/>
  <c r="AE289" i="5"/>
  <c r="Z289" i="5" s="1"/>
  <c r="AD289" i="5"/>
  <c r="Y289" i="5" s="1"/>
  <c r="AC289" i="5"/>
  <c r="N289" i="5"/>
  <c r="P289" i="5" s="1"/>
  <c r="Q289" i="5" s="1"/>
  <c r="M289" i="5"/>
  <c r="L289" i="5"/>
  <c r="J289" i="5"/>
  <c r="I289" i="5"/>
  <c r="H289" i="5"/>
  <c r="O289" i="5" s="1"/>
  <c r="AG288" i="5"/>
  <c r="AE288" i="5"/>
  <c r="AD288" i="5"/>
  <c r="AH288" i="5" s="1"/>
  <c r="AC288" i="5"/>
  <c r="AA288" i="5"/>
  <c r="Z288" i="5"/>
  <c r="Y288" i="5"/>
  <c r="AF288" i="5" s="1"/>
  <c r="P288" i="5"/>
  <c r="Q288" i="5" s="1"/>
  <c r="N288" i="5"/>
  <c r="I288" i="5" s="1"/>
  <c r="O288" i="5" s="1"/>
  <c r="M288" i="5"/>
  <c r="L288" i="5"/>
  <c r="J288" i="5"/>
  <c r="H288" i="5"/>
  <c r="AE287" i="5"/>
  <c r="AD287" i="5"/>
  <c r="AC287" i="5"/>
  <c r="Y287" i="5"/>
  <c r="N287" i="5"/>
  <c r="P287" i="5" s="1"/>
  <c r="Q287" i="5" s="1"/>
  <c r="M287" i="5"/>
  <c r="H287" i="5" s="1"/>
  <c r="L287" i="5"/>
  <c r="AE286" i="5"/>
  <c r="AG286" i="5" s="1"/>
  <c r="AH286" i="5" s="1"/>
  <c r="AD286" i="5"/>
  <c r="Y286" i="5" s="1"/>
  <c r="AC286" i="5"/>
  <c r="AA286" i="5"/>
  <c r="Z286" i="5"/>
  <c r="N286" i="5"/>
  <c r="P286" i="5" s="1"/>
  <c r="Q286" i="5" s="1"/>
  <c r="M286" i="5"/>
  <c r="H286" i="5" s="1"/>
  <c r="O286" i="5" s="1"/>
  <c r="L286" i="5"/>
  <c r="J286" i="5"/>
  <c r="I286" i="5"/>
  <c r="AH285" i="5"/>
  <c r="AG285" i="5"/>
  <c r="AE285" i="5"/>
  <c r="AD285" i="5"/>
  <c r="AC285" i="5"/>
  <c r="AA285" i="5"/>
  <c r="Z285" i="5"/>
  <c r="Y285" i="5"/>
  <c r="AF285" i="5" s="1"/>
  <c r="P285" i="5"/>
  <c r="Q285" i="5" s="1"/>
  <c r="O285" i="5"/>
  <c r="N285" i="5"/>
  <c r="J285" i="5" s="1"/>
  <c r="M285" i="5"/>
  <c r="L285" i="5"/>
  <c r="I285" i="5"/>
  <c r="H285" i="5"/>
  <c r="AG284" i="5"/>
  <c r="AH284" i="5" s="1"/>
  <c r="AE284" i="5"/>
  <c r="AA284" i="5" s="1"/>
  <c r="AD284" i="5"/>
  <c r="Y284" i="5" s="1"/>
  <c r="AC284" i="5"/>
  <c r="N284" i="5"/>
  <c r="I284" i="5" s="1"/>
  <c r="M284" i="5"/>
  <c r="H284" i="5" s="1"/>
  <c r="L284" i="5"/>
  <c r="J284" i="5"/>
  <c r="AE283" i="5"/>
  <c r="AG283" i="5" s="1"/>
  <c r="AH283" i="5" s="1"/>
  <c r="AD283" i="5"/>
  <c r="AC283" i="5"/>
  <c r="AA283" i="5"/>
  <c r="Y283" i="5"/>
  <c r="Q283" i="5"/>
  <c r="P283" i="5"/>
  <c r="N283" i="5"/>
  <c r="M283" i="5"/>
  <c r="L283" i="5"/>
  <c r="J283" i="5"/>
  <c r="I283" i="5"/>
  <c r="H283" i="5"/>
  <c r="O283" i="5" s="1"/>
  <c r="AG282" i="5"/>
  <c r="AH282" i="5" s="1"/>
  <c r="AE282" i="5"/>
  <c r="AD282" i="5"/>
  <c r="AC282" i="5"/>
  <c r="AA282" i="5"/>
  <c r="Z282" i="5"/>
  <c r="AF282" i="5" s="1"/>
  <c r="Y282" i="5"/>
  <c r="N282" i="5"/>
  <c r="P282" i="5" s="1"/>
  <c r="Q282" i="5" s="1"/>
  <c r="M282" i="5"/>
  <c r="H282" i="5" s="1"/>
  <c r="L282" i="5"/>
  <c r="AE281" i="5"/>
  <c r="AA281" i="5" s="1"/>
  <c r="AD281" i="5"/>
  <c r="Y281" i="5" s="1"/>
  <c r="AC281" i="5"/>
  <c r="P281" i="5"/>
  <c r="Q281" i="5" s="1"/>
  <c r="N281" i="5"/>
  <c r="M281" i="5"/>
  <c r="H281" i="5" s="1"/>
  <c r="O281" i="5" s="1"/>
  <c r="L281" i="5"/>
  <c r="J281" i="5"/>
  <c r="I281" i="5"/>
  <c r="AE280" i="5"/>
  <c r="AG280" i="5" s="1"/>
  <c r="AH280" i="5" s="1"/>
  <c r="AD280" i="5"/>
  <c r="AC280" i="5"/>
  <c r="AA280" i="5"/>
  <c r="Z280" i="5"/>
  <c r="Y280" i="5"/>
  <c r="AF280" i="5" s="1"/>
  <c r="Q280" i="5"/>
  <c r="P280" i="5"/>
  <c r="N280" i="5"/>
  <c r="M280" i="5"/>
  <c r="L280" i="5"/>
  <c r="J280" i="5"/>
  <c r="I280" i="5"/>
  <c r="H280" i="5"/>
  <c r="O280" i="5" s="1"/>
  <c r="AE279" i="5"/>
  <c r="AG279" i="5" s="1"/>
  <c r="AH279" i="5" s="1"/>
  <c r="AD279" i="5"/>
  <c r="Y279" i="5" s="1"/>
  <c r="AC279" i="5"/>
  <c r="N279" i="5"/>
  <c r="M279" i="5"/>
  <c r="H279" i="5" s="1"/>
  <c r="L279" i="5"/>
  <c r="AE278" i="5"/>
  <c r="AG278" i="5" s="1"/>
  <c r="AH278" i="5" s="1"/>
  <c r="AD278" i="5"/>
  <c r="Y278" i="5" s="1"/>
  <c r="AC278" i="5"/>
  <c r="AA278" i="5"/>
  <c r="N278" i="5"/>
  <c r="P278" i="5" s="1"/>
  <c r="Q278" i="5" s="1"/>
  <c r="M278" i="5"/>
  <c r="L278" i="5"/>
  <c r="J278" i="5"/>
  <c r="I278" i="5"/>
  <c r="H278" i="5"/>
  <c r="O278" i="5" s="1"/>
  <c r="AG277" i="5"/>
  <c r="AE277" i="5"/>
  <c r="AD277" i="5"/>
  <c r="AH277" i="5" s="1"/>
  <c r="AC277" i="5"/>
  <c r="AA277" i="5"/>
  <c r="Z277" i="5"/>
  <c r="Y277" i="5"/>
  <c r="AF277" i="5" s="1"/>
  <c r="P277" i="5"/>
  <c r="Q277" i="5" s="1"/>
  <c r="N277" i="5"/>
  <c r="J277" i="5" s="1"/>
  <c r="M277" i="5"/>
  <c r="L277" i="5"/>
  <c r="H277" i="5"/>
  <c r="AE276" i="5"/>
  <c r="AD276" i="5"/>
  <c r="AC276" i="5"/>
  <c r="Y276" i="5"/>
  <c r="N276" i="5"/>
  <c r="M276" i="5"/>
  <c r="H276" i="5" s="1"/>
  <c r="L276" i="5"/>
  <c r="AE275" i="5"/>
  <c r="AD275" i="5"/>
  <c r="Y275" i="5" s="1"/>
  <c r="AF275" i="5" s="1"/>
  <c r="AC275" i="5"/>
  <c r="AA275" i="5"/>
  <c r="Z275" i="5"/>
  <c r="N275" i="5"/>
  <c r="P275" i="5" s="1"/>
  <c r="Q275" i="5" s="1"/>
  <c r="M275" i="5"/>
  <c r="H275" i="5" s="1"/>
  <c r="O275" i="5" s="1"/>
  <c r="L275" i="5"/>
  <c r="J275" i="5"/>
  <c r="I275" i="5"/>
  <c r="AE274" i="5"/>
  <c r="AD274" i="5"/>
  <c r="AC274" i="5"/>
  <c r="AA274" i="5"/>
  <c r="Z274" i="5"/>
  <c r="Y274" i="5"/>
  <c r="AF274" i="5" s="1"/>
  <c r="AG274" i="5" s="1"/>
  <c r="AH274" i="5" s="1"/>
  <c r="N274" i="5"/>
  <c r="J274" i="5" s="1"/>
  <c r="O274" i="5" s="1"/>
  <c r="P274" i="5" s="1"/>
  <c r="Q274" i="5" s="1"/>
  <c r="M274" i="5"/>
  <c r="L274" i="5"/>
  <c r="I274" i="5"/>
  <c r="H274" i="5"/>
  <c r="AE273" i="5"/>
  <c r="AA273" i="5" s="1"/>
  <c r="AD273" i="5"/>
  <c r="AC273" i="5"/>
  <c r="N273" i="5"/>
  <c r="I273" i="5" s="1"/>
  <c r="M273" i="5"/>
  <c r="H273" i="5" s="1"/>
  <c r="O273" i="5" s="1"/>
  <c r="L273" i="5"/>
  <c r="J273" i="5"/>
  <c r="AE272" i="5"/>
  <c r="AD272" i="5"/>
  <c r="AC272" i="5"/>
  <c r="AA272" i="5"/>
  <c r="Y272" i="5"/>
  <c r="N272" i="5"/>
  <c r="M272" i="5"/>
  <c r="L272" i="5"/>
  <c r="J272" i="5"/>
  <c r="I272" i="5"/>
  <c r="H272" i="5"/>
  <c r="O272" i="5" s="1"/>
  <c r="P272" i="5" s="1"/>
  <c r="Q272" i="5" s="1"/>
  <c r="AH271" i="5"/>
  <c r="AG271" i="5"/>
  <c r="AE271" i="5"/>
  <c r="AD271" i="5"/>
  <c r="AC271" i="5"/>
  <c r="AA271" i="5"/>
  <c r="Z271" i="5"/>
  <c r="AF271" i="5" s="1"/>
  <c r="Y271" i="5"/>
  <c r="N271" i="5"/>
  <c r="M271" i="5"/>
  <c r="H271" i="5" s="1"/>
  <c r="L271" i="5"/>
  <c r="AE270" i="5"/>
  <c r="AA270" i="5" s="1"/>
  <c r="AD270" i="5"/>
  <c r="Y270" i="5" s="1"/>
  <c r="AC270" i="5"/>
  <c r="N270" i="5"/>
  <c r="M270" i="5"/>
  <c r="L270" i="5"/>
  <c r="J270" i="5"/>
  <c r="I270" i="5"/>
  <c r="AE269" i="5"/>
  <c r="AD269" i="5"/>
  <c r="AC269" i="5"/>
  <c r="AA269" i="5"/>
  <c r="Z269" i="5"/>
  <c r="Y269" i="5"/>
  <c r="AF269" i="5" s="1"/>
  <c r="Q269" i="5"/>
  <c r="N269" i="5"/>
  <c r="M269" i="5"/>
  <c r="L269" i="5"/>
  <c r="J269" i="5"/>
  <c r="I269" i="5"/>
  <c r="H269" i="5"/>
  <c r="O269" i="5" s="1"/>
  <c r="P269" i="5" s="1"/>
  <c r="AE268" i="5"/>
  <c r="AD268" i="5"/>
  <c r="Y268" i="5" s="1"/>
  <c r="AC268" i="5"/>
  <c r="N268" i="5"/>
  <c r="M268" i="5"/>
  <c r="H268" i="5" s="1"/>
  <c r="L268" i="5"/>
  <c r="AE267" i="5"/>
  <c r="AD267" i="5"/>
  <c r="Y267" i="5" s="1"/>
  <c r="AC267" i="5"/>
  <c r="AA267" i="5"/>
  <c r="N267" i="5"/>
  <c r="M267" i="5"/>
  <c r="L267" i="5"/>
  <c r="J267" i="5"/>
  <c r="I267" i="5"/>
  <c r="H267" i="5"/>
  <c r="AE266" i="5"/>
  <c r="AD266" i="5"/>
  <c r="AG266" i="5" s="1"/>
  <c r="AH266" i="5" s="1"/>
  <c r="AC266" i="5"/>
  <c r="AA266" i="5"/>
  <c r="Z266" i="5"/>
  <c r="Y266" i="5"/>
  <c r="AF266" i="5" s="1"/>
  <c r="N266" i="5"/>
  <c r="J266" i="5" s="1"/>
  <c r="M266" i="5"/>
  <c r="L266" i="5"/>
  <c r="H266" i="5"/>
  <c r="AE265" i="5"/>
  <c r="AD265" i="5"/>
  <c r="AC265" i="5"/>
  <c r="Y265" i="5"/>
  <c r="N265" i="5"/>
  <c r="M265" i="5"/>
  <c r="H265" i="5" s="1"/>
  <c r="L265" i="5"/>
  <c r="AE264" i="5"/>
  <c r="AD264" i="5"/>
  <c r="Y264" i="5" s="1"/>
  <c r="AC264" i="5"/>
  <c r="AA264" i="5"/>
  <c r="Z264" i="5"/>
  <c r="N264" i="5"/>
  <c r="P264" i="5" s="1"/>
  <c r="Q264" i="5" s="1"/>
  <c r="M264" i="5"/>
  <c r="H264" i="5" s="1"/>
  <c r="O264" i="5" s="1"/>
  <c r="L264" i="5"/>
  <c r="J264" i="5"/>
  <c r="I264" i="5"/>
  <c r="AE263" i="5"/>
  <c r="AD263" i="5"/>
  <c r="AC263" i="5"/>
  <c r="AA263" i="5"/>
  <c r="Z263" i="5"/>
  <c r="Y263" i="5"/>
  <c r="AF263" i="5" s="1"/>
  <c r="AG263" i="5" s="1"/>
  <c r="AH263" i="5" s="1"/>
  <c r="P263" i="5"/>
  <c r="Q263" i="5" s="1"/>
  <c r="O263" i="5"/>
  <c r="N263" i="5"/>
  <c r="J263" i="5" s="1"/>
  <c r="M263" i="5"/>
  <c r="L263" i="5"/>
  <c r="I263" i="5"/>
  <c r="H263" i="5"/>
  <c r="AE262" i="5"/>
  <c r="AA262" i="5" s="1"/>
  <c r="AD262" i="5"/>
  <c r="Y262" i="5" s="1"/>
  <c r="AC262" i="5"/>
  <c r="N262" i="5"/>
  <c r="I262" i="5" s="1"/>
  <c r="M262" i="5"/>
  <c r="H262" i="5" s="1"/>
  <c r="L262" i="5"/>
  <c r="J262" i="5"/>
  <c r="AE261" i="5"/>
  <c r="AD261" i="5"/>
  <c r="AC261" i="5"/>
  <c r="AA261" i="5"/>
  <c r="Y261" i="5"/>
  <c r="N261" i="5"/>
  <c r="M261" i="5"/>
  <c r="L261" i="5"/>
  <c r="J261" i="5"/>
  <c r="I261" i="5"/>
  <c r="H261" i="5"/>
  <c r="O261" i="5" s="1"/>
  <c r="P261" i="5" s="1"/>
  <c r="Q261" i="5" s="1"/>
  <c r="AE260" i="5"/>
  <c r="AD260" i="5"/>
  <c r="AC260" i="5"/>
  <c r="AA260" i="5"/>
  <c r="Z260" i="5"/>
  <c r="AF260" i="5" s="1"/>
  <c r="AG260" i="5" s="1"/>
  <c r="AH260" i="5" s="1"/>
  <c r="Y260" i="5"/>
  <c r="N260" i="5"/>
  <c r="M260" i="5"/>
  <c r="H260" i="5" s="1"/>
  <c r="L260" i="5"/>
  <c r="AE259" i="5"/>
  <c r="AA259" i="5" s="1"/>
  <c r="AD259" i="5"/>
  <c r="Y259" i="5" s="1"/>
  <c r="AC259" i="5"/>
  <c r="N259" i="5"/>
  <c r="M259" i="5"/>
  <c r="L259" i="5"/>
  <c r="J259" i="5"/>
  <c r="I259" i="5"/>
  <c r="AE258" i="5"/>
  <c r="AG258" i="5" s="1"/>
  <c r="AH258" i="5" s="1"/>
  <c r="AD258" i="5"/>
  <c r="AC258" i="5"/>
  <c r="AA258" i="5"/>
  <c r="Z258" i="5"/>
  <c r="Y258" i="5"/>
  <c r="AF258" i="5" s="1"/>
  <c r="Q258" i="5"/>
  <c r="N258" i="5"/>
  <c r="M258" i="5"/>
  <c r="L258" i="5"/>
  <c r="J258" i="5"/>
  <c r="I258" i="5"/>
  <c r="H258" i="5"/>
  <c r="O258" i="5" s="1"/>
  <c r="P258" i="5" s="1"/>
  <c r="AE257" i="5"/>
  <c r="AD257" i="5"/>
  <c r="Y257" i="5" s="1"/>
  <c r="AC257" i="5"/>
  <c r="N257" i="5"/>
  <c r="M257" i="5"/>
  <c r="H257" i="5" s="1"/>
  <c r="L257" i="5"/>
  <c r="AE256" i="5"/>
  <c r="AD256" i="5"/>
  <c r="Y256" i="5" s="1"/>
  <c r="AC256" i="5"/>
  <c r="N256" i="5"/>
  <c r="P256" i="5" s="1"/>
  <c r="Q256" i="5" s="1"/>
  <c r="M256" i="5"/>
  <c r="L256" i="5"/>
  <c r="J256" i="5"/>
  <c r="I256" i="5"/>
  <c r="H256" i="5"/>
  <c r="O256" i="5" s="1"/>
  <c r="AE255" i="5"/>
  <c r="AD255" i="5"/>
  <c r="AC255" i="5"/>
  <c r="AA255" i="5"/>
  <c r="Z255" i="5"/>
  <c r="Y255" i="5"/>
  <c r="AF255" i="5" s="1"/>
  <c r="N255" i="5"/>
  <c r="J255" i="5" s="1"/>
  <c r="M255" i="5"/>
  <c r="L255" i="5"/>
  <c r="H255" i="5"/>
  <c r="AE254" i="5"/>
  <c r="AD254" i="5"/>
  <c r="AC254" i="5"/>
  <c r="Y254" i="5"/>
  <c r="N254" i="5"/>
  <c r="M254" i="5"/>
  <c r="H254" i="5" s="1"/>
  <c r="L254" i="5"/>
  <c r="AE253" i="5"/>
  <c r="AD253" i="5"/>
  <c r="Y253" i="5" s="1"/>
  <c r="AC253" i="5"/>
  <c r="AA253" i="5"/>
  <c r="Z253" i="5"/>
  <c r="N253" i="5"/>
  <c r="M253" i="5"/>
  <c r="H253" i="5" s="1"/>
  <c r="O253" i="5" s="1"/>
  <c r="L253" i="5"/>
  <c r="J253" i="5"/>
  <c r="I253" i="5"/>
  <c r="AE252" i="5"/>
  <c r="AD252" i="5"/>
  <c r="AC252" i="5"/>
  <c r="AA252" i="5"/>
  <c r="Z252" i="5"/>
  <c r="Y252" i="5"/>
  <c r="AF252" i="5" s="1"/>
  <c r="AG252" i="5" s="1"/>
  <c r="AH252" i="5" s="1"/>
  <c r="N252" i="5"/>
  <c r="J252" i="5" s="1"/>
  <c r="O252" i="5" s="1"/>
  <c r="P252" i="5" s="1"/>
  <c r="Q252" i="5" s="1"/>
  <c r="M252" i="5"/>
  <c r="L252" i="5"/>
  <c r="I252" i="5"/>
  <c r="H252" i="5"/>
  <c r="AE251" i="5"/>
  <c r="AA251" i="5" s="1"/>
  <c r="AD251" i="5"/>
  <c r="Y251" i="5" s="1"/>
  <c r="AC251" i="5"/>
  <c r="N251" i="5"/>
  <c r="I251" i="5" s="1"/>
  <c r="M251" i="5"/>
  <c r="H251" i="5" s="1"/>
  <c r="L251" i="5"/>
  <c r="J251" i="5"/>
  <c r="AE250" i="5"/>
  <c r="AD250" i="5"/>
  <c r="AC250" i="5"/>
  <c r="AA250" i="5"/>
  <c r="Y250" i="5"/>
  <c r="N250" i="5"/>
  <c r="M250" i="5"/>
  <c r="L250" i="5"/>
  <c r="J250" i="5"/>
  <c r="I250" i="5"/>
  <c r="H250" i="5"/>
  <c r="O250" i="5" s="1"/>
  <c r="P250" i="5" s="1"/>
  <c r="Q250" i="5" s="1"/>
  <c r="AG249" i="5"/>
  <c r="AH249" i="5" s="1"/>
  <c r="AE249" i="5"/>
  <c r="AD249" i="5"/>
  <c r="AC249" i="5"/>
  <c r="AA249" i="5"/>
  <c r="Z249" i="5"/>
  <c r="AF249" i="5" s="1"/>
  <c r="Y249" i="5"/>
  <c r="N249" i="5"/>
  <c r="J249" i="5" s="1"/>
  <c r="M249" i="5"/>
  <c r="H249" i="5" s="1"/>
  <c r="L249" i="5"/>
  <c r="AE248" i="5"/>
  <c r="AA248" i="5" s="1"/>
  <c r="AD248" i="5"/>
  <c r="Y248" i="5" s="1"/>
  <c r="AC248" i="5"/>
  <c r="N248" i="5"/>
  <c r="M248" i="5"/>
  <c r="L248" i="5"/>
  <c r="J248" i="5"/>
  <c r="I248" i="5"/>
  <c r="AE247" i="5"/>
  <c r="AG247" i="5" s="1"/>
  <c r="AH247" i="5" s="1"/>
  <c r="AD247" i="5"/>
  <c r="AC247" i="5"/>
  <c r="AA247" i="5"/>
  <c r="Z247" i="5"/>
  <c r="Y247" i="5"/>
  <c r="AF247" i="5" s="1"/>
  <c r="Q247" i="5"/>
  <c r="P247" i="5"/>
  <c r="N247" i="5"/>
  <c r="M247" i="5"/>
  <c r="L247" i="5"/>
  <c r="J247" i="5"/>
  <c r="I247" i="5"/>
  <c r="H247" i="5"/>
  <c r="O247" i="5" s="1"/>
  <c r="AE246" i="5"/>
  <c r="AG246" i="5" s="1"/>
  <c r="AH246" i="5" s="1"/>
  <c r="AD246" i="5"/>
  <c r="Y246" i="5" s="1"/>
  <c r="AC246" i="5"/>
  <c r="N246" i="5"/>
  <c r="M246" i="5"/>
  <c r="H246" i="5" s="1"/>
  <c r="L246" i="5"/>
  <c r="AE245" i="5"/>
  <c r="AG245" i="5" s="1"/>
  <c r="AH245" i="5" s="1"/>
  <c r="AD245" i="5"/>
  <c r="Y245" i="5" s="1"/>
  <c r="AC245" i="5"/>
  <c r="N245" i="5"/>
  <c r="P245" i="5" s="1"/>
  <c r="Q245" i="5" s="1"/>
  <c r="M245" i="5"/>
  <c r="L245" i="5"/>
  <c r="J245" i="5"/>
  <c r="I245" i="5"/>
  <c r="H245" i="5"/>
  <c r="AE244" i="5"/>
  <c r="AG244" i="5" s="1"/>
  <c r="AH244" i="5" s="1"/>
  <c r="AD244" i="5"/>
  <c r="AC244" i="5"/>
  <c r="AA244" i="5"/>
  <c r="Z244" i="5"/>
  <c r="Y244" i="5"/>
  <c r="AF244" i="5" s="1"/>
  <c r="P244" i="5"/>
  <c r="Q244" i="5" s="1"/>
  <c r="N244" i="5"/>
  <c r="J244" i="5" s="1"/>
  <c r="M244" i="5"/>
  <c r="L244" i="5"/>
  <c r="H244" i="5"/>
  <c r="AE243" i="5"/>
  <c r="AD243" i="5"/>
  <c r="AC243" i="5"/>
  <c r="Y243" i="5"/>
  <c r="N243" i="5"/>
  <c r="P243" i="5" s="1"/>
  <c r="Q243" i="5" s="1"/>
  <c r="M243" i="5"/>
  <c r="H243" i="5" s="1"/>
  <c r="L243" i="5"/>
  <c r="AE242" i="5"/>
  <c r="AG242" i="5" s="1"/>
  <c r="AH242" i="5" s="1"/>
  <c r="AD242" i="5"/>
  <c r="Y242" i="5" s="1"/>
  <c r="AC242" i="5"/>
  <c r="AA242" i="5"/>
  <c r="Z242" i="5"/>
  <c r="N242" i="5"/>
  <c r="P242" i="5" s="1"/>
  <c r="Q242" i="5" s="1"/>
  <c r="M242" i="5"/>
  <c r="H242" i="5" s="1"/>
  <c r="O242" i="5" s="1"/>
  <c r="L242" i="5"/>
  <c r="J242" i="5"/>
  <c r="I242" i="5"/>
  <c r="AH241" i="5"/>
  <c r="AG241" i="5"/>
  <c r="AE241" i="5"/>
  <c r="AD241" i="5"/>
  <c r="AC241" i="5"/>
  <c r="AA241" i="5"/>
  <c r="Z241" i="5"/>
  <c r="Y241" i="5"/>
  <c r="AF241" i="5" s="1"/>
  <c r="P241" i="5"/>
  <c r="Q241" i="5" s="1"/>
  <c r="N241" i="5"/>
  <c r="J241" i="5" s="1"/>
  <c r="O241" i="5" s="1"/>
  <c r="M241" i="5"/>
  <c r="L241" i="5"/>
  <c r="I241" i="5"/>
  <c r="H241" i="5"/>
  <c r="AG240" i="5"/>
  <c r="AH240" i="5" s="1"/>
  <c r="AE240" i="5"/>
  <c r="AA240" i="5" s="1"/>
  <c r="AD240" i="5"/>
  <c r="Y240" i="5" s="1"/>
  <c r="AC240" i="5"/>
  <c r="N240" i="5"/>
  <c r="I240" i="5" s="1"/>
  <c r="M240" i="5"/>
  <c r="H240" i="5" s="1"/>
  <c r="L240" i="5"/>
  <c r="J240" i="5"/>
  <c r="AE239" i="5"/>
  <c r="AG239" i="5" s="1"/>
  <c r="AH239" i="5" s="1"/>
  <c r="AD239" i="5"/>
  <c r="AC239" i="5"/>
  <c r="AA239" i="5"/>
  <c r="Y239" i="5"/>
  <c r="Q239" i="5"/>
  <c r="P239" i="5"/>
  <c r="N239" i="5"/>
  <c r="M239" i="5"/>
  <c r="L239" i="5"/>
  <c r="J239" i="5"/>
  <c r="I239" i="5"/>
  <c r="H239" i="5"/>
  <c r="O239" i="5" s="1"/>
  <c r="AG238" i="5"/>
  <c r="AH238" i="5" s="1"/>
  <c r="AE238" i="5"/>
  <c r="AD238" i="5"/>
  <c r="AC238" i="5"/>
  <c r="AA238" i="5"/>
  <c r="Z238" i="5"/>
  <c r="AF238" i="5" s="1"/>
  <c r="Y238" i="5"/>
  <c r="P238" i="5"/>
  <c r="Q238" i="5" s="1"/>
  <c r="N238" i="5"/>
  <c r="J238" i="5" s="1"/>
  <c r="M238" i="5"/>
  <c r="H238" i="5" s="1"/>
  <c r="L238" i="5"/>
  <c r="AE237" i="5"/>
  <c r="AA237" i="5" s="1"/>
  <c r="AD237" i="5"/>
  <c r="Y237" i="5" s="1"/>
  <c r="AC237" i="5"/>
  <c r="P237" i="5"/>
  <c r="Q237" i="5" s="1"/>
  <c r="N237" i="5"/>
  <c r="M237" i="5"/>
  <c r="H237" i="5" s="1"/>
  <c r="O237" i="5" s="1"/>
  <c r="L237" i="5"/>
  <c r="J237" i="5"/>
  <c r="I237" i="5"/>
  <c r="AE236" i="5"/>
  <c r="AG236" i="5" s="1"/>
  <c r="AH236" i="5" s="1"/>
  <c r="AD236" i="5"/>
  <c r="AC236" i="5"/>
  <c r="AA236" i="5"/>
  <c r="Z236" i="5"/>
  <c r="Y236" i="5"/>
  <c r="AF236" i="5" s="1"/>
  <c r="Q236" i="5"/>
  <c r="P236" i="5"/>
  <c r="N236" i="5"/>
  <c r="M236" i="5"/>
  <c r="L236" i="5"/>
  <c r="J236" i="5"/>
  <c r="I236" i="5"/>
  <c r="H236" i="5"/>
  <c r="O236" i="5" s="1"/>
  <c r="AE235" i="5"/>
  <c r="AG235" i="5" s="1"/>
  <c r="AH235" i="5" s="1"/>
  <c r="AD235" i="5"/>
  <c r="Y235" i="5" s="1"/>
  <c r="AC235" i="5"/>
  <c r="N235" i="5"/>
  <c r="M235" i="5"/>
  <c r="H235" i="5" s="1"/>
  <c r="L235" i="5"/>
  <c r="AE234" i="5"/>
  <c r="AG234" i="5" s="1"/>
  <c r="AH234" i="5" s="1"/>
  <c r="AD234" i="5"/>
  <c r="Y234" i="5" s="1"/>
  <c r="AC234" i="5"/>
  <c r="AB234" i="5"/>
  <c r="N234" i="5"/>
  <c r="I234" i="5" s="1"/>
  <c r="M234" i="5"/>
  <c r="H234" i="5" s="1"/>
  <c r="L234" i="5"/>
  <c r="K234" i="5"/>
  <c r="O234" i="5" s="1"/>
  <c r="J234" i="5"/>
  <c r="AE233" i="5"/>
  <c r="AG233" i="5" s="1"/>
  <c r="AH233" i="5" s="1"/>
  <c r="AD233" i="5"/>
  <c r="AC233" i="5"/>
  <c r="AB233" i="5"/>
  <c r="Z233" i="5"/>
  <c r="Y233" i="5"/>
  <c r="N233" i="5"/>
  <c r="P233" i="5" s="1"/>
  <c r="Q233" i="5" s="1"/>
  <c r="M233" i="5"/>
  <c r="L233" i="5"/>
  <c r="K233" i="5"/>
  <c r="J233" i="5"/>
  <c r="I233" i="5"/>
  <c r="H233" i="5"/>
  <c r="AE232" i="5"/>
  <c r="AG232" i="5" s="1"/>
  <c r="AH232" i="5" s="1"/>
  <c r="AD232" i="5"/>
  <c r="Y232" i="5" s="1"/>
  <c r="AC232" i="5"/>
  <c r="AB232" i="5"/>
  <c r="AA232" i="5"/>
  <c r="Z232" i="5"/>
  <c r="Q232" i="5"/>
  <c r="P232" i="5"/>
  <c r="N232" i="5"/>
  <c r="M232" i="5"/>
  <c r="L232" i="5"/>
  <c r="K232" i="5"/>
  <c r="J232" i="5"/>
  <c r="I232" i="5"/>
  <c r="H232" i="5"/>
  <c r="O232" i="5" s="1"/>
  <c r="AH231" i="5"/>
  <c r="AG231" i="5"/>
  <c r="AE231" i="5"/>
  <c r="AD231" i="5"/>
  <c r="AC231" i="5"/>
  <c r="AB231" i="5"/>
  <c r="AF231" i="5" s="1"/>
  <c r="AA231" i="5"/>
  <c r="Z231" i="5"/>
  <c r="Y231" i="5"/>
  <c r="N231" i="5"/>
  <c r="P231" i="5" s="1"/>
  <c r="Q231" i="5" s="1"/>
  <c r="M231" i="5"/>
  <c r="L231" i="5"/>
  <c r="K231" i="5"/>
  <c r="H231" i="5"/>
  <c r="AE230" i="5"/>
  <c r="AD230" i="5"/>
  <c r="AC230" i="5"/>
  <c r="AB230" i="5"/>
  <c r="Y230" i="5"/>
  <c r="P230" i="5"/>
  <c r="Q230" i="5" s="1"/>
  <c r="N230" i="5"/>
  <c r="J230" i="5" s="1"/>
  <c r="M230" i="5"/>
  <c r="H230" i="5" s="1"/>
  <c r="L230" i="5"/>
  <c r="K230" i="5"/>
  <c r="AE229" i="5"/>
  <c r="AA229" i="5" s="1"/>
  <c r="AD229" i="5"/>
  <c r="Y229" i="5" s="1"/>
  <c r="AC229" i="5"/>
  <c r="AB229" i="5"/>
  <c r="N229" i="5"/>
  <c r="P229" i="5" s="1"/>
  <c r="Q229" i="5" s="1"/>
  <c r="M229" i="5"/>
  <c r="H229" i="5" s="1"/>
  <c r="L229" i="5"/>
  <c r="K229" i="5"/>
  <c r="AE228" i="5"/>
  <c r="Z228" i="5" s="1"/>
  <c r="AD228" i="5"/>
  <c r="Y228" i="5" s="1"/>
  <c r="AC228" i="5"/>
  <c r="AB228" i="5"/>
  <c r="AF228" i="5" s="1"/>
  <c r="AA228" i="5"/>
  <c r="N228" i="5"/>
  <c r="P228" i="5" s="1"/>
  <c r="Q228" i="5" s="1"/>
  <c r="M228" i="5"/>
  <c r="L228" i="5"/>
  <c r="K228" i="5"/>
  <c r="I228" i="5"/>
  <c r="H228" i="5"/>
  <c r="AE227" i="5"/>
  <c r="AG227" i="5" s="1"/>
  <c r="AH227" i="5" s="1"/>
  <c r="AD227" i="5"/>
  <c r="AC227" i="5"/>
  <c r="AB227" i="5"/>
  <c r="AA227" i="5"/>
  <c r="Z227" i="5"/>
  <c r="Y227" i="5"/>
  <c r="N227" i="5"/>
  <c r="P227" i="5" s="1"/>
  <c r="Q227" i="5" s="1"/>
  <c r="M227" i="5"/>
  <c r="H227" i="5" s="1"/>
  <c r="L227" i="5"/>
  <c r="K227" i="5"/>
  <c r="J227" i="5"/>
  <c r="I227" i="5"/>
  <c r="AH226" i="5"/>
  <c r="AG226" i="5"/>
  <c r="AE226" i="5"/>
  <c r="AD226" i="5"/>
  <c r="AC226" i="5"/>
  <c r="AB226" i="5"/>
  <c r="AA226" i="5"/>
  <c r="Z226" i="5"/>
  <c r="Y226" i="5"/>
  <c r="AF226" i="5" s="1"/>
  <c r="Q226" i="5"/>
  <c r="P226" i="5"/>
  <c r="N226" i="5"/>
  <c r="M226" i="5"/>
  <c r="L226" i="5"/>
  <c r="K226" i="5"/>
  <c r="O226" i="5" s="1"/>
  <c r="J226" i="5"/>
  <c r="I226" i="5"/>
  <c r="H226" i="5"/>
  <c r="AE225" i="5"/>
  <c r="AG225" i="5" s="1"/>
  <c r="AH225" i="5" s="1"/>
  <c r="AD225" i="5"/>
  <c r="AC225" i="5"/>
  <c r="AB225" i="5"/>
  <c r="Y225" i="5"/>
  <c r="N225" i="5"/>
  <c r="M225" i="5"/>
  <c r="L225" i="5"/>
  <c r="K225" i="5"/>
  <c r="H225" i="5"/>
  <c r="AG224" i="5"/>
  <c r="AH224" i="5" s="1"/>
  <c r="AE224" i="5"/>
  <c r="AA224" i="5" s="1"/>
  <c r="AD224" i="5"/>
  <c r="Y224" i="5" s="1"/>
  <c r="AC224" i="5"/>
  <c r="AB224" i="5"/>
  <c r="N224" i="5"/>
  <c r="J224" i="5" s="1"/>
  <c r="M224" i="5"/>
  <c r="H224" i="5" s="1"/>
  <c r="L224" i="5"/>
  <c r="K224" i="5"/>
  <c r="AE223" i="5"/>
  <c r="AG223" i="5" s="1"/>
  <c r="AH223" i="5" s="1"/>
  <c r="AD223" i="5"/>
  <c r="Y223" i="5" s="1"/>
  <c r="AC223" i="5"/>
  <c r="AB223" i="5"/>
  <c r="N223" i="5"/>
  <c r="I223" i="5" s="1"/>
  <c r="M223" i="5"/>
  <c r="H223" i="5" s="1"/>
  <c r="L223" i="5"/>
  <c r="K223" i="5"/>
  <c r="O223" i="5" s="1"/>
  <c r="J223" i="5"/>
  <c r="AE222" i="5"/>
  <c r="AG222" i="5" s="1"/>
  <c r="AH222" i="5" s="1"/>
  <c r="AD222" i="5"/>
  <c r="AC222" i="5"/>
  <c r="AB222" i="5"/>
  <c r="Z222" i="5"/>
  <c r="Y222" i="5"/>
  <c r="N222" i="5"/>
  <c r="P222" i="5" s="1"/>
  <c r="Q222" i="5" s="1"/>
  <c r="M222" i="5"/>
  <c r="L222" i="5"/>
  <c r="K222" i="5"/>
  <c r="J222" i="5"/>
  <c r="I222" i="5"/>
  <c r="H222" i="5"/>
  <c r="AE221" i="5"/>
  <c r="AG221" i="5" s="1"/>
  <c r="AH221" i="5" s="1"/>
  <c r="AD221" i="5"/>
  <c r="Y221" i="5" s="1"/>
  <c r="AC221" i="5"/>
  <c r="AB221" i="5"/>
  <c r="AA221" i="5"/>
  <c r="Z221" i="5"/>
  <c r="Q221" i="5"/>
  <c r="P221" i="5"/>
  <c r="N221" i="5"/>
  <c r="M221" i="5"/>
  <c r="L221" i="5"/>
  <c r="K221" i="5"/>
  <c r="J221" i="5"/>
  <c r="I221" i="5"/>
  <c r="H221" i="5"/>
  <c r="O221" i="5" s="1"/>
  <c r="AH220" i="5"/>
  <c r="AG220" i="5"/>
  <c r="AE220" i="5"/>
  <c r="AD220" i="5"/>
  <c r="AC220" i="5"/>
  <c r="AB220" i="5"/>
  <c r="AF220" i="5" s="1"/>
  <c r="AA220" i="5"/>
  <c r="Z220" i="5"/>
  <c r="Y220" i="5"/>
  <c r="N220" i="5"/>
  <c r="P220" i="5" s="1"/>
  <c r="Q220" i="5" s="1"/>
  <c r="M220" i="5"/>
  <c r="L220" i="5"/>
  <c r="K220" i="5"/>
  <c r="H220" i="5"/>
  <c r="AE219" i="5"/>
  <c r="AD219" i="5"/>
  <c r="AC219" i="5"/>
  <c r="AB219" i="5"/>
  <c r="Y219" i="5"/>
  <c r="P219" i="5"/>
  <c r="Q219" i="5" s="1"/>
  <c r="N219" i="5"/>
  <c r="J219" i="5" s="1"/>
  <c r="M219" i="5"/>
  <c r="H219" i="5" s="1"/>
  <c r="L219" i="5"/>
  <c r="K219" i="5"/>
  <c r="AE218" i="5"/>
  <c r="AA218" i="5" s="1"/>
  <c r="AD218" i="5"/>
  <c r="Y218" i="5" s="1"/>
  <c r="AC218" i="5"/>
  <c r="AB218" i="5"/>
  <c r="N218" i="5"/>
  <c r="P218" i="5" s="1"/>
  <c r="Q218" i="5" s="1"/>
  <c r="M218" i="5"/>
  <c r="H218" i="5" s="1"/>
  <c r="L218" i="5"/>
  <c r="K218" i="5"/>
  <c r="AE217" i="5"/>
  <c r="Z217" i="5" s="1"/>
  <c r="AD217" i="5"/>
  <c r="Y217" i="5" s="1"/>
  <c r="AC217" i="5"/>
  <c r="AB217" i="5"/>
  <c r="AF217" i="5" s="1"/>
  <c r="AA217" i="5"/>
  <c r="N217" i="5"/>
  <c r="P217" i="5" s="1"/>
  <c r="Q217" i="5" s="1"/>
  <c r="M217" i="5"/>
  <c r="L217" i="5"/>
  <c r="K217" i="5"/>
  <c r="I217" i="5"/>
  <c r="H217" i="5"/>
  <c r="AE216" i="5"/>
  <c r="AG216" i="5" s="1"/>
  <c r="AH216" i="5" s="1"/>
  <c r="AD216" i="5"/>
  <c r="AC216" i="5"/>
  <c r="AB216" i="5"/>
  <c r="AA216" i="5"/>
  <c r="Z216" i="5"/>
  <c r="Y216" i="5"/>
  <c r="N216" i="5"/>
  <c r="P216" i="5" s="1"/>
  <c r="Q216" i="5" s="1"/>
  <c r="M216" i="5"/>
  <c r="H216" i="5" s="1"/>
  <c r="L216" i="5"/>
  <c r="K216" i="5"/>
  <c r="J216" i="5"/>
  <c r="I216" i="5"/>
  <c r="AH215" i="5"/>
  <c r="AG215" i="5"/>
  <c r="AE215" i="5"/>
  <c r="AD215" i="5"/>
  <c r="AC215" i="5"/>
  <c r="AB215" i="5"/>
  <c r="AA215" i="5"/>
  <c r="Z215" i="5"/>
  <c r="Y215" i="5"/>
  <c r="AF215" i="5" s="1"/>
  <c r="Q215" i="5"/>
  <c r="P215" i="5"/>
  <c r="N215" i="5"/>
  <c r="M215" i="5"/>
  <c r="L215" i="5"/>
  <c r="K215" i="5"/>
  <c r="O215" i="5" s="1"/>
  <c r="J215" i="5"/>
  <c r="I215" i="5"/>
  <c r="H215" i="5"/>
  <c r="AE214" i="5"/>
  <c r="AG214" i="5" s="1"/>
  <c r="AH214" i="5" s="1"/>
  <c r="AD214" i="5"/>
  <c r="AC214" i="5"/>
  <c r="AB214" i="5"/>
  <c r="Y214" i="5"/>
  <c r="N214" i="5"/>
  <c r="M214" i="5"/>
  <c r="L214" i="5"/>
  <c r="K214" i="5"/>
  <c r="H214" i="5"/>
  <c r="AG213" i="5"/>
  <c r="AH213" i="5" s="1"/>
  <c r="AE213" i="5"/>
  <c r="AA213" i="5" s="1"/>
  <c r="AD213" i="5"/>
  <c r="Y213" i="5" s="1"/>
  <c r="AC213" i="5"/>
  <c r="AB213" i="5"/>
  <c r="N213" i="5"/>
  <c r="J213" i="5" s="1"/>
  <c r="M213" i="5"/>
  <c r="H213" i="5" s="1"/>
  <c r="L213" i="5"/>
  <c r="K213" i="5"/>
  <c r="AE212" i="5"/>
  <c r="AG212" i="5" s="1"/>
  <c r="AH212" i="5" s="1"/>
  <c r="AD212" i="5"/>
  <c r="Y212" i="5" s="1"/>
  <c r="AC212" i="5"/>
  <c r="AB212" i="5"/>
  <c r="N212" i="5"/>
  <c r="I212" i="5" s="1"/>
  <c r="M212" i="5"/>
  <c r="H212" i="5" s="1"/>
  <c r="L212" i="5"/>
  <c r="K212" i="5"/>
  <c r="O212" i="5" s="1"/>
  <c r="J212" i="5"/>
  <c r="AE211" i="5"/>
  <c r="AG211" i="5" s="1"/>
  <c r="AH211" i="5" s="1"/>
  <c r="AD211" i="5"/>
  <c r="AC211" i="5"/>
  <c r="AB211" i="5"/>
  <c r="Z211" i="5"/>
  <c r="Y211" i="5"/>
  <c r="N211" i="5"/>
  <c r="P211" i="5" s="1"/>
  <c r="Q211" i="5" s="1"/>
  <c r="M211" i="5"/>
  <c r="L211" i="5"/>
  <c r="K211" i="5"/>
  <c r="J211" i="5"/>
  <c r="I211" i="5"/>
  <c r="H211" i="5"/>
  <c r="AE210" i="5"/>
  <c r="AG210" i="5" s="1"/>
  <c r="AH210" i="5" s="1"/>
  <c r="AD210" i="5"/>
  <c r="Y210" i="5" s="1"/>
  <c r="AC210" i="5"/>
  <c r="AB210" i="5"/>
  <c r="AA210" i="5"/>
  <c r="Z210" i="5"/>
  <c r="Q210" i="5"/>
  <c r="P210" i="5"/>
  <c r="N210" i="5"/>
  <c r="M210" i="5"/>
  <c r="L210" i="5"/>
  <c r="K210" i="5"/>
  <c r="J210" i="5"/>
  <c r="I210" i="5"/>
  <c r="H210" i="5"/>
  <c r="O210" i="5" s="1"/>
  <c r="AH209" i="5"/>
  <c r="AG209" i="5"/>
  <c r="AE209" i="5"/>
  <c r="AD209" i="5"/>
  <c r="AC209" i="5"/>
  <c r="AB209" i="5"/>
  <c r="AF209" i="5" s="1"/>
  <c r="AA209" i="5"/>
  <c r="Z209" i="5"/>
  <c r="Y209" i="5"/>
  <c r="N209" i="5"/>
  <c r="P209" i="5" s="1"/>
  <c r="Q209" i="5" s="1"/>
  <c r="M209" i="5"/>
  <c r="L209" i="5"/>
  <c r="K209" i="5"/>
  <c r="H209" i="5"/>
  <c r="AE208" i="5"/>
  <c r="AD208" i="5"/>
  <c r="AC208" i="5"/>
  <c r="AB208" i="5"/>
  <c r="Y208" i="5"/>
  <c r="P208" i="5"/>
  <c r="Q208" i="5" s="1"/>
  <c r="N208" i="5"/>
  <c r="J208" i="5" s="1"/>
  <c r="M208" i="5"/>
  <c r="H208" i="5" s="1"/>
  <c r="L208" i="5"/>
  <c r="K208" i="5"/>
  <c r="AE207" i="5"/>
  <c r="AA207" i="5" s="1"/>
  <c r="AD207" i="5"/>
  <c r="Y207" i="5" s="1"/>
  <c r="AC207" i="5"/>
  <c r="AB207" i="5"/>
  <c r="N207" i="5"/>
  <c r="P207" i="5" s="1"/>
  <c r="Q207" i="5" s="1"/>
  <c r="M207" i="5"/>
  <c r="H207" i="5" s="1"/>
  <c r="L207" i="5"/>
  <c r="K207" i="5"/>
  <c r="AE206" i="5"/>
  <c r="Z206" i="5" s="1"/>
  <c r="AD206" i="5"/>
  <c r="Y206" i="5" s="1"/>
  <c r="AC206" i="5"/>
  <c r="AB206" i="5"/>
  <c r="AF206" i="5" s="1"/>
  <c r="AA206" i="5"/>
  <c r="N206" i="5"/>
  <c r="P206" i="5" s="1"/>
  <c r="Q206" i="5" s="1"/>
  <c r="M206" i="5"/>
  <c r="L206" i="5"/>
  <c r="K206" i="5"/>
  <c r="I206" i="5"/>
  <c r="H206" i="5"/>
  <c r="AE205" i="5"/>
  <c r="AG205" i="5" s="1"/>
  <c r="AH205" i="5" s="1"/>
  <c r="AD205" i="5"/>
  <c r="AC205" i="5"/>
  <c r="AB205" i="5"/>
  <c r="AA205" i="5"/>
  <c r="Z205" i="5"/>
  <c r="Y205" i="5"/>
  <c r="N205" i="5"/>
  <c r="P205" i="5" s="1"/>
  <c r="Q205" i="5" s="1"/>
  <c r="M205" i="5"/>
  <c r="H205" i="5" s="1"/>
  <c r="L205" i="5"/>
  <c r="K205" i="5"/>
  <c r="J205" i="5"/>
  <c r="I205" i="5"/>
  <c r="AH204" i="5"/>
  <c r="AG204" i="5"/>
  <c r="AE204" i="5"/>
  <c r="AD204" i="5"/>
  <c r="AC204" i="5"/>
  <c r="AB204" i="5"/>
  <c r="AA204" i="5"/>
  <c r="Z204" i="5"/>
  <c r="Y204" i="5"/>
  <c r="AF204" i="5" s="1"/>
  <c r="Q204" i="5"/>
  <c r="P204" i="5"/>
  <c r="N204" i="5"/>
  <c r="M204" i="5"/>
  <c r="L204" i="5"/>
  <c r="K204" i="5"/>
  <c r="O204" i="5" s="1"/>
  <c r="J204" i="5"/>
  <c r="I204" i="5"/>
  <c r="H204" i="5"/>
  <c r="AE203" i="5"/>
  <c r="AG203" i="5" s="1"/>
  <c r="AH203" i="5" s="1"/>
  <c r="AD203" i="5"/>
  <c r="Y203" i="5" s="1"/>
  <c r="AC203" i="5"/>
  <c r="N203" i="5"/>
  <c r="M203" i="5"/>
  <c r="H203" i="5" s="1"/>
  <c r="L203" i="5"/>
  <c r="AE202" i="5"/>
  <c r="AG202" i="5" s="1"/>
  <c r="AH202" i="5" s="1"/>
  <c r="AD202" i="5"/>
  <c r="Y202" i="5" s="1"/>
  <c r="AC202" i="5"/>
  <c r="N202" i="5"/>
  <c r="P202" i="5" s="1"/>
  <c r="Q202" i="5" s="1"/>
  <c r="M202" i="5"/>
  <c r="L202" i="5"/>
  <c r="J202" i="5"/>
  <c r="I202" i="5"/>
  <c r="H202" i="5"/>
  <c r="AE201" i="5"/>
  <c r="AG201" i="5" s="1"/>
  <c r="AH201" i="5" s="1"/>
  <c r="AD201" i="5"/>
  <c r="AC201" i="5"/>
  <c r="AA201" i="5"/>
  <c r="Z201" i="5"/>
  <c r="Y201" i="5"/>
  <c r="AF201" i="5" s="1"/>
  <c r="P201" i="5"/>
  <c r="Q201" i="5" s="1"/>
  <c r="N201" i="5"/>
  <c r="J201" i="5" s="1"/>
  <c r="M201" i="5"/>
  <c r="L201" i="5"/>
  <c r="H201" i="5"/>
  <c r="AE200" i="5"/>
  <c r="AD200" i="5"/>
  <c r="AC200" i="5"/>
  <c r="Y200" i="5"/>
  <c r="N200" i="5"/>
  <c r="P200" i="5" s="1"/>
  <c r="Q200" i="5" s="1"/>
  <c r="M200" i="5"/>
  <c r="H200" i="5" s="1"/>
  <c r="L200" i="5"/>
  <c r="AE199" i="5"/>
  <c r="AG199" i="5" s="1"/>
  <c r="AH199" i="5" s="1"/>
  <c r="AD199" i="5"/>
  <c r="Y199" i="5" s="1"/>
  <c r="AF199" i="5" s="1"/>
  <c r="AC199" i="5"/>
  <c r="AA199" i="5"/>
  <c r="Z199" i="5"/>
  <c r="N199" i="5"/>
  <c r="P199" i="5" s="1"/>
  <c r="Q199" i="5" s="1"/>
  <c r="M199" i="5"/>
  <c r="H199" i="5" s="1"/>
  <c r="O199" i="5" s="1"/>
  <c r="L199" i="5"/>
  <c r="J199" i="5"/>
  <c r="I199" i="5"/>
  <c r="AH198" i="5"/>
  <c r="AG198" i="5"/>
  <c r="AE198" i="5"/>
  <c r="AD198" i="5"/>
  <c r="AC198" i="5"/>
  <c r="AA198" i="5"/>
  <c r="Z198" i="5"/>
  <c r="Y198" i="5"/>
  <c r="AF198" i="5" s="1"/>
  <c r="P198" i="5"/>
  <c r="Q198" i="5" s="1"/>
  <c r="O198" i="5"/>
  <c r="N198" i="5"/>
  <c r="J198" i="5" s="1"/>
  <c r="M198" i="5"/>
  <c r="L198" i="5"/>
  <c r="I198" i="5"/>
  <c r="H198" i="5"/>
  <c r="AG197" i="5"/>
  <c r="AH197" i="5" s="1"/>
  <c r="AE197" i="5"/>
  <c r="AA197" i="5" s="1"/>
  <c r="AD197" i="5"/>
  <c r="Y197" i="5" s="1"/>
  <c r="AC197" i="5"/>
  <c r="N197" i="5"/>
  <c r="I197" i="5" s="1"/>
  <c r="M197" i="5"/>
  <c r="H197" i="5" s="1"/>
  <c r="O197" i="5" s="1"/>
  <c r="L197" i="5"/>
  <c r="J197" i="5"/>
  <c r="AE196" i="5"/>
  <c r="AG196" i="5" s="1"/>
  <c r="AH196" i="5" s="1"/>
  <c r="AD196" i="5"/>
  <c r="AC196" i="5"/>
  <c r="AA196" i="5"/>
  <c r="Y196" i="5"/>
  <c r="Q196" i="5"/>
  <c r="P196" i="5"/>
  <c r="N196" i="5"/>
  <c r="M196" i="5"/>
  <c r="L196" i="5"/>
  <c r="J196" i="5"/>
  <c r="I196" i="5"/>
  <c r="H196" i="5"/>
  <c r="O196" i="5" s="1"/>
  <c r="AG195" i="5"/>
  <c r="AH195" i="5" s="1"/>
  <c r="AE195" i="5"/>
  <c r="AD195" i="5"/>
  <c r="AC195" i="5"/>
  <c r="AA195" i="5"/>
  <c r="Z195" i="5"/>
  <c r="AF195" i="5" s="1"/>
  <c r="Y195" i="5"/>
  <c r="Q195" i="5"/>
  <c r="P195" i="5"/>
  <c r="N195" i="5"/>
  <c r="J195" i="5" s="1"/>
  <c r="M195" i="5"/>
  <c r="H195" i="5" s="1"/>
  <c r="L195" i="5"/>
  <c r="AE194" i="5"/>
  <c r="AA194" i="5" s="1"/>
  <c r="AD194" i="5"/>
  <c r="Y194" i="5" s="1"/>
  <c r="AC194" i="5"/>
  <c r="AB194" i="5"/>
  <c r="N194" i="5"/>
  <c r="P194" i="5" s="1"/>
  <c r="Q194" i="5" s="1"/>
  <c r="M194" i="5"/>
  <c r="H194" i="5" s="1"/>
  <c r="L194" i="5"/>
  <c r="K194" i="5"/>
  <c r="AE193" i="5"/>
  <c r="Z193" i="5" s="1"/>
  <c r="AD193" i="5"/>
  <c r="Y193" i="5" s="1"/>
  <c r="AC193" i="5"/>
  <c r="AB193" i="5"/>
  <c r="AA193" i="5"/>
  <c r="N193" i="5"/>
  <c r="P193" i="5" s="1"/>
  <c r="Q193" i="5" s="1"/>
  <c r="M193" i="5"/>
  <c r="L193" i="5"/>
  <c r="K193" i="5"/>
  <c r="I193" i="5"/>
  <c r="H193" i="5"/>
  <c r="AE192" i="5"/>
  <c r="AG192" i="5" s="1"/>
  <c r="AH192" i="5" s="1"/>
  <c r="AD192" i="5"/>
  <c r="AC192" i="5"/>
  <c r="AB192" i="5"/>
  <c r="AA192" i="5"/>
  <c r="Z192" i="5"/>
  <c r="Y192" i="5"/>
  <c r="N192" i="5"/>
  <c r="P192" i="5" s="1"/>
  <c r="Q192" i="5" s="1"/>
  <c r="M192" i="5"/>
  <c r="H192" i="5" s="1"/>
  <c r="L192" i="5"/>
  <c r="K192" i="5"/>
  <c r="J192" i="5"/>
  <c r="I192" i="5"/>
  <c r="AH191" i="5"/>
  <c r="AG191" i="5"/>
  <c r="AE191" i="5"/>
  <c r="AD191" i="5"/>
  <c r="AC191" i="5"/>
  <c r="AB191" i="5"/>
  <c r="AA191" i="5"/>
  <c r="Z191" i="5"/>
  <c r="Y191" i="5"/>
  <c r="AF191" i="5" s="1"/>
  <c r="Q191" i="5"/>
  <c r="P191" i="5"/>
  <c r="N191" i="5"/>
  <c r="M191" i="5"/>
  <c r="L191" i="5"/>
  <c r="K191" i="5"/>
  <c r="O191" i="5" s="1"/>
  <c r="J191" i="5"/>
  <c r="I191" i="5"/>
  <c r="H191" i="5"/>
  <c r="AE190" i="5"/>
  <c r="AG190" i="5" s="1"/>
  <c r="AH190" i="5" s="1"/>
  <c r="AD190" i="5"/>
  <c r="AC190" i="5"/>
  <c r="AB190" i="5"/>
  <c r="Y190" i="5"/>
  <c r="N190" i="5"/>
  <c r="M190" i="5"/>
  <c r="L190" i="5"/>
  <c r="K190" i="5"/>
  <c r="H190" i="5"/>
  <c r="AG189" i="5"/>
  <c r="AH189" i="5" s="1"/>
  <c r="AE189" i="5"/>
  <c r="AA189" i="5" s="1"/>
  <c r="AD189" i="5"/>
  <c r="Y189" i="5" s="1"/>
  <c r="AC189" i="5"/>
  <c r="AB189" i="5"/>
  <c r="N189" i="5"/>
  <c r="J189" i="5" s="1"/>
  <c r="M189" i="5"/>
  <c r="H189" i="5" s="1"/>
  <c r="L189" i="5"/>
  <c r="K189" i="5"/>
  <c r="AE188" i="5"/>
  <c r="AG188" i="5" s="1"/>
  <c r="AH188" i="5" s="1"/>
  <c r="AD188" i="5"/>
  <c r="Y188" i="5" s="1"/>
  <c r="AC188" i="5"/>
  <c r="AB188" i="5"/>
  <c r="N188" i="5"/>
  <c r="I188" i="5" s="1"/>
  <c r="M188" i="5"/>
  <c r="H188" i="5" s="1"/>
  <c r="L188" i="5"/>
  <c r="K188" i="5"/>
  <c r="J188" i="5"/>
  <c r="AE187" i="5"/>
  <c r="AG187" i="5" s="1"/>
  <c r="AH187" i="5" s="1"/>
  <c r="AD187" i="5"/>
  <c r="AC187" i="5"/>
  <c r="AB187" i="5"/>
  <c r="Z187" i="5"/>
  <c r="Y187" i="5"/>
  <c r="N187" i="5"/>
  <c r="P187" i="5" s="1"/>
  <c r="Q187" i="5" s="1"/>
  <c r="M187" i="5"/>
  <c r="L187" i="5"/>
  <c r="K187" i="5"/>
  <c r="J187" i="5"/>
  <c r="I187" i="5"/>
  <c r="H187" i="5"/>
  <c r="AE186" i="5"/>
  <c r="AG186" i="5" s="1"/>
  <c r="AH186" i="5" s="1"/>
  <c r="AD186" i="5"/>
  <c r="Y186" i="5" s="1"/>
  <c r="AC186" i="5"/>
  <c r="AB186" i="5"/>
  <c r="AA186" i="5"/>
  <c r="Z186" i="5"/>
  <c r="Q186" i="5"/>
  <c r="P186" i="5"/>
  <c r="N186" i="5"/>
  <c r="M186" i="5"/>
  <c r="L186" i="5"/>
  <c r="K186" i="5"/>
  <c r="J186" i="5"/>
  <c r="I186" i="5"/>
  <c r="H186" i="5"/>
  <c r="O186" i="5" s="1"/>
  <c r="AH185" i="5"/>
  <c r="AG185" i="5"/>
  <c r="AE185" i="5"/>
  <c r="AD185" i="5"/>
  <c r="AC185" i="5"/>
  <c r="AB185" i="5"/>
  <c r="AF185" i="5" s="1"/>
  <c r="AA185" i="5"/>
  <c r="Z185" i="5"/>
  <c r="Y185" i="5"/>
  <c r="N185" i="5"/>
  <c r="P185" i="5" s="1"/>
  <c r="Q185" i="5" s="1"/>
  <c r="M185" i="5"/>
  <c r="L185" i="5"/>
  <c r="K185" i="5"/>
  <c r="H185" i="5"/>
  <c r="AE184" i="5"/>
  <c r="AD184" i="5"/>
  <c r="AC184" i="5"/>
  <c r="AB184" i="5"/>
  <c r="Y184" i="5"/>
  <c r="P184" i="5"/>
  <c r="Q184" i="5" s="1"/>
  <c r="N184" i="5"/>
  <c r="J184" i="5" s="1"/>
  <c r="M184" i="5"/>
  <c r="H184" i="5" s="1"/>
  <c r="L184" i="5"/>
  <c r="K184" i="5"/>
  <c r="AE183" i="5"/>
  <c r="AA183" i="5" s="1"/>
  <c r="AD183" i="5"/>
  <c r="Y183" i="5" s="1"/>
  <c r="AC183" i="5"/>
  <c r="AB183" i="5"/>
  <c r="N183" i="5"/>
  <c r="P183" i="5" s="1"/>
  <c r="Q183" i="5" s="1"/>
  <c r="M183" i="5"/>
  <c r="H183" i="5" s="1"/>
  <c r="L183" i="5"/>
  <c r="K183" i="5"/>
  <c r="AE182" i="5"/>
  <c r="Z182" i="5" s="1"/>
  <c r="AD182" i="5"/>
  <c r="Y182" i="5" s="1"/>
  <c r="AC182" i="5"/>
  <c r="AB182" i="5"/>
  <c r="AA182" i="5"/>
  <c r="N182" i="5"/>
  <c r="P182" i="5" s="1"/>
  <c r="Q182" i="5" s="1"/>
  <c r="M182" i="5"/>
  <c r="L182" i="5"/>
  <c r="K182" i="5"/>
  <c r="I182" i="5"/>
  <c r="H182" i="5"/>
  <c r="AE181" i="5"/>
  <c r="AG181" i="5" s="1"/>
  <c r="AH181" i="5" s="1"/>
  <c r="AD181" i="5"/>
  <c r="AC181" i="5"/>
  <c r="AB181" i="5"/>
  <c r="AA181" i="5"/>
  <c r="Z181" i="5"/>
  <c r="Y181" i="5"/>
  <c r="N181" i="5"/>
  <c r="P181" i="5" s="1"/>
  <c r="Q181" i="5" s="1"/>
  <c r="M181" i="5"/>
  <c r="H181" i="5" s="1"/>
  <c r="L181" i="5"/>
  <c r="K181" i="5"/>
  <c r="J181" i="5"/>
  <c r="I181" i="5"/>
  <c r="AH180" i="5"/>
  <c r="AG180" i="5"/>
  <c r="AE180" i="5"/>
  <c r="AD180" i="5"/>
  <c r="AC180" i="5"/>
  <c r="AB180" i="5"/>
  <c r="AA180" i="5"/>
  <c r="Z180" i="5"/>
  <c r="Y180" i="5"/>
  <c r="AF180" i="5" s="1"/>
  <c r="Q180" i="5"/>
  <c r="P180" i="5"/>
  <c r="N180" i="5"/>
  <c r="M180" i="5"/>
  <c r="L180" i="5"/>
  <c r="K180" i="5"/>
  <c r="O180" i="5" s="1"/>
  <c r="J180" i="5"/>
  <c r="I180" i="5"/>
  <c r="H180" i="5"/>
  <c r="AE179" i="5"/>
  <c r="AG179" i="5" s="1"/>
  <c r="AH179" i="5" s="1"/>
  <c r="AD179" i="5"/>
  <c r="AC179" i="5"/>
  <c r="AB179" i="5"/>
  <c r="Y179" i="5"/>
  <c r="N179" i="5"/>
  <c r="M179" i="5"/>
  <c r="L179" i="5"/>
  <c r="K179" i="5"/>
  <c r="H179" i="5"/>
  <c r="AG178" i="5"/>
  <c r="AH178" i="5" s="1"/>
  <c r="AE178" i="5"/>
  <c r="AA178" i="5" s="1"/>
  <c r="AD178" i="5"/>
  <c r="Y178" i="5" s="1"/>
  <c r="AC178" i="5"/>
  <c r="AB178" i="5"/>
  <c r="N178" i="5"/>
  <c r="J178" i="5" s="1"/>
  <c r="M178" i="5"/>
  <c r="H178" i="5" s="1"/>
  <c r="L178" i="5"/>
  <c r="K178" i="5"/>
  <c r="AE177" i="5"/>
  <c r="AG177" i="5" s="1"/>
  <c r="AH177" i="5" s="1"/>
  <c r="AD177" i="5"/>
  <c r="Y177" i="5" s="1"/>
  <c r="AC177" i="5"/>
  <c r="AB177" i="5"/>
  <c r="N177" i="5"/>
  <c r="I177" i="5" s="1"/>
  <c r="M177" i="5"/>
  <c r="H177" i="5" s="1"/>
  <c r="L177" i="5"/>
  <c r="K177" i="5"/>
  <c r="J177" i="5"/>
  <c r="AE176" i="5"/>
  <c r="AG176" i="5" s="1"/>
  <c r="AH176" i="5" s="1"/>
  <c r="AD176" i="5"/>
  <c r="AC176" i="5"/>
  <c r="AB176" i="5"/>
  <c r="Z176" i="5"/>
  <c r="Y176" i="5"/>
  <c r="N176" i="5"/>
  <c r="P176" i="5" s="1"/>
  <c r="Q176" i="5" s="1"/>
  <c r="M176" i="5"/>
  <c r="L176" i="5"/>
  <c r="K176" i="5"/>
  <c r="J176" i="5"/>
  <c r="I176" i="5"/>
  <c r="H176" i="5"/>
  <c r="AE175" i="5"/>
  <c r="AG175" i="5" s="1"/>
  <c r="AH175" i="5" s="1"/>
  <c r="AD175" i="5"/>
  <c r="Y175" i="5" s="1"/>
  <c r="AC175" i="5"/>
  <c r="AB175" i="5"/>
  <c r="AA175" i="5"/>
  <c r="Z175" i="5"/>
  <c r="Q175" i="5"/>
  <c r="P175" i="5"/>
  <c r="N175" i="5"/>
  <c r="M175" i="5"/>
  <c r="L175" i="5"/>
  <c r="K175" i="5"/>
  <c r="J175" i="5"/>
  <c r="I175" i="5"/>
  <c r="H175" i="5"/>
  <c r="O175" i="5" s="1"/>
  <c r="AH174" i="5"/>
  <c r="AG174" i="5"/>
  <c r="AE174" i="5"/>
  <c r="AD174" i="5"/>
  <c r="AC174" i="5"/>
  <c r="AB174" i="5"/>
  <c r="AF174" i="5" s="1"/>
  <c r="AA174" i="5"/>
  <c r="Z174" i="5"/>
  <c r="Y174" i="5"/>
  <c r="N174" i="5"/>
  <c r="P174" i="5" s="1"/>
  <c r="Q174" i="5" s="1"/>
  <c r="M174" i="5"/>
  <c r="L174" i="5"/>
  <c r="K174" i="5"/>
  <c r="H174" i="5"/>
  <c r="AE173" i="5"/>
  <c r="AD173" i="5"/>
  <c r="AC173" i="5"/>
  <c r="AB173" i="5"/>
  <c r="Y173" i="5"/>
  <c r="P173" i="5"/>
  <c r="Q173" i="5" s="1"/>
  <c r="N173" i="5"/>
  <c r="J173" i="5" s="1"/>
  <c r="M173" i="5"/>
  <c r="H173" i="5" s="1"/>
  <c r="L173" i="5"/>
  <c r="K173" i="5"/>
  <c r="AE172" i="5"/>
  <c r="AA172" i="5" s="1"/>
  <c r="AD172" i="5"/>
  <c r="Y172" i="5" s="1"/>
  <c r="AC172" i="5"/>
  <c r="AB172" i="5"/>
  <c r="N172" i="5"/>
  <c r="P172" i="5" s="1"/>
  <c r="Q172" i="5" s="1"/>
  <c r="M172" i="5"/>
  <c r="H172" i="5" s="1"/>
  <c r="L172" i="5"/>
  <c r="K172" i="5"/>
  <c r="AE171" i="5"/>
  <c r="Z171" i="5" s="1"/>
  <c r="AD171" i="5"/>
  <c r="Y171" i="5" s="1"/>
  <c r="AC171" i="5"/>
  <c r="AB171" i="5"/>
  <c r="AA171" i="5"/>
  <c r="N171" i="5"/>
  <c r="P171" i="5" s="1"/>
  <c r="Q171" i="5" s="1"/>
  <c r="M171" i="5"/>
  <c r="L171" i="5"/>
  <c r="K171" i="5"/>
  <c r="I171" i="5"/>
  <c r="H171" i="5"/>
  <c r="AE170" i="5"/>
  <c r="AG170" i="5" s="1"/>
  <c r="AH170" i="5" s="1"/>
  <c r="AD170" i="5"/>
  <c r="AC170" i="5"/>
  <c r="AB170" i="5"/>
  <c r="AA170" i="5"/>
  <c r="Z170" i="5"/>
  <c r="Y170" i="5"/>
  <c r="N170" i="5"/>
  <c r="P170" i="5" s="1"/>
  <c r="Q170" i="5" s="1"/>
  <c r="M170" i="5"/>
  <c r="H170" i="5" s="1"/>
  <c r="L170" i="5"/>
  <c r="K170" i="5"/>
  <c r="J170" i="5"/>
  <c r="I170" i="5"/>
  <c r="AH169" i="5"/>
  <c r="AG169" i="5"/>
  <c r="AE169" i="5"/>
  <c r="AD169" i="5"/>
  <c r="AC169" i="5"/>
  <c r="AB169" i="5"/>
  <c r="AA169" i="5"/>
  <c r="Z169" i="5"/>
  <c r="Y169" i="5"/>
  <c r="AF169" i="5" s="1"/>
  <c r="Q169" i="5"/>
  <c r="P169" i="5"/>
  <c r="N169" i="5"/>
  <c r="M169" i="5"/>
  <c r="L169" i="5"/>
  <c r="K169" i="5"/>
  <c r="O169" i="5" s="1"/>
  <c r="J169" i="5"/>
  <c r="I169" i="5"/>
  <c r="H169" i="5"/>
  <c r="AE168" i="5"/>
  <c r="AG168" i="5" s="1"/>
  <c r="AH168" i="5" s="1"/>
  <c r="AD168" i="5"/>
  <c r="AC168" i="5"/>
  <c r="AB168" i="5"/>
  <c r="Y168" i="5"/>
  <c r="N168" i="5"/>
  <c r="M168" i="5"/>
  <c r="L168" i="5"/>
  <c r="K168" i="5"/>
  <c r="H168" i="5"/>
  <c r="AG167" i="5"/>
  <c r="AH167" i="5" s="1"/>
  <c r="AE167" i="5"/>
  <c r="AA167" i="5" s="1"/>
  <c r="AD167" i="5"/>
  <c r="Y167" i="5" s="1"/>
  <c r="AC167" i="5"/>
  <c r="AB167" i="5"/>
  <c r="N167" i="5"/>
  <c r="J167" i="5" s="1"/>
  <c r="M167" i="5"/>
  <c r="H167" i="5" s="1"/>
  <c r="L167" i="5"/>
  <c r="K167" i="5"/>
  <c r="AE166" i="5"/>
  <c r="AG166" i="5" s="1"/>
  <c r="AH166" i="5" s="1"/>
  <c r="AD166" i="5"/>
  <c r="Y166" i="5" s="1"/>
  <c r="AC166" i="5"/>
  <c r="AB166" i="5"/>
  <c r="N166" i="5"/>
  <c r="I166" i="5" s="1"/>
  <c r="M166" i="5"/>
  <c r="H166" i="5" s="1"/>
  <c r="L166" i="5"/>
  <c r="K166" i="5"/>
  <c r="J166" i="5"/>
  <c r="AE165" i="5"/>
  <c r="AG165" i="5" s="1"/>
  <c r="AH165" i="5" s="1"/>
  <c r="AD165" i="5"/>
  <c r="AC165" i="5"/>
  <c r="AB165" i="5"/>
  <c r="Z165" i="5"/>
  <c r="Y165" i="5"/>
  <c r="N165" i="5"/>
  <c r="P165" i="5" s="1"/>
  <c r="Q165" i="5" s="1"/>
  <c r="M165" i="5"/>
  <c r="L165" i="5"/>
  <c r="K165" i="5"/>
  <c r="J165" i="5"/>
  <c r="I165" i="5"/>
  <c r="H165" i="5"/>
  <c r="AE164" i="5"/>
  <c r="AG164" i="5" s="1"/>
  <c r="AH164" i="5" s="1"/>
  <c r="AD164" i="5"/>
  <c r="Y164" i="5" s="1"/>
  <c r="AC164" i="5"/>
  <c r="AB164" i="5"/>
  <c r="AA164" i="5"/>
  <c r="Z164" i="5"/>
  <c r="Q164" i="5"/>
  <c r="P164" i="5"/>
  <c r="N164" i="5"/>
  <c r="M164" i="5"/>
  <c r="L164" i="5"/>
  <c r="K164" i="5"/>
  <c r="J164" i="5"/>
  <c r="I164" i="5"/>
  <c r="H164" i="5"/>
  <c r="O164" i="5" s="1"/>
  <c r="AH163" i="5"/>
  <c r="AG163" i="5"/>
  <c r="AE163" i="5"/>
  <c r="AD163" i="5"/>
  <c r="AC163" i="5"/>
  <c r="AB163" i="5"/>
  <c r="AF163" i="5" s="1"/>
  <c r="AA163" i="5"/>
  <c r="Z163" i="5"/>
  <c r="Y163" i="5"/>
  <c r="N163" i="5"/>
  <c r="P163" i="5" s="1"/>
  <c r="Q163" i="5" s="1"/>
  <c r="M163" i="5"/>
  <c r="L163" i="5"/>
  <c r="K163" i="5"/>
  <c r="H163" i="5"/>
  <c r="AE162" i="5"/>
  <c r="AD162" i="5"/>
  <c r="AC162" i="5"/>
  <c r="AB162" i="5"/>
  <c r="Y162" i="5"/>
  <c r="P162" i="5"/>
  <c r="Q162" i="5" s="1"/>
  <c r="N162" i="5"/>
  <c r="J162" i="5" s="1"/>
  <c r="M162" i="5"/>
  <c r="H162" i="5" s="1"/>
  <c r="L162" i="5"/>
  <c r="K162" i="5"/>
  <c r="AE161" i="5"/>
  <c r="AA161" i="5" s="1"/>
  <c r="AD161" i="5"/>
  <c r="Y161" i="5" s="1"/>
  <c r="AC161" i="5"/>
  <c r="AB161" i="5"/>
  <c r="N161" i="5"/>
  <c r="P161" i="5" s="1"/>
  <c r="Q161" i="5" s="1"/>
  <c r="M161" i="5"/>
  <c r="H161" i="5" s="1"/>
  <c r="L161" i="5"/>
  <c r="K161" i="5"/>
  <c r="AE160" i="5"/>
  <c r="Z160" i="5" s="1"/>
  <c r="AD160" i="5"/>
  <c r="Y160" i="5" s="1"/>
  <c r="AC160" i="5"/>
  <c r="AB160" i="5"/>
  <c r="AA160" i="5"/>
  <c r="N160" i="5"/>
  <c r="P160" i="5" s="1"/>
  <c r="Q160" i="5" s="1"/>
  <c r="M160" i="5"/>
  <c r="L160" i="5"/>
  <c r="K160" i="5"/>
  <c r="I160" i="5"/>
  <c r="H160" i="5"/>
  <c r="AE159" i="5"/>
  <c r="AG159" i="5" s="1"/>
  <c r="AH159" i="5" s="1"/>
  <c r="AD159" i="5"/>
  <c r="AC159" i="5"/>
  <c r="AB159" i="5"/>
  <c r="AA159" i="5"/>
  <c r="Z159" i="5"/>
  <c r="Y159" i="5"/>
  <c r="N159" i="5"/>
  <c r="P159" i="5" s="1"/>
  <c r="Q159" i="5" s="1"/>
  <c r="M159" i="5"/>
  <c r="H159" i="5" s="1"/>
  <c r="L159" i="5"/>
  <c r="K159" i="5"/>
  <c r="J159" i="5"/>
  <c r="I159" i="5"/>
  <c r="AH158" i="5"/>
  <c r="AG158" i="5"/>
  <c r="AE158" i="5"/>
  <c r="AD158" i="5"/>
  <c r="AC158" i="5"/>
  <c r="AB158" i="5"/>
  <c r="AA158" i="5"/>
  <c r="Z158" i="5"/>
  <c r="Y158" i="5"/>
  <c r="AF158" i="5" s="1"/>
  <c r="Q158" i="5"/>
  <c r="P158" i="5"/>
  <c r="N158" i="5"/>
  <c r="M158" i="5"/>
  <c r="L158" i="5"/>
  <c r="K158" i="5"/>
  <c r="O158" i="5" s="1"/>
  <c r="J158" i="5"/>
  <c r="I158" i="5"/>
  <c r="H158" i="5"/>
  <c r="AE157" i="5"/>
  <c r="AG157" i="5" s="1"/>
  <c r="AH157" i="5" s="1"/>
  <c r="AD157" i="5"/>
  <c r="AC157" i="5"/>
  <c r="AB157" i="5"/>
  <c r="Y157" i="5"/>
  <c r="N157" i="5"/>
  <c r="M157" i="5"/>
  <c r="L157" i="5"/>
  <c r="K157" i="5"/>
  <c r="H157" i="5"/>
  <c r="AG156" i="5"/>
  <c r="AH156" i="5" s="1"/>
  <c r="AE156" i="5"/>
  <c r="AA156" i="5" s="1"/>
  <c r="AD156" i="5"/>
  <c r="Y156" i="5" s="1"/>
  <c r="AC156" i="5"/>
  <c r="AB156" i="5"/>
  <c r="N156" i="5"/>
  <c r="J156" i="5" s="1"/>
  <c r="M156" i="5"/>
  <c r="H156" i="5" s="1"/>
  <c r="L156" i="5"/>
  <c r="K156" i="5"/>
  <c r="AE155" i="5"/>
  <c r="AG155" i="5" s="1"/>
  <c r="AH155" i="5" s="1"/>
  <c r="AD155" i="5"/>
  <c r="Y155" i="5" s="1"/>
  <c r="AC155" i="5"/>
  <c r="AB155" i="5"/>
  <c r="N155" i="5"/>
  <c r="I155" i="5" s="1"/>
  <c r="M155" i="5"/>
  <c r="H155" i="5" s="1"/>
  <c r="L155" i="5"/>
  <c r="K155" i="5"/>
  <c r="J155" i="5"/>
  <c r="AE154" i="5"/>
  <c r="AG154" i="5" s="1"/>
  <c r="AH154" i="5" s="1"/>
  <c r="AD154" i="5"/>
  <c r="AC154" i="5"/>
  <c r="AB154" i="5"/>
  <c r="Z154" i="5"/>
  <c r="Y154" i="5"/>
  <c r="N154" i="5"/>
  <c r="P154" i="5" s="1"/>
  <c r="Q154" i="5" s="1"/>
  <c r="M154" i="5"/>
  <c r="L154" i="5"/>
  <c r="K154" i="5"/>
  <c r="J154" i="5"/>
  <c r="I154" i="5"/>
  <c r="H154" i="5"/>
  <c r="AE153" i="5"/>
  <c r="AG153" i="5" s="1"/>
  <c r="AH153" i="5" s="1"/>
  <c r="AD153" i="5"/>
  <c r="Y153" i="5" s="1"/>
  <c r="AC153" i="5"/>
  <c r="AB153" i="5"/>
  <c r="AA153" i="5"/>
  <c r="Z153" i="5"/>
  <c r="Q153" i="5"/>
  <c r="P153" i="5"/>
  <c r="N153" i="5"/>
  <c r="M153" i="5"/>
  <c r="L153" i="5"/>
  <c r="K153" i="5"/>
  <c r="J153" i="5"/>
  <c r="I153" i="5"/>
  <c r="H153" i="5"/>
  <c r="O153" i="5" s="1"/>
  <c r="AH152" i="5"/>
  <c r="AG152" i="5"/>
  <c r="AE152" i="5"/>
  <c r="AD152" i="5"/>
  <c r="AC152" i="5"/>
  <c r="AB152" i="5"/>
  <c r="AF152" i="5" s="1"/>
  <c r="AA152" i="5"/>
  <c r="Z152" i="5"/>
  <c r="Y152" i="5"/>
  <c r="N152" i="5"/>
  <c r="P152" i="5" s="1"/>
  <c r="Q152" i="5" s="1"/>
  <c r="M152" i="5"/>
  <c r="L152" i="5"/>
  <c r="K152" i="5"/>
  <c r="H152" i="5"/>
  <c r="AE151" i="5"/>
  <c r="AD151" i="5"/>
  <c r="AC151" i="5"/>
  <c r="AB151" i="5"/>
  <c r="Y151" i="5"/>
  <c r="P151" i="5"/>
  <c r="Q151" i="5" s="1"/>
  <c r="N151" i="5"/>
  <c r="J151" i="5" s="1"/>
  <c r="M151" i="5"/>
  <c r="H151" i="5" s="1"/>
  <c r="L151" i="5"/>
  <c r="K151" i="5"/>
  <c r="AE150" i="5"/>
  <c r="AA150" i="5" s="1"/>
  <c r="AD150" i="5"/>
  <c r="Y150" i="5" s="1"/>
  <c r="AC150" i="5"/>
  <c r="P150" i="5"/>
  <c r="Q150" i="5" s="1"/>
  <c r="N150" i="5"/>
  <c r="M150" i="5"/>
  <c r="H150" i="5" s="1"/>
  <c r="O150" i="5" s="1"/>
  <c r="L150" i="5"/>
  <c r="J150" i="5"/>
  <c r="I150" i="5"/>
  <c r="AE149" i="5"/>
  <c r="AG149" i="5" s="1"/>
  <c r="AH149" i="5" s="1"/>
  <c r="AD149" i="5"/>
  <c r="AC149" i="5"/>
  <c r="AA149" i="5"/>
  <c r="Z149" i="5"/>
  <c r="Y149" i="5"/>
  <c r="AF149" i="5" s="1"/>
  <c r="Q149" i="5"/>
  <c r="P149" i="5"/>
  <c r="N149" i="5"/>
  <c r="M149" i="5"/>
  <c r="L149" i="5"/>
  <c r="J149" i="5"/>
  <c r="I149" i="5"/>
  <c r="H149" i="5"/>
  <c r="O149" i="5" s="1"/>
  <c r="AE148" i="5"/>
  <c r="AG148" i="5" s="1"/>
  <c r="AH148" i="5" s="1"/>
  <c r="AD148" i="5"/>
  <c r="Y148" i="5" s="1"/>
  <c r="AC148" i="5"/>
  <c r="N148" i="5"/>
  <c r="M148" i="5"/>
  <c r="H148" i="5" s="1"/>
  <c r="L148" i="5"/>
  <c r="AE147" i="5"/>
  <c r="AG147" i="5" s="1"/>
  <c r="AH147" i="5" s="1"/>
  <c r="AD147" i="5"/>
  <c r="Y147" i="5" s="1"/>
  <c r="AC147" i="5"/>
  <c r="N147" i="5"/>
  <c r="P147" i="5" s="1"/>
  <c r="Q147" i="5" s="1"/>
  <c r="M147" i="5"/>
  <c r="L147" i="5"/>
  <c r="J147" i="5"/>
  <c r="I147" i="5"/>
  <c r="H147" i="5"/>
  <c r="AE146" i="5"/>
  <c r="AG146" i="5" s="1"/>
  <c r="AH146" i="5" s="1"/>
  <c r="AD146" i="5"/>
  <c r="AC146" i="5"/>
  <c r="AA146" i="5"/>
  <c r="Z146" i="5"/>
  <c r="Y146" i="5"/>
  <c r="AF146" i="5" s="1"/>
  <c r="P146" i="5"/>
  <c r="Q146" i="5" s="1"/>
  <c r="N146" i="5"/>
  <c r="J146" i="5" s="1"/>
  <c r="M146" i="5"/>
  <c r="L146" i="5"/>
  <c r="H146" i="5"/>
  <c r="AE145" i="5"/>
  <c r="AD145" i="5"/>
  <c r="AC145" i="5"/>
  <c r="AB145" i="5"/>
  <c r="Y145" i="5"/>
  <c r="P145" i="5"/>
  <c r="Q145" i="5" s="1"/>
  <c r="N145" i="5"/>
  <c r="J145" i="5" s="1"/>
  <c r="M145" i="5"/>
  <c r="H145" i="5" s="1"/>
  <c r="L145" i="5"/>
  <c r="K145" i="5"/>
  <c r="AE144" i="5"/>
  <c r="AA144" i="5" s="1"/>
  <c r="AD144" i="5"/>
  <c r="Y144" i="5" s="1"/>
  <c r="AC144" i="5"/>
  <c r="AB144" i="5"/>
  <c r="N144" i="5"/>
  <c r="P144" i="5" s="1"/>
  <c r="Q144" i="5" s="1"/>
  <c r="M144" i="5"/>
  <c r="H144" i="5" s="1"/>
  <c r="L144" i="5"/>
  <c r="K144" i="5"/>
  <c r="AE143" i="5"/>
  <c r="Z143" i="5" s="1"/>
  <c r="AD143" i="5"/>
  <c r="Y143" i="5" s="1"/>
  <c r="AC143" i="5"/>
  <c r="AB143" i="5"/>
  <c r="AF143" i="5" s="1"/>
  <c r="AA143" i="5"/>
  <c r="N143" i="5"/>
  <c r="P143" i="5" s="1"/>
  <c r="Q143" i="5" s="1"/>
  <c r="M143" i="5"/>
  <c r="L143" i="5"/>
  <c r="K143" i="5"/>
  <c r="I143" i="5"/>
  <c r="H143" i="5"/>
  <c r="AE142" i="5"/>
  <c r="AG142" i="5" s="1"/>
  <c r="AH142" i="5" s="1"/>
  <c r="AD142" i="5"/>
  <c r="AC142" i="5"/>
  <c r="AB142" i="5"/>
  <c r="AF142" i="5" s="1"/>
  <c r="AA142" i="5"/>
  <c r="Z142" i="5"/>
  <c r="Y142" i="5"/>
  <c r="N142" i="5"/>
  <c r="P142" i="5" s="1"/>
  <c r="Q142" i="5" s="1"/>
  <c r="M142" i="5"/>
  <c r="H142" i="5" s="1"/>
  <c r="L142" i="5"/>
  <c r="K142" i="5"/>
  <c r="O142" i="5" s="1"/>
  <c r="J142" i="5"/>
  <c r="I142" i="5"/>
  <c r="AH141" i="5"/>
  <c r="AG141" i="5"/>
  <c r="AE141" i="5"/>
  <c r="AD141" i="5"/>
  <c r="AC141" i="5"/>
  <c r="AB141" i="5"/>
  <c r="AA141" i="5"/>
  <c r="Z141" i="5"/>
  <c r="Y141" i="5"/>
  <c r="AF141" i="5" s="1"/>
  <c r="P141" i="5"/>
  <c r="Q141" i="5" s="1"/>
  <c r="N141" i="5"/>
  <c r="M141" i="5"/>
  <c r="L141" i="5"/>
  <c r="K141" i="5"/>
  <c r="O141" i="5" s="1"/>
  <c r="J141" i="5"/>
  <c r="I141" i="5"/>
  <c r="H141" i="5"/>
  <c r="AE140" i="5"/>
  <c r="AG140" i="5" s="1"/>
  <c r="AH140" i="5" s="1"/>
  <c r="AD140" i="5"/>
  <c r="AC140" i="5"/>
  <c r="AB140" i="5"/>
  <c r="Y140" i="5"/>
  <c r="N140" i="5"/>
  <c r="M140" i="5"/>
  <c r="L140" i="5"/>
  <c r="K140" i="5"/>
  <c r="H140" i="5"/>
  <c r="AG139" i="5"/>
  <c r="AH139" i="5" s="1"/>
  <c r="AE139" i="5"/>
  <c r="AA139" i="5" s="1"/>
  <c r="AD139" i="5"/>
  <c r="Y139" i="5" s="1"/>
  <c r="AC139" i="5"/>
  <c r="AB139" i="5"/>
  <c r="N139" i="5"/>
  <c r="J139" i="5" s="1"/>
  <c r="M139" i="5"/>
  <c r="H139" i="5" s="1"/>
  <c r="L139" i="5"/>
  <c r="K139" i="5"/>
  <c r="AE138" i="5"/>
  <c r="AG138" i="5" s="1"/>
  <c r="AH138" i="5" s="1"/>
  <c r="AD138" i="5"/>
  <c r="Y138" i="5" s="1"/>
  <c r="AC138" i="5"/>
  <c r="AB138" i="5"/>
  <c r="N138" i="5"/>
  <c r="I138" i="5" s="1"/>
  <c r="M138" i="5"/>
  <c r="H138" i="5" s="1"/>
  <c r="L138" i="5"/>
  <c r="K138" i="5"/>
  <c r="O138" i="5" s="1"/>
  <c r="J138" i="5"/>
  <c r="AE137" i="5"/>
  <c r="AG137" i="5" s="1"/>
  <c r="AH137" i="5" s="1"/>
  <c r="AD137" i="5"/>
  <c r="AC137" i="5"/>
  <c r="AB137" i="5"/>
  <c r="Z137" i="5"/>
  <c r="Y137" i="5"/>
  <c r="N137" i="5"/>
  <c r="P137" i="5" s="1"/>
  <c r="Q137" i="5" s="1"/>
  <c r="M137" i="5"/>
  <c r="L137" i="5"/>
  <c r="K137" i="5"/>
  <c r="O137" i="5" s="1"/>
  <c r="J137" i="5"/>
  <c r="I137" i="5"/>
  <c r="H137" i="5"/>
  <c r="AE136" i="5"/>
  <c r="AG136" i="5" s="1"/>
  <c r="AH136" i="5" s="1"/>
  <c r="AD136" i="5"/>
  <c r="Y136" i="5" s="1"/>
  <c r="AC136" i="5"/>
  <c r="AB136" i="5"/>
  <c r="AF136" i="5" s="1"/>
  <c r="AA136" i="5"/>
  <c r="Z136" i="5"/>
  <c r="Q136" i="5"/>
  <c r="P136" i="5"/>
  <c r="N136" i="5"/>
  <c r="M136" i="5"/>
  <c r="L136" i="5"/>
  <c r="K136" i="5"/>
  <c r="J136" i="5"/>
  <c r="I136" i="5"/>
  <c r="H136" i="5"/>
  <c r="O136" i="5" s="1"/>
  <c r="AG135" i="5"/>
  <c r="AH135" i="5" s="1"/>
  <c r="AE135" i="5"/>
  <c r="AD135" i="5"/>
  <c r="AC135" i="5"/>
  <c r="AB135" i="5"/>
  <c r="AF135" i="5" s="1"/>
  <c r="AA135" i="5"/>
  <c r="Z135" i="5"/>
  <c r="Y135" i="5"/>
  <c r="N135" i="5"/>
  <c r="P135" i="5" s="1"/>
  <c r="Q135" i="5" s="1"/>
  <c r="M135" i="5"/>
  <c r="L135" i="5"/>
  <c r="K135" i="5"/>
  <c r="H135" i="5"/>
  <c r="AE134" i="5"/>
  <c r="AD134" i="5"/>
  <c r="AC134" i="5"/>
  <c r="AB134" i="5"/>
  <c r="Y134" i="5"/>
  <c r="P134" i="5"/>
  <c r="Q134" i="5" s="1"/>
  <c r="N134" i="5"/>
  <c r="J134" i="5" s="1"/>
  <c r="M134" i="5"/>
  <c r="H134" i="5" s="1"/>
  <c r="L134" i="5"/>
  <c r="K134" i="5"/>
  <c r="AE133" i="5"/>
  <c r="AA133" i="5" s="1"/>
  <c r="AD133" i="5"/>
  <c r="Y133" i="5" s="1"/>
  <c r="AC133" i="5"/>
  <c r="AB133" i="5"/>
  <c r="N133" i="5"/>
  <c r="P133" i="5" s="1"/>
  <c r="Q133" i="5" s="1"/>
  <c r="M133" i="5"/>
  <c r="H133" i="5" s="1"/>
  <c r="L133" i="5"/>
  <c r="K133" i="5"/>
  <c r="AE132" i="5"/>
  <c r="Z132" i="5" s="1"/>
  <c r="AD132" i="5"/>
  <c r="Y132" i="5" s="1"/>
  <c r="AC132" i="5"/>
  <c r="AB132" i="5"/>
  <c r="AF132" i="5" s="1"/>
  <c r="AA132" i="5"/>
  <c r="N132" i="5"/>
  <c r="P132" i="5" s="1"/>
  <c r="Q132" i="5" s="1"/>
  <c r="M132" i="5"/>
  <c r="L132" i="5"/>
  <c r="K132" i="5"/>
  <c r="I132" i="5"/>
  <c r="H132" i="5"/>
  <c r="AE131" i="5"/>
  <c r="AG131" i="5" s="1"/>
  <c r="AH131" i="5" s="1"/>
  <c r="AD131" i="5"/>
  <c r="AC131" i="5"/>
  <c r="AB131" i="5"/>
  <c r="AF131" i="5" s="1"/>
  <c r="AA131" i="5"/>
  <c r="Z131" i="5"/>
  <c r="Y131" i="5"/>
  <c r="N131" i="5"/>
  <c r="P131" i="5" s="1"/>
  <c r="Q131" i="5" s="1"/>
  <c r="M131" i="5"/>
  <c r="H131" i="5" s="1"/>
  <c r="L131" i="5"/>
  <c r="K131" i="5"/>
  <c r="O131" i="5" s="1"/>
  <c r="J131" i="5"/>
  <c r="I131" i="5"/>
  <c r="AH130" i="5"/>
  <c r="AG130" i="5"/>
  <c r="AE130" i="5"/>
  <c r="AD130" i="5"/>
  <c r="AC130" i="5"/>
  <c r="AB130" i="5"/>
  <c r="AA130" i="5"/>
  <c r="Z130" i="5"/>
  <c r="Y130" i="5"/>
  <c r="AF130" i="5" s="1"/>
  <c r="P130" i="5"/>
  <c r="Q130" i="5" s="1"/>
  <c r="N130" i="5"/>
  <c r="M130" i="5"/>
  <c r="L130" i="5"/>
  <c r="K130" i="5"/>
  <c r="O130" i="5" s="1"/>
  <c r="J130" i="5"/>
  <c r="I130" i="5"/>
  <c r="H130" i="5"/>
  <c r="AE129" i="5"/>
  <c r="AG129" i="5" s="1"/>
  <c r="AH129" i="5" s="1"/>
  <c r="AD129" i="5"/>
  <c r="AC129" i="5"/>
  <c r="AB129" i="5"/>
  <c r="Y129" i="5"/>
  <c r="N129" i="5"/>
  <c r="M129" i="5"/>
  <c r="L129" i="5"/>
  <c r="K129" i="5"/>
  <c r="H129" i="5"/>
  <c r="AG128" i="5"/>
  <c r="AH128" i="5" s="1"/>
  <c r="AE128" i="5"/>
  <c r="AA128" i="5" s="1"/>
  <c r="AD128" i="5"/>
  <c r="Y128" i="5" s="1"/>
  <c r="AC128" i="5"/>
  <c r="AB128" i="5"/>
  <c r="N128" i="5"/>
  <c r="J128" i="5" s="1"/>
  <c r="M128" i="5"/>
  <c r="H128" i="5" s="1"/>
  <c r="L128" i="5"/>
  <c r="K128" i="5"/>
  <c r="AE127" i="5"/>
  <c r="AG127" i="5" s="1"/>
  <c r="AH127" i="5" s="1"/>
  <c r="AD127" i="5"/>
  <c r="Y127" i="5" s="1"/>
  <c r="AC127" i="5"/>
  <c r="AB127" i="5"/>
  <c r="N127" i="5"/>
  <c r="I127" i="5" s="1"/>
  <c r="M127" i="5"/>
  <c r="H127" i="5" s="1"/>
  <c r="L127" i="5"/>
  <c r="K127" i="5"/>
  <c r="O127" i="5" s="1"/>
  <c r="J127" i="5"/>
  <c r="AE126" i="5"/>
  <c r="AG126" i="5" s="1"/>
  <c r="AH126" i="5" s="1"/>
  <c r="AD126" i="5"/>
  <c r="AC126" i="5"/>
  <c r="AB126" i="5"/>
  <c r="Z126" i="5"/>
  <c r="Y126" i="5"/>
  <c r="N126" i="5"/>
  <c r="P126" i="5" s="1"/>
  <c r="Q126" i="5" s="1"/>
  <c r="M126" i="5"/>
  <c r="L126" i="5"/>
  <c r="K126" i="5"/>
  <c r="O126" i="5" s="1"/>
  <c r="J126" i="5"/>
  <c r="I126" i="5"/>
  <c r="H126" i="5"/>
  <c r="AE125" i="5"/>
  <c r="AG125" i="5" s="1"/>
  <c r="AH125" i="5" s="1"/>
  <c r="AD125" i="5"/>
  <c r="Y125" i="5" s="1"/>
  <c r="AC125" i="5"/>
  <c r="AB125" i="5"/>
  <c r="AF125" i="5" s="1"/>
  <c r="AA125" i="5"/>
  <c r="Z125" i="5"/>
  <c r="Q125" i="5"/>
  <c r="P125" i="5"/>
  <c r="N125" i="5"/>
  <c r="M125" i="5"/>
  <c r="L125" i="5"/>
  <c r="K125" i="5"/>
  <c r="J125" i="5"/>
  <c r="I125" i="5"/>
  <c r="H125" i="5"/>
  <c r="O125" i="5" s="1"/>
  <c r="AG124" i="5"/>
  <c r="AH124" i="5" s="1"/>
  <c r="AE124" i="5"/>
  <c r="AD124" i="5"/>
  <c r="AC124" i="5"/>
  <c r="AB124" i="5"/>
  <c r="AF124" i="5" s="1"/>
  <c r="AA124" i="5"/>
  <c r="Z124" i="5"/>
  <c r="Y124" i="5"/>
  <c r="N124" i="5"/>
  <c r="P124" i="5" s="1"/>
  <c r="Q124" i="5" s="1"/>
  <c r="M124" i="5"/>
  <c r="L124" i="5"/>
  <c r="K124" i="5"/>
  <c r="H124" i="5"/>
  <c r="AE123" i="5"/>
  <c r="AD123" i="5"/>
  <c r="AC123" i="5"/>
  <c r="AB123" i="5"/>
  <c r="Y123" i="5"/>
  <c r="P123" i="5"/>
  <c r="Q123" i="5" s="1"/>
  <c r="N123" i="5"/>
  <c r="J123" i="5" s="1"/>
  <c r="M123" i="5"/>
  <c r="H123" i="5" s="1"/>
  <c r="L123" i="5"/>
  <c r="K123" i="5"/>
  <c r="AE122" i="5"/>
  <c r="AA122" i="5" s="1"/>
  <c r="AD122" i="5"/>
  <c r="Y122" i="5" s="1"/>
  <c r="AC122" i="5"/>
  <c r="AB122" i="5"/>
  <c r="N122" i="5"/>
  <c r="P122" i="5" s="1"/>
  <c r="Q122" i="5" s="1"/>
  <c r="M122" i="5"/>
  <c r="H122" i="5" s="1"/>
  <c r="L122" i="5"/>
  <c r="K122" i="5"/>
  <c r="AE121" i="5"/>
  <c r="Z121" i="5" s="1"/>
  <c r="AD121" i="5"/>
  <c r="Y121" i="5" s="1"/>
  <c r="AC121" i="5"/>
  <c r="AB121" i="5"/>
  <c r="AF121" i="5" s="1"/>
  <c r="AA121" i="5"/>
  <c r="N121" i="5"/>
  <c r="P121" i="5" s="1"/>
  <c r="Q121" i="5" s="1"/>
  <c r="M121" i="5"/>
  <c r="L121" i="5"/>
  <c r="K121" i="5"/>
  <c r="I121" i="5"/>
  <c r="H121" i="5"/>
  <c r="AE120" i="5"/>
  <c r="AG120" i="5" s="1"/>
  <c r="AH120" i="5" s="1"/>
  <c r="AD120" i="5"/>
  <c r="AC120" i="5"/>
  <c r="AB120" i="5"/>
  <c r="AF120" i="5" s="1"/>
  <c r="AA120" i="5"/>
  <c r="Z120" i="5"/>
  <c r="Y120" i="5"/>
  <c r="N120" i="5"/>
  <c r="P120" i="5" s="1"/>
  <c r="Q120" i="5" s="1"/>
  <c r="M120" i="5"/>
  <c r="H120" i="5" s="1"/>
  <c r="L120" i="5"/>
  <c r="K120" i="5"/>
  <c r="O120" i="5" s="1"/>
  <c r="J120" i="5"/>
  <c r="I120" i="5"/>
  <c r="AH119" i="5"/>
  <c r="AG119" i="5"/>
  <c r="AE119" i="5"/>
  <c r="AD119" i="5"/>
  <c r="AC119" i="5"/>
  <c r="AB119" i="5"/>
  <c r="AA119" i="5"/>
  <c r="Z119" i="5"/>
  <c r="Y119" i="5"/>
  <c r="AF119" i="5" s="1"/>
  <c r="P119" i="5"/>
  <c r="Q119" i="5" s="1"/>
  <c r="N119" i="5"/>
  <c r="M119" i="5"/>
  <c r="L119" i="5"/>
  <c r="K119" i="5"/>
  <c r="O119" i="5" s="1"/>
  <c r="J119" i="5"/>
  <c r="I119" i="5"/>
  <c r="H119" i="5"/>
  <c r="AE118" i="5"/>
  <c r="AG118" i="5" s="1"/>
  <c r="AH118" i="5" s="1"/>
  <c r="AD118" i="5"/>
  <c r="AC118" i="5"/>
  <c r="AB118" i="5"/>
  <c r="Y118" i="5"/>
  <c r="N118" i="5"/>
  <c r="M118" i="5"/>
  <c r="L118" i="5"/>
  <c r="K118" i="5"/>
  <c r="H118" i="5"/>
  <c r="AG117" i="5"/>
  <c r="AH117" i="5" s="1"/>
  <c r="AE117" i="5"/>
  <c r="AA117" i="5" s="1"/>
  <c r="AD117" i="5"/>
  <c r="Y117" i="5" s="1"/>
  <c r="AC117" i="5"/>
  <c r="AB117" i="5"/>
  <c r="N117" i="5"/>
  <c r="J117" i="5" s="1"/>
  <c r="M117" i="5"/>
  <c r="H117" i="5" s="1"/>
  <c r="L117" i="5"/>
  <c r="K117" i="5"/>
  <c r="AE116" i="5"/>
  <c r="AG116" i="5" s="1"/>
  <c r="AH116" i="5" s="1"/>
  <c r="AD116" i="5"/>
  <c r="Y116" i="5" s="1"/>
  <c r="AC116" i="5"/>
  <c r="AB116" i="5"/>
  <c r="N116" i="5"/>
  <c r="I116" i="5" s="1"/>
  <c r="M116" i="5"/>
  <c r="H116" i="5" s="1"/>
  <c r="L116" i="5"/>
  <c r="K116" i="5"/>
  <c r="O116" i="5" s="1"/>
  <c r="J116" i="5"/>
  <c r="AE115" i="5"/>
  <c r="AG115" i="5" s="1"/>
  <c r="AH115" i="5" s="1"/>
  <c r="AD115" i="5"/>
  <c r="AC115" i="5"/>
  <c r="AB115" i="5"/>
  <c r="Z115" i="5"/>
  <c r="Y115" i="5"/>
  <c r="N115" i="5"/>
  <c r="P115" i="5" s="1"/>
  <c r="Q115" i="5" s="1"/>
  <c r="M115" i="5"/>
  <c r="L115" i="5"/>
  <c r="K115" i="5"/>
  <c r="O115" i="5" s="1"/>
  <c r="J115" i="5"/>
  <c r="I115" i="5"/>
  <c r="H115" i="5"/>
  <c r="AE114" i="5"/>
  <c r="AG114" i="5" s="1"/>
  <c r="AH114" i="5" s="1"/>
  <c r="AD114" i="5"/>
  <c r="Y114" i="5" s="1"/>
  <c r="AC114" i="5"/>
  <c r="AB114" i="5"/>
  <c r="AF114" i="5" s="1"/>
  <c r="AA114" i="5"/>
  <c r="Z114" i="5"/>
  <c r="Q114" i="5"/>
  <c r="P114" i="5"/>
  <c r="N114" i="5"/>
  <c r="M114" i="5"/>
  <c r="L114" i="5"/>
  <c r="K114" i="5"/>
  <c r="J114" i="5"/>
  <c r="I114" i="5"/>
  <c r="H114" i="5"/>
  <c r="O114" i="5" s="1"/>
  <c r="AG113" i="5"/>
  <c r="AH113" i="5" s="1"/>
  <c r="AE113" i="5"/>
  <c r="AD113" i="5"/>
  <c r="AC113" i="5"/>
  <c r="AB113" i="5"/>
  <c r="AF113" i="5" s="1"/>
  <c r="AA113" i="5"/>
  <c r="Z113" i="5"/>
  <c r="Y113" i="5"/>
  <c r="N113" i="5"/>
  <c r="P113" i="5" s="1"/>
  <c r="Q113" i="5" s="1"/>
  <c r="M113" i="5"/>
  <c r="L113" i="5"/>
  <c r="K113" i="5"/>
  <c r="H113" i="5"/>
  <c r="AE112" i="5"/>
  <c r="AD112" i="5"/>
  <c r="AC112" i="5"/>
  <c r="AB112" i="5"/>
  <c r="Y112" i="5"/>
  <c r="P112" i="5"/>
  <c r="Q112" i="5" s="1"/>
  <c r="N112" i="5"/>
  <c r="J112" i="5" s="1"/>
  <c r="M112" i="5"/>
  <c r="H112" i="5" s="1"/>
  <c r="L112" i="5"/>
  <c r="K112" i="5"/>
  <c r="AE111" i="5"/>
  <c r="AA111" i="5" s="1"/>
  <c r="AD111" i="5"/>
  <c r="Y111" i="5" s="1"/>
  <c r="AC111" i="5"/>
  <c r="AB111" i="5"/>
  <c r="N111" i="5"/>
  <c r="P111" i="5" s="1"/>
  <c r="Q111" i="5" s="1"/>
  <c r="M111" i="5"/>
  <c r="H111" i="5" s="1"/>
  <c r="L111" i="5"/>
  <c r="K111" i="5"/>
  <c r="AE110" i="5"/>
  <c r="Z110" i="5" s="1"/>
  <c r="AD110" i="5"/>
  <c r="Y110" i="5" s="1"/>
  <c r="AC110" i="5"/>
  <c r="AB110" i="5"/>
  <c r="AF110" i="5" s="1"/>
  <c r="AA110" i="5"/>
  <c r="N110" i="5"/>
  <c r="P110" i="5" s="1"/>
  <c r="Q110" i="5" s="1"/>
  <c r="M110" i="5"/>
  <c r="L110" i="5"/>
  <c r="K110" i="5"/>
  <c r="I110" i="5"/>
  <c r="H110" i="5"/>
  <c r="AE109" i="5"/>
  <c r="AG109" i="5" s="1"/>
  <c r="AH109" i="5" s="1"/>
  <c r="AD109" i="5"/>
  <c r="AC109" i="5"/>
  <c r="AB109" i="5"/>
  <c r="AF109" i="5" s="1"/>
  <c r="AA109" i="5"/>
  <c r="Z109" i="5"/>
  <c r="Y109" i="5"/>
  <c r="N109" i="5"/>
  <c r="P109" i="5" s="1"/>
  <c r="Q109" i="5" s="1"/>
  <c r="M109" i="5"/>
  <c r="H109" i="5" s="1"/>
  <c r="L109" i="5"/>
  <c r="K109" i="5"/>
  <c r="O109" i="5" s="1"/>
  <c r="J109" i="5"/>
  <c r="I109" i="5"/>
  <c r="AH108" i="5"/>
  <c r="AG108" i="5"/>
  <c r="AE108" i="5"/>
  <c r="AD108" i="5"/>
  <c r="AC108" i="5"/>
  <c r="AB108" i="5"/>
  <c r="AA108" i="5"/>
  <c r="Z108" i="5"/>
  <c r="Y108" i="5"/>
  <c r="AF108" i="5" s="1"/>
  <c r="P108" i="5"/>
  <c r="Q108" i="5" s="1"/>
  <c r="N108" i="5"/>
  <c r="M108" i="5"/>
  <c r="L108" i="5"/>
  <c r="K108" i="5"/>
  <c r="O108" i="5" s="1"/>
  <c r="J108" i="5"/>
  <c r="I108" i="5"/>
  <c r="H108" i="5"/>
  <c r="AE107" i="5"/>
  <c r="AG107" i="5" s="1"/>
  <c r="AH107" i="5" s="1"/>
  <c r="AD107" i="5"/>
  <c r="AC107" i="5"/>
  <c r="AB107" i="5"/>
  <c r="Y107" i="5"/>
  <c r="N107" i="5"/>
  <c r="M107" i="5"/>
  <c r="L107" i="5"/>
  <c r="K107" i="5"/>
  <c r="H107" i="5"/>
  <c r="AG106" i="5"/>
  <c r="AH106" i="5" s="1"/>
  <c r="AE106" i="5"/>
  <c r="AA106" i="5" s="1"/>
  <c r="AD106" i="5"/>
  <c r="Y106" i="5" s="1"/>
  <c r="AC106" i="5"/>
  <c r="AB106" i="5"/>
  <c r="N106" i="5"/>
  <c r="J106" i="5" s="1"/>
  <c r="M106" i="5"/>
  <c r="H106" i="5" s="1"/>
  <c r="L106" i="5"/>
  <c r="K106" i="5"/>
  <c r="AE105" i="5"/>
  <c r="AG105" i="5" s="1"/>
  <c r="AH105" i="5" s="1"/>
  <c r="AD105" i="5"/>
  <c r="Y105" i="5" s="1"/>
  <c r="AC105" i="5"/>
  <c r="AB105" i="5"/>
  <c r="N105" i="5"/>
  <c r="I105" i="5" s="1"/>
  <c r="M105" i="5"/>
  <c r="H105" i="5" s="1"/>
  <c r="L105" i="5"/>
  <c r="K105" i="5"/>
  <c r="O105" i="5" s="1"/>
  <c r="J105" i="5"/>
  <c r="AE104" i="5"/>
  <c r="AG104" i="5" s="1"/>
  <c r="AH104" i="5" s="1"/>
  <c r="AD104" i="5"/>
  <c r="AC104" i="5"/>
  <c r="AB104" i="5"/>
  <c r="Z104" i="5"/>
  <c r="Y104" i="5"/>
  <c r="N104" i="5"/>
  <c r="P104" i="5" s="1"/>
  <c r="Q104" i="5" s="1"/>
  <c r="M104" i="5"/>
  <c r="L104" i="5"/>
  <c r="K104" i="5"/>
  <c r="O104" i="5" s="1"/>
  <c r="J104" i="5"/>
  <c r="I104" i="5"/>
  <c r="H104" i="5"/>
  <c r="AE103" i="5"/>
  <c r="AG103" i="5" s="1"/>
  <c r="AH103" i="5" s="1"/>
  <c r="AD103" i="5"/>
  <c r="Y103" i="5" s="1"/>
  <c r="AC103" i="5"/>
  <c r="AB103" i="5"/>
  <c r="AF103" i="5" s="1"/>
  <c r="AA103" i="5"/>
  <c r="Z103" i="5"/>
  <c r="Q103" i="5"/>
  <c r="P103" i="5"/>
  <c r="N103" i="5"/>
  <c r="M103" i="5"/>
  <c r="L103" i="5"/>
  <c r="K103" i="5"/>
  <c r="J103" i="5"/>
  <c r="I103" i="5"/>
  <c r="H103" i="5"/>
  <c r="O103" i="5" s="1"/>
  <c r="AG102" i="5"/>
  <c r="AH102" i="5" s="1"/>
  <c r="AE102" i="5"/>
  <c r="AD102" i="5"/>
  <c r="AC102" i="5"/>
  <c r="AB102" i="5"/>
  <c r="AF102" i="5" s="1"/>
  <c r="AA102" i="5"/>
  <c r="Z102" i="5"/>
  <c r="Y102" i="5"/>
  <c r="N102" i="5"/>
  <c r="P102" i="5" s="1"/>
  <c r="Q102" i="5" s="1"/>
  <c r="M102" i="5"/>
  <c r="L102" i="5"/>
  <c r="K102" i="5"/>
  <c r="H102" i="5"/>
  <c r="AE101" i="5"/>
  <c r="AD101" i="5"/>
  <c r="AC101" i="5"/>
  <c r="AB101" i="5"/>
  <c r="Y101" i="5"/>
  <c r="P101" i="5"/>
  <c r="Q101" i="5" s="1"/>
  <c r="N101" i="5"/>
  <c r="J101" i="5" s="1"/>
  <c r="M101" i="5"/>
  <c r="H101" i="5" s="1"/>
  <c r="L101" i="5"/>
  <c r="K101" i="5"/>
  <c r="AE100" i="5"/>
  <c r="AA100" i="5" s="1"/>
  <c r="AD100" i="5"/>
  <c r="Y100" i="5" s="1"/>
  <c r="AC100" i="5"/>
  <c r="AB100" i="5"/>
  <c r="N100" i="5"/>
  <c r="P100" i="5" s="1"/>
  <c r="Q100" i="5" s="1"/>
  <c r="M100" i="5"/>
  <c r="H100" i="5" s="1"/>
  <c r="L100" i="5"/>
  <c r="K100" i="5"/>
  <c r="AE99" i="5"/>
  <c r="AG99" i="5" s="1"/>
  <c r="AH99" i="5" s="1"/>
  <c r="AD99" i="5"/>
  <c r="Y99" i="5" s="1"/>
  <c r="AC99" i="5"/>
  <c r="AA99" i="5"/>
  <c r="Z99" i="5"/>
  <c r="N99" i="5"/>
  <c r="P99" i="5" s="1"/>
  <c r="Q99" i="5" s="1"/>
  <c r="M99" i="5"/>
  <c r="H99" i="5" s="1"/>
  <c r="O99" i="5" s="1"/>
  <c r="L99" i="5"/>
  <c r="J99" i="5"/>
  <c r="I99" i="5"/>
  <c r="AH98" i="5"/>
  <c r="AG98" i="5"/>
  <c r="AE98" i="5"/>
  <c r="AD98" i="5"/>
  <c r="AC98" i="5"/>
  <c r="AA98" i="5"/>
  <c r="Z98" i="5"/>
  <c r="Y98" i="5"/>
  <c r="AF98" i="5" s="1"/>
  <c r="P98" i="5"/>
  <c r="Q98" i="5" s="1"/>
  <c r="N98" i="5"/>
  <c r="J98" i="5" s="1"/>
  <c r="O98" i="5" s="1"/>
  <c r="M98" i="5"/>
  <c r="L98" i="5"/>
  <c r="I98" i="5"/>
  <c r="H98" i="5"/>
  <c r="AG97" i="5"/>
  <c r="AH97" i="5" s="1"/>
  <c r="AE97" i="5"/>
  <c r="AA97" i="5" s="1"/>
  <c r="AD97" i="5"/>
  <c r="Y97" i="5" s="1"/>
  <c r="AC97" i="5"/>
  <c r="N97" i="5"/>
  <c r="I97" i="5" s="1"/>
  <c r="M97" i="5"/>
  <c r="H97" i="5" s="1"/>
  <c r="L97" i="5"/>
  <c r="J97" i="5"/>
  <c r="AE96" i="5"/>
  <c r="AG96" i="5" s="1"/>
  <c r="AH96" i="5" s="1"/>
  <c r="AD96" i="5"/>
  <c r="AC96" i="5"/>
  <c r="AB96" i="5"/>
  <c r="Z96" i="5"/>
  <c r="Y96" i="5"/>
  <c r="N96" i="5"/>
  <c r="P96" i="5" s="1"/>
  <c r="Q96" i="5" s="1"/>
  <c r="M96" i="5"/>
  <c r="L96" i="5"/>
  <c r="K96" i="5"/>
  <c r="J96" i="5"/>
  <c r="I96" i="5"/>
  <c r="H96" i="5"/>
  <c r="AE95" i="5"/>
  <c r="AG95" i="5" s="1"/>
  <c r="AH95" i="5" s="1"/>
  <c r="AD95" i="5"/>
  <c r="AC95" i="5"/>
  <c r="AA95" i="5"/>
  <c r="Z95" i="5"/>
  <c r="Y95" i="5"/>
  <c r="AF95" i="5" s="1"/>
  <c r="P95" i="5"/>
  <c r="Q95" i="5" s="1"/>
  <c r="N95" i="5"/>
  <c r="J95" i="5" s="1"/>
  <c r="M95" i="5"/>
  <c r="L95" i="5"/>
  <c r="H95" i="5"/>
  <c r="AE94" i="5"/>
  <c r="AD94" i="5"/>
  <c r="AC94" i="5"/>
  <c r="Y94" i="5"/>
  <c r="N94" i="5"/>
  <c r="P94" i="5" s="1"/>
  <c r="Q94" i="5" s="1"/>
  <c r="M94" i="5"/>
  <c r="H94" i="5" s="1"/>
  <c r="L94" i="5"/>
  <c r="AE93" i="5"/>
  <c r="AG93" i="5" s="1"/>
  <c r="AH93" i="5" s="1"/>
  <c r="AD93" i="5"/>
  <c r="Y93" i="5" s="1"/>
  <c r="AC93" i="5"/>
  <c r="AA93" i="5"/>
  <c r="Z93" i="5"/>
  <c r="N93" i="5"/>
  <c r="P93" i="5" s="1"/>
  <c r="Q93" i="5" s="1"/>
  <c r="M93" i="5"/>
  <c r="H93" i="5" s="1"/>
  <c r="O93" i="5" s="1"/>
  <c r="L93" i="5"/>
  <c r="J93" i="5"/>
  <c r="I93" i="5"/>
  <c r="AH92" i="5"/>
  <c r="AG92" i="5"/>
  <c r="AE92" i="5"/>
  <c r="AD92" i="5"/>
  <c r="AC92" i="5"/>
  <c r="AA92" i="5"/>
  <c r="Z92" i="5"/>
  <c r="Y92" i="5"/>
  <c r="AF92" i="5" s="1"/>
  <c r="P92" i="5"/>
  <c r="Q92" i="5" s="1"/>
  <c r="O92" i="5"/>
  <c r="N92" i="5"/>
  <c r="J92" i="5" s="1"/>
  <c r="M92" i="5"/>
  <c r="L92" i="5"/>
  <c r="I92" i="5"/>
  <c r="H92" i="5"/>
  <c r="AG91" i="5"/>
  <c r="AH91" i="5" s="1"/>
  <c r="AE91" i="5"/>
  <c r="AA91" i="5" s="1"/>
  <c r="AD91" i="5"/>
  <c r="Y91" i="5" s="1"/>
  <c r="AC91" i="5"/>
  <c r="N91" i="5"/>
  <c r="I91" i="5" s="1"/>
  <c r="M91" i="5"/>
  <c r="H91" i="5" s="1"/>
  <c r="L91" i="5"/>
  <c r="J91" i="5"/>
  <c r="AE90" i="5"/>
  <c r="AG90" i="5" s="1"/>
  <c r="AH90" i="5" s="1"/>
  <c r="AD90" i="5"/>
  <c r="AC90" i="5"/>
  <c r="Y90" i="5"/>
  <c r="Q90" i="5"/>
  <c r="P90" i="5"/>
  <c r="N90" i="5"/>
  <c r="M90" i="5"/>
  <c r="L90" i="5"/>
  <c r="J90" i="5"/>
  <c r="I90" i="5"/>
  <c r="H90" i="5"/>
  <c r="O90" i="5" s="1"/>
  <c r="AH89" i="5"/>
  <c r="AG89" i="5"/>
  <c r="AE89" i="5"/>
  <c r="AD89" i="5"/>
  <c r="AC89" i="5"/>
  <c r="AA89" i="5"/>
  <c r="Z89" i="5"/>
  <c r="AF89" i="5" s="1"/>
  <c r="Y89" i="5"/>
  <c r="N89" i="5"/>
  <c r="P89" i="5" s="1"/>
  <c r="Q89" i="5" s="1"/>
  <c r="M89" i="5"/>
  <c r="H89" i="5" s="1"/>
  <c r="L89" i="5"/>
  <c r="AE88" i="5"/>
  <c r="AA88" i="5" s="1"/>
  <c r="AD88" i="5"/>
  <c r="Y88" i="5" s="1"/>
  <c r="AC88" i="5"/>
  <c r="P88" i="5"/>
  <c r="Q88" i="5" s="1"/>
  <c r="N88" i="5"/>
  <c r="M88" i="5"/>
  <c r="H88" i="5" s="1"/>
  <c r="O88" i="5" s="1"/>
  <c r="L88" i="5"/>
  <c r="J88" i="5"/>
  <c r="I88" i="5"/>
  <c r="AE87" i="5"/>
  <c r="AG87" i="5" s="1"/>
  <c r="AH87" i="5" s="1"/>
  <c r="AD87" i="5"/>
  <c r="AC87" i="5"/>
  <c r="AA87" i="5"/>
  <c r="Z87" i="5"/>
  <c r="Y87" i="5"/>
  <c r="AF87" i="5" s="1"/>
  <c r="Q87" i="5"/>
  <c r="P87" i="5"/>
  <c r="N87" i="5"/>
  <c r="M87" i="5"/>
  <c r="L87" i="5"/>
  <c r="J87" i="5"/>
  <c r="I87" i="5"/>
  <c r="H87" i="5"/>
  <c r="O87" i="5" s="1"/>
  <c r="AE86" i="5"/>
  <c r="AG86" i="5" s="1"/>
  <c r="AH86" i="5" s="1"/>
  <c r="AD86" i="5"/>
  <c r="Y86" i="5" s="1"/>
  <c r="AC86" i="5"/>
  <c r="N86" i="5"/>
  <c r="M86" i="5"/>
  <c r="H86" i="5" s="1"/>
  <c r="L86" i="5"/>
  <c r="AE85" i="5"/>
  <c r="AG85" i="5" s="1"/>
  <c r="AH85" i="5" s="1"/>
  <c r="AD85" i="5"/>
  <c r="Y85" i="5" s="1"/>
  <c r="AC85" i="5"/>
  <c r="N85" i="5"/>
  <c r="P85" i="5" s="1"/>
  <c r="Q85" i="5" s="1"/>
  <c r="M85" i="5"/>
  <c r="L85" i="5"/>
  <c r="J85" i="5"/>
  <c r="I85" i="5"/>
  <c r="H85" i="5"/>
  <c r="F81" i="5"/>
  <c r="J79" i="5"/>
  <c r="V72" i="5"/>
  <c r="E72" i="5"/>
  <c r="AD71" i="5"/>
  <c r="AD72" i="5" s="1"/>
  <c r="AC68" i="5"/>
  <c r="L68" i="5"/>
  <c r="AC66" i="5"/>
  <c r="L66" i="5"/>
  <c r="V64" i="5"/>
  <c r="E64" i="5"/>
  <c r="AC58" i="5"/>
  <c r="L58" i="5"/>
  <c r="V28" i="5"/>
  <c r="E28" i="5"/>
  <c r="V27" i="5"/>
  <c r="E27" i="5"/>
  <c r="V25" i="5"/>
  <c r="E25" i="5"/>
  <c r="V23" i="5"/>
  <c r="E23" i="5"/>
  <c r="AC18" i="5"/>
  <c r="L18" i="5"/>
  <c r="AC14" i="5"/>
  <c r="L14" i="5"/>
  <c r="AC12" i="5"/>
  <c r="L12" i="5"/>
  <c r="AC10" i="5"/>
  <c r="L10" i="5"/>
  <c r="AC9" i="5"/>
  <c r="L9" i="5"/>
  <c r="AC7" i="5"/>
  <c r="L7" i="5"/>
  <c r="AD6" i="5"/>
  <c r="AD7" i="5" s="1"/>
  <c r="AD8" i="5" s="1"/>
  <c r="AD9" i="5" s="1"/>
  <c r="AD10" i="5" s="1"/>
  <c r="AD11" i="5" s="1"/>
  <c r="AD12" i="5" s="1"/>
  <c r="AD13" i="5" s="1"/>
  <c r="AD14" i="5" s="1"/>
  <c r="AD15" i="5" s="1"/>
  <c r="AD16" i="5" s="1"/>
  <c r="AD17" i="5" s="1"/>
  <c r="AD18" i="5" s="1"/>
  <c r="AD19" i="5" s="1"/>
  <c r="AD20" i="5" s="1"/>
  <c r="AD21" i="5" s="1"/>
  <c r="AD22" i="5" s="1"/>
  <c r="AD23" i="5" s="1"/>
  <c r="AD24" i="5" s="1"/>
  <c r="AD25" i="5" s="1"/>
  <c r="AD26" i="5" s="1"/>
  <c r="AD27" i="5" s="1"/>
  <c r="AD28" i="5" s="1"/>
  <c r="AD29" i="5" s="1"/>
  <c r="AD30" i="5" s="1"/>
  <c r="AD31" i="5" s="1"/>
  <c r="AD32" i="5" s="1"/>
  <c r="AD33" i="5" s="1"/>
  <c r="AD34" i="5" s="1"/>
  <c r="AD35" i="5" s="1"/>
  <c r="AD36" i="5" s="1"/>
  <c r="AD37" i="5" s="1"/>
  <c r="AD38" i="5" s="1"/>
  <c r="AD39" i="5" s="1"/>
  <c r="AD40" i="5" s="1"/>
  <c r="AD41" i="5" s="1"/>
  <c r="AD42" i="5" s="1"/>
  <c r="AD43" i="5" s="1"/>
  <c r="AD44" i="5" s="1"/>
  <c r="AD45" i="5" s="1"/>
  <c r="AD46" i="5" s="1"/>
  <c r="AD47" i="5" s="1"/>
  <c r="AD48" i="5" s="1"/>
  <c r="AD49" i="5" s="1"/>
  <c r="AD50" i="5" s="1"/>
  <c r="AD51" i="5" s="1"/>
  <c r="AD52" i="5" s="1"/>
  <c r="AD53" i="5" s="1"/>
  <c r="AD54" i="5" s="1"/>
  <c r="AD55" i="5" s="1"/>
  <c r="AD56" i="5" s="1"/>
  <c r="AD57" i="5" s="1"/>
  <c r="AD58" i="5" s="1"/>
  <c r="AD59" i="5" s="1"/>
  <c r="AD60" i="5" s="1"/>
  <c r="AD61" i="5" s="1"/>
  <c r="AD62" i="5" s="1"/>
  <c r="AD63" i="5" s="1"/>
  <c r="AD64" i="5" s="1"/>
  <c r="AD65" i="5" s="1"/>
  <c r="AD66" i="5" s="1"/>
  <c r="AD68" i="5" s="1"/>
  <c r="AC6" i="5"/>
  <c r="M6" i="5"/>
  <c r="M7" i="5" s="1"/>
  <c r="M8" i="5" s="1"/>
  <c r="M9" i="5" s="1"/>
  <c r="M10" i="5" s="1"/>
  <c r="M11" i="5" s="1"/>
  <c r="M12" i="5" s="1"/>
  <c r="M13" i="5" s="1"/>
  <c r="M14" i="5" s="1"/>
  <c r="M15" i="5" s="1"/>
  <c r="M16" i="5" s="1"/>
  <c r="M17" i="5" s="1"/>
  <c r="M18" i="5" s="1"/>
  <c r="M19" i="5" s="1"/>
  <c r="M20" i="5" s="1"/>
  <c r="M21" i="5" s="1"/>
  <c r="M22" i="5" s="1"/>
  <c r="M23" i="5" s="1"/>
  <c r="M24" i="5" s="1"/>
  <c r="M25" i="5" s="1"/>
  <c r="M26" i="5" s="1"/>
  <c r="M27" i="5" s="1"/>
  <c r="M28" i="5" s="1"/>
  <c r="M29" i="5" s="1"/>
  <c r="M30" i="5" s="1"/>
  <c r="M31" i="5" s="1"/>
  <c r="M32" i="5" s="1"/>
  <c r="M33" i="5" s="1"/>
  <c r="M34" i="5" s="1"/>
  <c r="M35" i="5" s="1"/>
  <c r="M36" i="5" s="1"/>
  <c r="M37" i="5" s="1"/>
  <c r="M38" i="5" s="1"/>
  <c r="M39" i="5" s="1"/>
  <c r="M40" i="5" s="1"/>
  <c r="M41" i="5" s="1"/>
  <c r="M42" i="5" s="1"/>
  <c r="M43" i="5" s="1"/>
  <c r="M44" i="5" s="1"/>
  <c r="M45" i="5" s="1"/>
  <c r="M46" i="5" s="1"/>
  <c r="M47" i="5" s="1"/>
  <c r="M48" i="5" s="1"/>
  <c r="M49" i="5" s="1"/>
  <c r="M50" i="5" s="1"/>
  <c r="M51" i="5" s="1"/>
  <c r="M52" i="5" s="1"/>
  <c r="M53" i="5" s="1"/>
  <c r="M54" i="5" s="1"/>
  <c r="M55" i="5" s="1"/>
  <c r="M56" i="5" s="1"/>
  <c r="M57" i="5" s="1"/>
  <c r="M58" i="5" s="1"/>
  <c r="M59" i="5" s="1"/>
  <c r="M60" i="5" s="1"/>
  <c r="M61" i="5" s="1"/>
  <c r="M62" i="5" s="1"/>
  <c r="M63" i="5" s="1"/>
  <c r="M64" i="5" s="1"/>
  <c r="M65" i="5" s="1"/>
  <c r="M66" i="5" s="1"/>
  <c r="M67" i="5" s="1"/>
  <c r="M68" i="5" s="1"/>
  <c r="M69" i="5" s="1"/>
  <c r="M70" i="5" s="1"/>
  <c r="M71" i="5" s="1"/>
  <c r="M72" i="5" s="1"/>
  <c r="L6" i="5"/>
  <c r="H921" i="3"/>
  <c r="H920" i="3"/>
  <c r="H919" i="3"/>
  <c r="H918" i="3"/>
  <c r="H917" i="3"/>
  <c r="H916" i="3"/>
  <c r="H915" i="3"/>
  <c r="H914" i="3"/>
  <c r="E907" i="3"/>
  <c r="F907" i="3" s="1"/>
  <c r="I907" i="3" s="1"/>
  <c r="D907" i="3"/>
  <c r="O906" i="3"/>
  <c r="E906" i="3"/>
  <c r="F906" i="3" s="1"/>
  <c r="I906" i="3" s="1"/>
  <c r="D906" i="3"/>
  <c r="E905" i="3"/>
  <c r="F905" i="3" s="1"/>
  <c r="I905" i="3" s="1"/>
  <c r="O905" i="3" s="1"/>
  <c r="D905" i="3"/>
  <c r="M905" i="3" s="1"/>
  <c r="E904" i="3"/>
  <c r="F904" i="3" s="1"/>
  <c r="I904" i="3" s="1"/>
  <c r="D904" i="3"/>
  <c r="I903" i="3"/>
  <c r="O903" i="3" s="1"/>
  <c r="F903" i="3"/>
  <c r="E903" i="3"/>
  <c r="D903" i="3"/>
  <c r="E902" i="3"/>
  <c r="F902" i="3" s="1"/>
  <c r="I902" i="3" s="1"/>
  <c r="D902" i="3"/>
  <c r="E901" i="3"/>
  <c r="F901" i="3" s="1"/>
  <c r="I901" i="3" s="1"/>
  <c r="D901" i="3"/>
  <c r="E900" i="3"/>
  <c r="D900" i="3"/>
  <c r="O899" i="3"/>
  <c r="E899" i="3"/>
  <c r="F899" i="3" s="1"/>
  <c r="I899" i="3" s="1"/>
  <c r="D899" i="3"/>
  <c r="E898" i="3"/>
  <c r="F898" i="3" s="1"/>
  <c r="I898" i="3" s="1"/>
  <c r="D898" i="3"/>
  <c r="J898" i="3" s="1"/>
  <c r="E897" i="3"/>
  <c r="D897" i="3"/>
  <c r="E896" i="3"/>
  <c r="D896" i="3"/>
  <c r="J873" i="3"/>
  <c r="Q872" i="3"/>
  <c r="S866" i="3"/>
  <c r="R866" i="3"/>
  <c r="Q866" i="3"/>
  <c r="P866" i="3"/>
  <c r="K865" i="3"/>
  <c r="R865" i="3" s="1"/>
  <c r="E865" i="3"/>
  <c r="Q865" i="3" s="1"/>
  <c r="S865" i="3" s="1"/>
  <c r="Q864" i="3"/>
  <c r="S864" i="3" s="1"/>
  <c r="P864" i="3"/>
  <c r="K864" i="3"/>
  <c r="R864" i="3" s="1"/>
  <c r="R863" i="3"/>
  <c r="Q863" i="3"/>
  <c r="S863" i="3" s="1"/>
  <c r="P863" i="3"/>
  <c r="R862" i="3"/>
  <c r="E862" i="3"/>
  <c r="Q862" i="3" s="1"/>
  <c r="S862" i="3" s="1"/>
  <c r="R861" i="3"/>
  <c r="Q861" i="3"/>
  <c r="P861" i="3"/>
  <c r="R860" i="3"/>
  <c r="Q860" i="3"/>
  <c r="S860" i="3" s="1"/>
  <c r="P860" i="3"/>
  <c r="R859" i="3"/>
  <c r="Q859" i="3"/>
  <c r="S859" i="3" s="1"/>
  <c r="T859" i="3" s="1"/>
  <c r="P859" i="3"/>
  <c r="S858" i="3"/>
  <c r="R858" i="3"/>
  <c r="Q858" i="3"/>
  <c r="P858" i="3"/>
  <c r="S857" i="3"/>
  <c r="R857" i="3"/>
  <c r="Q857" i="3"/>
  <c r="P857" i="3"/>
  <c r="R856" i="3"/>
  <c r="Q856" i="3"/>
  <c r="S856" i="3" s="1"/>
  <c r="P856" i="3"/>
  <c r="S855" i="3"/>
  <c r="R855" i="3"/>
  <c r="Q855" i="3"/>
  <c r="P855" i="3"/>
  <c r="R854" i="3"/>
  <c r="E854" i="3"/>
  <c r="Q854" i="3" s="1"/>
  <c r="S853" i="3"/>
  <c r="R853" i="3"/>
  <c r="Q853" i="3"/>
  <c r="P853" i="3"/>
  <c r="R852" i="3"/>
  <c r="Q852" i="3"/>
  <c r="S852" i="3" s="1"/>
  <c r="P852" i="3"/>
  <c r="R851" i="3"/>
  <c r="Q851" i="3"/>
  <c r="P851" i="3"/>
  <c r="R850" i="3"/>
  <c r="S850" i="3" s="1"/>
  <c r="Q850" i="3"/>
  <c r="P850" i="3"/>
  <c r="R849" i="3"/>
  <c r="Q849" i="3"/>
  <c r="S849" i="3" s="1"/>
  <c r="P849" i="3"/>
  <c r="R848" i="3"/>
  <c r="Q848" i="3"/>
  <c r="S848" i="3" s="1"/>
  <c r="P848" i="3"/>
  <c r="R847" i="3"/>
  <c r="Q847" i="3"/>
  <c r="S847" i="3" s="1"/>
  <c r="P847" i="3"/>
  <c r="R846" i="3"/>
  <c r="Q846" i="3"/>
  <c r="S846" i="3" s="1"/>
  <c r="P846" i="3"/>
  <c r="R845" i="3"/>
  <c r="Q845" i="3"/>
  <c r="P845" i="3"/>
  <c r="R844" i="3"/>
  <c r="Q844" i="3"/>
  <c r="P844" i="3"/>
  <c r="S844" i="3" s="1"/>
  <c r="Q837" i="3"/>
  <c r="P837" i="3"/>
  <c r="O837" i="3"/>
  <c r="M837" i="3"/>
  <c r="R837" i="3" s="1"/>
  <c r="D837" i="3"/>
  <c r="O836" i="3"/>
  <c r="D836" i="3"/>
  <c r="O835" i="3"/>
  <c r="D835" i="3"/>
  <c r="Q835" i="3" s="1"/>
  <c r="M835" i="3" s="1"/>
  <c r="R835" i="3" s="1"/>
  <c r="Q834" i="3"/>
  <c r="P834" i="3"/>
  <c r="O834" i="3"/>
  <c r="L834" i="3"/>
  <c r="K834" i="3"/>
  <c r="D834" i="3"/>
  <c r="Q833" i="3"/>
  <c r="P833" i="3"/>
  <c r="O833" i="3"/>
  <c r="M833" i="3"/>
  <c r="L833" i="3"/>
  <c r="K833" i="3"/>
  <c r="D833" i="3"/>
  <c r="Q832" i="3"/>
  <c r="P832" i="3"/>
  <c r="O832" i="3"/>
  <c r="M832" i="3"/>
  <c r="L832" i="3"/>
  <c r="R832" i="3" s="1"/>
  <c r="K832" i="3"/>
  <c r="D832" i="3"/>
  <c r="O831" i="3"/>
  <c r="D831" i="3"/>
  <c r="O830" i="3"/>
  <c r="D830" i="3"/>
  <c r="Q830" i="3" s="1"/>
  <c r="Q829" i="3"/>
  <c r="O829" i="3"/>
  <c r="N829" i="3"/>
  <c r="K829" i="3"/>
  <c r="D829" i="3"/>
  <c r="P829" i="3" s="1"/>
  <c r="U829" i="3" s="1"/>
  <c r="O828" i="3"/>
  <c r="N828" i="3"/>
  <c r="K828" i="3"/>
  <c r="D828" i="3"/>
  <c r="Q828" i="3" s="1"/>
  <c r="Q827" i="3"/>
  <c r="P827" i="3"/>
  <c r="O827" i="3"/>
  <c r="N827" i="3"/>
  <c r="K827" i="3"/>
  <c r="D827" i="3"/>
  <c r="Q826" i="3"/>
  <c r="O826" i="3"/>
  <c r="N826" i="3"/>
  <c r="K826" i="3"/>
  <c r="D826" i="3"/>
  <c r="P826" i="3" s="1"/>
  <c r="U826" i="3" s="1"/>
  <c r="Q825" i="3"/>
  <c r="M825" i="3" s="1"/>
  <c r="R825" i="3" s="1"/>
  <c r="P825" i="3"/>
  <c r="S825" i="3" s="1"/>
  <c r="T825" i="3" s="1"/>
  <c r="O825" i="3"/>
  <c r="N825" i="3"/>
  <c r="K825" i="3"/>
  <c r="D825" i="3"/>
  <c r="Q824" i="3"/>
  <c r="P824" i="3"/>
  <c r="O824" i="3"/>
  <c r="N824" i="3"/>
  <c r="K824" i="3"/>
  <c r="D824" i="3"/>
  <c r="Q823" i="3"/>
  <c r="M823" i="3" s="1"/>
  <c r="O823" i="3"/>
  <c r="N823" i="3"/>
  <c r="K823" i="3"/>
  <c r="D823" i="3"/>
  <c r="P823" i="3" s="1"/>
  <c r="Q822" i="3"/>
  <c r="P822" i="3"/>
  <c r="O822" i="3"/>
  <c r="N822" i="3"/>
  <c r="R822" i="3" s="1"/>
  <c r="M822" i="3"/>
  <c r="K822" i="3"/>
  <c r="D822" i="3"/>
  <c r="Q821" i="3"/>
  <c r="O821" i="3"/>
  <c r="U821" i="3" s="1"/>
  <c r="N821" i="3"/>
  <c r="K821" i="3"/>
  <c r="D821" i="3"/>
  <c r="P821" i="3" s="1"/>
  <c r="O820" i="3"/>
  <c r="N820" i="3"/>
  <c r="K820" i="3"/>
  <c r="D820" i="3"/>
  <c r="O819" i="3"/>
  <c r="N819" i="3"/>
  <c r="K819" i="3"/>
  <c r="D819" i="3"/>
  <c r="Q819" i="3" s="1"/>
  <c r="O818" i="3"/>
  <c r="N818" i="3"/>
  <c r="K818" i="3"/>
  <c r="D818" i="3"/>
  <c r="O817" i="3"/>
  <c r="N817" i="3"/>
  <c r="K817" i="3"/>
  <c r="D817" i="3"/>
  <c r="Q817" i="3" s="1"/>
  <c r="O816" i="3"/>
  <c r="N816" i="3"/>
  <c r="K816" i="3"/>
  <c r="D816" i="3"/>
  <c r="Q816" i="3" s="1"/>
  <c r="M816" i="3" s="1"/>
  <c r="R816" i="3" s="1"/>
  <c r="S815" i="3"/>
  <c r="T815" i="3" s="1"/>
  <c r="R815" i="3"/>
  <c r="Q815" i="3"/>
  <c r="M815" i="3" s="1"/>
  <c r="O815" i="3"/>
  <c r="L815" i="3"/>
  <c r="K815" i="3"/>
  <c r="D815" i="3"/>
  <c r="P815" i="3" s="1"/>
  <c r="S814" i="3"/>
  <c r="T814" i="3" s="1"/>
  <c r="Q814" i="3"/>
  <c r="M814" i="3" s="1"/>
  <c r="P814" i="3"/>
  <c r="O814" i="3"/>
  <c r="L814" i="3"/>
  <c r="R814" i="3" s="1"/>
  <c r="K814" i="3"/>
  <c r="D814" i="3"/>
  <c r="Q813" i="3"/>
  <c r="P813" i="3"/>
  <c r="O813" i="3"/>
  <c r="L813" i="3"/>
  <c r="K813" i="3"/>
  <c r="D813" i="3"/>
  <c r="S812" i="3"/>
  <c r="Q812" i="3"/>
  <c r="O812" i="3"/>
  <c r="M812" i="3"/>
  <c r="R812" i="3" s="1"/>
  <c r="L812" i="3"/>
  <c r="K812" i="3"/>
  <c r="D812" i="3"/>
  <c r="P812" i="3" s="1"/>
  <c r="Q811" i="3"/>
  <c r="S811" i="3" s="1"/>
  <c r="T811" i="3" s="1"/>
  <c r="P811" i="3"/>
  <c r="O811" i="3"/>
  <c r="N811" i="3"/>
  <c r="M811" i="3"/>
  <c r="L811" i="3"/>
  <c r="K811" i="3"/>
  <c r="Q810" i="3"/>
  <c r="S810" i="3" s="1"/>
  <c r="T810" i="3" s="1"/>
  <c r="P810" i="3"/>
  <c r="O810" i="3"/>
  <c r="N810" i="3"/>
  <c r="R810" i="3" s="1"/>
  <c r="M810" i="3"/>
  <c r="L810" i="3"/>
  <c r="K810" i="3"/>
  <c r="O809" i="3"/>
  <c r="L809" i="3"/>
  <c r="K809" i="3"/>
  <c r="D809" i="3"/>
  <c r="O808" i="3"/>
  <c r="L808" i="3"/>
  <c r="K808" i="3"/>
  <c r="D808" i="3"/>
  <c r="Q808" i="3" s="1"/>
  <c r="O807" i="3"/>
  <c r="L807" i="3"/>
  <c r="K807" i="3"/>
  <c r="D807" i="3"/>
  <c r="Q807" i="3" s="1"/>
  <c r="R806" i="3"/>
  <c r="O806" i="3"/>
  <c r="L806" i="3"/>
  <c r="K806" i="3"/>
  <c r="D806" i="3"/>
  <c r="Q806" i="3" s="1"/>
  <c r="M806" i="3" s="1"/>
  <c r="P805" i="3"/>
  <c r="S805" i="3" s="1"/>
  <c r="T805" i="3" s="1"/>
  <c r="O805" i="3"/>
  <c r="L805" i="3"/>
  <c r="K805" i="3"/>
  <c r="D805" i="3"/>
  <c r="Q805" i="3" s="1"/>
  <c r="M805" i="3" s="1"/>
  <c r="R805" i="3" s="1"/>
  <c r="Q804" i="3"/>
  <c r="P804" i="3"/>
  <c r="O804" i="3"/>
  <c r="L804" i="3"/>
  <c r="K804" i="3"/>
  <c r="D804" i="3"/>
  <c r="Q803" i="3"/>
  <c r="O803" i="3"/>
  <c r="M803" i="3"/>
  <c r="R803" i="3" s="1"/>
  <c r="L803" i="3"/>
  <c r="K803" i="3"/>
  <c r="D803" i="3"/>
  <c r="P803" i="3" s="1"/>
  <c r="S803" i="3" s="1"/>
  <c r="T803" i="3" s="1"/>
  <c r="Q802" i="3"/>
  <c r="S802" i="3" s="1"/>
  <c r="T802" i="3" s="1"/>
  <c r="P802" i="3"/>
  <c r="O802" i="3"/>
  <c r="M802" i="3"/>
  <c r="L802" i="3"/>
  <c r="R802" i="3" s="1"/>
  <c r="K802" i="3"/>
  <c r="D802" i="3"/>
  <c r="Q801" i="3"/>
  <c r="O801" i="3"/>
  <c r="L801" i="3"/>
  <c r="K801" i="3"/>
  <c r="D801" i="3"/>
  <c r="P801" i="3" s="1"/>
  <c r="O800" i="3"/>
  <c r="L800" i="3"/>
  <c r="K800" i="3"/>
  <c r="D800" i="3"/>
  <c r="Q799" i="3"/>
  <c r="P799" i="3"/>
  <c r="O799" i="3"/>
  <c r="M799" i="3"/>
  <c r="L799" i="3"/>
  <c r="K799" i="3"/>
  <c r="R799" i="3" s="1"/>
  <c r="D799" i="3"/>
  <c r="O798" i="3"/>
  <c r="L798" i="3"/>
  <c r="K798" i="3"/>
  <c r="D798" i="3"/>
  <c r="O797" i="3"/>
  <c r="L797" i="3"/>
  <c r="K797" i="3"/>
  <c r="D797" i="3"/>
  <c r="Q797" i="3" s="1"/>
  <c r="M797" i="3" s="1"/>
  <c r="Q796" i="3"/>
  <c r="M796" i="3" s="1"/>
  <c r="R796" i="3" s="1"/>
  <c r="P796" i="3"/>
  <c r="O796" i="3"/>
  <c r="L796" i="3"/>
  <c r="K796" i="3"/>
  <c r="D796" i="3"/>
  <c r="Q795" i="3"/>
  <c r="P795" i="3"/>
  <c r="O795" i="3"/>
  <c r="L795" i="3"/>
  <c r="K795" i="3"/>
  <c r="D795" i="3"/>
  <c r="O794" i="3"/>
  <c r="M794" i="3"/>
  <c r="R794" i="3" s="1"/>
  <c r="L794" i="3"/>
  <c r="K794" i="3"/>
  <c r="D794" i="3"/>
  <c r="Q794" i="3" s="1"/>
  <c r="Q793" i="3"/>
  <c r="P793" i="3"/>
  <c r="O793" i="3"/>
  <c r="M793" i="3"/>
  <c r="L793" i="3"/>
  <c r="K793" i="3"/>
  <c r="D793" i="3"/>
  <c r="Q792" i="3"/>
  <c r="O792" i="3"/>
  <c r="L792" i="3"/>
  <c r="K792" i="3"/>
  <c r="D792" i="3"/>
  <c r="P792" i="3" s="1"/>
  <c r="O791" i="3"/>
  <c r="L791" i="3"/>
  <c r="K791" i="3"/>
  <c r="D791" i="3"/>
  <c r="O790" i="3"/>
  <c r="L790" i="3"/>
  <c r="K790" i="3"/>
  <c r="D790" i="3"/>
  <c r="Q790" i="3" s="1"/>
  <c r="O789" i="3"/>
  <c r="L789" i="3"/>
  <c r="K789" i="3"/>
  <c r="D789" i="3"/>
  <c r="S788" i="3"/>
  <c r="T788" i="3" s="1"/>
  <c r="Q788" i="3"/>
  <c r="P788" i="3"/>
  <c r="O788" i="3"/>
  <c r="M788" i="3"/>
  <c r="L788" i="3"/>
  <c r="K788" i="3"/>
  <c r="R788" i="3" s="1"/>
  <c r="D788" i="3"/>
  <c r="Q787" i="3"/>
  <c r="O787" i="3"/>
  <c r="L787" i="3"/>
  <c r="K787" i="3"/>
  <c r="D787" i="3"/>
  <c r="P787" i="3" s="1"/>
  <c r="R786" i="3"/>
  <c r="Q786" i="3"/>
  <c r="M786" i="3" s="1"/>
  <c r="O786" i="3"/>
  <c r="L786" i="3"/>
  <c r="K786" i="3"/>
  <c r="D786" i="3"/>
  <c r="P786" i="3" s="1"/>
  <c r="S786" i="3" s="1"/>
  <c r="T786" i="3" s="1"/>
  <c r="R785" i="3"/>
  <c r="Q785" i="3"/>
  <c r="P785" i="3"/>
  <c r="O785" i="3"/>
  <c r="M785" i="3"/>
  <c r="L785" i="3"/>
  <c r="K785" i="3"/>
  <c r="D785" i="3"/>
  <c r="Q784" i="3"/>
  <c r="P784" i="3"/>
  <c r="O784" i="3"/>
  <c r="M784" i="3"/>
  <c r="R784" i="3" s="1"/>
  <c r="L784" i="3"/>
  <c r="K784" i="3"/>
  <c r="D784" i="3"/>
  <c r="O783" i="3"/>
  <c r="L783" i="3"/>
  <c r="K783" i="3"/>
  <c r="D783" i="3"/>
  <c r="Q783" i="3" s="1"/>
  <c r="O782" i="3"/>
  <c r="L782" i="3"/>
  <c r="K782" i="3"/>
  <c r="D782" i="3"/>
  <c r="O781" i="3"/>
  <c r="L781" i="3"/>
  <c r="K781" i="3"/>
  <c r="D781" i="3"/>
  <c r="Q781" i="3" s="1"/>
  <c r="O780" i="3"/>
  <c r="L780" i="3"/>
  <c r="K780" i="3"/>
  <c r="D780" i="3"/>
  <c r="O779" i="3"/>
  <c r="L779" i="3"/>
  <c r="K779" i="3"/>
  <c r="D779" i="3"/>
  <c r="Q779" i="3" s="1"/>
  <c r="Q778" i="3"/>
  <c r="O778" i="3"/>
  <c r="L778" i="3"/>
  <c r="K778" i="3"/>
  <c r="D778" i="3"/>
  <c r="P778" i="3" s="1"/>
  <c r="S777" i="3"/>
  <c r="T777" i="3" s="1"/>
  <c r="Q777" i="3"/>
  <c r="M777" i="3" s="1"/>
  <c r="R777" i="3" s="1"/>
  <c r="P777" i="3"/>
  <c r="O777" i="3"/>
  <c r="L777" i="3"/>
  <c r="K777" i="3"/>
  <c r="D777" i="3"/>
  <c r="Q776" i="3"/>
  <c r="M776" i="3" s="1"/>
  <c r="P776" i="3"/>
  <c r="S776" i="3" s="1"/>
  <c r="T776" i="3" s="1"/>
  <c r="O776" i="3"/>
  <c r="L776" i="3"/>
  <c r="R776" i="3" s="1"/>
  <c r="K776" i="3"/>
  <c r="D776" i="3"/>
  <c r="Q775" i="3"/>
  <c r="P775" i="3"/>
  <c r="O775" i="3"/>
  <c r="L775" i="3"/>
  <c r="K775" i="3"/>
  <c r="D775" i="3"/>
  <c r="Q774" i="3"/>
  <c r="M774" i="3" s="1"/>
  <c r="P774" i="3"/>
  <c r="O774" i="3"/>
  <c r="L774" i="3"/>
  <c r="R774" i="3" s="1"/>
  <c r="K774" i="3"/>
  <c r="D774" i="3"/>
  <c r="Q773" i="3"/>
  <c r="S773" i="3" s="1"/>
  <c r="T773" i="3" s="1"/>
  <c r="P773" i="3"/>
  <c r="O773" i="3"/>
  <c r="M773" i="3"/>
  <c r="L773" i="3"/>
  <c r="K773" i="3"/>
  <c r="R773" i="3" s="1"/>
  <c r="D773" i="3"/>
  <c r="O772" i="3"/>
  <c r="N772" i="3"/>
  <c r="L772" i="3"/>
  <c r="K772" i="3"/>
  <c r="D772" i="3"/>
  <c r="Q772" i="3" s="1"/>
  <c r="O771" i="3"/>
  <c r="N771" i="3"/>
  <c r="L771" i="3"/>
  <c r="K771" i="3"/>
  <c r="D771" i="3"/>
  <c r="O770" i="3"/>
  <c r="N770" i="3"/>
  <c r="R770" i="3" s="1"/>
  <c r="M770" i="3"/>
  <c r="L770" i="3"/>
  <c r="K770" i="3"/>
  <c r="D770" i="3"/>
  <c r="Q770" i="3" s="1"/>
  <c r="O769" i="3"/>
  <c r="N769" i="3"/>
  <c r="L769" i="3"/>
  <c r="K769" i="3"/>
  <c r="D769" i="3"/>
  <c r="O768" i="3"/>
  <c r="N768" i="3"/>
  <c r="R768" i="3" s="1"/>
  <c r="M768" i="3"/>
  <c r="L768" i="3"/>
  <c r="K768" i="3"/>
  <c r="D768" i="3"/>
  <c r="Q768" i="3" s="1"/>
  <c r="O767" i="3"/>
  <c r="N767" i="3"/>
  <c r="L767" i="3"/>
  <c r="K767" i="3"/>
  <c r="D767" i="3"/>
  <c r="O766" i="3"/>
  <c r="N766" i="3"/>
  <c r="L766" i="3"/>
  <c r="K766" i="3"/>
  <c r="R766" i="3" s="1"/>
  <c r="D766" i="3"/>
  <c r="Q766" i="3" s="1"/>
  <c r="M766" i="3" s="1"/>
  <c r="O765" i="3"/>
  <c r="N765" i="3"/>
  <c r="L765" i="3"/>
  <c r="K765" i="3"/>
  <c r="D765" i="3"/>
  <c r="Q765" i="3" s="1"/>
  <c r="R764" i="3"/>
  <c r="O764" i="3"/>
  <c r="N764" i="3"/>
  <c r="L764" i="3"/>
  <c r="K764" i="3"/>
  <c r="D764" i="3"/>
  <c r="Q764" i="3" s="1"/>
  <c r="M764" i="3" s="1"/>
  <c r="Q763" i="3"/>
  <c r="P763" i="3"/>
  <c r="O763" i="3"/>
  <c r="N763" i="3"/>
  <c r="L763" i="3"/>
  <c r="K763" i="3"/>
  <c r="D763" i="3"/>
  <c r="S762" i="3"/>
  <c r="T762" i="3" s="1"/>
  <c r="R762" i="3"/>
  <c r="P762" i="3"/>
  <c r="O762" i="3"/>
  <c r="N762" i="3"/>
  <c r="L762" i="3"/>
  <c r="K762" i="3"/>
  <c r="D762" i="3"/>
  <c r="Q762" i="3" s="1"/>
  <c r="M762" i="3" s="1"/>
  <c r="Q761" i="3"/>
  <c r="M761" i="3" s="1"/>
  <c r="R761" i="3" s="1"/>
  <c r="P761" i="3"/>
  <c r="S761" i="3" s="1"/>
  <c r="T761" i="3" s="1"/>
  <c r="O761" i="3"/>
  <c r="N761" i="3"/>
  <c r="L761" i="3"/>
  <c r="K761" i="3"/>
  <c r="D761" i="3"/>
  <c r="P760" i="3"/>
  <c r="O760" i="3"/>
  <c r="N760" i="3"/>
  <c r="L760" i="3"/>
  <c r="K760" i="3"/>
  <c r="D760" i="3"/>
  <c r="Q760" i="3" s="1"/>
  <c r="M760" i="3" s="1"/>
  <c r="R760" i="3" s="1"/>
  <c r="Q759" i="3"/>
  <c r="M759" i="3" s="1"/>
  <c r="R759" i="3" s="1"/>
  <c r="S759" i="3" s="1"/>
  <c r="T759" i="3" s="1"/>
  <c r="P759" i="3"/>
  <c r="O759" i="3"/>
  <c r="N759" i="3"/>
  <c r="L759" i="3"/>
  <c r="K759" i="3"/>
  <c r="D759" i="3"/>
  <c r="P758" i="3"/>
  <c r="O758" i="3"/>
  <c r="N758" i="3"/>
  <c r="R758" i="3" s="1"/>
  <c r="M758" i="3"/>
  <c r="L758" i="3"/>
  <c r="K758" i="3"/>
  <c r="D758" i="3"/>
  <c r="Q758" i="3" s="1"/>
  <c r="Q757" i="3"/>
  <c r="M757" i="3" s="1"/>
  <c r="P757" i="3"/>
  <c r="O757" i="3"/>
  <c r="N757" i="3"/>
  <c r="R757" i="3" s="1"/>
  <c r="S757" i="3" s="1"/>
  <c r="T757" i="3" s="1"/>
  <c r="L757" i="3"/>
  <c r="K757" i="3"/>
  <c r="D757" i="3"/>
  <c r="P756" i="3"/>
  <c r="S756" i="3" s="1"/>
  <c r="T756" i="3" s="1"/>
  <c r="O756" i="3"/>
  <c r="N756" i="3"/>
  <c r="R756" i="3" s="1"/>
  <c r="M756" i="3"/>
  <c r="L756" i="3"/>
  <c r="K756" i="3"/>
  <c r="D756" i="3"/>
  <c r="Q756" i="3" s="1"/>
  <c r="Q755" i="3"/>
  <c r="P755" i="3"/>
  <c r="O755" i="3"/>
  <c r="N755" i="3"/>
  <c r="M755" i="3"/>
  <c r="R755" i="3" s="1"/>
  <c r="L755" i="3"/>
  <c r="K755" i="3"/>
  <c r="D755" i="3"/>
  <c r="P754" i="3"/>
  <c r="O754" i="3"/>
  <c r="N754" i="3"/>
  <c r="M754" i="3"/>
  <c r="L754" i="3"/>
  <c r="K754" i="3"/>
  <c r="D754" i="3"/>
  <c r="Q754" i="3" s="1"/>
  <c r="Q753" i="3"/>
  <c r="P753" i="3"/>
  <c r="O753" i="3"/>
  <c r="N753" i="3"/>
  <c r="L753" i="3"/>
  <c r="K753" i="3"/>
  <c r="D753" i="3"/>
  <c r="P752" i="3"/>
  <c r="O752" i="3"/>
  <c r="N752" i="3"/>
  <c r="M752" i="3"/>
  <c r="L752" i="3"/>
  <c r="K752" i="3"/>
  <c r="D752" i="3"/>
  <c r="Q752" i="3" s="1"/>
  <c r="P751" i="3"/>
  <c r="O751" i="3"/>
  <c r="N751" i="3"/>
  <c r="L751" i="3"/>
  <c r="K751" i="3"/>
  <c r="D751" i="3"/>
  <c r="Q751" i="3" s="1"/>
  <c r="O750" i="3"/>
  <c r="N750" i="3"/>
  <c r="L750" i="3"/>
  <c r="K750" i="3"/>
  <c r="D750" i="3"/>
  <c r="O749" i="3"/>
  <c r="N749" i="3"/>
  <c r="L749" i="3"/>
  <c r="K749" i="3"/>
  <c r="D749" i="3"/>
  <c r="Q749" i="3" s="1"/>
  <c r="O748" i="3"/>
  <c r="N748" i="3"/>
  <c r="L748" i="3"/>
  <c r="K748" i="3"/>
  <c r="D748" i="3"/>
  <c r="O747" i="3"/>
  <c r="N747" i="3"/>
  <c r="L747" i="3"/>
  <c r="K747" i="3"/>
  <c r="D747" i="3"/>
  <c r="Q747" i="3" s="1"/>
  <c r="O746" i="3"/>
  <c r="N746" i="3"/>
  <c r="L746" i="3"/>
  <c r="K746" i="3"/>
  <c r="D746" i="3"/>
  <c r="O745" i="3"/>
  <c r="N745" i="3"/>
  <c r="R745" i="3" s="1"/>
  <c r="L745" i="3"/>
  <c r="K745" i="3"/>
  <c r="D745" i="3"/>
  <c r="Q745" i="3" s="1"/>
  <c r="M745" i="3" s="1"/>
  <c r="O744" i="3"/>
  <c r="N744" i="3"/>
  <c r="L744" i="3"/>
  <c r="K744" i="3"/>
  <c r="D744" i="3"/>
  <c r="Q744" i="3" s="1"/>
  <c r="M744" i="3" s="1"/>
  <c r="R744" i="3" s="1"/>
  <c r="R743" i="3"/>
  <c r="O743" i="3"/>
  <c r="N743" i="3"/>
  <c r="L743" i="3"/>
  <c r="K743" i="3"/>
  <c r="D743" i="3"/>
  <c r="Q743" i="3" s="1"/>
  <c r="M743" i="3" s="1"/>
  <c r="P742" i="3"/>
  <c r="S742" i="3" s="1"/>
  <c r="T742" i="3" s="1"/>
  <c r="O742" i="3"/>
  <c r="N742" i="3"/>
  <c r="L742" i="3"/>
  <c r="K742" i="3"/>
  <c r="D742" i="3"/>
  <c r="Q742" i="3" s="1"/>
  <c r="M742" i="3" s="1"/>
  <c r="R742" i="3" s="1"/>
  <c r="Q741" i="3"/>
  <c r="M741" i="3" s="1"/>
  <c r="R741" i="3" s="1"/>
  <c r="O741" i="3"/>
  <c r="N741" i="3"/>
  <c r="L741" i="3"/>
  <c r="K741" i="3"/>
  <c r="D741" i="3"/>
  <c r="P741" i="3" s="1"/>
  <c r="R740" i="3"/>
  <c r="P740" i="3"/>
  <c r="S740" i="3" s="1"/>
  <c r="T740" i="3" s="1"/>
  <c r="O740" i="3"/>
  <c r="N740" i="3"/>
  <c r="M740" i="3"/>
  <c r="L740" i="3"/>
  <c r="K740" i="3"/>
  <c r="D740" i="3"/>
  <c r="Q740" i="3" s="1"/>
  <c r="Q739" i="3"/>
  <c r="P739" i="3"/>
  <c r="O739" i="3"/>
  <c r="L739" i="3"/>
  <c r="K739" i="3"/>
  <c r="D739" i="3"/>
  <c r="S738" i="3"/>
  <c r="T738" i="3" s="1"/>
  <c r="P738" i="3"/>
  <c r="O738" i="3"/>
  <c r="U738" i="3" s="1"/>
  <c r="N738" i="3"/>
  <c r="R738" i="3" s="1"/>
  <c r="L738" i="3"/>
  <c r="K738" i="3"/>
  <c r="D738" i="3"/>
  <c r="Q738" i="3" s="1"/>
  <c r="M738" i="3" s="1"/>
  <c r="U737" i="3"/>
  <c r="Q737" i="3"/>
  <c r="P737" i="3"/>
  <c r="O737" i="3"/>
  <c r="N737" i="3"/>
  <c r="L737" i="3"/>
  <c r="K737" i="3"/>
  <c r="D737" i="3"/>
  <c r="U736" i="3"/>
  <c r="Q736" i="3"/>
  <c r="S736" i="3" s="1"/>
  <c r="P736" i="3"/>
  <c r="T736" i="3" s="1"/>
  <c r="O736" i="3"/>
  <c r="N736" i="3"/>
  <c r="L736" i="3"/>
  <c r="K736" i="3"/>
  <c r="D736" i="3"/>
  <c r="U735" i="3"/>
  <c r="R735" i="3"/>
  <c r="Q735" i="3"/>
  <c r="M735" i="3" s="1"/>
  <c r="O735" i="3"/>
  <c r="N735" i="3"/>
  <c r="L735" i="3"/>
  <c r="K735" i="3"/>
  <c r="D735" i="3"/>
  <c r="P735" i="3" s="1"/>
  <c r="S734" i="3"/>
  <c r="Q734" i="3"/>
  <c r="M734" i="3" s="1"/>
  <c r="R734" i="3" s="1"/>
  <c r="P734" i="3"/>
  <c r="O734" i="3"/>
  <c r="N734" i="3"/>
  <c r="L734" i="3"/>
  <c r="K734" i="3"/>
  <c r="D734" i="3"/>
  <c r="Q733" i="3"/>
  <c r="P733" i="3"/>
  <c r="O733" i="3"/>
  <c r="N733" i="3"/>
  <c r="L733" i="3"/>
  <c r="K733" i="3"/>
  <c r="D733" i="3"/>
  <c r="S732" i="3"/>
  <c r="T732" i="3" s="1"/>
  <c r="Q732" i="3"/>
  <c r="M732" i="3" s="1"/>
  <c r="R732" i="3" s="1"/>
  <c r="P732" i="3"/>
  <c r="O732" i="3"/>
  <c r="N732" i="3"/>
  <c r="L732" i="3"/>
  <c r="K732" i="3"/>
  <c r="D732" i="3"/>
  <c r="Q731" i="3"/>
  <c r="P731" i="3"/>
  <c r="U731" i="3" s="1"/>
  <c r="O731" i="3"/>
  <c r="L731" i="3"/>
  <c r="K731" i="3"/>
  <c r="D731" i="3"/>
  <c r="R730" i="3"/>
  <c r="S730" i="3" s="1"/>
  <c r="T730" i="3" s="1"/>
  <c r="Q730" i="3"/>
  <c r="P730" i="3"/>
  <c r="O730" i="3"/>
  <c r="U730" i="3" s="1"/>
  <c r="M730" i="3"/>
  <c r="L730" i="3"/>
  <c r="K730" i="3"/>
  <c r="D730" i="3"/>
  <c r="Q729" i="3"/>
  <c r="P729" i="3"/>
  <c r="O729" i="3"/>
  <c r="L729" i="3"/>
  <c r="K729" i="3"/>
  <c r="D729" i="3"/>
  <c r="Q728" i="3"/>
  <c r="O728" i="3"/>
  <c r="M728" i="3"/>
  <c r="R728" i="3" s="1"/>
  <c r="L728" i="3"/>
  <c r="K728" i="3"/>
  <c r="D728" i="3"/>
  <c r="P728" i="3" s="1"/>
  <c r="S728" i="3" s="1"/>
  <c r="T728" i="3" s="1"/>
  <c r="Q727" i="3"/>
  <c r="P727" i="3"/>
  <c r="O727" i="3"/>
  <c r="U727" i="3" s="1"/>
  <c r="M727" i="3"/>
  <c r="R727" i="3" s="1"/>
  <c r="L727" i="3"/>
  <c r="K727" i="3"/>
  <c r="D727" i="3"/>
  <c r="Q726" i="3"/>
  <c r="P726" i="3"/>
  <c r="O726" i="3"/>
  <c r="D726" i="3"/>
  <c r="O725" i="3"/>
  <c r="L725" i="3"/>
  <c r="K725" i="3"/>
  <c r="D725" i="3"/>
  <c r="O724" i="3"/>
  <c r="L724" i="3"/>
  <c r="K724" i="3"/>
  <c r="D724" i="3"/>
  <c r="P724" i="3" s="1"/>
  <c r="Q723" i="3"/>
  <c r="P723" i="3"/>
  <c r="O723" i="3"/>
  <c r="L723" i="3"/>
  <c r="K723" i="3"/>
  <c r="D723" i="3"/>
  <c r="Q722" i="3"/>
  <c r="P722" i="3"/>
  <c r="O722" i="3"/>
  <c r="L722" i="3"/>
  <c r="K722" i="3"/>
  <c r="D722" i="3"/>
  <c r="S721" i="3"/>
  <c r="Q721" i="3"/>
  <c r="O721" i="3"/>
  <c r="M721" i="3"/>
  <c r="R721" i="3" s="1"/>
  <c r="L721" i="3"/>
  <c r="K721" i="3"/>
  <c r="D721" i="3"/>
  <c r="P721" i="3" s="1"/>
  <c r="Q720" i="3"/>
  <c r="S720" i="3" s="1"/>
  <c r="T720" i="3" s="1"/>
  <c r="P720" i="3"/>
  <c r="O720" i="3"/>
  <c r="M720" i="3"/>
  <c r="L720" i="3"/>
  <c r="R720" i="3" s="1"/>
  <c r="K720" i="3"/>
  <c r="D720" i="3"/>
  <c r="Q719" i="3"/>
  <c r="S719" i="3" s="1"/>
  <c r="T719" i="3" s="1"/>
  <c r="P719" i="3"/>
  <c r="O719" i="3"/>
  <c r="L719" i="3"/>
  <c r="K719" i="3"/>
  <c r="D719" i="3"/>
  <c r="O718" i="3"/>
  <c r="L718" i="3"/>
  <c r="K718" i="3"/>
  <c r="D718" i="3"/>
  <c r="O717" i="3"/>
  <c r="L717" i="3"/>
  <c r="K717" i="3"/>
  <c r="D717" i="3"/>
  <c r="Q717" i="3" s="1"/>
  <c r="S716" i="3"/>
  <c r="O716" i="3"/>
  <c r="L716" i="3"/>
  <c r="K716" i="3"/>
  <c r="D716" i="3"/>
  <c r="Q716" i="3" s="1"/>
  <c r="M716" i="3" s="1"/>
  <c r="R716" i="3" s="1"/>
  <c r="Q715" i="3"/>
  <c r="M715" i="3" s="1"/>
  <c r="O715" i="3"/>
  <c r="L715" i="3"/>
  <c r="K715" i="3"/>
  <c r="D715" i="3"/>
  <c r="P715" i="3" s="1"/>
  <c r="S714" i="3"/>
  <c r="T714" i="3" s="1"/>
  <c r="Q714" i="3"/>
  <c r="M714" i="3" s="1"/>
  <c r="P714" i="3"/>
  <c r="O714" i="3"/>
  <c r="L714" i="3"/>
  <c r="K714" i="3"/>
  <c r="D714" i="3"/>
  <c r="Q713" i="3"/>
  <c r="S713" i="3" s="1"/>
  <c r="T713" i="3" s="1"/>
  <c r="O713" i="3"/>
  <c r="L713" i="3"/>
  <c r="K713" i="3"/>
  <c r="D713" i="3"/>
  <c r="P713" i="3" s="1"/>
  <c r="Q712" i="3"/>
  <c r="S712" i="3" s="1"/>
  <c r="T712" i="3" s="1"/>
  <c r="P712" i="3"/>
  <c r="O712" i="3"/>
  <c r="L712" i="3"/>
  <c r="K712" i="3"/>
  <c r="D712" i="3"/>
  <c r="O711" i="3"/>
  <c r="L711" i="3"/>
  <c r="K711" i="3"/>
  <c r="D711" i="3"/>
  <c r="O710" i="3"/>
  <c r="L710" i="3"/>
  <c r="K710" i="3"/>
  <c r="D710" i="3"/>
  <c r="Q710" i="3" s="1"/>
  <c r="O709" i="3"/>
  <c r="L709" i="3"/>
  <c r="K709" i="3"/>
  <c r="D709" i="3"/>
  <c r="S708" i="3"/>
  <c r="O708" i="3"/>
  <c r="L708" i="3"/>
  <c r="K708" i="3"/>
  <c r="D708" i="3"/>
  <c r="Q708" i="3" s="1"/>
  <c r="M708" i="3" s="1"/>
  <c r="Q707" i="3"/>
  <c r="S707" i="3" s="1"/>
  <c r="O707" i="3"/>
  <c r="L707" i="3"/>
  <c r="K707" i="3"/>
  <c r="D707" i="3"/>
  <c r="P707" i="3" s="1"/>
  <c r="Q706" i="3"/>
  <c r="P706" i="3"/>
  <c r="O706" i="3"/>
  <c r="L706" i="3"/>
  <c r="K706" i="3"/>
  <c r="D706" i="3"/>
  <c r="T705" i="3"/>
  <c r="S705" i="3"/>
  <c r="R705" i="3"/>
  <c r="Q705" i="3"/>
  <c r="P705" i="3"/>
  <c r="O705" i="3"/>
  <c r="M705" i="3"/>
  <c r="L705" i="3"/>
  <c r="K705" i="3"/>
  <c r="D705" i="3"/>
  <c r="S704" i="3"/>
  <c r="T704" i="3" s="1"/>
  <c r="Q704" i="3"/>
  <c r="P704" i="3"/>
  <c r="O704" i="3"/>
  <c r="M704" i="3"/>
  <c r="L704" i="3"/>
  <c r="K704" i="3"/>
  <c r="D704" i="3"/>
  <c r="Q703" i="3"/>
  <c r="S703" i="3" s="1"/>
  <c r="T703" i="3" s="1"/>
  <c r="P703" i="3"/>
  <c r="O703" i="3"/>
  <c r="L703" i="3"/>
  <c r="K703" i="3"/>
  <c r="D703" i="3"/>
  <c r="O702" i="3"/>
  <c r="L702" i="3"/>
  <c r="K702" i="3"/>
  <c r="D702" i="3"/>
  <c r="O701" i="3"/>
  <c r="L701" i="3"/>
  <c r="K701" i="3"/>
  <c r="D701" i="3"/>
  <c r="Q701" i="3" s="1"/>
  <c r="S700" i="3"/>
  <c r="T700" i="3" s="1"/>
  <c r="P700" i="3"/>
  <c r="O700" i="3"/>
  <c r="L700" i="3"/>
  <c r="K700" i="3"/>
  <c r="D700" i="3"/>
  <c r="Q700" i="3" s="1"/>
  <c r="M700" i="3" s="1"/>
  <c r="R700" i="3" s="1"/>
  <c r="Q699" i="3"/>
  <c r="M699" i="3" s="1"/>
  <c r="R699" i="3" s="1"/>
  <c r="O699" i="3"/>
  <c r="L699" i="3"/>
  <c r="K699" i="3"/>
  <c r="D699" i="3"/>
  <c r="P699" i="3" s="1"/>
  <c r="S698" i="3"/>
  <c r="Q698" i="3"/>
  <c r="M698" i="3" s="1"/>
  <c r="P698" i="3"/>
  <c r="O698" i="3"/>
  <c r="L698" i="3"/>
  <c r="K698" i="3"/>
  <c r="D698" i="3"/>
  <c r="Q697" i="3"/>
  <c r="P697" i="3"/>
  <c r="O697" i="3"/>
  <c r="L697" i="3"/>
  <c r="K697" i="3"/>
  <c r="D697" i="3"/>
  <c r="Q696" i="3"/>
  <c r="P696" i="3"/>
  <c r="O696" i="3"/>
  <c r="M696" i="3"/>
  <c r="R696" i="3" s="1"/>
  <c r="S696" i="3" s="1"/>
  <c r="T696" i="3" s="1"/>
  <c r="L696" i="3"/>
  <c r="D696" i="3"/>
  <c r="O695" i="3"/>
  <c r="L695" i="3"/>
  <c r="K695" i="3"/>
  <c r="D695" i="3"/>
  <c r="O694" i="3"/>
  <c r="L694" i="3"/>
  <c r="K694" i="3"/>
  <c r="D694" i="3"/>
  <c r="Q693" i="3"/>
  <c r="P693" i="3"/>
  <c r="O693" i="3"/>
  <c r="L693" i="3"/>
  <c r="Q692" i="3"/>
  <c r="O692" i="3"/>
  <c r="N692" i="3"/>
  <c r="L692" i="3"/>
  <c r="K692" i="3"/>
  <c r="D692" i="3"/>
  <c r="P692" i="3" s="1"/>
  <c r="Q691" i="3"/>
  <c r="P691" i="3"/>
  <c r="O691" i="3"/>
  <c r="N691" i="3"/>
  <c r="L691" i="3"/>
  <c r="K691" i="3"/>
  <c r="D691" i="3"/>
  <c r="S690" i="3"/>
  <c r="T690" i="3" s="1"/>
  <c r="R690" i="3"/>
  <c r="Q690" i="3"/>
  <c r="M690" i="3" s="1"/>
  <c r="O690" i="3"/>
  <c r="N690" i="3"/>
  <c r="L690" i="3"/>
  <c r="K690" i="3"/>
  <c r="D690" i="3"/>
  <c r="P690" i="3" s="1"/>
  <c r="Q689" i="3"/>
  <c r="P689" i="3"/>
  <c r="O689" i="3"/>
  <c r="N689" i="3"/>
  <c r="L689" i="3"/>
  <c r="K689" i="3"/>
  <c r="D689" i="3"/>
  <c r="Q688" i="3"/>
  <c r="O688" i="3"/>
  <c r="N688" i="3"/>
  <c r="L688" i="3"/>
  <c r="K688" i="3"/>
  <c r="D688" i="3"/>
  <c r="P688" i="3" s="1"/>
  <c r="Q687" i="3"/>
  <c r="P687" i="3"/>
  <c r="O687" i="3"/>
  <c r="N687" i="3"/>
  <c r="L687" i="3"/>
  <c r="K687" i="3"/>
  <c r="D687" i="3"/>
  <c r="Q686" i="3"/>
  <c r="O686" i="3"/>
  <c r="N686" i="3"/>
  <c r="L686" i="3"/>
  <c r="K686" i="3"/>
  <c r="D686" i="3"/>
  <c r="P686" i="3" s="1"/>
  <c r="Q685" i="3"/>
  <c r="P685" i="3"/>
  <c r="O685" i="3"/>
  <c r="N685" i="3"/>
  <c r="L685" i="3"/>
  <c r="K685" i="3"/>
  <c r="D685" i="3"/>
  <c r="S684" i="3"/>
  <c r="T684" i="3" s="1"/>
  <c r="Q684" i="3"/>
  <c r="M684" i="3" s="1"/>
  <c r="R684" i="3" s="1"/>
  <c r="O684" i="3"/>
  <c r="N684" i="3"/>
  <c r="L684" i="3"/>
  <c r="K684" i="3"/>
  <c r="D684" i="3"/>
  <c r="P684" i="3" s="1"/>
  <c r="Q683" i="3"/>
  <c r="P683" i="3"/>
  <c r="O683" i="3"/>
  <c r="N683" i="3"/>
  <c r="L683" i="3"/>
  <c r="K683" i="3"/>
  <c r="D683" i="3"/>
  <c r="Q682" i="3"/>
  <c r="M682" i="3" s="1"/>
  <c r="O682" i="3"/>
  <c r="N682" i="3"/>
  <c r="L682" i="3"/>
  <c r="K682" i="3"/>
  <c r="R682" i="3" s="1"/>
  <c r="D682" i="3"/>
  <c r="P682" i="3" s="1"/>
  <c r="Q681" i="3"/>
  <c r="P681" i="3"/>
  <c r="O681" i="3"/>
  <c r="N681" i="3"/>
  <c r="L681" i="3"/>
  <c r="K681" i="3"/>
  <c r="D681" i="3"/>
  <c r="Q680" i="3"/>
  <c r="O680" i="3"/>
  <c r="N680" i="3"/>
  <c r="L680" i="3"/>
  <c r="K680" i="3"/>
  <c r="D680" i="3"/>
  <c r="P680" i="3" s="1"/>
  <c r="U679" i="3"/>
  <c r="Q679" i="3"/>
  <c r="S679" i="3" s="1"/>
  <c r="T679" i="3" s="1"/>
  <c r="O679" i="3"/>
  <c r="L679" i="3"/>
  <c r="K679" i="3"/>
  <c r="D679" i="3"/>
  <c r="P679" i="3" s="1"/>
  <c r="Q678" i="3"/>
  <c r="O678" i="3"/>
  <c r="L678" i="3"/>
  <c r="K678" i="3"/>
  <c r="D678" i="3"/>
  <c r="P678" i="3" s="1"/>
  <c r="U677" i="3"/>
  <c r="Q677" i="3"/>
  <c r="O677" i="3"/>
  <c r="L677" i="3"/>
  <c r="K677" i="3"/>
  <c r="D677" i="3"/>
  <c r="P677" i="3" s="1"/>
  <c r="Q676" i="3"/>
  <c r="P676" i="3"/>
  <c r="O676" i="3"/>
  <c r="L676" i="3"/>
  <c r="K676" i="3"/>
  <c r="D676" i="3"/>
  <c r="U675" i="3"/>
  <c r="Q675" i="3"/>
  <c r="O675" i="3"/>
  <c r="M675" i="3"/>
  <c r="L675" i="3"/>
  <c r="K675" i="3"/>
  <c r="R675" i="3" s="1"/>
  <c r="S675" i="3" s="1"/>
  <c r="T675" i="3" s="1"/>
  <c r="D675" i="3"/>
  <c r="P675" i="3" s="1"/>
  <c r="Q674" i="3"/>
  <c r="P674" i="3"/>
  <c r="O674" i="3"/>
  <c r="U674" i="3" s="1"/>
  <c r="L674" i="3"/>
  <c r="K674" i="3"/>
  <c r="D674" i="3"/>
  <c r="O673" i="3"/>
  <c r="U673" i="3" s="1"/>
  <c r="L673" i="3"/>
  <c r="K673" i="3"/>
  <c r="D673" i="3"/>
  <c r="P673" i="3" s="1"/>
  <c r="Q672" i="3"/>
  <c r="S672" i="3" s="1"/>
  <c r="T672" i="3" s="1"/>
  <c r="P672" i="3"/>
  <c r="O672" i="3"/>
  <c r="U672" i="3" s="1"/>
  <c r="M672" i="3"/>
  <c r="R672" i="3" s="1"/>
  <c r="L672" i="3"/>
  <c r="K672" i="3"/>
  <c r="D672" i="3"/>
  <c r="S671" i="3"/>
  <c r="T671" i="3" s="1"/>
  <c r="Q671" i="3"/>
  <c r="M671" i="3" s="1"/>
  <c r="O671" i="3"/>
  <c r="U671" i="3" s="1"/>
  <c r="L671" i="3"/>
  <c r="R671" i="3" s="1"/>
  <c r="K671" i="3"/>
  <c r="D671" i="3"/>
  <c r="P671" i="3" s="1"/>
  <c r="Q670" i="3"/>
  <c r="P670" i="3"/>
  <c r="O670" i="3"/>
  <c r="U670" i="3" s="1"/>
  <c r="M670" i="3"/>
  <c r="K670" i="3"/>
  <c r="D670" i="3"/>
  <c r="O669" i="3"/>
  <c r="K669" i="3"/>
  <c r="D669" i="3"/>
  <c r="O668" i="3"/>
  <c r="D668" i="3"/>
  <c r="U667" i="3"/>
  <c r="Q667" i="3"/>
  <c r="P667" i="3"/>
  <c r="O667" i="3"/>
  <c r="M667" i="3"/>
  <c r="K667" i="3"/>
  <c r="R667" i="3" s="1"/>
  <c r="S667" i="3" s="1"/>
  <c r="T667" i="3" s="1"/>
  <c r="D667" i="3"/>
  <c r="S666" i="3"/>
  <c r="T666" i="3" s="1"/>
  <c r="P666" i="3"/>
  <c r="U666" i="3" s="1"/>
  <c r="O666" i="3"/>
  <c r="D666" i="3"/>
  <c r="Q666" i="3" s="1"/>
  <c r="M666" i="3" s="1"/>
  <c r="R666" i="3" s="1"/>
  <c r="Q665" i="3"/>
  <c r="M665" i="3" s="1"/>
  <c r="R665" i="3" s="1"/>
  <c r="O665" i="3"/>
  <c r="K665" i="3"/>
  <c r="D665" i="3"/>
  <c r="P665" i="3" s="1"/>
  <c r="U665" i="3" s="1"/>
  <c r="O664" i="3"/>
  <c r="K664" i="3"/>
  <c r="D664" i="3"/>
  <c r="Q664" i="3" s="1"/>
  <c r="Q663" i="3"/>
  <c r="P663" i="3"/>
  <c r="O663" i="3"/>
  <c r="U663" i="3" s="1"/>
  <c r="M663" i="3"/>
  <c r="R663" i="3" s="1"/>
  <c r="K663" i="3"/>
  <c r="D663" i="3"/>
  <c r="Q662" i="3"/>
  <c r="O662" i="3"/>
  <c r="K662" i="3"/>
  <c r="D662" i="3"/>
  <c r="P662" i="3" s="1"/>
  <c r="O661" i="3"/>
  <c r="K661" i="3"/>
  <c r="D661" i="3"/>
  <c r="O660" i="3"/>
  <c r="D660" i="3"/>
  <c r="U659" i="3"/>
  <c r="Q659" i="3"/>
  <c r="P659" i="3"/>
  <c r="O659" i="3"/>
  <c r="N659" i="3"/>
  <c r="D659" i="3"/>
  <c r="Q658" i="3"/>
  <c r="P658" i="3"/>
  <c r="O658" i="3"/>
  <c r="N658" i="3"/>
  <c r="D658" i="3"/>
  <c r="Q657" i="3"/>
  <c r="O657" i="3"/>
  <c r="N657" i="3"/>
  <c r="D657" i="3"/>
  <c r="P657" i="3" s="1"/>
  <c r="O656" i="3"/>
  <c r="N656" i="3"/>
  <c r="D656" i="3"/>
  <c r="O655" i="3"/>
  <c r="N655" i="3"/>
  <c r="M655" i="3"/>
  <c r="D655" i="3"/>
  <c r="Q655" i="3" s="1"/>
  <c r="Q654" i="3"/>
  <c r="P654" i="3"/>
  <c r="O654" i="3"/>
  <c r="N654" i="3"/>
  <c r="D654" i="3"/>
  <c r="Q653" i="3"/>
  <c r="P653" i="3"/>
  <c r="O653" i="3"/>
  <c r="N653" i="3"/>
  <c r="D653" i="3"/>
  <c r="Q652" i="3"/>
  <c r="P652" i="3"/>
  <c r="O652" i="3"/>
  <c r="N652" i="3"/>
  <c r="K652" i="3"/>
  <c r="D652" i="3"/>
  <c r="Q651" i="3"/>
  <c r="S651" i="3" s="1"/>
  <c r="T651" i="3" s="1"/>
  <c r="P651" i="3"/>
  <c r="O651" i="3"/>
  <c r="U651" i="3" s="1"/>
  <c r="M651" i="3"/>
  <c r="L651" i="3"/>
  <c r="K651" i="3"/>
  <c r="D651" i="3"/>
  <c r="P650" i="3"/>
  <c r="O650" i="3"/>
  <c r="L650" i="3"/>
  <c r="K650" i="3"/>
  <c r="D650" i="3"/>
  <c r="Q650" i="3" s="1"/>
  <c r="U649" i="3"/>
  <c r="O649" i="3"/>
  <c r="L649" i="3"/>
  <c r="K649" i="3"/>
  <c r="D649" i="3"/>
  <c r="O648" i="3"/>
  <c r="L648" i="3"/>
  <c r="K648" i="3"/>
  <c r="D648" i="3"/>
  <c r="Q648" i="3" s="1"/>
  <c r="O647" i="3"/>
  <c r="L647" i="3"/>
  <c r="K647" i="3"/>
  <c r="D647" i="3"/>
  <c r="O646" i="3"/>
  <c r="L646" i="3"/>
  <c r="K646" i="3"/>
  <c r="D646" i="3"/>
  <c r="Q646" i="3" s="1"/>
  <c r="Q645" i="3"/>
  <c r="M645" i="3" s="1"/>
  <c r="R645" i="3" s="1"/>
  <c r="S645" i="3" s="1"/>
  <c r="T645" i="3" s="1"/>
  <c r="P645" i="3"/>
  <c r="O645" i="3"/>
  <c r="L645" i="3"/>
  <c r="K645" i="3"/>
  <c r="D645" i="3"/>
  <c r="P644" i="3"/>
  <c r="O644" i="3"/>
  <c r="L644" i="3"/>
  <c r="K644" i="3"/>
  <c r="D644" i="3"/>
  <c r="Q644" i="3" s="1"/>
  <c r="M644" i="3" s="1"/>
  <c r="R644" i="3" s="1"/>
  <c r="S644" i="3" s="1"/>
  <c r="T644" i="3" s="1"/>
  <c r="T643" i="3"/>
  <c r="R643" i="3"/>
  <c r="Q643" i="3"/>
  <c r="P643" i="3"/>
  <c r="S643" i="3" s="1"/>
  <c r="O643" i="3"/>
  <c r="M643" i="3"/>
  <c r="L643" i="3"/>
  <c r="K643" i="3"/>
  <c r="D643" i="3"/>
  <c r="Q642" i="3"/>
  <c r="P642" i="3"/>
  <c r="O642" i="3"/>
  <c r="L642" i="3"/>
  <c r="K642" i="3"/>
  <c r="D642" i="3"/>
  <c r="Q641" i="3"/>
  <c r="P641" i="3"/>
  <c r="O641" i="3"/>
  <c r="M641" i="3"/>
  <c r="L641" i="3"/>
  <c r="R641" i="3" s="1"/>
  <c r="K641" i="3"/>
  <c r="D641" i="3"/>
  <c r="Q640" i="3"/>
  <c r="P640" i="3"/>
  <c r="O640" i="3"/>
  <c r="M640" i="3"/>
  <c r="L640" i="3"/>
  <c r="K640" i="3"/>
  <c r="R640" i="3" s="1"/>
  <c r="D640" i="3"/>
  <c r="P639" i="3"/>
  <c r="O639" i="3"/>
  <c r="L639" i="3"/>
  <c r="K639" i="3"/>
  <c r="D639" i="3"/>
  <c r="Q639" i="3" s="1"/>
  <c r="Q638" i="3"/>
  <c r="P638" i="3"/>
  <c r="O638" i="3"/>
  <c r="M638" i="3"/>
  <c r="L638" i="3"/>
  <c r="K638" i="3"/>
  <c r="D638" i="3"/>
  <c r="O637" i="3"/>
  <c r="N637" i="3"/>
  <c r="L637" i="3"/>
  <c r="K637" i="3"/>
  <c r="D637" i="3"/>
  <c r="Q637" i="3" s="1"/>
  <c r="O636" i="3"/>
  <c r="L636" i="3"/>
  <c r="K636" i="3"/>
  <c r="D636" i="3"/>
  <c r="O635" i="3"/>
  <c r="L635" i="3"/>
  <c r="K635" i="3"/>
  <c r="D635" i="3"/>
  <c r="Q635" i="3" s="1"/>
  <c r="M635" i="3" s="1"/>
  <c r="R635" i="3" s="1"/>
  <c r="Q634" i="3"/>
  <c r="P634" i="3"/>
  <c r="O634" i="3"/>
  <c r="L634" i="3"/>
  <c r="K634" i="3"/>
  <c r="D634" i="3"/>
  <c r="Q633" i="3"/>
  <c r="M633" i="3" s="1"/>
  <c r="P633" i="3"/>
  <c r="O633" i="3"/>
  <c r="L633" i="3"/>
  <c r="K633" i="3"/>
  <c r="D633" i="3"/>
  <c r="Q632" i="3"/>
  <c r="O632" i="3"/>
  <c r="M632" i="3"/>
  <c r="L632" i="3"/>
  <c r="K632" i="3"/>
  <c r="D632" i="3"/>
  <c r="P632" i="3" s="1"/>
  <c r="Q631" i="3"/>
  <c r="S631" i="3" s="1"/>
  <c r="T631" i="3" s="1"/>
  <c r="O631" i="3"/>
  <c r="N631" i="3"/>
  <c r="R631" i="3" s="1"/>
  <c r="M631" i="3"/>
  <c r="L631" i="3"/>
  <c r="K631" i="3"/>
  <c r="D631" i="3"/>
  <c r="P631" i="3" s="1"/>
  <c r="Q630" i="3"/>
  <c r="P630" i="3"/>
  <c r="O630" i="3"/>
  <c r="N630" i="3"/>
  <c r="L630" i="3"/>
  <c r="K630" i="3"/>
  <c r="D630" i="3"/>
  <c r="Q629" i="3"/>
  <c r="S629" i="3" s="1"/>
  <c r="T629" i="3" s="1"/>
  <c r="O629" i="3"/>
  <c r="N629" i="3"/>
  <c r="M629" i="3"/>
  <c r="L629" i="3"/>
  <c r="K629" i="3"/>
  <c r="D629" i="3"/>
  <c r="P629" i="3" s="1"/>
  <c r="O628" i="3"/>
  <c r="N628" i="3"/>
  <c r="L628" i="3"/>
  <c r="K628" i="3"/>
  <c r="D628" i="3"/>
  <c r="O627" i="3"/>
  <c r="N627" i="3"/>
  <c r="L627" i="3"/>
  <c r="K627" i="3"/>
  <c r="D627" i="3"/>
  <c r="O626" i="3"/>
  <c r="N626" i="3"/>
  <c r="L626" i="3"/>
  <c r="K626" i="3"/>
  <c r="D626" i="3"/>
  <c r="O625" i="3"/>
  <c r="L625" i="3"/>
  <c r="K625" i="3"/>
  <c r="D625" i="3"/>
  <c r="O624" i="3"/>
  <c r="L624" i="3"/>
  <c r="K624" i="3"/>
  <c r="D624" i="3"/>
  <c r="Q624" i="3" s="1"/>
  <c r="Q623" i="3"/>
  <c r="O623" i="3"/>
  <c r="L623" i="3"/>
  <c r="K623" i="3"/>
  <c r="D623" i="3"/>
  <c r="P623" i="3" s="1"/>
  <c r="Q622" i="3"/>
  <c r="M622" i="3" s="1"/>
  <c r="R622" i="3" s="1"/>
  <c r="S622" i="3" s="1"/>
  <c r="T622" i="3" s="1"/>
  <c r="P622" i="3"/>
  <c r="O622" i="3"/>
  <c r="L622" i="3"/>
  <c r="K622" i="3"/>
  <c r="D622" i="3"/>
  <c r="Q621" i="3"/>
  <c r="P621" i="3"/>
  <c r="O621" i="3"/>
  <c r="M621" i="3"/>
  <c r="R621" i="3" s="1"/>
  <c r="L621" i="3"/>
  <c r="K621" i="3"/>
  <c r="D621" i="3"/>
  <c r="Q620" i="3"/>
  <c r="P620" i="3"/>
  <c r="O620" i="3"/>
  <c r="M620" i="3"/>
  <c r="R620" i="3" s="1"/>
  <c r="L620" i="3"/>
  <c r="K620" i="3"/>
  <c r="D620" i="3"/>
  <c r="Q619" i="3"/>
  <c r="P619" i="3"/>
  <c r="O619" i="3"/>
  <c r="M619" i="3"/>
  <c r="L619" i="3"/>
  <c r="K619" i="3"/>
  <c r="R619" i="3" s="1"/>
  <c r="D619" i="3"/>
  <c r="O618" i="3"/>
  <c r="L618" i="3"/>
  <c r="K618" i="3"/>
  <c r="D618" i="3"/>
  <c r="O617" i="3"/>
  <c r="L617" i="3"/>
  <c r="K617" i="3"/>
  <c r="D617" i="3"/>
  <c r="Q617" i="3" s="1"/>
  <c r="O616" i="3"/>
  <c r="L616" i="3"/>
  <c r="K616" i="3"/>
  <c r="D616" i="3"/>
  <c r="O615" i="3"/>
  <c r="L615" i="3"/>
  <c r="K615" i="3"/>
  <c r="R615" i="3" s="1"/>
  <c r="D615" i="3"/>
  <c r="Q615" i="3" s="1"/>
  <c r="M615" i="3" s="1"/>
  <c r="Q614" i="3"/>
  <c r="O614" i="3"/>
  <c r="L614" i="3"/>
  <c r="K614" i="3"/>
  <c r="D614" i="3"/>
  <c r="P614" i="3" s="1"/>
  <c r="Q613" i="3"/>
  <c r="P613" i="3"/>
  <c r="O613" i="3"/>
  <c r="L613" i="3"/>
  <c r="K613" i="3"/>
  <c r="D613" i="3"/>
  <c r="Q612" i="3"/>
  <c r="M612" i="3" s="1"/>
  <c r="P612" i="3"/>
  <c r="O612" i="3"/>
  <c r="L612" i="3"/>
  <c r="K612" i="3"/>
  <c r="R612" i="3" s="1"/>
  <c r="S612" i="3" s="1"/>
  <c r="T612" i="3" s="1"/>
  <c r="D612" i="3"/>
  <c r="Q611" i="3"/>
  <c r="S611" i="3" s="1"/>
  <c r="T611" i="3" s="1"/>
  <c r="P611" i="3"/>
  <c r="O611" i="3"/>
  <c r="M611" i="3"/>
  <c r="L611" i="3"/>
  <c r="K611" i="3"/>
  <c r="R611" i="3" s="1"/>
  <c r="D611" i="3"/>
  <c r="P610" i="3"/>
  <c r="O610" i="3"/>
  <c r="L610" i="3"/>
  <c r="K610" i="3"/>
  <c r="D610" i="3"/>
  <c r="Q610" i="3" s="1"/>
  <c r="O609" i="3"/>
  <c r="L609" i="3"/>
  <c r="K609" i="3"/>
  <c r="D609" i="3"/>
  <c r="O608" i="3"/>
  <c r="L608" i="3"/>
  <c r="K608" i="3"/>
  <c r="D608" i="3"/>
  <c r="Q608" i="3" s="1"/>
  <c r="Q607" i="3"/>
  <c r="P607" i="3"/>
  <c r="O607" i="3"/>
  <c r="L607" i="3"/>
  <c r="K607" i="3"/>
  <c r="D607" i="3"/>
  <c r="Q606" i="3"/>
  <c r="O606" i="3"/>
  <c r="L606" i="3"/>
  <c r="K606" i="3"/>
  <c r="D606" i="3"/>
  <c r="P606" i="3" s="1"/>
  <c r="Q605" i="3"/>
  <c r="P605" i="3"/>
  <c r="O605" i="3"/>
  <c r="M605" i="3"/>
  <c r="L605" i="3"/>
  <c r="K605" i="3"/>
  <c r="D605" i="3"/>
  <c r="Q604" i="3"/>
  <c r="P604" i="3"/>
  <c r="O604" i="3"/>
  <c r="L604" i="3"/>
  <c r="K604" i="3"/>
  <c r="D604" i="3"/>
  <c r="O603" i="3"/>
  <c r="L603" i="3"/>
  <c r="K603" i="3"/>
  <c r="D603" i="3"/>
  <c r="O602" i="3"/>
  <c r="L602" i="3"/>
  <c r="K602" i="3"/>
  <c r="D602" i="3"/>
  <c r="O601" i="3"/>
  <c r="L601" i="3"/>
  <c r="K601" i="3"/>
  <c r="D601" i="3"/>
  <c r="Q601" i="3" s="1"/>
  <c r="O600" i="3"/>
  <c r="L600" i="3"/>
  <c r="K600" i="3"/>
  <c r="D600" i="3"/>
  <c r="O599" i="3"/>
  <c r="L599" i="3"/>
  <c r="K599" i="3"/>
  <c r="D599" i="3"/>
  <c r="Q599" i="3" s="1"/>
  <c r="M599" i="3" s="1"/>
  <c r="R599" i="3" s="1"/>
  <c r="Q598" i="3"/>
  <c r="P598" i="3"/>
  <c r="O598" i="3"/>
  <c r="L598" i="3"/>
  <c r="K598" i="3"/>
  <c r="D598" i="3"/>
  <c r="Q597" i="3"/>
  <c r="P597" i="3"/>
  <c r="O597" i="3"/>
  <c r="L597" i="3"/>
  <c r="K597" i="3"/>
  <c r="D597" i="3"/>
  <c r="Q596" i="3"/>
  <c r="O596" i="3"/>
  <c r="M596" i="3"/>
  <c r="L596" i="3"/>
  <c r="R596" i="3" s="1"/>
  <c r="K596" i="3"/>
  <c r="D596" i="3"/>
  <c r="P596" i="3" s="1"/>
  <c r="Q595" i="3"/>
  <c r="P595" i="3"/>
  <c r="O595" i="3"/>
  <c r="M595" i="3"/>
  <c r="L595" i="3"/>
  <c r="R595" i="3" s="1"/>
  <c r="K595" i="3"/>
  <c r="D595" i="3"/>
  <c r="O594" i="3"/>
  <c r="L594" i="3"/>
  <c r="K594" i="3"/>
  <c r="D594" i="3"/>
  <c r="O593" i="3"/>
  <c r="L593" i="3"/>
  <c r="K593" i="3"/>
  <c r="D593" i="3"/>
  <c r="O592" i="3"/>
  <c r="L592" i="3"/>
  <c r="K592" i="3"/>
  <c r="D592" i="3"/>
  <c r="P592" i="3" s="1"/>
  <c r="Q591" i="3"/>
  <c r="P591" i="3"/>
  <c r="O591" i="3"/>
  <c r="L591" i="3"/>
  <c r="K591" i="3"/>
  <c r="D591" i="3"/>
  <c r="Q590" i="3"/>
  <c r="O590" i="3"/>
  <c r="L590" i="3"/>
  <c r="K590" i="3"/>
  <c r="D590" i="3"/>
  <c r="P590" i="3" s="1"/>
  <c r="Q589" i="3"/>
  <c r="P589" i="3"/>
  <c r="O589" i="3"/>
  <c r="M589" i="3"/>
  <c r="R589" i="3" s="1"/>
  <c r="L589" i="3"/>
  <c r="K589" i="3"/>
  <c r="D589" i="3"/>
  <c r="Q588" i="3"/>
  <c r="P588" i="3"/>
  <c r="O588" i="3"/>
  <c r="L588" i="3"/>
  <c r="K588" i="3"/>
  <c r="D588" i="3"/>
  <c r="R587" i="3"/>
  <c r="Q587" i="3"/>
  <c r="S587" i="3" s="1"/>
  <c r="T587" i="3" s="1"/>
  <c r="P587" i="3"/>
  <c r="O587" i="3"/>
  <c r="M587" i="3"/>
  <c r="L587" i="3"/>
  <c r="K587" i="3"/>
  <c r="D587" i="3"/>
  <c r="Q586" i="3"/>
  <c r="P586" i="3"/>
  <c r="O586" i="3"/>
  <c r="M586" i="3"/>
  <c r="L586" i="3"/>
  <c r="K586" i="3"/>
  <c r="R586" i="3" s="1"/>
  <c r="D586" i="3"/>
  <c r="O585" i="3"/>
  <c r="L585" i="3"/>
  <c r="K585" i="3"/>
  <c r="D585" i="3"/>
  <c r="Q585" i="3" s="1"/>
  <c r="O584" i="3"/>
  <c r="L584" i="3"/>
  <c r="K584" i="3"/>
  <c r="D584" i="3"/>
  <c r="O583" i="3"/>
  <c r="L583" i="3"/>
  <c r="K583" i="3"/>
  <c r="D583" i="3"/>
  <c r="Q583" i="3" s="1"/>
  <c r="M583" i="3" s="1"/>
  <c r="Q582" i="3"/>
  <c r="P582" i="3"/>
  <c r="O582" i="3"/>
  <c r="L582" i="3"/>
  <c r="K582" i="3"/>
  <c r="D582" i="3"/>
  <c r="Q581" i="3"/>
  <c r="M581" i="3" s="1"/>
  <c r="R581" i="3" s="1"/>
  <c r="S581" i="3" s="1"/>
  <c r="T581" i="3" s="1"/>
  <c r="O581" i="3"/>
  <c r="L581" i="3"/>
  <c r="K581" i="3"/>
  <c r="D581" i="3"/>
  <c r="P581" i="3" s="1"/>
  <c r="Q580" i="3"/>
  <c r="O580" i="3"/>
  <c r="M580" i="3"/>
  <c r="L580" i="3"/>
  <c r="K580" i="3"/>
  <c r="D580" i="3"/>
  <c r="P580" i="3" s="1"/>
  <c r="Q579" i="3"/>
  <c r="M579" i="3" s="1"/>
  <c r="P579" i="3"/>
  <c r="O579" i="3"/>
  <c r="L579" i="3"/>
  <c r="K579" i="3"/>
  <c r="R579" i="3" s="1"/>
  <c r="D579" i="3"/>
  <c r="P578" i="3"/>
  <c r="O578" i="3"/>
  <c r="L578" i="3"/>
  <c r="K578" i="3"/>
  <c r="D578" i="3"/>
  <c r="Q578" i="3" s="1"/>
  <c r="O577" i="3"/>
  <c r="L577" i="3"/>
  <c r="K577" i="3"/>
  <c r="D577" i="3"/>
  <c r="O576" i="3"/>
  <c r="M576" i="3"/>
  <c r="L576" i="3"/>
  <c r="K576" i="3"/>
  <c r="D576" i="3"/>
  <c r="Q576" i="3" s="1"/>
  <c r="S576" i="3" s="1"/>
  <c r="O575" i="3"/>
  <c r="L575" i="3"/>
  <c r="K575" i="3"/>
  <c r="D575" i="3"/>
  <c r="S574" i="3"/>
  <c r="T574" i="3" s="1"/>
  <c r="R574" i="3"/>
  <c r="Q574" i="3"/>
  <c r="M574" i="3" s="1"/>
  <c r="O574" i="3"/>
  <c r="L574" i="3"/>
  <c r="K574" i="3"/>
  <c r="D574" i="3"/>
  <c r="P574" i="3" s="1"/>
  <c r="Q573" i="3"/>
  <c r="S573" i="3" s="1"/>
  <c r="P573" i="3"/>
  <c r="O573" i="3"/>
  <c r="L573" i="3"/>
  <c r="K573" i="3"/>
  <c r="D573" i="3"/>
  <c r="Q572" i="3"/>
  <c r="S572" i="3" s="1"/>
  <c r="T572" i="3" s="1"/>
  <c r="P572" i="3"/>
  <c r="O572" i="3"/>
  <c r="L572" i="3"/>
  <c r="K572" i="3"/>
  <c r="D572" i="3"/>
  <c r="R571" i="3"/>
  <c r="Q571" i="3"/>
  <c r="S571" i="3" s="1"/>
  <c r="T571" i="3" s="1"/>
  <c r="P571" i="3"/>
  <c r="O571" i="3"/>
  <c r="M571" i="3"/>
  <c r="L571" i="3"/>
  <c r="K571" i="3"/>
  <c r="D571" i="3"/>
  <c r="O570" i="3"/>
  <c r="L570" i="3"/>
  <c r="K570" i="3"/>
  <c r="D570" i="3"/>
  <c r="O569" i="3"/>
  <c r="L569" i="3"/>
  <c r="K569" i="3"/>
  <c r="D569" i="3"/>
  <c r="O568" i="3"/>
  <c r="L568" i="3"/>
  <c r="K568" i="3"/>
  <c r="D568" i="3"/>
  <c r="S567" i="3"/>
  <c r="R567" i="3"/>
  <c r="O567" i="3"/>
  <c r="L567" i="3"/>
  <c r="K567" i="3"/>
  <c r="D567" i="3"/>
  <c r="Q567" i="3" s="1"/>
  <c r="M567" i="3" s="1"/>
  <c r="Q566" i="3"/>
  <c r="P566" i="3"/>
  <c r="O566" i="3"/>
  <c r="L566" i="3"/>
  <c r="K566" i="3"/>
  <c r="D566" i="3"/>
  <c r="S565" i="3"/>
  <c r="T565" i="3" s="1"/>
  <c r="R565" i="3"/>
  <c r="Q565" i="3"/>
  <c r="M565" i="3" s="1"/>
  <c r="P565" i="3"/>
  <c r="O565" i="3"/>
  <c r="L565" i="3"/>
  <c r="K565" i="3"/>
  <c r="D565" i="3"/>
  <c r="S564" i="3"/>
  <c r="Q564" i="3"/>
  <c r="P564" i="3"/>
  <c r="O564" i="3"/>
  <c r="M564" i="3"/>
  <c r="R564" i="3" s="1"/>
  <c r="L564" i="3"/>
  <c r="K564" i="3"/>
  <c r="D564" i="3"/>
  <c r="Q563" i="3"/>
  <c r="S563" i="3" s="1"/>
  <c r="P563" i="3"/>
  <c r="O563" i="3"/>
  <c r="M563" i="3"/>
  <c r="L563" i="3"/>
  <c r="K563" i="3"/>
  <c r="D563" i="3"/>
  <c r="O562" i="3"/>
  <c r="L562" i="3"/>
  <c r="K562" i="3"/>
  <c r="D562" i="3"/>
  <c r="P562" i="3" s="1"/>
  <c r="O561" i="3"/>
  <c r="L561" i="3"/>
  <c r="K561" i="3"/>
  <c r="D561" i="3"/>
  <c r="O560" i="3"/>
  <c r="M560" i="3"/>
  <c r="L560" i="3"/>
  <c r="K560" i="3"/>
  <c r="D560" i="3"/>
  <c r="Q560" i="3" s="1"/>
  <c r="S560" i="3" s="1"/>
  <c r="S559" i="3"/>
  <c r="T559" i="3" s="1"/>
  <c r="R559" i="3"/>
  <c r="Q559" i="3"/>
  <c r="M559" i="3" s="1"/>
  <c r="O559" i="3"/>
  <c r="L559" i="3"/>
  <c r="K559" i="3"/>
  <c r="D559" i="3"/>
  <c r="P559" i="3" s="1"/>
  <c r="O558" i="3"/>
  <c r="L558" i="3"/>
  <c r="K558" i="3"/>
  <c r="D558" i="3"/>
  <c r="S557" i="3"/>
  <c r="T557" i="3" s="1"/>
  <c r="Q557" i="3"/>
  <c r="M557" i="3" s="1"/>
  <c r="P557" i="3"/>
  <c r="O557" i="3"/>
  <c r="L557" i="3"/>
  <c r="K557" i="3"/>
  <c r="R557" i="3" s="1"/>
  <c r="D557" i="3"/>
  <c r="Q556" i="3"/>
  <c r="S556" i="3" s="1"/>
  <c r="P556" i="3"/>
  <c r="O556" i="3"/>
  <c r="M556" i="3"/>
  <c r="R556" i="3" s="1"/>
  <c r="L556" i="3"/>
  <c r="K556" i="3"/>
  <c r="D556" i="3"/>
  <c r="Q555" i="3"/>
  <c r="S555" i="3" s="1"/>
  <c r="P555" i="3"/>
  <c r="O555" i="3"/>
  <c r="M555" i="3"/>
  <c r="L555" i="3"/>
  <c r="K555" i="3"/>
  <c r="D555" i="3"/>
  <c r="Q554" i="3"/>
  <c r="S554" i="3" s="1"/>
  <c r="T554" i="3" s="1"/>
  <c r="P554" i="3"/>
  <c r="O554" i="3"/>
  <c r="M554" i="3"/>
  <c r="L554" i="3"/>
  <c r="K554" i="3"/>
  <c r="D554" i="3"/>
  <c r="P553" i="3"/>
  <c r="O553" i="3"/>
  <c r="M553" i="3"/>
  <c r="L553" i="3"/>
  <c r="K553" i="3"/>
  <c r="D553" i="3"/>
  <c r="Q553" i="3" s="1"/>
  <c r="S553" i="3" s="1"/>
  <c r="O552" i="3"/>
  <c r="L552" i="3"/>
  <c r="K552" i="3"/>
  <c r="D552" i="3"/>
  <c r="O551" i="3"/>
  <c r="L551" i="3"/>
  <c r="K551" i="3"/>
  <c r="D551" i="3"/>
  <c r="Q550" i="3"/>
  <c r="P550" i="3"/>
  <c r="O550" i="3"/>
  <c r="L550" i="3"/>
  <c r="K550" i="3"/>
  <c r="D550" i="3"/>
  <c r="S549" i="3"/>
  <c r="T549" i="3" s="1"/>
  <c r="R549" i="3"/>
  <c r="Q549" i="3"/>
  <c r="M549" i="3" s="1"/>
  <c r="P549" i="3"/>
  <c r="O549" i="3"/>
  <c r="L549" i="3"/>
  <c r="K549" i="3"/>
  <c r="D549" i="3"/>
  <c r="O548" i="3"/>
  <c r="L548" i="3"/>
  <c r="K548" i="3"/>
  <c r="D548" i="3"/>
  <c r="P548" i="3" s="1"/>
  <c r="Q547" i="3"/>
  <c r="S547" i="3" s="1"/>
  <c r="P547" i="3"/>
  <c r="O547" i="3"/>
  <c r="M547" i="3"/>
  <c r="L547" i="3"/>
  <c r="R547" i="3" s="1"/>
  <c r="K547" i="3"/>
  <c r="D547" i="3"/>
  <c r="Q546" i="3"/>
  <c r="O546" i="3"/>
  <c r="L546" i="3"/>
  <c r="K546" i="3"/>
  <c r="D546" i="3"/>
  <c r="P546" i="3" s="1"/>
  <c r="O545" i="3"/>
  <c r="L545" i="3"/>
  <c r="K545" i="3"/>
  <c r="D545" i="3"/>
  <c r="O544" i="3"/>
  <c r="M544" i="3"/>
  <c r="L544" i="3"/>
  <c r="K544" i="3"/>
  <c r="D544" i="3"/>
  <c r="Q544" i="3" s="1"/>
  <c r="S544" i="3" s="1"/>
  <c r="O543" i="3"/>
  <c r="L543" i="3"/>
  <c r="K543" i="3"/>
  <c r="D543" i="3"/>
  <c r="O542" i="3"/>
  <c r="L542" i="3"/>
  <c r="K542" i="3"/>
  <c r="D542" i="3"/>
  <c r="Q542" i="3" s="1"/>
  <c r="Q541" i="3"/>
  <c r="P541" i="3"/>
  <c r="O541" i="3"/>
  <c r="L541" i="3"/>
  <c r="K541" i="3"/>
  <c r="D541" i="3"/>
  <c r="Q540" i="3"/>
  <c r="P540" i="3"/>
  <c r="O540" i="3"/>
  <c r="L540" i="3"/>
  <c r="K540" i="3"/>
  <c r="D540" i="3"/>
  <c r="S539" i="3"/>
  <c r="T539" i="3" s="1"/>
  <c r="Q539" i="3"/>
  <c r="P539" i="3"/>
  <c r="O539" i="3"/>
  <c r="M539" i="3"/>
  <c r="L539" i="3"/>
  <c r="K539" i="3"/>
  <c r="R539" i="3" s="1"/>
  <c r="D539" i="3"/>
  <c r="Q538" i="3"/>
  <c r="S538" i="3" s="1"/>
  <c r="T538" i="3" s="1"/>
  <c r="P538" i="3"/>
  <c r="O538" i="3"/>
  <c r="M538" i="3"/>
  <c r="L538" i="3"/>
  <c r="K538" i="3"/>
  <c r="R538" i="3" s="1"/>
  <c r="D538" i="3"/>
  <c r="O537" i="3"/>
  <c r="L537" i="3"/>
  <c r="K537" i="3"/>
  <c r="D537" i="3"/>
  <c r="O536" i="3"/>
  <c r="L536" i="3"/>
  <c r="K536" i="3"/>
  <c r="D536" i="3"/>
  <c r="O535" i="3"/>
  <c r="L535" i="3"/>
  <c r="K535" i="3"/>
  <c r="R535" i="3" s="1"/>
  <c r="D535" i="3"/>
  <c r="Q535" i="3" s="1"/>
  <c r="M535" i="3" s="1"/>
  <c r="Q534" i="3"/>
  <c r="P534" i="3"/>
  <c r="O534" i="3"/>
  <c r="L534" i="3"/>
  <c r="K534" i="3"/>
  <c r="D534" i="3"/>
  <c r="Q533" i="3"/>
  <c r="M533" i="3" s="1"/>
  <c r="R533" i="3" s="1"/>
  <c r="P533" i="3"/>
  <c r="O533" i="3"/>
  <c r="L533" i="3"/>
  <c r="K533" i="3"/>
  <c r="D533" i="3"/>
  <c r="S532" i="3"/>
  <c r="Q532" i="3"/>
  <c r="P532" i="3"/>
  <c r="T532" i="3" s="1"/>
  <c r="O532" i="3"/>
  <c r="M532" i="3"/>
  <c r="R532" i="3" s="1"/>
  <c r="L532" i="3"/>
  <c r="K532" i="3"/>
  <c r="D532" i="3"/>
  <c r="Q531" i="3"/>
  <c r="S531" i="3" s="1"/>
  <c r="T531" i="3" s="1"/>
  <c r="P531" i="3"/>
  <c r="O531" i="3"/>
  <c r="L531" i="3"/>
  <c r="K531" i="3"/>
  <c r="D531" i="3"/>
  <c r="Q530" i="3"/>
  <c r="O530" i="3"/>
  <c r="L530" i="3"/>
  <c r="K530" i="3"/>
  <c r="D530" i="3"/>
  <c r="P530" i="3" s="1"/>
  <c r="O529" i="3"/>
  <c r="L529" i="3"/>
  <c r="K529" i="3"/>
  <c r="D529" i="3"/>
  <c r="O528" i="3"/>
  <c r="M528" i="3"/>
  <c r="L528" i="3"/>
  <c r="K528" i="3"/>
  <c r="R528" i="3" s="1"/>
  <c r="D528" i="3"/>
  <c r="Q528" i="3" s="1"/>
  <c r="S528" i="3" s="1"/>
  <c r="O527" i="3"/>
  <c r="L527" i="3"/>
  <c r="K527" i="3"/>
  <c r="D527" i="3"/>
  <c r="O526" i="3"/>
  <c r="L526" i="3"/>
  <c r="K526" i="3"/>
  <c r="D526" i="3"/>
  <c r="Q525" i="3"/>
  <c r="M525" i="3" s="1"/>
  <c r="P525" i="3"/>
  <c r="O525" i="3"/>
  <c r="L525" i="3"/>
  <c r="R525" i="3" s="1"/>
  <c r="K525" i="3"/>
  <c r="D525" i="3"/>
  <c r="Q524" i="3"/>
  <c r="P524" i="3"/>
  <c r="O524" i="3"/>
  <c r="L524" i="3"/>
  <c r="K524" i="3"/>
  <c r="D524" i="3"/>
  <c r="Q523" i="3"/>
  <c r="S523" i="3" s="1"/>
  <c r="P523" i="3"/>
  <c r="O523" i="3"/>
  <c r="M523" i="3"/>
  <c r="R523" i="3" s="1"/>
  <c r="L523" i="3"/>
  <c r="K523" i="3"/>
  <c r="D523" i="3"/>
  <c r="Q522" i="3"/>
  <c r="S522" i="3" s="1"/>
  <c r="T522" i="3" s="1"/>
  <c r="P522" i="3"/>
  <c r="O522" i="3"/>
  <c r="M522" i="3"/>
  <c r="L522" i="3"/>
  <c r="R522" i="3" s="1"/>
  <c r="K522" i="3"/>
  <c r="D522" i="3"/>
  <c r="P521" i="3"/>
  <c r="O521" i="3"/>
  <c r="L521" i="3"/>
  <c r="K521" i="3"/>
  <c r="D521" i="3"/>
  <c r="Q521" i="3" s="1"/>
  <c r="S521" i="3" s="1"/>
  <c r="O520" i="3"/>
  <c r="L520" i="3"/>
  <c r="K520" i="3"/>
  <c r="D520" i="3"/>
  <c r="O519" i="3"/>
  <c r="L519" i="3"/>
  <c r="K519" i="3"/>
  <c r="D519" i="3"/>
  <c r="S518" i="3"/>
  <c r="R518" i="3"/>
  <c r="Q518" i="3"/>
  <c r="M518" i="3" s="1"/>
  <c r="O518" i="3"/>
  <c r="L518" i="3"/>
  <c r="K518" i="3"/>
  <c r="D518" i="3"/>
  <c r="P518" i="3" s="1"/>
  <c r="Q517" i="3"/>
  <c r="M517" i="3" s="1"/>
  <c r="P517" i="3"/>
  <c r="O517" i="3"/>
  <c r="L517" i="3"/>
  <c r="K517" i="3"/>
  <c r="D517" i="3"/>
  <c r="T516" i="3"/>
  <c r="S516" i="3"/>
  <c r="R516" i="3"/>
  <c r="Q516" i="3"/>
  <c r="P516" i="3"/>
  <c r="O516" i="3"/>
  <c r="M516" i="3"/>
  <c r="L516" i="3"/>
  <c r="K516" i="3"/>
  <c r="D516" i="3"/>
  <c r="Q515" i="3"/>
  <c r="S515" i="3" s="1"/>
  <c r="T515" i="3" s="1"/>
  <c r="O515" i="3"/>
  <c r="L515" i="3"/>
  <c r="K515" i="3"/>
  <c r="D515" i="3"/>
  <c r="P515" i="3" s="1"/>
  <c r="Q514" i="3"/>
  <c r="O514" i="3"/>
  <c r="L514" i="3"/>
  <c r="K514" i="3"/>
  <c r="D514" i="3"/>
  <c r="P514" i="3" s="1"/>
  <c r="O513" i="3"/>
  <c r="L513" i="3"/>
  <c r="K513" i="3"/>
  <c r="D513" i="3"/>
  <c r="O512" i="3"/>
  <c r="L512" i="3"/>
  <c r="K512" i="3"/>
  <c r="D512" i="3"/>
  <c r="Q512" i="3" s="1"/>
  <c r="O511" i="3"/>
  <c r="L511" i="3"/>
  <c r="K511" i="3"/>
  <c r="D511" i="3"/>
  <c r="S510" i="3"/>
  <c r="O510" i="3"/>
  <c r="L510" i="3"/>
  <c r="K510" i="3"/>
  <c r="R510" i="3" s="1"/>
  <c r="D510" i="3"/>
  <c r="Q510" i="3" s="1"/>
  <c r="M510" i="3" s="1"/>
  <c r="S509" i="3"/>
  <c r="T509" i="3" s="1"/>
  <c r="U509" i="3" s="1"/>
  <c r="R509" i="3"/>
  <c r="Q509" i="3"/>
  <c r="M509" i="3" s="1"/>
  <c r="P509" i="3"/>
  <c r="O509" i="3"/>
  <c r="L509" i="3"/>
  <c r="K509" i="3"/>
  <c r="D509" i="3"/>
  <c r="Q508" i="3"/>
  <c r="O508" i="3"/>
  <c r="L508" i="3"/>
  <c r="F508" i="3"/>
  <c r="K508" i="3" s="1"/>
  <c r="Q507" i="3"/>
  <c r="M507" i="3" s="1"/>
  <c r="P507" i="3"/>
  <c r="S507" i="3" s="1"/>
  <c r="T507" i="3" s="1"/>
  <c r="O507" i="3"/>
  <c r="N507" i="3"/>
  <c r="R507" i="3" s="1"/>
  <c r="L507" i="3"/>
  <c r="K507" i="3"/>
  <c r="D507" i="3"/>
  <c r="Q506" i="3"/>
  <c r="P506" i="3"/>
  <c r="O506" i="3"/>
  <c r="N506" i="3"/>
  <c r="L506" i="3"/>
  <c r="K506" i="3"/>
  <c r="D506" i="3"/>
  <c r="Q505" i="3"/>
  <c r="M505" i="3" s="1"/>
  <c r="P505" i="3"/>
  <c r="O505" i="3"/>
  <c r="N505" i="3"/>
  <c r="R505" i="3" s="1"/>
  <c r="L505" i="3"/>
  <c r="K505" i="3"/>
  <c r="D505" i="3"/>
  <c r="Q504" i="3"/>
  <c r="P504" i="3"/>
  <c r="O504" i="3"/>
  <c r="N504" i="3"/>
  <c r="R504" i="3" s="1"/>
  <c r="M504" i="3"/>
  <c r="L504" i="3"/>
  <c r="K504" i="3"/>
  <c r="D504" i="3"/>
  <c r="R503" i="3"/>
  <c r="Q503" i="3"/>
  <c r="P503" i="3"/>
  <c r="O503" i="3"/>
  <c r="N503" i="3"/>
  <c r="M503" i="3"/>
  <c r="L503" i="3"/>
  <c r="K503" i="3"/>
  <c r="D503" i="3"/>
  <c r="Q502" i="3"/>
  <c r="P502" i="3"/>
  <c r="O502" i="3"/>
  <c r="N502" i="3"/>
  <c r="M502" i="3"/>
  <c r="L502" i="3"/>
  <c r="K502" i="3"/>
  <c r="D502" i="3"/>
  <c r="Q501" i="3"/>
  <c r="P501" i="3"/>
  <c r="O501" i="3"/>
  <c r="N501" i="3"/>
  <c r="M501" i="3"/>
  <c r="L501" i="3"/>
  <c r="K501" i="3"/>
  <c r="D501" i="3"/>
  <c r="Q500" i="3"/>
  <c r="P500" i="3"/>
  <c r="O500" i="3"/>
  <c r="N500" i="3"/>
  <c r="M500" i="3"/>
  <c r="L500" i="3"/>
  <c r="K500" i="3"/>
  <c r="D500" i="3"/>
  <c r="O499" i="3"/>
  <c r="N499" i="3"/>
  <c r="L499" i="3"/>
  <c r="K499" i="3"/>
  <c r="D499" i="3"/>
  <c r="O498" i="3"/>
  <c r="N498" i="3"/>
  <c r="L498" i="3"/>
  <c r="K498" i="3"/>
  <c r="D498" i="3"/>
  <c r="O497" i="3"/>
  <c r="N497" i="3"/>
  <c r="L497" i="3"/>
  <c r="K497" i="3"/>
  <c r="D497" i="3"/>
  <c r="O496" i="3"/>
  <c r="N496" i="3"/>
  <c r="L496" i="3"/>
  <c r="K496" i="3"/>
  <c r="D496" i="3"/>
  <c r="O495" i="3"/>
  <c r="N495" i="3"/>
  <c r="L495" i="3"/>
  <c r="K495" i="3"/>
  <c r="D495" i="3"/>
  <c r="O494" i="3"/>
  <c r="N494" i="3"/>
  <c r="L494" i="3"/>
  <c r="K494" i="3"/>
  <c r="D494" i="3"/>
  <c r="O493" i="3"/>
  <c r="N493" i="3"/>
  <c r="M493" i="3"/>
  <c r="L493" i="3"/>
  <c r="K493" i="3"/>
  <c r="D493" i="3"/>
  <c r="Q493" i="3" s="1"/>
  <c r="Q492" i="3"/>
  <c r="O492" i="3"/>
  <c r="N492" i="3"/>
  <c r="L492" i="3"/>
  <c r="K492" i="3"/>
  <c r="D492" i="3"/>
  <c r="P492" i="3" s="1"/>
  <c r="O491" i="3"/>
  <c r="N491" i="3"/>
  <c r="L491" i="3"/>
  <c r="K491" i="3"/>
  <c r="D491" i="3"/>
  <c r="Q490" i="3"/>
  <c r="P490" i="3"/>
  <c r="O490" i="3"/>
  <c r="N490" i="3"/>
  <c r="L490" i="3"/>
  <c r="K490" i="3"/>
  <c r="D490" i="3"/>
  <c r="O489" i="3"/>
  <c r="N489" i="3"/>
  <c r="L489" i="3"/>
  <c r="K489" i="3"/>
  <c r="D489" i="3"/>
  <c r="P489" i="3" s="1"/>
  <c r="Q488" i="3"/>
  <c r="P488" i="3"/>
  <c r="O488" i="3"/>
  <c r="N488" i="3"/>
  <c r="L488" i="3"/>
  <c r="K488" i="3"/>
  <c r="D488" i="3"/>
  <c r="Q487" i="3"/>
  <c r="M487" i="3" s="1"/>
  <c r="R487" i="3" s="1"/>
  <c r="P487" i="3"/>
  <c r="O487" i="3"/>
  <c r="N487" i="3"/>
  <c r="L487" i="3"/>
  <c r="K487" i="3"/>
  <c r="D487" i="3"/>
  <c r="Q486" i="3"/>
  <c r="M486" i="3" s="1"/>
  <c r="P486" i="3"/>
  <c r="O486" i="3"/>
  <c r="N486" i="3"/>
  <c r="R486" i="3" s="1"/>
  <c r="L486" i="3"/>
  <c r="K486" i="3"/>
  <c r="D486" i="3"/>
  <c r="Q485" i="3"/>
  <c r="P485" i="3"/>
  <c r="O485" i="3"/>
  <c r="N485" i="3"/>
  <c r="L485" i="3"/>
  <c r="K485" i="3"/>
  <c r="D485" i="3"/>
  <c r="Q484" i="3"/>
  <c r="P484" i="3"/>
  <c r="O484" i="3"/>
  <c r="N484" i="3"/>
  <c r="L484" i="3"/>
  <c r="K484" i="3"/>
  <c r="D484" i="3"/>
  <c r="Q483" i="3"/>
  <c r="P483" i="3"/>
  <c r="O483" i="3"/>
  <c r="N483" i="3"/>
  <c r="L483" i="3"/>
  <c r="K483" i="3"/>
  <c r="D483" i="3"/>
  <c r="R482" i="3"/>
  <c r="Q482" i="3"/>
  <c r="P482" i="3"/>
  <c r="O482" i="3"/>
  <c r="N482" i="3"/>
  <c r="M482" i="3"/>
  <c r="L482" i="3"/>
  <c r="K482" i="3"/>
  <c r="D482" i="3"/>
  <c r="Q481" i="3"/>
  <c r="P481" i="3"/>
  <c r="O481" i="3"/>
  <c r="N481" i="3"/>
  <c r="M481" i="3"/>
  <c r="L481" i="3"/>
  <c r="K481" i="3"/>
  <c r="D481" i="3"/>
  <c r="Q480" i="3"/>
  <c r="P480" i="3"/>
  <c r="O480" i="3"/>
  <c r="N480" i="3"/>
  <c r="L480" i="3"/>
  <c r="K480" i="3"/>
  <c r="D480" i="3"/>
  <c r="Q479" i="3"/>
  <c r="P479" i="3"/>
  <c r="O479" i="3"/>
  <c r="N479" i="3"/>
  <c r="R479" i="3" s="1"/>
  <c r="M479" i="3"/>
  <c r="L479" i="3"/>
  <c r="K479" i="3"/>
  <c r="D479" i="3"/>
  <c r="O478" i="3"/>
  <c r="N478" i="3"/>
  <c r="L478" i="3"/>
  <c r="K478" i="3"/>
  <c r="D478" i="3"/>
  <c r="Q478" i="3" s="1"/>
  <c r="Q477" i="3"/>
  <c r="P477" i="3"/>
  <c r="O477" i="3"/>
  <c r="N477" i="3"/>
  <c r="M477" i="3"/>
  <c r="L477" i="3"/>
  <c r="K477" i="3"/>
  <c r="D477" i="3"/>
  <c r="O476" i="3"/>
  <c r="N476" i="3"/>
  <c r="L476" i="3"/>
  <c r="K476" i="3"/>
  <c r="D476" i="3"/>
  <c r="O475" i="3"/>
  <c r="N475" i="3"/>
  <c r="L475" i="3"/>
  <c r="K475" i="3"/>
  <c r="D475" i="3"/>
  <c r="O474" i="3"/>
  <c r="N474" i="3"/>
  <c r="L474" i="3"/>
  <c r="K474" i="3"/>
  <c r="D474" i="3"/>
  <c r="O473" i="3"/>
  <c r="N473" i="3"/>
  <c r="L473" i="3"/>
  <c r="K473" i="3"/>
  <c r="D473" i="3"/>
  <c r="O472" i="3"/>
  <c r="N472" i="3"/>
  <c r="L472" i="3"/>
  <c r="K472" i="3"/>
  <c r="D472" i="3"/>
  <c r="Q472" i="3" s="1"/>
  <c r="O471" i="3"/>
  <c r="N471" i="3"/>
  <c r="L471" i="3"/>
  <c r="K471" i="3"/>
  <c r="D471" i="3"/>
  <c r="O470" i="3"/>
  <c r="N470" i="3"/>
  <c r="L470" i="3"/>
  <c r="K470" i="3"/>
  <c r="D470" i="3"/>
  <c r="O469" i="3"/>
  <c r="N469" i="3"/>
  <c r="L469" i="3"/>
  <c r="K469" i="3"/>
  <c r="D469" i="3"/>
  <c r="P469" i="3" s="1"/>
  <c r="Q468" i="3"/>
  <c r="O468" i="3"/>
  <c r="N468" i="3"/>
  <c r="L468" i="3"/>
  <c r="K468" i="3"/>
  <c r="D468" i="3"/>
  <c r="P468" i="3" s="1"/>
  <c r="Q467" i="3"/>
  <c r="P467" i="3"/>
  <c r="O467" i="3"/>
  <c r="N467" i="3"/>
  <c r="L467" i="3"/>
  <c r="K467" i="3"/>
  <c r="D467" i="3"/>
  <c r="O466" i="3"/>
  <c r="N466" i="3"/>
  <c r="L466" i="3"/>
  <c r="K466" i="3"/>
  <c r="D466" i="3"/>
  <c r="Q466" i="3" s="1"/>
  <c r="Q465" i="3"/>
  <c r="M465" i="3" s="1"/>
  <c r="R465" i="3" s="1"/>
  <c r="P465" i="3"/>
  <c r="O465" i="3"/>
  <c r="N465" i="3"/>
  <c r="L465" i="3"/>
  <c r="K465" i="3"/>
  <c r="D465" i="3"/>
  <c r="Q464" i="3"/>
  <c r="P464" i="3"/>
  <c r="O464" i="3"/>
  <c r="N464" i="3"/>
  <c r="L464" i="3"/>
  <c r="K464" i="3"/>
  <c r="D464" i="3"/>
  <c r="S463" i="3"/>
  <c r="T463" i="3" s="1"/>
  <c r="Q463" i="3"/>
  <c r="M463" i="3" s="1"/>
  <c r="R463" i="3" s="1"/>
  <c r="P463" i="3"/>
  <c r="O463" i="3"/>
  <c r="N463" i="3"/>
  <c r="L463" i="3"/>
  <c r="K463" i="3"/>
  <c r="D463" i="3"/>
  <c r="Q462" i="3"/>
  <c r="P462" i="3"/>
  <c r="O462" i="3"/>
  <c r="N462" i="3"/>
  <c r="L462" i="3"/>
  <c r="K462" i="3"/>
  <c r="D462" i="3"/>
  <c r="Q461" i="3"/>
  <c r="P461" i="3"/>
  <c r="O461" i="3"/>
  <c r="N461" i="3"/>
  <c r="R461" i="3" s="1"/>
  <c r="M461" i="3"/>
  <c r="L461" i="3"/>
  <c r="K461" i="3"/>
  <c r="D461" i="3"/>
  <c r="Q460" i="3"/>
  <c r="P460" i="3"/>
  <c r="O460" i="3"/>
  <c r="N460" i="3"/>
  <c r="R460" i="3" s="1"/>
  <c r="M460" i="3"/>
  <c r="L460" i="3"/>
  <c r="K460" i="3"/>
  <c r="D460" i="3"/>
  <c r="Q459" i="3"/>
  <c r="P459" i="3"/>
  <c r="O459" i="3"/>
  <c r="N459" i="3"/>
  <c r="L459" i="3"/>
  <c r="K459" i="3"/>
  <c r="D459" i="3"/>
  <c r="Q458" i="3"/>
  <c r="P458" i="3"/>
  <c r="O458" i="3"/>
  <c r="N458" i="3"/>
  <c r="M458" i="3"/>
  <c r="L458" i="3"/>
  <c r="K458" i="3"/>
  <c r="D458" i="3"/>
  <c r="Q457" i="3"/>
  <c r="P457" i="3"/>
  <c r="O457" i="3"/>
  <c r="N457" i="3"/>
  <c r="L457" i="3"/>
  <c r="K457" i="3"/>
  <c r="D457" i="3"/>
  <c r="Q456" i="3"/>
  <c r="P456" i="3"/>
  <c r="O456" i="3"/>
  <c r="N456" i="3"/>
  <c r="M456" i="3"/>
  <c r="L456" i="3"/>
  <c r="K456" i="3"/>
  <c r="D456" i="3"/>
  <c r="O455" i="3"/>
  <c r="N455" i="3"/>
  <c r="L455" i="3"/>
  <c r="K455" i="3"/>
  <c r="D455" i="3"/>
  <c r="Q455" i="3" s="1"/>
  <c r="O454" i="3"/>
  <c r="N454" i="3"/>
  <c r="L454" i="3"/>
  <c r="K454" i="3"/>
  <c r="D454" i="3"/>
  <c r="O453" i="3"/>
  <c r="N453" i="3"/>
  <c r="L453" i="3"/>
  <c r="K453" i="3"/>
  <c r="D453" i="3"/>
  <c r="O452" i="3"/>
  <c r="N452" i="3"/>
  <c r="L452" i="3"/>
  <c r="K452" i="3"/>
  <c r="D452" i="3"/>
  <c r="O451" i="3"/>
  <c r="N451" i="3"/>
  <c r="L451" i="3"/>
  <c r="K451" i="3"/>
  <c r="D451" i="3"/>
  <c r="O450" i="3"/>
  <c r="N450" i="3"/>
  <c r="L450" i="3"/>
  <c r="K450" i="3"/>
  <c r="D450" i="3"/>
  <c r="O449" i="3"/>
  <c r="N449" i="3"/>
  <c r="L449" i="3"/>
  <c r="K449" i="3"/>
  <c r="D449" i="3"/>
  <c r="Q449" i="3" s="1"/>
  <c r="O448" i="3"/>
  <c r="N448" i="3"/>
  <c r="L448" i="3"/>
  <c r="K448" i="3"/>
  <c r="D448" i="3"/>
  <c r="P448" i="3" s="1"/>
  <c r="O447" i="3"/>
  <c r="N447" i="3"/>
  <c r="L447" i="3"/>
  <c r="K447" i="3"/>
  <c r="D447" i="3"/>
  <c r="Q446" i="3"/>
  <c r="P446" i="3"/>
  <c r="O446" i="3"/>
  <c r="N446" i="3"/>
  <c r="L446" i="3"/>
  <c r="K446" i="3"/>
  <c r="D446" i="3"/>
  <c r="O445" i="3"/>
  <c r="N445" i="3"/>
  <c r="L445" i="3"/>
  <c r="K445" i="3"/>
  <c r="D445" i="3"/>
  <c r="Q444" i="3"/>
  <c r="P444" i="3"/>
  <c r="O444" i="3"/>
  <c r="N444" i="3"/>
  <c r="L444" i="3"/>
  <c r="K444" i="3"/>
  <c r="D444" i="3"/>
  <c r="S443" i="3"/>
  <c r="T443" i="3" s="1"/>
  <c r="R443" i="3"/>
  <c r="Q443" i="3"/>
  <c r="M443" i="3" s="1"/>
  <c r="P443" i="3"/>
  <c r="O443" i="3"/>
  <c r="K443" i="3"/>
  <c r="D443" i="3"/>
  <c r="P442" i="3"/>
  <c r="O442" i="3"/>
  <c r="M442" i="3"/>
  <c r="K442" i="3"/>
  <c r="R442" i="3" s="1"/>
  <c r="D442" i="3"/>
  <c r="Q442" i="3" s="1"/>
  <c r="O441" i="3"/>
  <c r="K441" i="3"/>
  <c r="D441" i="3"/>
  <c r="O440" i="3"/>
  <c r="L440" i="3"/>
  <c r="K440" i="3"/>
  <c r="D440" i="3"/>
  <c r="O439" i="3"/>
  <c r="L439" i="3"/>
  <c r="K439" i="3"/>
  <c r="D439" i="3"/>
  <c r="S438" i="3"/>
  <c r="T438" i="3" s="1"/>
  <c r="R438" i="3"/>
  <c r="Q438" i="3"/>
  <c r="P438" i="3"/>
  <c r="O438" i="3"/>
  <c r="M438" i="3"/>
  <c r="L438" i="3"/>
  <c r="K438" i="3"/>
  <c r="D438" i="3"/>
  <c r="S437" i="3"/>
  <c r="T437" i="3" s="1"/>
  <c r="Q437" i="3"/>
  <c r="M437" i="3" s="1"/>
  <c r="R437" i="3" s="1"/>
  <c r="P437" i="3"/>
  <c r="O437" i="3"/>
  <c r="L437" i="3"/>
  <c r="K437" i="3"/>
  <c r="D437" i="3"/>
  <c r="Q436" i="3"/>
  <c r="M436" i="3" s="1"/>
  <c r="R436" i="3" s="1"/>
  <c r="P436" i="3"/>
  <c r="O436" i="3"/>
  <c r="L436" i="3"/>
  <c r="K436" i="3"/>
  <c r="D436" i="3"/>
  <c r="Q435" i="3"/>
  <c r="P435" i="3"/>
  <c r="O435" i="3"/>
  <c r="M435" i="3"/>
  <c r="L435" i="3"/>
  <c r="R435" i="3" s="1"/>
  <c r="K435" i="3"/>
  <c r="D435" i="3"/>
  <c r="Q434" i="3"/>
  <c r="S434" i="3" s="1"/>
  <c r="P434" i="3"/>
  <c r="O434" i="3"/>
  <c r="M434" i="3"/>
  <c r="L434" i="3"/>
  <c r="R434" i="3" s="1"/>
  <c r="K434" i="3"/>
  <c r="Q433" i="3"/>
  <c r="S433" i="3" s="1"/>
  <c r="T433" i="3" s="1"/>
  <c r="P433" i="3"/>
  <c r="O433" i="3"/>
  <c r="M433" i="3"/>
  <c r="L433" i="3"/>
  <c r="K433" i="3"/>
  <c r="T432" i="3"/>
  <c r="S432" i="3"/>
  <c r="Q432" i="3"/>
  <c r="M432" i="3" s="1"/>
  <c r="P432" i="3"/>
  <c r="O432" i="3"/>
  <c r="L432" i="3"/>
  <c r="K432" i="3"/>
  <c r="R432" i="3" s="1"/>
  <c r="T431" i="3"/>
  <c r="S431" i="3"/>
  <c r="R431" i="3"/>
  <c r="Q431" i="3"/>
  <c r="P431" i="3"/>
  <c r="O431" i="3"/>
  <c r="M431" i="3"/>
  <c r="L431" i="3"/>
  <c r="K431" i="3"/>
  <c r="Q430" i="3"/>
  <c r="P430" i="3"/>
  <c r="O430" i="3"/>
  <c r="L430" i="3"/>
  <c r="K430" i="3"/>
  <c r="Q429" i="3"/>
  <c r="P429" i="3"/>
  <c r="O429" i="3"/>
  <c r="M429" i="3"/>
  <c r="R429" i="3" s="1"/>
  <c r="L429" i="3"/>
  <c r="K429" i="3"/>
  <c r="Q428" i="3"/>
  <c r="P428" i="3"/>
  <c r="O428" i="3"/>
  <c r="M428" i="3"/>
  <c r="L428" i="3"/>
  <c r="K428" i="3"/>
  <c r="Q427" i="3"/>
  <c r="P427" i="3"/>
  <c r="O427" i="3"/>
  <c r="M427" i="3"/>
  <c r="L427" i="3"/>
  <c r="K427" i="3"/>
  <c r="R427" i="3" s="1"/>
  <c r="S427" i="3" s="1"/>
  <c r="T427" i="3" s="1"/>
  <c r="T426" i="3"/>
  <c r="Q426" i="3"/>
  <c r="P426" i="3"/>
  <c r="O426" i="3"/>
  <c r="M426" i="3"/>
  <c r="L426" i="3"/>
  <c r="K426" i="3"/>
  <c r="R426" i="3" s="1"/>
  <c r="S426" i="3" s="1"/>
  <c r="Q425" i="3"/>
  <c r="P425" i="3"/>
  <c r="D895" i="3" s="1"/>
  <c r="O425" i="3"/>
  <c r="L425" i="3"/>
  <c r="K425" i="3"/>
  <c r="Q424" i="3"/>
  <c r="P424" i="3"/>
  <c r="O424" i="3"/>
  <c r="L424" i="3"/>
  <c r="K424" i="3"/>
  <c r="Q423" i="3"/>
  <c r="S423" i="3" s="1"/>
  <c r="T423" i="3" s="1"/>
  <c r="P423" i="3"/>
  <c r="O423" i="3"/>
  <c r="U423" i="3" s="1"/>
  <c r="L423" i="3"/>
  <c r="K423" i="3"/>
  <c r="D423" i="3"/>
  <c r="Q422" i="3"/>
  <c r="S422" i="3" s="1"/>
  <c r="T422" i="3" s="1"/>
  <c r="P422" i="3"/>
  <c r="O422" i="3"/>
  <c r="U422" i="3" s="1"/>
  <c r="M422" i="3"/>
  <c r="L422" i="3"/>
  <c r="K422" i="3"/>
  <c r="D422" i="3"/>
  <c r="Q421" i="3"/>
  <c r="O421" i="3"/>
  <c r="U421" i="3" s="1"/>
  <c r="L421" i="3"/>
  <c r="K421" i="3"/>
  <c r="D421" i="3"/>
  <c r="P421" i="3" s="1"/>
  <c r="Q420" i="3"/>
  <c r="S420" i="3" s="1"/>
  <c r="T420" i="3" s="1"/>
  <c r="P420" i="3"/>
  <c r="O420" i="3"/>
  <c r="U420" i="3" s="1"/>
  <c r="M420" i="3"/>
  <c r="L420" i="3"/>
  <c r="K420" i="3"/>
  <c r="R420" i="3" s="1"/>
  <c r="D420" i="3"/>
  <c r="O419" i="3"/>
  <c r="U419" i="3" s="1"/>
  <c r="L419" i="3"/>
  <c r="K419" i="3"/>
  <c r="D419" i="3"/>
  <c r="U418" i="3"/>
  <c r="O418" i="3"/>
  <c r="L418" i="3"/>
  <c r="K418" i="3"/>
  <c r="D418" i="3"/>
  <c r="O417" i="3"/>
  <c r="U417" i="3" s="1"/>
  <c r="L417" i="3"/>
  <c r="K417" i="3"/>
  <c r="D417" i="3"/>
  <c r="U416" i="3"/>
  <c r="O416" i="3"/>
  <c r="L416" i="3"/>
  <c r="K416" i="3"/>
  <c r="D416" i="3"/>
  <c r="U415" i="3"/>
  <c r="O415" i="3"/>
  <c r="L415" i="3"/>
  <c r="K415" i="3"/>
  <c r="D415" i="3"/>
  <c r="U414" i="3"/>
  <c r="O414" i="3"/>
  <c r="L414" i="3"/>
  <c r="K414" i="3"/>
  <c r="D414" i="3"/>
  <c r="U413" i="3"/>
  <c r="O413" i="3"/>
  <c r="L413" i="3"/>
  <c r="K413" i="3"/>
  <c r="D413" i="3"/>
  <c r="U412" i="3"/>
  <c r="O412" i="3"/>
  <c r="L412" i="3"/>
  <c r="K412" i="3"/>
  <c r="D412" i="3"/>
  <c r="U411" i="3"/>
  <c r="O411" i="3"/>
  <c r="L411" i="3"/>
  <c r="K411" i="3"/>
  <c r="D411" i="3"/>
  <c r="S410" i="3"/>
  <c r="T410" i="3" s="1"/>
  <c r="R410" i="3"/>
  <c r="Q410" i="3"/>
  <c r="M410" i="3" s="1"/>
  <c r="P410" i="3"/>
  <c r="O410" i="3"/>
  <c r="L410" i="3"/>
  <c r="K410" i="3"/>
  <c r="D410" i="3"/>
  <c r="S409" i="3"/>
  <c r="T409" i="3" s="1"/>
  <c r="R409" i="3"/>
  <c r="P409" i="3"/>
  <c r="O409" i="3"/>
  <c r="L409" i="3"/>
  <c r="K409" i="3"/>
  <c r="D409" i="3"/>
  <c r="Q409" i="3" s="1"/>
  <c r="M409" i="3" s="1"/>
  <c r="S408" i="3"/>
  <c r="T408" i="3" s="1"/>
  <c r="R408" i="3"/>
  <c r="Q408" i="3"/>
  <c r="P408" i="3"/>
  <c r="O408" i="3"/>
  <c r="M408" i="3"/>
  <c r="L408" i="3"/>
  <c r="K408" i="3"/>
  <c r="D408" i="3"/>
  <c r="Q407" i="3"/>
  <c r="S407" i="3" s="1"/>
  <c r="T407" i="3" s="1"/>
  <c r="P407" i="3"/>
  <c r="O407" i="3"/>
  <c r="M407" i="3"/>
  <c r="L407" i="3"/>
  <c r="R407" i="3" s="1"/>
  <c r="K407" i="3"/>
  <c r="D407" i="3"/>
  <c r="Q406" i="3"/>
  <c r="S406" i="3" s="1"/>
  <c r="O406" i="3"/>
  <c r="L406" i="3"/>
  <c r="K406" i="3"/>
  <c r="D406" i="3"/>
  <c r="P406" i="3" s="1"/>
  <c r="O405" i="3"/>
  <c r="L405" i="3"/>
  <c r="K405" i="3"/>
  <c r="D405" i="3"/>
  <c r="O404" i="3"/>
  <c r="L404" i="3"/>
  <c r="K404" i="3"/>
  <c r="D404" i="3"/>
  <c r="S403" i="3"/>
  <c r="T403" i="3" s="1"/>
  <c r="Q403" i="3"/>
  <c r="M403" i="3" s="1"/>
  <c r="P403" i="3"/>
  <c r="O403" i="3"/>
  <c r="L403" i="3"/>
  <c r="K403" i="3"/>
  <c r="D403" i="3"/>
  <c r="O402" i="3"/>
  <c r="L402" i="3"/>
  <c r="K402" i="3"/>
  <c r="D402" i="3"/>
  <c r="Q401" i="3"/>
  <c r="O401" i="3"/>
  <c r="L401" i="3"/>
  <c r="K401" i="3"/>
  <c r="D401" i="3"/>
  <c r="P401" i="3" s="1"/>
  <c r="Q400" i="3"/>
  <c r="P400" i="3"/>
  <c r="O400" i="3"/>
  <c r="L400" i="3"/>
  <c r="K400" i="3"/>
  <c r="D400" i="3"/>
  <c r="T399" i="3"/>
  <c r="S399" i="3"/>
  <c r="Q399" i="3"/>
  <c r="M399" i="3" s="1"/>
  <c r="R399" i="3" s="1"/>
  <c r="P399" i="3"/>
  <c r="O399" i="3"/>
  <c r="L399" i="3"/>
  <c r="K399" i="3"/>
  <c r="D399" i="3"/>
  <c r="S398" i="3"/>
  <c r="T398" i="3" s="1"/>
  <c r="P398" i="3"/>
  <c r="O398" i="3"/>
  <c r="M398" i="3"/>
  <c r="L398" i="3"/>
  <c r="R398" i="3" s="1"/>
  <c r="K398" i="3"/>
  <c r="D398" i="3"/>
  <c r="Q398" i="3" s="1"/>
  <c r="Q397" i="3"/>
  <c r="O397" i="3"/>
  <c r="L397" i="3"/>
  <c r="K397" i="3"/>
  <c r="D397" i="3"/>
  <c r="P397" i="3" s="1"/>
  <c r="O396" i="3"/>
  <c r="L396" i="3"/>
  <c r="K396" i="3"/>
  <c r="D396" i="3"/>
  <c r="O395" i="3"/>
  <c r="L395" i="3"/>
  <c r="K395" i="3"/>
  <c r="D395" i="3"/>
  <c r="O394" i="3"/>
  <c r="L394" i="3"/>
  <c r="K394" i="3"/>
  <c r="D394" i="3"/>
  <c r="O393" i="3"/>
  <c r="L393" i="3"/>
  <c r="K393" i="3"/>
  <c r="D393" i="3"/>
  <c r="S392" i="3"/>
  <c r="T392" i="3" s="1"/>
  <c r="R392" i="3"/>
  <c r="Q392" i="3"/>
  <c r="M392" i="3" s="1"/>
  <c r="P392" i="3"/>
  <c r="O392" i="3"/>
  <c r="L392" i="3"/>
  <c r="K392" i="3"/>
  <c r="D392" i="3"/>
  <c r="O391" i="3"/>
  <c r="L391" i="3"/>
  <c r="K391" i="3"/>
  <c r="D391" i="3"/>
  <c r="P391" i="3" s="1"/>
  <c r="Q390" i="3"/>
  <c r="P390" i="3"/>
  <c r="O390" i="3"/>
  <c r="L390" i="3"/>
  <c r="K390" i="3"/>
  <c r="D390" i="3"/>
  <c r="Q389" i="3"/>
  <c r="S389" i="3" s="1"/>
  <c r="P389" i="3"/>
  <c r="O389" i="3"/>
  <c r="M389" i="3"/>
  <c r="R389" i="3" s="1"/>
  <c r="L389" i="3"/>
  <c r="K389" i="3"/>
  <c r="D389" i="3"/>
  <c r="Q388" i="3"/>
  <c r="S388" i="3" s="1"/>
  <c r="P388" i="3"/>
  <c r="O388" i="3"/>
  <c r="M388" i="3"/>
  <c r="L388" i="3"/>
  <c r="K388" i="3"/>
  <c r="R388" i="3" s="1"/>
  <c r="D388" i="3"/>
  <c r="O387" i="3"/>
  <c r="L387" i="3"/>
  <c r="K387" i="3"/>
  <c r="D387" i="3"/>
  <c r="O386" i="3"/>
  <c r="L386" i="3"/>
  <c r="K386" i="3"/>
  <c r="D386" i="3"/>
  <c r="O385" i="3"/>
  <c r="L385" i="3"/>
  <c r="K385" i="3"/>
  <c r="D385" i="3"/>
  <c r="O384" i="3"/>
  <c r="L384" i="3"/>
  <c r="K384" i="3"/>
  <c r="D384" i="3"/>
  <c r="S383" i="3"/>
  <c r="T383" i="3" s="1"/>
  <c r="R383" i="3"/>
  <c r="Q383" i="3"/>
  <c r="M383" i="3" s="1"/>
  <c r="O383" i="3"/>
  <c r="L383" i="3"/>
  <c r="K383" i="3"/>
  <c r="D383" i="3"/>
  <c r="P383" i="3" s="1"/>
  <c r="S382" i="3"/>
  <c r="T382" i="3" s="1"/>
  <c r="R382" i="3"/>
  <c r="Q382" i="3"/>
  <c r="M382" i="3" s="1"/>
  <c r="O382" i="3"/>
  <c r="L382" i="3"/>
  <c r="K382" i="3"/>
  <c r="D382" i="3"/>
  <c r="P382" i="3" s="1"/>
  <c r="S381" i="3"/>
  <c r="R381" i="3"/>
  <c r="Q381" i="3"/>
  <c r="M381" i="3" s="1"/>
  <c r="P381" i="3"/>
  <c r="O381" i="3"/>
  <c r="L381" i="3"/>
  <c r="K381" i="3"/>
  <c r="D381" i="3"/>
  <c r="Q380" i="3"/>
  <c r="P380" i="3"/>
  <c r="O380" i="3"/>
  <c r="L380" i="3"/>
  <c r="K380" i="3"/>
  <c r="D380" i="3"/>
  <c r="S379" i="3"/>
  <c r="T379" i="3" s="1"/>
  <c r="Q379" i="3"/>
  <c r="M379" i="3" s="1"/>
  <c r="R379" i="3" s="1"/>
  <c r="P379" i="3"/>
  <c r="O379" i="3"/>
  <c r="L379" i="3"/>
  <c r="K379" i="3"/>
  <c r="D379" i="3"/>
  <c r="Q378" i="3"/>
  <c r="S378" i="3" s="1"/>
  <c r="T378" i="3" s="1"/>
  <c r="P378" i="3"/>
  <c r="O378" i="3"/>
  <c r="M378" i="3"/>
  <c r="L378" i="3"/>
  <c r="K378" i="3"/>
  <c r="D378" i="3"/>
  <c r="O377" i="3"/>
  <c r="L377" i="3"/>
  <c r="K377" i="3"/>
  <c r="D377" i="3"/>
  <c r="O376" i="3"/>
  <c r="L376" i="3"/>
  <c r="K376" i="3"/>
  <c r="D376" i="3"/>
  <c r="O375" i="3"/>
  <c r="L375" i="3"/>
  <c r="K375" i="3"/>
  <c r="D375" i="3"/>
  <c r="S374" i="3"/>
  <c r="T374" i="3" s="1"/>
  <c r="R374" i="3"/>
  <c r="Q374" i="3"/>
  <c r="M374" i="3" s="1"/>
  <c r="O374" i="3"/>
  <c r="L374" i="3"/>
  <c r="K374" i="3"/>
  <c r="D374" i="3"/>
  <c r="P374" i="3" s="1"/>
  <c r="Q373" i="3"/>
  <c r="O373" i="3"/>
  <c r="L373" i="3"/>
  <c r="D373" i="3"/>
  <c r="P373" i="3" s="1"/>
  <c r="Q372" i="3"/>
  <c r="P372" i="3"/>
  <c r="O372" i="3"/>
  <c r="U372" i="3" s="1"/>
  <c r="L372" i="3"/>
  <c r="K372" i="3"/>
  <c r="D372" i="3"/>
  <c r="Q371" i="3"/>
  <c r="P371" i="3"/>
  <c r="O371" i="3"/>
  <c r="L371" i="3"/>
  <c r="K371" i="3"/>
  <c r="D371" i="3"/>
  <c r="Q370" i="3"/>
  <c r="P370" i="3"/>
  <c r="O370" i="3"/>
  <c r="L370" i="3"/>
  <c r="K370" i="3"/>
  <c r="D370" i="3"/>
  <c r="Q369" i="3"/>
  <c r="S369" i="3" s="1"/>
  <c r="T369" i="3" s="1"/>
  <c r="P369" i="3"/>
  <c r="O369" i="3"/>
  <c r="M369" i="3"/>
  <c r="L369" i="3"/>
  <c r="R369" i="3" s="1"/>
  <c r="K369" i="3"/>
  <c r="D369" i="3"/>
  <c r="O368" i="3"/>
  <c r="L368" i="3"/>
  <c r="K368" i="3"/>
  <c r="D368" i="3"/>
  <c r="O367" i="3"/>
  <c r="L367" i="3"/>
  <c r="K367" i="3"/>
  <c r="D367" i="3"/>
  <c r="O366" i="3"/>
  <c r="L366" i="3"/>
  <c r="K366" i="3"/>
  <c r="D366" i="3"/>
  <c r="S365" i="3"/>
  <c r="R365" i="3"/>
  <c r="O365" i="3"/>
  <c r="L365" i="3"/>
  <c r="K365" i="3"/>
  <c r="D365" i="3"/>
  <c r="Q365" i="3" s="1"/>
  <c r="M365" i="3" s="1"/>
  <c r="O364" i="3"/>
  <c r="L364" i="3"/>
  <c r="K364" i="3"/>
  <c r="D364" i="3"/>
  <c r="Q363" i="3"/>
  <c r="M363" i="3" s="1"/>
  <c r="R363" i="3" s="1"/>
  <c r="P363" i="3"/>
  <c r="O363" i="3"/>
  <c r="L363" i="3"/>
  <c r="K363" i="3"/>
  <c r="D363" i="3"/>
  <c r="Q362" i="3"/>
  <c r="P362" i="3"/>
  <c r="O362" i="3"/>
  <c r="L362" i="3"/>
  <c r="K362" i="3"/>
  <c r="D362" i="3"/>
  <c r="Q361" i="3"/>
  <c r="S361" i="3" s="1"/>
  <c r="P361" i="3"/>
  <c r="O361" i="3"/>
  <c r="M361" i="3"/>
  <c r="R361" i="3" s="1"/>
  <c r="L361" i="3"/>
  <c r="K361" i="3"/>
  <c r="D361" i="3"/>
  <c r="Q360" i="3"/>
  <c r="S360" i="3" s="1"/>
  <c r="P360" i="3"/>
  <c r="O360" i="3"/>
  <c r="M360" i="3"/>
  <c r="L360" i="3"/>
  <c r="R360" i="3" s="1"/>
  <c r="K360" i="3"/>
  <c r="D360" i="3"/>
  <c r="Q359" i="3"/>
  <c r="P359" i="3"/>
  <c r="O359" i="3"/>
  <c r="L359" i="3"/>
  <c r="K359" i="3"/>
  <c r="D359" i="3"/>
  <c r="O358" i="3"/>
  <c r="L358" i="3"/>
  <c r="K358" i="3"/>
  <c r="D358" i="3"/>
  <c r="O357" i="3"/>
  <c r="L357" i="3"/>
  <c r="K357" i="3"/>
  <c r="D357" i="3"/>
  <c r="O356" i="3"/>
  <c r="L356" i="3"/>
  <c r="K356" i="3"/>
  <c r="D356" i="3"/>
  <c r="O355" i="3"/>
  <c r="L355" i="3"/>
  <c r="K355" i="3"/>
  <c r="D355" i="3"/>
  <c r="T354" i="3"/>
  <c r="S354" i="3"/>
  <c r="R354" i="3"/>
  <c r="P354" i="3"/>
  <c r="O354" i="3"/>
  <c r="M354" i="3"/>
  <c r="L354" i="3"/>
  <c r="K354" i="3"/>
  <c r="D354" i="3"/>
  <c r="Q354" i="3" s="1"/>
  <c r="Q353" i="3"/>
  <c r="P353" i="3"/>
  <c r="O353" i="3"/>
  <c r="L353" i="3"/>
  <c r="K353" i="3"/>
  <c r="D353" i="3"/>
  <c r="Q352" i="3"/>
  <c r="P352" i="3"/>
  <c r="O352" i="3"/>
  <c r="L352" i="3"/>
  <c r="K352" i="3"/>
  <c r="D352" i="3"/>
  <c r="Q351" i="3"/>
  <c r="S351" i="3" s="1"/>
  <c r="T351" i="3" s="1"/>
  <c r="P351" i="3"/>
  <c r="O351" i="3"/>
  <c r="M351" i="3"/>
  <c r="L351" i="3"/>
  <c r="R351" i="3" s="1"/>
  <c r="K351" i="3"/>
  <c r="D351" i="3"/>
  <c r="Q350" i="3"/>
  <c r="S350" i="3" s="1"/>
  <c r="P350" i="3"/>
  <c r="O350" i="3"/>
  <c r="M350" i="3"/>
  <c r="L350" i="3"/>
  <c r="K350" i="3"/>
  <c r="R350" i="3" s="1"/>
  <c r="D350" i="3"/>
  <c r="O349" i="3"/>
  <c r="L349" i="3"/>
  <c r="K349" i="3"/>
  <c r="D349" i="3"/>
  <c r="S348" i="3"/>
  <c r="T348" i="3" s="1"/>
  <c r="Q348" i="3"/>
  <c r="P348" i="3"/>
  <c r="O348" i="3"/>
  <c r="M348" i="3"/>
  <c r="L348" i="3"/>
  <c r="K348" i="3"/>
  <c r="D348" i="3"/>
  <c r="O347" i="3"/>
  <c r="L347" i="3"/>
  <c r="K347" i="3"/>
  <c r="D347" i="3"/>
  <c r="O346" i="3"/>
  <c r="L346" i="3"/>
  <c r="K346" i="3"/>
  <c r="D346" i="3"/>
  <c r="Q345" i="3"/>
  <c r="P345" i="3"/>
  <c r="O345" i="3"/>
  <c r="L345" i="3"/>
  <c r="K345" i="3"/>
  <c r="D345" i="3"/>
  <c r="Q344" i="3"/>
  <c r="M344" i="3" s="1"/>
  <c r="R344" i="3" s="1"/>
  <c r="P344" i="3"/>
  <c r="O344" i="3"/>
  <c r="L344" i="3"/>
  <c r="K344" i="3"/>
  <c r="D344" i="3"/>
  <c r="S343" i="3"/>
  <c r="T343" i="3" s="1"/>
  <c r="P343" i="3"/>
  <c r="O343" i="3"/>
  <c r="M343" i="3"/>
  <c r="L343" i="3"/>
  <c r="R343" i="3" s="1"/>
  <c r="K343" i="3"/>
  <c r="D343" i="3"/>
  <c r="Q343" i="3" s="1"/>
  <c r="Q342" i="3"/>
  <c r="S342" i="3" s="1"/>
  <c r="T342" i="3" s="1"/>
  <c r="P342" i="3"/>
  <c r="O342" i="3"/>
  <c r="M342" i="3"/>
  <c r="L342" i="3"/>
  <c r="K342" i="3"/>
  <c r="D342" i="3"/>
  <c r="Q341" i="3"/>
  <c r="O341" i="3"/>
  <c r="L341" i="3"/>
  <c r="K341" i="3"/>
  <c r="D341" i="3"/>
  <c r="P341" i="3" s="1"/>
  <c r="Q340" i="3"/>
  <c r="P340" i="3"/>
  <c r="O340" i="3"/>
  <c r="U340" i="3" s="1"/>
  <c r="M340" i="3"/>
  <c r="L340" i="3"/>
  <c r="K340" i="3"/>
  <c r="D340" i="3"/>
  <c r="Q339" i="3"/>
  <c r="O339" i="3"/>
  <c r="U339" i="3" s="1"/>
  <c r="L339" i="3"/>
  <c r="K339" i="3"/>
  <c r="D339" i="3"/>
  <c r="P339" i="3" s="1"/>
  <c r="O338" i="3"/>
  <c r="L338" i="3"/>
  <c r="K338" i="3"/>
  <c r="D338" i="3"/>
  <c r="O337" i="3"/>
  <c r="L337" i="3"/>
  <c r="K337" i="3"/>
  <c r="D337" i="3"/>
  <c r="O336" i="3"/>
  <c r="L336" i="3"/>
  <c r="K336" i="3"/>
  <c r="D336" i="3"/>
  <c r="O335" i="3"/>
  <c r="L335" i="3"/>
  <c r="K335" i="3"/>
  <c r="D335" i="3"/>
  <c r="O334" i="3"/>
  <c r="L334" i="3"/>
  <c r="K334" i="3"/>
  <c r="D334" i="3"/>
  <c r="O333" i="3"/>
  <c r="L333" i="3"/>
  <c r="K333" i="3"/>
  <c r="D333" i="3"/>
  <c r="O332" i="3"/>
  <c r="L332" i="3"/>
  <c r="K332" i="3"/>
  <c r="D332" i="3"/>
  <c r="S331" i="3"/>
  <c r="T331" i="3" s="1"/>
  <c r="Q331" i="3"/>
  <c r="P331" i="3"/>
  <c r="O331" i="3"/>
  <c r="N331" i="3"/>
  <c r="L331" i="3"/>
  <c r="K331" i="3"/>
  <c r="R331" i="3" s="1"/>
  <c r="Q330" i="3"/>
  <c r="P330" i="3"/>
  <c r="O330" i="3"/>
  <c r="L330" i="3"/>
  <c r="K330" i="3"/>
  <c r="D330" i="3"/>
  <c r="Q329" i="3"/>
  <c r="P329" i="3"/>
  <c r="O329" i="3"/>
  <c r="L329" i="3"/>
  <c r="K329" i="3"/>
  <c r="D329" i="3"/>
  <c r="Q328" i="3"/>
  <c r="P328" i="3"/>
  <c r="O328" i="3"/>
  <c r="L328" i="3"/>
  <c r="K328" i="3"/>
  <c r="D328" i="3"/>
  <c r="Q327" i="3"/>
  <c r="S327" i="3" s="1"/>
  <c r="T327" i="3" s="1"/>
  <c r="P327" i="3"/>
  <c r="O327" i="3"/>
  <c r="M327" i="3"/>
  <c r="L327" i="3"/>
  <c r="R327" i="3" s="1"/>
  <c r="K327" i="3"/>
  <c r="D327" i="3"/>
  <c r="P326" i="3"/>
  <c r="O326" i="3"/>
  <c r="L326" i="3"/>
  <c r="K326" i="3"/>
  <c r="D326" i="3"/>
  <c r="Q326" i="3" s="1"/>
  <c r="O325" i="3"/>
  <c r="L325" i="3"/>
  <c r="K325" i="3"/>
  <c r="D325" i="3"/>
  <c r="O324" i="3"/>
  <c r="L324" i="3"/>
  <c r="K324" i="3"/>
  <c r="D324" i="3"/>
  <c r="Q323" i="3"/>
  <c r="O323" i="3"/>
  <c r="L323" i="3"/>
  <c r="K323" i="3"/>
  <c r="D323" i="3"/>
  <c r="P323" i="3" s="1"/>
  <c r="Q322" i="3"/>
  <c r="M322" i="3" s="1"/>
  <c r="R322" i="3" s="1"/>
  <c r="O322" i="3"/>
  <c r="L322" i="3"/>
  <c r="K322" i="3"/>
  <c r="D322" i="3"/>
  <c r="P322" i="3" s="1"/>
  <c r="R321" i="3"/>
  <c r="S321" i="3" s="1"/>
  <c r="T321" i="3" s="1"/>
  <c r="Q321" i="3"/>
  <c r="P321" i="3"/>
  <c r="O321" i="3"/>
  <c r="M321" i="3"/>
  <c r="L321" i="3"/>
  <c r="K321" i="3"/>
  <c r="D321" i="3"/>
  <c r="Q320" i="3"/>
  <c r="P320" i="3"/>
  <c r="O320" i="3"/>
  <c r="L320" i="3"/>
  <c r="K320" i="3"/>
  <c r="D320" i="3"/>
  <c r="O319" i="3"/>
  <c r="L319" i="3"/>
  <c r="K319" i="3"/>
  <c r="D319" i="3"/>
  <c r="O318" i="3"/>
  <c r="L318" i="3"/>
  <c r="K318" i="3"/>
  <c r="D318" i="3"/>
  <c r="O317" i="3"/>
  <c r="L317" i="3"/>
  <c r="K317" i="3"/>
  <c r="D317" i="3"/>
  <c r="O316" i="3"/>
  <c r="L316" i="3"/>
  <c r="K316" i="3"/>
  <c r="D316" i="3"/>
  <c r="O315" i="3"/>
  <c r="L315" i="3"/>
  <c r="K315" i="3"/>
  <c r="D315" i="3"/>
  <c r="Q314" i="3"/>
  <c r="M314" i="3" s="1"/>
  <c r="R314" i="3" s="1"/>
  <c r="S314" i="3" s="1"/>
  <c r="T314" i="3" s="1"/>
  <c r="P314" i="3"/>
  <c r="O314" i="3"/>
  <c r="L314" i="3"/>
  <c r="K314" i="3"/>
  <c r="D314" i="3"/>
  <c r="Q313" i="3"/>
  <c r="M313" i="3" s="1"/>
  <c r="P313" i="3"/>
  <c r="O313" i="3"/>
  <c r="L313" i="3"/>
  <c r="K313" i="3"/>
  <c r="D313" i="3"/>
  <c r="Q312" i="3"/>
  <c r="P312" i="3"/>
  <c r="O312" i="3"/>
  <c r="M312" i="3"/>
  <c r="R312" i="3" s="1"/>
  <c r="L312" i="3"/>
  <c r="K312" i="3"/>
  <c r="D312" i="3"/>
  <c r="Q311" i="3"/>
  <c r="O311" i="3"/>
  <c r="M311" i="3"/>
  <c r="L311" i="3"/>
  <c r="K311" i="3"/>
  <c r="D311" i="3"/>
  <c r="P311" i="3" s="1"/>
  <c r="P310" i="3"/>
  <c r="O310" i="3"/>
  <c r="M310" i="3"/>
  <c r="L310" i="3"/>
  <c r="K310" i="3"/>
  <c r="D310" i="3"/>
  <c r="Q310" i="3" s="1"/>
  <c r="O309" i="3"/>
  <c r="N309" i="3"/>
  <c r="L309" i="3"/>
  <c r="K309" i="3"/>
  <c r="D309" i="3"/>
  <c r="O308" i="3"/>
  <c r="N308" i="3"/>
  <c r="L308" i="3"/>
  <c r="K308" i="3"/>
  <c r="D308" i="3"/>
  <c r="O307" i="3"/>
  <c r="N307" i="3"/>
  <c r="L307" i="3"/>
  <c r="K307" i="3"/>
  <c r="D307" i="3"/>
  <c r="O306" i="3"/>
  <c r="N306" i="3"/>
  <c r="L306" i="3"/>
  <c r="K306" i="3"/>
  <c r="D306" i="3"/>
  <c r="O305" i="3"/>
  <c r="N305" i="3"/>
  <c r="L305" i="3"/>
  <c r="K305" i="3"/>
  <c r="D305" i="3"/>
  <c r="O304" i="3"/>
  <c r="D304" i="3"/>
  <c r="S303" i="3"/>
  <c r="T303" i="3" s="1"/>
  <c r="R303" i="3"/>
  <c r="Q303" i="3"/>
  <c r="M303" i="3" s="1"/>
  <c r="P303" i="3"/>
  <c r="O303" i="3"/>
  <c r="D303" i="3"/>
  <c r="Q302" i="3"/>
  <c r="P302" i="3"/>
  <c r="O302" i="3"/>
  <c r="M302" i="3"/>
  <c r="R302" i="3" s="1"/>
  <c r="D302" i="3"/>
  <c r="P301" i="3"/>
  <c r="O301" i="3"/>
  <c r="M301" i="3"/>
  <c r="R301" i="3" s="1"/>
  <c r="D301" i="3"/>
  <c r="Q301" i="3" s="1"/>
  <c r="T300" i="3"/>
  <c r="Q300" i="3"/>
  <c r="M300" i="3" s="1"/>
  <c r="R300" i="3" s="1"/>
  <c r="S300" i="3" s="1"/>
  <c r="P300" i="3"/>
  <c r="O300" i="3"/>
  <c r="D300" i="3"/>
  <c r="S299" i="3"/>
  <c r="T299" i="3" s="1"/>
  <c r="R299" i="3"/>
  <c r="Q299" i="3"/>
  <c r="M299" i="3" s="1"/>
  <c r="P299" i="3"/>
  <c r="O299" i="3"/>
  <c r="D299" i="3"/>
  <c r="O298" i="3"/>
  <c r="D298" i="3"/>
  <c r="O297" i="3"/>
  <c r="D297" i="3"/>
  <c r="R296" i="3"/>
  <c r="O296" i="3"/>
  <c r="D296" i="3"/>
  <c r="Q296" i="3" s="1"/>
  <c r="M296" i="3" s="1"/>
  <c r="Q295" i="3"/>
  <c r="P295" i="3"/>
  <c r="O295" i="3"/>
  <c r="D295" i="3"/>
  <c r="O294" i="3"/>
  <c r="D294" i="3"/>
  <c r="O293" i="3"/>
  <c r="D293" i="3"/>
  <c r="T292" i="3"/>
  <c r="S292" i="3"/>
  <c r="R292" i="3"/>
  <c r="Q292" i="3"/>
  <c r="M292" i="3" s="1"/>
  <c r="P292" i="3"/>
  <c r="O292" i="3"/>
  <c r="D292" i="3"/>
  <c r="O291" i="3"/>
  <c r="D291" i="3"/>
  <c r="O290" i="3"/>
  <c r="D290" i="3"/>
  <c r="Q289" i="3"/>
  <c r="M289" i="3" s="1"/>
  <c r="R289" i="3" s="1"/>
  <c r="P289" i="3"/>
  <c r="O289" i="3"/>
  <c r="L289" i="3"/>
  <c r="K289" i="3"/>
  <c r="D289" i="3"/>
  <c r="S288" i="3"/>
  <c r="T288" i="3" s="1"/>
  <c r="R288" i="3"/>
  <c r="Q288" i="3"/>
  <c r="M288" i="3" s="1"/>
  <c r="P288" i="3"/>
  <c r="O288" i="3"/>
  <c r="L288" i="3"/>
  <c r="K288" i="3"/>
  <c r="D288" i="3"/>
  <c r="R287" i="3"/>
  <c r="Q287" i="3"/>
  <c r="M287" i="3" s="1"/>
  <c r="P287" i="3"/>
  <c r="O287" i="3"/>
  <c r="L287" i="3"/>
  <c r="K287" i="3"/>
  <c r="D287" i="3"/>
  <c r="Q286" i="3"/>
  <c r="S286" i="3" s="1"/>
  <c r="P286" i="3"/>
  <c r="O286" i="3"/>
  <c r="M286" i="3"/>
  <c r="R286" i="3" s="1"/>
  <c r="L286" i="3"/>
  <c r="K286" i="3"/>
  <c r="D286" i="3"/>
  <c r="Q285" i="3"/>
  <c r="P285" i="3"/>
  <c r="O285" i="3"/>
  <c r="L285" i="3"/>
  <c r="T284" i="3"/>
  <c r="Q284" i="3"/>
  <c r="P284" i="3"/>
  <c r="O284" i="3"/>
  <c r="M284" i="3"/>
  <c r="L284" i="3"/>
  <c r="R284" i="3" s="1"/>
  <c r="S284" i="3" s="1"/>
  <c r="R283" i="3"/>
  <c r="S283" i="3" s="1"/>
  <c r="T283" i="3" s="1"/>
  <c r="Q283" i="3"/>
  <c r="P283" i="3"/>
  <c r="O283" i="3"/>
  <c r="M283" i="3"/>
  <c r="L283" i="3"/>
  <c r="Q282" i="3"/>
  <c r="P282" i="3"/>
  <c r="O282" i="3"/>
  <c r="S281" i="3"/>
  <c r="T281" i="3" s="1"/>
  <c r="Q281" i="3"/>
  <c r="P281" i="3"/>
  <c r="O281" i="3"/>
  <c r="M281" i="3"/>
  <c r="R281" i="3" s="1"/>
  <c r="Q280" i="3"/>
  <c r="M280" i="3" s="1"/>
  <c r="R280" i="3" s="1"/>
  <c r="P280" i="3"/>
  <c r="O280" i="3"/>
  <c r="Q279" i="3"/>
  <c r="S279" i="3" s="1"/>
  <c r="P279" i="3"/>
  <c r="O279" i="3"/>
  <c r="M279" i="3"/>
  <c r="R279" i="3" s="1"/>
  <c r="L279" i="3"/>
  <c r="K279" i="3"/>
  <c r="D279" i="3"/>
  <c r="O278" i="3"/>
  <c r="L278" i="3"/>
  <c r="K278" i="3"/>
  <c r="D278" i="3"/>
  <c r="O277" i="3"/>
  <c r="L277" i="3"/>
  <c r="K277" i="3"/>
  <c r="D277" i="3"/>
  <c r="O276" i="3"/>
  <c r="L276" i="3"/>
  <c r="K276" i="3"/>
  <c r="D276" i="3"/>
  <c r="O275" i="3"/>
  <c r="L275" i="3"/>
  <c r="K275" i="3"/>
  <c r="D275" i="3"/>
  <c r="Q274" i="3"/>
  <c r="O274" i="3"/>
  <c r="L274" i="3"/>
  <c r="K274" i="3"/>
  <c r="D274" i="3"/>
  <c r="P274" i="3" s="1"/>
  <c r="Q273" i="3"/>
  <c r="P273" i="3"/>
  <c r="O273" i="3"/>
  <c r="L273" i="3"/>
  <c r="K273" i="3"/>
  <c r="D273" i="3"/>
  <c r="Q272" i="3"/>
  <c r="M272" i="3" s="1"/>
  <c r="P272" i="3"/>
  <c r="O272" i="3"/>
  <c r="L272" i="3"/>
  <c r="R272" i="3" s="1"/>
  <c r="K272" i="3"/>
  <c r="D272" i="3"/>
  <c r="Q271" i="3"/>
  <c r="S271" i="3" s="1"/>
  <c r="T271" i="3" s="1"/>
  <c r="P271" i="3"/>
  <c r="O271" i="3"/>
  <c r="M271" i="3"/>
  <c r="L271" i="3"/>
  <c r="K271" i="3"/>
  <c r="D271" i="3"/>
  <c r="O270" i="3"/>
  <c r="L270" i="3"/>
  <c r="K270" i="3"/>
  <c r="D270" i="3"/>
  <c r="O269" i="3"/>
  <c r="L269" i="3"/>
  <c r="K269" i="3"/>
  <c r="D269" i="3"/>
  <c r="O268" i="3"/>
  <c r="L268" i="3"/>
  <c r="K268" i="3"/>
  <c r="D268" i="3"/>
  <c r="S267" i="3"/>
  <c r="T267" i="3" s="1"/>
  <c r="R267" i="3"/>
  <c r="Q267" i="3"/>
  <c r="M267" i="3" s="1"/>
  <c r="O267" i="3"/>
  <c r="L267" i="3"/>
  <c r="K267" i="3"/>
  <c r="D267" i="3"/>
  <c r="P267" i="3" s="1"/>
  <c r="O266" i="3"/>
  <c r="L266" i="3"/>
  <c r="K266" i="3"/>
  <c r="D266" i="3"/>
  <c r="P266" i="3" s="1"/>
  <c r="Q265" i="3"/>
  <c r="P265" i="3"/>
  <c r="O265" i="3"/>
  <c r="L265" i="3"/>
  <c r="K265" i="3"/>
  <c r="D265" i="3"/>
  <c r="Q264" i="3"/>
  <c r="P264" i="3"/>
  <c r="O264" i="3"/>
  <c r="L264" i="3"/>
  <c r="K264" i="3"/>
  <c r="D264" i="3"/>
  <c r="Q263" i="3"/>
  <c r="O263" i="3"/>
  <c r="L263" i="3"/>
  <c r="K263" i="3"/>
  <c r="D263" i="3"/>
  <c r="P263" i="3" s="1"/>
  <c r="O262" i="3"/>
  <c r="L262" i="3"/>
  <c r="K262" i="3"/>
  <c r="D262" i="3"/>
  <c r="O261" i="3"/>
  <c r="L261" i="3"/>
  <c r="K261" i="3"/>
  <c r="D261" i="3"/>
  <c r="O260" i="3"/>
  <c r="L260" i="3"/>
  <c r="K260" i="3"/>
  <c r="D260" i="3"/>
  <c r="O259" i="3"/>
  <c r="L259" i="3"/>
  <c r="K259" i="3"/>
  <c r="D259" i="3"/>
  <c r="U258" i="3"/>
  <c r="Q258" i="3"/>
  <c r="O258" i="3"/>
  <c r="L258" i="3"/>
  <c r="K258" i="3"/>
  <c r="D258" i="3"/>
  <c r="P258" i="3" s="1"/>
  <c r="U257" i="3"/>
  <c r="O257" i="3"/>
  <c r="L257" i="3"/>
  <c r="K257" i="3"/>
  <c r="D257" i="3"/>
  <c r="U256" i="3"/>
  <c r="S256" i="3"/>
  <c r="T256" i="3" s="1"/>
  <c r="Q256" i="3"/>
  <c r="M256" i="3" s="1"/>
  <c r="R256" i="3" s="1"/>
  <c r="O256" i="3"/>
  <c r="L256" i="3"/>
  <c r="K256" i="3"/>
  <c r="D256" i="3"/>
  <c r="P256" i="3" s="1"/>
  <c r="U255" i="3"/>
  <c r="O255" i="3"/>
  <c r="L255" i="3"/>
  <c r="K255" i="3"/>
  <c r="D255" i="3"/>
  <c r="U254" i="3"/>
  <c r="T254" i="3"/>
  <c r="S254" i="3"/>
  <c r="R254" i="3"/>
  <c r="Q254" i="3"/>
  <c r="M254" i="3" s="1"/>
  <c r="O254" i="3"/>
  <c r="L254" i="3"/>
  <c r="K254" i="3"/>
  <c r="D254" i="3"/>
  <c r="P254" i="3" s="1"/>
  <c r="U253" i="3"/>
  <c r="O253" i="3"/>
  <c r="L253" i="3"/>
  <c r="K253" i="3"/>
  <c r="D253" i="3"/>
  <c r="U252" i="3"/>
  <c r="Q252" i="3"/>
  <c r="M252" i="3" s="1"/>
  <c r="R252" i="3" s="1"/>
  <c r="O252" i="3"/>
  <c r="L252" i="3"/>
  <c r="K252" i="3"/>
  <c r="D252" i="3"/>
  <c r="P252" i="3" s="1"/>
  <c r="S251" i="3"/>
  <c r="T251" i="3" s="1"/>
  <c r="Q251" i="3"/>
  <c r="M251" i="3" s="1"/>
  <c r="R251" i="3" s="1"/>
  <c r="P251" i="3"/>
  <c r="O251" i="3"/>
  <c r="L251" i="3"/>
  <c r="K251" i="3"/>
  <c r="D251" i="3"/>
  <c r="S250" i="3"/>
  <c r="R250" i="3"/>
  <c r="Q250" i="3"/>
  <c r="M250" i="3" s="1"/>
  <c r="P250" i="3"/>
  <c r="O250" i="3"/>
  <c r="L250" i="3"/>
  <c r="K250" i="3"/>
  <c r="D250" i="3"/>
  <c r="Q249" i="3"/>
  <c r="P249" i="3"/>
  <c r="O249" i="3"/>
  <c r="L249" i="3"/>
  <c r="K249" i="3"/>
  <c r="D249" i="3"/>
  <c r="R248" i="3"/>
  <c r="Q248" i="3"/>
  <c r="S248" i="3" s="1"/>
  <c r="P248" i="3"/>
  <c r="O248" i="3"/>
  <c r="M248" i="3"/>
  <c r="L248" i="3"/>
  <c r="K248" i="3"/>
  <c r="D248" i="3"/>
  <c r="Q247" i="3"/>
  <c r="S247" i="3" s="1"/>
  <c r="T247" i="3" s="1"/>
  <c r="P247" i="3"/>
  <c r="O247" i="3"/>
  <c r="M247" i="3"/>
  <c r="L247" i="3"/>
  <c r="K247" i="3"/>
  <c r="D247" i="3"/>
  <c r="O246" i="3"/>
  <c r="L246" i="3"/>
  <c r="K246" i="3"/>
  <c r="D246" i="3"/>
  <c r="O245" i="3"/>
  <c r="L245" i="3"/>
  <c r="K245" i="3"/>
  <c r="D245" i="3"/>
  <c r="O244" i="3"/>
  <c r="L244" i="3"/>
  <c r="K244" i="3"/>
  <c r="D244" i="3"/>
  <c r="T243" i="3"/>
  <c r="S243" i="3"/>
  <c r="Q243" i="3"/>
  <c r="M243" i="3" s="1"/>
  <c r="R243" i="3" s="1"/>
  <c r="O243" i="3"/>
  <c r="L243" i="3"/>
  <c r="K243" i="3"/>
  <c r="D243" i="3"/>
  <c r="P243" i="3" s="1"/>
  <c r="Q242" i="3"/>
  <c r="O242" i="3"/>
  <c r="L242" i="3"/>
  <c r="K242" i="3"/>
  <c r="D242" i="3"/>
  <c r="P242" i="3" s="1"/>
  <c r="Q241" i="3"/>
  <c r="P241" i="3"/>
  <c r="O241" i="3"/>
  <c r="L241" i="3"/>
  <c r="K241" i="3"/>
  <c r="D241" i="3"/>
  <c r="Q240" i="3"/>
  <c r="P240" i="3"/>
  <c r="O240" i="3"/>
  <c r="L240" i="3"/>
  <c r="K240" i="3"/>
  <c r="D240" i="3"/>
  <c r="S239" i="3"/>
  <c r="T239" i="3" s="1"/>
  <c r="Q239" i="3"/>
  <c r="O239" i="3"/>
  <c r="M239" i="3"/>
  <c r="R239" i="3" s="1"/>
  <c r="L239" i="3"/>
  <c r="K239" i="3"/>
  <c r="D239" i="3"/>
  <c r="P239" i="3" s="1"/>
  <c r="Q238" i="3"/>
  <c r="S238" i="3" s="1"/>
  <c r="P238" i="3"/>
  <c r="O238" i="3"/>
  <c r="M238" i="3"/>
  <c r="L238" i="3"/>
  <c r="K238" i="3"/>
  <c r="D238" i="3"/>
  <c r="P237" i="3"/>
  <c r="O237" i="3"/>
  <c r="M237" i="3"/>
  <c r="L237" i="3"/>
  <c r="K237" i="3"/>
  <c r="R237" i="3" s="1"/>
  <c r="D237" i="3"/>
  <c r="Q237" i="3" s="1"/>
  <c r="S237" i="3" s="1"/>
  <c r="T237" i="3" s="1"/>
  <c r="O236" i="3"/>
  <c r="L236" i="3"/>
  <c r="K236" i="3"/>
  <c r="D236" i="3"/>
  <c r="O235" i="3"/>
  <c r="L235" i="3"/>
  <c r="K235" i="3"/>
  <c r="D235" i="3"/>
  <c r="T234" i="3"/>
  <c r="S234" i="3"/>
  <c r="R234" i="3"/>
  <c r="Q234" i="3"/>
  <c r="M234" i="3" s="1"/>
  <c r="O234" i="3"/>
  <c r="L234" i="3"/>
  <c r="K234" i="3"/>
  <c r="D234" i="3"/>
  <c r="P234" i="3" s="1"/>
  <c r="S233" i="3"/>
  <c r="T233" i="3" s="1"/>
  <c r="Q233" i="3"/>
  <c r="M233" i="3" s="1"/>
  <c r="R233" i="3" s="1"/>
  <c r="O233" i="3"/>
  <c r="L233" i="3"/>
  <c r="K233" i="3"/>
  <c r="D233" i="3"/>
  <c r="P233" i="3" s="1"/>
  <c r="S232" i="3"/>
  <c r="Q232" i="3"/>
  <c r="M232" i="3" s="1"/>
  <c r="P232" i="3"/>
  <c r="T232" i="3" s="1"/>
  <c r="O232" i="3"/>
  <c r="L232" i="3"/>
  <c r="R232" i="3" s="1"/>
  <c r="K232" i="3"/>
  <c r="D232" i="3"/>
  <c r="Q231" i="3"/>
  <c r="P231" i="3"/>
  <c r="O231" i="3"/>
  <c r="L231" i="3"/>
  <c r="K231" i="3"/>
  <c r="D231" i="3"/>
  <c r="Q230" i="3"/>
  <c r="P230" i="3"/>
  <c r="O230" i="3"/>
  <c r="L230" i="3"/>
  <c r="K230" i="3"/>
  <c r="D230" i="3"/>
  <c r="Q229" i="3"/>
  <c r="S229" i="3" s="1"/>
  <c r="P229" i="3"/>
  <c r="O229" i="3"/>
  <c r="M229" i="3"/>
  <c r="L229" i="3"/>
  <c r="K229" i="3"/>
  <c r="D229" i="3"/>
  <c r="O228" i="3"/>
  <c r="L228" i="3"/>
  <c r="K228" i="3"/>
  <c r="D228" i="3"/>
  <c r="Q228" i="3" s="1"/>
  <c r="S228" i="3" s="1"/>
  <c r="O227" i="3"/>
  <c r="L227" i="3"/>
  <c r="K227" i="3"/>
  <c r="D227" i="3"/>
  <c r="O226" i="3"/>
  <c r="L226" i="3"/>
  <c r="K226" i="3"/>
  <c r="D226" i="3"/>
  <c r="O225" i="3"/>
  <c r="L225" i="3"/>
  <c r="K225" i="3"/>
  <c r="D225" i="3"/>
  <c r="O224" i="3"/>
  <c r="L224" i="3"/>
  <c r="K224" i="3"/>
  <c r="D224" i="3"/>
  <c r="S223" i="3"/>
  <c r="T223" i="3" s="1"/>
  <c r="Q223" i="3"/>
  <c r="M223" i="3" s="1"/>
  <c r="P223" i="3"/>
  <c r="O223" i="3"/>
  <c r="L223" i="3"/>
  <c r="R223" i="3" s="1"/>
  <c r="K223" i="3"/>
  <c r="D223" i="3"/>
  <c r="Q222" i="3"/>
  <c r="P222" i="3"/>
  <c r="O222" i="3"/>
  <c r="L222" i="3"/>
  <c r="K222" i="3"/>
  <c r="D222" i="3"/>
  <c r="Q221" i="3"/>
  <c r="M221" i="3" s="1"/>
  <c r="P221" i="3"/>
  <c r="O221" i="3"/>
  <c r="L221" i="3"/>
  <c r="K221" i="3"/>
  <c r="D221" i="3"/>
  <c r="Q220" i="3"/>
  <c r="S220" i="3" s="1"/>
  <c r="P220" i="3"/>
  <c r="O220" i="3"/>
  <c r="M220" i="3"/>
  <c r="R220" i="3" s="1"/>
  <c r="L220" i="3"/>
  <c r="K220" i="3"/>
  <c r="D220" i="3"/>
  <c r="O219" i="3"/>
  <c r="L219" i="3"/>
  <c r="K219" i="3"/>
  <c r="D219" i="3"/>
  <c r="S218" i="3"/>
  <c r="T218" i="3" s="1"/>
  <c r="Q218" i="3"/>
  <c r="P218" i="3"/>
  <c r="O218" i="3"/>
  <c r="M218" i="3"/>
  <c r="L218" i="3"/>
  <c r="K218" i="3"/>
  <c r="R218" i="3" s="1"/>
  <c r="D218" i="3"/>
  <c r="O217" i="3"/>
  <c r="L217" i="3"/>
  <c r="K217" i="3"/>
  <c r="D217" i="3"/>
  <c r="O216" i="3"/>
  <c r="L216" i="3"/>
  <c r="K216" i="3"/>
  <c r="D216" i="3"/>
  <c r="O215" i="3"/>
  <c r="L215" i="3"/>
  <c r="K215" i="3"/>
  <c r="D215" i="3"/>
  <c r="Q214" i="3"/>
  <c r="S214" i="3" s="1"/>
  <c r="T214" i="3" s="1"/>
  <c r="P214" i="3"/>
  <c r="O214" i="3"/>
  <c r="M214" i="3"/>
  <c r="R214" i="3" s="1"/>
  <c r="L214" i="3"/>
  <c r="K214" i="3"/>
  <c r="D214" i="3"/>
  <c r="S213" i="3"/>
  <c r="T213" i="3" s="1"/>
  <c r="R213" i="3"/>
  <c r="P213" i="3"/>
  <c r="O213" i="3"/>
  <c r="M213" i="3"/>
  <c r="L213" i="3"/>
  <c r="K213" i="3"/>
  <c r="D213" i="3"/>
  <c r="Q213" i="3" s="1"/>
  <c r="Q212" i="3"/>
  <c r="P212" i="3"/>
  <c r="O212" i="3"/>
  <c r="L212" i="3"/>
  <c r="K212" i="3"/>
  <c r="D212" i="3"/>
  <c r="Q211" i="3"/>
  <c r="P211" i="3"/>
  <c r="O211" i="3"/>
  <c r="M211" i="3"/>
  <c r="L211" i="3"/>
  <c r="K211" i="3"/>
  <c r="D211" i="3"/>
  <c r="O210" i="3"/>
  <c r="L210" i="3"/>
  <c r="K210" i="3"/>
  <c r="D210" i="3"/>
  <c r="Q210" i="3" s="1"/>
  <c r="O209" i="3"/>
  <c r="L209" i="3"/>
  <c r="K209" i="3"/>
  <c r="D209" i="3"/>
  <c r="O208" i="3"/>
  <c r="L208" i="3"/>
  <c r="K208" i="3"/>
  <c r="D208" i="3"/>
  <c r="S207" i="3"/>
  <c r="T207" i="3" s="1"/>
  <c r="Q207" i="3"/>
  <c r="M207" i="3" s="1"/>
  <c r="P207" i="3"/>
  <c r="O207" i="3"/>
  <c r="L207" i="3"/>
  <c r="K207" i="3"/>
  <c r="R207" i="3" s="1"/>
  <c r="D207" i="3"/>
  <c r="O206" i="3"/>
  <c r="K206" i="3"/>
  <c r="D206" i="3"/>
  <c r="Q205" i="3"/>
  <c r="P205" i="3"/>
  <c r="O205" i="3"/>
  <c r="L205" i="3"/>
  <c r="K205" i="3"/>
  <c r="D205" i="3"/>
  <c r="U204" i="3"/>
  <c r="Q204" i="3"/>
  <c r="P204" i="3"/>
  <c r="O204" i="3"/>
  <c r="L204" i="3"/>
  <c r="D204" i="3"/>
  <c r="Q203" i="3"/>
  <c r="P203" i="3"/>
  <c r="O203" i="3"/>
  <c r="U203" i="3" s="1"/>
  <c r="L203" i="3"/>
  <c r="K203" i="3"/>
  <c r="D203" i="3"/>
  <c r="Q202" i="3"/>
  <c r="S202" i="3" s="1"/>
  <c r="T202" i="3" s="1"/>
  <c r="P202" i="3"/>
  <c r="O202" i="3"/>
  <c r="U202" i="3" s="1"/>
  <c r="L202" i="3"/>
  <c r="K202" i="3"/>
  <c r="D202" i="3"/>
  <c r="O201" i="3"/>
  <c r="U201" i="3" s="1"/>
  <c r="L201" i="3"/>
  <c r="K201" i="3"/>
  <c r="D201" i="3"/>
  <c r="P201" i="3" s="1"/>
  <c r="Q200" i="3"/>
  <c r="S200" i="3" s="1"/>
  <c r="P200" i="3"/>
  <c r="O200" i="3"/>
  <c r="U200" i="3" s="1"/>
  <c r="M200" i="3"/>
  <c r="L200" i="3"/>
  <c r="K200" i="3"/>
  <c r="D200" i="3"/>
  <c r="Q199" i="3"/>
  <c r="P199" i="3"/>
  <c r="O199" i="3"/>
  <c r="U199" i="3" s="1"/>
  <c r="L199" i="3"/>
  <c r="K199" i="3"/>
  <c r="D199" i="3"/>
  <c r="O198" i="3"/>
  <c r="L198" i="3"/>
  <c r="K198" i="3"/>
  <c r="D198" i="3"/>
  <c r="O197" i="3"/>
  <c r="L197" i="3"/>
  <c r="K197" i="3"/>
  <c r="D197" i="3"/>
  <c r="Q196" i="3"/>
  <c r="O196" i="3"/>
  <c r="L196" i="3"/>
  <c r="K196" i="3"/>
  <c r="D196" i="3"/>
  <c r="P196" i="3" s="1"/>
  <c r="O195" i="3"/>
  <c r="L195" i="3"/>
  <c r="K195" i="3"/>
  <c r="D195" i="3"/>
  <c r="Q194" i="3"/>
  <c r="O194" i="3"/>
  <c r="L194" i="3"/>
  <c r="K194" i="3"/>
  <c r="D194" i="3"/>
  <c r="P194" i="3" s="1"/>
  <c r="Q193" i="3"/>
  <c r="O193" i="3"/>
  <c r="L193" i="3"/>
  <c r="K193" i="3"/>
  <c r="D193" i="3"/>
  <c r="P193" i="3" s="1"/>
  <c r="Q192" i="3"/>
  <c r="M192" i="3" s="1"/>
  <c r="P192" i="3"/>
  <c r="O192" i="3"/>
  <c r="L192" i="3"/>
  <c r="R192" i="3" s="1"/>
  <c r="K192" i="3"/>
  <c r="D192" i="3"/>
  <c r="S191" i="3"/>
  <c r="T191" i="3" s="1"/>
  <c r="R191" i="3"/>
  <c r="Q191" i="3"/>
  <c r="M191" i="3" s="1"/>
  <c r="P191" i="3"/>
  <c r="O191" i="3"/>
  <c r="L191" i="3"/>
  <c r="K191" i="3"/>
  <c r="D191" i="3"/>
  <c r="Q190" i="3"/>
  <c r="M190" i="3" s="1"/>
  <c r="R190" i="3" s="1"/>
  <c r="P190" i="3"/>
  <c r="O190" i="3"/>
  <c r="L190" i="3"/>
  <c r="K190" i="3"/>
  <c r="D190" i="3"/>
  <c r="Q189" i="3"/>
  <c r="S189" i="3" s="1"/>
  <c r="T189" i="3" s="1"/>
  <c r="P189" i="3"/>
  <c r="O189" i="3"/>
  <c r="M189" i="3"/>
  <c r="L189" i="3"/>
  <c r="K189" i="3"/>
  <c r="R189" i="3" s="1"/>
  <c r="D189" i="3"/>
  <c r="O188" i="3"/>
  <c r="M188" i="3"/>
  <c r="L188" i="3"/>
  <c r="K188" i="3"/>
  <c r="D188" i="3"/>
  <c r="Q188" i="3" s="1"/>
  <c r="S188" i="3" s="1"/>
  <c r="O187" i="3"/>
  <c r="L187" i="3"/>
  <c r="K187" i="3"/>
  <c r="D187" i="3"/>
  <c r="O186" i="3"/>
  <c r="L186" i="3"/>
  <c r="K186" i="3"/>
  <c r="D186" i="3"/>
  <c r="Q185" i="3"/>
  <c r="O185" i="3"/>
  <c r="L185" i="3"/>
  <c r="K185" i="3"/>
  <c r="D185" i="3"/>
  <c r="P185" i="3" s="1"/>
  <c r="Q184" i="3"/>
  <c r="O184" i="3"/>
  <c r="L184" i="3"/>
  <c r="K184" i="3"/>
  <c r="D184" i="3"/>
  <c r="P184" i="3" s="1"/>
  <c r="Q183" i="3"/>
  <c r="P183" i="3"/>
  <c r="O183" i="3"/>
  <c r="L183" i="3"/>
  <c r="K183" i="3"/>
  <c r="D183" i="3"/>
  <c r="S182" i="3"/>
  <c r="Q182" i="3"/>
  <c r="M182" i="3" s="1"/>
  <c r="R182" i="3" s="1"/>
  <c r="P182" i="3"/>
  <c r="O182" i="3"/>
  <c r="L182" i="3"/>
  <c r="K182" i="3"/>
  <c r="D182" i="3"/>
  <c r="S181" i="3"/>
  <c r="T181" i="3" s="1"/>
  <c r="R181" i="3"/>
  <c r="Q181" i="3"/>
  <c r="M181" i="3" s="1"/>
  <c r="P181" i="3"/>
  <c r="O181" i="3"/>
  <c r="L181" i="3"/>
  <c r="K181" i="3"/>
  <c r="D181" i="3"/>
  <c r="Q180" i="3"/>
  <c r="S180" i="3" s="1"/>
  <c r="P180" i="3"/>
  <c r="O180" i="3"/>
  <c r="M180" i="3"/>
  <c r="L180" i="3"/>
  <c r="R180" i="3" s="1"/>
  <c r="K180" i="3"/>
  <c r="D180" i="3"/>
  <c r="O179" i="3"/>
  <c r="L179" i="3"/>
  <c r="K179" i="3"/>
  <c r="D179" i="3"/>
  <c r="O178" i="3"/>
  <c r="N178" i="3"/>
  <c r="L178" i="3"/>
  <c r="K178" i="3"/>
  <c r="D178" i="3"/>
  <c r="O177" i="3"/>
  <c r="N177" i="3"/>
  <c r="L177" i="3"/>
  <c r="K177" i="3"/>
  <c r="D177" i="3"/>
  <c r="O176" i="3"/>
  <c r="N176" i="3"/>
  <c r="L176" i="3"/>
  <c r="K176" i="3"/>
  <c r="D176" i="3"/>
  <c r="O175" i="3"/>
  <c r="N175" i="3"/>
  <c r="L175" i="3"/>
  <c r="K175" i="3"/>
  <c r="D175" i="3"/>
  <c r="O174" i="3"/>
  <c r="N174" i="3"/>
  <c r="L174" i="3"/>
  <c r="K174" i="3"/>
  <c r="D174" i="3"/>
  <c r="O173" i="3"/>
  <c r="N173" i="3"/>
  <c r="L173" i="3"/>
  <c r="K173" i="3"/>
  <c r="D173" i="3"/>
  <c r="O172" i="3"/>
  <c r="N172" i="3"/>
  <c r="L172" i="3"/>
  <c r="K172" i="3"/>
  <c r="D172" i="3"/>
  <c r="O171" i="3"/>
  <c r="L171" i="3"/>
  <c r="K171" i="3"/>
  <c r="D171" i="3"/>
  <c r="S170" i="3"/>
  <c r="T170" i="3" s="1"/>
  <c r="Q170" i="3"/>
  <c r="M170" i="3" s="1"/>
  <c r="P170" i="3"/>
  <c r="O170" i="3"/>
  <c r="L170" i="3"/>
  <c r="K170" i="3"/>
  <c r="D170" i="3"/>
  <c r="S169" i="3"/>
  <c r="T169" i="3" s="1"/>
  <c r="R169" i="3"/>
  <c r="Q169" i="3"/>
  <c r="M169" i="3" s="1"/>
  <c r="P169" i="3"/>
  <c r="O169" i="3"/>
  <c r="L169" i="3"/>
  <c r="K169" i="3"/>
  <c r="D169" i="3"/>
  <c r="Q168" i="3"/>
  <c r="S168" i="3" s="1"/>
  <c r="T168" i="3" s="1"/>
  <c r="O168" i="3"/>
  <c r="M168" i="3"/>
  <c r="L168" i="3"/>
  <c r="K168" i="3"/>
  <c r="R168" i="3" s="1"/>
  <c r="D168" i="3"/>
  <c r="P168" i="3" s="1"/>
  <c r="T167" i="3"/>
  <c r="Q167" i="3"/>
  <c r="S167" i="3" s="1"/>
  <c r="P167" i="3"/>
  <c r="O167" i="3"/>
  <c r="M167" i="3"/>
  <c r="L167" i="3"/>
  <c r="K167" i="3"/>
  <c r="D167" i="3"/>
  <c r="O166" i="3"/>
  <c r="L166" i="3"/>
  <c r="K166" i="3"/>
  <c r="D166" i="3"/>
  <c r="S165" i="3"/>
  <c r="T165" i="3" s="1"/>
  <c r="Q165" i="3"/>
  <c r="M165" i="3" s="1"/>
  <c r="O165" i="3"/>
  <c r="L165" i="3"/>
  <c r="K165" i="3"/>
  <c r="R165" i="3" s="1"/>
  <c r="D165" i="3"/>
  <c r="P165" i="3" s="1"/>
  <c r="O164" i="3"/>
  <c r="L164" i="3"/>
  <c r="K164" i="3"/>
  <c r="D164" i="3"/>
  <c r="O163" i="3"/>
  <c r="L163" i="3"/>
  <c r="K163" i="3"/>
  <c r="D163" i="3"/>
  <c r="P163" i="3" s="1"/>
  <c r="T162" i="3"/>
  <c r="S162" i="3"/>
  <c r="R162" i="3"/>
  <c r="Q162" i="3"/>
  <c r="M162" i="3" s="1"/>
  <c r="O162" i="3"/>
  <c r="L162" i="3"/>
  <c r="K162" i="3"/>
  <c r="D162" i="3"/>
  <c r="P162" i="3" s="1"/>
  <c r="Q161" i="3"/>
  <c r="S161" i="3" s="1"/>
  <c r="T161" i="3" s="1"/>
  <c r="P161" i="3"/>
  <c r="O161" i="3"/>
  <c r="M161" i="3"/>
  <c r="L161" i="3"/>
  <c r="K161" i="3"/>
  <c r="R161" i="3" s="1"/>
  <c r="D161" i="3"/>
  <c r="Q160" i="3"/>
  <c r="S160" i="3" s="1"/>
  <c r="P160" i="3"/>
  <c r="O160" i="3"/>
  <c r="M160" i="3"/>
  <c r="R160" i="3" s="1"/>
  <c r="L160" i="3"/>
  <c r="K160" i="3"/>
  <c r="D160" i="3"/>
  <c r="P159" i="3"/>
  <c r="O159" i="3"/>
  <c r="M159" i="3"/>
  <c r="L159" i="3"/>
  <c r="K159" i="3"/>
  <c r="D159" i="3"/>
  <c r="Q159" i="3" s="1"/>
  <c r="S159" i="3" s="1"/>
  <c r="O158" i="3"/>
  <c r="L158" i="3"/>
  <c r="K158" i="3"/>
  <c r="D158" i="3"/>
  <c r="O157" i="3"/>
  <c r="L157" i="3"/>
  <c r="K157" i="3"/>
  <c r="D157" i="3"/>
  <c r="O156" i="3"/>
  <c r="L156" i="3"/>
  <c r="K156" i="3"/>
  <c r="D156" i="3"/>
  <c r="Q156" i="3" s="1"/>
  <c r="M156" i="3" s="1"/>
  <c r="O155" i="3"/>
  <c r="L155" i="3"/>
  <c r="K155" i="3"/>
  <c r="D155" i="3"/>
  <c r="S154" i="3"/>
  <c r="T154" i="3" s="1"/>
  <c r="Q154" i="3"/>
  <c r="M154" i="3" s="1"/>
  <c r="R154" i="3" s="1"/>
  <c r="P154" i="3"/>
  <c r="O154" i="3"/>
  <c r="L154" i="3"/>
  <c r="K154" i="3"/>
  <c r="D154" i="3"/>
  <c r="Q153" i="3"/>
  <c r="P153" i="3"/>
  <c r="O153" i="3"/>
  <c r="L153" i="3"/>
  <c r="K153" i="3"/>
  <c r="D153" i="3"/>
  <c r="Q152" i="3"/>
  <c r="P152" i="3"/>
  <c r="O152" i="3"/>
  <c r="L152" i="3"/>
  <c r="K152" i="3"/>
  <c r="D152" i="3"/>
  <c r="Q151" i="3"/>
  <c r="P151" i="3"/>
  <c r="O151" i="3"/>
  <c r="L151" i="3"/>
  <c r="K151" i="3"/>
  <c r="D151" i="3"/>
  <c r="Q150" i="3"/>
  <c r="S150" i="3" s="1"/>
  <c r="P150" i="3"/>
  <c r="O150" i="3"/>
  <c r="L150" i="3"/>
  <c r="K150" i="3"/>
  <c r="D150" i="3"/>
  <c r="T149" i="3"/>
  <c r="Q149" i="3"/>
  <c r="S149" i="3" s="1"/>
  <c r="P149" i="3"/>
  <c r="O149" i="3"/>
  <c r="M149" i="3"/>
  <c r="L149" i="3"/>
  <c r="K149" i="3"/>
  <c r="R149" i="3" s="1"/>
  <c r="D149" i="3"/>
  <c r="O148" i="3"/>
  <c r="L148" i="3"/>
  <c r="K148" i="3"/>
  <c r="D148" i="3"/>
  <c r="O147" i="3"/>
  <c r="L147" i="3"/>
  <c r="K147" i="3"/>
  <c r="D147" i="3"/>
  <c r="O146" i="3"/>
  <c r="L146" i="3"/>
  <c r="K146" i="3"/>
  <c r="D146" i="3"/>
  <c r="P145" i="3"/>
  <c r="O145" i="3"/>
  <c r="L145" i="3"/>
  <c r="K145" i="3"/>
  <c r="D145" i="3"/>
  <c r="Q145" i="3" s="1"/>
  <c r="O144" i="3"/>
  <c r="L144" i="3"/>
  <c r="K144" i="3"/>
  <c r="D144" i="3"/>
  <c r="S143" i="3"/>
  <c r="T143" i="3" s="1"/>
  <c r="Q143" i="3"/>
  <c r="M143" i="3" s="1"/>
  <c r="R143" i="3" s="1"/>
  <c r="P143" i="3"/>
  <c r="O143" i="3"/>
  <c r="L143" i="3"/>
  <c r="K143" i="3"/>
  <c r="D143" i="3"/>
  <c r="T142" i="3"/>
  <c r="S142" i="3"/>
  <c r="Q142" i="3"/>
  <c r="M142" i="3" s="1"/>
  <c r="R142" i="3" s="1"/>
  <c r="P142" i="3"/>
  <c r="O142" i="3"/>
  <c r="L142" i="3"/>
  <c r="K142" i="3"/>
  <c r="D142" i="3"/>
  <c r="Q141" i="3"/>
  <c r="S141" i="3" s="1"/>
  <c r="T141" i="3" s="1"/>
  <c r="P141" i="3"/>
  <c r="O141" i="3"/>
  <c r="L141" i="3"/>
  <c r="K141" i="3"/>
  <c r="D141" i="3"/>
  <c r="Q140" i="3"/>
  <c r="S140" i="3" s="1"/>
  <c r="P140" i="3"/>
  <c r="O140" i="3"/>
  <c r="M140" i="3"/>
  <c r="R140" i="3" s="1"/>
  <c r="L140" i="3"/>
  <c r="K140" i="3"/>
  <c r="D140" i="3"/>
  <c r="R139" i="3"/>
  <c r="Q139" i="3"/>
  <c r="S139" i="3" s="1"/>
  <c r="P139" i="3"/>
  <c r="O139" i="3"/>
  <c r="M139" i="3"/>
  <c r="L139" i="3"/>
  <c r="K139" i="3"/>
  <c r="D139" i="3"/>
  <c r="Q138" i="3"/>
  <c r="S138" i="3" s="1"/>
  <c r="P138" i="3"/>
  <c r="T138" i="3" s="1"/>
  <c r="O138" i="3"/>
  <c r="M138" i="3"/>
  <c r="L138" i="3"/>
  <c r="K138" i="3"/>
  <c r="R138" i="3" s="1"/>
  <c r="D138" i="3"/>
  <c r="P137" i="3"/>
  <c r="O137" i="3"/>
  <c r="M137" i="3"/>
  <c r="L137" i="3"/>
  <c r="K137" i="3"/>
  <c r="D137" i="3"/>
  <c r="Q137" i="3" s="1"/>
  <c r="S137" i="3" s="1"/>
  <c r="O136" i="3"/>
  <c r="L136" i="3"/>
  <c r="K136" i="3"/>
  <c r="D136" i="3"/>
  <c r="O135" i="3"/>
  <c r="L135" i="3"/>
  <c r="K135" i="3"/>
  <c r="D135" i="3"/>
  <c r="O134" i="3"/>
  <c r="L134" i="3"/>
  <c r="K134" i="3"/>
  <c r="D134" i="3"/>
  <c r="O133" i="3"/>
  <c r="L133" i="3"/>
  <c r="K133" i="3"/>
  <c r="D133" i="3"/>
  <c r="S132" i="3"/>
  <c r="T132" i="3" s="1"/>
  <c r="Q132" i="3"/>
  <c r="M132" i="3" s="1"/>
  <c r="R132" i="3" s="1"/>
  <c r="P132" i="3"/>
  <c r="O132" i="3"/>
  <c r="L132" i="3"/>
  <c r="K132" i="3"/>
  <c r="D132" i="3"/>
  <c r="S131" i="3"/>
  <c r="R131" i="3"/>
  <c r="Q131" i="3"/>
  <c r="M131" i="3" s="1"/>
  <c r="P131" i="3"/>
  <c r="O131" i="3"/>
  <c r="L131" i="3"/>
  <c r="K131" i="3"/>
  <c r="D131" i="3"/>
  <c r="T130" i="3"/>
  <c r="S130" i="3"/>
  <c r="Q130" i="3"/>
  <c r="P130" i="3"/>
  <c r="O130" i="3"/>
  <c r="M130" i="3"/>
  <c r="L130" i="3"/>
  <c r="K130" i="3"/>
  <c r="D130" i="3"/>
  <c r="Q129" i="3"/>
  <c r="S129" i="3" s="1"/>
  <c r="P129" i="3"/>
  <c r="O129" i="3"/>
  <c r="M129" i="3"/>
  <c r="R129" i="3" s="1"/>
  <c r="L129" i="3"/>
  <c r="K129" i="3"/>
  <c r="D129" i="3"/>
  <c r="Q128" i="3"/>
  <c r="S128" i="3" s="1"/>
  <c r="T128" i="3" s="1"/>
  <c r="P128" i="3"/>
  <c r="O128" i="3"/>
  <c r="M128" i="3"/>
  <c r="R128" i="3" s="1"/>
  <c r="L128" i="3"/>
  <c r="K128" i="3"/>
  <c r="D128" i="3"/>
  <c r="Q127" i="3"/>
  <c r="S127" i="3" s="1"/>
  <c r="T127" i="3" s="1"/>
  <c r="P127" i="3"/>
  <c r="O127" i="3"/>
  <c r="M127" i="3"/>
  <c r="L127" i="3"/>
  <c r="K127" i="3"/>
  <c r="D127" i="3"/>
  <c r="O126" i="3"/>
  <c r="L126" i="3"/>
  <c r="K126" i="3"/>
  <c r="D126" i="3"/>
  <c r="O125" i="3"/>
  <c r="L125" i="3"/>
  <c r="K125" i="3"/>
  <c r="D125" i="3"/>
  <c r="O124" i="3"/>
  <c r="L124" i="3"/>
  <c r="K124" i="3"/>
  <c r="D124" i="3"/>
  <c r="P123" i="3"/>
  <c r="O123" i="3"/>
  <c r="L123" i="3"/>
  <c r="K123" i="3"/>
  <c r="R123" i="3" s="1"/>
  <c r="D123" i="3"/>
  <c r="Q123" i="3" s="1"/>
  <c r="M123" i="3" s="1"/>
  <c r="O122" i="3"/>
  <c r="L122" i="3"/>
  <c r="K122" i="3"/>
  <c r="D122" i="3"/>
  <c r="Q121" i="3"/>
  <c r="P121" i="3"/>
  <c r="O121" i="3"/>
  <c r="L121" i="3"/>
  <c r="K121" i="3"/>
  <c r="D121" i="3"/>
  <c r="S120" i="3"/>
  <c r="T120" i="3" s="1"/>
  <c r="Q120" i="3"/>
  <c r="M120" i="3" s="1"/>
  <c r="R120" i="3" s="1"/>
  <c r="P120" i="3"/>
  <c r="O120" i="3"/>
  <c r="L120" i="3"/>
  <c r="K120" i="3"/>
  <c r="D120" i="3"/>
  <c r="S119" i="3"/>
  <c r="T119" i="3" s="1"/>
  <c r="Q119" i="3"/>
  <c r="M119" i="3" s="1"/>
  <c r="P119" i="3"/>
  <c r="O119" i="3"/>
  <c r="N119" i="3"/>
  <c r="L119" i="3"/>
  <c r="K119" i="3"/>
  <c r="D119" i="3"/>
  <c r="Q118" i="3"/>
  <c r="M118" i="3" s="1"/>
  <c r="R118" i="3" s="1"/>
  <c r="P118" i="3"/>
  <c r="O118" i="3"/>
  <c r="N118" i="3"/>
  <c r="L118" i="3"/>
  <c r="K118" i="3"/>
  <c r="D118" i="3"/>
  <c r="Q117" i="3"/>
  <c r="M117" i="3" s="1"/>
  <c r="P117" i="3"/>
  <c r="O117" i="3"/>
  <c r="N117" i="3"/>
  <c r="R117" i="3" s="1"/>
  <c r="L117" i="3"/>
  <c r="K117" i="3"/>
  <c r="D117" i="3"/>
  <c r="R116" i="3"/>
  <c r="S116" i="3" s="1"/>
  <c r="T116" i="3" s="1"/>
  <c r="Q116" i="3"/>
  <c r="M116" i="3" s="1"/>
  <c r="P116" i="3"/>
  <c r="O116" i="3"/>
  <c r="N116" i="3"/>
  <c r="L116" i="3"/>
  <c r="K116" i="3"/>
  <c r="D116" i="3"/>
  <c r="Q115" i="3"/>
  <c r="P115" i="3"/>
  <c r="O115" i="3"/>
  <c r="N115" i="3"/>
  <c r="L115" i="3"/>
  <c r="K115" i="3"/>
  <c r="D115" i="3"/>
  <c r="Q114" i="3"/>
  <c r="P114" i="3"/>
  <c r="O114" i="3"/>
  <c r="N114" i="3"/>
  <c r="L114" i="3"/>
  <c r="K114" i="3"/>
  <c r="D114" i="3"/>
  <c r="Q113" i="3"/>
  <c r="P113" i="3"/>
  <c r="O113" i="3"/>
  <c r="N113" i="3"/>
  <c r="L113" i="3"/>
  <c r="K113" i="3"/>
  <c r="D113" i="3"/>
  <c r="S112" i="3"/>
  <c r="T112" i="3" s="1"/>
  <c r="R112" i="3"/>
  <c r="Q112" i="3"/>
  <c r="M112" i="3" s="1"/>
  <c r="P112" i="3"/>
  <c r="O112" i="3"/>
  <c r="N112" i="3"/>
  <c r="L112" i="3"/>
  <c r="K112" i="3"/>
  <c r="D112" i="3"/>
  <c r="Q111" i="3"/>
  <c r="M111" i="3" s="1"/>
  <c r="P111" i="3"/>
  <c r="O111" i="3"/>
  <c r="N111" i="3"/>
  <c r="R111" i="3" s="1"/>
  <c r="L111" i="3"/>
  <c r="K111" i="3"/>
  <c r="D111" i="3"/>
  <c r="Q110" i="3"/>
  <c r="M110" i="3" s="1"/>
  <c r="R110" i="3" s="1"/>
  <c r="P110" i="3"/>
  <c r="O110" i="3"/>
  <c r="N110" i="3"/>
  <c r="L110" i="3"/>
  <c r="K110" i="3"/>
  <c r="D110" i="3"/>
  <c r="Q109" i="3"/>
  <c r="M109" i="3" s="1"/>
  <c r="P109" i="3"/>
  <c r="O109" i="3"/>
  <c r="N109" i="3"/>
  <c r="R109" i="3" s="1"/>
  <c r="S109" i="3" s="1"/>
  <c r="T109" i="3" s="1"/>
  <c r="L109" i="3"/>
  <c r="K109" i="3"/>
  <c r="D109" i="3"/>
  <c r="Q108" i="3"/>
  <c r="P108" i="3"/>
  <c r="O108" i="3"/>
  <c r="N108" i="3"/>
  <c r="L108" i="3"/>
  <c r="K108" i="3"/>
  <c r="D108" i="3"/>
  <c r="Q107" i="3"/>
  <c r="M107" i="3" s="1"/>
  <c r="R107" i="3" s="1"/>
  <c r="S107" i="3" s="1"/>
  <c r="T107" i="3" s="1"/>
  <c r="P107" i="3"/>
  <c r="O107" i="3"/>
  <c r="N107" i="3"/>
  <c r="L107" i="3"/>
  <c r="K107" i="3"/>
  <c r="D107" i="3"/>
  <c r="R106" i="3"/>
  <c r="S106" i="3" s="1"/>
  <c r="T106" i="3" s="1"/>
  <c r="Q106" i="3"/>
  <c r="M106" i="3" s="1"/>
  <c r="P106" i="3"/>
  <c r="O106" i="3"/>
  <c r="N106" i="3"/>
  <c r="L106" i="3"/>
  <c r="K106" i="3"/>
  <c r="D106" i="3"/>
  <c r="U105" i="3"/>
  <c r="Q105" i="3"/>
  <c r="P105" i="3"/>
  <c r="O105" i="3"/>
  <c r="L105" i="3"/>
  <c r="K105" i="3"/>
  <c r="D105" i="3"/>
  <c r="Q104" i="3"/>
  <c r="P104" i="3"/>
  <c r="U104" i="3" s="1"/>
  <c r="O104" i="3"/>
  <c r="L104" i="3"/>
  <c r="K104" i="3"/>
  <c r="D104" i="3"/>
  <c r="U103" i="3"/>
  <c r="Q103" i="3"/>
  <c r="M103" i="3" s="1"/>
  <c r="P103" i="3"/>
  <c r="O103" i="3"/>
  <c r="L103" i="3"/>
  <c r="R103" i="3" s="1"/>
  <c r="K103" i="3"/>
  <c r="D103" i="3"/>
  <c r="Q102" i="3"/>
  <c r="M102" i="3" s="1"/>
  <c r="R102" i="3" s="1"/>
  <c r="S102" i="3" s="1"/>
  <c r="T102" i="3" s="1"/>
  <c r="P102" i="3"/>
  <c r="O102" i="3"/>
  <c r="L102" i="3"/>
  <c r="K102" i="3"/>
  <c r="D102" i="3"/>
  <c r="R101" i="3"/>
  <c r="S101" i="3" s="1"/>
  <c r="T101" i="3" s="1"/>
  <c r="Q101" i="3"/>
  <c r="M101" i="3" s="1"/>
  <c r="P101" i="3"/>
  <c r="O101" i="3"/>
  <c r="U101" i="3" s="1"/>
  <c r="L101" i="3"/>
  <c r="D101" i="3"/>
  <c r="Q100" i="3"/>
  <c r="P100" i="3"/>
  <c r="O100" i="3"/>
  <c r="L100" i="3"/>
  <c r="K100" i="3"/>
  <c r="D100" i="3"/>
  <c r="Q99" i="3"/>
  <c r="M99" i="3" s="1"/>
  <c r="R99" i="3" s="1"/>
  <c r="P99" i="3"/>
  <c r="O99" i="3"/>
  <c r="L99" i="3"/>
  <c r="K99" i="3"/>
  <c r="D99" i="3"/>
  <c r="S98" i="3"/>
  <c r="T98" i="3" s="1"/>
  <c r="R98" i="3"/>
  <c r="Q98" i="3"/>
  <c r="M98" i="3" s="1"/>
  <c r="P98" i="3"/>
  <c r="O98" i="3"/>
  <c r="U98" i="3" s="1"/>
  <c r="L98" i="3"/>
  <c r="K98" i="3"/>
  <c r="D98" i="3"/>
  <c r="Q97" i="3"/>
  <c r="P97" i="3"/>
  <c r="O97" i="3"/>
  <c r="U97" i="3" s="1"/>
  <c r="M97" i="3"/>
  <c r="L97" i="3"/>
  <c r="K97" i="3"/>
  <c r="R97" i="3" s="1"/>
  <c r="S97" i="3" s="1"/>
  <c r="T97" i="3" s="1"/>
  <c r="D97" i="3"/>
  <c r="R96" i="3"/>
  <c r="S96" i="3" s="1"/>
  <c r="T96" i="3" s="1"/>
  <c r="Q96" i="3"/>
  <c r="M96" i="3" s="1"/>
  <c r="P96" i="3"/>
  <c r="O96" i="3"/>
  <c r="U96" i="3" s="1"/>
  <c r="L96" i="3"/>
  <c r="K96" i="3"/>
  <c r="D96" i="3"/>
  <c r="R95" i="3"/>
  <c r="Q95" i="3"/>
  <c r="M95" i="3" s="1"/>
  <c r="P95" i="3"/>
  <c r="O95" i="3"/>
  <c r="L95" i="3"/>
  <c r="K95" i="3"/>
  <c r="D95" i="3"/>
  <c r="Q94" i="3"/>
  <c r="M94" i="3" s="1"/>
  <c r="R94" i="3" s="1"/>
  <c r="P94" i="3"/>
  <c r="O94" i="3"/>
  <c r="U94" i="3" s="1"/>
  <c r="L94" i="3"/>
  <c r="D94" i="3"/>
  <c r="Q93" i="3"/>
  <c r="P93" i="3"/>
  <c r="O93" i="3"/>
  <c r="L93" i="3"/>
  <c r="D93" i="3"/>
  <c r="U92" i="3"/>
  <c r="Q92" i="3"/>
  <c r="P92" i="3"/>
  <c r="O92" i="3"/>
  <c r="L92" i="3"/>
  <c r="K92" i="3"/>
  <c r="D92" i="3"/>
  <c r="Q91" i="3"/>
  <c r="P91" i="3"/>
  <c r="O91" i="3"/>
  <c r="U91" i="3" s="1"/>
  <c r="M91" i="3"/>
  <c r="L91" i="3"/>
  <c r="R91" i="3" s="1"/>
  <c r="K91" i="3"/>
  <c r="D91" i="3"/>
  <c r="U90" i="3"/>
  <c r="Q90" i="3"/>
  <c r="P90" i="3"/>
  <c r="O90" i="3"/>
  <c r="L90" i="3"/>
  <c r="K90" i="3"/>
  <c r="D90" i="3"/>
  <c r="Q89" i="3"/>
  <c r="P89" i="3"/>
  <c r="O89" i="3"/>
  <c r="U89" i="3" s="1"/>
  <c r="M89" i="3"/>
  <c r="L89" i="3"/>
  <c r="K89" i="3"/>
  <c r="D89" i="3"/>
  <c r="Q88" i="3"/>
  <c r="P88" i="3"/>
  <c r="O88" i="3"/>
  <c r="L88" i="3"/>
  <c r="K88" i="3"/>
  <c r="D88" i="3"/>
  <c r="Q87" i="3"/>
  <c r="P87" i="3"/>
  <c r="O87" i="3"/>
  <c r="U87" i="3" s="1"/>
  <c r="M87" i="3"/>
  <c r="L87" i="3"/>
  <c r="R87" i="3" s="1"/>
  <c r="K87" i="3"/>
  <c r="D87" i="3"/>
  <c r="Q86" i="3"/>
  <c r="P86" i="3"/>
  <c r="O86" i="3"/>
  <c r="M86" i="3"/>
  <c r="L86" i="3"/>
  <c r="K86" i="3"/>
  <c r="D86" i="3"/>
  <c r="Q85" i="3"/>
  <c r="M85" i="3" s="1"/>
  <c r="P85" i="3"/>
  <c r="O85" i="3"/>
  <c r="U85" i="3" s="1"/>
  <c r="L85" i="3"/>
  <c r="K85" i="3"/>
  <c r="D85" i="3"/>
  <c r="Q84" i="3"/>
  <c r="P84" i="3"/>
  <c r="O84" i="3"/>
  <c r="U84" i="3" s="1"/>
  <c r="L84" i="3"/>
  <c r="K84" i="3"/>
  <c r="D84" i="3"/>
  <c r="Q83" i="3"/>
  <c r="P83" i="3"/>
  <c r="O83" i="3"/>
  <c r="U83" i="3" s="1"/>
  <c r="L83" i="3"/>
  <c r="K83" i="3"/>
  <c r="D83" i="3"/>
  <c r="Q82" i="3"/>
  <c r="P82" i="3"/>
  <c r="O82" i="3"/>
  <c r="L82" i="3"/>
  <c r="K82" i="3"/>
  <c r="D82" i="3"/>
  <c r="Q81" i="3"/>
  <c r="P81" i="3"/>
  <c r="O81" i="3"/>
  <c r="L81" i="3"/>
  <c r="K81" i="3"/>
  <c r="D81" i="3"/>
  <c r="Q80" i="3"/>
  <c r="M80" i="3" s="1"/>
  <c r="P80" i="3"/>
  <c r="O80" i="3"/>
  <c r="U80" i="3" s="1"/>
  <c r="L80" i="3"/>
  <c r="K80" i="3"/>
  <c r="D80" i="3"/>
  <c r="Q79" i="3"/>
  <c r="P79" i="3"/>
  <c r="O79" i="3"/>
  <c r="M79" i="3"/>
  <c r="L79" i="3"/>
  <c r="K79" i="3"/>
  <c r="R79" i="3" s="1"/>
  <c r="D79" i="3"/>
  <c r="Q78" i="3"/>
  <c r="P78" i="3"/>
  <c r="O78" i="3"/>
  <c r="M78" i="3"/>
  <c r="L78" i="3"/>
  <c r="K78" i="3"/>
  <c r="D78" i="3"/>
  <c r="O77" i="3"/>
  <c r="L77" i="3"/>
  <c r="K77" i="3"/>
  <c r="D77" i="3"/>
  <c r="O76" i="3"/>
  <c r="L76" i="3"/>
  <c r="K76" i="3"/>
  <c r="D76" i="3"/>
  <c r="O75" i="3"/>
  <c r="L75" i="3"/>
  <c r="K75" i="3"/>
  <c r="D75" i="3"/>
  <c r="S74" i="3"/>
  <c r="T74" i="3" s="1"/>
  <c r="R74" i="3"/>
  <c r="P74" i="3"/>
  <c r="O74" i="3"/>
  <c r="L74" i="3"/>
  <c r="K74" i="3"/>
  <c r="D74" i="3"/>
  <c r="Q74" i="3" s="1"/>
  <c r="M74" i="3" s="1"/>
  <c r="O73" i="3"/>
  <c r="L73" i="3"/>
  <c r="K73" i="3"/>
  <c r="D73" i="3"/>
  <c r="Q72" i="3"/>
  <c r="P72" i="3"/>
  <c r="O72" i="3"/>
  <c r="M72" i="3"/>
  <c r="R72" i="3" s="1"/>
  <c r="S72" i="3" s="1"/>
  <c r="T72" i="3" s="1"/>
  <c r="L72" i="3"/>
  <c r="K72" i="3"/>
  <c r="D72" i="3"/>
  <c r="V71" i="3"/>
  <c r="O71" i="3"/>
  <c r="L71" i="3"/>
  <c r="K71" i="3"/>
  <c r="D71" i="3"/>
  <c r="P71" i="3" s="1"/>
  <c r="Q70" i="3"/>
  <c r="P70" i="3"/>
  <c r="O70" i="3"/>
  <c r="L70" i="3"/>
  <c r="K70" i="3"/>
  <c r="D70" i="3"/>
  <c r="X69" i="3"/>
  <c r="R69" i="3"/>
  <c r="Q69" i="3"/>
  <c r="M69" i="3" s="1"/>
  <c r="P69" i="3"/>
  <c r="S69" i="3" s="1"/>
  <c r="T69" i="3" s="1"/>
  <c r="O69" i="3"/>
  <c r="L69" i="3"/>
  <c r="K69" i="3"/>
  <c r="D69" i="3"/>
  <c r="S68" i="3"/>
  <c r="T68" i="3" s="1"/>
  <c r="Q68" i="3"/>
  <c r="P68" i="3"/>
  <c r="O68" i="3"/>
  <c r="M68" i="3"/>
  <c r="R68" i="3" s="1"/>
  <c r="L68" i="3"/>
  <c r="K68" i="3"/>
  <c r="D68" i="3"/>
  <c r="Q67" i="3"/>
  <c r="P67" i="3"/>
  <c r="O67" i="3"/>
  <c r="M67" i="3"/>
  <c r="R67" i="3" s="1"/>
  <c r="K67" i="3"/>
  <c r="D67" i="3"/>
  <c r="O66" i="3"/>
  <c r="L66" i="3"/>
  <c r="K66" i="3"/>
  <c r="D66" i="3"/>
  <c r="O65" i="3"/>
  <c r="D65" i="3"/>
  <c r="O64" i="3"/>
  <c r="L64" i="3"/>
  <c r="K64" i="3"/>
  <c r="D64" i="3"/>
  <c r="O63" i="3"/>
  <c r="L63" i="3"/>
  <c r="K63" i="3"/>
  <c r="D63" i="3"/>
  <c r="O62" i="3"/>
  <c r="L62" i="3"/>
  <c r="D62" i="3"/>
  <c r="U61" i="3"/>
  <c r="Q61" i="3"/>
  <c r="P61" i="3"/>
  <c r="O61" i="3"/>
  <c r="M61" i="3"/>
  <c r="R61" i="3" s="1"/>
  <c r="S61" i="3" s="1"/>
  <c r="T61" i="3" s="1"/>
  <c r="L61" i="3"/>
  <c r="D61" i="3"/>
  <c r="Q60" i="3"/>
  <c r="P60" i="3"/>
  <c r="U60" i="3" s="1"/>
  <c r="O60" i="3"/>
  <c r="L60" i="3"/>
  <c r="D60" i="3"/>
  <c r="Q59" i="3"/>
  <c r="M59" i="3" s="1"/>
  <c r="R59" i="3" s="1"/>
  <c r="P59" i="3"/>
  <c r="O59" i="3"/>
  <c r="L59" i="3"/>
  <c r="D59" i="3"/>
  <c r="Q58" i="3"/>
  <c r="P58" i="3"/>
  <c r="O58" i="3"/>
  <c r="M58" i="3"/>
  <c r="R58" i="3" s="1"/>
  <c r="L58" i="3"/>
  <c r="D58" i="3"/>
  <c r="P57" i="3"/>
  <c r="O57" i="3"/>
  <c r="L57" i="3"/>
  <c r="D57" i="3"/>
  <c r="Q57" i="3" s="1"/>
  <c r="O56" i="3"/>
  <c r="N56" i="3"/>
  <c r="K56" i="3"/>
  <c r="D56" i="3"/>
  <c r="O55" i="3"/>
  <c r="N55" i="3"/>
  <c r="K55" i="3"/>
  <c r="D55" i="3"/>
  <c r="Q54" i="3"/>
  <c r="O54" i="3"/>
  <c r="N54" i="3"/>
  <c r="M54" i="3"/>
  <c r="K54" i="3"/>
  <c r="D54" i="3"/>
  <c r="P54" i="3" s="1"/>
  <c r="O53" i="3"/>
  <c r="N53" i="3"/>
  <c r="K53" i="3"/>
  <c r="D53" i="3"/>
  <c r="O52" i="3"/>
  <c r="N52" i="3"/>
  <c r="K52" i="3"/>
  <c r="D52" i="3"/>
  <c r="Q51" i="3"/>
  <c r="O51" i="3"/>
  <c r="N51" i="3"/>
  <c r="K51" i="3"/>
  <c r="D51" i="3"/>
  <c r="P51" i="3" s="1"/>
  <c r="U50" i="3"/>
  <c r="Q50" i="3"/>
  <c r="P50" i="3"/>
  <c r="O50" i="3"/>
  <c r="N50" i="3"/>
  <c r="K50" i="3"/>
  <c r="D50" i="3"/>
  <c r="Q49" i="3"/>
  <c r="P49" i="3"/>
  <c r="O49" i="3"/>
  <c r="N49" i="3"/>
  <c r="K49" i="3"/>
  <c r="D49" i="3"/>
  <c r="Q48" i="3"/>
  <c r="P48" i="3"/>
  <c r="O48" i="3"/>
  <c r="N48" i="3"/>
  <c r="K48" i="3"/>
  <c r="D48" i="3"/>
  <c r="S47" i="3"/>
  <c r="T47" i="3" s="1"/>
  <c r="R47" i="3"/>
  <c r="Q47" i="3"/>
  <c r="M47" i="3" s="1"/>
  <c r="P47" i="3"/>
  <c r="O47" i="3"/>
  <c r="U47" i="3" s="1"/>
  <c r="N47" i="3"/>
  <c r="L47" i="3"/>
  <c r="K47" i="3"/>
  <c r="D47" i="3"/>
  <c r="S46" i="3"/>
  <c r="T46" i="3" s="1"/>
  <c r="R46" i="3"/>
  <c r="P46" i="3"/>
  <c r="O46" i="3"/>
  <c r="U46" i="3" s="1"/>
  <c r="N46" i="3"/>
  <c r="L46" i="3"/>
  <c r="K46" i="3"/>
  <c r="D46" i="3"/>
  <c r="Q46" i="3" s="1"/>
  <c r="M46" i="3" s="1"/>
  <c r="U45" i="3"/>
  <c r="O45" i="3"/>
  <c r="N45" i="3"/>
  <c r="L45" i="3"/>
  <c r="K45" i="3"/>
  <c r="D45" i="3"/>
  <c r="O44" i="3"/>
  <c r="U44" i="3" s="1"/>
  <c r="N44" i="3"/>
  <c r="K44" i="3"/>
  <c r="D44" i="3"/>
  <c r="P44" i="3" s="1"/>
  <c r="Q43" i="3"/>
  <c r="M43" i="3" s="1"/>
  <c r="R43" i="3" s="1"/>
  <c r="O43" i="3"/>
  <c r="L43" i="3"/>
  <c r="K43" i="3"/>
  <c r="D43" i="3"/>
  <c r="P43" i="3" s="1"/>
  <c r="R42" i="3"/>
  <c r="Q42" i="3"/>
  <c r="M42" i="3" s="1"/>
  <c r="P42" i="3"/>
  <c r="O42" i="3"/>
  <c r="L42" i="3"/>
  <c r="K42" i="3"/>
  <c r="D42" i="3"/>
  <c r="Q41" i="3"/>
  <c r="M41" i="3" s="1"/>
  <c r="R41" i="3" s="1"/>
  <c r="S41" i="3" s="1"/>
  <c r="T41" i="3" s="1"/>
  <c r="P41" i="3"/>
  <c r="O41" i="3"/>
  <c r="L41" i="3"/>
  <c r="K41" i="3"/>
  <c r="D41" i="3"/>
  <c r="O40" i="3"/>
  <c r="L40" i="3"/>
  <c r="K40" i="3"/>
  <c r="D40" i="3"/>
  <c r="Q39" i="3"/>
  <c r="P39" i="3"/>
  <c r="O39" i="3"/>
  <c r="L39" i="3"/>
  <c r="K39" i="3"/>
  <c r="D39" i="3"/>
  <c r="Q38" i="3"/>
  <c r="P38" i="3"/>
  <c r="O38" i="3"/>
  <c r="M38" i="3"/>
  <c r="L38" i="3"/>
  <c r="K38" i="3"/>
  <c r="R38" i="3" s="1"/>
  <c r="D38" i="3"/>
  <c r="O37" i="3"/>
  <c r="L37" i="3"/>
  <c r="K37" i="3"/>
  <c r="D37" i="3"/>
  <c r="O36" i="3"/>
  <c r="L36" i="3"/>
  <c r="K36" i="3"/>
  <c r="D36" i="3"/>
  <c r="Q35" i="3"/>
  <c r="O35" i="3"/>
  <c r="L35" i="3"/>
  <c r="K35" i="3"/>
  <c r="D35" i="3"/>
  <c r="P35" i="3" s="1"/>
  <c r="O34" i="3"/>
  <c r="L34" i="3"/>
  <c r="K34" i="3"/>
  <c r="D34" i="3"/>
  <c r="S33" i="3"/>
  <c r="T33" i="3" s="1"/>
  <c r="R33" i="3"/>
  <c r="Q33" i="3"/>
  <c r="M33" i="3" s="1"/>
  <c r="O33" i="3"/>
  <c r="L33" i="3"/>
  <c r="K33" i="3"/>
  <c r="D33" i="3"/>
  <c r="P33" i="3" s="1"/>
  <c r="T32" i="3"/>
  <c r="S32" i="3"/>
  <c r="R32" i="3"/>
  <c r="Q32" i="3"/>
  <c r="P32" i="3"/>
  <c r="O32" i="3"/>
  <c r="M32" i="3"/>
  <c r="L32" i="3"/>
  <c r="K32" i="3"/>
  <c r="Q31" i="3"/>
  <c r="P31" i="3"/>
  <c r="O31" i="3"/>
  <c r="M31" i="3"/>
  <c r="L31" i="3"/>
  <c r="K31" i="3"/>
  <c r="R31" i="3" s="1"/>
  <c r="D31" i="3"/>
  <c r="Q30" i="3"/>
  <c r="P30" i="3"/>
  <c r="O30" i="3"/>
  <c r="M30" i="3"/>
  <c r="R30" i="3" s="1"/>
  <c r="S30" i="3" s="1"/>
  <c r="T30" i="3" s="1"/>
  <c r="L30" i="3"/>
  <c r="K30" i="3"/>
  <c r="D30" i="3"/>
  <c r="Q29" i="3"/>
  <c r="P29" i="3"/>
  <c r="O29" i="3"/>
  <c r="L29" i="3"/>
  <c r="K29" i="3"/>
  <c r="D29" i="3"/>
  <c r="Q28" i="3"/>
  <c r="P28" i="3"/>
  <c r="O28" i="3"/>
  <c r="M28" i="3"/>
  <c r="L28" i="3"/>
  <c r="K28" i="3"/>
  <c r="D28" i="3"/>
  <c r="Q27" i="3"/>
  <c r="P27" i="3"/>
  <c r="O27" i="3"/>
  <c r="U27" i="3" s="1"/>
  <c r="D27" i="3"/>
  <c r="U26" i="3"/>
  <c r="O26" i="3"/>
  <c r="D26" i="3"/>
  <c r="O25" i="3"/>
  <c r="L25" i="3"/>
  <c r="K25" i="3"/>
  <c r="D25" i="3"/>
  <c r="R24" i="3"/>
  <c r="D24" i="3"/>
  <c r="R23" i="3"/>
  <c r="Q23" i="3"/>
  <c r="S23" i="3" s="1"/>
  <c r="T23" i="3" s="1"/>
  <c r="P23" i="3"/>
  <c r="D23" i="3"/>
  <c r="O22" i="3"/>
  <c r="N22" i="3"/>
  <c r="L22" i="3"/>
  <c r="K22" i="3"/>
  <c r="D22" i="3"/>
  <c r="O21" i="3"/>
  <c r="N21" i="3"/>
  <c r="L21" i="3"/>
  <c r="K21" i="3"/>
  <c r="D21" i="3"/>
  <c r="O20" i="3"/>
  <c r="N20" i="3"/>
  <c r="L20" i="3"/>
  <c r="K20" i="3"/>
  <c r="D20" i="3"/>
  <c r="Q19" i="3"/>
  <c r="P19" i="3"/>
  <c r="O19" i="3"/>
  <c r="N19" i="3"/>
  <c r="L19" i="3"/>
  <c r="K19" i="3"/>
  <c r="D19" i="3"/>
  <c r="P18" i="3"/>
  <c r="O18" i="3"/>
  <c r="N18" i="3"/>
  <c r="L18" i="3"/>
  <c r="K18" i="3"/>
  <c r="D18" i="3"/>
  <c r="Q18" i="3" s="1"/>
  <c r="Q17" i="3"/>
  <c r="P17" i="3"/>
  <c r="O17" i="3"/>
  <c r="N17" i="3"/>
  <c r="L17" i="3"/>
  <c r="K17" i="3"/>
  <c r="D17" i="3"/>
  <c r="Q16" i="3"/>
  <c r="M16" i="3" s="1"/>
  <c r="P16" i="3"/>
  <c r="O16" i="3"/>
  <c r="N16" i="3"/>
  <c r="R16" i="3" s="1"/>
  <c r="L16" i="3"/>
  <c r="K16" i="3"/>
  <c r="D16" i="3"/>
  <c r="U15" i="3"/>
  <c r="S15" i="3"/>
  <c r="T15" i="3" s="1"/>
  <c r="R15" i="3"/>
  <c r="Q15" i="3"/>
  <c r="M15" i="3" s="1"/>
  <c r="P15" i="3"/>
  <c r="O15" i="3"/>
  <c r="N15" i="3"/>
  <c r="L15" i="3"/>
  <c r="K15" i="3"/>
  <c r="D15" i="3"/>
  <c r="Q14" i="3"/>
  <c r="P14" i="3"/>
  <c r="O14" i="3"/>
  <c r="N14" i="3"/>
  <c r="L14" i="3"/>
  <c r="K14" i="3"/>
  <c r="D14" i="3"/>
  <c r="O13" i="3"/>
  <c r="N13" i="3"/>
  <c r="L13" i="3"/>
  <c r="K13" i="3"/>
  <c r="D13" i="3"/>
  <c r="O12" i="3"/>
  <c r="N12" i="3"/>
  <c r="L12" i="3"/>
  <c r="K12" i="3"/>
  <c r="D12" i="3"/>
  <c r="O11" i="3"/>
  <c r="N11" i="3"/>
  <c r="L11" i="3"/>
  <c r="K11" i="3"/>
  <c r="D11" i="3"/>
  <c r="O10" i="3"/>
  <c r="N10" i="3"/>
  <c r="L10" i="3"/>
  <c r="K10" i="3"/>
  <c r="D10" i="3"/>
  <c r="P9" i="3"/>
  <c r="O9" i="3"/>
  <c r="U9" i="3" s="1"/>
  <c r="N9" i="3"/>
  <c r="M9" i="3"/>
  <c r="L9" i="3"/>
  <c r="K9" i="3"/>
  <c r="D9" i="3"/>
  <c r="Q9" i="3" s="1"/>
  <c r="Q8" i="3"/>
  <c r="P8" i="3"/>
  <c r="O8" i="3"/>
  <c r="N8" i="3"/>
  <c r="M8" i="3"/>
  <c r="L8" i="3"/>
  <c r="K8" i="3"/>
  <c r="D8" i="3"/>
  <c r="Q7" i="3"/>
  <c r="S7" i="3" s="1"/>
  <c r="D7" i="3"/>
  <c r="R7" i="3" s="1"/>
  <c r="S6" i="3"/>
  <c r="T6" i="3" s="1"/>
  <c r="R6" i="3"/>
  <c r="Q6" i="3"/>
  <c r="P6" i="3"/>
  <c r="R5" i="3"/>
  <c r="Q5" i="3"/>
  <c r="S5" i="3" s="1"/>
  <c r="T5" i="3" s="1"/>
  <c r="P5" i="3"/>
  <c r="S4" i="3"/>
  <c r="T4" i="3" s="1"/>
  <c r="R4" i="3"/>
  <c r="Q4" i="3"/>
  <c r="M4" i="3" s="1"/>
  <c r="P4" i="3"/>
  <c r="N4" i="3"/>
  <c r="L4" i="3"/>
  <c r="K4" i="3"/>
  <c r="F1" i="3"/>
  <c r="R1253" i="2"/>
  <c r="Q1253" i="2"/>
  <c r="S1253" i="2" s="1"/>
  <c r="T1253" i="2" s="1"/>
  <c r="P1253" i="2"/>
  <c r="F1252" i="2" s="1"/>
  <c r="S1252" i="2"/>
  <c r="T1252" i="2" s="1"/>
  <c r="N1252" i="2"/>
  <c r="R1252" i="2" s="1"/>
  <c r="S1251" i="2"/>
  <c r="T1251" i="2" s="1"/>
  <c r="R1251" i="2"/>
  <c r="Q1251" i="2"/>
  <c r="P1251" i="2"/>
  <c r="N1251" i="2"/>
  <c r="S1250" i="2"/>
  <c r="R1250" i="2"/>
  <c r="P1250" i="2"/>
  <c r="T1250" i="2" s="1"/>
  <c r="S1249" i="2"/>
  <c r="T1249" i="2" s="1"/>
  <c r="R1249" i="2"/>
  <c r="Q1249" i="2"/>
  <c r="P1249" i="2"/>
  <c r="R1248" i="2"/>
  <c r="Q1248" i="2"/>
  <c r="S1248" i="2" s="1"/>
  <c r="T1248" i="2" s="1"/>
  <c r="P1248" i="2"/>
  <c r="Q1247" i="2"/>
  <c r="P1247" i="2"/>
  <c r="N1247" i="2"/>
  <c r="R1247" i="2" s="1"/>
  <c r="S1247" i="2" s="1"/>
  <c r="T1247" i="2" s="1"/>
  <c r="Q1246" i="2"/>
  <c r="P1246" i="2"/>
  <c r="N1246" i="2"/>
  <c r="M1246" i="2"/>
  <c r="Q1245" i="2"/>
  <c r="P1245" i="2"/>
  <c r="M1245" i="2"/>
  <c r="R1245" i="2" s="1"/>
  <c r="T1244" i="2"/>
  <c r="S1244" i="2"/>
  <c r="R1244" i="2"/>
  <c r="Q1244" i="2"/>
  <c r="P1244" i="2"/>
  <c r="R1243" i="2"/>
  <c r="Q1243" i="2"/>
  <c r="P1243" i="2"/>
  <c r="R1242" i="2"/>
  <c r="Q1242" i="2"/>
  <c r="P1242" i="2"/>
  <c r="S1242" i="2" s="1"/>
  <c r="T1242" i="2" s="1"/>
  <c r="R1241" i="2"/>
  <c r="Q1241" i="2"/>
  <c r="S1241" i="2" s="1"/>
  <c r="T1241" i="2" s="1"/>
  <c r="P1241" i="2"/>
  <c r="S1240" i="2"/>
  <c r="T1240" i="2" s="1"/>
  <c r="R1240" i="2"/>
  <c r="Q1240" i="2"/>
  <c r="P1240" i="2"/>
  <c r="M1240" i="2"/>
  <c r="F1238" i="2"/>
  <c r="S1235" i="2"/>
  <c r="T1235" i="2" s="1"/>
  <c r="U1235" i="2" s="1"/>
  <c r="Q1235" i="2"/>
  <c r="P1235" i="2"/>
  <c r="O1235" i="2"/>
  <c r="M1235" i="2"/>
  <c r="L1235" i="2"/>
  <c r="K1235" i="2"/>
  <c r="R1235" i="2" s="1"/>
  <c r="T1234" i="2"/>
  <c r="U1234" i="2" s="1"/>
  <c r="S1234" i="2"/>
  <c r="R1234" i="2"/>
  <c r="Q1234" i="2"/>
  <c r="P1234" i="2"/>
  <c r="O1234" i="2"/>
  <c r="M1234" i="2"/>
  <c r="L1234" i="2"/>
  <c r="K1234" i="2"/>
  <c r="S1233" i="2"/>
  <c r="T1233" i="2" s="1"/>
  <c r="U1233" i="2" s="1"/>
  <c r="R1233" i="2"/>
  <c r="Q1233" i="2"/>
  <c r="P1233" i="2"/>
  <c r="O1233" i="2"/>
  <c r="M1233" i="2"/>
  <c r="L1233" i="2"/>
  <c r="K1233" i="2"/>
  <c r="R1232" i="2"/>
  <c r="S1232" i="2" s="1"/>
  <c r="T1232" i="2" s="1"/>
  <c r="U1232" i="2" s="1"/>
  <c r="Q1232" i="2"/>
  <c r="P1232" i="2"/>
  <c r="C245" i="8" s="1"/>
  <c r="O1232" i="2"/>
  <c r="M1232" i="2"/>
  <c r="L1232" i="2"/>
  <c r="K1232" i="2"/>
  <c r="Q1231" i="2"/>
  <c r="P1231" i="2"/>
  <c r="C220" i="8" s="1"/>
  <c r="O1231" i="2"/>
  <c r="M1231" i="2"/>
  <c r="L1231" i="2"/>
  <c r="K1231" i="2"/>
  <c r="Q1230" i="2"/>
  <c r="P1230" i="2"/>
  <c r="O1230" i="2"/>
  <c r="M1230" i="2"/>
  <c r="L1230" i="2"/>
  <c r="R1230" i="2" s="1"/>
  <c r="K1230" i="2"/>
  <c r="Q1229" i="2"/>
  <c r="S1229" i="2" s="1"/>
  <c r="T1229" i="2" s="1"/>
  <c r="U1229" i="2" s="1"/>
  <c r="P1229" i="2"/>
  <c r="D56" i="8" s="1"/>
  <c r="O1229" i="2"/>
  <c r="M1229" i="2"/>
  <c r="L1229" i="2"/>
  <c r="K1229" i="2"/>
  <c r="R1229" i="2" s="1"/>
  <c r="O1228" i="2"/>
  <c r="L1228" i="2"/>
  <c r="K1228" i="2"/>
  <c r="D1228" i="2"/>
  <c r="O1227" i="2"/>
  <c r="L1227" i="2"/>
  <c r="D1227" i="2"/>
  <c r="Q1226" i="2"/>
  <c r="M1226" i="2" s="1"/>
  <c r="O1226" i="2"/>
  <c r="L1226" i="2"/>
  <c r="D1226" i="2"/>
  <c r="P1226" i="2" s="1"/>
  <c r="O1225" i="2"/>
  <c r="L1225" i="2"/>
  <c r="K1225" i="2"/>
  <c r="D1225" i="2"/>
  <c r="O1224" i="2"/>
  <c r="L1224" i="2"/>
  <c r="K1224" i="2"/>
  <c r="D1224" i="2"/>
  <c r="O1223" i="2"/>
  <c r="L1223" i="2"/>
  <c r="K1223" i="2"/>
  <c r="D1223" i="2"/>
  <c r="V1222" i="2"/>
  <c r="R1222" i="2"/>
  <c r="S1222" i="2" s="1"/>
  <c r="T1222" i="2" s="1"/>
  <c r="Q1222" i="2"/>
  <c r="M1222" i="2" s="1"/>
  <c r="O1222" i="2"/>
  <c r="L1222" i="2"/>
  <c r="K1222" i="2"/>
  <c r="D1222" i="2"/>
  <c r="P1222" i="2" s="1"/>
  <c r="O1221" i="2"/>
  <c r="L1221" i="2"/>
  <c r="K1221" i="2"/>
  <c r="D1221" i="2"/>
  <c r="Q1220" i="2"/>
  <c r="M1220" i="2" s="1"/>
  <c r="O1220" i="2"/>
  <c r="L1220" i="2"/>
  <c r="R1220" i="2" s="1"/>
  <c r="S1220" i="2" s="1"/>
  <c r="T1220" i="2" s="1"/>
  <c r="K1220" i="2"/>
  <c r="D1220" i="2"/>
  <c r="P1220" i="2" s="1"/>
  <c r="V1220" i="2" s="1"/>
  <c r="O1219" i="2"/>
  <c r="L1219" i="2"/>
  <c r="K1219" i="2"/>
  <c r="D1219" i="2"/>
  <c r="O1218" i="2"/>
  <c r="L1218" i="2"/>
  <c r="K1218" i="2"/>
  <c r="D1218" i="2"/>
  <c r="O1217" i="2"/>
  <c r="L1217" i="2"/>
  <c r="K1217" i="2"/>
  <c r="D1217" i="2"/>
  <c r="Q1216" i="2"/>
  <c r="P1216" i="2"/>
  <c r="O1216" i="2"/>
  <c r="M1216" i="2"/>
  <c r="R1216" i="2" s="1"/>
  <c r="S1216" i="2" s="1"/>
  <c r="T1216" i="2" s="1"/>
  <c r="L1216" i="2"/>
  <c r="K1216" i="2"/>
  <c r="D1216" i="2"/>
  <c r="Q1215" i="2"/>
  <c r="P1215" i="2"/>
  <c r="O1215" i="2"/>
  <c r="L1215" i="2"/>
  <c r="K1215" i="2"/>
  <c r="D1215" i="2"/>
  <c r="Q1214" i="2"/>
  <c r="P1214" i="2"/>
  <c r="D108" i="8" s="1"/>
  <c r="O1214" i="2"/>
  <c r="M1214" i="2"/>
  <c r="R1214" i="2" s="1"/>
  <c r="S1214" i="2" s="1"/>
  <c r="T1214" i="2" s="1"/>
  <c r="U1214" i="2" s="1"/>
  <c r="L1214" i="2"/>
  <c r="K1214" i="2"/>
  <c r="T1213" i="2"/>
  <c r="U1213" i="2" s="1"/>
  <c r="S1213" i="2"/>
  <c r="R1213" i="2"/>
  <c r="Q1213" i="2"/>
  <c r="P1213" i="2"/>
  <c r="O1213" i="2"/>
  <c r="M1213" i="2"/>
  <c r="L1213" i="2"/>
  <c r="K1213" i="2"/>
  <c r="Q1212" i="2"/>
  <c r="P1212" i="2"/>
  <c r="D43" i="8" s="1"/>
  <c r="O1212" i="2"/>
  <c r="M1212" i="2"/>
  <c r="L1212" i="2"/>
  <c r="K1212" i="2"/>
  <c r="Q1211" i="2"/>
  <c r="P1211" i="2"/>
  <c r="O1211" i="2"/>
  <c r="N1211" i="2"/>
  <c r="R1211" i="2" s="1"/>
  <c r="M1211" i="2"/>
  <c r="L1211" i="2"/>
  <c r="K1211" i="2"/>
  <c r="D1211" i="2"/>
  <c r="P1210" i="2"/>
  <c r="O1210" i="2"/>
  <c r="N1210" i="2"/>
  <c r="M1210" i="2"/>
  <c r="L1210" i="2"/>
  <c r="K1210" i="2"/>
  <c r="D1210" i="2"/>
  <c r="Q1210" i="2" s="1"/>
  <c r="Q1209" i="2"/>
  <c r="P1209" i="2"/>
  <c r="O1209" i="2"/>
  <c r="N1209" i="2"/>
  <c r="R1209" i="2" s="1"/>
  <c r="M1209" i="2"/>
  <c r="L1209" i="2"/>
  <c r="K1209" i="2"/>
  <c r="D1209" i="2"/>
  <c r="O1208" i="2"/>
  <c r="N1208" i="2"/>
  <c r="L1208" i="2"/>
  <c r="K1208" i="2"/>
  <c r="D1208" i="2"/>
  <c r="Q1208" i="2" s="1"/>
  <c r="Q1207" i="2"/>
  <c r="M1207" i="2" s="1"/>
  <c r="P1207" i="2"/>
  <c r="O1207" i="2"/>
  <c r="N1207" i="2"/>
  <c r="L1207" i="2"/>
  <c r="K1207" i="2"/>
  <c r="D1207" i="2"/>
  <c r="Q1206" i="2"/>
  <c r="P1206" i="2"/>
  <c r="O1206" i="2"/>
  <c r="N1206" i="2"/>
  <c r="R1206" i="2" s="1"/>
  <c r="M1206" i="2"/>
  <c r="L1206" i="2"/>
  <c r="K1206" i="2"/>
  <c r="D1206" i="2"/>
  <c r="Q1205" i="2"/>
  <c r="P1205" i="2"/>
  <c r="O1205" i="2"/>
  <c r="N1205" i="2"/>
  <c r="M1205" i="2"/>
  <c r="L1205" i="2"/>
  <c r="K1205" i="2"/>
  <c r="D1205" i="2"/>
  <c r="Q1204" i="2"/>
  <c r="P1204" i="2"/>
  <c r="O1204" i="2"/>
  <c r="N1204" i="2"/>
  <c r="M1204" i="2"/>
  <c r="L1204" i="2"/>
  <c r="K1204" i="2"/>
  <c r="D1204" i="2"/>
  <c r="Q1203" i="2"/>
  <c r="P1203" i="2"/>
  <c r="O1203" i="2"/>
  <c r="N1203" i="2"/>
  <c r="L1203" i="2"/>
  <c r="K1203" i="2"/>
  <c r="D1203" i="2"/>
  <c r="Q1202" i="2"/>
  <c r="M1202" i="2" s="1"/>
  <c r="P1202" i="2"/>
  <c r="O1202" i="2"/>
  <c r="N1202" i="2"/>
  <c r="L1202" i="2"/>
  <c r="K1202" i="2"/>
  <c r="D1202" i="2"/>
  <c r="Q1201" i="2"/>
  <c r="P1201" i="2"/>
  <c r="O1201" i="2"/>
  <c r="N1201" i="2"/>
  <c r="M1201" i="2"/>
  <c r="L1201" i="2"/>
  <c r="K1201" i="2"/>
  <c r="D1201" i="2"/>
  <c r="O1200" i="2"/>
  <c r="N1200" i="2"/>
  <c r="L1200" i="2"/>
  <c r="K1200" i="2"/>
  <c r="D1200" i="2"/>
  <c r="Q1199" i="2"/>
  <c r="P1199" i="2"/>
  <c r="O1199" i="2"/>
  <c r="L1199" i="2"/>
  <c r="K1199" i="2"/>
  <c r="D1199" i="2"/>
  <c r="O1198" i="2"/>
  <c r="L1198" i="2"/>
  <c r="K1198" i="2"/>
  <c r="D1198" i="2"/>
  <c r="O1197" i="2"/>
  <c r="L1197" i="2"/>
  <c r="K1197" i="2"/>
  <c r="D1197" i="2"/>
  <c r="O1196" i="2"/>
  <c r="N1196" i="2"/>
  <c r="L1196" i="2"/>
  <c r="K1196" i="2"/>
  <c r="D1196" i="2"/>
  <c r="Q1195" i="2"/>
  <c r="O1195" i="2"/>
  <c r="N1195" i="2"/>
  <c r="L1195" i="2"/>
  <c r="K1195" i="2"/>
  <c r="D1195" i="2"/>
  <c r="P1195" i="2" s="1"/>
  <c r="O1194" i="2"/>
  <c r="L1194" i="2"/>
  <c r="K1194" i="2"/>
  <c r="D1194" i="2"/>
  <c r="T1193" i="2"/>
  <c r="S1193" i="2"/>
  <c r="Q1193" i="2"/>
  <c r="P1193" i="2"/>
  <c r="O1193" i="2"/>
  <c r="M1193" i="2"/>
  <c r="L1193" i="2"/>
  <c r="K1193" i="2"/>
  <c r="R1193" i="2" s="1"/>
  <c r="T1192" i="2"/>
  <c r="U1192" i="2" s="1"/>
  <c r="Q1192" i="2"/>
  <c r="P1192" i="2"/>
  <c r="C919" i="8" s="1"/>
  <c r="O1192" i="2"/>
  <c r="M1192" i="2"/>
  <c r="L1192" i="2"/>
  <c r="K1192" i="2"/>
  <c r="R1192" i="2" s="1"/>
  <c r="S1192" i="2" s="1"/>
  <c r="Q1191" i="2"/>
  <c r="P1191" i="2"/>
  <c r="D955" i="8" s="1"/>
  <c r="O1191" i="2"/>
  <c r="M1191" i="2"/>
  <c r="L1191" i="2"/>
  <c r="K1191" i="2"/>
  <c r="R1190" i="2"/>
  <c r="S1190" i="2" s="1"/>
  <c r="T1190" i="2" s="1"/>
  <c r="U1190" i="2" s="1"/>
  <c r="Q1190" i="2"/>
  <c r="P1190" i="2"/>
  <c r="O1190" i="2"/>
  <c r="M1190" i="2"/>
  <c r="L1190" i="2"/>
  <c r="K1190" i="2"/>
  <c r="Q1189" i="2"/>
  <c r="P1189" i="2"/>
  <c r="O1189" i="2"/>
  <c r="M1189" i="2"/>
  <c r="R1189" i="2" s="1"/>
  <c r="S1189" i="2" s="1"/>
  <c r="T1189" i="2" s="1"/>
  <c r="U1189" i="2" s="1"/>
  <c r="L1189" i="2"/>
  <c r="K1189" i="2"/>
  <c r="U1188" i="2"/>
  <c r="T1188" i="2"/>
  <c r="S1188" i="2"/>
  <c r="R1188" i="2"/>
  <c r="Q1188" i="2"/>
  <c r="P1188" i="2"/>
  <c r="O1188" i="2"/>
  <c r="M1188" i="2"/>
  <c r="L1188" i="2"/>
  <c r="K1188" i="2"/>
  <c r="Q1187" i="2"/>
  <c r="P1187" i="2"/>
  <c r="O1187" i="2"/>
  <c r="M1187" i="2"/>
  <c r="L1187" i="2"/>
  <c r="K1187" i="2"/>
  <c r="R1187" i="2" s="1"/>
  <c r="Q1186" i="2"/>
  <c r="P1186" i="2"/>
  <c r="O1186" i="2"/>
  <c r="M1186" i="2"/>
  <c r="R1186" i="2" s="1"/>
  <c r="L1186" i="2"/>
  <c r="K1186" i="2"/>
  <c r="S1185" i="2"/>
  <c r="T1185" i="2" s="1"/>
  <c r="U1185" i="2" s="1"/>
  <c r="R1185" i="2"/>
  <c r="Q1185" i="2"/>
  <c r="P1185" i="2"/>
  <c r="O1185" i="2"/>
  <c r="M1185" i="2"/>
  <c r="L1185" i="2"/>
  <c r="K1185" i="2"/>
  <c r="Q1184" i="2"/>
  <c r="P1184" i="2"/>
  <c r="O1184" i="2"/>
  <c r="M1184" i="2"/>
  <c r="L1184" i="2"/>
  <c r="K1184" i="2"/>
  <c r="Q1183" i="2"/>
  <c r="P1183" i="2"/>
  <c r="O1183" i="2"/>
  <c r="M1183" i="2"/>
  <c r="L1183" i="2"/>
  <c r="K1183" i="2"/>
  <c r="T1182" i="2"/>
  <c r="U1182" i="2" s="1"/>
  <c r="Q1182" i="2"/>
  <c r="P1182" i="2"/>
  <c r="C615" i="8" s="1"/>
  <c r="O1182" i="2"/>
  <c r="M1182" i="2"/>
  <c r="L1182" i="2"/>
  <c r="K1182" i="2"/>
  <c r="R1182" i="2" s="1"/>
  <c r="S1182" i="2" s="1"/>
  <c r="Q1181" i="2"/>
  <c r="P1181" i="2"/>
  <c r="C601" i="8" s="1"/>
  <c r="O1181" i="2"/>
  <c r="M1181" i="2"/>
  <c r="L1181" i="2"/>
  <c r="K1181" i="2"/>
  <c r="R1181" i="2" s="1"/>
  <c r="S1181" i="2" s="1"/>
  <c r="T1181" i="2" s="1"/>
  <c r="U1181" i="2" s="1"/>
  <c r="T1180" i="2"/>
  <c r="U1180" i="2" s="1"/>
  <c r="R1180" i="2"/>
  <c r="Q1180" i="2"/>
  <c r="S1180" i="2" s="1"/>
  <c r="P1180" i="2"/>
  <c r="O1180" i="2"/>
  <c r="M1180" i="2"/>
  <c r="L1180" i="2"/>
  <c r="K1180" i="2"/>
  <c r="S1179" i="2"/>
  <c r="T1179" i="2" s="1"/>
  <c r="U1179" i="2" s="1"/>
  <c r="R1179" i="2"/>
  <c r="Q1179" i="2"/>
  <c r="P1179" i="2"/>
  <c r="C531" i="8" s="1"/>
  <c r="O1179" i="2"/>
  <c r="M1179" i="2"/>
  <c r="L1179" i="2"/>
  <c r="K1179" i="2"/>
  <c r="Q1178" i="2"/>
  <c r="P1178" i="2"/>
  <c r="O1178" i="2"/>
  <c r="M1178" i="2"/>
  <c r="R1178" i="2" s="1"/>
  <c r="S1178" i="2" s="1"/>
  <c r="T1178" i="2" s="1"/>
  <c r="U1178" i="2" s="1"/>
  <c r="L1178" i="2"/>
  <c r="K1178" i="2"/>
  <c r="R1177" i="2"/>
  <c r="Q1177" i="2"/>
  <c r="S1177" i="2" s="1"/>
  <c r="T1177" i="2" s="1"/>
  <c r="U1177" i="2" s="1"/>
  <c r="P1177" i="2"/>
  <c r="O1177" i="2"/>
  <c r="M1177" i="2"/>
  <c r="L1177" i="2"/>
  <c r="K1177" i="2"/>
  <c r="R1176" i="2"/>
  <c r="Q1176" i="2"/>
  <c r="P1176" i="2"/>
  <c r="O1176" i="2"/>
  <c r="M1176" i="2"/>
  <c r="L1176" i="2"/>
  <c r="K1176" i="2"/>
  <c r="R1175" i="2"/>
  <c r="S1175" i="2" s="1"/>
  <c r="T1175" i="2" s="1"/>
  <c r="U1175" i="2" s="1"/>
  <c r="Q1175" i="2"/>
  <c r="P1175" i="2"/>
  <c r="O1175" i="2"/>
  <c r="M1175" i="2"/>
  <c r="L1175" i="2"/>
  <c r="K1175" i="2"/>
  <c r="Q1174" i="2"/>
  <c r="P1174" i="2"/>
  <c r="S1174" i="2" s="1"/>
  <c r="T1174" i="2" s="1"/>
  <c r="U1174" i="2" s="1"/>
  <c r="O1174" i="2"/>
  <c r="M1174" i="2"/>
  <c r="L1174" i="2"/>
  <c r="K1174" i="2"/>
  <c r="R1174" i="2" s="1"/>
  <c r="Q1173" i="2"/>
  <c r="P1173" i="2"/>
  <c r="C489" i="8" s="1"/>
  <c r="O1173" i="2"/>
  <c r="M1173" i="2"/>
  <c r="L1173" i="2"/>
  <c r="K1173" i="2"/>
  <c r="R1173" i="2" s="1"/>
  <c r="Q1172" i="2"/>
  <c r="P1172" i="2"/>
  <c r="C485" i="8" s="1"/>
  <c r="O1172" i="2"/>
  <c r="M1172" i="2"/>
  <c r="L1172" i="2"/>
  <c r="K1172" i="2"/>
  <c r="R1172" i="2" s="1"/>
  <c r="Q1171" i="2"/>
  <c r="P1171" i="2"/>
  <c r="O1171" i="2"/>
  <c r="M1171" i="2"/>
  <c r="L1171" i="2"/>
  <c r="R1171" i="2" s="1"/>
  <c r="S1171" i="2" s="1"/>
  <c r="T1171" i="2" s="1"/>
  <c r="U1171" i="2" s="1"/>
  <c r="K1171" i="2"/>
  <c r="Q1170" i="2"/>
  <c r="P1170" i="2"/>
  <c r="O1170" i="2"/>
  <c r="M1170" i="2"/>
  <c r="L1170" i="2"/>
  <c r="K1170" i="2"/>
  <c r="Q1169" i="2"/>
  <c r="P1169" i="2"/>
  <c r="O1169" i="2"/>
  <c r="M1169" i="2"/>
  <c r="L1169" i="2"/>
  <c r="R1169" i="2" s="1"/>
  <c r="K1169" i="2"/>
  <c r="S1168" i="2"/>
  <c r="T1168" i="2" s="1"/>
  <c r="U1168" i="2" s="1"/>
  <c r="R1168" i="2"/>
  <c r="Q1168" i="2"/>
  <c r="P1168" i="2"/>
  <c r="O1168" i="2"/>
  <c r="M1168" i="2"/>
  <c r="L1168" i="2"/>
  <c r="K1168" i="2"/>
  <c r="Q1167" i="2"/>
  <c r="S1167" i="2" s="1"/>
  <c r="T1167" i="2" s="1"/>
  <c r="U1167" i="2" s="1"/>
  <c r="P1167" i="2"/>
  <c r="C401" i="8" s="1"/>
  <c r="O1167" i="2"/>
  <c r="M1167" i="2"/>
  <c r="R1167" i="2" s="1"/>
  <c r="L1167" i="2"/>
  <c r="K1167" i="2"/>
  <c r="R1166" i="2"/>
  <c r="Q1166" i="2"/>
  <c r="S1166" i="2" s="1"/>
  <c r="T1166" i="2" s="1"/>
  <c r="U1166" i="2" s="1"/>
  <c r="P1166" i="2"/>
  <c r="C381" i="8" s="1"/>
  <c r="O1166" i="2"/>
  <c r="M1166" i="2"/>
  <c r="L1166" i="2"/>
  <c r="K1166" i="2"/>
  <c r="T1165" i="2"/>
  <c r="Q1165" i="2"/>
  <c r="P1165" i="2"/>
  <c r="C380" i="8" s="1"/>
  <c r="O1165" i="2"/>
  <c r="U1165" i="2" s="1"/>
  <c r="M1165" i="2"/>
  <c r="L1165" i="2"/>
  <c r="K1165" i="2"/>
  <c r="R1165" i="2" s="1"/>
  <c r="S1165" i="2" s="1"/>
  <c r="Q1164" i="2"/>
  <c r="P1164" i="2"/>
  <c r="O1164" i="2"/>
  <c r="M1164" i="2"/>
  <c r="R1164" i="2" s="1"/>
  <c r="L1164" i="2"/>
  <c r="K1164" i="2"/>
  <c r="Q1163" i="2"/>
  <c r="P1163" i="2"/>
  <c r="O1163" i="2"/>
  <c r="M1163" i="2"/>
  <c r="R1163" i="2" s="1"/>
  <c r="L1163" i="2"/>
  <c r="K1163" i="2"/>
  <c r="Q1162" i="2"/>
  <c r="P1162" i="2"/>
  <c r="O1162" i="2"/>
  <c r="N1162" i="2"/>
  <c r="M1162" i="2"/>
  <c r="L1162" i="2"/>
  <c r="K1162" i="2"/>
  <c r="R1161" i="2"/>
  <c r="Q1161" i="2"/>
  <c r="P1161" i="2"/>
  <c r="O1161" i="2"/>
  <c r="M1161" i="2"/>
  <c r="L1161" i="2"/>
  <c r="K1161" i="2"/>
  <c r="O1160" i="2"/>
  <c r="D1160" i="2"/>
  <c r="O1159" i="2"/>
  <c r="L1159" i="2"/>
  <c r="K1159" i="2"/>
  <c r="D1159" i="2"/>
  <c r="Q1158" i="2"/>
  <c r="P1158" i="2"/>
  <c r="O1158" i="2"/>
  <c r="L1158" i="2"/>
  <c r="K1158" i="2"/>
  <c r="D1158" i="2"/>
  <c r="O1157" i="2"/>
  <c r="L1157" i="2"/>
  <c r="K1157" i="2"/>
  <c r="D1157" i="2"/>
  <c r="R1156" i="2"/>
  <c r="Q1156" i="2"/>
  <c r="P1156" i="2"/>
  <c r="O1156" i="2"/>
  <c r="M1156" i="2"/>
  <c r="L1156" i="2"/>
  <c r="K1156" i="2"/>
  <c r="D1156" i="2"/>
  <c r="S1155" i="2"/>
  <c r="T1155" i="2" s="1"/>
  <c r="R1155" i="2"/>
  <c r="Q1155" i="2"/>
  <c r="M1155" i="2" s="1"/>
  <c r="P1155" i="2"/>
  <c r="O1155" i="2"/>
  <c r="L1155" i="2"/>
  <c r="K1155" i="2"/>
  <c r="D1155" i="2"/>
  <c r="S1154" i="2"/>
  <c r="T1154" i="2" s="1"/>
  <c r="P1154" i="2"/>
  <c r="O1154" i="2"/>
  <c r="M1154" i="2"/>
  <c r="R1154" i="2" s="1"/>
  <c r="L1154" i="2"/>
  <c r="K1154" i="2"/>
  <c r="D1154" i="2"/>
  <c r="Q1154" i="2" s="1"/>
  <c r="S1153" i="2"/>
  <c r="T1153" i="2" s="1"/>
  <c r="Q1153" i="2"/>
  <c r="P1153" i="2"/>
  <c r="O1153" i="2"/>
  <c r="M1153" i="2"/>
  <c r="L1153" i="2"/>
  <c r="R1153" i="2" s="1"/>
  <c r="K1153" i="2"/>
  <c r="D1153" i="2"/>
  <c r="Q1152" i="2"/>
  <c r="P1152" i="2"/>
  <c r="O1152" i="2"/>
  <c r="M1152" i="2"/>
  <c r="L1152" i="2"/>
  <c r="K1152" i="2"/>
  <c r="R1152" i="2" s="1"/>
  <c r="Q1151" i="2"/>
  <c r="P1151" i="2"/>
  <c r="O1151" i="2"/>
  <c r="M1151" i="2"/>
  <c r="L1151" i="2"/>
  <c r="K1151" i="2"/>
  <c r="R1151" i="2" s="1"/>
  <c r="U1150" i="2"/>
  <c r="Q1150" i="2"/>
  <c r="S1150" i="2" s="1"/>
  <c r="T1150" i="2" s="1"/>
  <c r="P1150" i="2"/>
  <c r="O1150" i="2"/>
  <c r="M1150" i="2"/>
  <c r="L1150" i="2"/>
  <c r="K1150" i="2"/>
  <c r="R1150" i="2" s="1"/>
  <c r="Q1149" i="2"/>
  <c r="P1149" i="2"/>
  <c r="O1149" i="2"/>
  <c r="M1149" i="2"/>
  <c r="L1149" i="2"/>
  <c r="K1149" i="2"/>
  <c r="R1149" i="2" s="1"/>
  <c r="S1149" i="2" s="1"/>
  <c r="T1149" i="2" s="1"/>
  <c r="Q1148" i="2"/>
  <c r="P1148" i="2"/>
  <c r="O1148" i="2"/>
  <c r="M1148" i="2"/>
  <c r="L1148" i="2"/>
  <c r="K1148" i="2"/>
  <c r="R1147" i="2"/>
  <c r="Q1147" i="2"/>
  <c r="P1147" i="2"/>
  <c r="O1147" i="2"/>
  <c r="M1147" i="2"/>
  <c r="L1147" i="2"/>
  <c r="K1147" i="2"/>
  <c r="Q1146" i="2"/>
  <c r="P1146" i="2"/>
  <c r="O1146" i="2"/>
  <c r="M1146" i="2"/>
  <c r="L1146" i="2"/>
  <c r="K1146" i="2"/>
  <c r="R1146" i="2" s="1"/>
  <c r="Q1145" i="2"/>
  <c r="P1145" i="2"/>
  <c r="O1145" i="2"/>
  <c r="M1145" i="2"/>
  <c r="L1145" i="2"/>
  <c r="K1145" i="2"/>
  <c r="T1144" i="2"/>
  <c r="U1144" i="2" s="1"/>
  <c r="R1144" i="2"/>
  <c r="Q1144" i="2"/>
  <c r="S1144" i="2" s="1"/>
  <c r="P1144" i="2"/>
  <c r="O1144" i="2"/>
  <c r="M1144" i="2"/>
  <c r="L1144" i="2"/>
  <c r="K1144" i="2"/>
  <c r="V1143" i="2"/>
  <c r="Q1143" i="2"/>
  <c r="P1143" i="2"/>
  <c r="O1143" i="2"/>
  <c r="M1143" i="2"/>
  <c r="L1143" i="2"/>
  <c r="K1143" i="2"/>
  <c r="R1143" i="2" s="1"/>
  <c r="S1143" i="2" s="1"/>
  <c r="T1143" i="2" s="1"/>
  <c r="D1143" i="2"/>
  <c r="S1142" i="2"/>
  <c r="T1142" i="2" s="1"/>
  <c r="R1142" i="2"/>
  <c r="Q1142" i="2"/>
  <c r="P1142" i="2"/>
  <c r="V1142" i="2" s="1"/>
  <c r="O1142" i="2"/>
  <c r="M1142" i="2"/>
  <c r="L1142" i="2"/>
  <c r="K1142" i="2"/>
  <c r="D1142" i="2"/>
  <c r="V1141" i="2"/>
  <c r="Q1141" i="2"/>
  <c r="P1141" i="2"/>
  <c r="O1141" i="2"/>
  <c r="M1141" i="2"/>
  <c r="L1141" i="2"/>
  <c r="K1141" i="2"/>
  <c r="D1141" i="2"/>
  <c r="T1140" i="2"/>
  <c r="S1140" i="2"/>
  <c r="R1140" i="2"/>
  <c r="Q1140" i="2"/>
  <c r="P1140" i="2"/>
  <c r="O1140" i="2"/>
  <c r="M1140" i="2"/>
  <c r="L1140" i="2"/>
  <c r="K1140" i="2"/>
  <c r="D1140" i="2"/>
  <c r="V1139" i="2"/>
  <c r="Q1139" i="2"/>
  <c r="P1139" i="2"/>
  <c r="O1139" i="2"/>
  <c r="M1139" i="2"/>
  <c r="L1139" i="2"/>
  <c r="K1139" i="2"/>
  <c r="D1139" i="2"/>
  <c r="R1138" i="2"/>
  <c r="S1138" i="2" s="1"/>
  <c r="T1138" i="2" s="1"/>
  <c r="Q1138" i="2"/>
  <c r="P1138" i="2"/>
  <c r="O1138" i="2"/>
  <c r="M1138" i="2"/>
  <c r="L1138" i="2"/>
  <c r="K1138" i="2"/>
  <c r="D1138" i="2"/>
  <c r="V1137" i="2"/>
  <c r="Q1137" i="2"/>
  <c r="P1137" i="2"/>
  <c r="O1137" i="2"/>
  <c r="M1137" i="2"/>
  <c r="L1137" i="2"/>
  <c r="K1137" i="2"/>
  <c r="R1137" i="2" s="1"/>
  <c r="S1137" i="2" s="1"/>
  <c r="T1137" i="2" s="1"/>
  <c r="D1137" i="2"/>
  <c r="S1136" i="2"/>
  <c r="T1136" i="2" s="1"/>
  <c r="Q1136" i="2"/>
  <c r="P1136" i="2"/>
  <c r="V1136" i="2" s="1"/>
  <c r="O1136" i="2"/>
  <c r="M1136" i="2"/>
  <c r="R1136" i="2" s="1"/>
  <c r="L1136" i="2"/>
  <c r="K1136" i="2"/>
  <c r="D1136" i="2"/>
  <c r="V1135" i="2"/>
  <c r="Q1135" i="2"/>
  <c r="P1135" i="2"/>
  <c r="O1135" i="2"/>
  <c r="M1135" i="2"/>
  <c r="L1135" i="2"/>
  <c r="K1135" i="2"/>
  <c r="R1135" i="2" s="1"/>
  <c r="S1135" i="2" s="1"/>
  <c r="T1135" i="2" s="1"/>
  <c r="D1135" i="2"/>
  <c r="Q1134" i="2"/>
  <c r="P1134" i="2"/>
  <c r="O1134" i="2"/>
  <c r="M1134" i="2"/>
  <c r="R1134" i="2" s="1"/>
  <c r="S1134" i="2" s="1"/>
  <c r="T1134" i="2" s="1"/>
  <c r="L1134" i="2"/>
  <c r="K1134" i="2"/>
  <c r="D1134" i="2"/>
  <c r="V1133" i="2"/>
  <c r="Q1133" i="2"/>
  <c r="P1133" i="2"/>
  <c r="O1133" i="2"/>
  <c r="M1133" i="2"/>
  <c r="L1133" i="2"/>
  <c r="K1133" i="2"/>
  <c r="D1133" i="2"/>
  <c r="R1132" i="2"/>
  <c r="S1132" i="2" s="1"/>
  <c r="T1132" i="2" s="1"/>
  <c r="Q1132" i="2"/>
  <c r="P1132" i="2"/>
  <c r="V1132" i="2" s="1"/>
  <c r="O1132" i="2"/>
  <c r="M1132" i="2"/>
  <c r="L1132" i="2"/>
  <c r="K1132" i="2"/>
  <c r="D1132" i="2"/>
  <c r="V1131" i="2"/>
  <c r="Q1131" i="2"/>
  <c r="P1131" i="2"/>
  <c r="O1131" i="2"/>
  <c r="M1131" i="2"/>
  <c r="L1131" i="2"/>
  <c r="K1131" i="2"/>
  <c r="D1131" i="2"/>
  <c r="V1130" i="2"/>
  <c r="R1130" i="2"/>
  <c r="Q1130" i="2"/>
  <c r="P1130" i="2"/>
  <c r="O1130" i="2"/>
  <c r="M1130" i="2"/>
  <c r="L1130" i="2"/>
  <c r="K1130" i="2"/>
  <c r="D1130" i="2"/>
  <c r="V1129" i="2"/>
  <c r="Q1129" i="2"/>
  <c r="P1129" i="2"/>
  <c r="O1129" i="2"/>
  <c r="M1129" i="2"/>
  <c r="L1129" i="2"/>
  <c r="K1129" i="2"/>
  <c r="D1129" i="2"/>
  <c r="Q1128" i="2"/>
  <c r="P1128" i="2"/>
  <c r="V1128" i="2" s="1"/>
  <c r="O1128" i="2"/>
  <c r="M1128" i="2"/>
  <c r="R1128" i="2" s="1"/>
  <c r="S1128" i="2" s="1"/>
  <c r="T1128" i="2" s="1"/>
  <c r="L1128" i="2"/>
  <c r="K1128" i="2"/>
  <c r="D1128" i="2"/>
  <c r="V1127" i="2"/>
  <c r="Q1127" i="2"/>
  <c r="P1127" i="2"/>
  <c r="O1127" i="2"/>
  <c r="M1127" i="2"/>
  <c r="L1127" i="2"/>
  <c r="K1127" i="2"/>
  <c r="D1127" i="2"/>
  <c r="Q1126" i="2"/>
  <c r="P1126" i="2"/>
  <c r="S1126" i="2" s="1"/>
  <c r="T1126" i="2" s="1"/>
  <c r="U1126" i="2" s="1"/>
  <c r="O1126" i="2"/>
  <c r="M1126" i="2"/>
  <c r="R1126" i="2" s="1"/>
  <c r="L1126" i="2"/>
  <c r="K1126" i="2"/>
  <c r="S1125" i="2"/>
  <c r="T1125" i="2" s="1"/>
  <c r="U1125" i="2" s="1"/>
  <c r="R1125" i="2"/>
  <c r="Q1125" i="2"/>
  <c r="P1125" i="2"/>
  <c r="O1125" i="2"/>
  <c r="M1125" i="2"/>
  <c r="L1125" i="2"/>
  <c r="K1125" i="2"/>
  <c r="Q1124" i="2"/>
  <c r="P1124" i="2"/>
  <c r="O1124" i="2"/>
  <c r="M1124" i="2"/>
  <c r="L1124" i="2"/>
  <c r="K1124" i="2"/>
  <c r="Q1123" i="2"/>
  <c r="P1123" i="2"/>
  <c r="O1123" i="2"/>
  <c r="M1123" i="2"/>
  <c r="R1123" i="2" s="1"/>
  <c r="L1123" i="2"/>
  <c r="K1123" i="2"/>
  <c r="Q1122" i="2"/>
  <c r="S1122" i="2" s="1"/>
  <c r="T1122" i="2" s="1"/>
  <c r="P1122" i="2"/>
  <c r="O1122" i="2"/>
  <c r="M1122" i="2"/>
  <c r="L1122" i="2"/>
  <c r="K1122" i="2"/>
  <c r="R1122" i="2" s="1"/>
  <c r="Q1121" i="2"/>
  <c r="P1121" i="2"/>
  <c r="O1121" i="2"/>
  <c r="N1121" i="2"/>
  <c r="M1121" i="2"/>
  <c r="L1121" i="2"/>
  <c r="K1121" i="2"/>
  <c r="Q1120" i="2"/>
  <c r="P1120" i="2"/>
  <c r="O1120" i="2"/>
  <c r="M1120" i="2"/>
  <c r="L1120" i="2"/>
  <c r="K1120" i="2"/>
  <c r="R1120" i="2" s="1"/>
  <c r="S1120" i="2" s="1"/>
  <c r="T1120" i="2" s="1"/>
  <c r="U1120" i="2" s="1"/>
  <c r="Q1119" i="2"/>
  <c r="P1119" i="2"/>
  <c r="O1119" i="2"/>
  <c r="M1119" i="2"/>
  <c r="L1119" i="2"/>
  <c r="R1119" i="2" s="1"/>
  <c r="S1119" i="2" s="1"/>
  <c r="T1119" i="2" s="1"/>
  <c r="U1119" i="2" s="1"/>
  <c r="K1119" i="2"/>
  <c r="R1118" i="2"/>
  <c r="Q1118" i="2"/>
  <c r="S1118" i="2" s="1"/>
  <c r="T1118" i="2" s="1"/>
  <c r="U1118" i="2" s="1"/>
  <c r="P1118" i="2"/>
  <c r="O1118" i="2"/>
  <c r="N1118" i="2"/>
  <c r="M1118" i="2"/>
  <c r="L1118" i="2"/>
  <c r="K1118" i="2"/>
  <c r="Q1117" i="2"/>
  <c r="P1117" i="2"/>
  <c r="O1117" i="2"/>
  <c r="M1117" i="2"/>
  <c r="L1117" i="2"/>
  <c r="K1117" i="2"/>
  <c r="R1117" i="2" s="1"/>
  <c r="R1116" i="2"/>
  <c r="Q1116" i="2"/>
  <c r="P1116" i="2"/>
  <c r="S1116" i="2" s="1"/>
  <c r="T1116" i="2" s="1"/>
  <c r="U1116" i="2" s="1"/>
  <c r="O1116" i="2"/>
  <c r="M1116" i="2"/>
  <c r="L1116" i="2"/>
  <c r="K1116" i="2"/>
  <c r="R1115" i="2"/>
  <c r="Q1115" i="2"/>
  <c r="P1115" i="2"/>
  <c r="O1115" i="2"/>
  <c r="M1115" i="2"/>
  <c r="L1115" i="2"/>
  <c r="K1115" i="2"/>
  <c r="Q1114" i="2"/>
  <c r="P1114" i="2"/>
  <c r="O1114" i="2"/>
  <c r="M1114" i="2"/>
  <c r="R1114" i="2" s="1"/>
  <c r="L1114" i="2"/>
  <c r="K1114" i="2"/>
  <c r="S1113" i="2"/>
  <c r="T1113" i="2" s="1"/>
  <c r="U1113" i="2" s="1"/>
  <c r="R1113" i="2"/>
  <c r="Q1113" i="2"/>
  <c r="P1113" i="2"/>
  <c r="O1113" i="2"/>
  <c r="M1113" i="2"/>
  <c r="L1113" i="2"/>
  <c r="K1113" i="2"/>
  <c r="R1112" i="2"/>
  <c r="S1112" i="2" s="1"/>
  <c r="T1112" i="2" s="1"/>
  <c r="U1112" i="2" s="1"/>
  <c r="Q1112" i="2"/>
  <c r="P1112" i="2"/>
  <c r="O1112" i="2"/>
  <c r="M1112" i="2"/>
  <c r="L1112" i="2"/>
  <c r="K1112" i="2"/>
  <c r="Q1111" i="2"/>
  <c r="P1111" i="2"/>
  <c r="O1111" i="2"/>
  <c r="M1111" i="2"/>
  <c r="L1111" i="2"/>
  <c r="K1111" i="2"/>
  <c r="Q1110" i="2"/>
  <c r="P1110" i="2"/>
  <c r="O1110" i="2"/>
  <c r="M1110" i="2"/>
  <c r="L1110" i="2"/>
  <c r="K1110" i="2"/>
  <c r="R1110" i="2" s="1"/>
  <c r="Q1109" i="2"/>
  <c r="P1109" i="2"/>
  <c r="O1109" i="2"/>
  <c r="M1109" i="2"/>
  <c r="L1109" i="2"/>
  <c r="K1109" i="2"/>
  <c r="Q1108" i="2"/>
  <c r="P1108" i="2"/>
  <c r="S1108" i="2" s="1"/>
  <c r="T1108" i="2" s="1"/>
  <c r="U1108" i="2" s="1"/>
  <c r="O1108" i="2"/>
  <c r="M1108" i="2"/>
  <c r="L1108" i="2"/>
  <c r="K1108" i="2"/>
  <c r="R1108" i="2" s="1"/>
  <c r="Q1107" i="2"/>
  <c r="P1107" i="2"/>
  <c r="O1107" i="2"/>
  <c r="M1107" i="2"/>
  <c r="L1107" i="2"/>
  <c r="R1107" i="2" s="1"/>
  <c r="S1107" i="2" s="1"/>
  <c r="T1107" i="2" s="1"/>
  <c r="U1107" i="2" s="1"/>
  <c r="K1107" i="2"/>
  <c r="Q1106" i="2"/>
  <c r="P1106" i="2"/>
  <c r="O1106" i="2"/>
  <c r="M1106" i="2"/>
  <c r="L1106" i="2"/>
  <c r="K1106" i="2"/>
  <c r="R1105" i="2"/>
  <c r="Q1105" i="2"/>
  <c r="P1105" i="2"/>
  <c r="O1105" i="2"/>
  <c r="M1105" i="2"/>
  <c r="L1105" i="2"/>
  <c r="K1105" i="2"/>
  <c r="O1104" i="2"/>
  <c r="L1104" i="2"/>
  <c r="K1104" i="2"/>
  <c r="D1104" i="2"/>
  <c r="Q1103" i="2"/>
  <c r="P1103" i="2"/>
  <c r="O1103" i="2"/>
  <c r="M1103" i="2"/>
  <c r="L1103" i="2"/>
  <c r="R1103" i="2" s="1"/>
  <c r="S1103" i="2" s="1"/>
  <c r="T1103" i="2" s="1"/>
  <c r="K1103" i="2"/>
  <c r="D1103" i="2"/>
  <c r="V1102" i="2"/>
  <c r="Q1102" i="2"/>
  <c r="M1102" i="2" s="1"/>
  <c r="P1102" i="2"/>
  <c r="O1102" i="2"/>
  <c r="L1102" i="2"/>
  <c r="R1102" i="2" s="1"/>
  <c r="S1102" i="2" s="1"/>
  <c r="T1102" i="2" s="1"/>
  <c r="K1102" i="2"/>
  <c r="D1102" i="2"/>
  <c r="Q1101" i="2"/>
  <c r="P1101" i="2"/>
  <c r="O1101" i="2"/>
  <c r="L1101" i="2"/>
  <c r="K1101" i="2"/>
  <c r="D1101" i="2"/>
  <c r="Q1100" i="2"/>
  <c r="P1100" i="2"/>
  <c r="O1100" i="2"/>
  <c r="L1100" i="2"/>
  <c r="K1100" i="2"/>
  <c r="D1100" i="2"/>
  <c r="R1099" i="2"/>
  <c r="Q1099" i="2"/>
  <c r="M1099" i="2" s="1"/>
  <c r="P1099" i="2"/>
  <c r="O1099" i="2"/>
  <c r="L1099" i="2"/>
  <c r="K1099" i="2"/>
  <c r="D1099" i="2"/>
  <c r="O1098" i="2"/>
  <c r="L1098" i="2"/>
  <c r="K1098" i="2"/>
  <c r="D1098" i="2"/>
  <c r="O1097" i="2"/>
  <c r="L1097" i="2"/>
  <c r="K1097" i="2"/>
  <c r="D1097" i="2"/>
  <c r="O1096" i="2"/>
  <c r="L1096" i="2"/>
  <c r="K1096" i="2"/>
  <c r="D1096" i="2"/>
  <c r="R1095" i="2"/>
  <c r="Q1095" i="2"/>
  <c r="O1095" i="2"/>
  <c r="M1095" i="2"/>
  <c r="L1095" i="2"/>
  <c r="K1095" i="2"/>
  <c r="D1095" i="2"/>
  <c r="P1095" i="2" s="1"/>
  <c r="Q1094" i="2"/>
  <c r="M1094" i="2" s="1"/>
  <c r="P1094" i="2"/>
  <c r="O1094" i="2"/>
  <c r="L1094" i="2"/>
  <c r="R1094" i="2" s="1"/>
  <c r="S1094" i="2" s="1"/>
  <c r="T1094" i="2" s="1"/>
  <c r="K1094" i="2"/>
  <c r="D1094" i="2"/>
  <c r="O1093" i="2"/>
  <c r="L1093" i="2"/>
  <c r="K1093" i="2"/>
  <c r="D1093" i="2"/>
  <c r="Q1092" i="2"/>
  <c r="P1092" i="2"/>
  <c r="O1092" i="2"/>
  <c r="M1092" i="2"/>
  <c r="L1092" i="2"/>
  <c r="K1092" i="2"/>
  <c r="Q1091" i="2"/>
  <c r="S1091" i="2" s="1"/>
  <c r="T1091" i="2" s="1"/>
  <c r="U1091" i="2" s="1"/>
  <c r="P1091" i="2"/>
  <c r="C1133" i="8" s="1"/>
  <c r="O1091" i="2"/>
  <c r="M1091" i="2"/>
  <c r="R1091" i="2" s="1"/>
  <c r="L1091" i="2"/>
  <c r="K1091" i="2"/>
  <c r="U1090" i="2"/>
  <c r="T1090" i="2"/>
  <c r="S1090" i="2"/>
  <c r="Q1090" i="2"/>
  <c r="P1090" i="2"/>
  <c r="D1114" i="8" s="1"/>
  <c r="O1090" i="2"/>
  <c r="M1090" i="2"/>
  <c r="L1090" i="2"/>
  <c r="K1090" i="2"/>
  <c r="R1090" i="2" s="1"/>
  <c r="Q1089" i="2"/>
  <c r="P1089" i="2"/>
  <c r="O1089" i="2"/>
  <c r="M1089" i="2"/>
  <c r="L1089" i="2"/>
  <c r="K1089" i="2"/>
  <c r="R1089" i="2" s="1"/>
  <c r="D1089" i="2"/>
  <c r="S1088" i="2"/>
  <c r="T1088" i="2" s="1"/>
  <c r="Q1088" i="2"/>
  <c r="M1088" i="2" s="1"/>
  <c r="R1088" i="2" s="1"/>
  <c r="P1088" i="2"/>
  <c r="O1088" i="2"/>
  <c r="L1088" i="2"/>
  <c r="K1088" i="2"/>
  <c r="D1088" i="2"/>
  <c r="Q1087" i="2"/>
  <c r="P1087" i="2"/>
  <c r="O1087" i="2"/>
  <c r="L1087" i="2"/>
  <c r="K1087" i="2"/>
  <c r="D1087" i="2"/>
  <c r="Q1086" i="2"/>
  <c r="P1086" i="2"/>
  <c r="V1086" i="2" s="1"/>
  <c r="O1086" i="2"/>
  <c r="M1086" i="2"/>
  <c r="R1086" i="2" s="1"/>
  <c r="L1086" i="2"/>
  <c r="K1086" i="2"/>
  <c r="D1086" i="2"/>
  <c r="Q1085" i="2"/>
  <c r="M1085" i="2" s="1"/>
  <c r="R1085" i="2" s="1"/>
  <c r="S1085" i="2" s="1"/>
  <c r="T1085" i="2" s="1"/>
  <c r="P1085" i="2"/>
  <c r="O1085" i="2"/>
  <c r="L1085" i="2"/>
  <c r="K1085" i="2"/>
  <c r="D1085" i="2"/>
  <c r="Q1084" i="2"/>
  <c r="P1084" i="2"/>
  <c r="O1084" i="2"/>
  <c r="M1084" i="2"/>
  <c r="L1084" i="2"/>
  <c r="K1084" i="2"/>
  <c r="Q1083" i="2"/>
  <c r="P1083" i="2"/>
  <c r="O1083" i="2"/>
  <c r="M1083" i="2"/>
  <c r="L1083" i="2"/>
  <c r="K1083" i="2"/>
  <c r="R1082" i="2"/>
  <c r="Q1082" i="2"/>
  <c r="S1082" i="2" s="1"/>
  <c r="T1082" i="2" s="1"/>
  <c r="U1082" i="2" s="1"/>
  <c r="P1082" i="2"/>
  <c r="C231" i="8" s="1"/>
  <c r="O1082" i="2"/>
  <c r="M1082" i="2"/>
  <c r="L1082" i="2"/>
  <c r="K1082" i="2"/>
  <c r="Q1081" i="2"/>
  <c r="S1081" i="2" s="1"/>
  <c r="T1081" i="2" s="1"/>
  <c r="U1081" i="2" s="1"/>
  <c r="P1081" i="2"/>
  <c r="O1081" i="2"/>
  <c r="M1081" i="2"/>
  <c r="L1081" i="2"/>
  <c r="K1081" i="2"/>
  <c r="R1081" i="2" s="1"/>
  <c r="O1080" i="2"/>
  <c r="D1080" i="2"/>
  <c r="Q1079" i="2"/>
  <c r="P1079" i="2"/>
  <c r="O1079" i="2"/>
  <c r="D1079" i="2"/>
  <c r="O1078" i="2"/>
  <c r="K1078" i="2"/>
  <c r="D1078" i="2"/>
  <c r="Q1077" i="2"/>
  <c r="M1077" i="2" s="1"/>
  <c r="P1077" i="2"/>
  <c r="O1077" i="2"/>
  <c r="K1077" i="2"/>
  <c r="R1077" i="2" s="1"/>
  <c r="D1077" i="2"/>
  <c r="O1076" i="2"/>
  <c r="K1076" i="2"/>
  <c r="D1076" i="2"/>
  <c r="O1075" i="2"/>
  <c r="K1075" i="2"/>
  <c r="D1075" i="2"/>
  <c r="R1074" i="2"/>
  <c r="O1074" i="2"/>
  <c r="M1074" i="2"/>
  <c r="K1074" i="2"/>
  <c r="D1074" i="2"/>
  <c r="Q1074" i="2" s="1"/>
  <c r="O1073" i="2"/>
  <c r="K1073" i="2"/>
  <c r="D1073" i="2"/>
  <c r="Q1072" i="2"/>
  <c r="P1072" i="2"/>
  <c r="U1072" i="2" s="1"/>
  <c r="O1072" i="2"/>
  <c r="K1072" i="2"/>
  <c r="D1072" i="2"/>
  <c r="S1071" i="2"/>
  <c r="T1071" i="2" s="1"/>
  <c r="P1071" i="2"/>
  <c r="U1071" i="2" s="1"/>
  <c r="O1071" i="2"/>
  <c r="K1071" i="2"/>
  <c r="R1071" i="2" s="1"/>
  <c r="D1071" i="2"/>
  <c r="Q1071" i="2" s="1"/>
  <c r="M1071" i="2" s="1"/>
  <c r="Q1070" i="2"/>
  <c r="M1070" i="2" s="1"/>
  <c r="R1070" i="2" s="1"/>
  <c r="P1070" i="2"/>
  <c r="O1070" i="2"/>
  <c r="K1070" i="2"/>
  <c r="D1070" i="2"/>
  <c r="U1069" i="2"/>
  <c r="Q1069" i="2"/>
  <c r="P1069" i="2"/>
  <c r="O1069" i="2"/>
  <c r="K1069" i="2"/>
  <c r="D1069" i="2"/>
  <c r="O1068" i="2"/>
  <c r="L1068" i="2"/>
  <c r="K1068" i="2"/>
  <c r="D1068" i="2"/>
  <c r="Q1067" i="2"/>
  <c r="P1067" i="2"/>
  <c r="O1067" i="2"/>
  <c r="L1067" i="2"/>
  <c r="K1067" i="2"/>
  <c r="D1067" i="2"/>
  <c r="Q1066" i="2"/>
  <c r="P1066" i="2"/>
  <c r="O1066" i="2"/>
  <c r="M1066" i="2"/>
  <c r="R1066" i="2" s="1"/>
  <c r="L1066" i="2"/>
  <c r="K1066" i="2"/>
  <c r="D1066" i="2"/>
  <c r="Q1065" i="2"/>
  <c r="P1065" i="2"/>
  <c r="O1065" i="2"/>
  <c r="M1065" i="2"/>
  <c r="L1065" i="2"/>
  <c r="K1065" i="2"/>
  <c r="D1065" i="2"/>
  <c r="Q1064" i="2"/>
  <c r="P1064" i="2"/>
  <c r="O1064" i="2"/>
  <c r="M1064" i="2"/>
  <c r="L1064" i="2"/>
  <c r="K1064" i="2"/>
  <c r="Q1063" i="2"/>
  <c r="P1063" i="2"/>
  <c r="O1063" i="2"/>
  <c r="M1063" i="2"/>
  <c r="L1063" i="2"/>
  <c r="K1063" i="2"/>
  <c r="R1063" i="2" s="1"/>
  <c r="S1063" i="2" s="1"/>
  <c r="T1063" i="2" s="1"/>
  <c r="U1063" i="2" s="1"/>
  <c r="S1062" i="2"/>
  <c r="T1062" i="2" s="1"/>
  <c r="U1062" i="2" s="1"/>
  <c r="R1062" i="2"/>
  <c r="Q1062" i="2"/>
  <c r="P1062" i="2"/>
  <c r="O1062" i="2"/>
  <c r="M1062" i="2"/>
  <c r="L1062" i="2"/>
  <c r="K1062" i="2"/>
  <c r="S1061" i="2"/>
  <c r="T1061" i="2" s="1"/>
  <c r="U1061" i="2" s="1"/>
  <c r="R1061" i="2"/>
  <c r="Q1061" i="2"/>
  <c r="P1061" i="2"/>
  <c r="D1091" i="8" s="1"/>
  <c r="O1061" i="2"/>
  <c r="M1061" i="2"/>
  <c r="L1061" i="2"/>
  <c r="K1061" i="2"/>
  <c r="Q1060" i="2"/>
  <c r="P1060" i="2"/>
  <c r="D57" i="8" s="1"/>
  <c r="O1060" i="2"/>
  <c r="M1060" i="2"/>
  <c r="L1060" i="2"/>
  <c r="K1060" i="2"/>
  <c r="R1060" i="2" s="1"/>
  <c r="S1059" i="2"/>
  <c r="T1059" i="2" s="1"/>
  <c r="U1059" i="2" s="1"/>
  <c r="R1059" i="2"/>
  <c r="Q1059" i="2"/>
  <c r="P1059" i="2"/>
  <c r="O1059" i="2"/>
  <c r="M1059" i="2"/>
  <c r="L1059" i="2"/>
  <c r="K1059" i="2"/>
  <c r="Q1058" i="2"/>
  <c r="S1058" i="2" s="1"/>
  <c r="T1058" i="2" s="1"/>
  <c r="U1058" i="2" s="1"/>
  <c r="P1058" i="2"/>
  <c r="O1058" i="2"/>
  <c r="M1058" i="2"/>
  <c r="R1058" i="2" s="1"/>
  <c r="L1058" i="2"/>
  <c r="K1058" i="2"/>
  <c r="Q1057" i="2"/>
  <c r="P1057" i="2"/>
  <c r="O1057" i="2"/>
  <c r="M1057" i="2"/>
  <c r="R1057" i="2" s="1"/>
  <c r="L1057" i="2"/>
  <c r="K1057" i="2"/>
  <c r="R1056" i="2"/>
  <c r="Q1056" i="2"/>
  <c r="P1056" i="2"/>
  <c r="C41" i="8" s="1"/>
  <c r="O1056" i="2"/>
  <c r="M1056" i="2"/>
  <c r="L1056" i="2"/>
  <c r="K1056" i="2"/>
  <c r="Q1055" i="2"/>
  <c r="P1055" i="2"/>
  <c r="O1055" i="2"/>
  <c r="M1055" i="2"/>
  <c r="L1055" i="2"/>
  <c r="K1055" i="2"/>
  <c r="R1055" i="2" s="1"/>
  <c r="Q1054" i="2"/>
  <c r="M1054" i="2" s="1"/>
  <c r="O1054" i="2"/>
  <c r="L1054" i="2"/>
  <c r="K1054" i="2"/>
  <c r="D1054" i="2"/>
  <c r="P1054" i="2" s="1"/>
  <c r="Q1053" i="2"/>
  <c r="P1053" i="2"/>
  <c r="D988" i="8" s="1"/>
  <c r="O1053" i="2"/>
  <c r="M1053" i="2"/>
  <c r="L1053" i="2"/>
  <c r="K1053" i="2"/>
  <c r="Q1052" i="2"/>
  <c r="P1052" i="2"/>
  <c r="O1052" i="2"/>
  <c r="M1052" i="2"/>
  <c r="R1052" i="2" s="1"/>
  <c r="L1052" i="2"/>
  <c r="K1052" i="2"/>
  <c r="O1051" i="2"/>
  <c r="L1051" i="2"/>
  <c r="K1051" i="2"/>
  <c r="D1051" i="2"/>
  <c r="V1050" i="2"/>
  <c r="Q1050" i="2"/>
  <c r="M1050" i="2" s="1"/>
  <c r="O1050" i="2"/>
  <c r="L1050" i="2"/>
  <c r="R1050" i="2" s="1"/>
  <c r="K1050" i="2"/>
  <c r="D1050" i="2"/>
  <c r="P1050" i="2" s="1"/>
  <c r="O1049" i="2"/>
  <c r="L1049" i="2"/>
  <c r="K1049" i="2"/>
  <c r="D1049" i="2"/>
  <c r="V1048" i="2"/>
  <c r="O1048" i="2"/>
  <c r="L1048" i="2"/>
  <c r="K1048" i="2"/>
  <c r="D1048" i="2"/>
  <c r="P1048" i="2" s="1"/>
  <c r="O1047" i="2"/>
  <c r="L1047" i="2"/>
  <c r="K1047" i="2"/>
  <c r="D1047" i="2"/>
  <c r="Q1046" i="2"/>
  <c r="O1046" i="2"/>
  <c r="V1046" i="2" s="1"/>
  <c r="L1046" i="2"/>
  <c r="K1046" i="2"/>
  <c r="D1046" i="2"/>
  <c r="P1046" i="2" s="1"/>
  <c r="O1045" i="2"/>
  <c r="L1045" i="2"/>
  <c r="K1045" i="2"/>
  <c r="D1045" i="2"/>
  <c r="O1044" i="2"/>
  <c r="L1044" i="2"/>
  <c r="K1044" i="2"/>
  <c r="D1044" i="2"/>
  <c r="R1043" i="2"/>
  <c r="S1043" i="2" s="1"/>
  <c r="T1043" i="2" s="1"/>
  <c r="U1043" i="2" s="1"/>
  <c r="Q1043" i="2"/>
  <c r="P1043" i="2"/>
  <c r="O1043" i="2"/>
  <c r="M1043" i="2"/>
  <c r="L1043" i="2"/>
  <c r="K1043" i="2"/>
  <c r="R1042" i="2"/>
  <c r="Q1042" i="2"/>
  <c r="S1042" i="2" s="1"/>
  <c r="T1042" i="2" s="1"/>
  <c r="U1042" i="2" s="1"/>
  <c r="P1042" i="2"/>
  <c r="O1042" i="2"/>
  <c r="Q1041" i="2"/>
  <c r="P1041" i="2"/>
  <c r="O1041" i="2"/>
  <c r="N1041" i="2"/>
  <c r="R1041" i="2" s="1"/>
  <c r="S1041" i="2" s="1"/>
  <c r="T1041" i="2" s="1"/>
  <c r="M1041" i="2"/>
  <c r="L1041" i="2"/>
  <c r="K1041" i="2"/>
  <c r="D1041" i="2"/>
  <c r="Q1040" i="2"/>
  <c r="P1040" i="2"/>
  <c r="O1040" i="2"/>
  <c r="N1040" i="2"/>
  <c r="L1040" i="2"/>
  <c r="K1040" i="2"/>
  <c r="D1040" i="2"/>
  <c r="Q1039" i="2"/>
  <c r="P1039" i="2"/>
  <c r="O1039" i="2"/>
  <c r="M1039" i="2"/>
  <c r="L1039" i="2"/>
  <c r="K1039" i="2"/>
  <c r="D1039" i="2"/>
  <c r="R1038" i="2"/>
  <c r="Q1038" i="2"/>
  <c r="P1038" i="2"/>
  <c r="O1038" i="2"/>
  <c r="N1038" i="2"/>
  <c r="R1037" i="2"/>
  <c r="Q1037" i="2"/>
  <c r="P1037" i="2"/>
  <c r="O1037" i="2"/>
  <c r="N1037" i="2"/>
  <c r="M1037" i="2"/>
  <c r="L1037" i="2"/>
  <c r="K1037" i="2"/>
  <c r="Q1036" i="2"/>
  <c r="P1036" i="2"/>
  <c r="O1036" i="2"/>
  <c r="M1036" i="2"/>
  <c r="L1036" i="2"/>
  <c r="K1036" i="2"/>
  <c r="R1036" i="2" s="1"/>
  <c r="S1036" i="2" s="1"/>
  <c r="T1036" i="2" s="1"/>
  <c r="U1036" i="2" s="1"/>
  <c r="U1035" i="2"/>
  <c r="R1035" i="2"/>
  <c r="Q1035" i="2"/>
  <c r="S1035" i="2" s="1"/>
  <c r="T1035" i="2" s="1"/>
  <c r="P1035" i="2"/>
  <c r="O1035" i="2"/>
  <c r="T1034" i="2"/>
  <c r="U1034" i="2" s="1"/>
  <c r="S1034" i="2"/>
  <c r="R1034" i="2"/>
  <c r="Q1034" i="2"/>
  <c r="P1034" i="2"/>
  <c r="O1034" i="2"/>
  <c r="M1034" i="2"/>
  <c r="L1034" i="2"/>
  <c r="K1034" i="2"/>
  <c r="R1033" i="2"/>
  <c r="S1033" i="2" s="1"/>
  <c r="T1033" i="2" s="1"/>
  <c r="U1033" i="2" s="1"/>
  <c r="Q1033" i="2"/>
  <c r="P1033" i="2"/>
  <c r="O1033" i="2"/>
  <c r="M1033" i="2"/>
  <c r="L1033" i="2"/>
  <c r="K1033" i="2"/>
  <c r="S1032" i="2"/>
  <c r="T1032" i="2" s="1"/>
  <c r="U1032" i="2" s="1"/>
  <c r="R1032" i="2"/>
  <c r="Q1032" i="2"/>
  <c r="P1032" i="2"/>
  <c r="D1032" i="8" s="1"/>
  <c r="O1032" i="2"/>
  <c r="M1032" i="2"/>
  <c r="L1032" i="2"/>
  <c r="K1032" i="2"/>
  <c r="R1031" i="2"/>
  <c r="S1031" i="2" s="1"/>
  <c r="T1031" i="2" s="1"/>
  <c r="U1031" i="2" s="1"/>
  <c r="Q1031" i="2"/>
  <c r="P1031" i="2"/>
  <c r="C959" i="8" s="1"/>
  <c r="O1031" i="2"/>
  <c r="M1031" i="2"/>
  <c r="L1031" i="2"/>
  <c r="K1031" i="2"/>
  <c r="Q1030" i="2"/>
  <c r="P1030" i="2"/>
  <c r="O1030" i="2"/>
  <c r="M1030" i="2"/>
  <c r="L1030" i="2"/>
  <c r="K1030" i="2"/>
  <c r="Q1029" i="2"/>
  <c r="P1029" i="2"/>
  <c r="O1029" i="2"/>
  <c r="M1029" i="2"/>
  <c r="L1029" i="2"/>
  <c r="K1029" i="2"/>
  <c r="S1028" i="2"/>
  <c r="T1028" i="2" s="1"/>
  <c r="U1028" i="2" s="1"/>
  <c r="R1028" i="2"/>
  <c r="Q1028" i="2"/>
  <c r="P1028" i="2"/>
  <c r="O1028" i="2"/>
  <c r="M1028" i="2"/>
  <c r="L1028" i="2"/>
  <c r="K1028" i="2"/>
  <c r="R1027" i="2"/>
  <c r="S1027" i="2" s="1"/>
  <c r="T1027" i="2" s="1"/>
  <c r="Q1027" i="2"/>
  <c r="P1027" i="2"/>
  <c r="O1027" i="2"/>
  <c r="M1027" i="2"/>
  <c r="L1027" i="2"/>
  <c r="K1027" i="2"/>
  <c r="Q1026" i="2"/>
  <c r="S1026" i="2" s="1"/>
  <c r="T1026" i="2" s="1"/>
  <c r="U1026" i="2" s="1"/>
  <c r="P1026" i="2"/>
  <c r="O1026" i="2"/>
  <c r="N1026" i="2"/>
  <c r="R1026" i="2" s="1"/>
  <c r="M1026" i="2"/>
  <c r="L1026" i="2"/>
  <c r="K1026" i="2"/>
  <c r="O1025" i="2"/>
  <c r="N1025" i="2"/>
  <c r="L1025" i="2"/>
  <c r="K1025" i="2"/>
  <c r="D1025" i="2"/>
  <c r="Q1025" i="2" s="1"/>
  <c r="Q1024" i="2"/>
  <c r="P1024" i="2"/>
  <c r="S1024" i="2" s="1"/>
  <c r="T1024" i="2" s="1"/>
  <c r="O1024" i="2"/>
  <c r="N1024" i="2"/>
  <c r="M1024" i="2"/>
  <c r="R1024" i="2" s="1"/>
  <c r="L1024" i="2"/>
  <c r="K1024" i="2"/>
  <c r="D1024" i="2"/>
  <c r="O1023" i="2"/>
  <c r="N1023" i="2"/>
  <c r="L1023" i="2"/>
  <c r="K1023" i="2"/>
  <c r="D1023" i="2"/>
  <c r="T1022" i="2"/>
  <c r="S1022" i="2"/>
  <c r="Q1022" i="2"/>
  <c r="P1022" i="2"/>
  <c r="O1022" i="2"/>
  <c r="N1022" i="2"/>
  <c r="M1022" i="2"/>
  <c r="R1022" i="2" s="1"/>
  <c r="L1022" i="2"/>
  <c r="K1022" i="2"/>
  <c r="D1022" i="2"/>
  <c r="O1021" i="2"/>
  <c r="N1021" i="2"/>
  <c r="L1021" i="2"/>
  <c r="K1021" i="2"/>
  <c r="D1021" i="2"/>
  <c r="Q1020" i="2"/>
  <c r="P1020" i="2"/>
  <c r="S1020" i="2" s="1"/>
  <c r="T1020" i="2" s="1"/>
  <c r="O1020" i="2"/>
  <c r="N1020" i="2"/>
  <c r="M1020" i="2"/>
  <c r="R1020" i="2" s="1"/>
  <c r="L1020" i="2"/>
  <c r="K1020" i="2"/>
  <c r="D1020" i="2"/>
  <c r="O1019" i="2"/>
  <c r="N1019" i="2"/>
  <c r="L1019" i="2"/>
  <c r="K1019" i="2"/>
  <c r="D1019" i="2"/>
  <c r="Q1018" i="2"/>
  <c r="P1018" i="2"/>
  <c r="S1018" i="2" s="1"/>
  <c r="T1018" i="2" s="1"/>
  <c r="O1018" i="2"/>
  <c r="N1018" i="2"/>
  <c r="M1018" i="2"/>
  <c r="R1018" i="2" s="1"/>
  <c r="L1018" i="2"/>
  <c r="K1018" i="2"/>
  <c r="D1018" i="2"/>
  <c r="Q1017" i="2"/>
  <c r="P1017" i="2"/>
  <c r="O1017" i="2"/>
  <c r="N1017" i="2"/>
  <c r="L1017" i="2"/>
  <c r="K1017" i="2"/>
  <c r="D1017" i="2"/>
  <c r="Q1016" i="2"/>
  <c r="M1016" i="2" s="1"/>
  <c r="P1016" i="2"/>
  <c r="O1016" i="2"/>
  <c r="L1016" i="2"/>
  <c r="K1016" i="2"/>
  <c r="R1016" i="2" s="1"/>
  <c r="S1016" i="2" s="1"/>
  <c r="T1016" i="2" s="1"/>
  <c r="D1016" i="2"/>
  <c r="P1015" i="2"/>
  <c r="O1015" i="2"/>
  <c r="L1015" i="2"/>
  <c r="K1015" i="2"/>
  <c r="D1015" i="2"/>
  <c r="Q1015" i="2" s="1"/>
  <c r="Q1014" i="2"/>
  <c r="M1014" i="2" s="1"/>
  <c r="O1014" i="2"/>
  <c r="L1014" i="2"/>
  <c r="K1014" i="2"/>
  <c r="D1014" i="2"/>
  <c r="P1014" i="2" s="1"/>
  <c r="S1013" i="2"/>
  <c r="T1013" i="2" s="1"/>
  <c r="Q1013" i="2"/>
  <c r="P1013" i="2"/>
  <c r="O1013" i="2"/>
  <c r="M1013" i="2"/>
  <c r="L1013" i="2"/>
  <c r="R1013" i="2" s="1"/>
  <c r="K1013" i="2"/>
  <c r="D1013" i="2"/>
  <c r="Q1012" i="2"/>
  <c r="O1012" i="2"/>
  <c r="M1012" i="2"/>
  <c r="L1012" i="2"/>
  <c r="R1012" i="2" s="1"/>
  <c r="S1012" i="2" s="1"/>
  <c r="T1012" i="2" s="1"/>
  <c r="K1012" i="2"/>
  <c r="D1012" i="2"/>
  <c r="P1012" i="2" s="1"/>
  <c r="O1011" i="2"/>
  <c r="L1011" i="2"/>
  <c r="K1011" i="2"/>
  <c r="D1011" i="2"/>
  <c r="Q1010" i="2"/>
  <c r="P1010" i="2"/>
  <c r="O1010" i="2"/>
  <c r="L1010" i="2"/>
  <c r="K1010" i="2"/>
  <c r="D1010" i="2"/>
  <c r="Q1009" i="2"/>
  <c r="M1009" i="2" s="1"/>
  <c r="O1009" i="2"/>
  <c r="L1009" i="2"/>
  <c r="K1009" i="2"/>
  <c r="D1009" i="2"/>
  <c r="P1009" i="2" s="1"/>
  <c r="O1008" i="2"/>
  <c r="L1008" i="2"/>
  <c r="K1008" i="2"/>
  <c r="D1008" i="2"/>
  <c r="T1007" i="2"/>
  <c r="S1007" i="2"/>
  <c r="Q1007" i="2"/>
  <c r="M1007" i="2" s="1"/>
  <c r="O1007" i="2"/>
  <c r="L1007" i="2"/>
  <c r="K1007" i="2"/>
  <c r="R1007" i="2" s="1"/>
  <c r="D1007" i="2"/>
  <c r="P1007" i="2" s="1"/>
  <c r="R1006" i="2"/>
  <c r="Q1006" i="2"/>
  <c r="M1006" i="2" s="1"/>
  <c r="O1006" i="2"/>
  <c r="L1006" i="2"/>
  <c r="K1006" i="2"/>
  <c r="D1006" i="2"/>
  <c r="P1006" i="2" s="1"/>
  <c r="O1005" i="2"/>
  <c r="N1005" i="2"/>
  <c r="L1005" i="2"/>
  <c r="K1005" i="2"/>
  <c r="D1005" i="2"/>
  <c r="Q1004" i="2"/>
  <c r="P1004" i="2"/>
  <c r="O1004" i="2"/>
  <c r="L1004" i="2"/>
  <c r="K1004" i="2"/>
  <c r="D1004" i="2"/>
  <c r="Q1003" i="2"/>
  <c r="M1003" i="2" s="1"/>
  <c r="R1003" i="2" s="1"/>
  <c r="O1003" i="2"/>
  <c r="L1003" i="2"/>
  <c r="K1003" i="2"/>
  <c r="D1003" i="2"/>
  <c r="P1003" i="2" s="1"/>
  <c r="Q1002" i="2"/>
  <c r="O1002" i="2"/>
  <c r="L1002" i="2"/>
  <c r="K1002" i="2"/>
  <c r="D1002" i="2"/>
  <c r="P1002" i="2" s="1"/>
  <c r="Q1001" i="2"/>
  <c r="P1001" i="2"/>
  <c r="C1231" i="8" s="1"/>
  <c r="O1001" i="2"/>
  <c r="M1001" i="2"/>
  <c r="L1001" i="2"/>
  <c r="R1001" i="2" s="1"/>
  <c r="K1001" i="2"/>
  <c r="Q1000" i="2"/>
  <c r="P1000" i="2"/>
  <c r="O1000" i="2"/>
  <c r="M1000" i="2"/>
  <c r="L1000" i="2"/>
  <c r="R1000" i="2" s="1"/>
  <c r="K1000" i="2"/>
  <c r="Q999" i="2"/>
  <c r="P999" i="2"/>
  <c r="O999" i="2"/>
  <c r="M999" i="2"/>
  <c r="L999" i="2"/>
  <c r="K999" i="2"/>
  <c r="U998" i="2"/>
  <c r="S998" i="2"/>
  <c r="T998" i="2" s="1"/>
  <c r="R998" i="2"/>
  <c r="Q998" i="2"/>
  <c r="P998" i="2"/>
  <c r="O998" i="2"/>
  <c r="M998" i="2"/>
  <c r="L998" i="2"/>
  <c r="K998" i="2"/>
  <c r="Q997" i="2"/>
  <c r="P997" i="2"/>
  <c r="O997" i="2"/>
  <c r="M997" i="2"/>
  <c r="R997" i="2" s="1"/>
  <c r="L997" i="2"/>
  <c r="K997" i="2"/>
  <c r="Q996" i="2"/>
  <c r="P996" i="2"/>
  <c r="C1116" i="8" s="1"/>
  <c r="O996" i="2"/>
  <c r="M996" i="2"/>
  <c r="L996" i="2"/>
  <c r="K996" i="2"/>
  <c r="V995" i="2"/>
  <c r="S995" i="2"/>
  <c r="T995" i="2" s="1"/>
  <c r="P995" i="2"/>
  <c r="O995" i="2"/>
  <c r="M995" i="2"/>
  <c r="L995" i="2"/>
  <c r="K995" i="2"/>
  <c r="R995" i="2" s="1"/>
  <c r="D995" i="2"/>
  <c r="Q995" i="2" s="1"/>
  <c r="Q994" i="2"/>
  <c r="P994" i="2"/>
  <c r="O994" i="2"/>
  <c r="M994" i="2"/>
  <c r="L994" i="2"/>
  <c r="K994" i="2"/>
  <c r="R994" i="2" s="1"/>
  <c r="S994" i="2" s="1"/>
  <c r="T994" i="2" s="1"/>
  <c r="S993" i="2"/>
  <c r="T993" i="2" s="1"/>
  <c r="U993" i="2" s="1"/>
  <c r="R993" i="2"/>
  <c r="Q993" i="2"/>
  <c r="P993" i="2"/>
  <c r="O993" i="2"/>
  <c r="N993" i="2"/>
  <c r="M993" i="2"/>
  <c r="L993" i="2"/>
  <c r="K993" i="2"/>
  <c r="Q992" i="2"/>
  <c r="P992" i="2"/>
  <c r="O992" i="2"/>
  <c r="M992" i="2"/>
  <c r="L992" i="2"/>
  <c r="K992" i="2"/>
  <c r="R991" i="2"/>
  <c r="S991" i="2" s="1"/>
  <c r="T991" i="2" s="1"/>
  <c r="U991" i="2" s="1"/>
  <c r="Q991" i="2"/>
  <c r="P991" i="2"/>
  <c r="O991" i="2"/>
  <c r="M991" i="2"/>
  <c r="L991" i="2"/>
  <c r="K991" i="2"/>
  <c r="R990" i="2"/>
  <c r="Q990" i="2"/>
  <c r="S990" i="2" s="1"/>
  <c r="T990" i="2" s="1"/>
  <c r="U990" i="2" s="1"/>
  <c r="P990" i="2"/>
  <c r="O990" i="2"/>
  <c r="N990" i="2"/>
  <c r="R989" i="2"/>
  <c r="Q989" i="2"/>
  <c r="P989" i="2"/>
  <c r="O989" i="2"/>
  <c r="T988" i="2"/>
  <c r="S988" i="2"/>
  <c r="R988" i="2"/>
  <c r="Q988" i="2"/>
  <c r="P988" i="2"/>
  <c r="O988" i="2"/>
  <c r="Q987" i="2"/>
  <c r="M987" i="2" s="1"/>
  <c r="R987" i="2" s="1"/>
  <c r="P987" i="2"/>
  <c r="O987" i="2"/>
  <c r="L987" i="2"/>
  <c r="K987" i="2"/>
  <c r="D987" i="2"/>
  <c r="Q986" i="2"/>
  <c r="P986" i="2"/>
  <c r="O986" i="2"/>
  <c r="L986" i="2"/>
  <c r="K986" i="2"/>
  <c r="D986" i="2"/>
  <c r="Q985" i="2"/>
  <c r="P985" i="2"/>
  <c r="O985" i="2"/>
  <c r="M985" i="2"/>
  <c r="L985" i="2"/>
  <c r="R985" i="2" s="1"/>
  <c r="K985" i="2"/>
  <c r="Q984" i="2"/>
  <c r="P984" i="2"/>
  <c r="O984" i="2"/>
  <c r="M984" i="2"/>
  <c r="L984" i="2"/>
  <c r="K984" i="2"/>
  <c r="Q983" i="2"/>
  <c r="P983" i="2"/>
  <c r="O983" i="2"/>
  <c r="M983" i="2"/>
  <c r="L983" i="2"/>
  <c r="K983" i="2"/>
  <c r="R983" i="2" s="1"/>
  <c r="S983" i="2" s="1"/>
  <c r="T983" i="2" s="1"/>
  <c r="U983" i="2" s="1"/>
  <c r="R982" i="2"/>
  <c r="Q982" i="2"/>
  <c r="P982" i="2"/>
  <c r="D1213" i="8" s="1"/>
  <c r="O982" i="2"/>
  <c r="M982" i="2"/>
  <c r="L982" i="2"/>
  <c r="K982" i="2"/>
  <c r="R981" i="2"/>
  <c r="Q981" i="2"/>
  <c r="P981" i="2"/>
  <c r="O981" i="2"/>
  <c r="M981" i="2"/>
  <c r="L981" i="2"/>
  <c r="K981" i="2"/>
  <c r="R980" i="2"/>
  <c r="Q980" i="2"/>
  <c r="P980" i="2"/>
  <c r="O980" i="2"/>
  <c r="M980" i="2"/>
  <c r="L980" i="2"/>
  <c r="K980" i="2"/>
  <c r="R979" i="2"/>
  <c r="S979" i="2" s="1"/>
  <c r="T979" i="2" s="1"/>
  <c r="U979" i="2" s="1"/>
  <c r="Q979" i="2"/>
  <c r="P979" i="2"/>
  <c r="O979" i="2"/>
  <c r="M979" i="2"/>
  <c r="L979" i="2"/>
  <c r="K979" i="2"/>
  <c r="Q978" i="2"/>
  <c r="P978" i="2"/>
  <c r="O978" i="2"/>
  <c r="M978" i="2"/>
  <c r="L978" i="2"/>
  <c r="K978" i="2"/>
  <c r="Q977" i="2"/>
  <c r="P977" i="2"/>
  <c r="O977" i="2"/>
  <c r="M977" i="2"/>
  <c r="L977" i="2"/>
  <c r="K977" i="2"/>
  <c r="R977" i="2" s="1"/>
  <c r="Q976" i="2"/>
  <c r="P976" i="2"/>
  <c r="O976" i="2"/>
  <c r="L976" i="2"/>
  <c r="K976" i="2"/>
  <c r="D976" i="2"/>
  <c r="O975" i="2"/>
  <c r="L975" i="2"/>
  <c r="K975" i="2"/>
  <c r="D975" i="2"/>
  <c r="Q974" i="2"/>
  <c r="P974" i="2"/>
  <c r="D87" i="8" s="1"/>
  <c r="O974" i="2"/>
  <c r="M974" i="2"/>
  <c r="L974" i="2"/>
  <c r="K974" i="2"/>
  <c r="R974" i="2" s="1"/>
  <c r="R973" i="2"/>
  <c r="Q973" i="2"/>
  <c r="M973" i="2" s="1"/>
  <c r="O973" i="2"/>
  <c r="L973" i="2"/>
  <c r="K973" i="2"/>
  <c r="D973" i="2"/>
  <c r="P973" i="2" s="1"/>
  <c r="Q972" i="2"/>
  <c r="S972" i="2" s="1"/>
  <c r="T972" i="2" s="1"/>
  <c r="U972" i="2" s="1"/>
  <c r="P972" i="2"/>
  <c r="D981" i="8" s="1"/>
  <c r="O972" i="2"/>
  <c r="M972" i="2"/>
  <c r="L972" i="2"/>
  <c r="K972" i="2"/>
  <c r="R972" i="2" s="1"/>
  <c r="U971" i="2"/>
  <c r="Q971" i="2"/>
  <c r="S971" i="2" s="1"/>
  <c r="T971" i="2" s="1"/>
  <c r="P971" i="2"/>
  <c r="O971" i="2"/>
  <c r="N971" i="2"/>
  <c r="R971" i="2" s="1"/>
  <c r="M971" i="2"/>
  <c r="L971" i="2"/>
  <c r="K971" i="2"/>
  <c r="R970" i="2"/>
  <c r="S970" i="2" s="1"/>
  <c r="T970" i="2" s="1"/>
  <c r="U970" i="2" s="1"/>
  <c r="Q970" i="2"/>
  <c r="P970" i="2"/>
  <c r="C576" i="8" s="1"/>
  <c r="O970" i="2"/>
  <c r="M970" i="2"/>
  <c r="L970" i="2"/>
  <c r="K970" i="2"/>
  <c r="Q969" i="2"/>
  <c r="P969" i="2"/>
  <c r="O969" i="2"/>
  <c r="M969" i="2"/>
  <c r="L969" i="2"/>
  <c r="K969" i="2"/>
  <c r="Q968" i="2"/>
  <c r="P968" i="2"/>
  <c r="C384" i="8" s="1"/>
  <c r="O968" i="2"/>
  <c r="M968" i="2"/>
  <c r="L968" i="2"/>
  <c r="K968" i="2"/>
  <c r="R967" i="2"/>
  <c r="S967" i="2" s="1"/>
  <c r="T967" i="2" s="1"/>
  <c r="U967" i="2" s="1"/>
  <c r="Q967" i="2"/>
  <c r="P967" i="2"/>
  <c r="O967" i="2"/>
  <c r="M967" i="2"/>
  <c r="L967" i="2"/>
  <c r="K967" i="2"/>
  <c r="T966" i="2"/>
  <c r="U966" i="2" s="1"/>
  <c r="S966" i="2"/>
  <c r="R966" i="2"/>
  <c r="Q966" i="2"/>
  <c r="P966" i="2"/>
  <c r="O966" i="2"/>
  <c r="M966" i="2"/>
  <c r="L966" i="2"/>
  <c r="K966" i="2"/>
  <c r="S965" i="2"/>
  <c r="T965" i="2" s="1"/>
  <c r="U965" i="2" s="1"/>
  <c r="R965" i="2"/>
  <c r="Q965" i="2"/>
  <c r="P965" i="2"/>
  <c r="O965" i="2"/>
  <c r="M965" i="2"/>
  <c r="L965" i="2"/>
  <c r="K965" i="2"/>
  <c r="R964" i="2"/>
  <c r="Q964" i="2"/>
  <c r="P964" i="2"/>
  <c r="O964" i="2"/>
  <c r="M964" i="2"/>
  <c r="L964" i="2"/>
  <c r="K964" i="2"/>
  <c r="Q963" i="2"/>
  <c r="M963" i="2" s="1"/>
  <c r="R963" i="2" s="1"/>
  <c r="S963" i="2" s="1"/>
  <c r="T963" i="2" s="1"/>
  <c r="P963" i="2"/>
  <c r="O963" i="2"/>
  <c r="V963" i="2" s="1"/>
  <c r="L963" i="2"/>
  <c r="K963" i="2"/>
  <c r="D963" i="2"/>
  <c r="Q962" i="2"/>
  <c r="P962" i="2"/>
  <c r="O962" i="2"/>
  <c r="L962" i="2"/>
  <c r="K962" i="2"/>
  <c r="D962" i="2"/>
  <c r="V961" i="2"/>
  <c r="Q961" i="2"/>
  <c r="P961" i="2"/>
  <c r="O961" i="2"/>
  <c r="L961" i="2"/>
  <c r="K961" i="2"/>
  <c r="D961" i="2"/>
  <c r="Q960" i="2"/>
  <c r="P960" i="2"/>
  <c r="O960" i="2"/>
  <c r="L960" i="2"/>
  <c r="K960" i="2"/>
  <c r="D960" i="2"/>
  <c r="Q959" i="2"/>
  <c r="M959" i="2" s="1"/>
  <c r="P959" i="2"/>
  <c r="O959" i="2"/>
  <c r="L959" i="2"/>
  <c r="R959" i="2" s="1"/>
  <c r="S959" i="2" s="1"/>
  <c r="T959" i="2" s="1"/>
  <c r="K959" i="2"/>
  <c r="D959" i="2"/>
  <c r="Q958" i="2"/>
  <c r="P958" i="2"/>
  <c r="O958" i="2"/>
  <c r="M958" i="2"/>
  <c r="L958" i="2"/>
  <c r="K958" i="2"/>
  <c r="D958" i="2"/>
  <c r="Q957" i="2"/>
  <c r="P957" i="2"/>
  <c r="O957" i="2"/>
  <c r="M957" i="2"/>
  <c r="R957" i="2" s="1"/>
  <c r="L957" i="2"/>
  <c r="K957" i="2"/>
  <c r="Q956" i="2"/>
  <c r="S956" i="2" s="1"/>
  <c r="T956" i="2" s="1"/>
  <c r="U956" i="2" s="1"/>
  <c r="P956" i="2"/>
  <c r="O956" i="2"/>
  <c r="M956" i="2"/>
  <c r="L956" i="2"/>
  <c r="K956" i="2"/>
  <c r="R956" i="2" s="1"/>
  <c r="O955" i="2"/>
  <c r="L955" i="2"/>
  <c r="K955" i="2"/>
  <c r="D955" i="2"/>
  <c r="R954" i="2"/>
  <c r="Q954" i="2"/>
  <c r="P954" i="2"/>
  <c r="O954" i="2"/>
  <c r="M954" i="2"/>
  <c r="L954" i="2"/>
  <c r="K954" i="2"/>
  <c r="R953" i="2"/>
  <c r="Q953" i="2"/>
  <c r="P953" i="2"/>
  <c r="C829" i="8" s="1"/>
  <c r="O953" i="2"/>
  <c r="M953" i="2"/>
  <c r="L953" i="2"/>
  <c r="K953" i="2"/>
  <c r="Q952" i="2"/>
  <c r="O952" i="2"/>
  <c r="M952" i="2"/>
  <c r="L952" i="2"/>
  <c r="K952" i="2"/>
  <c r="D952" i="2"/>
  <c r="P952" i="2" s="1"/>
  <c r="Q951" i="2"/>
  <c r="O951" i="2"/>
  <c r="M951" i="2"/>
  <c r="L951" i="2"/>
  <c r="K951" i="2"/>
  <c r="D951" i="2"/>
  <c r="P951" i="2" s="1"/>
  <c r="R950" i="2"/>
  <c r="Q950" i="2"/>
  <c r="P950" i="2"/>
  <c r="D1423" i="8" s="1"/>
  <c r="O950" i="2"/>
  <c r="M950" i="2"/>
  <c r="L950" i="2"/>
  <c r="K950" i="2"/>
  <c r="Q949" i="2"/>
  <c r="P949" i="2"/>
  <c r="O949" i="2"/>
  <c r="M949" i="2"/>
  <c r="L949" i="2"/>
  <c r="K949" i="2"/>
  <c r="R949" i="2" s="1"/>
  <c r="Q948" i="2"/>
  <c r="P948" i="2"/>
  <c r="O948" i="2"/>
  <c r="M948" i="2"/>
  <c r="L948" i="2"/>
  <c r="K948" i="2"/>
  <c r="Q947" i="2"/>
  <c r="P947" i="2"/>
  <c r="O947" i="2"/>
  <c r="M947" i="2"/>
  <c r="L947" i="2"/>
  <c r="K947" i="2"/>
  <c r="R947" i="2" s="1"/>
  <c r="S946" i="2"/>
  <c r="T946" i="2" s="1"/>
  <c r="U946" i="2" s="1"/>
  <c r="Q946" i="2"/>
  <c r="P946" i="2"/>
  <c r="D1072" i="8" s="1"/>
  <c r="O946" i="2"/>
  <c r="N946" i="2"/>
  <c r="R946" i="2" s="1"/>
  <c r="M946" i="2"/>
  <c r="L946" i="2"/>
  <c r="K946" i="2"/>
  <c r="S945" i="2"/>
  <c r="T945" i="2" s="1"/>
  <c r="U945" i="2" s="1"/>
  <c r="R945" i="2"/>
  <c r="Q945" i="2"/>
  <c r="P945" i="2"/>
  <c r="O945" i="2"/>
  <c r="N945" i="2"/>
  <c r="M945" i="2"/>
  <c r="L945" i="2"/>
  <c r="K945" i="2"/>
  <c r="Q944" i="2"/>
  <c r="P944" i="2"/>
  <c r="C835" i="8" s="1"/>
  <c r="O944" i="2"/>
  <c r="M944" i="2"/>
  <c r="L944" i="2"/>
  <c r="K944" i="2"/>
  <c r="Q943" i="2"/>
  <c r="P943" i="2"/>
  <c r="O943" i="2"/>
  <c r="M943" i="2"/>
  <c r="R943" i="2" s="1"/>
  <c r="S943" i="2" s="1"/>
  <c r="T943" i="2" s="1"/>
  <c r="U943" i="2" s="1"/>
  <c r="L943" i="2"/>
  <c r="K943" i="2"/>
  <c r="Q942" i="2"/>
  <c r="P942" i="2"/>
  <c r="O942" i="2"/>
  <c r="N942" i="2"/>
  <c r="L942" i="2"/>
  <c r="D942" i="2"/>
  <c r="Q941" i="2"/>
  <c r="M941" i="2" s="1"/>
  <c r="P941" i="2"/>
  <c r="O941" i="2"/>
  <c r="N941" i="2"/>
  <c r="L941" i="2"/>
  <c r="D941" i="2"/>
  <c r="Q940" i="2"/>
  <c r="P940" i="2"/>
  <c r="O940" i="2"/>
  <c r="N940" i="2"/>
  <c r="M940" i="2"/>
  <c r="L940" i="2"/>
  <c r="D940" i="2"/>
  <c r="O939" i="2"/>
  <c r="N939" i="2"/>
  <c r="L939" i="2"/>
  <c r="K939" i="2"/>
  <c r="D939" i="2"/>
  <c r="O938" i="2"/>
  <c r="N938" i="2"/>
  <c r="L938" i="2"/>
  <c r="K938" i="2"/>
  <c r="D938" i="2"/>
  <c r="T937" i="2"/>
  <c r="U937" i="2" s="1"/>
  <c r="S937" i="2"/>
  <c r="R937" i="2"/>
  <c r="Q937" i="2"/>
  <c r="P937" i="2"/>
  <c r="O937" i="2"/>
  <c r="Q936" i="2"/>
  <c r="S936" i="2" s="1"/>
  <c r="T936" i="2" s="1"/>
  <c r="U936" i="2" s="1"/>
  <c r="P936" i="2"/>
  <c r="O936" i="2"/>
  <c r="M936" i="2"/>
  <c r="L936" i="2"/>
  <c r="K936" i="2"/>
  <c r="R936" i="2" s="1"/>
  <c r="Q935" i="2"/>
  <c r="M935" i="2" s="1"/>
  <c r="R935" i="2" s="1"/>
  <c r="P935" i="2"/>
  <c r="V935" i="2" s="1"/>
  <c r="O935" i="2"/>
  <c r="L935" i="2"/>
  <c r="K935" i="2"/>
  <c r="D935" i="2"/>
  <c r="O934" i="2"/>
  <c r="L934" i="2"/>
  <c r="K934" i="2"/>
  <c r="D934" i="2"/>
  <c r="Q933" i="2"/>
  <c r="P933" i="2"/>
  <c r="V933" i="2" s="1"/>
  <c r="O933" i="2"/>
  <c r="L933" i="2"/>
  <c r="K933" i="2"/>
  <c r="D933" i="2"/>
  <c r="R932" i="2"/>
  <c r="Q932" i="2"/>
  <c r="O932" i="2"/>
  <c r="M932" i="2"/>
  <c r="L932" i="2"/>
  <c r="K932" i="2"/>
  <c r="D932" i="2"/>
  <c r="P932" i="2" s="1"/>
  <c r="V931" i="2"/>
  <c r="Q931" i="2"/>
  <c r="P931" i="2"/>
  <c r="O931" i="2"/>
  <c r="L931" i="2"/>
  <c r="K931" i="2"/>
  <c r="D931" i="2"/>
  <c r="T930" i="2"/>
  <c r="S930" i="2"/>
  <c r="R930" i="2"/>
  <c r="Q930" i="2"/>
  <c r="P930" i="2"/>
  <c r="C685" i="8" s="1"/>
  <c r="O930" i="2"/>
  <c r="M930" i="2"/>
  <c r="L930" i="2"/>
  <c r="K930" i="2"/>
  <c r="Q929" i="2"/>
  <c r="P929" i="2"/>
  <c r="O929" i="2"/>
  <c r="M929" i="2"/>
  <c r="L929" i="2"/>
  <c r="K929" i="2"/>
  <c r="Q928" i="2"/>
  <c r="P928" i="2"/>
  <c r="O928" i="2"/>
  <c r="M928" i="2"/>
  <c r="L928" i="2"/>
  <c r="K928" i="2"/>
  <c r="Q927" i="2"/>
  <c r="P927" i="2"/>
  <c r="O927" i="2"/>
  <c r="N927" i="2"/>
  <c r="M927" i="2"/>
  <c r="L927" i="2"/>
  <c r="K927" i="2"/>
  <c r="Q926" i="2"/>
  <c r="P926" i="2"/>
  <c r="O926" i="2"/>
  <c r="M926" i="2"/>
  <c r="L926" i="2"/>
  <c r="K926" i="2"/>
  <c r="U925" i="2"/>
  <c r="Q925" i="2"/>
  <c r="S925" i="2" s="1"/>
  <c r="T925" i="2" s="1"/>
  <c r="P925" i="2"/>
  <c r="O925" i="2"/>
  <c r="M925" i="2"/>
  <c r="L925" i="2"/>
  <c r="K925" i="2"/>
  <c r="R925" i="2" s="1"/>
  <c r="P924" i="2"/>
  <c r="O924" i="2"/>
  <c r="M924" i="2"/>
  <c r="R924" i="2" s="1"/>
  <c r="L924" i="2"/>
  <c r="K924" i="2"/>
  <c r="D924" i="2"/>
  <c r="Q924" i="2" s="1"/>
  <c r="P923" i="2"/>
  <c r="K923" i="2" s="1"/>
  <c r="R923" i="2" s="1"/>
  <c r="S923" i="2" s="1"/>
  <c r="T923" i="2" s="1"/>
  <c r="O923" i="2"/>
  <c r="M923" i="2"/>
  <c r="D923" i="2"/>
  <c r="Q923" i="2" s="1"/>
  <c r="Q922" i="2"/>
  <c r="P922" i="2"/>
  <c r="K922" i="2" s="1"/>
  <c r="O922" i="2"/>
  <c r="D922" i="2"/>
  <c r="O921" i="2"/>
  <c r="L921" i="2"/>
  <c r="K921" i="2"/>
  <c r="D921" i="2"/>
  <c r="Q920" i="2"/>
  <c r="P920" i="2"/>
  <c r="O920" i="2"/>
  <c r="M920" i="2"/>
  <c r="L920" i="2"/>
  <c r="K920" i="2"/>
  <c r="R920" i="2" s="1"/>
  <c r="D920" i="2"/>
  <c r="R919" i="2"/>
  <c r="Q919" i="2"/>
  <c r="M919" i="2" s="1"/>
  <c r="P919" i="2"/>
  <c r="O919" i="2"/>
  <c r="L919" i="2"/>
  <c r="K919" i="2"/>
  <c r="D919" i="2"/>
  <c r="O918" i="2"/>
  <c r="L918" i="2"/>
  <c r="K918" i="2"/>
  <c r="D918" i="2"/>
  <c r="Q917" i="2"/>
  <c r="P917" i="2"/>
  <c r="O917" i="2"/>
  <c r="L917" i="2"/>
  <c r="K917" i="2"/>
  <c r="D917" i="2"/>
  <c r="Q916" i="2"/>
  <c r="M916" i="2" s="1"/>
  <c r="R916" i="2" s="1"/>
  <c r="P916" i="2"/>
  <c r="O916" i="2"/>
  <c r="L916" i="2"/>
  <c r="K916" i="2"/>
  <c r="D916" i="2"/>
  <c r="Q915" i="2"/>
  <c r="O915" i="2"/>
  <c r="M915" i="2"/>
  <c r="L915" i="2"/>
  <c r="K915" i="2"/>
  <c r="D915" i="2"/>
  <c r="P915" i="2" s="1"/>
  <c r="O914" i="2"/>
  <c r="L914" i="2"/>
  <c r="K914" i="2"/>
  <c r="D914" i="2"/>
  <c r="P913" i="2"/>
  <c r="S913" i="2" s="1"/>
  <c r="T913" i="2" s="1"/>
  <c r="O913" i="2"/>
  <c r="L913" i="2"/>
  <c r="K913" i="2"/>
  <c r="D913" i="2"/>
  <c r="Q913" i="2" s="1"/>
  <c r="M913" i="2" s="1"/>
  <c r="R913" i="2" s="1"/>
  <c r="O912" i="2"/>
  <c r="L912" i="2"/>
  <c r="K912" i="2"/>
  <c r="D912" i="2"/>
  <c r="T911" i="2"/>
  <c r="S911" i="2"/>
  <c r="Q911" i="2"/>
  <c r="M911" i="2" s="1"/>
  <c r="P911" i="2"/>
  <c r="O911" i="2"/>
  <c r="L911" i="2"/>
  <c r="K911" i="2"/>
  <c r="R911" i="2" s="1"/>
  <c r="D911" i="2"/>
  <c r="O910" i="2"/>
  <c r="L910" i="2"/>
  <c r="K910" i="2"/>
  <c r="D910" i="2"/>
  <c r="Q909" i="2"/>
  <c r="M909" i="2" s="1"/>
  <c r="P909" i="2"/>
  <c r="O909" i="2"/>
  <c r="L909" i="2"/>
  <c r="K909" i="2"/>
  <c r="R909" i="2" s="1"/>
  <c r="D909" i="2"/>
  <c r="Q908" i="2"/>
  <c r="M908" i="2" s="1"/>
  <c r="R908" i="2" s="1"/>
  <c r="P908" i="2"/>
  <c r="O908" i="2"/>
  <c r="L908" i="2"/>
  <c r="K908" i="2"/>
  <c r="D908" i="2"/>
  <c r="Q907" i="2"/>
  <c r="P907" i="2"/>
  <c r="O907" i="2"/>
  <c r="M907" i="2"/>
  <c r="L907" i="2"/>
  <c r="K907" i="2"/>
  <c r="D907" i="2"/>
  <c r="Q906" i="2"/>
  <c r="P906" i="2"/>
  <c r="O906" i="2"/>
  <c r="M906" i="2"/>
  <c r="L906" i="2"/>
  <c r="K906" i="2"/>
  <c r="R906" i="2" s="1"/>
  <c r="S906" i="2" s="1"/>
  <c r="T906" i="2" s="1"/>
  <c r="D906" i="2"/>
  <c r="O905" i="2"/>
  <c r="M905" i="2"/>
  <c r="L905" i="2"/>
  <c r="K905" i="2"/>
  <c r="D905" i="2"/>
  <c r="Q905" i="2" s="1"/>
  <c r="S904" i="2"/>
  <c r="T904" i="2" s="1"/>
  <c r="Q904" i="2"/>
  <c r="M904" i="2" s="1"/>
  <c r="P904" i="2"/>
  <c r="O904" i="2"/>
  <c r="L904" i="2"/>
  <c r="K904" i="2"/>
  <c r="R904" i="2" s="1"/>
  <c r="D904" i="2"/>
  <c r="O903" i="2"/>
  <c r="L903" i="2"/>
  <c r="K903" i="2"/>
  <c r="D903" i="2"/>
  <c r="Q902" i="2"/>
  <c r="P902" i="2"/>
  <c r="O902" i="2"/>
  <c r="L902" i="2"/>
  <c r="K902" i="2"/>
  <c r="D902" i="2"/>
  <c r="P901" i="2"/>
  <c r="O901" i="2"/>
  <c r="L901" i="2"/>
  <c r="K901" i="2"/>
  <c r="D901" i="2"/>
  <c r="Q901" i="2" s="1"/>
  <c r="M901" i="2" s="1"/>
  <c r="R901" i="2" s="1"/>
  <c r="Q900" i="2"/>
  <c r="P900" i="2"/>
  <c r="O900" i="2"/>
  <c r="L900" i="2"/>
  <c r="K900" i="2"/>
  <c r="D900" i="2"/>
  <c r="Q899" i="2"/>
  <c r="P899" i="2"/>
  <c r="O899" i="2"/>
  <c r="M899" i="2"/>
  <c r="R899" i="2" s="1"/>
  <c r="L899" i="2"/>
  <c r="K899" i="2"/>
  <c r="D899" i="2"/>
  <c r="Q898" i="2"/>
  <c r="M898" i="2" s="1"/>
  <c r="P898" i="2"/>
  <c r="O898" i="2"/>
  <c r="L898" i="2"/>
  <c r="K898" i="2"/>
  <c r="D898" i="2"/>
  <c r="Q897" i="2"/>
  <c r="P897" i="2"/>
  <c r="O897" i="2"/>
  <c r="M897" i="2"/>
  <c r="L897" i="2"/>
  <c r="K897" i="2"/>
  <c r="R897" i="2" s="1"/>
  <c r="S897" i="2" s="1"/>
  <c r="T897" i="2" s="1"/>
  <c r="D897" i="2"/>
  <c r="O896" i="2"/>
  <c r="L896" i="2"/>
  <c r="K896" i="2"/>
  <c r="D896" i="2"/>
  <c r="Q895" i="2"/>
  <c r="M895" i="2" s="1"/>
  <c r="R895" i="2" s="1"/>
  <c r="P895" i="2"/>
  <c r="O895" i="2"/>
  <c r="L895" i="2"/>
  <c r="K895" i="2"/>
  <c r="D895" i="2"/>
  <c r="O894" i="2"/>
  <c r="L894" i="2"/>
  <c r="K894" i="2"/>
  <c r="D894" i="2"/>
  <c r="V893" i="2"/>
  <c r="Q893" i="2"/>
  <c r="M893" i="2" s="1"/>
  <c r="O893" i="2"/>
  <c r="L893" i="2"/>
  <c r="K893" i="2"/>
  <c r="D893" i="2"/>
  <c r="P893" i="2" s="1"/>
  <c r="O892" i="2"/>
  <c r="L892" i="2"/>
  <c r="K892" i="2"/>
  <c r="D892" i="2"/>
  <c r="R891" i="2"/>
  <c r="P891" i="2"/>
  <c r="V891" i="2" s="1"/>
  <c r="O891" i="2"/>
  <c r="M891" i="2"/>
  <c r="L891" i="2"/>
  <c r="K891" i="2"/>
  <c r="D891" i="2"/>
  <c r="Q891" i="2" s="1"/>
  <c r="O890" i="2"/>
  <c r="L890" i="2"/>
  <c r="K890" i="2"/>
  <c r="D890" i="2"/>
  <c r="O889" i="2"/>
  <c r="L889" i="2"/>
  <c r="K889" i="2"/>
  <c r="D889" i="2"/>
  <c r="O888" i="2"/>
  <c r="L888" i="2"/>
  <c r="K888" i="2"/>
  <c r="D888" i="2"/>
  <c r="P888" i="2" s="1"/>
  <c r="V888" i="2" s="1"/>
  <c r="V887" i="2"/>
  <c r="Q887" i="2"/>
  <c r="P887" i="2"/>
  <c r="O887" i="2"/>
  <c r="L887" i="2"/>
  <c r="K887" i="2"/>
  <c r="D887" i="2"/>
  <c r="S886" i="2"/>
  <c r="T886" i="2" s="1"/>
  <c r="R886" i="2"/>
  <c r="Q886" i="2"/>
  <c r="M886" i="2" s="1"/>
  <c r="P886" i="2"/>
  <c r="V886" i="2" s="1"/>
  <c r="O886" i="2"/>
  <c r="L886" i="2"/>
  <c r="K886" i="2"/>
  <c r="D886" i="2"/>
  <c r="Q885" i="2"/>
  <c r="M885" i="2" s="1"/>
  <c r="R885" i="2" s="1"/>
  <c r="S885" i="2" s="1"/>
  <c r="T885" i="2" s="1"/>
  <c r="P885" i="2"/>
  <c r="O885" i="2"/>
  <c r="V885" i="2" s="1"/>
  <c r="L885" i="2"/>
  <c r="K885" i="2"/>
  <c r="D885" i="2"/>
  <c r="S884" i="2"/>
  <c r="T884" i="2" s="1"/>
  <c r="R884" i="2"/>
  <c r="Q884" i="2"/>
  <c r="M884" i="2" s="1"/>
  <c r="P884" i="2"/>
  <c r="O884" i="2"/>
  <c r="L884" i="2"/>
  <c r="K884" i="2"/>
  <c r="D884" i="2"/>
  <c r="O883" i="2"/>
  <c r="L883" i="2"/>
  <c r="K883" i="2"/>
  <c r="D883" i="2"/>
  <c r="Q883" i="2" s="1"/>
  <c r="M883" i="2" s="1"/>
  <c r="Q882" i="2"/>
  <c r="M882" i="2" s="1"/>
  <c r="R882" i="2" s="1"/>
  <c r="P882" i="2"/>
  <c r="V882" i="2" s="1"/>
  <c r="O882" i="2"/>
  <c r="L882" i="2"/>
  <c r="K882" i="2"/>
  <c r="D882" i="2"/>
  <c r="R881" i="2"/>
  <c r="Q881" i="2"/>
  <c r="M881" i="2" s="1"/>
  <c r="P881" i="2"/>
  <c r="V881" i="2" s="1"/>
  <c r="O881" i="2"/>
  <c r="L881" i="2"/>
  <c r="K881" i="2"/>
  <c r="D881" i="2"/>
  <c r="V880" i="2"/>
  <c r="Q880" i="2"/>
  <c r="P880" i="2"/>
  <c r="O880" i="2"/>
  <c r="L880" i="2"/>
  <c r="K880" i="2"/>
  <c r="D880" i="2"/>
  <c r="Q879" i="2"/>
  <c r="P879" i="2"/>
  <c r="O879" i="2"/>
  <c r="M879" i="2"/>
  <c r="L879" i="2"/>
  <c r="K879" i="2"/>
  <c r="D879" i="2"/>
  <c r="O878" i="2"/>
  <c r="L878" i="2"/>
  <c r="K878" i="2"/>
  <c r="D878" i="2"/>
  <c r="Q878" i="2" s="1"/>
  <c r="Q877" i="2"/>
  <c r="P877" i="2"/>
  <c r="C1225" i="8" s="1"/>
  <c r="O877" i="2"/>
  <c r="M877" i="2"/>
  <c r="L877" i="2"/>
  <c r="K877" i="2"/>
  <c r="Q876" i="2"/>
  <c r="P876" i="2"/>
  <c r="O876" i="2"/>
  <c r="M876" i="2"/>
  <c r="L876" i="2"/>
  <c r="K876" i="2"/>
  <c r="R876" i="2" s="1"/>
  <c r="U875" i="2"/>
  <c r="T875" i="2"/>
  <c r="S875" i="2"/>
  <c r="Q875" i="2"/>
  <c r="P875" i="2"/>
  <c r="O875" i="2"/>
  <c r="M875" i="2"/>
  <c r="L875" i="2"/>
  <c r="K875" i="2"/>
  <c r="R875" i="2" s="1"/>
  <c r="P874" i="2"/>
  <c r="O874" i="2"/>
  <c r="L874" i="2"/>
  <c r="K874" i="2"/>
  <c r="D874" i="2"/>
  <c r="Q874" i="2" s="1"/>
  <c r="R873" i="2"/>
  <c r="S873" i="2" s="1"/>
  <c r="T873" i="2" s="1"/>
  <c r="Q873" i="2"/>
  <c r="M873" i="2" s="1"/>
  <c r="P873" i="2"/>
  <c r="O873" i="2"/>
  <c r="L873" i="2"/>
  <c r="K873" i="2"/>
  <c r="D873" i="2"/>
  <c r="O872" i="2"/>
  <c r="L872" i="2"/>
  <c r="K872" i="2"/>
  <c r="D872" i="2"/>
  <c r="Q871" i="2"/>
  <c r="M871" i="2" s="1"/>
  <c r="P871" i="2"/>
  <c r="O871" i="2"/>
  <c r="L871" i="2"/>
  <c r="K871" i="2"/>
  <c r="D871" i="2"/>
  <c r="Q870" i="2"/>
  <c r="P870" i="2"/>
  <c r="O870" i="2"/>
  <c r="M870" i="2"/>
  <c r="R870" i="2" s="1"/>
  <c r="L870" i="2"/>
  <c r="K870" i="2"/>
  <c r="D870" i="2"/>
  <c r="O869" i="2"/>
  <c r="L869" i="2"/>
  <c r="K869" i="2"/>
  <c r="D869" i="2"/>
  <c r="U868" i="2"/>
  <c r="R868" i="2"/>
  <c r="Q868" i="2"/>
  <c r="S868" i="2" s="1"/>
  <c r="T868" i="2" s="1"/>
  <c r="P868" i="2"/>
  <c r="O868" i="2"/>
  <c r="R867" i="2"/>
  <c r="Q867" i="2"/>
  <c r="S867" i="2" s="1"/>
  <c r="T867" i="2" s="1"/>
  <c r="U867" i="2" s="1"/>
  <c r="P867" i="2"/>
  <c r="O867" i="2"/>
  <c r="M867" i="2"/>
  <c r="L867" i="2"/>
  <c r="K867" i="2"/>
  <c r="Q866" i="2"/>
  <c r="M866" i="2" s="1"/>
  <c r="R866" i="2" s="1"/>
  <c r="P866" i="2"/>
  <c r="O866" i="2"/>
  <c r="K866" i="2"/>
  <c r="D866" i="2"/>
  <c r="S865" i="2"/>
  <c r="T865" i="2" s="1"/>
  <c r="Q865" i="2"/>
  <c r="P865" i="2"/>
  <c r="O865" i="2"/>
  <c r="M865" i="2"/>
  <c r="R865" i="2" s="1"/>
  <c r="K865" i="2"/>
  <c r="D865" i="2"/>
  <c r="Q864" i="2"/>
  <c r="O864" i="2"/>
  <c r="K864" i="2"/>
  <c r="D864" i="2"/>
  <c r="P864" i="2" s="1"/>
  <c r="O863" i="2"/>
  <c r="K863" i="2"/>
  <c r="D863" i="2"/>
  <c r="O862" i="2"/>
  <c r="K862" i="2"/>
  <c r="D862" i="2"/>
  <c r="Q862" i="2" s="1"/>
  <c r="Q861" i="2"/>
  <c r="M861" i="2" s="1"/>
  <c r="R861" i="2" s="1"/>
  <c r="S861" i="2" s="1"/>
  <c r="T861" i="2" s="1"/>
  <c r="P861" i="2"/>
  <c r="O861" i="2"/>
  <c r="K861" i="2"/>
  <c r="D861" i="2"/>
  <c r="O860" i="2"/>
  <c r="K860" i="2"/>
  <c r="D860" i="2"/>
  <c r="Q859" i="2"/>
  <c r="M859" i="2" s="1"/>
  <c r="R859" i="2" s="1"/>
  <c r="O859" i="2"/>
  <c r="K859" i="2"/>
  <c r="D859" i="2"/>
  <c r="P859" i="2" s="1"/>
  <c r="O858" i="2"/>
  <c r="K858" i="2"/>
  <c r="D858" i="2"/>
  <c r="Q857" i="2"/>
  <c r="M857" i="2" s="1"/>
  <c r="R857" i="2" s="1"/>
  <c r="O857" i="2"/>
  <c r="K857" i="2"/>
  <c r="D857" i="2"/>
  <c r="P857" i="2" s="1"/>
  <c r="V857" i="2" s="1"/>
  <c r="V856" i="2"/>
  <c r="R856" i="2"/>
  <c r="Q856" i="2"/>
  <c r="M856" i="2" s="1"/>
  <c r="O856" i="2"/>
  <c r="K856" i="2"/>
  <c r="D856" i="2"/>
  <c r="P856" i="2" s="1"/>
  <c r="V855" i="2"/>
  <c r="P855" i="2"/>
  <c r="S855" i="2" s="1"/>
  <c r="T855" i="2" s="1"/>
  <c r="O855" i="2"/>
  <c r="K855" i="2"/>
  <c r="D855" i="2"/>
  <c r="Q855" i="2" s="1"/>
  <c r="M855" i="2" s="1"/>
  <c r="R855" i="2" s="1"/>
  <c r="Q854" i="2"/>
  <c r="P854" i="2"/>
  <c r="O854" i="2"/>
  <c r="M854" i="2"/>
  <c r="R854" i="2" s="1"/>
  <c r="K854" i="2"/>
  <c r="D854" i="2"/>
  <c r="S853" i="2"/>
  <c r="T853" i="2" s="1"/>
  <c r="R853" i="2"/>
  <c r="P853" i="2"/>
  <c r="V853" i="2" s="1"/>
  <c r="O853" i="2"/>
  <c r="K853" i="2"/>
  <c r="D853" i="2"/>
  <c r="Q853" i="2" s="1"/>
  <c r="M853" i="2" s="1"/>
  <c r="O852" i="2"/>
  <c r="M852" i="2"/>
  <c r="R852" i="2" s="1"/>
  <c r="K852" i="2"/>
  <c r="D852" i="2"/>
  <c r="Q852" i="2" s="1"/>
  <c r="P851" i="2"/>
  <c r="V851" i="2" s="1"/>
  <c r="O851" i="2"/>
  <c r="K851" i="2"/>
  <c r="D851" i="2"/>
  <c r="Q851" i="2" s="1"/>
  <c r="P850" i="2"/>
  <c r="V850" i="2" s="1"/>
  <c r="O850" i="2"/>
  <c r="K850" i="2"/>
  <c r="D850" i="2"/>
  <c r="Q850" i="2" s="1"/>
  <c r="O849" i="2"/>
  <c r="K849" i="2"/>
  <c r="D849" i="2"/>
  <c r="Q848" i="2"/>
  <c r="O848" i="2"/>
  <c r="M848" i="2"/>
  <c r="K848" i="2"/>
  <c r="R848" i="2" s="1"/>
  <c r="D848" i="2"/>
  <c r="P848" i="2" s="1"/>
  <c r="R847" i="2"/>
  <c r="Q847" i="2"/>
  <c r="P847" i="2"/>
  <c r="O847" i="2"/>
  <c r="M847" i="2"/>
  <c r="L847" i="2"/>
  <c r="K847" i="2"/>
  <c r="O846" i="2"/>
  <c r="L846" i="2"/>
  <c r="K846" i="2"/>
  <c r="D846" i="2"/>
  <c r="R845" i="2"/>
  <c r="Q845" i="2"/>
  <c r="P845" i="2"/>
  <c r="O845" i="2"/>
  <c r="M845" i="2"/>
  <c r="L845" i="2"/>
  <c r="K845" i="2"/>
  <c r="R844" i="2"/>
  <c r="S844" i="2" s="1"/>
  <c r="T844" i="2" s="1"/>
  <c r="U844" i="2" s="1"/>
  <c r="Q844" i="2"/>
  <c r="P844" i="2"/>
  <c r="O844" i="2"/>
  <c r="M844" i="2"/>
  <c r="L844" i="2"/>
  <c r="K844" i="2"/>
  <c r="Q843" i="2"/>
  <c r="P843" i="2"/>
  <c r="O843" i="2"/>
  <c r="N843" i="2"/>
  <c r="R843" i="2" s="1"/>
  <c r="O842" i="2"/>
  <c r="L842" i="2"/>
  <c r="K842" i="2"/>
  <c r="D842" i="2"/>
  <c r="R841" i="2"/>
  <c r="S841" i="2" s="1"/>
  <c r="T841" i="2" s="1"/>
  <c r="Q841" i="2"/>
  <c r="O841" i="2"/>
  <c r="M841" i="2"/>
  <c r="L841" i="2"/>
  <c r="K841" i="2"/>
  <c r="D841" i="2"/>
  <c r="P841" i="2" s="1"/>
  <c r="O840" i="2"/>
  <c r="L840" i="2"/>
  <c r="K840" i="2"/>
  <c r="D840" i="2"/>
  <c r="P840" i="2" s="1"/>
  <c r="Q839" i="2"/>
  <c r="P839" i="2"/>
  <c r="O839" i="2"/>
  <c r="L839" i="2"/>
  <c r="K839" i="2"/>
  <c r="D839" i="2"/>
  <c r="Q838" i="2"/>
  <c r="M838" i="2" s="1"/>
  <c r="R838" i="2" s="1"/>
  <c r="P838" i="2"/>
  <c r="O838" i="2"/>
  <c r="L838" i="2"/>
  <c r="K838" i="2"/>
  <c r="D838" i="2"/>
  <c r="Q837" i="2"/>
  <c r="M837" i="2" s="1"/>
  <c r="P837" i="2"/>
  <c r="S837" i="2" s="1"/>
  <c r="T837" i="2" s="1"/>
  <c r="O837" i="2"/>
  <c r="L837" i="2"/>
  <c r="K837" i="2"/>
  <c r="R837" i="2" s="1"/>
  <c r="D837" i="2"/>
  <c r="Q836" i="2"/>
  <c r="O836" i="2"/>
  <c r="L836" i="2"/>
  <c r="K836" i="2"/>
  <c r="D836" i="2"/>
  <c r="P836" i="2" s="1"/>
  <c r="O835" i="2"/>
  <c r="L835" i="2"/>
  <c r="K835" i="2"/>
  <c r="D835" i="2"/>
  <c r="P834" i="2"/>
  <c r="O834" i="2"/>
  <c r="L834" i="2"/>
  <c r="K834" i="2"/>
  <c r="R834" i="2" s="1"/>
  <c r="D834" i="2"/>
  <c r="Q834" i="2" s="1"/>
  <c r="M834" i="2" s="1"/>
  <c r="O833" i="2"/>
  <c r="L833" i="2"/>
  <c r="K833" i="2"/>
  <c r="D833" i="2"/>
  <c r="Q832" i="2"/>
  <c r="P832" i="2"/>
  <c r="O832" i="2"/>
  <c r="M832" i="2"/>
  <c r="L832" i="2"/>
  <c r="K832" i="2"/>
  <c r="R832" i="2" s="1"/>
  <c r="D832" i="2"/>
  <c r="Q831" i="2"/>
  <c r="O831" i="2"/>
  <c r="L831" i="2"/>
  <c r="K831" i="2"/>
  <c r="D831" i="2"/>
  <c r="P831" i="2" s="1"/>
  <c r="O830" i="2"/>
  <c r="L830" i="2"/>
  <c r="K830" i="2"/>
  <c r="D830" i="2"/>
  <c r="Q829" i="2"/>
  <c r="P829" i="2"/>
  <c r="O829" i="2"/>
  <c r="L829" i="2"/>
  <c r="K829" i="2"/>
  <c r="D829" i="2"/>
  <c r="Q828" i="2"/>
  <c r="P828" i="2"/>
  <c r="O828" i="2"/>
  <c r="L828" i="2"/>
  <c r="K828" i="2"/>
  <c r="D828" i="2"/>
  <c r="S827" i="2"/>
  <c r="T827" i="2" s="1"/>
  <c r="R827" i="2"/>
  <c r="Q827" i="2"/>
  <c r="P827" i="2"/>
  <c r="O827" i="2"/>
  <c r="M827" i="2"/>
  <c r="L827" i="2"/>
  <c r="K827" i="2"/>
  <c r="D827" i="2"/>
  <c r="Q826" i="2"/>
  <c r="P826" i="2"/>
  <c r="O826" i="2"/>
  <c r="L826" i="2"/>
  <c r="K826" i="2"/>
  <c r="D826" i="2"/>
  <c r="O825" i="2"/>
  <c r="L825" i="2"/>
  <c r="K825" i="2"/>
  <c r="D825" i="2"/>
  <c r="O824" i="2"/>
  <c r="L824" i="2"/>
  <c r="K824" i="2"/>
  <c r="D824" i="2"/>
  <c r="P823" i="2"/>
  <c r="O823" i="2"/>
  <c r="M823" i="2"/>
  <c r="R823" i="2" s="1"/>
  <c r="S823" i="2" s="1"/>
  <c r="T823" i="2" s="1"/>
  <c r="L823" i="2"/>
  <c r="K823" i="2"/>
  <c r="D823" i="2"/>
  <c r="Q823" i="2" s="1"/>
  <c r="O822" i="2"/>
  <c r="L822" i="2"/>
  <c r="K822" i="2"/>
  <c r="D822" i="2"/>
  <c r="Q821" i="2"/>
  <c r="P821" i="2"/>
  <c r="O821" i="2"/>
  <c r="M821" i="2"/>
  <c r="R821" i="2" s="1"/>
  <c r="L821" i="2"/>
  <c r="K821" i="2"/>
  <c r="D821" i="2"/>
  <c r="S820" i="2"/>
  <c r="T820" i="2" s="1"/>
  <c r="P820" i="2"/>
  <c r="O820" i="2"/>
  <c r="L820" i="2"/>
  <c r="K820" i="2"/>
  <c r="D820" i="2"/>
  <c r="Q820" i="2" s="1"/>
  <c r="M820" i="2" s="1"/>
  <c r="R820" i="2" s="1"/>
  <c r="O819" i="2"/>
  <c r="L819" i="2"/>
  <c r="K819" i="2"/>
  <c r="D819" i="2"/>
  <c r="Q819" i="2" s="1"/>
  <c r="M819" i="2" s="1"/>
  <c r="R819" i="2" s="1"/>
  <c r="Q818" i="2"/>
  <c r="M818" i="2" s="1"/>
  <c r="R818" i="2" s="1"/>
  <c r="P818" i="2"/>
  <c r="O818" i="2"/>
  <c r="L818" i="2"/>
  <c r="K818" i="2"/>
  <c r="D818" i="2"/>
  <c r="Q817" i="2"/>
  <c r="P817" i="2"/>
  <c r="O817" i="2"/>
  <c r="M817" i="2"/>
  <c r="L817" i="2"/>
  <c r="K817" i="2"/>
  <c r="D817" i="2"/>
  <c r="Q816" i="2"/>
  <c r="P816" i="2"/>
  <c r="O816" i="2"/>
  <c r="M816" i="2"/>
  <c r="L816" i="2"/>
  <c r="K816" i="2"/>
  <c r="R816" i="2" s="1"/>
  <c r="D816" i="2"/>
  <c r="O815" i="2"/>
  <c r="L815" i="2"/>
  <c r="K815" i="2"/>
  <c r="D815" i="2"/>
  <c r="Q814" i="2"/>
  <c r="M814" i="2" s="1"/>
  <c r="R814" i="2" s="1"/>
  <c r="P814" i="2"/>
  <c r="O814" i="2"/>
  <c r="L814" i="2"/>
  <c r="K814" i="2"/>
  <c r="D814" i="2"/>
  <c r="O813" i="2"/>
  <c r="L813" i="2"/>
  <c r="K813" i="2"/>
  <c r="D813" i="2"/>
  <c r="O812" i="2"/>
  <c r="L812" i="2"/>
  <c r="K812" i="2"/>
  <c r="D812" i="2"/>
  <c r="O811" i="2"/>
  <c r="L811" i="2"/>
  <c r="K811" i="2"/>
  <c r="D811" i="2"/>
  <c r="Q810" i="2"/>
  <c r="P810" i="2"/>
  <c r="O810" i="2"/>
  <c r="L810" i="2"/>
  <c r="K810" i="2"/>
  <c r="D810" i="2"/>
  <c r="Q809" i="2"/>
  <c r="O809" i="2"/>
  <c r="L809" i="2"/>
  <c r="K809" i="2"/>
  <c r="D809" i="2"/>
  <c r="P809" i="2" s="1"/>
  <c r="R808" i="2"/>
  <c r="S808" i="2" s="1"/>
  <c r="T808" i="2" s="1"/>
  <c r="U808" i="2" s="1"/>
  <c r="Q808" i="2"/>
  <c r="P808" i="2"/>
  <c r="C923" i="8" s="1"/>
  <c r="O808" i="2"/>
  <c r="M808" i="2"/>
  <c r="L808" i="2"/>
  <c r="K808" i="2"/>
  <c r="S807" i="2"/>
  <c r="T807" i="2" s="1"/>
  <c r="R807" i="2"/>
  <c r="Q807" i="2"/>
  <c r="P807" i="2"/>
  <c r="O807" i="2"/>
  <c r="U807" i="2" s="1"/>
  <c r="M807" i="2"/>
  <c r="L807" i="2"/>
  <c r="K807" i="2"/>
  <c r="Q806" i="2"/>
  <c r="P806" i="2"/>
  <c r="C673" i="8" s="1"/>
  <c r="O806" i="2"/>
  <c r="M806" i="2"/>
  <c r="R806" i="2" s="1"/>
  <c r="S806" i="2" s="1"/>
  <c r="T806" i="2" s="1"/>
  <c r="U806" i="2" s="1"/>
  <c r="L806" i="2"/>
  <c r="K806" i="2"/>
  <c r="Q805" i="2"/>
  <c r="P805" i="2"/>
  <c r="O805" i="2"/>
  <c r="M805" i="2"/>
  <c r="L805" i="2"/>
  <c r="K805" i="2"/>
  <c r="Q804" i="2"/>
  <c r="P804" i="2"/>
  <c r="O804" i="2"/>
  <c r="L804" i="2"/>
  <c r="K804" i="2"/>
  <c r="D804" i="2"/>
  <c r="Q803" i="2"/>
  <c r="P803" i="2"/>
  <c r="O803" i="2"/>
  <c r="L803" i="2"/>
  <c r="K803" i="2"/>
  <c r="D803" i="2"/>
  <c r="O802" i="2"/>
  <c r="L802" i="2"/>
  <c r="K802" i="2"/>
  <c r="D802" i="2"/>
  <c r="P801" i="2"/>
  <c r="O801" i="2"/>
  <c r="M801" i="2"/>
  <c r="R801" i="2" s="1"/>
  <c r="S801" i="2" s="1"/>
  <c r="T801" i="2" s="1"/>
  <c r="L801" i="2"/>
  <c r="K801" i="2"/>
  <c r="D801" i="2"/>
  <c r="Q801" i="2" s="1"/>
  <c r="O800" i="2"/>
  <c r="L800" i="2"/>
  <c r="K800" i="2"/>
  <c r="D800" i="2"/>
  <c r="Q799" i="2"/>
  <c r="P799" i="2"/>
  <c r="O799" i="2"/>
  <c r="M799" i="2"/>
  <c r="L799" i="2"/>
  <c r="K799" i="2"/>
  <c r="R799" i="2" s="1"/>
  <c r="S799" i="2" s="1"/>
  <c r="T799" i="2" s="1"/>
  <c r="D799" i="2"/>
  <c r="S798" i="2"/>
  <c r="T798" i="2" s="1"/>
  <c r="R798" i="2"/>
  <c r="Q798" i="2"/>
  <c r="M798" i="2" s="1"/>
  <c r="P798" i="2"/>
  <c r="O798" i="2"/>
  <c r="L798" i="2"/>
  <c r="K798" i="2"/>
  <c r="D798" i="2"/>
  <c r="O797" i="2"/>
  <c r="L797" i="2"/>
  <c r="K797" i="2"/>
  <c r="D797" i="2"/>
  <c r="Q796" i="2"/>
  <c r="P796" i="2"/>
  <c r="O796" i="2"/>
  <c r="M796" i="2"/>
  <c r="R796" i="2" s="1"/>
  <c r="L796" i="2"/>
  <c r="K796" i="2"/>
  <c r="D796" i="2"/>
  <c r="Q795" i="2"/>
  <c r="M795" i="2" s="1"/>
  <c r="P795" i="2"/>
  <c r="O795" i="2"/>
  <c r="L795" i="2"/>
  <c r="K795" i="2"/>
  <c r="D795" i="2"/>
  <c r="Q794" i="2"/>
  <c r="P794" i="2"/>
  <c r="O794" i="2"/>
  <c r="M794" i="2"/>
  <c r="L794" i="2"/>
  <c r="K794" i="2"/>
  <c r="R794" i="2" s="1"/>
  <c r="D794" i="2"/>
  <c r="O793" i="2"/>
  <c r="L793" i="2"/>
  <c r="K793" i="2"/>
  <c r="D793" i="2"/>
  <c r="Q793" i="2" s="1"/>
  <c r="O792" i="2"/>
  <c r="L792" i="2"/>
  <c r="K792" i="2"/>
  <c r="D792" i="2"/>
  <c r="O791" i="2"/>
  <c r="L791" i="2"/>
  <c r="K791" i="2"/>
  <c r="D791" i="2"/>
  <c r="R790" i="2"/>
  <c r="P790" i="2"/>
  <c r="S790" i="2" s="1"/>
  <c r="T790" i="2" s="1"/>
  <c r="O790" i="2"/>
  <c r="M790" i="2"/>
  <c r="L790" i="2"/>
  <c r="K790" i="2"/>
  <c r="D790" i="2"/>
  <c r="Q790" i="2" s="1"/>
  <c r="O789" i="2"/>
  <c r="L789" i="2"/>
  <c r="K789" i="2"/>
  <c r="D789" i="2"/>
  <c r="R788" i="2"/>
  <c r="S788" i="2" s="1"/>
  <c r="T788" i="2" s="1"/>
  <c r="Q788" i="2"/>
  <c r="M788" i="2" s="1"/>
  <c r="P788" i="2"/>
  <c r="O788" i="2"/>
  <c r="L788" i="2"/>
  <c r="K788" i="2"/>
  <c r="D788" i="2"/>
  <c r="Q787" i="2"/>
  <c r="P787" i="2"/>
  <c r="O787" i="2"/>
  <c r="L787" i="2"/>
  <c r="K787" i="2"/>
  <c r="D787" i="2"/>
  <c r="Q786" i="2"/>
  <c r="P786" i="2"/>
  <c r="O786" i="2"/>
  <c r="M786" i="2"/>
  <c r="L786" i="2"/>
  <c r="K786" i="2"/>
  <c r="R786" i="2" s="1"/>
  <c r="D786" i="2"/>
  <c r="Q785" i="2"/>
  <c r="P785" i="2"/>
  <c r="O785" i="2"/>
  <c r="L785" i="2"/>
  <c r="K785" i="2"/>
  <c r="D785" i="2"/>
  <c r="Q784" i="2"/>
  <c r="P784" i="2"/>
  <c r="O784" i="2"/>
  <c r="M784" i="2"/>
  <c r="L784" i="2"/>
  <c r="K784" i="2"/>
  <c r="D784" i="2"/>
  <c r="Q783" i="2"/>
  <c r="P783" i="2"/>
  <c r="O783" i="2"/>
  <c r="M783" i="2"/>
  <c r="R783" i="2" s="1"/>
  <c r="S783" i="2" s="1"/>
  <c r="T783" i="2" s="1"/>
  <c r="L783" i="2"/>
  <c r="K783" i="2"/>
  <c r="D783" i="2"/>
  <c r="Q782" i="2"/>
  <c r="P782" i="2"/>
  <c r="O782" i="2"/>
  <c r="L782" i="2"/>
  <c r="K782" i="2"/>
  <c r="D782" i="2"/>
  <c r="Q781" i="2"/>
  <c r="M781" i="2" s="1"/>
  <c r="R781" i="2" s="1"/>
  <c r="P781" i="2"/>
  <c r="O781" i="2"/>
  <c r="L781" i="2"/>
  <c r="K781" i="2"/>
  <c r="D781" i="2"/>
  <c r="O780" i="2"/>
  <c r="L780" i="2"/>
  <c r="K780" i="2"/>
  <c r="D780" i="2"/>
  <c r="O779" i="2"/>
  <c r="L779" i="2"/>
  <c r="K779" i="2"/>
  <c r="D779" i="2"/>
  <c r="O778" i="2"/>
  <c r="L778" i="2"/>
  <c r="K778" i="2"/>
  <c r="D778" i="2"/>
  <c r="S777" i="2"/>
  <c r="T777" i="2" s="1"/>
  <c r="R777" i="2"/>
  <c r="Q777" i="2"/>
  <c r="P777" i="2"/>
  <c r="O777" i="2"/>
  <c r="M777" i="2"/>
  <c r="L777" i="2"/>
  <c r="K777" i="2"/>
  <c r="I777" i="2"/>
  <c r="P1239" i="2" s="1"/>
  <c r="D777" i="2"/>
  <c r="R776" i="2"/>
  <c r="S776" i="2" s="1"/>
  <c r="T776" i="2" s="1"/>
  <c r="U776" i="2" s="1"/>
  <c r="Q776" i="2"/>
  <c r="P776" i="2"/>
  <c r="O776" i="2"/>
  <c r="M776" i="2"/>
  <c r="L776" i="2"/>
  <c r="K776" i="2"/>
  <c r="Q775" i="2"/>
  <c r="P775" i="2"/>
  <c r="O775" i="2"/>
  <c r="M775" i="2"/>
  <c r="R775" i="2" s="1"/>
  <c r="S775" i="2" s="1"/>
  <c r="T775" i="2" s="1"/>
  <c r="U775" i="2" s="1"/>
  <c r="L775" i="2"/>
  <c r="K775" i="2"/>
  <c r="T774" i="2"/>
  <c r="U774" i="2" s="1"/>
  <c r="S774" i="2"/>
  <c r="R774" i="2"/>
  <c r="Q774" i="2"/>
  <c r="P774" i="2"/>
  <c r="O774" i="2"/>
  <c r="M774" i="2"/>
  <c r="L774" i="2"/>
  <c r="K774" i="2"/>
  <c r="S773" i="2"/>
  <c r="T773" i="2" s="1"/>
  <c r="U773" i="2" s="1"/>
  <c r="Q773" i="2"/>
  <c r="P773" i="2"/>
  <c r="O773" i="2"/>
  <c r="M773" i="2"/>
  <c r="L773" i="2"/>
  <c r="K773" i="2"/>
  <c r="R773" i="2" s="1"/>
  <c r="Q772" i="2"/>
  <c r="P772" i="2"/>
  <c r="O772" i="2"/>
  <c r="M772" i="2"/>
  <c r="R772" i="2" s="1"/>
  <c r="L772" i="2"/>
  <c r="K772" i="2"/>
  <c r="Q771" i="2"/>
  <c r="P771" i="2"/>
  <c r="O771" i="2"/>
  <c r="M771" i="2"/>
  <c r="R771" i="2" s="1"/>
  <c r="L771" i="2"/>
  <c r="K771" i="2"/>
  <c r="T770" i="2"/>
  <c r="U770" i="2" s="1"/>
  <c r="S770" i="2"/>
  <c r="Q770" i="2"/>
  <c r="P770" i="2"/>
  <c r="O770" i="2"/>
  <c r="M770" i="2"/>
  <c r="L770" i="2"/>
  <c r="K770" i="2"/>
  <c r="R770" i="2" s="1"/>
  <c r="Q769" i="2"/>
  <c r="P769" i="2"/>
  <c r="O769" i="2"/>
  <c r="M769" i="2"/>
  <c r="L769" i="2"/>
  <c r="K769" i="2"/>
  <c r="R769" i="2" s="1"/>
  <c r="Q768" i="2"/>
  <c r="P768" i="2"/>
  <c r="C700" i="8" s="1"/>
  <c r="O768" i="2"/>
  <c r="M768" i="2"/>
  <c r="L768" i="2"/>
  <c r="K768" i="2"/>
  <c r="R768" i="2" s="1"/>
  <c r="Q767" i="2"/>
  <c r="P767" i="2"/>
  <c r="C694" i="8" s="1"/>
  <c r="O767" i="2"/>
  <c r="M767" i="2"/>
  <c r="L767" i="2"/>
  <c r="K767" i="2"/>
  <c r="Q766" i="2"/>
  <c r="P766" i="2"/>
  <c r="O766" i="2"/>
  <c r="M766" i="2"/>
  <c r="R766" i="2" s="1"/>
  <c r="L766" i="2"/>
  <c r="K766" i="2"/>
  <c r="R765" i="2"/>
  <c r="S765" i="2" s="1"/>
  <c r="T765" i="2" s="1"/>
  <c r="U765" i="2" s="1"/>
  <c r="Q765" i="2"/>
  <c r="P765" i="2"/>
  <c r="C682" i="8" s="1"/>
  <c r="O765" i="2"/>
  <c r="M765" i="2"/>
  <c r="L765" i="2"/>
  <c r="K765" i="2"/>
  <c r="Q764" i="2"/>
  <c r="P764" i="2"/>
  <c r="O764" i="2"/>
  <c r="M764" i="2"/>
  <c r="L764" i="2"/>
  <c r="K764" i="2"/>
  <c r="T763" i="2"/>
  <c r="U763" i="2" s="1"/>
  <c r="S763" i="2"/>
  <c r="R763" i="2"/>
  <c r="Q763" i="2"/>
  <c r="P763" i="2"/>
  <c r="C624" i="8" s="1"/>
  <c r="O763" i="2"/>
  <c r="M763" i="2"/>
  <c r="L763" i="2"/>
  <c r="K763" i="2"/>
  <c r="Q762" i="2"/>
  <c r="P762" i="2"/>
  <c r="O762" i="2"/>
  <c r="M762" i="2"/>
  <c r="L762" i="2"/>
  <c r="K762" i="2"/>
  <c r="R762" i="2" s="1"/>
  <c r="U761" i="2"/>
  <c r="R761" i="2"/>
  <c r="Q761" i="2"/>
  <c r="S761" i="2" s="1"/>
  <c r="T761" i="2" s="1"/>
  <c r="P761" i="2"/>
  <c r="O761" i="2"/>
  <c r="M761" i="2"/>
  <c r="L761" i="2"/>
  <c r="K761" i="2"/>
  <c r="R760" i="2"/>
  <c r="Q760" i="2"/>
  <c r="P760" i="2"/>
  <c r="O760" i="2"/>
  <c r="M760" i="2"/>
  <c r="L760" i="2"/>
  <c r="K760" i="2"/>
  <c r="Q759" i="2"/>
  <c r="P759" i="2"/>
  <c r="O759" i="2"/>
  <c r="M759" i="2"/>
  <c r="L759" i="2"/>
  <c r="K759" i="2"/>
  <c r="R759" i="2" s="1"/>
  <c r="Q758" i="2"/>
  <c r="P758" i="2"/>
  <c r="O758" i="2"/>
  <c r="M758" i="2"/>
  <c r="L758" i="2"/>
  <c r="K758" i="2"/>
  <c r="R757" i="2"/>
  <c r="Q757" i="2"/>
  <c r="P757" i="2"/>
  <c r="C577" i="8" s="1"/>
  <c r="O757" i="2"/>
  <c r="M757" i="2"/>
  <c r="L757" i="2"/>
  <c r="K757" i="2"/>
  <c r="T756" i="2"/>
  <c r="S756" i="2"/>
  <c r="R756" i="2"/>
  <c r="Q756" i="2"/>
  <c r="P756" i="2"/>
  <c r="O756" i="2"/>
  <c r="Q755" i="2"/>
  <c r="P755" i="2"/>
  <c r="O755" i="2"/>
  <c r="K755" i="2"/>
  <c r="D755" i="2"/>
  <c r="Q754" i="2"/>
  <c r="P754" i="2"/>
  <c r="O754" i="2"/>
  <c r="L754" i="2"/>
  <c r="K754" i="2"/>
  <c r="D754" i="2"/>
  <c r="Q753" i="2"/>
  <c r="S753" i="2" s="1"/>
  <c r="T753" i="2" s="1"/>
  <c r="U753" i="2" s="1"/>
  <c r="P753" i="2"/>
  <c r="O753" i="2"/>
  <c r="M753" i="2"/>
  <c r="L753" i="2"/>
  <c r="K753" i="2"/>
  <c r="R753" i="2" s="1"/>
  <c r="R752" i="2"/>
  <c r="Q752" i="2"/>
  <c r="P752" i="2"/>
  <c r="O752" i="2"/>
  <c r="M752" i="2"/>
  <c r="L752" i="2"/>
  <c r="K752" i="2"/>
  <c r="Q751" i="2"/>
  <c r="P751" i="2"/>
  <c r="O751" i="2"/>
  <c r="M751" i="2"/>
  <c r="L751" i="2"/>
  <c r="K751" i="2"/>
  <c r="R751" i="2" s="1"/>
  <c r="Q750" i="2"/>
  <c r="P750" i="2"/>
  <c r="O750" i="2"/>
  <c r="N750" i="2"/>
  <c r="M750" i="2"/>
  <c r="R750" i="2" s="1"/>
  <c r="L750" i="2"/>
  <c r="K750" i="2"/>
  <c r="Q749" i="2"/>
  <c r="P749" i="2"/>
  <c r="D1417" i="8" s="1"/>
  <c r="O749" i="2"/>
  <c r="M749" i="2"/>
  <c r="L749" i="2"/>
  <c r="K749" i="2"/>
  <c r="Q748" i="2"/>
  <c r="P748" i="2"/>
  <c r="O748" i="2"/>
  <c r="M748" i="2"/>
  <c r="L748" i="2"/>
  <c r="K748" i="2"/>
  <c r="O747" i="2"/>
  <c r="L747" i="2"/>
  <c r="K747" i="2"/>
  <c r="D747" i="2"/>
  <c r="Q746" i="2"/>
  <c r="P746" i="2"/>
  <c r="O746" i="2"/>
  <c r="L746" i="2"/>
  <c r="K746" i="2"/>
  <c r="D746" i="2"/>
  <c r="Q745" i="2"/>
  <c r="O745" i="2"/>
  <c r="L745" i="2"/>
  <c r="K745" i="2"/>
  <c r="D745" i="2"/>
  <c r="P745" i="2" s="1"/>
  <c r="Q744" i="2"/>
  <c r="P744" i="2"/>
  <c r="O744" i="2"/>
  <c r="L744" i="2"/>
  <c r="K744" i="2"/>
  <c r="D744" i="2"/>
  <c r="R743" i="2"/>
  <c r="Q743" i="2"/>
  <c r="S743" i="2" s="1"/>
  <c r="T743" i="2" s="1"/>
  <c r="U743" i="2" s="1"/>
  <c r="P743" i="2"/>
  <c r="O743" i="2"/>
  <c r="N743" i="2"/>
  <c r="M743" i="2"/>
  <c r="L743" i="2"/>
  <c r="K743" i="2"/>
  <c r="T742" i="2"/>
  <c r="U742" i="2" s="1"/>
  <c r="R742" i="2"/>
  <c r="Q742" i="2"/>
  <c r="S742" i="2" s="1"/>
  <c r="P742" i="2"/>
  <c r="C526" i="8" s="1"/>
  <c r="O742" i="2"/>
  <c r="M742" i="2"/>
  <c r="L742" i="2"/>
  <c r="K742" i="2"/>
  <c r="Q741" i="2"/>
  <c r="S741" i="2" s="1"/>
  <c r="T741" i="2" s="1"/>
  <c r="U741" i="2" s="1"/>
  <c r="P741" i="2"/>
  <c r="O741" i="2"/>
  <c r="M741" i="2"/>
  <c r="R741" i="2" s="1"/>
  <c r="L741" i="2"/>
  <c r="K741" i="2"/>
  <c r="S740" i="2"/>
  <c r="T740" i="2" s="1"/>
  <c r="U740" i="2" s="1"/>
  <c r="Q740" i="2"/>
  <c r="P740" i="2"/>
  <c r="O740" i="2"/>
  <c r="M740" i="2"/>
  <c r="L740" i="2"/>
  <c r="K740" i="2"/>
  <c r="R740" i="2" s="1"/>
  <c r="Q739" i="2"/>
  <c r="P739" i="2"/>
  <c r="O739" i="2"/>
  <c r="M739" i="2"/>
  <c r="L739" i="2"/>
  <c r="K739" i="2"/>
  <c r="R739" i="2" s="1"/>
  <c r="S739" i="2" s="1"/>
  <c r="T739" i="2" s="1"/>
  <c r="U739" i="2" s="1"/>
  <c r="Q738" i="2"/>
  <c r="S738" i="2" s="1"/>
  <c r="T738" i="2" s="1"/>
  <c r="P738" i="2"/>
  <c r="O738" i="2"/>
  <c r="M738" i="2"/>
  <c r="L738" i="2"/>
  <c r="K738" i="2"/>
  <c r="R738" i="2" s="1"/>
  <c r="O737" i="2"/>
  <c r="L737" i="2"/>
  <c r="K737" i="2"/>
  <c r="D737" i="2"/>
  <c r="Q736" i="2"/>
  <c r="P736" i="2"/>
  <c r="O736" i="2"/>
  <c r="M736" i="2"/>
  <c r="L736" i="2"/>
  <c r="K736" i="2"/>
  <c r="R736" i="2" s="1"/>
  <c r="S736" i="2" s="1"/>
  <c r="T736" i="2" s="1"/>
  <c r="U736" i="2" s="1"/>
  <c r="R735" i="2"/>
  <c r="S735" i="2" s="1"/>
  <c r="T735" i="2" s="1"/>
  <c r="U735" i="2" s="1"/>
  <c r="Q735" i="2"/>
  <c r="P735" i="2"/>
  <c r="O735" i="2"/>
  <c r="M735" i="2"/>
  <c r="L735" i="2"/>
  <c r="K735" i="2"/>
  <c r="R734" i="2"/>
  <c r="S734" i="2" s="1"/>
  <c r="T734" i="2" s="1"/>
  <c r="U734" i="2" s="1"/>
  <c r="Q734" i="2"/>
  <c r="P734" i="2"/>
  <c r="C1056" i="8" s="1"/>
  <c r="O734" i="2"/>
  <c r="M734" i="2"/>
  <c r="L734" i="2"/>
  <c r="K734" i="2"/>
  <c r="Q733" i="2"/>
  <c r="S733" i="2" s="1"/>
  <c r="T733" i="2" s="1"/>
  <c r="U733" i="2" s="1"/>
  <c r="P733" i="2"/>
  <c r="O733" i="2"/>
  <c r="N733" i="2"/>
  <c r="R733" i="2" s="1"/>
  <c r="M733" i="2"/>
  <c r="L733" i="2"/>
  <c r="K733" i="2"/>
  <c r="R732" i="2"/>
  <c r="Q732" i="2"/>
  <c r="M732" i="2" s="1"/>
  <c r="P732" i="2"/>
  <c r="O732" i="2"/>
  <c r="N732" i="2"/>
  <c r="L732" i="2"/>
  <c r="K732" i="2"/>
  <c r="D732" i="2"/>
  <c r="R731" i="2"/>
  <c r="S731" i="2" s="1"/>
  <c r="T731" i="2" s="1"/>
  <c r="U731" i="2" s="1"/>
  <c r="Q731" i="2"/>
  <c r="P731" i="2"/>
  <c r="O731" i="2"/>
  <c r="T730" i="2"/>
  <c r="U730" i="2" s="1"/>
  <c r="R730" i="2"/>
  <c r="Q730" i="2"/>
  <c r="S730" i="2" s="1"/>
  <c r="P730" i="2"/>
  <c r="O730" i="2"/>
  <c r="O729" i="2"/>
  <c r="L729" i="2"/>
  <c r="K729" i="2"/>
  <c r="D729" i="2"/>
  <c r="O728" i="2"/>
  <c r="L728" i="2"/>
  <c r="K728" i="2"/>
  <c r="D728" i="2"/>
  <c r="O727" i="2"/>
  <c r="L727" i="2"/>
  <c r="K727" i="2"/>
  <c r="D727" i="2"/>
  <c r="O726" i="2"/>
  <c r="L726" i="2"/>
  <c r="K726" i="2"/>
  <c r="D726" i="2"/>
  <c r="R725" i="2"/>
  <c r="Q725" i="2"/>
  <c r="M725" i="2" s="1"/>
  <c r="O725" i="2"/>
  <c r="L725" i="2"/>
  <c r="K725" i="2"/>
  <c r="D725" i="2"/>
  <c r="P725" i="2" s="1"/>
  <c r="S725" i="2" s="1"/>
  <c r="T725" i="2" s="1"/>
  <c r="Q724" i="2"/>
  <c r="P724" i="2"/>
  <c r="O724" i="2"/>
  <c r="L724" i="2"/>
  <c r="K724" i="2"/>
  <c r="D724" i="2"/>
  <c r="Q723" i="2"/>
  <c r="M723" i="2" s="1"/>
  <c r="R723" i="2" s="1"/>
  <c r="P723" i="2"/>
  <c r="O723" i="2"/>
  <c r="L723" i="2"/>
  <c r="K723" i="2"/>
  <c r="D723" i="2"/>
  <c r="Q722" i="2"/>
  <c r="P722" i="2"/>
  <c r="O722" i="2"/>
  <c r="L722" i="2"/>
  <c r="K722" i="2"/>
  <c r="D722" i="2"/>
  <c r="Q721" i="2"/>
  <c r="P721" i="2"/>
  <c r="O721" i="2"/>
  <c r="M721" i="2"/>
  <c r="L721" i="2"/>
  <c r="K721" i="2"/>
  <c r="D721" i="2"/>
  <c r="Q720" i="2"/>
  <c r="P720" i="2"/>
  <c r="O720" i="2"/>
  <c r="L720" i="2"/>
  <c r="K720" i="2"/>
  <c r="D720" i="2"/>
  <c r="Q719" i="2"/>
  <c r="P719" i="2"/>
  <c r="O719" i="2"/>
  <c r="L719" i="2"/>
  <c r="K719" i="2"/>
  <c r="D719" i="2"/>
  <c r="O718" i="2"/>
  <c r="L718" i="2"/>
  <c r="K718" i="2"/>
  <c r="D718" i="2"/>
  <c r="O717" i="2"/>
  <c r="M717" i="2"/>
  <c r="L717" i="2"/>
  <c r="K717" i="2"/>
  <c r="R717" i="2" s="1"/>
  <c r="D717" i="2"/>
  <c r="Q717" i="2" s="1"/>
  <c r="O716" i="2"/>
  <c r="L716" i="2"/>
  <c r="K716" i="2"/>
  <c r="D716" i="2"/>
  <c r="Q715" i="2"/>
  <c r="M715" i="2" s="1"/>
  <c r="R715" i="2" s="1"/>
  <c r="S715" i="2" s="1"/>
  <c r="T715" i="2" s="1"/>
  <c r="P715" i="2"/>
  <c r="O715" i="2"/>
  <c r="L715" i="2"/>
  <c r="K715" i="2"/>
  <c r="D715" i="2"/>
  <c r="Q714" i="2"/>
  <c r="M714" i="2" s="1"/>
  <c r="R714" i="2" s="1"/>
  <c r="S714" i="2" s="1"/>
  <c r="T714" i="2" s="1"/>
  <c r="P714" i="2"/>
  <c r="O714" i="2"/>
  <c r="L714" i="2"/>
  <c r="K714" i="2"/>
  <c r="D714" i="2"/>
  <c r="P713" i="2"/>
  <c r="O713" i="2"/>
  <c r="M713" i="2"/>
  <c r="L713" i="2"/>
  <c r="K713" i="2"/>
  <c r="D713" i="2"/>
  <c r="Q713" i="2" s="1"/>
  <c r="Q712" i="2"/>
  <c r="P712" i="2"/>
  <c r="O712" i="2"/>
  <c r="L712" i="2"/>
  <c r="K712" i="2"/>
  <c r="D712" i="2"/>
  <c r="Q711" i="2"/>
  <c r="P711" i="2"/>
  <c r="O711" i="2"/>
  <c r="L711" i="2"/>
  <c r="K711" i="2"/>
  <c r="D711" i="2"/>
  <c r="S710" i="2"/>
  <c r="T710" i="2" s="1"/>
  <c r="R710" i="2"/>
  <c r="Q710" i="2"/>
  <c r="P710" i="2"/>
  <c r="O710" i="2"/>
  <c r="M710" i="2"/>
  <c r="L710" i="2"/>
  <c r="K710" i="2"/>
  <c r="D710" i="2"/>
  <c r="Q709" i="2"/>
  <c r="M709" i="2" s="1"/>
  <c r="P709" i="2"/>
  <c r="O709" i="2"/>
  <c r="L709" i="2"/>
  <c r="K709" i="2"/>
  <c r="D709" i="2"/>
  <c r="O708" i="2"/>
  <c r="L708" i="2"/>
  <c r="K708" i="2"/>
  <c r="D708" i="2"/>
  <c r="O707" i="2"/>
  <c r="L707" i="2"/>
  <c r="K707" i="2"/>
  <c r="D707" i="2"/>
  <c r="R706" i="2"/>
  <c r="O706" i="2"/>
  <c r="M706" i="2"/>
  <c r="L706" i="2"/>
  <c r="K706" i="2"/>
  <c r="D706" i="2"/>
  <c r="Q706" i="2" s="1"/>
  <c r="O705" i="2"/>
  <c r="L705" i="2"/>
  <c r="K705" i="2"/>
  <c r="D705" i="2"/>
  <c r="Q704" i="2"/>
  <c r="P704" i="2"/>
  <c r="O704" i="2"/>
  <c r="L704" i="2"/>
  <c r="K704" i="2"/>
  <c r="D704" i="2"/>
  <c r="O703" i="2"/>
  <c r="L703" i="2"/>
  <c r="K703" i="2"/>
  <c r="D703" i="2"/>
  <c r="O702" i="2"/>
  <c r="L702" i="2"/>
  <c r="K702" i="2"/>
  <c r="D702" i="2"/>
  <c r="Q702" i="2" s="1"/>
  <c r="Q701" i="2"/>
  <c r="M701" i="2" s="1"/>
  <c r="R701" i="2" s="1"/>
  <c r="S701" i="2" s="1"/>
  <c r="T701" i="2" s="1"/>
  <c r="P701" i="2"/>
  <c r="O701" i="2"/>
  <c r="L701" i="2"/>
  <c r="K701" i="2"/>
  <c r="D701" i="2"/>
  <c r="Q700" i="2"/>
  <c r="P700" i="2"/>
  <c r="O700" i="2"/>
  <c r="L700" i="2"/>
  <c r="K700" i="2"/>
  <c r="D700" i="2"/>
  <c r="Q699" i="2"/>
  <c r="P699" i="2"/>
  <c r="O699" i="2"/>
  <c r="L699" i="2"/>
  <c r="K699" i="2"/>
  <c r="D699" i="2"/>
  <c r="O698" i="2"/>
  <c r="L698" i="2"/>
  <c r="K698" i="2"/>
  <c r="D698" i="2"/>
  <c r="P697" i="2"/>
  <c r="O697" i="2"/>
  <c r="L697" i="2"/>
  <c r="K697" i="2"/>
  <c r="D697" i="2"/>
  <c r="Q697" i="2" s="1"/>
  <c r="O696" i="2"/>
  <c r="L696" i="2"/>
  <c r="K696" i="2"/>
  <c r="D696" i="2"/>
  <c r="P695" i="2"/>
  <c r="O695" i="2"/>
  <c r="N695" i="2"/>
  <c r="R695" i="2" s="1"/>
  <c r="M695" i="2"/>
  <c r="L695" i="2"/>
  <c r="K695" i="2"/>
  <c r="D695" i="2"/>
  <c r="Q695" i="2" s="1"/>
  <c r="O694" i="2"/>
  <c r="N694" i="2"/>
  <c r="L694" i="2"/>
  <c r="K694" i="2"/>
  <c r="D694" i="2"/>
  <c r="O693" i="2"/>
  <c r="N693" i="2"/>
  <c r="L693" i="2"/>
  <c r="K693" i="2"/>
  <c r="D693" i="2"/>
  <c r="O692" i="2"/>
  <c r="L692" i="2"/>
  <c r="K692" i="2"/>
  <c r="D692" i="2"/>
  <c r="Q691" i="2"/>
  <c r="P691" i="2"/>
  <c r="D807" i="8" s="1"/>
  <c r="O691" i="2"/>
  <c r="M691" i="2"/>
  <c r="L691" i="2"/>
  <c r="K691" i="2"/>
  <c r="Q690" i="2"/>
  <c r="P690" i="2"/>
  <c r="O690" i="2"/>
  <c r="M690" i="2"/>
  <c r="L690" i="2"/>
  <c r="K690" i="2"/>
  <c r="P689" i="2"/>
  <c r="O689" i="2"/>
  <c r="L689" i="2"/>
  <c r="K689" i="2"/>
  <c r="D689" i="2"/>
  <c r="Q689" i="2" s="1"/>
  <c r="O688" i="2"/>
  <c r="L688" i="2"/>
  <c r="K688" i="2"/>
  <c r="D688" i="2"/>
  <c r="Q688" i="2" s="1"/>
  <c r="Q687" i="2"/>
  <c r="P687" i="2"/>
  <c r="D1099" i="8" s="1"/>
  <c r="O687" i="2"/>
  <c r="M687" i="2"/>
  <c r="L687" i="2"/>
  <c r="K687" i="2"/>
  <c r="R687" i="2" s="1"/>
  <c r="S686" i="2"/>
  <c r="T686" i="2" s="1"/>
  <c r="U686" i="2" s="1"/>
  <c r="R686" i="2"/>
  <c r="Q686" i="2"/>
  <c r="P686" i="2"/>
  <c r="O686" i="2"/>
  <c r="M686" i="2"/>
  <c r="L686" i="2"/>
  <c r="K686" i="2"/>
  <c r="Q685" i="2"/>
  <c r="P685" i="2"/>
  <c r="O685" i="2"/>
  <c r="L685" i="2"/>
  <c r="K685" i="2"/>
  <c r="D685" i="2"/>
  <c r="R684" i="2"/>
  <c r="S684" i="2" s="1"/>
  <c r="T684" i="2" s="1"/>
  <c r="Q684" i="2"/>
  <c r="M684" i="2" s="1"/>
  <c r="P684" i="2"/>
  <c r="O684" i="2"/>
  <c r="L684" i="2"/>
  <c r="K684" i="2"/>
  <c r="D684" i="2"/>
  <c r="O683" i="2"/>
  <c r="L683" i="2"/>
  <c r="K683" i="2"/>
  <c r="D683" i="2"/>
  <c r="Q683" i="2" s="1"/>
  <c r="Q682" i="2"/>
  <c r="M682" i="2" s="1"/>
  <c r="P682" i="2"/>
  <c r="O682" i="2"/>
  <c r="L682" i="2"/>
  <c r="K682" i="2"/>
  <c r="D682" i="2"/>
  <c r="O681" i="2"/>
  <c r="L681" i="2"/>
  <c r="K681" i="2"/>
  <c r="D681" i="2"/>
  <c r="R680" i="2"/>
  <c r="S680" i="2" s="1"/>
  <c r="T680" i="2" s="1"/>
  <c r="P680" i="2"/>
  <c r="O680" i="2"/>
  <c r="M680" i="2"/>
  <c r="L680" i="2"/>
  <c r="K680" i="2"/>
  <c r="D680" i="2"/>
  <c r="Q680" i="2" s="1"/>
  <c r="Q679" i="2"/>
  <c r="P679" i="2"/>
  <c r="O679" i="2"/>
  <c r="M679" i="2"/>
  <c r="L679" i="2"/>
  <c r="K679" i="2"/>
  <c r="P678" i="2"/>
  <c r="O678" i="2"/>
  <c r="M678" i="2"/>
  <c r="L678" i="2"/>
  <c r="K678" i="2"/>
  <c r="D678" i="2"/>
  <c r="Q678" i="2" s="1"/>
  <c r="Q677" i="2"/>
  <c r="O677" i="2"/>
  <c r="L677" i="2"/>
  <c r="K677" i="2"/>
  <c r="D677" i="2"/>
  <c r="P677" i="2" s="1"/>
  <c r="O676" i="2"/>
  <c r="L676" i="2"/>
  <c r="K676" i="2"/>
  <c r="D676" i="2"/>
  <c r="S675" i="2"/>
  <c r="T675" i="2" s="1"/>
  <c r="U675" i="2" s="1"/>
  <c r="R675" i="2"/>
  <c r="Q675" i="2"/>
  <c r="P675" i="2"/>
  <c r="O675" i="2"/>
  <c r="M675" i="2"/>
  <c r="L675" i="2"/>
  <c r="K675" i="2"/>
  <c r="R674" i="2"/>
  <c r="S674" i="2" s="1"/>
  <c r="T674" i="2" s="1"/>
  <c r="Q674" i="2"/>
  <c r="M674" i="2" s="1"/>
  <c r="P674" i="2"/>
  <c r="O674" i="2"/>
  <c r="L674" i="2"/>
  <c r="K674" i="2"/>
  <c r="D674" i="2"/>
  <c r="Q673" i="2"/>
  <c r="S673" i="2" s="1"/>
  <c r="T673" i="2" s="1"/>
  <c r="P673" i="2"/>
  <c r="O673" i="2"/>
  <c r="M673" i="2"/>
  <c r="R673" i="2" s="1"/>
  <c r="L673" i="2"/>
  <c r="K673" i="2"/>
  <c r="D673" i="2"/>
  <c r="Q672" i="2"/>
  <c r="S672" i="2" s="1"/>
  <c r="T672" i="2" s="1"/>
  <c r="P672" i="2"/>
  <c r="O672" i="2"/>
  <c r="L672" i="2"/>
  <c r="K672" i="2"/>
  <c r="R672" i="2" s="1"/>
  <c r="Q671" i="2"/>
  <c r="P671" i="2"/>
  <c r="O671" i="2"/>
  <c r="M671" i="2"/>
  <c r="L671" i="2"/>
  <c r="K671" i="2"/>
  <c r="R671" i="2" s="1"/>
  <c r="S671" i="2" s="1"/>
  <c r="T671" i="2" s="1"/>
  <c r="U671" i="2" s="1"/>
  <c r="O670" i="2"/>
  <c r="L670" i="2"/>
  <c r="K670" i="2"/>
  <c r="D670" i="2"/>
  <c r="R669" i="2"/>
  <c r="Q669" i="2"/>
  <c r="S669" i="2" s="1"/>
  <c r="T669" i="2" s="1"/>
  <c r="U669" i="2" s="1"/>
  <c r="P669" i="2"/>
  <c r="O669" i="2"/>
  <c r="M669" i="2"/>
  <c r="L669" i="2"/>
  <c r="K669" i="2"/>
  <c r="R668" i="2"/>
  <c r="Q668" i="2"/>
  <c r="P668" i="2"/>
  <c r="D1038" i="8" s="1"/>
  <c r="O668" i="2"/>
  <c r="M668" i="2"/>
  <c r="L668" i="2"/>
  <c r="K668" i="2"/>
  <c r="R667" i="2"/>
  <c r="Q667" i="2"/>
  <c r="P667" i="2"/>
  <c r="D1057" i="8" s="1"/>
  <c r="O667" i="2"/>
  <c r="M667" i="2"/>
  <c r="L667" i="2"/>
  <c r="K667" i="2"/>
  <c r="R666" i="2"/>
  <c r="Q666" i="2"/>
  <c r="P666" i="2"/>
  <c r="O666" i="2"/>
  <c r="M666" i="2"/>
  <c r="L666" i="2"/>
  <c r="K666" i="2"/>
  <c r="V665" i="2"/>
  <c r="Q665" i="2"/>
  <c r="P665" i="2"/>
  <c r="O665" i="2"/>
  <c r="M665" i="2"/>
  <c r="L665" i="2"/>
  <c r="K665" i="2"/>
  <c r="Q664" i="2"/>
  <c r="P664" i="2"/>
  <c r="D573" i="8" s="1"/>
  <c r="O664" i="2"/>
  <c r="M664" i="2"/>
  <c r="L664" i="2"/>
  <c r="K664" i="2"/>
  <c r="Q663" i="2"/>
  <c r="P663" i="2"/>
  <c r="O663" i="2"/>
  <c r="L663" i="2"/>
  <c r="K663" i="2"/>
  <c r="D663" i="2"/>
  <c r="Q662" i="2"/>
  <c r="P662" i="2"/>
  <c r="O662" i="2"/>
  <c r="L662" i="2"/>
  <c r="K662" i="2"/>
  <c r="D662" i="2"/>
  <c r="O661" i="2"/>
  <c r="L661" i="2"/>
  <c r="K661" i="2"/>
  <c r="D661" i="2"/>
  <c r="Q660" i="2"/>
  <c r="P660" i="2"/>
  <c r="O660" i="2"/>
  <c r="M660" i="2"/>
  <c r="L660" i="2"/>
  <c r="K660" i="2"/>
  <c r="Q659" i="2"/>
  <c r="P659" i="2"/>
  <c r="O659" i="2"/>
  <c r="M659" i="2"/>
  <c r="L659" i="2"/>
  <c r="K659" i="2"/>
  <c r="Q658" i="2"/>
  <c r="P658" i="2"/>
  <c r="O658" i="2"/>
  <c r="M658" i="2"/>
  <c r="L658" i="2"/>
  <c r="R658" i="2" s="1"/>
  <c r="K658" i="2"/>
  <c r="D658" i="2"/>
  <c r="T657" i="2"/>
  <c r="S657" i="2"/>
  <c r="Q657" i="2"/>
  <c r="M657" i="2" s="1"/>
  <c r="R657" i="2" s="1"/>
  <c r="P657" i="2"/>
  <c r="O657" i="2"/>
  <c r="L657" i="2"/>
  <c r="K657" i="2"/>
  <c r="D657" i="2"/>
  <c r="P656" i="2"/>
  <c r="O656" i="2"/>
  <c r="M656" i="2"/>
  <c r="L656" i="2"/>
  <c r="K656" i="2"/>
  <c r="R656" i="2" s="1"/>
  <c r="D656" i="2"/>
  <c r="Q656" i="2" s="1"/>
  <c r="R655" i="2"/>
  <c r="Q655" i="2"/>
  <c r="S655" i="2" s="1"/>
  <c r="T655" i="2" s="1"/>
  <c r="P655" i="2"/>
  <c r="O655" i="2"/>
  <c r="M655" i="2"/>
  <c r="L655" i="2"/>
  <c r="K655" i="2"/>
  <c r="Q654" i="2"/>
  <c r="P654" i="2"/>
  <c r="D1077" i="8" s="1"/>
  <c r="O654" i="2"/>
  <c r="M654" i="2"/>
  <c r="L654" i="2"/>
  <c r="R654" i="2" s="1"/>
  <c r="S654" i="2" s="1"/>
  <c r="T654" i="2" s="1"/>
  <c r="U654" i="2" s="1"/>
  <c r="K654" i="2"/>
  <c r="Q653" i="2"/>
  <c r="P653" i="2"/>
  <c r="O653" i="2"/>
  <c r="L653" i="2"/>
  <c r="K653" i="2"/>
  <c r="D653" i="2"/>
  <c r="Q652" i="2"/>
  <c r="P652" i="2"/>
  <c r="O652" i="2"/>
  <c r="L652" i="2"/>
  <c r="K652" i="2"/>
  <c r="D652" i="2"/>
  <c r="W651" i="2"/>
  <c r="Q651" i="2"/>
  <c r="M651" i="2" s="1"/>
  <c r="R651" i="2" s="1"/>
  <c r="O651" i="2"/>
  <c r="L651" i="2"/>
  <c r="K651" i="2"/>
  <c r="D651" i="2"/>
  <c r="P651" i="2" s="1"/>
  <c r="Q650" i="2"/>
  <c r="P650" i="2"/>
  <c r="O650" i="2"/>
  <c r="N650" i="2"/>
  <c r="R650" i="2" s="1"/>
  <c r="S649" i="2"/>
  <c r="T649" i="2" s="1"/>
  <c r="R649" i="2"/>
  <c r="Q649" i="2"/>
  <c r="P649" i="2"/>
  <c r="O649" i="2"/>
  <c r="N649" i="2"/>
  <c r="R648" i="2"/>
  <c r="Q648" i="2"/>
  <c r="P648" i="2"/>
  <c r="O648" i="2"/>
  <c r="M648" i="2"/>
  <c r="L648" i="2"/>
  <c r="K648" i="2"/>
  <c r="Q647" i="2"/>
  <c r="P647" i="2"/>
  <c r="D1263" i="8" s="1"/>
  <c r="O647" i="2"/>
  <c r="M647" i="2"/>
  <c r="L647" i="2"/>
  <c r="K647" i="2"/>
  <c r="Q646" i="2"/>
  <c r="P646" i="2"/>
  <c r="O646" i="2"/>
  <c r="M646" i="2"/>
  <c r="L646" i="2"/>
  <c r="K646" i="2"/>
  <c r="R646" i="2" s="1"/>
  <c r="Q645" i="2"/>
  <c r="P645" i="2"/>
  <c r="O645" i="2"/>
  <c r="M645" i="2"/>
  <c r="L645" i="2"/>
  <c r="K645" i="2"/>
  <c r="R645" i="2" s="1"/>
  <c r="Q644" i="2"/>
  <c r="P644" i="2"/>
  <c r="O644" i="2"/>
  <c r="M644" i="2"/>
  <c r="R644" i="2" s="1"/>
  <c r="L644" i="2"/>
  <c r="K644" i="2"/>
  <c r="O643" i="2"/>
  <c r="L643" i="2"/>
  <c r="K643" i="2"/>
  <c r="D643" i="2"/>
  <c r="Q642" i="2"/>
  <c r="P642" i="2"/>
  <c r="O642" i="2"/>
  <c r="M642" i="2"/>
  <c r="L642" i="2"/>
  <c r="R642" i="2" s="1"/>
  <c r="K642" i="2"/>
  <c r="S641" i="2"/>
  <c r="T641" i="2" s="1"/>
  <c r="U641" i="2" s="1"/>
  <c r="R641" i="2"/>
  <c r="Q641" i="2"/>
  <c r="P641" i="2"/>
  <c r="D92" i="8" s="1"/>
  <c r="O641" i="2"/>
  <c r="M641" i="2"/>
  <c r="L641" i="2"/>
  <c r="K641" i="2"/>
  <c r="Q640" i="2"/>
  <c r="S640" i="2" s="1"/>
  <c r="T640" i="2" s="1"/>
  <c r="U640" i="2" s="1"/>
  <c r="P640" i="2"/>
  <c r="D666" i="8" s="1"/>
  <c r="O640" i="2"/>
  <c r="M640" i="2"/>
  <c r="L640" i="2"/>
  <c r="K640" i="2"/>
  <c r="R640" i="2" s="1"/>
  <c r="V639" i="2"/>
  <c r="S639" i="2"/>
  <c r="R639" i="2"/>
  <c r="Q639" i="2"/>
  <c r="P639" i="2"/>
  <c r="O639" i="2"/>
  <c r="M639" i="2"/>
  <c r="L639" i="2"/>
  <c r="K639" i="2"/>
  <c r="S638" i="2"/>
  <c r="T638" i="2" s="1"/>
  <c r="U638" i="2" s="1"/>
  <c r="R638" i="2"/>
  <c r="Q638" i="2"/>
  <c r="P638" i="2"/>
  <c r="C986" i="8" s="1"/>
  <c r="O638" i="2"/>
  <c r="M638" i="2"/>
  <c r="L638" i="2"/>
  <c r="K638" i="2"/>
  <c r="R637" i="2"/>
  <c r="Q637" i="2"/>
  <c r="P637" i="2"/>
  <c r="O637" i="2"/>
  <c r="M637" i="2"/>
  <c r="L637" i="2"/>
  <c r="K637" i="2"/>
  <c r="D637" i="2"/>
  <c r="O636" i="2"/>
  <c r="L636" i="2"/>
  <c r="K636" i="2"/>
  <c r="D636" i="2"/>
  <c r="O635" i="2"/>
  <c r="L635" i="2"/>
  <c r="K635" i="2"/>
  <c r="D635" i="2"/>
  <c r="Q635" i="2" s="1"/>
  <c r="M635" i="2" s="1"/>
  <c r="R635" i="2" s="1"/>
  <c r="Q634" i="2"/>
  <c r="P634" i="2"/>
  <c r="O634" i="2"/>
  <c r="M634" i="2"/>
  <c r="L634" i="2"/>
  <c r="K634" i="2"/>
  <c r="Q633" i="2"/>
  <c r="P633" i="2"/>
  <c r="O633" i="2"/>
  <c r="M633" i="2"/>
  <c r="L633" i="2"/>
  <c r="K633" i="2"/>
  <c r="Q632" i="2"/>
  <c r="P632" i="2"/>
  <c r="O632" i="2"/>
  <c r="M632" i="2"/>
  <c r="L632" i="2"/>
  <c r="K632" i="2"/>
  <c r="O631" i="2"/>
  <c r="L631" i="2"/>
  <c r="K631" i="2"/>
  <c r="D631" i="2"/>
  <c r="R630" i="2"/>
  <c r="S630" i="2" s="1"/>
  <c r="T630" i="2" s="1"/>
  <c r="Q630" i="2"/>
  <c r="M630" i="2" s="1"/>
  <c r="O630" i="2"/>
  <c r="L630" i="2"/>
  <c r="K630" i="2"/>
  <c r="D630" i="2"/>
  <c r="P630" i="2" s="1"/>
  <c r="Q629" i="2"/>
  <c r="P629" i="2"/>
  <c r="O629" i="2"/>
  <c r="L629" i="2"/>
  <c r="K629" i="2"/>
  <c r="D629" i="2"/>
  <c r="R628" i="2"/>
  <c r="Q628" i="2"/>
  <c r="M628" i="2" s="1"/>
  <c r="P628" i="2"/>
  <c r="O628" i="2"/>
  <c r="L628" i="2"/>
  <c r="K628" i="2"/>
  <c r="D628" i="2"/>
  <c r="T627" i="2"/>
  <c r="U627" i="2" s="1"/>
  <c r="Q627" i="2"/>
  <c r="S627" i="2" s="1"/>
  <c r="P627" i="2"/>
  <c r="D1081" i="8" s="1"/>
  <c r="O627" i="2"/>
  <c r="M627" i="2"/>
  <c r="L627" i="2"/>
  <c r="K627" i="2"/>
  <c r="R627" i="2" s="1"/>
  <c r="Q626" i="2"/>
  <c r="P626" i="2"/>
  <c r="O626" i="2"/>
  <c r="L626" i="2"/>
  <c r="K626" i="2"/>
  <c r="Q625" i="2"/>
  <c r="P625" i="2"/>
  <c r="D51" i="8" s="1"/>
  <c r="O625" i="2"/>
  <c r="M625" i="2"/>
  <c r="L625" i="2"/>
  <c r="K625" i="2"/>
  <c r="S624" i="2"/>
  <c r="T624" i="2" s="1"/>
  <c r="U624" i="2" s="1"/>
  <c r="Q624" i="2"/>
  <c r="P624" i="2"/>
  <c r="C826" i="8" s="1"/>
  <c r="O624" i="2"/>
  <c r="M624" i="2"/>
  <c r="L624" i="2"/>
  <c r="K624" i="2"/>
  <c r="R624" i="2" s="1"/>
  <c r="Q623" i="2"/>
  <c r="P623" i="2"/>
  <c r="O623" i="2"/>
  <c r="M623" i="2"/>
  <c r="L623" i="2"/>
  <c r="K623" i="2"/>
  <c r="Q622" i="2"/>
  <c r="P622" i="2"/>
  <c r="O622" i="2"/>
  <c r="M622" i="2"/>
  <c r="L622" i="2"/>
  <c r="R622" i="2" s="1"/>
  <c r="K622" i="2"/>
  <c r="T621" i="2"/>
  <c r="S621" i="2"/>
  <c r="R621" i="2"/>
  <c r="Q621" i="2"/>
  <c r="M621" i="2" s="1"/>
  <c r="P621" i="2"/>
  <c r="O621" i="2"/>
  <c r="L621" i="2"/>
  <c r="K621" i="2"/>
  <c r="Q620" i="2"/>
  <c r="M620" i="2" s="1"/>
  <c r="R620" i="2" s="1"/>
  <c r="P620" i="2"/>
  <c r="O620" i="2"/>
  <c r="L620" i="2"/>
  <c r="K620" i="2"/>
  <c r="Q619" i="2"/>
  <c r="M619" i="2" s="1"/>
  <c r="P619" i="2"/>
  <c r="O619" i="2"/>
  <c r="L619" i="2"/>
  <c r="K619" i="2"/>
  <c r="Q618" i="2"/>
  <c r="P618" i="2"/>
  <c r="O618" i="2"/>
  <c r="M618" i="2"/>
  <c r="L618" i="2"/>
  <c r="K618" i="2"/>
  <c r="Q617" i="2"/>
  <c r="P617" i="2"/>
  <c r="O617" i="2"/>
  <c r="M617" i="2"/>
  <c r="L617" i="2"/>
  <c r="K617" i="2"/>
  <c r="R617" i="2" s="1"/>
  <c r="S617" i="2" s="1"/>
  <c r="T617" i="2" s="1"/>
  <c r="Q616" i="2"/>
  <c r="M616" i="2" s="1"/>
  <c r="R616" i="2" s="1"/>
  <c r="P616" i="2"/>
  <c r="O616" i="2"/>
  <c r="L616" i="2"/>
  <c r="K616" i="2"/>
  <c r="Q615" i="2"/>
  <c r="P615" i="2"/>
  <c r="O615" i="2"/>
  <c r="M615" i="2"/>
  <c r="L615" i="2"/>
  <c r="K615" i="2"/>
  <c r="Q614" i="2"/>
  <c r="P614" i="2"/>
  <c r="O614" i="2"/>
  <c r="L614" i="2"/>
  <c r="K614" i="2"/>
  <c r="Q613" i="2"/>
  <c r="P613" i="2"/>
  <c r="O613" i="2"/>
  <c r="L613" i="2"/>
  <c r="K613" i="2"/>
  <c r="P612" i="2"/>
  <c r="O612" i="2"/>
  <c r="L612" i="2"/>
  <c r="K612" i="2"/>
  <c r="D612" i="2"/>
  <c r="Q612" i="2" s="1"/>
  <c r="O611" i="2"/>
  <c r="K611" i="2"/>
  <c r="D611" i="2"/>
  <c r="T610" i="2"/>
  <c r="U610" i="2" s="1"/>
  <c r="S610" i="2"/>
  <c r="R610" i="2"/>
  <c r="Q610" i="2"/>
  <c r="P610" i="2"/>
  <c r="O610" i="2"/>
  <c r="M610" i="2"/>
  <c r="L610" i="2"/>
  <c r="K610" i="2"/>
  <c r="R609" i="2"/>
  <c r="Q609" i="2"/>
  <c r="S609" i="2" s="1"/>
  <c r="T609" i="2" s="1"/>
  <c r="U609" i="2" s="1"/>
  <c r="P609" i="2"/>
  <c r="O609" i="2"/>
  <c r="M609" i="2"/>
  <c r="L609" i="2"/>
  <c r="K609" i="2"/>
  <c r="S608" i="2"/>
  <c r="T608" i="2" s="1"/>
  <c r="U608" i="2" s="1"/>
  <c r="R608" i="2"/>
  <c r="Q608" i="2"/>
  <c r="P608" i="2"/>
  <c r="O608" i="2"/>
  <c r="M608" i="2"/>
  <c r="L608" i="2"/>
  <c r="K608" i="2"/>
  <c r="S607" i="2"/>
  <c r="T607" i="2" s="1"/>
  <c r="U607" i="2" s="1"/>
  <c r="R607" i="2"/>
  <c r="Q607" i="2"/>
  <c r="P607" i="2"/>
  <c r="O607" i="2"/>
  <c r="R606" i="2"/>
  <c r="Q606" i="2"/>
  <c r="S606" i="2" s="1"/>
  <c r="T606" i="2" s="1"/>
  <c r="U606" i="2" s="1"/>
  <c r="P606" i="2"/>
  <c r="O606" i="2"/>
  <c r="R605" i="2"/>
  <c r="Q605" i="2"/>
  <c r="P605" i="2"/>
  <c r="O605" i="2"/>
  <c r="T604" i="2"/>
  <c r="S604" i="2"/>
  <c r="R604" i="2"/>
  <c r="Q604" i="2"/>
  <c r="P604" i="2"/>
  <c r="O604" i="2"/>
  <c r="Q603" i="2"/>
  <c r="P603" i="2"/>
  <c r="O603" i="2"/>
  <c r="M603" i="2"/>
  <c r="L603" i="2"/>
  <c r="K603" i="2"/>
  <c r="Q602" i="2"/>
  <c r="P602" i="2"/>
  <c r="O602" i="2"/>
  <c r="M602" i="2"/>
  <c r="L602" i="2"/>
  <c r="K602" i="2"/>
  <c r="Q601" i="2"/>
  <c r="P601" i="2"/>
  <c r="O601" i="2"/>
  <c r="M601" i="2"/>
  <c r="L601" i="2"/>
  <c r="K601" i="2"/>
  <c r="R601" i="2" s="1"/>
  <c r="S601" i="2" s="1"/>
  <c r="T601" i="2" s="1"/>
  <c r="U601" i="2" s="1"/>
  <c r="R600" i="2"/>
  <c r="Q600" i="2"/>
  <c r="S600" i="2" s="1"/>
  <c r="T600" i="2" s="1"/>
  <c r="U600" i="2" s="1"/>
  <c r="P600" i="2"/>
  <c r="C995" i="8" s="1"/>
  <c r="O600" i="2"/>
  <c r="M600" i="2"/>
  <c r="L600" i="2"/>
  <c r="K600" i="2"/>
  <c r="U599" i="2"/>
  <c r="Q599" i="2"/>
  <c r="S599" i="2" s="1"/>
  <c r="T599" i="2" s="1"/>
  <c r="P599" i="2"/>
  <c r="O599" i="2"/>
  <c r="M599" i="2"/>
  <c r="L599" i="2"/>
  <c r="K599" i="2"/>
  <c r="R599" i="2" s="1"/>
  <c r="Q598" i="2"/>
  <c r="P598" i="2"/>
  <c r="O598" i="2"/>
  <c r="M598" i="2"/>
  <c r="L598" i="2"/>
  <c r="K598" i="2"/>
  <c r="R598" i="2" s="1"/>
  <c r="D598" i="2"/>
  <c r="R597" i="2"/>
  <c r="S597" i="2" s="1"/>
  <c r="T597" i="2" s="1"/>
  <c r="Q597" i="2"/>
  <c r="M597" i="2" s="1"/>
  <c r="P597" i="2"/>
  <c r="O597" i="2"/>
  <c r="L597" i="2"/>
  <c r="K597" i="2"/>
  <c r="D597" i="2"/>
  <c r="Q596" i="2"/>
  <c r="P596" i="2"/>
  <c r="O596" i="2"/>
  <c r="M596" i="2"/>
  <c r="L596" i="2"/>
  <c r="R596" i="2" s="1"/>
  <c r="S596" i="2" s="1"/>
  <c r="T596" i="2" s="1"/>
  <c r="U596" i="2" s="1"/>
  <c r="K596" i="2"/>
  <c r="R595" i="2"/>
  <c r="Q595" i="2"/>
  <c r="P595" i="2"/>
  <c r="O595" i="2"/>
  <c r="M595" i="2"/>
  <c r="L595" i="2"/>
  <c r="K595" i="2"/>
  <c r="Q594" i="2"/>
  <c r="P594" i="2"/>
  <c r="O594" i="2"/>
  <c r="M594" i="2"/>
  <c r="L594" i="2"/>
  <c r="K594" i="2"/>
  <c r="R594" i="2" s="1"/>
  <c r="Q593" i="2"/>
  <c r="P593" i="2"/>
  <c r="O593" i="2"/>
  <c r="N593" i="2"/>
  <c r="M593" i="2"/>
  <c r="L593" i="2"/>
  <c r="K593" i="2"/>
  <c r="P592" i="2"/>
  <c r="O592" i="2"/>
  <c r="M592" i="2"/>
  <c r="L592" i="2"/>
  <c r="K592" i="2"/>
  <c r="D592" i="2"/>
  <c r="Q592" i="2" s="1"/>
  <c r="R591" i="2"/>
  <c r="Q591" i="2"/>
  <c r="P591" i="2"/>
  <c r="O591" i="2"/>
  <c r="M591" i="2"/>
  <c r="L591" i="2"/>
  <c r="K591" i="2"/>
  <c r="O590" i="2"/>
  <c r="L590" i="2"/>
  <c r="K590" i="2"/>
  <c r="D590" i="2"/>
  <c r="O589" i="2"/>
  <c r="L589" i="2"/>
  <c r="K589" i="2"/>
  <c r="D589" i="2"/>
  <c r="O588" i="2"/>
  <c r="L588" i="2"/>
  <c r="K588" i="2"/>
  <c r="D588" i="2"/>
  <c r="Q587" i="2"/>
  <c r="M587" i="2" s="1"/>
  <c r="O587" i="2"/>
  <c r="L587" i="2"/>
  <c r="K587" i="2"/>
  <c r="D587" i="2"/>
  <c r="P587" i="2" s="1"/>
  <c r="O586" i="2"/>
  <c r="L586" i="2"/>
  <c r="K586" i="2"/>
  <c r="D586" i="2"/>
  <c r="V585" i="2"/>
  <c r="P585" i="2"/>
  <c r="O585" i="2"/>
  <c r="L585" i="2"/>
  <c r="K585" i="2"/>
  <c r="D585" i="2"/>
  <c r="Q585" i="2" s="1"/>
  <c r="Q584" i="2"/>
  <c r="P584" i="2"/>
  <c r="O584" i="2"/>
  <c r="M584" i="2"/>
  <c r="L584" i="2"/>
  <c r="K584" i="2"/>
  <c r="R584" i="2" s="1"/>
  <c r="S584" i="2" s="1"/>
  <c r="T584" i="2" s="1"/>
  <c r="U584" i="2" s="1"/>
  <c r="Q583" i="2"/>
  <c r="P583" i="2"/>
  <c r="D1122" i="8" s="1"/>
  <c r="O583" i="2"/>
  <c r="M583" i="2"/>
  <c r="R583" i="2" s="1"/>
  <c r="S583" i="2" s="1"/>
  <c r="T583" i="2" s="1"/>
  <c r="U583" i="2" s="1"/>
  <c r="L583" i="2"/>
  <c r="K583" i="2"/>
  <c r="Q582" i="2"/>
  <c r="P582" i="2"/>
  <c r="O582" i="2"/>
  <c r="M582" i="2"/>
  <c r="L582" i="2"/>
  <c r="K582" i="2"/>
  <c r="R582" i="2" s="1"/>
  <c r="S582" i="2" s="1"/>
  <c r="T582" i="2" s="1"/>
  <c r="U582" i="2" s="1"/>
  <c r="R581" i="2"/>
  <c r="Q581" i="2"/>
  <c r="S581" i="2" s="1"/>
  <c r="T581" i="2" s="1"/>
  <c r="U581" i="2" s="1"/>
  <c r="P581" i="2"/>
  <c r="O581" i="2"/>
  <c r="M581" i="2"/>
  <c r="L581" i="2"/>
  <c r="K581" i="2"/>
  <c r="U580" i="2"/>
  <c r="T580" i="2"/>
  <c r="S580" i="2"/>
  <c r="R580" i="2"/>
  <c r="Q580" i="2"/>
  <c r="P580" i="2"/>
  <c r="C561" i="8" s="1"/>
  <c r="O580" i="2"/>
  <c r="M580" i="2"/>
  <c r="L580" i="2"/>
  <c r="K580" i="2"/>
  <c r="R579" i="2"/>
  <c r="Q579" i="2"/>
  <c r="S579" i="2" s="1"/>
  <c r="T579" i="2" s="1"/>
  <c r="U579" i="2" s="1"/>
  <c r="P579" i="2"/>
  <c r="C560" i="8" s="1"/>
  <c r="O579" i="2"/>
  <c r="M579" i="2"/>
  <c r="L579" i="2"/>
  <c r="K579" i="2"/>
  <c r="T578" i="2"/>
  <c r="U578" i="2" s="1"/>
  <c r="S578" i="2"/>
  <c r="R578" i="2"/>
  <c r="Q578" i="2"/>
  <c r="P578" i="2"/>
  <c r="C554" i="8" s="1"/>
  <c r="O578" i="2"/>
  <c r="M578" i="2"/>
  <c r="L578" i="2"/>
  <c r="K578" i="2"/>
  <c r="Q577" i="2"/>
  <c r="P577" i="2"/>
  <c r="D1452" i="8" s="1"/>
  <c r="O577" i="2"/>
  <c r="N577" i="2"/>
  <c r="M577" i="2"/>
  <c r="L577" i="2"/>
  <c r="K577" i="2"/>
  <c r="Q576" i="2"/>
  <c r="P576" i="2"/>
  <c r="C1065" i="8" s="1"/>
  <c r="O576" i="2"/>
  <c r="M576" i="2"/>
  <c r="L576" i="2"/>
  <c r="K576" i="2"/>
  <c r="Q575" i="2"/>
  <c r="P575" i="2"/>
  <c r="D1053" i="8" s="1"/>
  <c r="O575" i="2"/>
  <c r="M575" i="2"/>
  <c r="L575" i="2"/>
  <c r="K575" i="2"/>
  <c r="Q574" i="2"/>
  <c r="P574" i="2"/>
  <c r="O574" i="2"/>
  <c r="M574" i="2"/>
  <c r="L574" i="2"/>
  <c r="R574" i="2" s="1"/>
  <c r="K574" i="2"/>
  <c r="O573" i="2"/>
  <c r="L573" i="2"/>
  <c r="K573" i="2"/>
  <c r="D573" i="2"/>
  <c r="P572" i="2"/>
  <c r="O572" i="2"/>
  <c r="M572" i="2"/>
  <c r="L572" i="2"/>
  <c r="K572" i="2"/>
  <c r="R572" i="2" s="1"/>
  <c r="D572" i="2"/>
  <c r="Q572" i="2" s="1"/>
  <c r="O571" i="2"/>
  <c r="L571" i="2"/>
  <c r="K571" i="2"/>
  <c r="D571" i="2"/>
  <c r="O570" i="2"/>
  <c r="L570" i="2"/>
  <c r="K570" i="2"/>
  <c r="D570" i="2"/>
  <c r="Q569" i="2"/>
  <c r="P569" i="2"/>
  <c r="O569" i="2"/>
  <c r="L569" i="2"/>
  <c r="K569" i="2"/>
  <c r="D569" i="2"/>
  <c r="Q568" i="2"/>
  <c r="M568" i="2" s="1"/>
  <c r="R568" i="2" s="1"/>
  <c r="P568" i="2"/>
  <c r="O568" i="2"/>
  <c r="L568" i="2"/>
  <c r="K568" i="2"/>
  <c r="D568" i="2"/>
  <c r="R567" i="2"/>
  <c r="Q567" i="2"/>
  <c r="P567" i="2"/>
  <c r="O567" i="2"/>
  <c r="M567" i="2"/>
  <c r="L567" i="2"/>
  <c r="K567" i="2"/>
  <c r="D567" i="2"/>
  <c r="Q566" i="2"/>
  <c r="P566" i="2"/>
  <c r="O566" i="2"/>
  <c r="M566" i="2"/>
  <c r="L566" i="2"/>
  <c r="R566" i="2" s="1"/>
  <c r="S566" i="2" s="1"/>
  <c r="T566" i="2" s="1"/>
  <c r="K566" i="2"/>
  <c r="D566" i="2"/>
  <c r="P565" i="2"/>
  <c r="O565" i="2"/>
  <c r="M565" i="2"/>
  <c r="L565" i="2"/>
  <c r="K565" i="2"/>
  <c r="R565" i="2" s="1"/>
  <c r="D565" i="2"/>
  <c r="Q565" i="2" s="1"/>
  <c r="P564" i="2"/>
  <c r="O564" i="2"/>
  <c r="L564" i="2"/>
  <c r="K564" i="2"/>
  <c r="D564" i="2"/>
  <c r="Q564" i="2" s="1"/>
  <c r="Q563" i="2"/>
  <c r="O563" i="2"/>
  <c r="L563" i="2"/>
  <c r="K563" i="2"/>
  <c r="D563" i="2"/>
  <c r="P563" i="2" s="1"/>
  <c r="O562" i="2"/>
  <c r="L562" i="2"/>
  <c r="K562" i="2"/>
  <c r="D562" i="2"/>
  <c r="P561" i="2"/>
  <c r="O561" i="2"/>
  <c r="M561" i="2"/>
  <c r="L561" i="2"/>
  <c r="K561" i="2"/>
  <c r="R561" i="2" s="1"/>
  <c r="D561" i="2"/>
  <c r="Q561" i="2" s="1"/>
  <c r="O560" i="2"/>
  <c r="L560" i="2"/>
  <c r="K560" i="2"/>
  <c r="D560" i="2"/>
  <c r="Q559" i="2"/>
  <c r="P559" i="2"/>
  <c r="O559" i="2"/>
  <c r="M559" i="2"/>
  <c r="L559" i="2"/>
  <c r="K559" i="2"/>
  <c r="D559" i="2"/>
  <c r="S558" i="2"/>
  <c r="T558" i="2" s="1"/>
  <c r="R558" i="2"/>
  <c r="Q558" i="2"/>
  <c r="M558" i="2" s="1"/>
  <c r="O558" i="2"/>
  <c r="L558" i="2"/>
  <c r="K558" i="2"/>
  <c r="D558" i="2"/>
  <c r="P558" i="2" s="1"/>
  <c r="O557" i="2"/>
  <c r="L557" i="2"/>
  <c r="K557" i="2"/>
  <c r="D557" i="2"/>
  <c r="Q556" i="2"/>
  <c r="M556" i="2" s="1"/>
  <c r="R556" i="2" s="1"/>
  <c r="P556" i="2"/>
  <c r="O556" i="2"/>
  <c r="L556" i="2"/>
  <c r="K556" i="2"/>
  <c r="D556" i="2"/>
  <c r="Q555" i="2"/>
  <c r="P555" i="2"/>
  <c r="O555" i="2"/>
  <c r="M555" i="2"/>
  <c r="L555" i="2"/>
  <c r="K555" i="2"/>
  <c r="R555" i="2" s="1"/>
  <c r="D555" i="2"/>
  <c r="O554" i="2"/>
  <c r="L554" i="2"/>
  <c r="K554" i="2"/>
  <c r="D554" i="2"/>
  <c r="Q554" i="2" s="1"/>
  <c r="O553" i="2"/>
  <c r="L553" i="2"/>
  <c r="K553" i="2"/>
  <c r="D553" i="2"/>
  <c r="Q552" i="2"/>
  <c r="M552" i="2" s="1"/>
  <c r="P552" i="2"/>
  <c r="O552" i="2"/>
  <c r="L552" i="2"/>
  <c r="K552" i="2"/>
  <c r="D552" i="2"/>
  <c r="O551" i="2"/>
  <c r="L551" i="2"/>
  <c r="K551" i="2"/>
  <c r="D551" i="2"/>
  <c r="O550" i="2"/>
  <c r="L550" i="2"/>
  <c r="K550" i="2"/>
  <c r="D550" i="2"/>
  <c r="Q549" i="2"/>
  <c r="M549" i="2" s="1"/>
  <c r="O549" i="2"/>
  <c r="L549" i="2"/>
  <c r="R549" i="2" s="1"/>
  <c r="S549" i="2" s="1"/>
  <c r="T549" i="2" s="1"/>
  <c r="K549" i="2"/>
  <c r="D549" i="2"/>
  <c r="P549" i="2" s="1"/>
  <c r="Q548" i="2"/>
  <c r="M548" i="2" s="1"/>
  <c r="R548" i="2" s="1"/>
  <c r="O548" i="2"/>
  <c r="L548" i="2"/>
  <c r="K548" i="2"/>
  <c r="D548" i="2"/>
  <c r="P548" i="2" s="1"/>
  <c r="Q547" i="2"/>
  <c r="M547" i="2" s="1"/>
  <c r="R547" i="2" s="1"/>
  <c r="P547" i="2"/>
  <c r="O547" i="2"/>
  <c r="L547" i="2"/>
  <c r="K547" i="2"/>
  <c r="D547" i="2"/>
  <c r="V546" i="2"/>
  <c r="R546" i="2"/>
  <c r="Q546" i="2"/>
  <c r="P546" i="2"/>
  <c r="O546" i="2"/>
  <c r="M546" i="2"/>
  <c r="L546" i="2"/>
  <c r="K546" i="2"/>
  <c r="Q545" i="2"/>
  <c r="P545" i="2"/>
  <c r="O545" i="2"/>
  <c r="N545" i="2"/>
  <c r="R545" i="2" s="1"/>
  <c r="L545" i="2"/>
  <c r="K545" i="2"/>
  <c r="S544" i="2"/>
  <c r="T544" i="2" s="1"/>
  <c r="R544" i="2"/>
  <c r="Q544" i="2"/>
  <c r="P544" i="2"/>
  <c r="O544" i="2"/>
  <c r="L544" i="2"/>
  <c r="K544" i="2"/>
  <c r="R543" i="2"/>
  <c r="Q543" i="2"/>
  <c r="P543" i="2"/>
  <c r="O543" i="2"/>
  <c r="N543" i="2"/>
  <c r="M543" i="2"/>
  <c r="L543" i="2"/>
  <c r="K543" i="2"/>
  <c r="Q542" i="2"/>
  <c r="P542" i="2"/>
  <c r="D980" i="8" s="1"/>
  <c r="O542" i="2"/>
  <c r="M542" i="2"/>
  <c r="L542" i="2"/>
  <c r="K542" i="2"/>
  <c r="Q541" i="2"/>
  <c r="P541" i="2"/>
  <c r="C567" i="8" s="1"/>
  <c r="O541" i="2"/>
  <c r="M541" i="2"/>
  <c r="L541" i="2"/>
  <c r="K541" i="2"/>
  <c r="Q540" i="2"/>
  <c r="P540" i="2"/>
  <c r="C904" i="8" s="1"/>
  <c r="O540" i="2"/>
  <c r="M540" i="2"/>
  <c r="L540" i="2"/>
  <c r="K540" i="2"/>
  <c r="R540" i="2" s="1"/>
  <c r="S540" i="2" s="1"/>
  <c r="T540" i="2" s="1"/>
  <c r="U540" i="2" s="1"/>
  <c r="R539" i="2"/>
  <c r="Q539" i="2"/>
  <c r="S539" i="2" s="1"/>
  <c r="T539" i="2" s="1"/>
  <c r="U539" i="2" s="1"/>
  <c r="P539" i="2"/>
  <c r="O539" i="2"/>
  <c r="M539" i="2"/>
  <c r="L539" i="2"/>
  <c r="K539" i="2"/>
  <c r="Q538" i="2"/>
  <c r="P538" i="2"/>
  <c r="D707" i="8" s="1"/>
  <c r="O538" i="2"/>
  <c r="M538" i="2"/>
  <c r="L538" i="2"/>
  <c r="K538" i="2"/>
  <c r="Q537" i="2"/>
  <c r="P537" i="2"/>
  <c r="O537" i="2"/>
  <c r="M537" i="2"/>
  <c r="L537" i="2"/>
  <c r="K537" i="2"/>
  <c r="R537" i="2" s="1"/>
  <c r="U536" i="2"/>
  <c r="T536" i="2"/>
  <c r="R536" i="2"/>
  <c r="Q536" i="2"/>
  <c r="S536" i="2" s="1"/>
  <c r="P536" i="2"/>
  <c r="O536" i="2"/>
  <c r="M536" i="2"/>
  <c r="L536" i="2"/>
  <c r="K536" i="2"/>
  <c r="Q535" i="2"/>
  <c r="S535" i="2" s="1"/>
  <c r="T535" i="2" s="1"/>
  <c r="U535" i="2" s="1"/>
  <c r="P535" i="2"/>
  <c r="D983" i="8" s="1"/>
  <c r="O535" i="2"/>
  <c r="M535" i="2"/>
  <c r="L535" i="2"/>
  <c r="R535" i="2" s="1"/>
  <c r="K535" i="2"/>
  <c r="S534" i="2"/>
  <c r="T534" i="2" s="1"/>
  <c r="U534" i="2" s="1"/>
  <c r="R534" i="2"/>
  <c r="Q534" i="2"/>
  <c r="P534" i="2"/>
  <c r="C728" i="8" s="1"/>
  <c r="O534" i="2"/>
  <c r="M534" i="2"/>
  <c r="L534" i="2"/>
  <c r="K534" i="2"/>
  <c r="Q533" i="2"/>
  <c r="P533" i="2"/>
  <c r="O533" i="2"/>
  <c r="M533" i="2"/>
  <c r="L533" i="2"/>
  <c r="R533" i="2" s="1"/>
  <c r="K533" i="2"/>
  <c r="Q532" i="2"/>
  <c r="P532" i="2"/>
  <c r="O532" i="2"/>
  <c r="M532" i="2"/>
  <c r="L532" i="2"/>
  <c r="K532" i="2"/>
  <c r="Q531" i="2"/>
  <c r="P531" i="2"/>
  <c r="O531" i="2"/>
  <c r="M531" i="2"/>
  <c r="L531" i="2"/>
  <c r="K531" i="2"/>
  <c r="R530" i="2"/>
  <c r="P530" i="2"/>
  <c r="O530" i="2"/>
  <c r="M530" i="2"/>
  <c r="L530" i="2"/>
  <c r="K530" i="2"/>
  <c r="D530" i="2"/>
  <c r="Q530" i="2" s="1"/>
  <c r="Q529" i="2"/>
  <c r="O529" i="2"/>
  <c r="K529" i="2"/>
  <c r="D529" i="2"/>
  <c r="P529" i="2" s="1"/>
  <c r="O528" i="2"/>
  <c r="N528" i="2"/>
  <c r="L528" i="2"/>
  <c r="K528" i="2"/>
  <c r="D528" i="2"/>
  <c r="Q527" i="2"/>
  <c r="M527" i="2" s="1"/>
  <c r="P527" i="2"/>
  <c r="O527" i="2"/>
  <c r="N527" i="2"/>
  <c r="L527" i="2"/>
  <c r="K527" i="2"/>
  <c r="R527" i="2" s="1"/>
  <c r="D527" i="2"/>
  <c r="Q526" i="2"/>
  <c r="M526" i="2" s="1"/>
  <c r="P526" i="2"/>
  <c r="O526" i="2"/>
  <c r="N526" i="2"/>
  <c r="L526" i="2"/>
  <c r="K526" i="2"/>
  <c r="D526" i="2"/>
  <c r="T525" i="2"/>
  <c r="S525" i="2"/>
  <c r="R525" i="2"/>
  <c r="P525" i="2"/>
  <c r="O525" i="2"/>
  <c r="N525" i="2"/>
  <c r="L525" i="2"/>
  <c r="K525" i="2"/>
  <c r="D525" i="2"/>
  <c r="Q525" i="2" s="1"/>
  <c r="M525" i="2" s="1"/>
  <c r="O524" i="2"/>
  <c r="N524" i="2"/>
  <c r="L524" i="2"/>
  <c r="K524" i="2"/>
  <c r="D524" i="2"/>
  <c r="S523" i="2"/>
  <c r="T523" i="2" s="1"/>
  <c r="R523" i="2"/>
  <c r="Q523" i="2"/>
  <c r="M523" i="2" s="1"/>
  <c r="P523" i="2"/>
  <c r="O523" i="2"/>
  <c r="N523" i="2"/>
  <c r="L523" i="2"/>
  <c r="K523" i="2"/>
  <c r="D523" i="2"/>
  <c r="O522" i="2"/>
  <c r="L522" i="2"/>
  <c r="K522" i="2"/>
  <c r="D522" i="2"/>
  <c r="O521" i="2"/>
  <c r="L521" i="2"/>
  <c r="K521" i="2"/>
  <c r="D521" i="2"/>
  <c r="O520" i="2"/>
  <c r="L520" i="2"/>
  <c r="K520" i="2"/>
  <c r="D520" i="2"/>
  <c r="Q519" i="2"/>
  <c r="P519" i="2"/>
  <c r="O519" i="2"/>
  <c r="L519" i="2"/>
  <c r="K519" i="2"/>
  <c r="D519" i="2"/>
  <c r="Q518" i="2"/>
  <c r="P518" i="2"/>
  <c r="O518" i="2"/>
  <c r="L518" i="2"/>
  <c r="K518" i="2"/>
  <c r="D518" i="2"/>
  <c r="R517" i="2"/>
  <c r="Q517" i="2"/>
  <c r="S517" i="2" s="1"/>
  <c r="T517" i="2" s="1"/>
  <c r="U517" i="2" s="1"/>
  <c r="P517" i="2"/>
  <c r="O517" i="2"/>
  <c r="T516" i="2"/>
  <c r="U516" i="2" s="1"/>
  <c r="Q516" i="2"/>
  <c r="P516" i="2"/>
  <c r="O516" i="2"/>
  <c r="M516" i="2"/>
  <c r="L516" i="2"/>
  <c r="K516" i="2"/>
  <c r="R516" i="2" s="1"/>
  <c r="S516" i="2" s="1"/>
  <c r="S515" i="2"/>
  <c r="T515" i="2" s="1"/>
  <c r="U515" i="2" s="1"/>
  <c r="R515" i="2"/>
  <c r="Q515" i="2"/>
  <c r="P515" i="2"/>
  <c r="O515" i="2"/>
  <c r="S514" i="2"/>
  <c r="T514" i="2" s="1"/>
  <c r="U514" i="2" s="1"/>
  <c r="R514" i="2"/>
  <c r="Q514" i="2"/>
  <c r="P514" i="2"/>
  <c r="O514" i="2"/>
  <c r="R513" i="2"/>
  <c r="Q513" i="2"/>
  <c r="S513" i="2" s="1"/>
  <c r="T513" i="2" s="1"/>
  <c r="U513" i="2" s="1"/>
  <c r="P513" i="2"/>
  <c r="O513" i="2"/>
  <c r="S512" i="2"/>
  <c r="T512" i="2" s="1"/>
  <c r="U512" i="2" s="1"/>
  <c r="R512" i="2"/>
  <c r="Q512" i="2"/>
  <c r="P512" i="2"/>
  <c r="O512" i="2"/>
  <c r="S511" i="2"/>
  <c r="T511" i="2" s="1"/>
  <c r="U511" i="2" s="1"/>
  <c r="R511" i="2"/>
  <c r="Q511" i="2"/>
  <c r="P511" i="2"/>
  <c r="O511" i="2"/>
  <c r="U510" i="2"/>
  <c r="T510" i="2"/>
  <c r="S510" i="2"/>
  <c r="R510" i="2"/>
  <c r="Q510" i="2"/>
  <c r="P510" i="2"/>
  <c r="O510" i="2"/>
  <c r="R509" i="2"/>
  <c r="S509" i="2" s="1"/>
  <c r="T509" i="2" s="1"/>
  <c r="U509" i="2" s="1"/>
  <c r="Q509" i="2"/>
  <c r="P509" i="2"/>
  <c r="O509" i="2"/>
  <c r="R508" i="2"/>
  <c r="Q508" i="2"/>
  <c r="P508" i="2"/>
  <c r="O508" i="2"/>
  <c r="U507" i="2"/>
  <c r="R507" i="2"/>
  <c r="S507" i="2" s="1"/>
  <c r="T507" i="2" s="1"/>
  <c r="Q507" i="2"/>
  <c r="P507" i="2"/>
  <c r="O507" i="2"/>
  <c r="M507" i="2"/>
  <c r="L507" i="2"/>
  <c r="K507" i="2"/>
  <c r="T506" i="2"/>
  <c r="U506" i="2" s="1"/>
  <c r="S506" i="2"/>
  <c r="R506" i="2"/>
  <c r="Q506" i="2"/>
  <c r="P506" i="2"/>
  <c r="O506" i="2"/>
  <c r="R505" i="2"/>
  <c r="Q505" i="2"/>
  <c r="S505" i="2" s="1"/>
  <c r="T505" i="2" s="1"/>
  <c r="U505" i="2" s="1"/>
  <c r="P505" i="2"/>
  <c r="O505" i="2"/>
  <c r="M505" i="2"/>
  <c r="L505" i="2"/>
  <c r="K505" i="2"/>
  <c r="T504" i="2"/>
  <c r="S504" i="2"/>
  <c r="R504" i="2"/>
  <c r="Q504" i="2"/>
  <c r="P504" i="2"/>
  <c r="O504" i="2"/>
  <c r="M504" i="2"/>
  <c r="L504" i="2"/>
  <c r="K504" i="2"/>
  <c r="Q503" i="2"/>
  <c r="P503" i="2"/>
  <c r="O503" i="2"/>
  <c r="M503" i="2"/>
  <c r="L503" i="2"/>
  <c r="R503" i="2" s="1"/>
  <c r="S503" i="2" s="1"/>
  <c r="T503" i="2" s="1"/>
  <c r="U503" i="2" s="1"/>
  <c r="Q502" i="2"/>
  <c r="P502" i="2"/>
  <c r="O502" i="2"/>
  <c r="M502" i="2"/>
  <c r="L502" i="2"/>
  <c r="K502" i="2"/>
  <c r="T501" i="2"/>
  <c r="U501" i="2" s="1"/>
  <c r="S501" i="2"/>
  <c r="R501" i="2"/>
  <c r="Q501" i="2"/>
  <c r="P501" i="2"/>
  <c r="O501" i="2"/>
  <c r="R500" i="2"/>
  <c r="Q500" i="2"/>
  <c r="P500" i="2"/>
  <c r="O500" i="2"/>
  <c r="R499" i="2"/>
  <c r="Q499" i="2"/>
  <c r="S499" i="2" s="1"/>
  <c r="T499" i="2" s="1"/>
  <c r="U499" i="2" s="1"/>
  <c r="P499" i="2"/>
  <c r="O499" i="2"/>
  <c r="Q498" i="2"/>
  <c r="O498" i="2"/>
  <c r="M498" i="2"/>
  <c r="L498" i="2"/>
  <c r="K498" i="2"/>
  <c r="R498" i="2" s="1"/>
  <c r="S498" i="2" s="1"/>
  <c r="T498" i="2" s="1"/>
  <c r="D498" i="2"/>
  <c r="P498" i="2" s="1"/>
  <c r="O497" i="2"/>
  <c r="L497" i="2"/>
  <c r="K497" i="2"/>
  <c r="D497" i="2"/>
  <c r="O496" i="2"/>
  <c r="L496" i="2"/>
  <c r="K496" i="2"/>
  <c r="D496" i="2"/>
  <c r="O495" i="2"/>
  <c r="L495" i="2"/>
  <c r="K495" i="2"/>
  <c r="D495" i="2"/>
  <c r="Q494" i="2"/>
  <c r="M494" i="2" s="1"/>
  <c r="R494" i="2" s="1"/>
  <c r="S494" i="2" s="1"/>
  <c r="T494" i="2" s="1"/>
  <c r="P494" i="2"/>
  <c r="O494" i="2"/>
  <c r="L494" i="2"/>
  <c r="K494" i="2"/>
  <c r="D494" i="2"/>
  <c r="Q493" i="2"/>
  <c r="M493" i="2" s="1"/>
  <c r="R493" i="2" s="1"/>
  <c r="P493" i="2"/>
  <c r="O493" i="2"/>
  <c r="L493" i="2"/>
  <c r="K493" i="2"/>
  <c r="D493" i="2"/>
  <c r="R492" i="2"/>
  <c r="Q492" i="2"/>
  <c r="P492" i="2"/>
  <c r="O492" i="2"/>
  <c r="M492" i="2"/>
  <c r="L492" i="2"/>
  <c r="K492" i="2"/>
  <c r="D492" i="2"/>
  <c r="S491" i="2"/>
  <c r="T491" i="2" s="1"/>
  <c r="U491" i="2" s="1"/>
  <c r="R491" i="2"/>
  <c r="Q491" i="2"/>
  <c r="P491" i="2"/>
  <c r="C1010" i="8" s="1"/>
  <c r="O491" i="2"/>
  <c r="M491" i="2"/>
  <c r="L491" i="2"/>
  <c r="K491" i="2"/>
  <c r="Q490" i="2"/>
  <c r="P490" i="2"/>
  <c r="C101" i="8" s="1"/>
  <c r="O490" i="2"/>
  <c r="N490" i="2"/>
  <c r="M490" i="2"/>
  <c r="L490" i="2"/>
  <c r="K490" i="2"/>
  <c r="Q489" i="2"/>
  <c r="P489" i="2"/>
  <c r="O489" i="2"/>
  <c r="L489" i="2"/>
  <c r="K489" i="2"/>
  <c r="D489" i="2"/>
  <c r="P488" i="2"/>
  <c r="O488" i="2"/>
  <c r="M488" i="2"/>
  <c r="L488" i="2"/>
  <c r="K488" i="2"/>
  <c r="D488" i="2"/>
  <c r="Q488" i="2" s="1"/>
  <c r="R487" i="2"/>
  <c r="O487" i="2"/>
  <c r="M487" i="2"/>
  <c r="L487" i="2"/>
  <c r="K487" i="2"/>
  <c r="D487" i="2"/>
  <c r="Q487" i="2" s="1"/>
  <c r="Q486" i="2"/>
  <c r="O486" i="2"/>
  <c r="M486" i="2"/>
  <c r="L486" i="2"/>
  <c r="K486" i="2"/>
  <c r="R486" i="2" s="1"/>
  <c r="S486" i="2" s="1"/>
  <c r="T486" i="2" s="1"/>
  <c r="D486" i="2"/>
  <c r="P486" i="2" s="1"/>
  <c r="O485" i="2"/>
  <c r="L485" i="2"/>
  <c r="K485" i="2"/>
  <c r="D485" i="2"/>
  <c r="S484" i="2"/>
  <c r="T484" i="2" s="1"/>
  <c r="R484" i="2"/>
  <c r="Q484" i="2"/>
  <c r="M484" i="2" s="1"/>
  <c r="P484" i="2"/>
  <c r="O484" i="2"/>
  <c r="L484" i="2"/>
  <c r="K484" i="2"/>
  <c r="D484" i="2"/>
  <c r="O483" i="2"/>
  <c r="L483" i="2"/>
  <c r="K483" i="2"/>
  <c r="D483" i="2"/>
  <c r="Q482" i="2"/>
  <c r="P482" i="2"/>
  <c r="O482" i="2"/>
  <c r="M482" i="2"/>
  <c r="L482" i="2"/>
  <c r="K482" i="2"/>
  <c r="D482" i="2"/>
  <c r="S481" i="2"/>
  <c r="T481" i="2" s="1"/>
  <c r="R481" i="2"/>
  <c r="Q481" i="2"/>
  <c r="M481" i="2" s="1"/>
  <c r="P481" i="2"/>
  <c r="O481" i="2"/>
  <c r="L481" i="2"/>
  <c r="K481" i="2"/>
  <c r="D481" i="2"/>
  <c r="O480" i="2"/>
  <c r="L480" i="2"/>
  <c r="K480" i="2"/>
  <c r="D480" i="2"/>
  <c r="R479" i="2"/>
  <c r="P479" i="2"/>
  <c r="O479" i="2"/>
  <c r="M479" i="2"/>
  <c r="L479" i="2"/>
  <c r="K479" i="2"/>
  <c r="D479" i="2"/>
  <c r="Q479" i="2" s="1"/>
  <c r="O478" i="2"/>
  <c r="L478" i="2"/>
  <c r="K478" i="2"/>
  <c r="D478" i="2"/>
  <c r="O477" i="2"/>
  <c r="N477" i="2"/>
  <c r="L477" i="2"/>
  <c r="K477" i="2"/>
  <c r="D477" i="2"/>
  <c r="Q477" i="2" s="1"/>
  <c r="O476" i="2"/>
  <c r="N476" i="2"/>
  <c r="L476" i="2"/>
  <c r="K476" i="2"/>
  <c r="D476" i="2"/>
  <c r="P475" i="2"/>
  <c r="O475" i="2"/>
  <c r="N475" i="2"/>
  <c r="M475" i="2"/>
  <c r="L475" i="2"/>
  <c r="K475" i="2"/>
  <c r="D475" i="2"/>
  <c r="Q475" i="2" s="1"/>
  <c r="Q474" i="2"/>
  <c r="M474" i="2" s="1"/>
  <c r="P474" i="2"/>
  <c r="O474" i="2"/>
  <c r="N474" i="2"/>
  <c r="L474" i="2"/>
  <c r="K474" i="2"/>
  <c r="D474" i="2"/>
  <c r="P473" i="2"/>
  <c r="O473" i="2"/>
  <c r="N473" i="2"/>
  <c r="L473" i="2"/>
  <c r="K473" i="2"/>
  <c r="D473" i="2"/>
  <c r="Q473" i="2" s="1"/>
  <c r="M473" i="2" s="1"/>
  <c r="P472" i="2"/>
  <c r="V472" i="2" s="1"/>
  <c r="O472" i="2"/>
  <c r="L472" i="2"/>
  <c r="K472" i="2"/>
  <c r="D472" i="2"/>
  <c r="Q472" i="2" s="1"/>
  <c r="O471" i="2"/>
  <c r="L471" i="2"/>
  <c r="K471" i="2"/>
  <c r="D471" i="2"/>
  <c r="V470" i="2"/>
  <c r="Q470" i="2"/>
  <c r="P470" i="2"/>
  <c r="O470" i="2"/>
  <c r="L470" i="2"/>
  <c r="K470" i="2"/>
  <c r="D470" i="2"/>
  <c r="O469" i="2"/>
  <c r="L469" i="2"/>
  <c r="K469" i="2"/>
  <c r="D469" i="2"/>
  <c r="Q468" i="2"/>
  <c r="P468" i="2"/>
  <c r="O468" i="2"/>
  <c r="V468" i="2" s="1"/>
  <c r="M468" i="2"/>
  <c r="L468" i="2"/>
  <c r="K468" i="2"/>
  <c r="D468" i="2"/>
  <c r="V467" i="2"/>
  <c r="Q467" i="2"/>
  <c r="P467" i="2"/>
  <c r="O467" i="2"/>
  <c r="L467" i="2"/>
  <c r="K467" i="2"/>
  <c r="D467" i="2"/>
  <c r="Q466" i="2"/>
  <c r="M466" i="2" s="1"/>
  <c r="R466" i="2" s="1"/>
  <c r="O466" i="2"/>
  <c r="L466" i="2"/>
  <c r="K466" i="2"/>
  <c r="D466" i="2"/>
  <c r="P466" i="2" s="1"/>
  <c r="V466" i="2" s="1"/>
  <c r="P465" i="2"/>
  <c r="O465" i="2"/>
  <c r="M465" i="2"/>
  <c r="L465" i="2"/>
  <c r="K465" i="2"/>
  <c r="D465" i="2"/>
  <c r="Q465" i="2" s="1"/>
  <c r="O464" i="2"/>
  <c r="L464" i="2"/>
  <c r="K464" i="2"/>
  <c r="D464" i="2"/>
  <c r="O463" i="2"/>
  <c r="L463" i="2"/>
  <c r="K463" i="2"/>
  <c r="D463" i="2"/>
  <c r="O462" i="2"/>
  <c r="L462" i="2"/>
  <c r="K462" i="2"/>
  <c r="D462" i="2"/>
  <c r="P462" i="2" s="1"/>
  <c r="Q461" i="2"/>
  <c r="O461" i="2"/>
  <c r="L461" i="2"/>
  <c r="K461" i="2"/>
  <c r="D461" i="2"/>
  <c r="P461" i="2" s="1"/>
  <c r="Q460" i="2"/>
  <c r="M460" i="2" s="1"/>
  <c r="P460" i="2"/>
  <c r="O460" i="2"/>
  <c r="L460" i="2"/>
  <c r="K460" i="2"/>
  <c r="D460" i="2"/>
  <c r="O459" i="2"/>
  <c r="M459" i="2"/>
  <c r="R459" i="2" s="1"/>
  <c r="L459" i="2"/>
  <c r="K459" i="2"/>
  <c r="D459" i="2"/>
  <c r="Q459" i="2" s="1"/>
  <c r="Q458" i="2"/>
  <c r="P458" i="2"/>
  <c r="O458" i="2"/>
  <c r="L458" i="2"/>
  <c r="K458" i="2"/>
  <c r="D458" i="2"/>
  <c r="Q457" i="2"/>
  <c r="P457" i="2"/>
  <c r="O457" i="2"/>
  <c r="M457" i="2"/>
  <c r="L457" i="2"/>
  <c r="K457" i="2"/>
  <c r="R457" i="2" s="1"/>
  <c r="S457" i="2" s="1"/>
  <c r="T457" i="2" s="1"/>
  <c r="D457" i="2"/>
  <c r="S456" i="2"/>
  <c r="T456" i="2" s="1"/>
  <c r="R456" i="2"/>
  <c r="Q456" i="2"/>
  <c r="M456" i="2" s="1"/>
  <c r="P456" i="2"/>
  <c r="O456" i="2"/>
  <c r="L456" i="2"/>
  <c r="K456" i="2"/>
  <c r="D456" i="2"/>
  <c r="S455" i="2"/>
  <c r="T455" i="2" s="1"/>
  <c r="R455" i="2"/>
  <c r="Q455" i="2"/>
  <c r="M455" i="2" s="1"/>
  <c r="O455" i="2"/>
  <c r="L455" i="2"/>
  <c r="K455" i="2"/>
  <c r="D455" i="2"/>
  <c r="P455" i="2" s="1"/>
  <c r="O454" i="2"/>
  <c r="L454" i="2"/>
  <c r="K454" i="2"/>
  <c r="D454" i="2"/>
  <c r="Q453" i="2"/>
  <c r="M453" i="2" s="1"/>
  <c r="P453" i="2"/>
  <c r="O453" i="2"/>
  <c r="L453" i="2"/>
  <c r="K453" i="2"/>
  <c r="D453" i="2"/>
  <c r="O452" i="2"/>
  <c r="L452" i="2"/>
  <c r="K452" i="2"/>
  <c r="D452" i="2"/>
  <c r="Q451" i="2"/>
  <c r="O451" i="2"/>
  <c r="M451" i="2"/>
  <c r="L451" i="2"/>
  <c r="K451" i="2"/>
  <c r="D451" i="2"/>
  <c r="P451" i="2" s="1"/>
  <c r="R450" i="2"/>
  <c r="S450" i="2" s="1"/>
  <c r="T450" i="2" s="1"/>
  <c r="Q450" i="2"/>
  <c r="M450" i="2" s="1"/>
  <c r="O450" i="2"/>
  <c r="L450" i="2"/>
  <c r="K450" i="2"/>
  <c r="D450" i="2"/>
  <c r="P450" i="2" s="1"/>
  <c r="Q449" i="2"/>
  <c r="P449" i="2"/>
  <c r="O449" i="2"/>
  <c r="L449" i="2"/>
  <c r="K449" i="2"/>
  <c r="D449" i="2"/>
  <c r="Q448" i="2"/>
  <c r="P448" i="2"/>
  <c r="O448" i="2"/>
  <c r="M448" i="2"/>
  <c r="R448" i="2" s="1"/>
  <c r="L448" i="2"/>
  <c r="K448" i="2"/>
  <c r="D448" i="2"/>
  <c r="P447" i="2"/>
  <c r="O447" i="2"/>
  <c r="M447" i="2"/>
  <c r="L447" i="2"/>
  <c r="K447" i="2"/>
  <c r="D447" i="2"/>
  <c r="Q447" i="2" s="1"/>
  <c r="Q446" i="2"/>
  <c r="P446" i="2"/>
  <c r="O446" i="2"/>
  <c r="L446" i="2"/>
  <c r="K446" i="2"/>
  <c r="D446" i="2"/>
  <c r="O445" i="2"/>
  <c r="L445" i="2"/>
  <c r="K445" i="2"/>
  <c r="D445" i="2"/>
  <c r="S444" i="2"/>
  <c r="T444" i="2" s="1"/>
  <c r="R444" i="2"/>
  <c r="Q444" i="2"/>
  <c r="P444" i="2"/>
  <c r="O444" i="2"/>
  <c r="M444" i="2"/>
  <c r="L444" i="2"/>
  <c r="K444" i="2"/>
  <c r="D444" i="2"/>
  <c r="Q443" i="2"/>
  <c r="P443" i="2"/>
  <c r="O443" i="2"/>
  <c r="L443" i="2"/>
  <c r="K443" i="2"/>
  <c r="D443" i="2"/>
  <c r="P442" i="2"/>
  <c r="O442" i="2"/>
  <c r="M442" i="2"/>
  <c r="L442" i="2"/>
  <c r="K442" i="2"/>
  <c r="R442" i="2" s="1"/>
  <c r="D442" i="2"/>
  <c r="Q442" i="2" s="1"/>
  <c r="O441" i="2"/>
  <c r="L441" i="2"/>
  <c r="K441" i="2"/>
  <c r="D441" i="2"/>
  <c r="O440" i="2"/>
  <c r="L440" i="2"/>
  <c r="K440" i="2"/>
  <c r="D440" i="2"/>
  <c r="O439" i="2"/>
  <c r="L439" i="2"/>
  <c r="K439" i="2"/>
  <c r="D439" i="2"/>
  <c r="Q439" i="2" s="1"/>
  <c r="S438" i="2"/>
  <c r="T438" i="2" s="1"/>
  <c r="R438" i="2"/>
  <c r="Q438" i="2"/>
  <c r="M438" i="2" s="1"/>
  <c r="P438" i="2"/>
  <c r="O438" i="2"/>
  <c r="L438" i="2"/>
  <c r="K438" i="2"/>
  <c r="D438" i="2"/>
  <c r="R437" i="2"/>
  <c r="Q437" i="2"/>
  <c r="M437" i="2" s="1"/>
  <c r="O437" i="2"/>
  <c r="L437" i="2"/>
  <c r="K437" i="2"/>
  <c r="D437" i="2"/>
  <c r="P437" i="2" s="1"/>
  <c r="Q436" i="2"/>
  <c r="P436" i="2"/>
  <c r="O436" i="2"/>
  <c r="M436" i="2"/>
  <c r="R436" i="2" s="1"/>
  <c r="S436" i="2" s="1"/>
  <c r="T436" i="2" s="1"/>
  <c r="L436" i="2"/>
  <c r="K436" i="2"/>
  <c r="D436" i="2"/>
  <c r="Q435" i="2"/>
  <c r="P435" i="2"/>
  <c r="O435" i="2"/>
  <c r="M435" i="2"/>
  <c r="L435" i="2"/>
  <c r="K435" i="2"/>
  <c r="D435" i="2"/>
  <c r="Q434" i="2"/>
  <c r="S434" i="2" s="1"/>
  <c r="T434" i="2" s="1"/>
  <c r="U434" i="2" s="1"/>
  <c r="P434" i="2"/>
  <c r="O434" i="2"/>
  <c r="M434" i="2"/>
  <c r="L434" i="2"/>
  <c r="K434" i="2"/>
  <c r="R434" i="2" s="1"/>
  <c r="Q433" i="2"/>
  <c r="P433" i="2"/>
  <c r="O433" i="2"/>
  <c r="M433" i="2"/>
  <c r="L433" i="2"/>
  <c r="K433" i="2"/>
  <c r="Q432" i="2"/>
  <c r="M432" i="2" s="1"/>
  <c r="P432" i="2"/>
  <c r="O432" i="2"/>
  <c r="L432" i="2"/>
  <c r="K432" i="2"/>
  <c r="D432" i="2"/>
  <c r="Q431" i="2"/>
  <c r="P431" i="2"/>
  <c r="O431" i="2"/>
  <c r="M431" i="2"/>
  <c r="L431" i="2"/>
  <c r="K431" i="2"/>
  <c r="D431" i="2"/>
  <c r="O430" i="2"/>
  <c r="L430" i="2"/>
  <c r="K430" i="2"/>
  <c r="D430" i="2"/>
  <c r="Q429" i="2"/>
  <c r="M429" i="2" s="1"/>
  <c r="O429" i="2"/>
  <c r="L429" i="2"/>
  <c r="K429" i="2"/>
  <c r="R429" i="2" s="1"/>
  <c r="S429" i="2" s="1"/>
  <c r="T429" i="2" s="1"/>
  <c r="D429" i="2"/>
  <c r="P429" i="2" s="1"/>
  <c r="O428" i="2"/>
  <c r="L428" i="2"/>
  <c r="K428" i="2"/>
  <c r="D428" i="2"/>
  <c r="Q427" i="2"/>
  <c r="M427" i="2" s="1"/>
  <c r="P427" i="2"/>
  <c r="O427" i="2"/>
  <c r="L427" i="2"/>
  <c r="R427" i="2" s="1"/>
  <c r="S427" i="2" s="1"/>
  <c r="T427" i="2" s="1"/>
  <c r="K427" i="2"/>
  <c r="D427" i="2"/>
  <c r="Q426" i="2"/>
  <c r="P426" i="2"/>
  <c r="O426" i="2"/>
  <c r="L426" i="2"/>
  <c r="K426" i="2"/>
  <c r="D426" i="2"/>
  <c r="O425" i="2"/>
  <c r="L425" i="2"/>
  <c r="K425" i="2"/>
  <c r="D425" i="2"/>
  <c r="R424" i="2"/>
  <c r="Q424" i="2"/>
  <c r="P424" i="2"/>
  <c r="O424" i="2"/>
  <c r="M424" i="2"/>
  <c r="L424" i="2"/>
  <c r="K424" i="2"/>
  <c r="D424" i="2"/>
  <c r="O423" i="2"/>
  <c r="L423" i="2"/>
  <c r="K423" i="2"/>
  <c r="D423" i="2"/>
  <c r="Q422" i="2"/>
  <c r="P422" i="2"/>
  <c r="O422" i="2"/>
  <c r="M422" i="2"/>
  <c r="L422" i="2"/>
  <c r="K422" i="2"/>
  <c r="R422" i="2" s="1"/>
  <c r="D422" i="2"/>
  <c r="Q421" i="2"/>
  <c r="O421" i="2"/>
  <c r="L421" i="2"/>
  <c r="K421" i="2"/>
  <c r="D421" i="2"/>
  <c r="P421" i="2" s="1"/>
  <c r="O420" i="2"/>
  <c r="L420" i="2"/>
  <c r="K420" i="2"/>
  <c r="D420" i="2"/>
  <c r="Q420" i="2" s="1"/>
  <c r="O419" i="2"/>
  <c r="L419" i="2"/>
  <c r="K419" i="2"/>
  <c r="D419" i="2"/>
  <c r="O418" i="2"/>
  <c r="L418" i="2"/>
  <c r="K418" i="2"/>
  <c r="D418" i="2"/>
  <c r="P417" i="2"/>
  <c r="O417" i="2"/>
  <c r="L417" i="2"/>
  <c r="K417" i="2"/>
  <c r="D417" i="2"/>
  <c r="Q417" i="2" s="1"/>
  <c r="M417" i="2" s="1"/>
  <c r="R417" i="2" s="1"/>
  <c r="R416" i="2"/>
  <c r="S416" i="2" s="1"/>
  <c r="T416" i="2" s="1"/>
  <c r="P416" i="2"/>
  <c r="O416" i="2"/>
  <c r="L416" i="2"/>
  <c r="K416" i="2"/>
  <c r="D416" i="2"/>
  <c r="Q416" i="2" s="1"/>
  <c r="M416" i="2" s="1"/>
  <c r="O415" i="2"/>
  <c r="L415" i="2"/>
  <c r="K415" i="2"/>
  <c r="D415" i="2"/>
  <c r="Q415" i="2" s="1"/>
  <c r="Q414" i="2"/>
  <c r="P414" i="2"/>
  <c r="O414" i="2"/>
  <c r="L414" i="2"/>
  <c r="K414" i="2"/>
  <c r="D414" i="2"/>
  <c r="Q413" i="2"/>
  <c r="P413" i="2"/>
  <c r="D568" i="8" s="1"/>
  <c r="O413" i="2"/>
  <c r="N413" i="2"/>
  <c r="R413" i="2" s="1"/>
  <c r="S413" i="2" s="1"/>
  <c r="T413" i="2" s="1"/>
  <c r="U413" i="2" s="1"/>
  <c r="M413" i="2"/>
  <c r="L413" i="2"/>
  <c r="K413" i="2"/>
  <c r="R412" i="2"/>
  <c r="Q412" i="2"/>
  <c r="P412" i="2"/>
  <c r="O412" i="2"/>
  <c r="O411" i="2"/>
  <c r="L411" i="2"/>
  <c r="K411" i="2"/>
  <c r="D411" i="2"/>
  <c r="P410" i="2"/>
  <c r="O410" i="2"/>
  <c r="M410" i="2"/>
  <c r="L410" i="2"/>
  <c r="K410" i="2"/>
  <c r="D410" i="2"/>
  <c r="Q410" i="2" s="1"/>
  <c r="S409" i="2"/>
  <c r="T409" i="2" s="1"/>
  <c r="R409" i="2"/>
  <c r="P409" i="2"/>
  <c r="O409" i="2"/>
  <c r="L409" i="2"/>
  <c r="K409" i="2"/>
  <c r="D409" i="2"/>
  <c r="Q409" i="2" s="1"/>
  <c r="M409" i="2" s="1"/>
  <c r="O408" i="2"/>
  <c r="L408" i="2"/>
  <c r="K408" i="2"/>
  <c r="D408" i="2"/>
  <c r="P408" i="2" s="1"/>
  <c r="Q407" i="2"/>
  <c r="M407" i="2" s="1"/>
  <c r="P407" i="2"/>
  <c r="O407" i="2"/>
  <c r="L407" i="2"/>
  <c r="K407" i="2"/>
  <c r="R407" i="2" s="1"/>
  <c r="D407" i="2"/>
  <c r="Q406" i="2"/>
  <c r="P406" i="2"/>
  <c r="O406" i="2"/>
  <c r="M406" i="2"/>
  <c r="L406" i="2"/>
  <c r="K406" i="2"/>
  <c r="Q405" i="2"/>
  <c r="P405" i="2"/>
  <c r="O405" i="2"/>
  <c r="M405" i="2"/>
  <c r="L405" i="2"/>
  <c r="K405" i="2"/>
  <c r="Q404" i="2"/>
  <c r="P404" i="2"/>
  <c r="O404" i="2"/>
  <c r="N404" i="2"/>
  <c r="R404" i="2" s="1"/>
  <c r="S404" i="2" s="1"/>
  <c r="T404" i="2" s="1"/>
  <c r="U404" i="2" s="1"/>
  <c r="M404" i="2"/>
  <c r="L404" i="2"/>
  <c r="K404" i="2"/>
  <c r="T403" i="2"/>
  <c r="U403" i="2" s="1"/>
  <c r="Q403" i="2"/>
  <c r="P403" i="2"/>
  <c r="O403" i="2"/>
  <c r="M403" i="2"/>
  <c r="L403" i="2"/>
  <c r="K403" i="2"/>
  <c r="R403" i="2" s="1"/>
  <c r="S403" i="2" s="1"/>
  <c r="V402" i="2"/>
  <c r="Q402" i="2"/>
  <c r="P402" i="2"/>
  <c r="O402" i="2"/>
  <c r="L402" i="2"/>
  <c r="K402" i="2"/>
  <c r="D402" i="2"/>
  <c r="R401" i="2"/>
  <c r="S401" i="2" s="1"/>
  <c r="T401" i="2" s="1"/>
  <c r="Q401" i="2"/>
  <c r="P401" i="2"/>
  <c r="O401" i="2"/>
  <c r="M401" i="2"/>
  <c r="L401" i="2"/>
  <c r="K401" i="2"/>
  <c r="D401" i="2"/>
  <c r="O400" i="2"/>
  <c r="L400" i="2"/>
  <c r="K400" i="2"/>
  <c r="D400" i="2"/>
  <c r="Q399" i="2"/>
  <c r="P399" i="2"/>
  <c r="V399" i="2" s="1"/>
  <c r="O399" i="2"/>
  <c r="L399" i="2"/>
  <c r="K399" i="2"/>
  <c r="D399" i="2"/>
  <c r="Q398" i="2"/>
  <c r="P398" i="2"/>
  <c r="O398" i="2"/>
  <c r="L398" i="2"/>
  <c r="K398" i="2"/>
  <c r="D398" i="2"/>
  <c r="O397" i="2"/>
  <c r="L397" i="2"/>
  <c r="K397" i="2"/>
  <c r="D397" i="2"/>
  <c r="Q396" i="2"/>
  <c r="P396" i="2"/>
  <c r="O396" i="2"/>
  <c r="L396" i="2"/>
  <c r="K396" i="2"/>
  <c r="D396" i="2"/>
  <c r="O395" i="2"/>
  <c r="L395" i="2"/>
  <c r="K395" i="2"/>
  <c r="D395" i="2"/>
  <c r="Q394" i="2"/>
  <c r="P394" i="2"/>
  <c r="V394" i="2" s="1"/>
  <c r="O394" i="2"/>
  <c r="L394" i="2"/>
  <c r="K394" i="2"/>
  <c r="D394" i="2"/>
  <c r="O393" i="2"/>
  <c r="L393" i="2"/>
  <c r="K393" i="2"/>
  <c r="D393" i="2"/>
  <c r="O392" i="2"/>
  <c r="L392" i="2"/>
  <c r="K392" i="2"/>
  <c r="D392" i="2"/>
  <c r="P391" i="2"/>
  <c r="O391" i="2"/>
  <c r="M391" i="2"/>
  <c r="L391" i="2"/>
  <c r="K391" i="2"/>
  <c r="D391" i="2"/>
  <c r="Q391" i="2" s="1"/>
  <c r="O390" i="2"/>
  <c r="L390" i="2"/>
  <c r="K390" i="2"/>
  <c r="D390" i="2"/>
  <c r="O389" i="2"/>
  <c r="L389" i="2"/>
  <c r="K389" i="2"/>
  <c r="D389" i="2"/>
  <c r="O388" i="2"/>
  <c r="L388" i="2"/>
  <c r="K388" i="2"/>
  <c r="D388" i="2"/>
  <c r="P388" i="2" s="1"/>
  <c r="Q387" i="2"/>
  <c r="M387" i="2" s="1"/>
  <c r="P387" i="2"/>
  <c r="O387" i="2"/>
  <c r="L387" i="2"/>
  <c r="K387" i="2"/>
  <c r="R387" i="2" s="1"/>
  <c r="D387" i="2"/>
  <c r="S386" i="2"/>
  <c r="T386" i="2" s="1"/>
  <c r="Q386" i="2"/>
  <c r="M386" i="2" s="1"/>
  <c r="P386" i="2"/>
  <c r="O386" i="2"/>
  <c r="L386" i="2"/>
  <c r="R386" i="2" s="1"/>
  <c r="K386" i="2"/>
  <c r="D386" i="2"/>
  <c r="P385" i="2"/>
  <c r="O385" i="2"/>
  <c r="M385" i="2"/>
  <c r="R385" i="2" s="1"/>
  <c r="L385" i="2"/>
  <c r="K385" i="2"/>
  <c r="D385" i="2"/>
  <c r="Q385" i="2" s="1"/>
  <c r="Q384" i="2"/>
  <c r="O384" i="2"/>
  <c r="M384" i="2"/>
  <c r="R384" i="2" s="1"/>
  <c r="S384" i="2" s="1"/>
  <c r="T384" i="2" s="1"/>
  <c r="L384" i="2"/>
  <c r="K384" i="2"/>
  <c r="D384" i="2"/>
  <c r="P384" i="2" s="1"/>
  <c r="Q383" i="2"/>
  <c r="P383" i="2"/>
  <c r="O383" i="2"/>
  <c r="M383" i="2"/>
  <c r="L383" i="2"/>
  <c r="K383" i="2"/>
  <c r="R383" i="2" s="1"/>
  <c r="S383" i="2" s="1"/>
  <c r="T383" i="2" s="1"/>
  <c r="D383" i="2"/>
  <c r="Q382" i="2"/>
  <c r="M382" i="2" s="1"/>
  <c r="P382" i="2"/>
  <c r="O382" i="2"/>
  <c r="L382" i="2"/>
  <c r="R382" i="2" s="1"/>
  <c r="K382" i="2"/>
  <c r="D382" i="2"/>
  <c r="Q381" i="2"/>
  <c r="O381" i="2"/>
  <c r="L381" i="2"/>
  <c r="K381" i="2"/>
  <c r="D381" i="2"/>
  <c r="P381" i="2" s="1"/>
  <c r="O380" i="2"/>
  <c r="L380" i="2"/>
  <c r="K380" i="2"/>
  <c r="D380" i="2"/>
  <c r="Q379" i="2"/>
  <c r="P379" i="2"/>
  <c r="O379" i="2"/>
  <c r="N379" i="2"/>
  <c r="M379" i="2"/>
  <c r="L379" i="2"/>
  <c r="K379" i="2"/>
  <c r="D379" i="2"/>
  <c r="O378" i="2"/>
  <c r="N378" i="2"/>
  <c r="L378" i="2"/>
  <c r="K378" i="2"/>
  <c r="D378" i="2"/>
  <c r="Q377" i="2"/>
  <c r="P377" i="2"/>
  <c r="O377" i="2"/>
  <c r="N377" i="2"/>
  <c r="L377" i="2"/>
  <c r="K377" i="2"/>
  <c r="D377" i="2"/>
  <c r="O376" i="2"/>
  <c r="N376" i="2"/>
  <c r="L376" i="2"/>
  <c r="K376" i="2"/>
  <c r="D376" i="2"/>
  <c r="Q375" i="2"/>
  <c r="P375" i="2"/>
  <c r="O375" i="2"/>
  <c r="N375" i="2"/>
  <c r="M375" i="2"/>
  <c r="L375" i="2"/>
  <c r="K375" i="2"/>
  <c r="D375" i="2"/>
  <c r="P374" i="2"/>
  <c r="O374" i="2"/>
  <c r="N374" i="2"/>
  <c r="M374" i="2"/>
  <c r="L374" i="2"/>
  <c r="K374" i="2"/>
  <c r="D374" i="2"/>
  <c r="Q374" i="2" s="1"/>
  <c r="Q373" i="2"/>
  <c r="M373" i="2" s="1"/>
  <c r="P373" i="2"/>
  <c r="O373" i="2"/>
  <c r="N373" i="2"/>
  <c r="L373" i="2"/>
  <c r="K373" i="2"/>
  <c r="D373" i="2"/>
  <c r="P372" i="2"/>
  <c r="O372" i="2"/>
  <c r="N372" i="2"/>
  <c r="M372" i="2"/>
  <c r="L372" i="2"/>
  <c r="K372" i="2"/>
  <c r="D372" i="2"/>
  <c r="Q372" i="2" s="1"/>
  <c r="O371" i="2"/>
  <c r="N371" i="2"/>
  <c r="L371" i="2"/>
  <c r="K371" i="2"/>
  <c r="D371" i="2"/>
  <c r="S370" i="2"/>
  <c r="T370" i="2" s="1"/>
  <c r="P370" i="2"/>
  <c r="O370" i="2"/>
  <c r="N370" i="2"/>
  <c r="R370" i="2" s="1"/>
  <c r="L370" i="2"/>
  <c r="K370" i="2"/>
  <c r="D370" i="2"/>
  <c r="Q370" i="2" s="1"/>
  <c r="M370" i="2" s="1"/>
  <c r="O369" i="2"/>
  <c r="N369" i="2"/>
  <c r="L369" i="2"/>
  <c r="K369" i="2"/>
  <c r="D369" i="2"/>
  <c r="P368" i="2"/>
  <c r="O368" i="2"/>
  <c r="N368" i="2"/>
  <c r="R368" i="2" s="1"/>
  <c r="S368" i="2" s="1"/>
  <c r="T368" i="2" s="1"/>
  <c r="M368" i="2"/>
  <c r="L368" i="2"/>
  <c r="K368" i="2"/>
  <c r="D368" i="2"/>
  <c r="Q368" i="2" s="1"/>
  <c r="Q367" i="2"/>
  <c r="M367" i="2" s="1"/>
  <c r="P367" i="2"/>
  <c r="O367" i="2"/>
  <c r="N367" i="2"/>
  <c r="L367" i="2"/>
  <c r="K367" i="2"/>
  <c r="D367" i="2"/>
  <c r="P366" i="2"/>
  <c r="O366" i="2"/>
  <c r="N366" i="2"/>
  <c r="M366" i="2"/>
  <c r="L366" i="2"/>
  <c r="D366" i="2"/>
  <c r="Q366" i="2" s="1"/>
  <c r="U365" i="2"/>
  <c r="S365" i="2"/>
  <c r="T365" i="2" s="1"/>
  <c r="Q365" i="2"/>
  <c r="P365" i="2"/>
  <c r="C534" i="8" s="1"/>
  <c r="O365" i="2"/>
  <c r="N365" i="2"/>
  <c r="R365" i="2" s="1"/>
  <c r="M365" i="2"/>
  <c r="L365" i="2"/>
  <c r="K365" i="2"/>
  <c r="Q364" i="2"/>
  <c r="P364" i="2"/>
  <c r="O364" i="2"/>
  <c r="N364" i="2"/>
  <c r="M364" i="2"/>
  <c r="L364" i="2"/>
  <c r="K364" i="2"/>
  <c r="Q363" i="2"/>
  <c r="P363" i="2"/>
  <c r="O363" i="2"/>
  <c r="M363" i="2"/>
  <c r="L363" i="2"/>
  <c r="K363" i="2"/>
  <c r="Q362" i="2"/>
  <c r="P362" i="2"/>
  <c r="C750" i="8" s="1"/>
  <c r="O362" i="2"/>
  <c r="N362" i="2"/>
  <c r="R362" i="2" s="1"/>
  <c r="S362" i="2" s="1"/>
  <c r="T362" i="2" s="1"/>
  <c r="U362" i="2" s="1"/>
  <c r="M362" i="2"/>
  <c r="L362" i="2"/>
  <c r="K362" i="2"/>
  <c r="Q361" i="2"/>
  <c r="M361" i="2" s="1"/>
  <c r="R361" i="2" s="1"/>
  <c r="O361" i="2"/>
  <c r="L361" i="2"/>
  <c r="K361" i="2"/>
  <c r="D361" i="2"/>
  <c r="P361" i="2" s="1"/>
  <c r="O360" i="2"/>
  <c r="L360" i="2"/>
  <c r="K360" i="2"/>
  <c r="D360" i="2"/>
  <c r="O359" i="2"/>
  <c r="L359" i="2"/>
  <c r="K359" i="2"/>
  <c r="D359" i="2"/>
  <c r="R358" i="2"/>
  <c r="Q358" i="2"/>
  <c r="S358" i="2" s="1"/>
  <c r="T358" i="2" s="1"/>
  <c r="U358" i="2" s="1"/>
  <c r="P358" i="2"/>
  <c r="O358" i="2"/>
  <c r="N358" i="2"/>
  <c r="M358" i="2"/>
  <c r="L358" i="2"/>
  <c r="K358" i="2"/>
  <c r="T357" i="2"/>
  <c r="U357" i="2" s="1"/>
  <c r="Q357" i="2"/>
  <c r="P357" i="2"/>
  <c r="O357" i="2"/>
  <c r="M357" i="2"/>
  <c r="L357" i="2"/>
  <c r="K357" i="2"/>
  <c r="R357" i="2" s="1"/>
  <c r="S357" i="2" s="1"/>
  <c r="S356" i="2"/>
  <c r="T356" i="2" s="1"/>
  <c r="U356" i="2" s="1"/>
  <c r="R356" i="2"/>
  <c r="Q356" i="2"/>
  <c r="P356" i="2"/>
  <c r="O356" i="2"/>
  <c r="M356" i="2"/>
  <c r="L356" i="2"/>
  <c r="K356" i="2"/>
  <c r="R355" i="2"/>
  <c r="S355" i="2" s="1"/>
  <c r="T355" i="2" s="1"/>
  <c r="Q355" i="2"/>
  <c r="P355" i="2"/>
  <c r="O355" i="2"/>
  <c r="M355" i="2"/>
  <c r="L355" i="2"/>
  <c r="K355" i="2"/>
  <c r="Q354" i="2"/>
  <c r="S354" i="2" s="1"/>
  <c r="T354" i="2" s="1"/>
  <c r="P354" i="2"/>
  <c r="O354" i="2"/>
  <c r="M354" i="2"/>
  <c r="R354" i="2" s="1"/>
  <c r="L354" i="2"/>
  <c r="K354" i="2"/>
  <c r="Q353" i="2"/>
  <c r="P353" i="2"/>
  <c r="O353" i="2"/>
  <c r="M353" i="2"/>
  <c r="L353" i="2"/>
  <c r="R353" i="2" s="1"/>
  <c r="K353" i="2"/>
  <c r="R352" i="2"/>
  <c r="Q352" i="2"/>
  <c r="S352" i="2" s="1"/>
  <c r="T352" i="2" s="1"/>
  <c r="U352" i="2" s="1"/>
  <c r="P352" i="2"/>
  <c r="O352" i="2"/>
  <c r="M352" i="2"/>
  <c r="L352" i="2"/>
  <c r="K352" i="2"/>
  <c r="Q351" i="2"/>
  <c r="P351" i="2"/>
  <c r="O351" i="2"/>
  <c r="M351" i="2"/>
  <c r="L351" i="2"/>
  <c r="K351" i="2"/>
  <c r="R351" i="2" s="1"/>
  <c r="S350" i="2"/>
  <c r="T350" i="2" s="1"/>
  <c r="U350" i="2" s="1"/>
  <c r="R350" i="2"/>
  <c r="Q350" i="2"/>
  <c r="P350" i="2"/>
  <c r="O350" i="2"/>
  <c r="M350" i="2"/>
  <c r="L350" i="2"/>
  <c r="K350" i="2"/>
  <c r="Q349" i="2"/>
  <c r="P349" i="2"/>
  <c r="O349" i="2"/>
  <c r="M349" i="2"/>
  <c r="L349" i="2"/>
  <c r="K349" i="2"/>
  <c r="Q348" i="2"/>
  <c r="P348" i="2"/>
  <c r="C548" i="8" s="1"/>
  <c r="O348" i="2"/>
  <c r="N348" i="2"/>
  <c r="M348" i="2"/>
  <c r="L348" i="2"/>
  <c r="K348" i="2"/>
  <c r="Q347" i="2"/>
  <c r="P347" i="2"/>
  <c r="C542" i="8" s="1"/>
  <c r="O347" i="2"/>
  <c r="N347" i="2"/>
  <c r="M347" i="2"/>
  <c r="L347" i="2"/>
  <c r="K347" i="2"/>
  <c r="O346" i="2"/>
  <c r="L346" i="2"/>
  <c r="K346" i="2"/>
  <c r="D346" i="2"/>
  <c r="Q345" i="2"/>
  <c r="M345" i="2" s="1"/>
  <c r="R345" i="2" s="1"/>
  <c r="O345" i="2"/>
  <c r="L345" i="2"/>
  <c r="K345" i="2"/>
  <c r="D345" i="2"/>
  <c r="P345" i="2" s="1"/>
  <c r="O344" i="2"/>
  <c r="L344" i="2"/>
  <c r="K344" i="2"/>
  <c r="D344" i="2"/>
  <c r="Q343" i="2"/>
  <c r="P343" i="2"/>
  <c r="O343" i="2"/>
  <c r="M343" i="2"/>
  <c r="L343" i="2"/>
  <c r="K343" i="2"/>
  <c r="R342" i="2"/>
  <c r="S342" i="2" s="1"/>
  <c r="T342" i="2" s="1"/>
  <c r="U342" i="2" s="1"/>
  <c r="Q342" i="2"/>
  <c r="P342" i="2"/>
  <c r="O342" i="2"/>
  <c r="M342" i="2"/>
  <c r="L342" i="2"/>
  <c r="K342" i="2"/>
  <c r="R341" i="2"/>
  <c r="Q341" i="2"/>
  <c r="P341" i="2"/>
  <c r="O341" i="2"/>
  <c r="M341" i="2"/>
  <c r="L341" i="2"/>
  <c r="K341" i="2"/>
  <c r="R340" i="2"/>
  <c r="Q340" i="2"/>
  <c r="S340" i="2" s="1"/>
  <c r="T340" i="2" s="1"/>
  <c r="U340" i="2" s="1"/>
  <c r="P340" i="2"/>
  <c r="O340" i="2"/>
  <c r="M340" i="2"/>
  <c r="L340" i="2"/>
  <c r="K340" i="2"/>
  <c r="Q339" i="2"/>
  <c r="P339" i="2"/>
  <c r="O339" i="2"/>
  <c r="M339" i="2"/>
  <c r="L339" i="2"/>
  <c r="K339" i="2"/>
  <c r="R339" i="2" s="1"/>
  <c r="Q338" i="2"/>
  <c r="P338" i="2"/>
  <c r="O338" i="2"/>
  <c r="M338" i="2"/>
  <c r="L338" i="2"/>
  <c r="K338" i="2"/>
  <c r="R338" i="2" s="1"/>
  <c r="S338" i="2" s="1"/>
  <c r="T338" i="2" s="1"/>
  <c r="U338" i="2" s="1"/>
  <c r="Q337" i="2"/>
  <c r="P337" i="2"/>
  <c r="O337" i="2"/>
  <c r="M337" i="2"/>
  <c r="L337" i="2"/>
  <c r="K337" i="2"/>
  <c r="P336" i="2"/>
  <c r="O336" i="2"/>
  <c r="L336" i="2"/>
  <c r="K336" i="2"/>
  <c r="R336" i="2" s="1"/>
  <c r="S336" i="2" s="1"/>
  <c r="T336" i="2" s="1"/>
  <c r="D336" i="2"/>
  <c r="Q336" i="2" s="1"/>
  <c r="M336" i="2" s="1"/>
  <c r="R335" i="2"/>
  <c r="P335" i="2"/>
  <c r="O335" i="2"/>
  <c r="M335" i="2"/>
  <c r="L335" i="2"/>
  <c r="K335" i="2"/>
  <c r="D335" i="2"/>
  <c r="Q335" i="2" s="1"/>
  <c r="Q334" i="2"/>
  <c r="M334" i="2" s="1"/>
  <c r="O334" i="2"/>
  <c r="L334" i="2"/>
  <c r="K334" i="2"/>
  <c r="D334" i="2"/>
  <c r="P334" i="2" s="1"/>
  <c r="Q333" i="2"/>
  <c r="O333" i="2"/>
  <c r="M333" i="2"/>
  <c r="R333" i="2" s="1"/>
  <c r="L333" i="2"/>
  <c r="K333" i="2"/>
  <c r="D333" i="2"/>
  <c r="P333" i="2" s="1"/>
  <c r="Q332" i="2"/>
  <c r="P332" i="2"/>
  <c r="C1091" i="8" s="1"/>
  <c r="O332" i="2"/>
  <c r="M332" i="2"/>
  <c r="L332" i="2"/>
  <c r="K332" i="2"/>
  <c r="R332" i="2" s="1"/>
  <c r="S332" i="2" s="1"/>
  <c r="T332" i="2" s="1"/>
  <c r="U332" i="2" s="1"/>
  <c r="R331" i="2"/>
  <c r="Q331" i="2"/>
  <c r="S331" i="2" s="1"/>
  <c r="T331" i="2" s="1"/>
  <c r="U331" i="2" s="1"/>
  <c r="P331" i="2"/>
  <c r="O331" i="2"/>
  <c r="M331" i="2"/>
  <c r="L331" i="2"/>
  <c r="K331" i="2"/>
  <c r="R330" i="2"/>
  <c r="Q330" i="2"/>
  <c r="S330" i="2" s="1"/>
  <c r="T330" i="2" s="1"/>
  <c r="U330" i="2" s="1"/>
  <c r="P330" i="2"/>
  <c r="O330" i="2"/>
  <c r="M330" i="2"/>
  <c r="L330" i="2"/>
  <c r="K330" i="2"/>
  <c r="R329" i="2"/>
  <c r="Q329" i="2"/>
  <c r="S329" i="2" s="1"/>
  <c r="T329" i="2" s="1"/>
  <c r="U329" i="2" s="1"/>
  <c r="P329" i="2"/>
  <c r="O329" i="2"/>
  <c r="M329" i="2"/>
  <c r="L329" i="2"/>
  <c r="K329" i="2"/>
  <c r="U328" i="2"/>
  <c r="T328" i="2"/>
  <c r="S328" i="2"/>
  <c r="R328" i="2"/>
  <c r="Q328" i="2"/>
  <c r="P328" i="2"/>
  <c r="C1084" i="8" s="1"/>
  <c r="O328" i="2"/>
  <c r="M328" i="2"/>
  <c r="L328" i="2"/>
  <c r="K328" i="2"/>
  <c r="Q327" i="2"/>
  <c r="P327" i="2"/>
  <c r="D1094" i="8" s="1"/>
  <c r="O327" i="2"/>
  <c r="M327" i="2"/>
  <c r="L327" i="2"/>
  <c r="K327" i="2"/>
  <c r="R326" i="2"/>
  <c r="Q326" i="2"/>
  <c r="M326" i="2" s="1"/>
  <c r="P326" i="2"/>
  <c r="O326" i="2"/>
  <c r="L326" i="2"/>
  <c r="K326" i="2"/>
  <c r="D326" i="2"/>
  <c r="O325" i="2"/>
  <c r="L325" i="2"/>
  <c r="K325" i="2"/>
  <c r="D325" i="2"/>
  <c r="Q324" i="2"/>
  <c r="P324" i="2"/>
  <c r="O324" i="2"/>
  <c r="M324" i="2"/>
  <c r="L324" i="2"/>
  <c r="K324" i="2"/>
  <c r="T323" i="2"/>
  <c r="U323" i="2" s="1"/>
  <c r="S323" i="2"/>
  <c r="R323" i="2"/>
  <c r="Q323" i="2"/>
  <c r="P323" i="2"/>
  <c r="O323" i="2"/>
  <c r="M323" i="2"/>
  <c r="L323" i="2"/>
  <c r="K323" i="2"/>
  <c r="S322" i="2"/>
  <c r="T322" i="2" s="1"/>
  <c r="U322" i="2" s="1"/>
  <c r="R322" i="2"/>
  <c r="Q322" i="2"/>
  <c r="P322" i="2"/>
  <c r="O322" i="2"/>
  <c r="S321" i="2"/>
  <c r="T321" i="2" s="1"/>
  <c r="U321" i="2" s="1"/>
  <c r="R321" i="2"/>
  <c r="Q321" i="2"/>
  <c r="P321" i="2"/>
  <c r="O321" i="2"/>
  <c r="U320" i="2"/>
  <c r="T320" i="2"/>
  <c r="R320" i="2"/>
  <c r="Q320" i="2"/>
  <c r="S320" i="2" s="1"/>
  <c r="P320" i="2"/>
  <c r="O320" i="2"/>
  <c r="R319" i="2"/>
  <c r="Q319" i="2"/>
  <c r="P319" i="2"/>
  <c r="O319" i="2"/>
  <c r="Q318" i="2"/>
  <c r="P318" i="2"/>
  <c r="O318" i="2"/>
  <c r="M318" i="2"/>
  <c r="L318" i="2"/>
  <c r="K318" i="2"/>
  <c r="S317" i="2"/>
  <c r="T317" i="2" s="1"/>
  <c r="U317" i="2" s="1"/>
  <c r="Q317" i="2"/>
  <c r="P317" i="2"/>
  <c r="O317" i="2"/>
  <c r="M317" i="2"/>
  <c r="L317" i="2"/>
  <c r="K317" i="2"/>
  <c r="R317" i="2" s="1"/>
  <c r="O316" i="2"/>
  <c r="L316" i="2"/>
  <c r="K316" i="2"/>
  <c r="D316" i="2"/>
  <c r="Q316" i="2" s="1"/>
  <c r="M316" i="2" s="1"/>
  <c r="R316" i="2" s="1"/>
  <c r="Q315" i="2"/>
  <c r="P315" i="2"/>
  <c r="O315" i="2"/>
  <c r="L315" i="2"/>
  <c r="K315" i="2"/>
  <c r="D315" i="2"/>
  <c r="P314" i="2"/>
  <c r="O314" i="2"/>
  <c r="L314" i="2"/>
  <c r="K314" i="2"/>
  <c r="D314" i="2"/>
  <c r="Q314" i="2" s="1"/>
  <c r="P313" i="2"/>
  <c r="O313" i="2"/>
  <c r="L313" i="2"/>
  <c r="K313" i="2"/>
  <c r="D313" i="2"/>
  <c r="Q313" i="2" s="1"/>
  <c r="M313" i="2" s="1"/>
  <c r="O312" i="2"/>
  <c r="L312" i="2"/>
  <c r="K312" i="2"/>
  <c r="D312" i="2"/>
  <c r="T311" i="2"/>
  <c r="U311" i="2" s="1"/>
  <c r="S311" i="2"/>
  <c r="R311" i="2"/>
  <c r="Q311" i="2"/>
  <c r="P311" i="2"/>
  <c r="O311" i="2"/>
  <c r="M311" i="2"/>
  <c r="L311" i="2"/>
  <c r="K311" i="2"/>
  <c r="S310" i="2"/>
  <c r="T310" i="2" s="1"/>
  <c r="U310" i="2" s="1"/>
  <c r="R310" i="2"/>
  <c r="Q310" i="2"/>
  <c r="P310" i="2"/>
  <c r="O310" i="2"/>
  <c r="M310" i="2"/>
  <c r="L310" i="2"/>
  <c r="K310" i="2"/>
  <c r="T309" i="2"/>
  <c r="U309" i="2" s="1"/>
  <c r="S309" i="2"/>
  <c r="R309" i="2"/>
  <c r="Q309" i="2"/>
  <c r="P309" i="2"/>
  <c r="O309" i="2"/>
  <c r="M309" i="2"/>
  <c r="L309" i="2"/>
  <c r="K309" i="2"/>
  <c r="S308" i="2"/>
  <c r="T308" i="2" s="1"/>
  <c r="U308" i="2" s="1"/>
  <c r="R308" i="2"/>
  <c r="Q308" i="2"/>
  <c r="P308" i="2"/>
  <c r="O308" i="2"/>
  <c r="M308" i="2"/>
  <c r="L308" i="2"/>
  <c r="K308" i="2"/>
  <c r="Q307" i="2"/>
  <c r="P307" i="2"/>
  <c r="O307" i="2"/>
  <c r="M307" i="2"/>
  <c r="R307" i="2" s="1"/>
  <c r="L307" i="2"/>
  <c r="K307" i="2"/>
  <c r="S306" i="2"/>
  <c r="T306" i="2" s="1"/>
  <c r="Q306" i="2"/>
  <c r="P306" i="2"/>
  <c r="O306" i="2"/>
  <c r="M306" i="2"/>
  <c r="R306" i="2" s="1"/>
  <c r="L306" i="2"/>
  <c r="K306" i="2"/>
  <c r="D306" i="2"/>
  <c r="O305" i="2"/>
  <c r="L305" i="2"/>
  <c r="K305" i="2"/>
  <c r="D305" i="2"/>
  <c r="O304" i="2"/>
  <c r="L304" i="2"/>
  <c r="K304" i="2"/>
  <c r="D304" i="2"/>
  <c r="Q304" i="2" s="1"/>
  <c r="U303" i="2"/>
  <c r="S303" i="2"/>
  <c r="T303" i="2" s="1"/>
  <c r="Q303" i="2"/>
  <c r="P303" i="2"/>
  <c r="C570" i="8" s="1"/>
  <c r="O303" i="2"/>
  <c r="M303" i="2"/>
  <c r="L303" i="2"/>
  <c r="K303" i="2"/>
  <c r="R303" i="2" s="1"/>
  <c r="O302" i="2"/>
  <c r="L302" i="2"/>
  <c r="K302" i="2"/>
  <c r="D302" i="2"/>
  <c r="Q301" i="2"/>
  <c r="P301" i="2"/>
  <c r="O301" i="2"/>
  <c r="M301" i="2"/>
  <c r="L301" i="2"/>
  <c r="K301" i="2"/>
  <c r="D301" i="2"/>
  <c r="O300" i="2"/>
  <c r="L300" i="2"/>
  <c r="K300" i="2"/>
  <c r="D300" i="2"/>
  <c r="O299" i="2"/>
  <c r="L299" i="2"/>
  <c r="K299" i="2"/>
  <c r="D299" i="2"/>
  <c r="O298" i="2"/>
  <c r="L298" i="2"/>
  <c r="K298" i="2"/>
  <c r="D298" i="2"/>
  <c r="Q297" i="2"/>
  <c r="P297" i="2"/>
  <c r="O297" i="2"/>
  <c r="L297" i="2"/>
  <c r="K297" i="2"/>
  <c r="D297" i="2"/>
  <c r="Q296" i="2"/>
  <c r="P296" i="2"/>
  <c r="O296" i="2"/>
  <c r="L296" i="2"/>
  <c r="K296" i="2"/>
  <c r="D296" i="2"/>
  <c r="R295" i="2"/>
  <c r="Q295" i="2"/>
  <c r="M295" i="2" s="1"/>
  <c r="P295" i="2"/>
  <c r="O295" i="2"/>
  <c r="L295" i="2"/>
  <c r="K295" i="2"/>
  <c r="D295" i="2"/>
  <c r="T294" i="2"/>
  <c r="Q294" i="2"/>
  <c r="M294" i="2" s="1"/>
  <c r="P294" i="2"/>
  <c r="O294" i="2"/>
  <c r="L294" i="2"/>
  <c r="R294" i="2" s="1"/>
  <c r="S294" i="2" s="1"/>
  <c r="K294" i="2"/>
  <c r="D294" i="2"/>
  <c r="Q293" i="2"/>
  <c r="P293" i="2"/>
  <c r="O293" i="2"/>
  <c r="M293" i="2"/>
  <c r="L293" i="2"/>
  <c r="K293" i="2"/>
  <c r="S292" i="2"/>
  <c r="T292" i="2" s="1"/>
  <c r="U292" i="2" s="1"/>
  <c r="Q292" i="2"/>
  <c r="P292" i="2"/>
  <c r="D603" i="8" s="1"/>
  <c r="O292" i="2"/>
  <c r="M292" i="2"/>
  <c r="R292" i="2" s="1"/>
  <c r="L292" i="2"/>
  <c r="K292" i="2"/>
  <c r="R291" i="2"/>
  <c r="Q291" i="2"/>
  <c r="P291" i="2"/>
  <c r="O291" i="2"/>
  <c r="M291" i="2"/>
  <c r="L291" i="2"/>
  <c r="K291" i="2"/>
  <c r="Q290" i="2"/>
  <c r="P290" i="2"/>
  <c r="C76" i="8" s="1"/>
  <c r="O290" i="2"/>
  <c r="M290" i="2"/>
  <c r="R290" i="2" s="1"/>
  <c r="L290" i="2"/>
  <c r="K290" i="2"/>
  <c r="Q289" i="2"/>
  <c r="P289" i="2"/>
  <c r="C66" i="8" s="1"/>
  <c r="O289" i="2"/>
  <c r="M289" i="2"/>
  <c r="L289" i="2"/>
  <c r="K289" i="2"/>
  <c r="Q288" i="2"/>
  <c r="P288" i="2"/>
  <c r="O288" i="2"/>
  <c r="M288" i="2"/>
  <c r="L288" i="2"/>
  <c r="K288" i="2"/>
  <c r="Q287" i="2"/>
  <c r="P287" i="2"/>
  <c r="C58" i="8" s="1"/>
  <c r="O287" i="2"/>
  <c r="M287" i="2"/>
  <c r="L287" i="2"/>
  <c r="K287" i="2"/>
  <c r="R287" i="2" s="1"/>
  <c r="Q286" i="2"/>
  <c r="P286" i="2"/>
  <c r="C56" i="8" s="1"/>
  <c r="O286" i="2"/>
  <c r="M286" i="2"/>
  <c r="L286" i="2"/>
  <c r="K286" i="2"/>
  <c r="R286" i="2" s="1"/>
  <c r="S286" i="2" s="1"/>
  <c r="T286" i="2" s="1"/>
  <c r="U286" i="2" s="1"/>
  <c r="R285" i="2"/>
  <c r="Q285" i="2"/>
  <c r="S285" i="2" s="1"/>
  <c r="T285" i="2" s="1"/>
  <c r="U285" i="2" s="1"/>
  <c r="P285" i="2"/>
  <c r="D98" i="8" s="1"/>
  <c r="O285" i="2"/>
  <c r="M285" i="2"/>
  <c r="L285" i="2"/>
  <c r="K285" i="2"/>
  <c r="U284" i="2"/>
  <c r="T284" i="2"/>
  <c r="Q284" i="2"/>
  <c r="S284" i="2" s="1"/>
  <c r="P284" i="2"/>
  <c r="O284" i="2"/>
  <c r="M284" i="2"/>
  <c r="L284" i="2"/>
  <c r="K284" i="2"/>
  <c r="R284" i="2" s="1"/>
  <c r="Q283" i="2"/>
  <c r="P283" i="2"/>
  <c r="C8" i="8" s="1"/>
  <c r="O283" i="2"/>
  <c r="N283" i="2"/>
  <c r="M283" i="2"/>
  <c r="L283" i="2"/>
  <c r="K283" i="2"/>
  <c r="U282" i="2"/>
  <c r="T282" i="2"/>
  <c r="S282" i="2"/>
  <c r="Q282" i="2"/>
  <c r="P282" i="2"/>
  <c r="O282" i="2"/>
  <c r="M282" i="2"/>
  <c r="L282" i="2"/>
  <c r="R282" i="2" s="1"/>
  <c r="K282" i="2"/>
  <c r="Q281" i="2"/>
  <c r="P281" i="2"/>
  <c r="O281" i="2"/>
  <c r="M281" i="2"/>
  <c r="K281" i="2"/>
  <c r="R281" i="2" s="1"/>
  <c r="S281" i="2" s="1"/>
  <c r="T281" i="2" s="1"/>
  <c r="U281" i="2" s="1"/>
  <c r="Q280" i="2"/>
  <c r="M280" i="2" s="1"/>
  <c r="P280" i="2"/>
  <c r="O280" i="2"/>
  <c r="L280" i="2"/>
  <c r="K280" i="2"/>
  <c r="D280" i="2"/>
  <c r="Q279" i="2"/>
  <c r="P279" i="2"/>
  <c r="O279" i="2"/>
  <c r="M279" i="2"/>
  <c r="K279" i="2"/>
  <c r="R279" i="2" s="1"/>
  <c r="Q278" i="2"/>
  <c r="P278" i="2"/>
  <c r="C73" i="8" s="1"/>
  <c r="O278" i="2"/>
  <c r="M278" i="2"/>
  <c r="L278" i="2"/>
  <c r="K278" i="2"/>
  <c r="R278" i="2" s="1"/>
  <c r="S278" i="2" s="1"/>
  <c r="T278" i="2" s="1"/>
  <c r="U278" i="2" s="1"/>
  <c r="Q277" i="2"/>
  <c r="P277" i="2"/>
  <c r="O277" i="2"/>
  <c r="M277" i="2"/>
  <c r="L277" i="2"/>
  <c r="K277" i="2"/>
  <c r="R276" i="2"/>
  <c r="Q276" i="2"/>
  <c r="P276" i="2"/>
  <c r="O276" i="2"/>
  <c r="M276" i="2"/>
  <c r="L276" i="2"/>
  <c r="K276" i="2"/>
  <c r="R275" i="2"/>
  <c r="S275" i="2" s="1"/>
  <c r="T275" i="2" s="1"/>
  <c r="U275" i="2" s="1"/>
  <c r="Q275" i="2"/>
  <c r="P275" i="2"/>
  <c r="O275" i="2"/>
  <c r="M275" i="2"/>
  <c r="L275" i="2"/>
  <c r="K275" i="2"/>
  <c r="T274" i="2"/>
  <c r="S274" i="2"/>
  <c r="R274" i="2"/>
  <c r="Q274" i="2"/>
  <c r="P274" i="2"/>
  <c r="O274" i="2"/>
  <c r="M274" i="2"/>
  <c r="L274" i="2"/>
  <c r="K274" i="2"/>
  <c r="D274" i="2"/>
  <c r="Q273" i="2"/>
  <c r="M273" i="2" s="1"/>
  <c r="R273" i="2" s="1"/>
  <c r="P273" i="2"/>
  <c r="O273" i="2"/>
  <c r="L273" i="2"/>
  <c r="K273" i="2"/>
  <c r="D273" i="2"/>
  <c r="R272" i="2"/>
  <c r="Q272" i="2"/>
  <c r="M272" i="2" s="1"/>
  <c r="P272" i="2"/>
  <c r="O272" i="2"/>
  <c r="L272" i="2"/>
  <c r="K272" i="2"/>
  <c r="D272" i="2"/>
  <c r="T271" i="2"/>
  <c r="U271" i="2" s="1"/>
  <c r="Q271" i="2"/>
  <c r="P271" i="2"/>
  <c r="O271" i="2"/>
  <c r="M271" i="2"/>
  <c r="L271" i="2"/>
  <c r="R271" i="2" s="1"/>
  <c r="S271" i="2" s="1"/>
  <c r="K271" i="2"/>
  <c r="Q270" i="2"/>
  <c r="P270" i="2"/>
  <c r="O270" i="2"/>
  <c r="M270" i="2"/>
  <c r="L270" i="2"/>
  <c r="K270" i="2"/>
  <c r="R269" i="2"/>
  <c r="Q269" i="2"/>
  <c r="P269" i="2"/>
  <c r="D1080" i="8" s="1"/>
  <c r="O269" i="2"/>
  <c r="M269" i="2"/>
  <c r="L269" i="2"/>
  <c r="K269" i="2"/>
  <c r="Q268" i="2"/>
  <c r="P268" i="2"/>
  <c r="O268" i="2"/>
  <c r="M268" i="2"/>
  <c r="L268" i="2"/>
  <c r="K268" i="2"/>
  <c r="R267" i="2"/>
  <c r="Q267" i="2"/>
  <c r="M267" i="2" s="1"/>
  <c r="O267" i="2"/>
  <c r="K267" i="2"/>
  <c r="D267" i="2"/>
  <c r="P267" i="2" s="1"/>
  <c r="V266" i="2"/>
  <c r="Q266" i="2"/>
  <c r="P266" i="2"/>
  <c r="O266" i="2"/>
  <c r="K266" i="2"/>
  <c r="D266" i="2"/>
  <c r="O265" i="2"/>
  <c r="K265" i="2"/>
  <c r="D265" i="2"/>
  <c r="Q264" i="2"/>
  <c r="M264" i="2" s="1"/>
  <c r="R264" i="2" s="1"/>
  <c r="S264" i="2" s="1"/>
  <c r="T264" i="2" s="1"/>
  <c r="P264" i="2"/>
  <c r="O264" i="2"/>
  <c r="K264" i="2"/>
  <c r="D264" i="2"/>
  <c r="O263" i="2"/>
  <c r="K263" i="2"/>
  <c r="D263" i="2"/>
  <c r="O262" i="2"/>
  <c r="K262" i="2"/>
  <c r="D262" i="2"/>
  <c r="V261" i="2"/>
  <c r="Q261" i="2"/>
  <c r="P261" i="2"/>
  <c r="O261" i="2"/>
  <c r="K261" i="2"/>
  <c r="D261" i="2"/>
  <c r="Q260" i="2"/>
  <c r="M260" i="2" s="1"/>
  <c r="P260" i="2"/>
  <c r="O260" i="2"/>
  <c r="K260" i="2"/>
  <c r="D260" i="2"/>
  <c r="O259" i="2"/>
  <c r="K259" i="2"/>
  <c r="D259" i="2"/>
  <c r="Q259" i="2" s="1"/>
  <c r="O258" i="2"/>
  <c r="K258" i="2"/>
  <c r="D258" i="2"/>
  <c r="V257" i="2"/>
  <c r="Q257" i="2"/>
  <c r="P257" i="2"/>
  <c r="O257" i="2"/>
  <c r="K257" i="2"/>
  <c r="D257" i="2"/>
  <c r="V256" i="2"/>
  <c r="P256" i="2"/>
  <c r="O256" i="2"/>
  <c r="K256" i="2"/>
  <c r="D256" i="2"/>
  <c r="Q256" i="2" s="1"/>
  <c r="O255" i="2"/>
  <c r="K255" i="2"/>
  <c r="D255" i="2"/>
  <c r="P255" i="2" s="1"/>
  <c r="V255" i="2" s="1"/>
  <c r="V254" i="2"/>
  <c r="Q254" i="2"/>
  <c r="M254" i="2" s="1"/>
  <c r="R254" i="2" s="1"/>
  <c r="S254" i="2" s="1"/>
  <c r="T254" i="2" s="1"/>
  <c r="P254" i="2"/>
  <c r="O254" i="2"/>
  <c r="K254" i="2"/>
  <c r="D254" i="2"/>
  <c r="Q253" i="2"/>
  <c r="P253" i="2"/>
  <c r="O253" i="2"/>
  <c r="M253" i="2"/>
  <c r="R253" i="2" s="1"/>
  <c r="K253" i="2"/>
  <c r="D253" i="2"/>
  <c r="S252" i="2"/>
  <c r="T252" i="2" s="1"/>
  <c r="Q252" i="2"/>
  <c r="P252" i="2"/>
  <c r="O252" i="2"/>
  <c r="M252" i="2"/>
  <c r="R252" i="2" s="1"/>
  <c r="L252" i="2"/>
  <c r="K252" i="2"/>
  <c r="D252" i="2"/>
  <c r="Q251" i="2"/>
  <c r="P251" i="2"/>
  <c r="O251" i="2"/>
  <c r="M251" i="2"/>
  <c r="L251" i="2"/>
  <c r="K251" i="2"/>
  <c r="R251" i="2" s="1"/>
  <c r="S251" i="2" s="1"/>
  <c r="T251" i="2" s="1"/>
  <c r="U251" i="2" s="1"/>
  <c r="Q250" i="2"/>
  <c r="P250" i="2"/>
  <c r="O250" i="2"/>
  <c r="M250" i="2"/>
  <c r="L250" i="2"/>
  <c r="R250" i="2" s="1"/>
  <c r="K250" i="2"/>
  <c r="Q249" i="2"/>
  <c r="P249" i="2"/>
  <c r="O249" i="2"/>
  <c r="M249" i="2"/>
  <c r="L249" i="2"/>
  <c r="K249" i="2"/>
  <c r="Q248" i="2"/>
  <c r="P248" i="2"/>
  <c r="O248" i="2"/>
  <c r="M248" i="2"/>
  <c r="L248" i="2"/>
  <c r="K248" i="2"/>
  <c r="S247" i="2"/>
  <c r="T247" i="2" s="1"/>
  <c r="U247" i="2" s="1"/>
  <c r="R247" i="2"/>
  <c r="Q247" i="2"/>
  <c r="P247" i="2"/>
  <c r="O247" i="2"/>
  <c r="M247" i="2"/>
  <c r="L247" i="2"/>
  <c r="K247" i="2"/>
  <c r="Q246" i="2"/>
  <c r="P246" i="2"/>
  <c r="O246" i="2"/>
  <c r="M246" i="2"/>
  <c r="L246" i="2"/>
  <c r="K246" i="2"/>
  <c r="R246" i="2" s="1"/>
  <c r="R245" i="2"/>
  <c r="Q245" i="2"/>
  <c r="S245" i="2" s="1"/>
  <c r="T245" i="2" s="1"/>
  <c r="U245" i="2" s="1"/>
  <c r="P245" i="2"/>
  <c r="O245" i="2"/>
  <c r="M245" i="2"/>
  <c r="L245" i="2"/>
  <c r="K245" i="2"/>
  <c r="Q244" i="2"/>
  <c r="P244" i="2"/>
  <c r="O244" i="2"/>
  <c r="M244" i="2"/>
  <c r="L244" i="2"/>
  <c r="K244" i="2"/>
  <c r="R243" i="2"/>
  <c r="Q243" i="2"/>
  <c r="S243" i="2" s="1"/>
  <c r="T243" i="2" s="1"/>
  <c r="P243" i="2"/>
  <c r="O243" i="2"/>
  <c r="T242" i="2"/>
  <c r="U242" i="2" s="1"/>
  <c r="R242" i="2"/>
  <c r="Q242" i="2"/>
  <c r="S242" i="2" s="1"/>
  <c r="P242" i="2"/>
  <c r="O242" i="2"/>
  <c r="R241" i="2"/>
  <c r="Q241" i="2"/>
  <c r="S241" i="2" s="1"/>
  <c r="T241" i="2" s="1"/>
  <c r="U241" i="2" s="1"/>
  <c r="P241" i="2"/>
  <c r="O241" i="2"/>
  <c r="Q240" i="2"/>
  <c r="P240" i="2"/>
  <c r="O240" i="2"/>
  <c r="N240" i="2"/>
  <c r="R240" i="2" s="1"/>
  <c r="S240" i="2" s="1"/>
  <c r="T240" i="2" s="1"/>
  <c r="U240" i="2" s="1"/>
  <c r="R239" i="2"/>
  <c r="Q239" i="2"/>
  <c r="P239" i="2"/>
  <c r="O239" i="2"/>
  <c r="Q238" i="2"/>
  <c r="P238" i="2"/>
  <c r="O238" i="2"/>
  <c r="M238" i="2"/>
  <c r="L238" i="2"/>
  <c r="K238" i="2"/>
  <c r="Q237" i="2"/>
  <c r="P237" i="2"/>
  <c r="O237" i="2"/>
  <c r="L237" i="2"/>
  <c r="K237" i="2"/>
  <c r="D237" i="2"/>
  <c r="Q236" i="2"/>
  <c r="P236" i="2"/>
  <c r="O236" i="2"/>
  <c r="N236" i="2"/>
  <c r="M236" i="2"/>
  <c r="L236" i="2"/>
  <c r="K236" i="2"/>
  <c r="S235" i="2"/>
  <c r="T235" i="2" s="1"/>
  <c r="U235" i="2" s="1"/>
  <c r="Q235" i="2"/>
  <c r="P235" i="2"/>
  <c r="O235" i="2"/>
  <c r="M235" i="2"/>
  <c r="R235" i="2" s="1"/>
  <c r="L235" i="2"/>
  <c r="K235" i="2"/>
  <c r="Q234" i="2"/>
  <c r="P234" i="2"/>
  <c r="O234" i="2"/>
  <c r="M234" i="2"/>
  <c r="L234" i="2"/>
  <c r="R234" i="2" s="1"/>
  <c r="K234" i="2"/>
  <c r="S233" i="2"/>
  <c r="T233" i="2" s="1"/>
  <c r="R233" i="2"/>
  <c r="Q233" i="2"/>
  <c r="P233" i="2"/>
  <c r="O233" i="2"/>
  <c r="M233" i="2"/>
  <c r="L233" i="2"/>
  <c r="K233" i="2"/>
  <c r="D233" i="2"/>
  <c r="R232" i="2"/>
  <c r="Q232" i="2"/>
  <c r="M232" i="2" s="1"/>
  <c r="P232" i="2"/>
  <c r="O232" i="2"/>
  <c r="L232" i="2"/>
  <c r="K232" i="2"/>
  <c r="D232" i="2"/>
  <c r="Q231" i="2"/>
  <c r="P231" i="2"/>
  <c r="O231" i="2"/>
  <c r="N231" i="2"/>
  <c r="M231" i="2"/>
  <c r="L231" i="2"/>
  <c r="K231" i="2"/>
  <c r="S230" i="2"/>
  <c r="T230" i="2" s="1"/>
  <c r="U230" i="2" s="1"/>
  <c r="Q230" i="2"/>
  <c r="P230" i="2"/>
  <c r="O230" i="2"/>
  <c r="M230" i="2"/>
  <c r="R230" i="2" s="1"/>
  <c r="L230" i="2"/>
  <c r="K230" i="2"/>
  <c r="Q229" i="2"/>
  <c r="P229" i="2"/>
  <c r="O229" i="2"/>
  <c r="M229" i="2"/>
  <c r="L229" i="2"/>
  <c r="K229" i="2"/>
  <c r="R229" i="2" s="1"/>
  <c r="Q228" i="2"/>
  <c r="S228" i="2" s="1"/>
  <c r="T228" i="2" s="1"/>
  <c r="U228" i="2" s="1"/>
  <c r="P228" i="2"/>
  <c r="O228" i="2"/>
  <c r="M228" i="2"/>
  <c r="L228" i="2"/>
  <c r="K228" i="2"/>
  <c r="R228" i="2" s="1"/>
  <c r="O227" i="2"/>
  <c r="K227" i="2"/>
  <c r="D227" i="2"/>
  <c r="O226" i="2"/>
  <c r="K226" i="2"/>
  <c r="D226" i="2"/>
  <c r="V225" i="2"/>
  <c r="R225" i="2"/>
  <c r="S225" i="2" s="1"/>
  <c r="T225" i="2" s="1"/>
  <c r="Q225" i="2"/>
  <c r="M225" i="2" s="1"/>
  <c r="P225" i="2"/>
  <c r="O225" i="2"/>
  <c r="K225" i="2"/>
  <c r="D225" i="2"/>
  <c r="R224" i="2"/>
  <c r="Q224" i="2"/>
  <c r="O224" i="2"/>
  <c r="M224" i="2"/>
  <c r="K224" i="2"/>
  <c r="D224" i="2"/>
  <c r="P224" i="2" s="1"/>
  <c r="Q223" i="2"/>
  <c r="P223" i="2"/>
  <c r="V223" i="2" s="1"/>
  <c r="O223" i="2"/>
  <c r="M223" i="2"/>
  <c r="K223" i="2"/>
  <c r="D223" i="2"/>
  <c r="P222" i="2"/>
  <c r="V222" i="2" s="1"/>
  <c r="O222" i="2"/>
  <c r="K222" i="2"/>
  <c r="D222" i="2"/>
  <c r="Q222" i="2" s="1"/>
  <c r="Q221" i="2"/>
  <c r="P221" i="2"/>
  <c r="O221" i="2"/>
  <c r="K221" i="2"/>
  <c r="D221" i="2"/>
  <c r="O220" i="2"/>
  <c r="K220" i="2"/>
  <c r="D220" i="2"/>
  <c r="V219" i="2"/>
  <c r="Q219" i="2"/>
  <c r="M219" i="2" s="1"/>
  <c r="R219" i="2" s="1"/>
  <c r="P219" i="2"/>
  <c r="O219" i="2"/>
  <c r="K219" i="2"/>
  <c r="D219" i="2"/>
  <c r="V218" i="2"/>
  <c r="Q218" i="2"/>
  <c r="M218" i="2" s="1"/>
  <c r="P218" i="2"/>
  <c r="O218" i="2"/>
  <c r="K218" i="2"/>
  <c r="D218" i="2"/>
  <c r="O217" i="2"/>
  <c r="K217" i="2"/>
  <c r="D217" i="2"/>
  <c r="T216" i="2"/>
  <c r="S216" i="2"/>
  <c r="R216" i="2"/>
  <c r="Q216" i="2"/>
  <c r="O216" i="2"/>
  <c r="V216" i="2" s="1"/>
  <c r="M216" i="2"/>
  <c r="K216" i="2"/>
  <c r="D216" i="2"/>
  <c r="P216" i="2" s="1"/>
  <c r="O215" i="2"/>
  <c r="K215" i="2"/>
  <c r="D215" i="2"/>
  <c r="O214" i="2"/>
  <c r="K214" i="2"/>
  <c r="D214" i="2"/>
  <c r="Q214" i="2" s="1"/>
  <c r="V213" i="2"/>
  <c r="P213" i="2"/>
  <c r="O213" i="2"/>
  <c r="K213" i="2"/>
  <c r="D213" i="2"/>
  <c r="Q213" i="2" s="1"/>
  <c r="M213" i="2" s="1"/>
  <c r="R213" i="2" s="1"/>
  <c r="S213" i="2" s="1"/>
  <c r="T213" i="2" s="1"/>
  <c r="V212" i="2"/>
  <c r="T212" i="2"/>
  <c r="Q212" i="2"/>
  <c r="M212" i="2" s="1"/>
  <c r="P212" i="2"/>
  <c r="O212" i="2"/>
  <c r="K212" i="2"/>
  <c r="R212" i="2" s="1"/>
  <c r="S212" i="2" s="1"/>
  <c r="D212" i="2"/>
  <c r="S211" i="2"/>
  <c r="T211" i="2" s="1"/>
  <c r="R211" i="2"/>
  <c r="Q211" i="2"/>
  <c r="M211" i="2" s="1"/>
  <c r="P211" i="2"/>
  <c r="V211" i="2" s="1"/>
  <c r="O211" i="2"/>
  <c r="K211" i="2"/>
  <c r="D211" i="2"/>
  <c r="Q210" i="2"/>
  <c r="P210" i="2"/>
  <c r="V210" i="2" s="1"/>
  <c r="O210" i="2"/>
  <c r="M210" i="2"/>
  <c r="R210" i="2" s="1"/>
  <c r="K210" i="2"/>
  <c r="D210" i="2"/>
  <c r="O209" i="2"/>
  <c r="K209" i="2"/>
  <c r="D209" i="2"/>
  <c r="O208" i="2"/>
  <c r="K208" i="2"/>
  <c r="D208" i="2"/>
  <c r="Q207" i="2"/>
  <c r="P207" i="2"/>
  <c r="O207" i="2"/>
  <c r="M207" i="2"/>
  <c r="K207" i="2"/>
  <c r="D207" i="2"/>
  <c r="Q206" i="2"/>
  <c r="M206" i="2" s="1"/>
  <c r="R206" i="2" s="1"/>
  <c r="O206" i="2"/>
  <c r="K206" i="2"/>
  <c r="D206" i="2"/>
  <c r="P206" i="2" s="1"/>
  <c r="Q205" i="2"/>
  <c r="P205" i="2"/>
  <c r="O205" i="2"/>
  <c r="D205" i="2"/>
  <c r="S204" i="2"/>
  <c r="T204" i="2" s="1"/>
  <c r="Q204" i="2"/>
  <c r="P204" i="2"/>
  <c r="O204" i="2"/>
  <c r="M204" i="2"/>
  <c r="R204" i="2" s="1"/>
  <c r="L204" i="2"/>
  <c r="K204" i="2"/>
  <c r="D204" i="2"/>
  <c r="O203" i="2"/>
  <c r="L203" i="2"/>
  <c r="K203" i="2"/>
  <c r="D203" i="2"/>
  <c r="S202" i="2"/>
  <c r="T202" i="2" s="1"/>
  <c r="R202" i="2"/>
  <c r="Q202" i="2"/>
  <c r="M202" i="2" s="1"/>
  <c r="P202" i="2"/>
  <c r="O202" i="2"/>
  <c r="L202" i="2"/>
  <c r="K202" i="2"/>
  <c r="D202" i="2"/>
  <c r="O201" i="2"/>
  <c r="L201" i="2"/>
  <c r="K201" i="2"/>
  <c r="D201" i="2"/>
  <c r="O200" i="2"/>
  <c r="L200" i="2"/>
  <c r="K200" i="2"/>
  <c r="D200" i="2"/>
  <c r="Q199" i="2"/>
  <c r="M199" i="2" s="1"/>
  <c r="P199" i="2"/>
  <c r="O199" i="2"/>
  <c r="L199" i="2"/>
  <c r="K199" i="2"/>
  <c r="D199" i="2"/>
  <c r="R198" i="2"/>
  <c r="Q198" i="2"/>
  <c r="S198" i="2" s="1"/>
  <c r="T198" i="2" s="1"/>
  <c r="U198" i="2" s="1"/>
  <c r="P198" i="2"/>
  <c r="O198" i="2"/>
  <c r="M198" i="2"/>
  <c r="L198" i="2"/>
  <c r="K198" i="2"/>
  <c r="S197" i="2"/>
  <c r="T197" i="2" s="1"/>
  <c r="U197" i="2" s="1"/>
  <c r="R197" i="2"/>
  <c r="Q197" i="2"/>
  <c r="P197" i="2"/>
  <c r="O197" i="2"/>
  <c r="M197" i="2"/>
  <c r="L197" i="2"/>
  <c r="K197" i="2"/>
  <c r="Q196" i="2"/>
  <c r="P196" i="2"/>
  <c r="O196" i="2"/>
  <c r="N196" i="2"/>
  <c r="M196" i="2"/>
  <c r="L196" i="2"/>
  <c r="K196" i="2"/>
  <c r="Q195" i="2"/>
  <c r="S195" i="2" s="1"/>
  <c r="T195" i="2" s="1"/>
  <c r="U195" i="2" s="1"/>
  <c r="P195" i="2"/>
  <c r="O195" i="2"/>
  <c r="M195" i="2"/>
  <c r="L195" i="2"/>
  <c r="R195" i="2" s="1"/>
  <c r="K195" i="2"/>
  <c r="Q194" i="2"/>
  <c r="P194" i="2"/>
  <c r="O194" i="2"/>
  <c r="M194" i="2"/>
  <c r="L194" i="2"/>
  <c r="K194" i="2"/>
  <c r="R194" i="2" s="1"/>
  <c r="R193" i="2"/>
  <c r="Q193" i="2"/>
  <c r="S193" i="2" s="1"/>
  <c r="T193" i="2" s="1"/>
  <c r="U193" i="2" s="1"/>
  <c r="P193" i="2"/>
  <c r="O193" i="2"/>
  <c r="M193" i="2"/>
  <c r="L193" i="2"/>
  <c r="K193" i="2"/>
  <c r="Q192" i="2"/>
  <c r="P192" i="2"/>
  <c r="O192" i="2"/>
  <c r="M192" i="2"/>
  <c r="L192" i="2"/>
  <c r="K192" i="2"/>
  <c r="R192" i="2" s="1"/>
  <c r="S192" i="2" s="1"/>
  <c r="T192" i="2" s="1"/>
  <c r="U192" i="2" s="1"/>
  <c r="Q191" i="2"/>
  <c r="P191" i="2"/>
  <c r="O191" i="2"/>
  <c r="M191" i="2"/>
  <c r="R191" i="2" s="1"/>
  <c r="L191" i="2"/>
  <c r="K191" i="2"/>
  <c r="Q190" i="2"/>
  <c r="P190" i="2"/>
  <c r="O190" i="2"/>
  <c r="N190" i="2"/>
  <c r="M190" i="2"/>
  <c r="L190" i="2"/>
  <c r="K190" i="2"/>
  <c r="T189" i="2"/>
  <c r="U189" i="2" s="1"/>
  <c r="S189" i="2"/>
  <c r="R189" i="2"/>
  <c r="Q189" i="2"/>
  <c r="P189" i="2"/>
  <c r="O189" i="2"/>
  <c r="M189" i="2"/>
  <c r="L189" i="2"/>
  <c r="K189" i="2"/>
  <c r="S188" i="2"/>
  <c r="T188" i="2" s="1"/>
  <c r="U188" i="2" s="1"/>
  <c r="R188" i="2"/>
  <c r="Q188" i="2"/>
  <c r="P188" i="2"/>
  <c r="O188" i="2"/>
  <c r="N188" i="2"/>
  <c r="O187" i="2"/>
  <c r="L187" i="2"/>
  <c r="K187" i="2"/>
  <c r="D187" i="2"/>
  <c r="S186" i="2"/>
  <c r="T186" i="2" s="1"/>
  <c r="R186" i="2"/>
  <c r="Q186" i="2"/>
  <c r="O186" i="2"/>
  <c r="M186" i="2"/>
  <c r="L186" i="2"/>
  <c r="K186" i="2"/>
  <c r="D186" i="2"/>
  <c r="P186" i="2" s="1"/>
  <c r="O185" i="2"/>
  <c r="N185" i="2"/>
  <c r="L185" i="2"/>
  <c r="K185" i="2"/>
  <c r="D185" i="2"/>
  <c r="Q184" i="2"/>
  <c r="M184" i="2" s="1"/>
  <c r="P184" i="2"/>
  <c r="O184" i="2"/>
  <c r="N184" i="2"/>
  <c r="L184" i="2"/>
  <c r="K184" i="2"/>
  <c r="D184" i="2"/>
  <c r="O183" i="2"/>
  <c r="N183" i="2"/>
  <c r="L183" i="2"/>
  <c r="K183" i="2"/>
  <c r="D183" i="2"/>
  <c r="O182" i="2"/>
  <c r="N182" i="2"/>
  <c r="L182" i="2"/>
  <c r="K182" i="2"/>
  <c r="D182" i="2"/>
  <c r="Q181" i="2"/>
  <c r="P181" i="2"/>
  <c r="C1080" i="8" s="1"/>
  <c r="O181" i="2"/>
  <c r="M181" i="2"/>
  <c r="L181" i="2"/>
  <c r="K181" i="2"/>
  <c r="R181" i="2" s="1"/>
  <c r="S181" i="2" s="1"/>
  <c r="T181" i="2" s="1"/>
  <c r="R180" i="2"/>
  <c r="Q180" i="2"/>
  <c r="S180" i="2" s="1"/>
  <c r="T180" i="2" s="1"/>
  <c r="U180" i="2" s="1"/>
  <c r="P180" i="2"/>
  <c r="O180" i="2"/>
  <c r="M180" i="2"/>
  <c r="L180" i="2"/>
  <c r="K180" i="2"/>
  <c r="Q179" i="2"/>
  <c r="P179" i="2"/>
  <c r="O179" i="2"/>
  <c r="M179" i="2"/>
  <c r="L179" i="2"/>
  <c r="K179" i="2"/>
  <c r="R179" i="2" s="1"/>
  <c r="S178" i="2"/>
  <c r="T178" i="2" s="1"/>
  <c r="U178" i="2" s="1"/>
  <c r="Q178" i="2"/>
  <c r="P178" i="2"/>
  <c r="O178" i="2"/>
  <c r="M178" i="2"/>
  <c r="R178" i="2" s="1"/>
  <c r="L178" i="2"/>
  <c r="K178" i="2"/>
  <c r="R177" i="2"/>
  <c r="Q177" i="2"/>
  <c r="P177" i="2"/>
  <c r="S177" i="2" s="1"/>
  <c r="T177" i="2" s="1"/>
  <c r="U177" i="2" s="1"/>
  <c r="O177" i="2"/>
  <c r="M177" i="2"/>
  <c r="L177" i="2"/>
  <c r="K177" i="2"/>
  <c r="O176" i="2"/>
  <c r="L176" i="2"/>
  <c r="K176" i="2"/>
  <c r="D176" i="2"/>
  <c r="Q176" i="2" s="1"/>
  <c r="M176" i="2" s="1"/>
  <c r="R176" i="2" s="1"/>
  <c r="Q175" i="2"/>
  <c r="M175" i="2" s="1"/>
  <c r="P175" i="2"/>
  <c r="O175" i="2"/>
  <c r="L175" i="2"/>
  <c r="K175" i="2"/>
  <c r="D175" i="2"/>
  <c r="Q174" i="2"/>
  <c r="M174" i="2" s="1"/>
  <c r="P174" i="2"/>
  <c r="O174" i="2"/>
  <c r="L174" i="2"/>
  <c r="K174" i="2"/>
  <c r="D174" i="2"/>
  <c r="Q173" i="2"/>
  <c r="M173" i="2" s="1"/>
  <c r="R173" i="2" s="1"/>
  <c r="S173" i="2" s="1"/>
  <c r="T173" i="2" s="1"/>
  <c r="P173" i="2"/>
  <c r="O173" i="2"/>
  <c r="L173" i="2"/>
  <c r="K173" i="2"/>
  <c r="D173" i="2"/>
  <c r="O172" i="2"/>
  <c r="L172" i="2"/>
  <c r="K172" i="2"/>
  <c r="D172" i="2"/>
  <c r="Q171" i="2"/>
  <c r="P171" i="2"/>
  <c r="O171" i="2"/>
  <c r="M171" i="2"/>
  <c r="R171" i="2" s="1"/>
  <c r="S171" i="2" s="1"/>
  <c r="T171" i="2" s="1"/>
  <c r="L171" i="2"/>
  <c r="K171" i="2"/>
  <c r="D171" i="2"/>
  <c r="O170" i="2"/>
  <c r="L170" i="2"/>
  <c r="K170" i="2"/>
  <c r="D170" i="2"/>
  <c r="O169" i="2"/>
  <c r="L169" i="2"/>
  <c r="K169" i="2"/>
  <c r="D169" i="2"/>
  <c r="Q169" i="2" s="1"/>
  <c r="O168" i="2"/>
  <c r="L168" i="2"/>
  <c r="K168" i="2"/>
  <c r="D168" i="2"/>
  <c r="O167" i="2"/>
  <c r="L167" i="2"/>
  <c r="D167" i="2"/>
  <c r="T166" i="2"/>
  <c r="U166" i="2" s="1"/>
  <c r="S166" i="2"/>
  <c r="R166" i="2"/>
  <c r="Q166" i="2"/>
  <c r="P166" i="2"/>
  <c r="O166" i="2"/>
  <c r="M166" i="2"/>
  <c r="L166" i="2"/>
  <c r="K166" i="2"/>
  <c r="S165" i="2"/>
  <c r="T165" i="2" s="1"/>
  <c r="U165" i="2" s="1"/>
  <c r="R165" i="2"/>
  <c r="Q165" i="2"/>
  <c r="P165" i="2"/>
  <c r="O165" i="2"/>
  <c r="M165" i="2"/>
  <c r="L165" i="2"/>
  <c r="K165" i="2"/>
  <c r="Q164" i="2"/>
  <c r="P164" i="2"/>
  <c r="O164" i="2"/>
  <c r="L164" i="2"/>
  <c r="K164" i="2"/>
  <c r="D164" i="2"/>
  <c r="Q163" i="2"/>
  <c r="M163" i="2" s="1"/>
  <c r="P163" i="2"/>
  <c r="O163" i="2"/>
  <c r="L163" i="2"/>
  <c r="K163" i="2"/>
  <c r="D163" i="2"/>
  <c r="Q162" i="2"/>
  <c r="P162" i="2"/>
  <c r="O162" i="2"/>
  <c r="M162" i="2"/>
  <c r="L162" i="2"/>
  <c r="K162" i="2"/>
  <c r="D162" i="2"/>
  <c r="O161" i="2"/>
  <c r="L161" i="2"/>
  <c r="K161" i="2"/>
  <c r="D161" i="2"/>
  <c r="Q160" i="2"/>
  <c r="P160" i="2"/>
  <c r="O160" i="2"/>
  <c r="L160" i="2"/>
  <c r="K160" i="2"/>
  <c r="D160" i="2"/>
  <c r="O159" i="2"/>
  <c r="L159" i="2"/>
  <c r="K159" i="2"/>
  <c r="D159" i="2"/>
  <c r="P158" i="2"/>
  <c r="S158" i="2" s="1"/>
  <c r="T158" i="2" s="1"/>
  <c r="O158" i="2"/>
  <c r="L158" i="2"/>
  <c r="K158" i="2"/>
  <c r="D158" i="2"/>
  <c r="Q158" i="2" s="1"/>
  <c r="M158" i="2" s="1"/>
  <c r="R158" i="2" s="1"/>
  <c r="O157" i="2"/>
  <c r="L157" i="2"/>
  <c r="K157" i="2"/>
  <c r="D157" i="2"/>
  <c r="Q157" i="2" s="1"/>
  <c r="M157" i="2" s="1"/>
  <c r="R157" i="2" s="1"/>
  <c r="Q156" i="2"/>
  <c r="M156" i="2" s="1"/>
  <c r="P156" i="2"/>
  <c r="O156" i="2"/>
  <c r="L156" i="2"/>
  <c r="K156" i="2"/>
  <c r="R156" i="2" s="1"/>
  <c r="S156" i="2" s="1"/>
  <c r="T156" i="2" s="1"/>
  <c r="D156" i="2"/>
  <c r="Q155" i="2"/>
  <c r="P155" i="2"/>
  <c r="O155" i="2"/>
  <c r="L155" i="2"/>
  <c r="K155" i="2"/>
  <c r="D155" i="2"/>
  <c r="Q154" i="2"/>
  <c r="M154" i="2" s="1"/>
  <c r="P154" i="2"/>
  <c r="O154" i="2"/>
  <c r="L154" i="2"/>
  <c r="K154" i="2"/>
  <c r="D154" i="2"/>
  <c r="Q153" i="2"/>
  <c r="P153" i="2"/>
  <c r="O153" i="2"/>
  <c r="M153" i="2"/>
  <c r="R153" i="2" s="1"/>
  <c r="S153" i="2" s="1"/>
  <c r="T153" i="2" s="1"/>
  <c r="L153" i="2"/>
  <c r="K153" i="2"/>
  <c r="D153" i="2"/>
  <c r="O152" i="2"/>
  <c r="L152" i="2"/>
  <c r="K152" i="2"/>
  <c r="D152" i="2"/>
  <c r="Q151" i="2"/>
  <c r="M151" i="2" s="1"/>
  <c r="R151" i="2" s="1"/>
  <c r="S151" i="2" s="1"/>
  <c r="T151" i="2" s="1"/>
  <c r="P151" i="2"/>
  <c r="O151" i="2"/>
  <c r="L151" i="2"/>
  <c r="K151" i="2"/>
  <c r="D151" i="2"/>
  <c r="O150" i="2"/>
  <c r="L150" i="2"/>
  <c r="K150" i="2"/>
  <c r="D150" i="2"/>
  <c r="O149" i="2"/>
  <c r="L149" i="2"/>
  <c r="K149" i="2"/>
  <c r="D149" i="2"/>
  <c r="Q149" i="2" s="1"/>
  <c r="M149" i="2" s="1"/>
  <c r="Q148" i="2"/>
  <c r="P148" i="2"/>
  <c r="C1078" i="8" s="1"/>
  <c r="O148" i="2"/>
  <c r="M148" i="2"/>
  <c r="L148" i="2"/>
  <c r="K148" i="2"/>
  <c r="R148" i="2" s="1"/>
  <c r="S148" i="2" s="1"/>
  <c r="T148" i="2" s="1"/>
  <c r="U148" i="2" s="1"/>
  <c r="Q147" i="2"/>
  <c r="P147" i="2"/>
  <c r="O147" i="2"/>
  <c r="M147" i="2"/>
  <c r="L147" i="2"/>
  <c r="K147" i="2"/>
  <c r="S146" i="2"/>
  <c r="T146" i="2" s="1"/>
  <c r="R146" i="2"/>
  <c r="P146" i="2"/>
  <c r="O146" i="2"/>
  <c r="L146" i="2"/>
  <c r="K146" i="2"/>
  <c r="D146" i="2"/>
  <c r="Q146" i="2" s="1"/>
  <c r="M146" i="2" s="1"/>
  <c r="Q145" i="2"/>
  <c r="P145" i="2"/>
  <c r="K145" i="2" s="1"/>
  <c r="O145" i="2"/>
  <c r="L145" i="2"/>
  <c r="D145" i="2"/>
  <c r="S144" i="2"/>
  <c r="T144" i="2" s="1"/>
  <c r="U144" i="2" s="1"/>
  <c r="R144" i="2"/>
  <c r="Q144" i="2"/>
  <c r="P144" i="2"/>
  <c r="O144" i="2"/>
  <c r="R143" i="2"/>
  <c r="Q143" i="2"/>
  <c r="S143" i="2" s="1"/>
  <c r="T143" i="2" s="1"/>
  <c r="P143" i="2"/>
  <c r="O143" i="2"/>
  <c r="R142" i="2"/>
  <c r="Q142" i="2"/>
  <c r="S142" i="2" s="1"/>
  <c r="T142" i="2" s="1"/>
  <c r="U142" i="2" s="1"/>
  <c r="P142" i="2"/>
  <c r="O142" i="2"/>
  <c r="M142" i="2"/>
  <c r="L142" i="2"/>
  <c r="K142" i="2"/>
  <c r="Q141" i="2"/>
  <c r="P141" i="2"/>
  <c r="O141" i="2"/>
  <c r="M141" i="2"/>
  <c r="L141" i="2"/>
  <c r="K141" i="2"/>
  <c r="R141" i="2" s="1"/>
  <c r="S140" i="2"/>
  <c r="T140" i="2" s="1"/>
  <c r="U140" i="2" s="1"/>
  <c r="R140" i="2"/>
  <c r="Q140" i="2"/>
  <c r="P140" i="2"/>
  <c r="O140" i="2"/>
  <c r="U139" i="2"/>
  <c r="R139" i="2"/>
  <c r="Q139" i="2"/>
  <c r="P139" i="2"/>
  <c r="S139" i="2" s="1"/>
  <c r="T139" i="2" s="1"/>
  <c r="O139" i="2"/>
  <c r="Q138" i="2"/>
  <c r="P138" i="2"/>
  <c r="O138" i="2"/>
  <c r="N138" i="2"/>
  <c r="M138" i="2"/>
  <c r="L138" i="2"/>
  <c r="K138" i="2"/>
  <c r="T137" i="2"/>
  <c r="S137" i="2"/>
  <c r="R137" i="2"/>
  <c r="Q137" i="2"/>
  <c r="P137" i="2"/>
  <c r="O137" i="2"/>
  <c r="M137" i="2"/>
  <c r="L137" i="2"/>
  <c r="K137" i="2"/>
  <c r="Q136" i="2"/>
  <c r="P136" i="2"/>
  <c r="O136" i="2"/>
  <c r="M136" i="2"/>
  <c r="L136" i="2"/>
  <c r="K136" i="2"/>
  <c r="Q135" i="2"/>
  <c r="P135" i="2"/>
  <c r="O135" i="2"/>
  <c r="M135" i="2"/>
  <c r="L135" i="2"/>
  <c r="K135" i="2"/>
  <c r="R135" i="2" s="1"/>
  <c r="S134" i="2"/>
  <c r="T134" i="2" s="1"/>
  <c r="U134" i="2" s="1"/>
  <c r="R134" i="2"/>
  <c r="Q134" i="2"/>
  <c r="P134" i="2"/>
  <c r="O134" i="2"/>
  <c r="Q133" i="2"/>
  <c r="P133" i="2"/>
  <c r="O133" i="2"/>
  <c r="M133" i="2"/>
  <c r="L133" i="2"/>
  <c r="K133" i="2"/>
  <c r="S132" i="2"/>
  <c r="T132" i="2" s="1"/>
  <c r="U132" i="2" s="1"/>
  <c r="Q132" i="2"/>
  <c r="P132" i="2"/>
  <c r="O132" i="2"/>
  <c r="M132" i="2"/>
  <c r="R132" i="2" s="1"/>
  <c r="L132" i="2"/>
  <c r="K132" i="2"/>
  <c r="O131" i="2"/>
  <c r="L131" i="2"/>
  <c r="K131" i="2"/>
  <c r="D131" i="2"/>
  <c r="V130" i="2"/>
  <c r="Q130" i="2"/>
  <c r="P130" i="2"/>
  <c r="O130" i="2"/>
  <c r="L130" i="2"/>
  <c r="K130" i="2"/>
  <c r="D130" i="2"/>
  <c r="P129" i="2"/>
  <c r="O129" i="2"/>
  <c r="L129" i="2"/>
  <c r="K129" i="2"/>
  <c r="D129" i="2"/>
  <c r="Q129" i="2" s="1"/>
  <c r="Q128" i="2"/>
  <c r="P128" i="2"/>
  <c r="O128" i="2"/>
  <c r="M128" i="2"/>
  <c r="L128" i="2"/>
  <c r="R128" i="2" s="1"/>
  <c r="K128" i="2"/>
  <c r="D128" i="2"/>
  <c r="O127" i="2"/>
  <c r="N127" i="2"/>
  <c r="L127" i="2"/>
  <c r="K127" i="2"/>
  <c r="D127" i="2"/>
  <c r="Q126" i="2"/>
  <c r="P126" i="2"/>
  <c r="O126" i="2"/>
  <c r="N126" i="2"/>
  <c r="R126" i="2" s="1"/>
  <c r="S126" i="2" s="1"/>
  <c r="T126" i="2" s="1"/>
  <c r="M126" i="2"/>
  <c r="L126" i="2"/>
  <c r="K126" i="2"/>
  <c r="D126" i="2"/>
  <c r="O125" i="2"/>
  <c r="N125" i="2"/>
  <c r="L125" i="2"/>
  <c r="K125" i="2"/>
  <c r="D125" i="2"/>
  <c r="Q124" i="2"/>
  <c r="P124" i="2"/>
  <c r="O124" i="2"/>
  <c r="N124" i="2"/>
  <c r="L124" i="2"/>
  <c r="K124" i="2"/>
  <c r="D124" i="2"/>
  <c r="O123" i="2"/>
  <c r="N123" i="2"/>
  <c r="L123" i="2"/>
  <c r="K123" i="2"/>
  <c r="D123" i="2"/>
  <c r="Q122" i="2"/>
  <c r="M122" i="2" s="1"/>
  <c r="P122" i="2"/>
  <c r="O122" i="2"/>
  <c r="N122" i="2"/>
  <c r="R122" i="2" s="1"/>
  <c r="S122" i="2" s="1"/>
  <c r="T122" i="2" s="1"/>
  <c r="L122" i="2"/>
  <c r="K122" i="2"/>
  <c r="D122" i="2"/>
  <c r="O121" i="2"/>
  <c r="N121" i="2"/>
  <c r="L121" i="2"/>
  <c r="K121" i="2"/>
  <c r="D121" i="2"/>
  <c r="Q120" i="2"/>
  <c r="M120" i="2" s="1"/>
  <c r="R120" i="2" s="1"/>
  <c r="S120" i="2" s="1"/>
  <c r="T120" i="2" s="1"/>
  <c r="P120" i="2"/>
  <c r="O120" i="2"/>
  <c r="N120" i="2"/>
  <c r="L120" i="2"/>
  <c r="K120" i="2"/>
  <c r="D120" i="2"/>
  <c r="O119" i="2"/>
  <c r="N119" i="2"/>
  <c r="L119" i="2"/>
  <c r="K119" i="2"/>
  <c r="D119" i="2"/>
  <c r="Q118" i="2"/>
  <c r="M118" i="2" s="1"/>
  <c r="P118" i="2"/>
  <c r="O118" i="2"/>
  <c r="N118" i="2"/>
  <c r="R118" i="2" s="1"/>
  <c r="S118" i="2" s="1"/>
  <c r="T118" i="2" s="1"/>
  <c r="L118" i="2"/>
  <c r="K118" i="2"/>
  <c r="D118" i="2"/>
  <c r="O117" i="2"/>
  <c r="N117" i="2"/>
  <c r="L117" i="2"/>
  <c r="K117" i="2"/>
  <c r="D117" i="2"/>
  <c r="Q116" i="2"/>
  <c r="P116" i="2"/>
  <c r="O116" i="2"/>
  <c r="N116" i="2"/>
  <c r="M116" i="2"/>
  <c r="L116" i="2"/>
  <c r="K116" i="2"/>
  <c r="D116" i="2"/>
  <c r="O115" i="2"/>
  <c r="N115" i="2"/>
  <c r="L115" i="2"/>
  <c r="K115" i="2"/>
  <c r="D115" i="2"/>
  <c r="Q114" i="2"/>
  <c r="M114" i="2" s="1"/>
  <c r="P114" i="2"/>
  <c r="O114" i="2"/>
  <c r="N114" i="2"/>
  <c r="L114" i="2"/>
  <c r="K114" i="2"/>
  <c r="D114" i="2"/>
  <c r="O113" i="2"/>
  <c r="N113" i="2"/>
  <c r="L113" i="2"/>
  <c r="K113" i="2"/>
  <c r="D113" i="2"/>
  <c r="Q112" i="2"/>
  <c r="M112" i="2" s="1"/>
  <c r="R112" i="2" s="1"/>
  <c r="P112" i="2"/>
  <c r="O112" i="2"/>
  <c r="N112" i="2"/>
  <c r="L112" i="2"/>
  <c r="K112" i="2"/>
  <c r="D112" i="2"/>
  <c r="O111" i="2"/>
  <c r="N111" i="2"/>
  <c r="L111" i="2"/>
  <c r="K111" i="2"/>
  <c r="D111" i="2"/>
  <c r="Q110" i="2"/>
  <c r="P110" i="2"/>
  <c r="O110" i="2"/>
  <c r="N110" i="2"/>
  <c r="L110" i="2"/>
  <c r="K110" i="2"/>
  <c r="D110" i="2"/>
  <c r="O109" i="2"/>
  <c r="N109" i="2"/>
  <c r="L109" i="2"/>
  <c r="K109" i="2"/>
  <c r="D109" i="2"/>
  <c r="R108" i="2"/>
  <c r="S108" i="2" s="1"/>
  <c r="T108" i="2" s="1"/>
  <c r="Q108" i="2"/>
  <c r="M108" i="2" s="1"/>
  <c r="P108" i="2"/>
  <c r="O108" i="2"/>
  <c r="L108" i="2"/>
  <c r="K108" i="2"/>
  <c r="D108" i="2"/>
  <c r="O107" i="2"/>
  <c r="L107" i="2"/>
  <c r="K107" i="2"/>
  <c r="D107" i="2"/>
  <c r="Q106" i="2"/>
  <c r="P106" i="2"/>
  <c r="O106" i="2"/>
  <c r="M106" i="2"/>
  <c r="L106" i="2"/>
  <c r="K106" i="2"/>
  <c r="R106" i="2" s="1"/>
  <c r="Q105" i="2"/>
  <c r="P105" i="2"/>
  <c r="O105" i="2"/>
  <c r="M105" i="2"/>
  <c r="L105" i="2"/>
  <c r="K105" i="2"/>
  <c r="R105" i="2" s="1"/>
  <c r="Q104" i="2"/>
  <c r="P104" i="2"/>
  <c r="O104" i="2"/>
  <c r="M104" i="2"/>
  <c r="L104" i="2"/>
  <c r="K104" i="2"/>
  <c r="T103" i="2"/>
  <c r="U103" i="2" s="1"/>
  <c r="S103" i="2"/>
  <c r="R103" i="2"/>
  <c r="Q103" i="2"/>
  <c r="P103" i="2"/>
  <c r="O103" i="2"/>
  <c r="M103" i="2"/>
  <c r="L103" i="2"/>
  <c r="K103" i="2"/>
  <c r="T102" i="2"/>
  <c r="U102" i="2" s="1"/>
  <c r="Q102" i="2"/>
  <c r="P102" i="2"/>
  <c r="O102" i="2"/>
  <c r="M102" i="2"/>
  <c r="L102" i="2"/>
  <c r="K102" i="2"/>
  <c r="R102" i="2" s="1"/>
  <c r="S102" i="2" s="1"/>
  <c r="R101" i="2"/>
  <c r="S101" i="2" s="1"/>
  <c r="T101" i="2" s="1"/>
  <c r="U101" i="2" s="1"/>
  <c r="Q101" i="2"/>
  <c r="P101" i="2"/>
  <c r="O101" i="2"/>
  <c r="M101" i="2"/>
  <c r="L101" i="2"/>
  <c r="K101" i="2"/>
  <c r="R100" i="2"/>
  <c r="Q100" i="2"/>
  <c r="P100" i="2"/>
  <c r="O100" i="2"/>
  <c r="M100" i="2"/>
  <c r="L100" i="2"/>
  <c r="K100" i="2"/>
  <c r="Q99" i="2"/>
  <c r="P99" i="2"/>
  <c r="O99" i="2"/>
  <c r="M99" i="2"/>
  <c r="L99" i="2"/>
  <c r="D99" i="2"/>
  <c r="V98" i="2"/>
  <c r="P98" i="2"/>
  <c r="O98" i="2"/>
  <c r="M98" i="2"/>
  <c r="L98" i="2"/>
  <c r="K98" i="2"/>
  <c r="D98" i="2"/>
  <c r="Q98" i="2" s="1"/>
  <c r="V97" i="2"/>
  <c r="Q97" i="2"/>
  <c r="M97" i="2" s="1"/>
  <c r="P97" i="2"/>
  <c r="O97" i="2"/>
  <c r="L97" i="2"/>
  <c r="K97" i="2"/>
  <c r="R97" i="2" s="1"/>
  <c r="S97" i="2" s="1"/>
  <c r="T97" i="2" s="1"/>
  <c r="D97" i="2"/>
  <c r="O96" i="2"/>
  <c r="L96" i="2"/>
  <c r="K96" i="2"/>
  <c r="D96" i="2"/>
  <c r="S95" i="2"/>
  <c r="T95" i="2" s="1"/>
  <c r="Q95" i="2"/>
  <c r="P95" i="2"/>
  <c r="O95" i="2"/>
  <c r="M95" i="2"/>
  <c r="R95" i="2" s="1"/>
  <c r="L95" i="2"/>
  <c r="K95" i="2"/>
  <c r="D95" i="2"/>
  <c r="O94" i="2"/>
  <c r="L94" i="2"/>
  <c r="K94" i="2"/>
  <c r="D94" i="2"/>
  <c r="Q93" i="2"/>
  <c r="P93" i="2"/>
  <c r="O93" i="2"/>
  <c r="L93" i="2"/>
  <c r="L1238" i="2" s="1"/>
  <c r="K93" i="2"/>
  <c r="D93" i="2"/>
  <c r="R92" i="2"/>
  <c r="P92" i="2"/>
  <c r="O92" i="2"/>
  <c r="L92" i="2"/>
  <c r="K92" i="2"/>
  <c r="D92" i="2"/>
  <c r="Q92" i="2" s="1"/>
  <c r="M92" i="2" s="1"/>
  <c r="Q91" i="2"/>
  <c r="P91" i="2"/>
  <c r="O91" i="2"/>
  <c r="M91" i="2"/>
  <c r="L91" i="2"/>
  <c r="K91" i="2"/>
  <c r="D91" i="2"/>
  <c r="T90" i="2"/>
  <c r="R90" i="2"/>
  <c r="Q90" i="2"/>
  <c r="S90" i="2" s="1"/>
  <c r="P90" i="2"/>
  <c r="O90" i="2"/>
  <c r="M90" i="2"/>
  <c r="L90" i="2"/>
  <c r="K90" i="2"/>
  <c r="R89" i="2"/>
  <c r="Q89" i="2"/>
  <c r="S89" i="2" s="1"/>
  <c r="T89" i="2" s="1"/>
  <c r="P89" i="2"/>
  <c r="O89" i="2"/>
  <c r="R88" i="2"/>
  <c r="Q88" i="2"/>
  <c r="S88" i="2" s="1"/>
  <c r="T88" i="2" s="1"/>
  <c r="U88" i="2" s="1"/>
  <c r="P88" i="2"/>
  <c r="O88" i="2"/>
  <c r="U87" i="2"/>
  <c r="Q87" i="2"/>
  <c r="S87" i="2" s="1"/>
  <c r="T87" i="2" s="1"/>
  <c r="P87" i="2"/>
  <c r="O87" i="2"/>
  <c r="M87" i="2"/>
  <c r="L87" i="2"/>
  <c r="K87" i="2"/>
  <c r="R87" i="2" s="1"/>
  <c r="Q86" i="2"/>
  <c r="P86" i="2"/>
  <c r="O86" i="2"/>
  <c r="M86" i="2"/>
  <c r="L86" i="2"/>
  <c r="K86" i="2"/>
  <c r="R85" i="2"/>
  <c r="Q85" i="2"/>
  <c r="P85" i="2"/>
  <c r="O85" i="2"/>
  <c r="M85" i="2"/>
  <c r="L85" i="2"/>
  <c r="K85" i="2"/>
  <c r="Q84" i="2"/>
  <c r="P84" i="2"/>
  <c r="C499" i="8" s="1"/>
  <c r="O84" i="2"/>
  <c r="M84" i="2"/>
  <c r="L84" i="2"/>
  <c r="K84" i="2"/>
  <c r="R84" i="2" s="1"/>
  <c r="S84" i="2" s="1"/>
  <c r="T84" i="2" s="1"/>
  <c r="U84" i="2" s="1"/>
  <c r="R83" i="2"/>
  <c r="S83" i="2" s="1"/>
  <c r="T83" i="2" s="1"/>
  <c r="U83" i="2" s="1"/>
  <c r="Q83" i="2"/>
  <c r="P83" i="2"/>
  <c r="C493" i="8" s="1"/>
  <c r="O83" i="2"/>
  <c r="M83" i="2"/>
  <c r="L83" i="2"/>
  <c r="K83" i="2"/>
  <c r="R82" i="2"/>
  <c r="Q82" i="2"/>
  <c r="S82" i="2" s="1"/>
  <c r="T82" i="2" s="1"/>
  <c r="U82" i="2" s="1"/>
  <c r="P82" i="2"/>
  <c r="C491" i="8" s="1"/>
  <c r="O82" i="2"/>
  <c r="M82" i="2"/>
  <c r="L82" i="2"/>
  <c r="K82" i="2"/>
  <c r="Q81" i="2"/>
  <c r="P81" i="2"/>
  <c r="O81" i="2"/>
  <c r="M81" i="2"/>
  <c r="L81" i="2"/>
  <c r="R81" i="2" s="1"/>
  <c r="K81" i="2"/>
  <c r="Q80" i="2"/>
  <c r="P80" i="2"/>
  <c r="O80" i="2"/>
  <c r="M80" i="2"/>
  <c r="L80" i="2"/>
  <c r="K80" i="2"/>
  <c r="R80" i="2" s="1"/>
  <c r="Q79" i="2"/>
  <c r="P79" i="2"/>
  <c r="O79" i="2"/>
  <c r="M79" i="2"/>
  <c r="L79" i="2"/>
  <c r="K79" i="2"/>
  <c r="Q78" i="2"/>
  <c r="P78" i="2"/>
  <c r="O78" i="2"/>
  <c r="M78" i="2"/>
  <c r="L78" i="2"/>
  <c r="K78" i="2"/>
  <c r="R77" i="2"/>
  <c r="Q77" i="2"/>
  <c r="P77" i="2"/>
  <c r="C528" i="8" s="1"/>
  <c r="O77" i="2"/>
  <c r="M77" i="2"/>
  <c r="L77" i="2"/>
  <c r="K77" i="2"/>
  <c r="S76" i="2"/>
  <c r="T76" i="2" s="1"/>
  <c r="U76" i="2" s="1"/>
  <c r="Q76" i="2"/>
  <c r="P76" i="2"/>
  <c r="C496" i="8" s="1"/>
  <c r="O76" i="2"/>
  <c r="M76" i="2"/>
  <c r="L76" i="2"/>
  <c r="K76" i="2"/>
  <c r="R76" i="2" s="1"/>
  <c r="T75" i="2"/>
  <c r="U75" i="2" s="1"/>
  <c r="R75" i="2"/>
  <c r="Q75" i="2"/>
  <c r="S75" i="2" s="1"/>
  <c r="P75" i="2"/>
  <c r="O75" i="2"/>
  <c r="M75" i="2"/>
  <c r="L75" i="2"/>
  <c r="K75" i="2"/>
  <c r="Q74" i="2"/>
  <c r="P74" i="2"/>
  <c r="O74" i="2"/>
  <c r="M74" i="2"/>
  <c r="L74" i="2"/>
  <c r="R74" i="2" s="1"/>
  <c r="K74" i="2"/>
  <c r="D74" i="2"/>
  <c r="S73" i="2"/>
  <c r="T73" i="2" s="1"/>
  <c r="P73" i="2"/>
  <c r="O73" i="2"/>
  <c r="L73" i="2"/>
  <c r="K73" i="2"/>
  <c r="D73" i="2"/>
  <c r="Q73" i="2" s="1"/>
  <c r="M73" i="2" s="1"/>
  <c r="R73" i="2" s="1"/>
  <c r="Q72" i="2"/>
  <c r="P72" i="2"/>
  <c r="O72" i="2"/>
  <c r="M72" i="2"/>
  <c r="L72" i="2"/>
  <c r="K72" i="2"/>
  <c r="Q71" i="2"/>
  <c r="P71" i="2"/>
  <c r="O71" i="2"/>
  <c r="M71" i="2"/>
  <c r="L71" i="2"/>
  <c r="K71" i="2"/>
  <c r="R71" i="2" s="1"/>
  <c r="X70" i="2"/>
  <c r="R70" i="2"/>
  <c r="Q70" i="2"/>
  <c r="S70" i="2" s="1"/>
  <c r="T70" i="2" s="1"/>
  <c r="U70" i="2" s="1"/>
  <c r="P70" i="2"/>
  <c r="O70" i="2"/>
  <c r="X69" i="2"/>
  <c r="S69" i="2"/>
  <c r="T69" i="2" s="1"/>
  <c r="U69" i="2" s="1"/>
  <c r="R69" i="2"/>
  <c r="Q69" i="2"/>
  <c r="P69" i="2"/>
  <c r="O69" i="2"/>
  <c r="X68" i="2"/>
  <c r="R68" i="2"/>
  <c r="Q68" i="2"/>
  <c r="P68" i="2"/>
  <c r="S68" i="2" s="1"/>
  <c r="T68" i="2" s="1"/>
  <c r="U68" i="2" s="1"/>
  <c r="O68" i="2"/>
  <c r="Y67" i="2"/>
  <c r="X67" i="2"/>
  <c r="S67" i="2"/>
  <c r="T67" i="2" s="1"/>
  <c r="R67" i="2"/>
  <c r="Q67" i="2"/>
  <c r="P67" i="2"/>
  <c r="O67" i="2"/>
  <c r="M67" i="2"/>
  <c r="L67" i="2"/>
  <c r="K67" i="2"/>
  <c r="D67" i="2"/>
  <c r="Y66" i="2"/>
  <c r="X66" i="2"/>
  <c r="Q66" i="2"/>
  <c r="S66" i="2" s="1"/>
  <c r="T66" i="2" s="1"/>
  <c r="P66" i="2"/>
  <c r="O66" i="2"/>
  <c r="M66" i="2"/>
  <c r="R66" i="2" s="1"/>
  <c r="L66" i="2"/>
  <c r="K66" i="2"/>
  <c r="D66" i="2"/>
  <c r="Y65" i="2"/>
  <c r="X65" i="2"/>
  <c r="O65" i="2"/>
  <c r="L65" i="2"/>
  <c r="K65" i="2"/>
  <c r="D65" i="2"/>
  <c r="Q65" i="2" s="1"/>
  <c r="M65" i="2" s="1"/>
  <c r="R65" i="2" s="1"/>
  <c r="Q64" i="2"/>
  <c r="M64" i="2" s="1"/>
  <c r="R64" i="2" s="1"/>
  <c r="P64" i="2"/>
  <c r="O64" i="2"/>
  <c r="L64" i="2"/>
  <c r="K64" i="2"/>
  <c r="D64" i="2"/>
  <c r="Q63" i="2"/>
  <c r="P63" i="2"/>
  <c r="O63" i="2"/>
  <c r="L63" i="2"/>
  <c r="K63" i="2"/>
  <c r="D63" i="2"/>
  <c r="Q62" i="2"/>
  <c r="P62" i="2"/>
  <c r="O62" i="2"/>
  <c r="M62" i="2"/>
  <c r="L62" i="2"/>
  <c r="K62" i="2"/>
  <c r="D62" i="2"/>
  <c r="S61" i="2"/>
  <c r="T61" i="2" s="1"/>
  <c r="Q61" i="2"/>
  <c r="P61" i="2"/>
  <c r="O61" i="2"/>
  <c r="M61" i="2"/>
  <c r="R61" i="2" s="1"/>
  <c r="L61" i="2"/>
  <c r="K61" i="2"/>
  <c r="D61" i="2"/>
  <c r="O60" i="2"/>
  <c r="L60" i="2"/>
  <c r="K60" i="2"/>
  <c r="D60" i="2"/>
  <c r="Q59" i="2"/>
  <c r="P59" i="2"/>
  <c r="O59" i="2"/>
  <c r="M59" i="2"/>
  <c r="R59" i="2" s="1"/>
  <c r="S59" i="2" s="1"/>
  <c r="T59" i="2" s="1"/>
  <c r="L59" i="2"/>
  <c r="K59" i="2"/>
  <c r="D59" i="2"/>
  <c r="O58" i="2"/>
  <c r="L58" i="2"/>
  <c r="K58" i="2"/>
  <c r="D58" i="2"/>
  <c r="Q57" i="2"/>
  <c r="P57" i="2"/>
  <c r="O57" i="2"/>
  <c r="M57" i="2"/>
  <c r="L57" i="2"/>
  <c r="K57" i="2"/>
  <c r="D57" i="2"/>
  <c r="O56" i="2"/>
  <c r="L56" i="2"/>
  <c r="K56" i="2"/>
  <c r="D56" i="2"/>
  <c r="O55" i="2"/>
  <c r="L55" i="2"/>
  <c r="K55" i="2"/>
  <c r="D55" i="2"/>
  <c r="S54" i="2"/>
  <c r="T54" i="2" s="1"/>
  <c r="R54" i="2"/>
  <c r="P54" i="2"/>
  <c r="O54" i="2"/>
  <c r="L54" i="2"/>
  <c r="K54" i="2"/>
  <c r="D54" i="2"/>
  <c r="Q54" i="2" s="1"/>
  <c r="M54" i="2" s="1"/>
  <c r="Q53" i="2"/>
  <c r="P53" i="2"/>
  <c r="O53" i="2"/>
  <c r="L53" i="2"/>
  <c r="K53" i="2"/>
  <c r="D53" i="2"/>
  <c r="Q52" i="2"/>
  <c r="P52" i="2"/>
  <c r="O52" i="2"/>
  <c r="M52" i="2"/>
  <c r="L52" i="2"/>
  <c r="R52" i="2" s="1"/>
  <c r="K52" i="2"/>
  <c r="D52" i="2"/>
  <c r="Q51" i="2"/>
  <c r="P51" i="2"/>
  <c r="O51" i="2"/>
  <c r="M51" i="2"/>
  <c r="R51" i="2" s="1"/>
  <c r="S51" i="2" s="1"/>
  <c r="T51" i="2" s="1"/>
  <c r="L51" i="2"/>
  <c r="K51" i="2"/>
  <c r="D51" i="2"/>
  <c r="O50" i="2"/>
  <c r="L50" i="2"/>
  <c r="K50" i="2"/>
  <c r="D50" i="2"/>
  <c r="Q50" i="2" s="1"/>
  <c r="M50" i="2" s="1"/>
  <c r="Q49" i="2"/>
  <c r="P49" i="2"/>
  <c r="O49" i="2"/>
  <c r="M49" i="2"/>
  <c r="L49" i="2"/>
  <c r="K49" i="2"/>
  <c r="D49" i="2"/>
  <c r="S48" i="2"/>
  <c r="T48" i="2" s="1"/>
  <c r="R48" i="2"/>
  <c r="Q48" i="2"/>
  <c r="P48" i="2"/>
  <c r="O48" i="2"/>
  <c r="M48" i="2"/>
  <c r="L48" i="2"/>
  <c r="K48" i="2"/>
  <c r="D48" i="2"/>
  <c r="O47" i="2"/>
  <c r="L47" i="2"/>
  <c r="K47" i="2"/>
  <c r="D47" i="2"/>
  <c r="Q46" i="2"/>
  <c r="P46" i="2"/>
  <c r="O46" i="2"/>
  <c r="M46" i="2"/>
  <c r="R46" i="2" s="1"/>
  <c r="S46" i="2" s="1"/>
  <c r="T46" i="2" s="1"/>
  <c r="L46" i="2"/>
  <c r="K46" i="2"/>
  <c r="D46" i="2"/>
  <c r="O45" i="2"/>
  <c r="L45" i="2"/>
  <c r="K45" i="2"/>
  <c r="D45" i="2"/>
  <c r="Q44" i="2"/>
  <c r="P44" i="2"/>
  <c r="O44" i="2"/>
  <c r="L44" i="2"/>
  <c r="K44" i="2"/>
  <c r="D44" i="2"/>
  <c r="X43" i="2"/>
  <c r="Y43" i="2" s="1"/>
  <c r="Q43" i="2"/>
  <c r="O43" i="2"/>
  <c r="L43" i="2"/>
  <c r="K43" i="2"/>
  <c r="D43" i="2"/>
  <c r="P43" i="2" s="1"/>
  <c r="Y42" i="2"/>
  <c r="X42" i="2"/>
  <c r="Q42" i="2"/>
  <c r="M42" i="2" s="1"/>
  <c r="R42" i="2" s="1"/>
  <c r="P42" i="2"/>
  <c r="O42" i="2"/>
  <c r="L42" i="2"/>
  <c r="K42" i="2"/>
  <c r="D42" i="2"/>
  <c r="Y41" i="2"/>
  <c r="X41" i="2"/>
  <c r="O41" i="2"/>
  <c r="L41" i="2"/>
  <c r="K41" i="2"/>
  <c r="D41" i="2"/>
  <c r="X40" i="2"/>
  <c r="Y40" i="2" s="1"/>
  <c r="V40" i="2"/>
  <c r="R40" i="2"/>
  <c r="Q40" i="2"/>
  <c r="M40" i="2" s="1"/>
  <c r="P40" i="2"/>
  <c r="O40" i="2"/>
  <c r="L40" i="2"/>
  <c r="K40" i="2"/>
  <c r="D40" i="2"/>
  <c r="Y39" i="2"/>
  <c r="X39" i="2"/>
  <c r="O39" i="2"/>
  <c r="L39" i="2"/>
  <c r="K39" i="2"/>
  <c r="D39" i="2"/>
  <c r="Y38" i="2"/>
  <c r="X38" i="2"/>
  <c r="R38" i="2"/>
  <c r="Q38" i="2"/>
  <c r="S38" i="2" s="1"/>
  <c r="T38" i="2" s="1"/>
  <c r="U38" i="2" s="1"/>
  <c r="P38" i="2"/>
  <c r="O38" i="2"/>
  <c r="M38" i="2"/>
  <c r="L38" i="2"/>
  <c r="K38" i="2"/>
  <c r="Y37" i="2"/>
  <c r="X37" i="2"/>
  <c r="S37" i="2"/>
  <c r="T37" i="2" s="1"/>
  <c r="U37" i="2" s="1"/>
  <c r="R37" i="2"/>
  <c r="Q37" i="2"/>
  <c r="P37" i="2"/>
  <c r="O37" i="2"/>
  <c r="Y36" i="2"/>
  <c r="X36" i="2"/>
  <c r="Q36" i="2"/>
  <c r="P36" i="2"/>
  <c r="O36" i="2"/>
  <c r="M36" i="2"/>
  <c r="R36" i="2" s="1"/>
  <c r="L36" i="2"/>
  <c r="K36" i="2"/>
  <c r="Y35" i="2"/>
  <c r="X35" i="2"/>
  <c r="Q35" i="2"/>
  <c r="P35" i="2"/>
  <c r="O35" i="2"/>
  <c r="M35" i="2"/>
  <c r="L35" i="2"/>
  <c r="K35" i="2"/>
  <c r="Y34" i="2"/>
  <c r="X34" i="2"/>
  <c r="R34" i="2"/>
  <c r="S34" i="2" s="1"/>
  <c r="T34" i="2" s="1"/>
  <c r="U34" i="2" s="1"/>
  <c r="Q34" i="2"/>
  <c r="P34" i="2"/>
  <c r="O34" i="2"/>
  <c r="Y33" i="2"/>
  <c r="X33" i="2"/>
  <c r="S33" i="2"/>
  <c r="T33" i="2" s="1"/>
  <c r="U33" i="2" s="1"/>
  <c r="R33" i="2"/>
  <c r="Q33" i="2"/>
  <c r="P33" i="2"/>
  <c r="O33" i="2"/>
  <c r="R32" i="2"/>
  <c r="Q32" i="2"/>
  <c r="S32" i="2" s="1"/>
  <c r="T32" i="2" s="1"/>
  <c r="U32" i="2" s="1"/>
  <c r="P32" i="2"/>
  <c r="O32" i="2"/>
  <c r="M32" i="2"/>
  <c r="L32" i="2"/>
  <c r="K32" i="2"/>
  <c r="Q31" i="2"/>
  <c r="P31" i="2"/>
  <c r="O31" i="2"/>
  <c r="M31" i="2"/>
  <c r="L31" i="2"/>
  <c r="K31" i="2"/>
  <c r="R31" i="2" s="1"/>
  <c r="S31" i="2" s="1"/>
  <c r="T31" i="2" s="1"/>
  <c r="U31" i="2" s="1"/>
  <c r="Q30" i="2"/>
  <c r="P30" i="2"/>
  <c r="O30" i="2"/>
  <c r="M30" i="2"/>
  <c r="L30" i="2"/>
  <c r="K30" i="2"/>
  <c r="V29" i="2"/>
  <c r="R29" i="2"/>
  <c r="Q29" i="2"/>
  <c r="S29" i="2" s="1"/>
  <c r="P29" i="2"/>
  <c r="O29" i="2"/>
  <c r="N29" i="2"/>
  <c r="M29" i="2"/>
  <c r="L29" i="2"/>
  <c r="K29" i="2"/>
  <c r="Q28" i="2"/>
  <c r="P28" i="2"/>
  <c r="O28" i="2"/>
  <c r="M28" i="2"/>
  <c r="L28" i="2"/>
  <c r="K28" i="2"/>
  <c r="V27" i="2"/>
  <c r="Q27" i="2"/>
  <c r="P27" i="2"/>
  <c r="O27" i="2"/>
  <c r="N27" i="2"/>
  <c r="M27" i="2"/>
  <c r="L27" i="2"/>
  <c r="K27" i="2"/>
  <c r="R26" i="2"/>
  <c r="Q26" i="2"/>
  <c r="P26" i="2"/>
  <c r="O26" i="2"/>
  <c r="N26" i="2"/>
  <c r="M26" i="2"/>
  <c r="L26" i="2"/>
  <c r="K26" i="2"/>
  <c r="Q25" i="2"/>
  <c r="P25" i="2"/>
  <c r="O25" i="2"/>
  <c r="M25" i="2"/>
  <c r="R25" i="2" s="1"/>
  <c r="S25" i="2" s="1"/>
  <c r="L25" i="2"/>
  <c r="K25" i="2"/>
  <c r="Q24" i="2"/>
  <c r="P24" i="2"/>
  <c r="C1294" i="8" s="1"/>
  <c r="O24" i="2"/>
  <c r="M24" i="2"/>
  <c r="L24" i="2"/>
  <c r="K24" i="2"/>
  <c r="V24" i="2" s="1"/>
  <c r="Q23" i="2"/>
  <c r="P23" i="2"/>
  <c r="C1234" i="8" s="1"/>
  <c r="O23" i="2"/>
  <c r="M23" i="2"/>
  <c r="L23" i="2"/>
  <c r="K23" i="2"/>
  <c r="Q22" i="2"/>
  <c r="P22" i="2"/>
  <c r="O22" i="2"/>
  <c r="M22" i="2"/>
  <c r="R22" i="2" s="1"/>
  <c r="L22" i="2"/>
  <c r="K22" i="2"/>
  <c r="V22" i="2" s="1"/>
  <c r="V21" i="2"/>
  <c r="S21" i="2"/>
  <c r="T21" i="2" s="1"/>
  <c r="R21" i="2"/>
  <c r="Q21" i="2"/>
  <c r="P21" i="2"/>
  <c r="O21" i="2"/>
  <c r="M21" i="2"/>
  <c r="L21" i="2"/>
  <c r="K21" i="2"/>
  <c r="V20" i="2"/>
  <c r="Q20" i="2"/>
  <c r="P20" i="2"/>
  <c r="O20" i="2"/>
  <c r="N20" i="2"/>
  <c r="M20" i="2"/>
  <c r="L20" i="2"/>
  <c r="K20" i="2"/>
  <c r="V19" i="2"/>
  <c r="R19" i="2"/>
  <c r="Q19" i="2"/>
  <c r="P19" i="2"/>
  <c r="O19" i="2"/>
  <c r="M19" i="2"/>
  <c r="L19" i="2"/>
  <c r="K19" i="2"/>
  <c r="Q18" i="2"/>
  <c r="P18" i="2"/>
  <c r="O18" i="2"/>
  <c r="N18" i="2"/>
  <c r="R18" i="2" s="1"/>
  <c r="S18" i="2" s="1"/>
  <c r="T18" i="2" s="1"/>
  <c r="L18" i="2"/>
  <c r="K18" i="2"/>
  <c r="R17" i="2"/>
  <c r="Q17" i="2"/>
  <c r="P17" i="2"/>
  <c r="O17" i="2"/>
  <c r="L17" i="2"/>
  <c r="K17" i="2"/>
  <c r="Q16" i="2"/>
  <c r="P16" i="2"/>
  <c r="O16" i="2"/>
  <c r="K16" i="2"/>
  <c r="Q15" i="2"/>
  <c r="P15" i="2"/>
  <c r="O15" i="2"/>
  <c r="L15" i="2"/>
  <c r="V14" i="2"/>
  <c r="T14" i="2"/>
  <c r="S14" i="2"/>
  <c r="R14" i="2"/>
  <c r="Q14" i="2"/>
  <c r="P14" i="2"/>
  <c r="O14" i="2"/>
  <c r="M14" i="2"/>
  <c r="L14" i="2"/>
  <c r="K14" i="2"/>
  <c r="V13" i="2"/>
  <c r="T13" i="2"/>
  <c r="R13" i="2"/>
  <c r="Q13" i="2"/>
  <c r="S13" i="2" s="1"/>
  <c r="P13" i="2"/>
  <c r="O13" i="2"/>
  <c r="N13" i="2"/>
  <c r="M13" i="2"/>
  <c r="L13" i="2"/>
  <c r="V12" i="2"/>
  <c r="R12" i="2"/>
  <c r="Q12" i="2"/>
  <c r="S12" i="2" s="1"/>
  <c r="T12" i="2" s="1"/>
  <c r="P12" i="2"/>
  <c r="O12" i="2"/>
  <c r="M12" i="2"/>
  <c r="L12" i="2"/>
  <c r="K12" i="2"/>
  <c r="V11" i="2"/>
  <c r="S11" i="2"/>
  <c r="T11" i="2" s="1"/>
  <c r="R11" i="2"/>
  <c r="Q11" i="2"/>
  <c r="P11" i="2"/>
  <c r="O11" i="2"/>
  <c r="M11" i="2"/>
  <c r="L11" i="2"/>
  <c r="K11" i="2"/>
  <c r="X10" i="2"/>
  <c r="Y10" i="2" s="1"/>
  <c r="Q10" i="2"/>
  <c r="P10" i="2"/>
  <c r="O10" i="2"/>
  <c r="M10" i="2"/>
  <c r="L10" i="2"/>
  <c r="R10" i="2" s="1"/>
  <c r="S10" i="2" s="1"/>
  <c r="T10" i="2" s="1"/>
  <c r="K10" i="2"/>
  <c r="Y9" i="2"/>
  <c r="X9" i="2"/>
  <c r="S9" i="2"/>
  <c r="T9" i="2" s="1"/>
  <c r="R9" i="2"/>
  <c r="Q9" i="2"/>
  <c r="P9" i="2"/>
  <c r="O9" i="2"/>
  <c r="M9" i="2"/>
  <c r="L9" i="2"/>
  <c r="K9" i="2"/>
  <c r="Y8" i="2"/>
  <c r="X8" i="2"/>
  <c r="Y7" i="2"/>
  <c r="X7" i="2"/>
  <c r="R7" i="2"/>
  <c r="Q7" i="2"/>
  <c r="S7" i="2" s="1"/>
  <c r="T7" i="2" s="1"/>
  <c r="P7" i="2"/>
  <c r="O7" i="2"/>
  <c r="M7" i="2"/>
  <c r="L7" i="2"/>
  <c r="K7" i="2"/>
  <c r="V6" i="2"/>
  <c r="Q6" i="2"/>
  <c r="P6" i="2"/>
  <c r="O6" i="2"/>
  <c r="N6" i="2"/>
  <c r="R6" i="2" s="1"/>
  <c r="M6" i="2"/>
  <c r="L6" i="2"/>
  <c r="K6" i="2"/>
  <c r="R5" i="2"/>
  <c r="Q5" i="2"/>
  <c r="P5" i="2"/>
  <c r="O5" i="2"/>
  <c r="M5" i="2"/>
  <c r="L5" i="2"/>
  <c r="K5" i="2"/>
  <c r="S4" i="2"/>
  <c r="Q4" i="2"/>
  <c r="T4" i="2" s="1"/>
  <c r="P4" i="2"/>
  <c r="O4" i="2"/>
  <c r="M4" i="2"/>
  <c r="L4" i="2"/>
  <c r="R4" i="2" s="1"/>
  <c r="K4" i="2"/>
  <c r="N3" i="2"/>
  <c r="L3" i="2"/>
  <c r="K3" i="2"/>
  <c r="D3" i="2"/>
  <c r="H415" i="1"/>
  <c r="H414" i="1"/>
  <c r="H413" i="1"/>
  <c r="H412" i="1"/>
  <c r="H411" i="1"/>
  <c r="H410" i="1"/>
  <c r="H409" i="1"/>
  <c r="H408" i="1"/>
  <c r="H407" i="1"/>
  <c r="H406" i="1"/>
  <c r="H405" i="1"/>
  <c r="H404" i="1"/>
  <c r="H403" i="1"/>
  <c r="H402" i="1"/>
  <c r="H401" i="1"/>
  <c r="H400" i="1"/>
  <c r="E400" i="1"/>
  <c r="D400" i="1"/>
  <c r="H399" i="1"/>
  <c r="E399" i="1"/>
  <c r="D399" i="1"/>
  <c r="H398" i="1"/>
  <c r="E398" i="1"/>
  <c r="D398" i="1"/>
  <c r="H397" i="1"/>
  <c r="E397" i="1"/>
  <c r="D397" i="1"/>
  <c r="H396" i="1"/>
  <c r="E396" i="1"/>
  <c r="D396" i="1"/>
  <c r="H395" i="1"/>
  <c r="E395" i="1"/>
  <c r="D395" i="1"/>
  <c r="H394" i="1"/>
  <c r="E394" i="1"/>
  <c r="D394" i="1"/>
  <c r="H393" i="1"/>
  <c r="E393" i="1"/>
  <c r="D393" i="1"/>
  <c r="H392" i="1"/>
  <c r="E392" i="1"/>
  <c r="D392" i="1"/>
  <c r="H391" i="1"/>
  <c r="E391" i="1"/>
  <c r="D391" i="1"/>
  <c r="H390" i="1"/>
  <c r="E390" i="1"/>
  <c r="D390" i="1"/>
  <c r="H389" i="1"/>
  <c r="E389" i="1"/>
  <c r="D389" i="1"/>
  <c r="H388" i="1"/>
  <c r="E388" i="1"/>
  <c r="D388" i="1"/>
  <c r="H387" i="1"/>
  <c r="E387" i="1"/>
  <c r="D387" i="1"/>
  <c r="H386" i="1"/>
  <c r="E386" i="1"/>
  <c r="D386" i="1"/>
  <c r="H385" i="1"/>
  <c r="E385" i="1"/>
  <c r="D385" i="1"/>
  <c r="H384" i="1"/>
  <c r="E384" i="1"/>
  <c r="D384" i="1"/>
  <c r="H383" i="1"/>
  <c r="E383" i="1"/>
  <c r="D383" i="1"/>
  <c r="H382" i="1"/>
  <c r="E382" i="1"/>
  <c r="D382" i="1"/>
  <c r="H381" i="1"/>
  <c r="E381" i="1"/>
  <c r="D381" i="1"/>
  <c r="H380" i="1"/>
  <c r="E380" i="1"/>
  <c r="D380" i="1"/>
  <c r="H379" i="1"/>
  <c r="E379" i="1"/>
  <c r="D379" i="1"/>
  <c r="H378" i="1"/>
  <c r="E378" i="1"/>
  <c r="D378" i="1"/>
  <c r="H377" i="1"/>
  <c r="E377" i="1"/>
  <c r="D377" i="1"/>
  <c r="H376" i="1"/>
  <c r="E376" i="1"/>
  <c r="D376" i="1"/>
  <c r="H375" i="1"/>
  <c r="E375" i="1"/>
  <c r="D375" i="1"/>
  <c r="H374" i="1"/>
  <c r="E374" i="1"/>
  <c r="D374" i="1"/>
  <c r="H373" i="1"/>
  <c r="E373" i="1"/>
  <c r="D373" i="1"/>
  <c r="H372" i="1"/>
  <c r="E372" i="1"/>
  <c r="D372" i="1"/>
  <c r="H371" i="1"/>
  <c r="E371" i="1"/>
  <c r="D371" i="1"/>
  <c r="H370" i="1"/>
  <c r="E370" i="1"/>
  <c r="D370" i="1"/>
  <c r="H369" i="1"/>
  <c r="E369" i="1"/>
  <c r="D369" i="1"/>
  <c r="H368" i="1"/>
  <c r="E368" i="1"/>
  <c r="D368" i="1"/>
  <c r="H367" i="1"/>
  <c r="E367" i="1"/>
  <c r="D367" i="1"/>
  <c r="H366" i="1"/>
  <c r="E366" i="1"/>
  <c r="D366" i="1"/>
  <c r="H365" i="1"/>
  <c r="E365" i="1"/>
  <c r="D365" i="1"/>
  <c r="H364" i="1"/>
  <c r="E364" i="1"/>
  <c r="D364" i="1"/>
  <c r="H363" i="1"/>
  <c r="E363" i="1"/>
  <c r="D363" i="1"/>
  <c r="H362" i="1"/>
  <c r="E362" i="1"/>
  <c r="D362" i="1"/>
  <c r="H361" i="1"/>
  <c r="E361" i="1"/>
  <c r="D361" i="1"/>
  <c r="H360" i="1"/>
  <c r="E360" i="1"/>
  <c r="D360" i="1"/>
  <c r="H359" i="1"/>
  <c r="E359" i="1"/>
  <c r="D359" i="1"/>
  <c r="H358" i="1"/>
  <c r="E358" i="1"/>
  <c r="D358" i="1"/>
  <c r="H357" i="1"/>
  <c r="E357" i="1"/>
  <c r="D357" i="1"/>
  <c r="H356" i="1"/>
  <c r="E356" i="1"/>
  <c r="D356" i="1"/>
  <c r="H355" i="1"/>
  <c r="E355" i="1"/>
  <c r="D355" i="1"/>
  <c r="H354" i="1"/>
  <c r="E354" i="1"/>
  <c r="D354" i="1"/>
  <c r="H353" i="1"/>
  <c r="E353" i="1"/>
  <c r="D353" i="1"/>
  <c r="H352" i="1"/>
  <c r="E352" i="1"/>
  <c r="D352" i="1"/>
  <c r="H351" i="1"/>
  <c r="E351" i="1"/>
  <c r="D351" i="1"/>
  <c r="H350" i="1"/>
  <c r="E350" i="1"/>
  <c r="D350" i="1"/>
  <c r="H349" i="1"/>
  <c r="E349" i="1"/>
  <c r="D349" i="1"/>
  <c r="H348" i="1"/>
  <c r="E348" i="1"/>
  <c r="D348" i="1"/>
  <c r="H347" i="1"/>
  <c r="E347" i="1"/>
  <c r="D347" i="1"/>
  <c r="H346" i="1"/>
  <c r="E346" i="1"/>
  <c r="D346" i="1"/>
  <c r="H345" i="1"/>
  <c r="E345" i="1"/>
  <c r="D345" i="1"/>
  <c r="H344" i="1"/>
  <c r="E344" i="1"/>
  <c r="D344" i="1"/>
  <c r="H343" i="1"/>
  <c r="E343" i="1"/>
  <c r="D343" i="1"/>
  <c r="H342" i="1"/>
  <c r="E342" i="1"/>
  <c r="D342" i="1"/>
  <c r="H341" i="1"/>
  <c r="E341" i="1"/>
  <c r="D341" i="1"/>
  <c r="H340" i="1"/>
  <c r="E340" i="1"/>
  <c r="D340" i="1"/>
  <c r="H339" i="1"/>
  <c r="E339" i="1"/>
  <c r="D339" i="1"/>
  <c r="H338" i="1"/>
  <c r="E338" i="1"/>
  <c r="D338" i="1"/>
  <c r="H337" i="1"/>
  <c r="E337" i="1"/>
  <c r="D337" i="1"/>
  <c r="H336" i="1"/>
  <c r="E336" i="1"/>
  <c r="D336" i="1"/>
  <c r="H335" i="1"/>
  <c r="E335" i="1"/>
  <c r="D335" i="1"/>
  <c r="H334" i="1"/>
  <c r="E334" i="1"/>
  <c r="D334" i="1"/>
  <c r="H333" i="1"/>
  <c r="E333" i="1"/>
  <c r="D333" i="1"/>
  <c r="H332" i="1"/>
  <c r="E332" i="1"/>
  <c r="D332" i="1"/>
  <c r="H331" i="1"/>
  <c r="E331" i="1"/>
  <c r="D331" i="1"/>
  <c r="H330" i="1"/>
  <c r="E330" i="1"/>
  <c r="D330" i="1"/>
  <c r="H329" i="1"/>
  <c r="E329" i="1"/>
  <c r="D329" i="1"/>
  <c r="H328" i="1"/>
  <c r="E328" i="1"/>
  <c r="D328" i="1"/>
  <c r="H327" i="1"/>
  <c r="E327" i="1"/>
  <c r="D327" i="1"/>
  <c r="H326" i="1"/>
  <c r="E326" i="1"/>
  <c r="D326" i="1"/>
  <c r="H325" i="1"/>
  <c r="E325" i="1"/>
  <c r="D325" i="1"/>
  <c r="H324" i="1"/>
  <c r="E324" i="1"/>
  <c r="D324" i="1"/>
  <c r="H323" i="1"/>
  <c r="E323" i="1"/>
  <c r="D323" i="1"/>
  <c r="H322" i="1"/>
  <c r="E322" i="1"/>
  <c r="D322" i="1"/>
  <c r="H321" i="1"/>
  <c r="E321" i="1"/>
  <c r="D321" i="1"/>
  <c r="H320" i="1"/>
  <c r="E320" i="1"/>
  <c r="D320" i="1"/>
  <c r="H319" i="1"/>
  <c r="E319" i="1"/>
  <c r="D319" i="1"/>
  <c r="H318" i="1"/>
  <c r="E318" i="1"/>
  <c r="D318" i="1"/>
  <c r="H317" i="1"/>
  <c r="E317" i="1"/>
  <c r="D317" i="1"/>
  <c r="H316" i="1"/>
  <c r="E316" i="1"/>
  <c r="D316" i="1"/>
  <c r="H315" i="1"/>
  <c r="E315" i="1"/>
  <c r="D315" i="1"/>
  <c r="H314" i="1"/>
  <c r="E314" i="1"/>
  <c r="D314" i="1"/>
  <c r="H313" i="1"/>
  <c r="E313" i="1"/>
  <c r="D313" i="1"/>
  <c r="H312" i="1"/>
  <c r="E312" i="1"/>
  <c r="D312" i="1"/>
  <c r="H311" i="1"/>
  <c r="E311" i="1"/>
  <c r="D311" i="1"/>
  <c r="H310" i="1"/>
  <c r="E310" i="1"/>
  <c r="D310" i="1"/>
  <c r="H309" i="1"/>
  <c r="E309" i="1"/>
  <c r="D309" i="1"/>
  <c r="H308" i="1"/>
  <c r="E308" i="1"/>
  <c r="D308" i="1"/>
  <c r="H307" i="1"/>
  <c r="E307" i="1"/>
  <c r="D307" i="1"/>
  <c r="H306" i="1"/>
  <c r="E306" i="1"/>
  <c r="D306" i="1"/>
  <c r="H305" i="1"/>
  <c r="E305" i="1"/>
  <c r="D305" i="1"/>
  <c r="H304" i="1"/>
  <c r="E304" i="1"/>
  <c r="D304" i="1"/>
  <c r="H303" i="1"/>
  <c r="E303" i="1"/>
  <c r="D303" i="1"/>
  <c r="H302" i="1"/>
  <c r="E302" i="1"/>
  <c r="D302" i="1"/>
  <c r="H301" i="1"/>
  <c r="E301" i="1"/>
  <c r="D301" i="1"/>
  <c r="H300" i="1"/>
  <c r="E300" i="1"/>
  <c r="D300" i="1"/>
  <c r="H299" i="1"/>
  <c r="E299" i="1"/>
  <c r="D299" i="1"/>
  <c r="H298" i="1"/>
  <c r="E298" i="1"/>
  <c r="D298" i="1"/>
  <c r="H297" i="1"/>
  <c r="E297" i="1"/>
  <c r="D297" i="1"/>
  <c r="H296" i="1"/>
  <c r="E296" i="1"/>
  <c r="D296" i="1"/>
  <c r="H295" i="1"/>
  <c r="E295" i="1"/>
  <c r="D295" i="1"/>
  <c r="H294" i="1"/>
  <c r="E294" i="1"/>
  <c r="D294" i="1"/>
  <c r="H293" i="1"/>
  <c r="E293" i="1"/>
  <c r="D293" i="1"/>
  <c r="H292" i="1"/>
  <c r="E292" i="1"/>
  <c r="D292" i="1"/>
  <c r="H291" i="1"/>
  <c r="E291" i="1"/>
  <c r="D291" i="1"/>
  <c r="H290" i="1"/>
  <c r="E290" i="1"/>
  <c r="D290" i="1"/>
  <c r="H289" i="1"/>
  <c r="E289" i="1"/>
  <c r="D289" i="1"/>
  <c r="H288" i="1"/>
  <c r="E288" i="1"/>
  <c r="D288" i="1"/>
  <c r="H287" i="1"/>
  <c r="E287" i="1"/>
  <c r="D287" i="1"/>
  <c r="H286" i="1"/>
  <c r="E286" i="1"/>
  <c r="D286" i="1"/>
  <c r="H285" i="1"/>
  <c r="E285" i="1"/>
  <c r="D285" i="1"/>
  <c r="H284" i="1"/>
  <c r="E284" i="1"/>
  <c r="D284" i="1"/>
  <c r="H283" i="1"/>
  <c r="E283" i="1"/>
  <c r="D283" i="1"/>
  <c r="H282" i="1"/>
  <c r="E282" i="1"/>
  <c r="D282" i="1"/>
  <c r="H281" i="1"/>
  <c r="E281" i="1"/>
  <c r="D281" i="1"/>
  <c r="H280" i="1"/>
  <c r="E280" i="1"/>
  <c r="D280" i="1"/>
  <c r="H279" i="1"/>
  <c r="E279" i="1"/>
  <c r="D279" i="1"/>
  <c r="H278" i="1"/>
  <c r="E278" i="1"/>
  <c r="D278" i="1"/>
  <c r="H277" i="1"/>
  <c r="E277" i="1"/>
  <c r="D277" i="1"/>
  <c r="H276" i="1"/>
  <c r="E276" i="1"/>
  <c r="D276" i="1"/>
  <c r="H275" i="1"/>
  <c r="E275" i="1"/>
  <c r="D275" i="1"/>
  <c r="H274" i="1"/>
  <c r="E274" i="1"/>
  <c r="D274" i="1"/>
  <c r="H273" i="1"/>
  <c r="E273" i="1"/>
  <c r="D273" i="1"/>
  <c r="H272" i="1"/>
  <c r="E272" i="1"/>
  <c r="D272" i="1"/>
  <c r="H271" i="1"/>
  <c r="E271" i="1"/>
  <c r="D271" i="1"/>
  <c r="H270" i="1"/>
  <c r="E270" i="1"/>
  <c r="D270" i="1"/>
  <c r="H269" i="1"/>
  <c r="E269" i="1"/>
  <c r="D269" i="1"/>
  <c r="H268" i="1"/>
  <c r="E268" i="1"/>
  <c r="D268" i="1"/>
  <c r="H267" i="1"/>
  <c r="E267" i="1"/>
  <c r="D267" i="1"/>
  <c r="H266" i="1"/>
  <c r="E266" i="1"/>
  <c r="D266" i="1"/>
  <c r="H265" i="1"/>
  <c r="E265" i="1"/>
  <c r="D265" i="1"/>
  <c r="H264" i="1"/>
  <c r="E264" i="1"/>
  <c r="D264" i="1"/>
  <c r="H263" i="1"/>
  <c r="D263" i="1"/>
  <c r="H262" i="1"/>
  <c r="E262" i="1"/>
  <c r="D262" i="1"/>
  <c r="H261" i="1"/>
  <c r="E261" i="1"/>
  <c r="D261" i="1"/>
  <c r="H260" i="1"/>
  <c r="E260" i="1"/>
  <c r="D260" i="1"/>
  <c r="H259" i="1"/>
  <c r="E259" i="1"/>
  <c r="D259" i="1"/>
  <c r="H258" i="1"/>
  <c r="E258" i="1"/>
  <c r="D258" i="1"/>
  <c r="H257" i="1"/>
  <c r="D257" i="1"/>
  <c r="H256" i="1"/>
  <c r="E256" i="1"/>
  <c r="D256" i="1"/>
  <c r="H255" i="1"/>
  <c r="E255" i="1"/>
  <c r="D255" i="1"/>
  <c r="H254" i="1"/>
  <c r="E254" i="1"/>
  <c r="D254" i="1"/>
  <c r="H253" i="1"/>
  <c r="E253" i="1"/>
  <c r="D253" i="1"/>
  <c r="H252" i="1"/>
  <c r="E252" i="1"/>
  <c r="D252" i="1"/>
  <c r="V251" i="1"/>
  <c r="H251" i="1"/>
  <c r="E251" i="1"/>
  <c r="D251" i="1"/>
  <c r="V250" i="1"/>
  <c r="H250" i="1"/>
  <c r="E250" i="1"/>
  <c r="D250" i="1"/>
  <c r="V249" i="1"/>
  <c r="H249" i="1"/>
  <c r="E249" i="1"/>
  <c r="D249" i="1"/>
  <c r="H248" i="1"/>
  <c r="E248" i="1"/>
  <c r="D248" i="1"/>
  <c r="V247" i="1"/>
  <c r="H247" i="1"/>
  <c r="E247" i="1"/>
  <c r="D247" i="1"/>
  <c r="V246" i="1"/>
  <c r="H246" i="1"/>
  <c r="E246" i="1"/>
  <c r="D246" i="1"/>
  <c r="V245" i="1"/>
  <c r="H245" i="1"/>
  <c r="E245" i="1"/>
  <c r="D245" i="1"/>
  <c r="V244" i="1"/>
  <c r="H244" i="1"/>
  <c r="E244" i="1"/>
  <c r="D244" i="1"/>
  <c r="V243" i="1"/>
  <c r="E210" i="1" s="1"/>
  <c r="H243" i="1"/>
  <c r="E243" i="1"/>
  <c r="D243" i="1"/>
  <c r="V242" i="1"/>
  <c r="H242" i="1"/>
  <c r="E242" i="1"/>
  <c r="D242" i="1"/>
  <c r="V241" i="1"/>
  <c r="H241" i="1"/>
  <c r="E241" i="1"/>
  <c r="D241" i="1"/>
  <c r="V240" i="1"/>
  <c r="H240" i="1"/>
  <c r="E240" i="1"/>
  <c r="D240" i="1"/>
  <c r="V239" i="1"/>
  <c r="E209" i="1" s="1"/>
  <c r="H239" i="1"/>
  <c r="E239" i="1"/>
  <c r="D239" i="1"/>
  <c r="V238" i="1"/>
  <c r="H238" i="1"/>
  <c r="E238" i="1"/>
  <c r="D238" i="1"/>
  <c r="V237" i="1"/>
  <c r="H237" i="1"/>
  <c r="E237" i="1"/>
  <c r="D237" i="1"/>
  <c r="H236" i="1"/>
  <c r="E236" i="1"/>
  <c r="D236" i="1"/>
  <c r="H235" i="1"/>
  <c r="E235" i="1"/>
  <c r="D235" i="1"/>
  <c r="H234" i="1"/>
  <c r="E234" i="1"/>
  <c r="D234" i="1"/>
  <c r="H233" i="1"/>
  <c r="E233" i="1"/>
  <c r="D233" i="1"/>
  <c r="H232" i="1"/>
  <c r="E232" i="1"/>
  <c r="D232" i="1"/>
  <c r="V231" i="1"/>
  <c r="H231" i="1"/>
  <c r="E231" i="1"/>
  <c r="D231" i="1"/>
  <c r="V230" i="1"/>
  <c r="H230" i="1"/>
  <c r="E230" i="1"/>
  <c r="D230" i="1"/>
  <c r="V229" i="1"/>
  <c r="H229" i="1"/>
  <c r="E229" i="1"/>
  <c r="D229" i="1"/>
  <c r="V228" i="1"/>
  <c r="H228" i="1"/>
  <c r="E228" i="1"/>
  <c r="D228" i="1"/>
  <c r="V227" i="1"/>
  <c r="H227" i="1"/>
  <c r="E227" i="1"/>
  <c r="D227" i="1"/>
  <c r="V226" i="1"/>
  <c r="D42" i="1" s="1"/>
  <c r="H226" i="1"/>
  <c r="E226" i="1"/>
  <c r="D226" i="1"/>
  <c r="V225" i="1"/>
  <c r="H225" i="1"/>
  <c r="E225" i="1"/>
  <c r="D225" i="1"/>
  <c r="V224" i="1"/>
  <c r="H224" i="1"/>
  <c r="E224" i="1"/>
  <c r="D224" i="1"/>
  <c r="V223" i="1"/>
  <c r="H223" i="1"/>
  <c r="E223" i="1"/>
  <c r="D223" i="1"/>
  <c r="V222" i="1"/>
  <c r="H222" i="1"/>
  <c r="E222" i="1"/>
  <c r="D222" i="1"/>
  <c r="V221" i="1"/>
  <c r="H221" i="1"/>
  <c r="E221" i="1"/>
  <c r="D221" i="1"/>
  <c r="V220" i="1"/>
  <c r="H220" i="1"/>
  <c r="E220" i="1"/>
  <c r="D220" i="1"/>
  <c r="V219" i="1"/>
  <c r="H219" i="1"/>
  <c r="E219" i="1"/>
  <c r="D219" i="1"/>
  <c r="V218" i="1"/>
  <c r="H218" i="1"/>
  <c r="E218" i="1"/>
  <c r="D218" i="1"/>
  <c r="V217" i="1"/>
  <c r="H217" i="1"/>
  <c r="E217" i="1"/>
  <c r="D217" i="1"/>
  <c r="V216" i="1"/>
  <c r="D38" i="1" s="1"/>
  <c r="H216" i="1"/>
  <c r="E216" i="1"/>
  <c r="D216" i="1"/>
  <c r="V215" i="1"/>
  <c r="D35" i="1" s="1"/>
  <c r="H215" i="1"/>
  <c r="E215" i="1"/>
  <c r="D215" i="1"/>
  <c r="H214" i="1"/>
  <c r="E214" i="1"/>
  <c r="D214" i="1"/>
  <c r="V213" i="1"/>
  <c r="E67" i="1" s="1"/>
  <c r="H213" i="1"/>
  <c r="E213" i="1"/>
  <c r="D213" i="1"/>
  <c r="H212" i="1"/>
  <c r="E212" i="1"/>
  <c r="D212" i="1"/>
  <c r="V211" i="1"/>
  <c r="D33" i="1" s="1"/>
  <c r="H211" i="1"/>
  <c r="E211" i="1"/>
  <c r="D211" i="1"/>
  <c r="V210" i="1"/>
  <c r="H210" i="1"/>
  <c r="D210" i="1"/>
  <c r="V209" i="1"/>
  <c r="H209" i="1"/>
  <c r="D209" i="1"/>
  <c r="V208" i="1"/>
  <c r="H208" i="1"/>
  <c r="E208" i="1"/>
  <c r="D208" i="1"/>
  <c r="V207" i="1"/>
  <c r="H207" i="1"/>
  <c r="E207" i="1"/>
  <c r="D207" i="1"/>
  <c r="V206" i="1"/>
  <c r="H206" i="1"/>
  <c r="E206" i="1"/>
  <c r="D206" i="1"/>
  <c r="V205" i="1"/>
  <c r="H205" i="1"/>
  <c r="E205" i="1"/>
  <c r="D205" i="1"/>
  <c r="V204" i="1"/>
  <c r="H204" i="1"/>
  <c r="E204" i="1"/>
  <c r="D204" i="1"/>
  <c r="V203" i="1"/>
  <c r="H203" i="1"/>
  <c r="E203" i="1"/>
  <c r="D203" i="1"/>
  <c r="V202" i="1"/>
  <c r="H202" i="1"/>
  <c r="E202" i="1"/>
  <c r="D202" i="1"/>
  <c r="V201" i="1"/>
  <c r="H201" i="1"/>
  <c r="E201" i="1"/>
  <c r="D201" i="1"/>
  <c r="V200" i="1"/>
  <c r="H200" i="1"/>
  <c r="E200" i="1"/>
  <c r="D200" i="1"/>
  <c r="V199" i="1"/>
  <c r="H199" i="1"/>
  <c r="E199" i="1"/>
  <c r="D199" i="1"/>
  <c r="V198" i="1"/>
  <c r="H198" i="1"/>
  <c r="E198" i="1"/>
  <c r="D198" i="1"/>
  <c r="V197" i="1"/>
  <c r="H197" i="1"/>
  <c r="E197" i="1"/>
  <c r="D197" i="1"/>
  <c r="V196" i="1"/>
  <c r="H196" i="1"/>
  <c r="E196" i="1"/>
  <c r="D196" i="1"/>
  <c r="V195" i="1"/>
  <c r="H195" i="1"/>
  <c r="E195" i="1"/>
  <c r="D195" i="1"/>
  <c r="V194" i="1"/>
  <c r="E32" i="1" s="1"/>
  <c r="H194" i="1"/>
  <c r="E194" i="1"/>
  <c r="D194" i="1"/>
  <c r="V193" i="1"/>
  <c r="H193" i="1"/>
  <c r="E193" i="1"/>
  <c r="D193" i="1"/>
  <c r="V192" i="1"/>
  <c r="H192" i="1"/>
  <c r="E192" i="1"/>
  <c r="D192" i="1"/>
  <c r="V191" i="1"/>
  <c r="H191" i="1"/>
  <c r="E191" i="1"/>
  <c r="D191" i="1"/>
  <c r="V190" i="1"/>
  <c r="H190" i="1"/>
  <c r="E190" i="1"/>
  <c r="D190" i="1"/>
  <c r="V189" i="1"/>
  <c r="H189" i="1"/>
  <c r="E189" i="1"/>
  <c r="D189" i="1"/>
  <c r="V188" i="1"/>
  <c r="H188" i="1"/>
  <c r="E188" i="1"/>
  <c r="D188" i="1"/>
  <c r="V187" i="1"/>
  <c r="H187" i="1"/>
  <c r="E187" i="1"/>
  <c r="D187" i="1"/>
  <c r="V186" i="1"/>
  <c r="H186" i="1"/>
  <c r="E186" i="1"/>
  <c r="D186" i="1"/>
  <c r="V185" i="1"/>
  <c r="H185" i="1"/>
  <c r="E185" i="1"/>
  <c r="D185" i="1"/>
  <c r="V184" i="1"/>
  <c r="H184" i="1"/>
  <c r="E184" i="1"/>
  <c r="D184" i="1"/>
  <c r="V183" i="1"/>
  <c r="H183" i="1"/>
  <c r="E183" i="1"/>
  <c r="D183" i="1"/>
  <c r="V182" i="1"/>
  <c r="H182" i="1"/>
  <c r="E182" i="1"/>
  <c r="D182" i="1"/>
  <c r="V181" i="1"/>
  <c r="H181" i="1"/>
  <c r="E181" i="1"/>
  <c r="D181" i="1"/>
  <c r="V180" i="1"/>
  <c r="H180" i="1"/>
  <c r="E180" i="1"/>
  <c r="D180" i="1"/>
  <c r="V179" i="1"/>
  <c r="H179" i="1"/>
  <c r="E179" i="1"/>
  <c r="D179" i="1"/>
  <c r="V178" i="1"/>
  <c r="E24" i="1" s="1"/>
  <c r="H178" i="1"/>
  <c r="E178" i="1"/>
  <c r="D178" i="1"/>
  <c r="V177" i="1"/>
  <c r="H177" i="1"/>
  <c r="E177" i="1"/>
  <c r="D177" i="1"/>
  <c r="V176" i="1"/>
  <c r="H176" i="1"/>
  <c r="E176" i="1"/>
  <c r="D176" i="1"/>
  <c r="V175" i="1"/>
  <c r="H175" i="1"/>
  <c r="E175" i="1"/>
  <c r="D175" i="1"/>
  <c r="V174" i="1"/>
  <c r="H174" i="1"/>
  <c r="E174" i="1"/>
  <c r="D174" i="1"/>
  <c r="V173" i="1"/>
  <c r="H173" i="1"/>
  <c r="E173" i="1"/>
  <c r="D173" i="1"/>
  <c r="V172" i="1"/>
  <c r="H172" i="1"/>
  <c r="E172" i="1"/>
  <c r="D172" i="1"/>
  <c r="V171" i="1"/>
  <c r="H171" i="1"/>
  <c r="E171" i="1"/>
  <c r="D171" i="1"/>
  <c r="V170" i="1"/>
  <c r="H170" i="1"/>
  <c r="E170" i="1"/>
  <c r="D170" i="1"/>
  <c r="V169" i="1"/>
  <c r="H169" i="1"/>
  <c r="E169" i="1"/>
  <c r="D169" i="1"/>
  <c r="V168" i="1"/>
  <c r="H168" i="1"/>
  <c r="E168" i="1"/>
  <c r="D168" i="1"/>
  <c r="V167" i="1"/>
  <c r="H167" i="1"/>
  <c r="E167" i="1"/>
  <c r="D167" i="1"/>
  <c r="V166" i="1"/>
  <c r="H166" i="1"/>
  <c r="E166" i="1"/>
  <c r="D166" i="1"/>
  <c r="V165" i="1"/>
  <c r="H165" i="1"/>
  <c r="E165" i="1"/>
  <c r="D165" i="1"/>
  <c r="V164" i="1"/>
  <c r="H164" i="1"/>
  <c r="E164" i="1"/>
  <c r="D164" i="1"/>
  <c r="V163" i="1"/>
  <c r="H163" i="1"/>
  <c r="E163" i="1"/>
  <c r="D163" i="1"/>
  <c r="V162" i="1"/>
  <c r="H162" i="1"/>
  <c r="E162" i="1"/>
  <c r="D162" i="1"/>
  <c r="V161" i="1"/>
  <c r="H161" i="1"/>
  <c r="E161" i="1"/>
  <c r="D161" i="1"/>
  <c r="V160" i="1"/>
  <c r="H160" i="1"/>
  <c r="E160" i="1"/>
  <c r="D160" i="1"/>
  <c r="V159" i="1"/>
  <c r="H159" i="1"/>
  <c r="E159" i="1"/>
  <c r="D159" i="1"/>
  <c r="V158" i="1"/>
  <c r="H158" i="1"/>
  <c r="E158" i="1"/>
  <c r="D158" i="1"/>
  <c r="V157" i="1"/>
  <c r="H157" i="1"/>
  <c r="E157" i="1"/>
  <c r="D157" i="1"/>
  <c r="V156" i="1"/>
  <c r="H156" i="1"/>
  <c r="E156" i="1"/>
  <c r="D156" i="1"/>
  <c r="V155" i="1"/>
  <c r="H155" i="1"/>
  <c r="E155" i="1"/>
  <c r="D155" i="1"/>
  <c r="V154" i="1"/>
  <c r="H154" i="1"/>
  <c r="E154" i="1"/>
  <c r="D154" i="1"/>
  <c r="V153" i="1"/>
  <c r="H153" i="1"/>
  <c r="E153" i="1"/>
  <c r="D153" i="1"/>
  <c r="V152" i="1"/>
  <c r="H152" i="1"/>
  <c r="E152" i="1"/>
  <c r="D152" i="1"/>
  <c r="V151" i="1"/>
  <c r="H151" i="1"/>
  <c r="E151" i="1"/>
  <c r="D151" i="1"/>
  <c r="V150" i="1"/>
  <c r="H150" i="1"/>
  <c r="E150" i="1"/>
  <c r="D150" i="1"/>
  <c r="V149" i="1"/>
  <c r="E19" i="1" s="1"/>
  <c r="H149" i="1"/>
  <c r="E149" i="1"/>
  <c r="D149" i="1"/>
  <c r="V148" i="1"/>
  <c r="H148" i="1"/>
  <c r="E148" i="1"/>
  <c r="D148" i="1"/>
  <c r="V147" i="1"/>
  <c r="H147" i="1"/>
  <c r="E147" i="1"/>
  <c r="D147" i="1"/>
  <c r="V146" i="1"/>
  <c r="H146" i="1"/>
  <c r="E146" i="1"/>
  <c r="D146" i="1"/>
  <c r="V145" i="1"/>
  <c r="H145" i="1"/>
  <c r="E145" i="1"/>
  <c r="D145" i="1"/>
  <c r="V144" i="1"/>
  <c r="H144" i="1"/>
  <c r="E144" i="1"/>
  <c r="D144" i="1"/>
  <c r="V143" i="1"/>
  <c r="H143" i="1"/>
  <c r="E143" i="1"/>
  <c r="D143" i="1"/>
  <c r="V142" i="1"/>
  <c r="H142" i="1"/>
  <c r="E142" i="1"/>
  <c r="D142" i="1"/>
  <c r="V141" i="1"/>
  <c r="H141" i="1"/>
  <c r="E141" i="1"/>
  <c r="D141" i="1"/>
  <c r="V140" i="1"/>
  <c r="H140" i="1"/>
  <c r="V139" i="1"/>
  <c r="H139" i="1"/>
  <c r="E139" i="1"/>
  <c r="D139" i="1"/>
  <c r="V138" i="1"/>
  <c r="H138" i="1"/>
  <c r="E138" i="1"/>
  <c r="D138" i="1"/>
  <c r="V137" i="1"/>
  <c r="H137" i="1"/>
  <c r="E137" i="1"/>
  <c r="D137" i="1"/>
  <c r="V136" i="1"/>
  <c r="D12" i="1" s="1"/>
  <c r="H136" i="1"/>
  <c r="E136" i="1"/>
  <c r="D136" i="1"/>
  <c r="V135" i="1"/>
  <c r="H135" i="1"/>
  <c r="E135" i="1"/>
  <c r="D135" i="1"/>
  <c r="V134" i="1"/>
  <c r="H134" i="1"/>
  <c r="E134" i="1"/>
  <c r="D134" i="1"/>
  <c r="V133" i="1"/>
  <c r="H133" i="1"/>
  <c r="E133" i="1"/>
  <c r="D133" i="1"/>
  <c r="V132" i="1"/>
  <c r="E125" i="1" s="1"/>
  <c r="H132" i="1"/>
  <c r="E132" i="1"/>
  <c r="V131" i="1"/>
  <c r="H131" i="1"/>
  <c r="E131" i="1"/>
  <c r="D131" i="1"/>
  <c r="V130" i="1"/>
  <c r="H130" i="1"/>
  <c r="E130" i="1"/>
  <c r="V129" i="1"/>
  <c r="H129" i="1"/>
  <c r="E129" i="1"/>
  <c r="D129" i="1"/>
  <c r="V128" i="1"/>
  <c r="H128" i="1"/>
  <c r="E128" i="1"/>
  <c r="D128" i="1"/>
  <c r="V127" i="1"/>
  <c r="H127" i="1"/>
  <c r="E127" i="1"/>
  <c r="D127" i="1"/>
  <c r="V126" i="1"/>
  <c r="H126" i="1"/>
  <c r="E126" i="1"/>
  <c r="D126" i="1"/>
  <c r="V125" i="1"/>
  <c r="H125" i="1"/>
  <c r="D125" i="1"/>
  <c r="V124" i="1"/>
  <c r="E18" i="1" s="1"/>
  <c r="H124" i="1"/>
  <c r="E124" i="1"/>
  <c r="D124" i="1"/>
  <c r="V123" i="1"/>
  <c r="D10" i="1" s="1"/>
  <c r="H123" i="1"/>
  <c r="E123" i="1"/>
  <c r="D123" i="1"/>
  <c r="V122" i="1"/>
  <c r="H122" i="1"/>
  <c r="E122" i="1"/>
  <c r="V121" i="1"/>
  <c r="H121" i="1"/>
  <c r="E121" i="1"/>
  <c r="D121" i="1"/>
  <c r="V120" i="1"/>
  <c r="H120" i="1"/>
  <c r="E120" i="1"/>
  <c r="D120" i="1"/>
  <c r="V119" i="1"/>
  <c r="H119" i="1"/>
  <c r="V118" i="1"/>
  <c r="H118" i="1"/>
  <c r="E118" i="1"/>
  <c r="V117" i="1"/>
  <c r="H117" i="1"/>
  <c r="E117" i="1"/>
  <c r="V116" i="1"/>
  <c r="H116" i="1"/>
  <c r="E116" i="1"/>
  <c r="D116" i="1"/>
  <c r="V115" i="1"/>
  <c r="H115" i="1"/>
  <c r="E115" i="1"/>
  <c r="D115" i="1"/>
  <c r="V114" i="1"/>
  <c r="E20" i="1" s="1"/>
  <c r="H114" i="1"/>
  <c r="E114" i="1"/>
  <c r="D114" i="1"/>
  <c r="V113" i="1"/>
  <c r="H113" i="1"/>
  <c r="E113" i="1"/>
  <c r="D113" i="1"/>
  <c r="V112" i="1"/>
  <c r="H112" i="1"/>
  <c r="D112" i="1"/>
  <c r="V111" i="1"/>
  <c r="H111" i="1"/>
  <c r="E111" i="1"/>
  <c r="D111" i="1"/>
  <c r="V110" i="1"/>
  <c r="E10" i="1" s="1"/>
  <c r="H110" i="1"/>
  <c r="E110" i="1"/>
  <c r="D110" i="1"/>
  <c r="V109" i="1"/>
  <c r="H109" i="1"/>
  <c r="E109" i="1"/>
  <c r="D109" i="1"/>
  <c r="V108" i="1"/>
  <c r="H108" i="1"/>
  <c r="E108" i="1"/>
  <c r="D108" i="1"/>
  <c r="V107" i="1"/>
  <c r="H107" i="1"/>
  <c r="E107" i="1"/>
  <c r="D107" i="1"/>
  <c r="V106" i="1"/>
  <c r="E13" i="1" s="1"/>
  <c r="H106" i="1"/>
  <c r="E106" i="1"/>
  <c r="D106" i="1"/>
  <c r="V105" i="1"/>
  <c r="H105" i="1"/>
  <c r="E105" i="1"/>
  <c r="D105" i="1"/>
  <c r="V104" i="1"/>
  <c r="H104" i="1"/>
  <c r="E104" i="1"/>
  <c r="D104" i="1"/>
  <c r="V103" i="1"/>
  <c r="H103" i="1"/>
  <c r="E103" i="1"/>
  <c r="D103" i="1"/>
  <c r="V102" i="1"/>
  <c r="E34" i="1" s="1"/>
  <c r="H102" i="1"/>
  <c r="E102" i="1"/>
  <c r="D102" i="1"/>
  <c r="V101" i="1"/>
  <c r="H101" i="1"/>
  <c r="E101" i="1"/>
  <c r="D101" i="1"/>
  <c r="V100" i="1"/>
  <c r="H100" i="1"/>
  <c r="E100" i="1"/>
  <c r="D100" i="1"/>
  <c r="H99" i="1"/>
  <c r="E99" i="1"/>
  <c r="D99" i="1"/>
  <c r="H98" i="1"/>
  <c r="E98" i="1"/>
  <c r="D98" i="1"/>
  <c r="H97" i="1"/>
  <c r="E97" i="1"/>
  <c r="D97" i="1"/>
  <c r="H96" i="1"/>
  <c r="E96" i="1"/>
  <c r="D96" i="1"/>
  <c r="H95" i="1"/>
  <c r="E95" i="1"/>
  <c r="D95" i="1"/>
  <c r="H94" i="1"/>
  <c r="E94" i="1"/>
  <c r="H93" i="1"/>
  <c r="E93" i="1"/>
  <c r="D93" i="1"/>
  <c r="H92" i="1"/>
  <c r="E92" i="1"/>
  <c r="D92" i="1"/>
  <c r="H91" i="1"/>
  <c r="E91" i="1"/>
  <c r="D91" i="1"/>
  <c r="H90" i="1"/>
  <c r="E90" i="1"/>
  <c r="D90" i="1"/>
  <c r="H89" i="1"/>
  <c r="E89" i="1"/>
  <c r="D89" i="1"/>
  <c r="H88" i="1"/>
  <c r="E88" i="1"/>
  <c r="D88" i="1"/>
  <c r="H87" i="1"/>
  <c r="E87" i="1"/>
  <c r="D87" i="1"/>
  <c r="H86" i="1"/>
  <c r="E86" i="1"/>
  <c r="D86" i="1"/>
  <c r="H85" i="1"/>
  <c r="E85" i="1"/>
  <c r="D85" i="1"/>
  <c r="H84" i="1"/>
  <c r="E84" i="1"/>
  <c r="D84" i="1"/>
  <c r="H83" i="1"/>
  <c r="E83" i="1"/>
  <c r="D83" i="1"/>
  <c r="H82" i="1"/>
  <c r="E82" i="1"/>
  <c r="D82" i="1"/>
  <c r="H81" i="1"/>
  <c r="E81" i="1"/>
  <c r="D81" i="1"/>
  <c r="H80" i="1"/>
  <c r="E80" i="1"/>
  <c r="H79" i="1"/>
  <c r="E79" i="1"/>
  <c r="D79" i="1"/>
  <c r="H78" i="1"/>
  <c r="E78" i="1"/>
  <c r="D78" i="1"/>
  <c r="H77" i="1"/>
  <c r="E77" i="1"/>
  <c r="D77" i="1"/>
  <c r="H76" i="1"/>
  <c r="E76" i="1"/>
  <c r="D76" i="1"/>
  <c r="H75" i="1"/>
  <c r="E75" i="1"/>
  <c r="D75" i="1"/>
  <c r="H74" i="1"/>
  <c r="E74" i="1"/>
  <c r="D74" i="1"/>
  <c r="H73" i="1"/>
  <c r="E73" i="1"/>
  <c r="D73" i="1"/>
  <c r="H72" i="1"/>
  <c r="E72" i="1"/>
  <c r="D72" i="1"/>
  <c r="H71" i="1"/>
  <c r="E71" i="1"/>
  <c r="D71" i="1"/>
  <c r="H70" i="1"/>
  <c r="E70" i="1"/>
  <c r="D70" i="1"/>
  <c r="H69" i="1"/>
  <c r="E69" i="1"/>
  <c r="D69" i="1"/>
  <c r="H68" i="1"/>
  <c r="E68" i="1"/>
  <c r="D68" i="1"/>
  <c r="H67" i="1"/>
  <c r="D67" i="1"/>
  <c r="H66" i="1"/>
  <c r="E66" i="1"/>
  <c r="D66" i="1"/>
  <c r="V65" i="1"/>
  <c r="H65" i="1"/>
  <c r="E65" i="1"/>
  <c r="D65" i="1"/>
  <c r="V64" i="1"/>
  <c r="H64" i="1"/>
  <c r="E64" i="1"/>
  <c r="D64" i="1"/>
  <c r="V63" i="1"/>
  <c r="D140" i="1" s="1"/>
  <c r="H63" i="1"/>
  <c r="E63" i="1"/>
  <c r="D63" i="1"/>
  <c r="V62" i="1"/>
  <c r="D132" i="1" s="1"/>
  <c r="H62" i="1"/>
  <c r="E62" i="1"/>
  <c r="D62" i="1"/>
  <c r="V61" i="1"/>
  <c r="H61" i="1"/>
  <c r="E61" i="1"/>
  <c r="V60" i="1"/>
  <c r="H60" i="1"/>
  <c r="E60" i="1"/>
  <c r="D60" i="1"/>
  <c r="V59" i="1"/>
  <c r="H59" i="1"/>
  <c r="E59" i="1"/>
  <c r="D59" i="1"/>
  <c r="V58" i="1"/>
  <c r="H58" i="1"/>
  <c r="E58" i="1"/>
  <c r="D58" i="1"/>
  <c r="V57" i="1"/>
  <c r="H57" i="1"/>
  <c r="E57" i="1"/>
  <c r="D57" i="1"/>
  <c r="V56" i="1"/>
  <c r="H56" i="1"/>
  <c r="E56" i="1"/>
  <c r="D56" i="1"/>
  <c r="V55" i="1"/>
  <c r="H55" i="1"/>
  <c r="E55" i="1"/>
  <c r="V54" i="1"/>
  <c r="H54" i="1"/>
  <c r="E54" i="1"/>
  <c r="D54" i="1"/>
  <c r="V53" i="1"/>
  <c r="H53" i="1"/>
  <c r="E53" i="1"/>
  <c r="D53" i="1"/>
  <c r="V52" i="1"/>
  <c r="H52" i="1"/>
  <c r="E52" i="1"/>
  <c r="D52" i="1"/>
  <c r="V51" i="1"/>
  <c r="E263" i="1" s="1"/>
  <c r="H51" i="1"/>
  <c r="E51" i="1"/>
  <c r="D51" i="1"/>
  <c r="V50" i="1"/>
  <c r="H50" i="1"/>
  <c r="E50" i="1"/>
  <c r="D50" i="1"/>
  <c r="V49" i="1"/>
  <c r="H49" i="1"/>
  <c r="E49" i="1"/>
  <c r="D49" i="1"/>
  <c r="H48" i="1"/>
  <c r="E48" i="1"/>
  <c r="D48" i="1"/>
  <c r="H47" i="1"/>
  <c r="D47" i="1"/>
  <c r="V46" i="1"/>
  <c r="H46" i="1"/>
  <c r="E46" i="1"/>
  <c r="D46" i="1"/>
  <c r="V45" i="1"/>
  <c r="H45" i="1"/>
  <c r="E45" i="1"/>
  <c r="D45" i="1"/>
  <c r="V44" i="1"/>
  <c r="D122" i="1" s="1"/>
  <c r="H44" i="1"/>
  <c r="E44" i="1"/>
  <c r="D44" i="1"/>
  <c r="V43" i="1"/>
  <c r="H43" i="1"/>
  <c r="E43" i="1"/>
  <c r="D43" i="1"/>
  <c r="V42" i="1"/>
  <c r="D119" i="1" s="1"/>
  <c r="H42" i="1"/>
  <c r="E42" i="1"/>
  <c r="V41" i="1"/>
  <c r="D118" i="1" s="1"/>
  <c r="H41" i="1"/>
  <c r="E41" i="1"/>
  <c r="D41" i="1"/>
  <c r="V40" i="1"/>
  <c r="D117" i="1" s="1"/>
  <c r="H40" i="1"/>
  <c r="E40" i="1"/>
  <c r="D40" i="1"/>
  <c r="V39" i="1"/>
  <c r="H39" i="1"/>
  <c r="E39" i="1"/>
  <c r="D39" i="1"/>
  <c r="V38" i="1"/>
  <c r="D94" i="1" s="1"/>
  <c r="H38" i="1"/>
  <c r="E38" i="1"/>
  <c r="V37" i="1"/>
  <c r="H37" i="1"/>
  <c r="E37" i="1"/>
  <c r="D37" i="1"/>
  <c r="V36" i="1"/>
  <c r="H36" i="1"/>
  <c r="E36" i="1"/>
  <c r="D36" i="1"/>
  <c r="V35" i="1"/>
  <c r="H35" i="1"/>
  <c r="E35" i="1"/>
  <c r="V34" i="1"/>
  <c r="D61" i="1" s="1"/>
  <c r="H34" i="1"/>
  <c r="D34" i="1"/>
  <c r="V33" i="1"/>
  <c r="H33" i="1"/>
  <c r="E33" i="1"/>
  <c r="V32" i="1"/>
  <c r="H32" i="1"/>
  <c r="D32" i="1"/>
  <c r="V31" i="1"/>
  <c r="H31" i="1"/>
  <c r="E31" i="1"/>
  <c r="D31" i="1"/>
  <c r="H30" i="1"/>
  <c r="E30" i="1"/>
  <c r="D30" i="1"/>
  <c r="H29" i="1"/>
  <c r="E29" i="1"/>
  <c r="D29" i="1"/>
  <c r="H28" i="1"/>
  <c r="E28" i="1"/>
  <c r="D28" i="1"/>
  <c r="H27" i="1"/>
  <c r="E27" i="1"/>
  <c r="D27" i="1"/>
  <c r="V26" i="1"/>
  <c r="H26" i="1"/>
  <c r="V25" i="1"/>
  <c r="D26" i="1" s="1"/>
  <c r="H25" i="1"/>
  <c r="E25" i="1"/>
  <c r="V24" i="1"/>
  <c r="H24" i="1"/>
  <c r="V23" i="1"/>
  <c r="H23" i="1"/>
  <c r="E23" i="1"/>
  <c r="D23" i="1"/>
  <c r="V22" i="1"/>
  <c r="H22" i="1"/>
  <c r="E22" i="1"/>
  <c r="D22" i="1"/>
  <c r="V21" i="1"/>
  <c r="D25" i="1" s="1"/>
  <c r="H21" i="1"/>
  <c r="E21" i="1"/>
  <c r="V20" i="1"/>
  <c r="H20" i="1"/>
  <c r="V19" i="1"/>
  <c r="H19" i="1"/>
  <c r="H18" i="1"/>
  <c r="H17" i="1"/>
  <c r="V16" i="1"/>
  <c r="H16" i="1"/>
  <c r="E16" i="1"/>
  <c r="D16" i="1"/>
  <c r="V15" i="1"/>
  <c r="D20" i="1" s="1"/>
  <c r="H15" i="1"/>
  <c r="E15" i="1"/>
  <c r="D15" i="1"/>
  <c r="V14" i="1"/>
  <c r="H14" i="1"/>
  <c r="E14" i="1"/>
  <c r="D14" i="1"/>
  <c r="V13" i="1"/>
  <c r="H13" i="1"/>
  <c r="V12" i="1"/>
  <c r="H12" i="1"/>
  <c r="E12" i="1"/>
  <c r="V11" i="1"/>
  <c r="H11" i="1"/>
  <c r="E11" i="1"/>
  <c r="D11" i="1"/>
  <c r="V10" i="1"/>
  <c r="D19" i="1" s="1"/>
  <c r="H10" i="1"/>
  <c r="V9" i="1"/>
  <c r="H9" i="1"/>
  <c r="E9" i="1"/>
  <c r="D9" i="1"/>
  <c r="V8" i="1"/>
  <c r="E26" i="1" s="1"/>
  <c r="H8" i="1"/>
  <c r="G8" i="1"/>
  <c r="G9" i="1" s="1"/>
  <c r="G10" i="1" s="1"/>
  <c r="G11" i="1" s="1"/>
  <c r="G12" i="1" s="1"/>
  <c r="G13" i="1" s="1"/>
  <c r="G14" i="1" s="1"/>
  <c r="G15" i="1" s="1"/>
  <c r="G16" i="1" s="1"/>
  <c r="G17" i="1" s="1"/>
  <c r="G18" i="1" s="1"/>
  <c r="G19" i="1" s="1"/>
  <c r="G20" i="1" s="1"/>
  <c r="G21" i="1" s="1"/>
  <c r="G22" i="1" s="1"/>
  <c r="G23" i="1" s="1"/>
  <c r="G24" i="1" s="1"/>
  <c r="G25" i="1" s="1"/>
  <c r="G26" i="1" s="1"/>
  <c r="G27" i="1" s="1"/>
  <c r="G28" i="1" s="1"/>
  <c r="G29" i="1" s="1"/>
  <c r="G30" i="1" s="1"/>
  <c r="G31" i="1" s="1"/>
  <c r="G32" i="1" s="1"/>
  <c r="G33" i="1" s="1"/>
  <c r="G34" i="1" s="1"/>
  <c r="G35" i="1" s="1"/>
  <c r="G36" i="1" s="1"/>
  <c r="G37" i="1" s="1"/>
  <c r="G38" i="1" s="1"/>
  <c r="G39" i="1" s="1"/>
  <c r="G40" i="1" s="1"/>
  <c r="G41" i="1" s="1"/>
  <c r="G42" i="1" s="1"/>
  <c r="G43" i="1" s="1"/>
  <c r="G44" i="1" s="1"/>
  <c r="G45" i="1" s="1"/>
  <c r="G46" i="1" s="1"/>
  <c r="G47" i="1" s="1"/>
  <c r="G48" i="1" s="1"/>
  <c r="G49" i="1" s="1"/>
  <c r="G50" i="1" s="1"/>
  <c r="G51" i="1" s="1"/>
  <c r="G52" i="1" s="1"/>
  <c r="G53" i="1" s="1"/>
  <c r="G54" i="1" s="1"/>
  <c r="G55" i="1" s="1"/>
  <c r="G56" i="1" s="1"/>
  <c r="G57" i="1" s="1"/>
  <c r="G58" i="1" s="1"/>
  <c r="G59" i="1" s="1"/>
  <c r="G60" i="1" s="1"/>
  <c r="G61" i="1" s="1"/>
  <c r="G62" i="1" s="1"/>
  <c r="G63" i="1" s="1"/>
  <c r="G64" i="1" s="1"/>
  <c r="G65" i="1" s="1"/>
  <c r="G66" i="1" s="1"/>
  <c r="G67" i="1" s="1"/>
  <c r="G68" i="1" s="1"/>
  <c r="G69" i="1" s="1"/>
  <c r="G70" i="1" s="1"/>
  <c r="G71" i="1" s="1"/>
  <c r="G72" i="1" s="1"/>
  <c r="G73" i="1" s="1"/>
  <c r="G74" i="1" s="1"/>
  <c r="G75" i="1" s="1"/>
  <c r="G76" i="1" s="1"/>
  <c r="G77" i="1" s="1"/>
  <c r="G78" i="1" s="1"/>
  <c r="G79" i="1" s="1"/>
  <c r="G80" i="1" s="1"/>
  <c r="G81" i="1" s="1"/>
  <c r="G82" i="1" s="1"/>
  <c r="G83" i="1" s="1"/>
  <c r="G84" i="1" s="1"/>
  <c r="G85" i="1" s="1"/>
  <c r="G86" i="1" s="1"/>
  <c r="G87" i="1" s="1"/>
  <c r="G88" i="1" s="1"/>
  <c r="G89" i="1" s="1"/>
  <c r="G90" i="1" s="1"/>
  <c r="G91" i="1" s="1"/>
  <c r="G92" i="1" s="1"/>
  <c r="G93" i="1" s="1"/>
  <c r="G94" i="1" s="1"/>
  <c r="G95" i="1" s="1"/>
  <c r="G96" i="1" s="1"/>
  <c r="G97" i="1" s="1"/>
  <c r="G98" i="1" s="1"/>
  <c r="G99" i="1" s="1"/>
  <c r="G100" i="1" s="1"/>
  <c r="G101" i="1" s="1"/>
  <c r="G102" i="1" s="1"/>
  <c r="G103" i="1" s="1"/>
  <c r="G104" i="1" s="1"/>
  <c r="G105" i="1" s="1"/>
  <c r="G106" i="1" s="1"/>
  <c r="G107" i="1" s="1"/>
  <c r="G108" i="1" s="1"/>
  <c r="G109" i="1" s="1"/>
  <c r="G110" i="1" s="1"/>
  <c r="G111" i="1" s="1"/>
  <c r="G112" i="1" s="1"/>
  <c r="G113" i="1" s="1"/>
  <c r="G114" i="1" s="1"/>
  <c r="G115" i="1" s="1"/>
  <c r="G116" i="1" s="1"/>
  <c r="G117" i="1" s="1"/>
  <c r="G118" i="1" s="1"/>
  <c r="G119" i="1" s="1"/>
  <c r="G120" i="1" s="1"/>
  <c r="G121" i="1" s="1"/>
  <c r="G122" i="1" s="1"/>
  <c r="G123" i="1" s="1"/>
  <c r="G124" i="1" s="1"/>
  <c r="G125" i="1" s="1"/>
  <c r="G126" i="1" s="1"/>
  <c r="G127" i="1" s="1"/>
  <c r="G128" i="1" s="1"/>
  <c r="G129" i="1" s="1"/>
  <c r="G130" i="1" s="1"/>
  <c r="G131" i="1" s="1"/>
  <c r="G132" i="1" s="1"/>
  <c r="G133" i="1" s="1"/>
  <c r="G134" i="1" s="1"/>
  <c r="G135" i="1" s="1"/>
  <c r="G136" i="1" s="1"/>
  <c r="G137" i="1" s="1"/>
  <c r="G138" i="1" s="1"/>
  <c r="G139" i="1" s="1"/>
  <c r="G140" i="1" s="1"/>
  <c r="G141" i="1" s="1"/>
  <c r="G142" i="1" s="1"/>
  <c r="G143" i="1" s="1"/>
  <c r="G144" i="1" s="1"/>
  <c r="G145" i="1" s="1"/>
  <c r="G146" i="1" s="1"/>
  <c r="G147" i="1" s="1"/>
  <c r="G148" i="1" s="1"/>
  <c r="G149" i="1" s="1"/>
  <c r="G150" i="1" s="1"/>
  <c r="G151" i="1" s="1"/>
  <c r="G152" i="1" s="1"/>
  <c r="G153" i="1" s="1"/>
  <c r="G154" i="1" s="1"/>
  <c r="G155" i="1" s="1"/>
  <c r="G156" i="1" s="1"/>
  <c r="G157" i="1" s="1"/>
  <c r="G158" i="1" s="1"/>
  <c r="G159" i="1" s="1"/>
  <c r="G160" i="1" s="1"/>
  <c r="G161" i="1" s="1"/>
  <c r="G162" i="1" s="1"/>
  <c r="G163" i="1" s="1"/>
  <c r="G164" i="1" s="1"/>
  <c r="G165" i="1" s="1"/>
  <c r="G166" i="1" s="1"/>
  <c r="G167" i="1" s="1"/>
  <c r="G168" i="1" s="1"/>
  <c r="G169" i="1" s="1"/>
  <c r="G170" i="1" s="1"/>
  <c r="G171" i="1" s="1"/>
  <c r="G172" i="1" s="1"/>
  <c r="G173" i="1" s="1"/>
  <c r="G174" i="1" s="1"/>
  <c r="G175" i="1" s="1"/>
  <c r="G176" i="1" s="1"/>
  <c r="G177" i="1" s="1"/>
  <c r="G178" i="1" s="1"/>
  <c r="G179" i="1" s="1"/>
  <c r="G180" i="1" s="1"/>
  <c r="G181" i="1" s="1"/>
  <c r="G182" i="1" s="1"/>
  <c r="G183" i="1" s="1"/>
  <c r="G184" i="1" s="1"/>
  <c r="G185" i="1" s="1"/>
  <c r="G186" i="1" s="1"/>
  <c r="G187" i="1" s="1"/>
  <c r="G188" i="1" s="1"/>
  <c r="G189" i="1" s="1"/>
  <c r="G190" i="1" s="1"/>
  <c r="G191" i="1" s="1"/>
  <c r="G192" i="1" s="1"/>
  <c r="G193" i="1" s="1"/>
  <c r="G194" i="1" s="1"/>
  <c r="G195" i="1" s="1"/>
  <c r="G196" i="1" s="1"/>
  <c r="G197" i="1" s="1"/>
  <c r="G198" i="1" s="1"/>
  <c r="G199" i="1" s="1"/>
  <c r="G200" i="1" s="1"/>
  <c r="G201" i="1" s="1"/>
  <c r="G202" i="1" s="1"/>
  <c r="G203" i="1" s="1"/>
  <c r="G204" i="1" s="1"/>
  <c r="G205" i="1" s="1"/>
  <c r="G206" i="1" s="1"/>
  <c r="G207" i="1" s="1"/>
  <c r="G208" i="1" s="1"/>
  <c r="G209" i="1" s="1"/>
  <c r="G210" i="1" s="1"/>
  <c r="G211" i="1" s="1"/>
  <c r="G212" i="1" s="1"/>
  <c r="G213" i="1" s="1"/>
  <c r="G214" i="1" s="1"/>
  <c r="G215" i="1" s="1"/>
  <c r="G216" i="1" s="1"/>
  <c r="G217" i="1" s="1"/>
  <c r="G218" i="1" s="1"/>
  <c r="G219" i="1" s="1"/>
  <c r="G220" i="1" s="1"/>
  <c r="G221" i="1" s="1"/>
  <c r="G222" i="1" s="1"/>
  <c r="G223" i="1" s="1"/>
  <c r="G224" i="1" s="1"/>
  <c r="G225" i="1" s="1"/>
  <c r="G226" i="1" s="1"/>
  <c r="G227" i="1" s="1"/>
  <c r="G228" i="1" s="1"/>
  <c r="G229" i="1" s="1"/>
  <c r="G230" i="1" s="1"/>
  <c r="G231" i="1" s="1"/>
  <c r="G232" i="1" s="1"/>
  <c r="G233" i="1" s="1"/>
  <c r="G234" i="1" s="1"/>
  <c r="G235" i="1" s="1"/>
  <c r="G236" i="1" s="1"/>
  <c r="G237" i="1" s="1"/>
  <c r="G238" i="1" s="1"/>
  <c r="G239" i="1" s="1"/>
  <c r="G240" i="1" s="1"/>
  <c r="G241" i="1" s="1"/>
  <c r="G242" i="1" s="1"/>
  <c r="G243" i="1" s="1"/>
  <c r="G244" i="1" s="1"/>
  <c r="G245" i="1" s="1"/>
  <c r="G246" i="1" s="1"/>
  <c r="G247" i="1" s="1"/>
  <c r="G248" i="1" s="1"/>
  <c r="G249" i="1" s="1"/>
  <c r="G250" i="1" s="1"/>
  <c r="G251" i="1" s="1"/>
  <c r="G252" i="1" s="1"/>
  <c r="G253" i="1" s="1"/>
  <c r="G254" i="1" s="1"/>
  <c r="G255" i="1" s="1"/>
  <c r="G256" i="1" s="1"/>
  <c r="G257" i="1" s="1"/>
  <c r="G258" i="1" s="1"/>
  <c r="G259" i="1" s="1"/>
  <c r="G260" i="1" s="1"/>
  <c r="G261" i="1" s="1"/>
  <c r="G262" i="1" s="1"/>
  <c r="G263" i="1" s="1"/>
  <c r="G264" i="1" s="1"/>
  <c r="G265" i="1" s="1"/>
  <c r="G266" i="1" s="1"/>
  <c r="G267" i="1" s="1"/>
  <c r="G268" i="1" s="1"/>
  <c r="G269" i="1" s="1"/>
  <c r="G270" i="1" s="1"/>
  <c r="G271" i="1" s="1"/>
  <c r="G272" i="1" s="1"/>
  <c r="G273" i="1" s="1"/>
  <c r="G274" i="1" s="1"/>
  <c r="G275" i="1" s="1"/>
  <c r="G276" i="1" s="1"/>
  <c r="G277" i="1" s="1"/>
  <c r="G278" i="1" s="1"/>
  <c r="G279" i="1" s="1"/>
  <c r="G280" i="1" s="1"/>
  <c r="G281" i="1" s="1"/>
  <c r="G282" i="1" s="1"/>
  <c r="G283" i="1" s="1"/>
  <c r="G284" i="1" s="1"/>
  <c r="G285" i="1" s="1"/>
  <c r="G286" i="1" s="1"/>
  <c r="G287" i="1" s="1"/>
  <c r="G288" i="1" s="1"/>
  <c r="G289" i="1" s="1"/>
  <c r="G290" i="1" s="1"/>
  <c r="G291" i="1" s="1"/>
  <c r="G292" i="1" s="1"/>
  <c r="G293" i="1" s="1"/>
  <c r="G294" i="1" s="1"/>
  <c r="G295" i="1" s="1"/>
  <c r="G296" i="1" s="1"/>
  <c r="G297" i="1" s="1"/>
  <c r="G298" i="1" s="1"/>
  <c r="G299" i="1" s="1"/>
  <c r="G300" i="1" s="1"/>
  <c r="G301" i="1" s="1"/>
  <c r="G302" i="1" s="1"/>
  <c r="G303" i="1" s="1"/>
  <c r="G304" i="1" s="1"/>
  <c r="G305" i="1" s="1"/>
  <c r="G306" i="1" s="1"/>
  <c r="G307" i="1" s="1"/>
  <c r="G308" i="1" s="1"/>
  <c r="G309" i="1" s="1"/>
  <c r="G310" i="1" s="1"/>
  <c r="G311" i="1" s="1"/>
  <c r="G312" i="1" s="1"/>
  <c r="G313" i="1" s="1"/>
  <c r="G314" i="1" s="1"/>
  <c r="G315" i="1" s="1"/>
  <c r="G316" i="1" s="1"/>
  <c r="G317" i="1" s="1"/>
  <c r="G318" i="1" s="1"/>
  <c r="G319" i="1" s="1"/>
  <c r="G320" i="1" s="1"/>
  <c r="G321" i="1" s="1"/>
  <c r="G322" i="1" s="1"/>
  <c r="G323" i="1" s="1"/>
  <c r="G324" i="1" s="1"/>
  <c r="G325" i="1" s="1"/>
  <c r="G326" i="1" s="1"/>
  <c r="G327" i="1" s="1"/>
  <c r="G328" i="1" s="1"/>
  <c r="G329" i="1" s="1"/>
  <c r="G330" i="1" s="1"/>
  <c r="G331" i="1" s="1"/>
  <c r="G332" i="1" s="1"/>
  <c r="G333" i="1" s="1"/>
  <c r="G334" i="1" s="1"/>
  <c r="G335" i="1" s="1"/>
  <c r="G336" i="1" s="1"/>
  <c r="G337" i="1" s="1"/>
  <c r="G338" i="1" s="1"/>
  <c r="G339" i="1" s="1"/>
  <c r="G340" i="1" s="1"/>
  <c r="G341" i="1" s="1"/>
  <c r="G342" i="1" s="1"/>
  <c r="G343" i="1" s="1"/>
  <c r="G344" i="1" s="1"/>
  <c r="G345" i="1" s="1"/>
  <c r="G346" i="1" s="1"/>
  <c r="G347" i="1" s="1"/>
  <c r="G348" i="1" s="1"/>
  <c r="G349" i="1" s="1"/>
  <c r="G350" i="1" s="1"/>
  <c r="G351" i="1" s="1"/>
  <c r="G352" i="1" s="1"/>
  <c r="G353" i="1" s="1"/>
  <c r="G354" i="1" s="1"/>
  <c r="G355" i="1" s="1"/>
  <c r="G356" i="1" s="1"/>
  <c r="G357" i="1" s="1"/>
  <c r="G358" i="1" s="1"/>
  <c r="G359" i="1" s="1"/>
  <c r="G360" i="1" s="1"/>
  <c r="G361" i="1" s="1"/>
  <c r="G362" i="1" s="1"/>
  <c r="G363" i="1" s="1"/>
  <c r="G364" i="1" s="1"/>
  <c r="G365" i="1" s="1"/>
  <c r="G366" i="1" s="1"/>
  <c r="G367" i="1" s="1"/>
  <c r="G368" i="1" s="1"/>
  <c r="G369" i="1" s="1"/>
  <c r="G370" i="1" s="1"/>
  <c r="G371" i="1" s="1"/>
  <c r="G372" i="1" s="1"/>
  <c r="G373" i="1" s="1"/>
  <c r="G374" i="1" s="1"/>
  <c r="G375" i="1" s="1"/>
  <c r="G376" i="1" s="1"/>
  <c r="G377" i="1" s="1"/>
  <c r="G378" i="1" s="1"/>
  <c r="G379" i="1" s="1"/>
  <c r="G380" i="1" s="1"/>
  <c r="G381" i="1" s="1"/>
  <c r="G382" i="1" s="1"/>
  <c r="G383" i="1" s="1"/>
  <c r="G384" i="1" s="1"/>
  <c r="G385" i="1" s="1"/>
  <c r="G386" i="1" s="1"/>
  <c r="G387" i="1" s="1"/>
  <c r="G388" i="1" s="1"/>
  <c r="G389" i="1" s="1"/>
  <c r="G390" i="1" s="1"/>
  <c r="G391" i="1" s="1"/>
  <c r="G392" i="1" s="1"/>
  <c r="G393" i="1" s="1"/>
  <c r="G394" i="1" s="1"/>
  <c r="G395" i="1" s="1"/>
  <c r="G396" i="1" s="1"/>
  <c r="G397" i="1" s="1"/>
  <c r="G398" i="1" s="1"/>
  <c r="G399" i="1" s="1"/>
  <c r="G400" i="1" s="1"/>
  <c r="G401" i="1" s="1"/>
  <c r="G402" i="1" s="1"/>
  <c r="G403" i="1" s="1"/>
  <c r="G404" i="1" s="1"/>
  <c r="G405" i="1" s="1"/>
  <c r="G406" i="1" s="1"/>
  <c r="G407" i="1" s="1"/>
  <c r="G408" i="1" s="1"/>
  <c r="G409" i="1" s="1"/>
  <c r="G410" i="1" s="1"/>
  <c r="G411" i="1" s="1"/>
  <c r="G412" i="1" s="1"/>
  <c r="G413" i="1" s="1"/>
  <c r="G414" i="1" s="1"/>
  <c r="G415" i="1" s="1"/>
  <c r="E8" i="1"/>
  <c r="D8" i="1"/>
  <c r="V7" i="1"/>
  <c r="D18" i="1" s="1"/>
  <c r="H7" i="1"/>
  <c r="G7" i="1"/>
  <c r="E7" i="1"/>
  <c r="V6" i="1"/>
  <c r="V5" i="1"/>
  <c r="D67" i="4"/>
  <c r="D60" i="4"/>
  <c r="I46" i="4"/>
  <c r="G46" i="4"/>
  <c r="F46" i="4"/>
  <c r="I45" i="4"/>
  <c r="F45" i="4"/>
  <c r="G45" i="4" s="1"/>
  <c r="I44" i="4"/>
  <c r="F44" i="4"/>
  <c r="G44" i="4" s="1"/>
  <c r="I43" i="4"/>
  <c r="F43" i="4"/>
  <c r="G43" i="4" s="1"/>
  <c r="I42" i="4"/>
  <c r="G42" i="4"/>
  <c r="F42" i="4"/>
  <c r="J36" i="4"/>
  <c r="J35" i="4"/>
  <c r="J34" i="4"/>
  <c r="J33" i="4"/>
  <c r="J32" i="4"/>
  <c r="J31" i="4"/>
  <c r="U30" i="4"/>
  <c r="J30" i="4"/>
  <c r="U29" i="4"/>
  <c r="K29" i="4"/>
  <c r="K28" i="4"/>
  <c r="K27" i="4"/>
  <c r="K26" i="4"/>
  <c r="K25" i="4"/>
  <c r="K24" i="4"/>
  <c r="K23" i="4"/>
  <c r="K22" i="4"/>
  <c r="K21" i="4"/>
  <c r="K20" i="4"/>
  <c r="K19" i="4"/>
  <c r="K17" i="4"/>
  <c r="K16" i="4"/>
  <c r="K15" i="4"/>
  <c r="K14" i="4"/>
  <c r="K13" i="4"/>
  <c r="K11" i="4"/>
  <c r="K10" i="4"/>
  <c r="K9" i="4"/>
  <c r="K2216" i="5" l="1"/>
  <c r="Q2215" i="5"/>
  <c r="F2215" i="5"/>
  <c r="C2216" i="5"/>
  <c r="I2214" i="5"/>
  <c r="G2215" i="5"/>
  <c r="G2216" i="5" s="1"/>
  <c r="G2217" i="5" s="1"/>
  <c r="G2218" i="5" s="1"/>
  <c r="G2219" i="5" s="1"/>
  <c r="G2220" i="5" s="1"/>
  <c r="G2221" i="5" s="1"/>
  <c r="G2222" i="5" s="1"/>
  <c r="G2223" i="5" s="1"/>
  <c r="G2224" i="5" s="1"/>
  <c r="G2225" i="5" s="1"/>
  <c r="G2226" i="5" s="1"/>
  <c r="G2227" i="5" s="1"/>
  <c r="G2228" i="5" s="1"/>
  <c r="G2229" i="5" s="1"/>
  <c r="G2230" i="5" s="1"/>
  <c r="G2231" i="5" s="1"/>
  <c r="G2232" i="5" s="1"/>
  <c r="G2233" i="5" s="1"/>
  <c r="G2234" i="5" s="1"/>
  <c r="G2235" i="5" s="1"/>
  <c r="G2236" i="5" s="1"/>
  <c r="G2237" i="5" s="1"/>
  <c r="G2238" i="5" s="1"/>
  <c r="G2239" i="5" s="1"/>
  <c r="G2240" i="5" s="1"/>
  <c r="G2241" i="5" s="1"/>
  <c r="G2242" i="5" s="1"/>
  <c r="G2243" i="5" s="1"/>
  <c r="G2244" i="5" s="1"/>
  <c r="G2245" i="5" s="1"/>
  <c r="G2246" i="5" s="1"/>
  <c r="G2247" i="5" s="1"/>
  <c r="G2248" i="5" s="1"/>
  <c r="G2249" i="5" s="1"/>
  <c r="G2250" i="5" s="1"/>
  <c r="G2251" i="5" s="1"/>
  <c r="G2252" i="5" s="1"/>
  <c r="G2253" i="5" s="1"/>
  <c r="G2254" i="5" s="1"/>
  <c r="G2255" i="5" s="1"/>
  <c r="G2256" i="5" s="1"/>
  <c r="G2257" i="5" s="1"/>
  <c r="G2258" i="5" s="1"/>
  <c r="G2259" i="5" s="1"/>
  <c r="G2260" i="5" s="1"/>
  <c r="G2261" i="5" s="1"/>
  <c r="G2262" i="5" s="1"/>
  <c r="G2263" i="5" s="1"/>
  <c r="G2264" i="5" s="1"/>
  <c r="G2265" i="5" s="1"/>
  <c r="G2266" i="5" s="1"/>
  <c r="G2267" i="5" s="1"/>
  <c r="G2268" i="5" s="1"/>
  <c r="G2269" i="5" s="1"/>
  <c r="G2270" i="5" s="1"/>
  <c r="G2271" i="5" s="1"/>
  <c r="G2272" i="5" s="1"/>
  <c r="G2273" i="5" s="1"/>
  <c r="G2274" i="5" s="1"/>
  <c r="G2275" i="5" s="1"/>
  <c r="G2276" i="5" s="1"/>
  <c r="G2277" i="5" s="1"/>
  <c r="G2278" i="5" s="1"/>
  <c r="G2279" i="5" s="1"/>
  <c r="G2280" i="5" s="1"/>
  <c r="G2281" i="5" s="1"/>
  <c r="G2282" i="5" s="1"/>
  <c r="G2283" i="5" s="1"/>
  <c r="G2284" i="5" s="1"/>
  <c r="G2285" i="5" s="1"/>
  <c r="G2286" i="5" s="1"/>
  <c r="G2287" i="5" s="1"/>
  <c r="G2288" i="5" s="1"/>
  <c r="G2289" i="5" s="1"/>
  <c r="G2290" i="5" s="1"/>
  <c r="G2291" i="5" s="1"/>
  <c r="G2292" i="5" s="1"/>
  <c r="G2293" i="5" s="1"/>
  <c r="G2294" i="5" s="1"/>
  <c r="G2295" i="5" s="1"/>
  <c r="G2296" i="5" s="1"/>
  <c r="G2297" i="5" s="1"/>
  <c r="G2298" i="5" s="1"/>
  <c r="G2299" i="5" s="1"/>
  <c r="G2300" i="5" s="1"/>
  <c r="G2301" i="5" s="1"/>
  <c r="G2302" i="5" s="1"/>
  <c r="G2303" i="5" s="1"/>
  <c r="G2304" i="5" s="1"/>
  <c r="G2305" i="5" s="1"/>
  <c r="G2306" i="5" s="1"/>
  <c r="G2307" i="5" s="1"/>
  <c r="G2308" i="5" s="1"/>
  <c r="G2309" i="5" s="1"/>
  <c r="G2310" i="5" s="1"/>
  <c r="G2311" i="5" s="1"/>
  <c r="G2312" i="5" s="1"/>
  <c r="G2313" i="5" s="1"/>
  <c r="G2314" i="5" s="1"/>
  <c r="G2315" i="5" s="1"/>
  <c r="G2316" i="5" s="1"/>
  <c r="G2317" i="5" s="1"/>
  <c r="G2318" i="5" s="1"/>
  <c r="G2319" i="5" s="1"/>
  <c r="G2320" i="5" s="1"/>
  <c r="G2321" i="5" s="1"/>
  <c r="G2322" i="5" s="1"/>
  <c r="G2323" i="5" s="1"/>
  <c r="G2324" i="5" s="1"/>
  <c r="G2325" i="5" s="1"/>
  <c r="G2326" i="5" s="1"/>
  <c r="G2327" i="5" s="1"/>
  <c r="G2328" i="5" s="1"/>
  <c r="G2329" i="5" s="1"/>
  <c r="G2330" i="5" s="1"/>
  <c r="G2331" i="5" s="1"/>
  <c r="G2332" i="5" s="1"/>
  <c r="G2333" i="5" s="1"/>
  <c r="G2334" i="5" s="1"/>
  <c r="G2335" i="5" s="1"/>
  <c r="G2336" i="5" s="1"/>
  <c r="G2337" i="5" s="1"/>
  <c r="G2338" i="5" s="1"/>
  <c r="G2339" i="5" s="1"/>
  <c r="G2340" i="5" s="1"/>
  <c r="G2341" i="5" s="1"/>
  <c r="G2342" i="5" s="1"/>
  <c r="G2343" i="5" s="1"/>
  <c r="G2344" i="5" s="1"/>
  <c r="G2345" i="5" s="1"/>
  <c r="G2346" i="5" s="1"/>
  <c r="G2347" i="5" s="1"/>
  <c r="G2348" i="5" s="1"/>
  <c r="G2349" i="5" s="1"/>
  <c r="G2350" i="5" s="1"/>
  <c r="G2351" i="5" s="1"/>
  <c r="G2352" i="5" s="1"/>
  <c r="G2353" i="5" s="1"/>
  <c r="G2354" i="5" s="1"/>
  <c r="G2355" i="5" s="1"/>
  <c r="G2356" i="5" s="1"/>
  <c r="G2357" i="5" s="1"/>
  <c r="G2358" i="5" s="1"/>
  <c r="G2359" i="5" s="1"/>
  <c r="G2360" i="5" s="1"/>
  <c r="G2361" i="5" s="1"/>
  <c r="G2362" i="5" s="1"/>
  <c r="G2363" i="5" s="1"/>
  <c r="G2364" i="5" s="1"/>
  <c r="G2365" i="5" s="1"/>
  <c r="G2366" i="5" s="1"/>
  <c r="G2367" i="5" s="1"/>
  <c r="G2368" i="5" s="1"/>
  <c r="G2369" i="5" s="1"/>
  <c r="G2370" i="5" s="1"/>
  <c r="G2371" i="5" s="1"/>
  <c r="G2372" i="5" s="1"/>
  <c r="G2373" i="5" s="1"/>
  <c r="G2374" i="5" s="1"/>
  <c r="G2375" i="5" s="1"/>
  <c r="G2376" i="5" s="1"/>
  <c r="G2377" i="5" s="1"/>
  <c r="G2378" i="5" s="1"/>
  <c r="G2379" i="5" s="1"/>
  <c r="G2380" i="5" s="1"/>
  <c r="G2381" i="5" s="1"/>
  <c r="G2382" i="5" s="1"/>
  <c r="G2383" i="5" s="1"/>
  <c r="G2384" i="5" s="1"/>
  <c r="G2385" i="5" s="1"/>
  <c r="G2386" i="5" s="1"/>
  <c r="G2387" i="5" s="1"/>
  <c r="G2388" i="5" s="1"/>
  <c r="G2389" i="5" s="1"/>
  <c r="G2390" i="5" s="1"/>
  <c r="G2391" i="5" s="1"/>
  <c r="G2392" i="5" s="1"/>
  <c r="G2393" i="5" s="1"/>
  <c r="G2394" i="5" s="1"/>
  <c r="G2395" i="5" s="1"/>
  <c r="G2396" i="5" s="1"/>
  <c r="G2397" i="5" s="1"/>
  <c r="G2398" i="5" s="1"/>
  <c r="G2399" i="5" s="1"/>
  <c r="G2400" i="5" s="1"/>
  <c r="G2401" i="5" s="1"/>
  <c r="G2402" i="5" s="1"/>
  <c r="G2403" i="5" s="1"/>
  <c r="G2404" i="5" s="1"/>
  <c r="G2405" i="5" s="1"/>
  <c r="G2406" i="5" s="1"/>
  <c r="G2407" i="5" s="1"/>
  <c r="G2408" i="5" s="1"/>
  <c r="G2409" i="5" s="1"/>
  <c r="G2410" i="5" s="1"/>
  <c r="G2411" i="5" s="1"/>
  <c r="G2412" i="5" s="1"/>
  <c r="G2413" i="5" s="1"/>
  <c r="G2414" i="5" s="1"/>
  <c r="G2415" i="5" s="1"/>
  <c r="G2416" i="5" s="1"/>
  <c r="G2417" i="5" s="1"/>
  <c r="G2418" i="5" s="1"/>
  <c r="G2419" i="5" s="1"/>
  <c r="G2420" i="5" s="1"/>
  <c r="G2421" i="5" s="1"/>
  <c r="G2422" i="5" s="1"/>
  <c r="G2423" i="5" s="1"/>
  <c r="G2424" i="5" s="1"/>
  <c r="G2425" i="5" s="1"/>
  <c r="G2426" i="5" s="1"/>
  <c r="G2427" i="5" s="1"/>
  <c r="G2428" i="5" s="1"/>
  <c r="G2429" i="5" s="1"/>
  <c r="G2430" i="5" s="1"/>
  <c r="G2431" i="5" s="1"/>
  <c r="G2432" i="5" s="1"/>
  <c r="G2433" i="5" s="1"/>
  <c r="G2434" i="5" s="1"/>
  <c r="G2435" i="5" s="1"/>
  <c r="G2436" i="5" s="1"/>
  <c r="G2437" i="5" s="1"/>
  <c r="G2438" i="5" s="1"/>
  <c r="G2439" i="5" s="1"/>
  <c r="G2440" i="5" s="1"/>
  <c r="G2441" i="5" s="1"/>
  <c r="G2442" i="5" s="1"/>
  <c r="G2443" i="5" s="1"/>
  <c r="G2444" i="5" s="1"/>
  <c r="G2445" i="5" s="1"/>
  <c r="G2446" i="5" s="1"/>
  <c r="G2447" i="5" s="1"/>
  <c r="G2448" i="5" s="1"/>
  <c r="G2449" i="5" s="1"/>
  <c r="G2450" i="5" s="1"/>
  <c r="G2451" i="5" s="1"/>
  <c r="G2452" i="5" s="1"/>
  <c r="G2453" i="5" s="1"/>
  <c r="G2454" i="5" s="1"/>
  <c r="G2455" i="5" s="1"/>
  <c r="G2456" i="5" s="1"/>
  <c r="G2457" i="5" s="1"/>
  <c r="G2458" i="5" s="1"/>
  <c r="G2459" i="5" s="1"/>
  <c r="G2460" i="5" s="1"/>
  <c r="G2461" i="5" s="1"/>
  <c r="G2462" i="5" s="1"/>
  <c r="G2463" i="5" s="1"/>
  <c r="G2464" i="5" s="1"/>
  <c r="G2465" i="5" s="1"/>
  <c r="G2466" i="5" s="1"/>
  <c r="G2467" i="5" s="1"/>
  <c r="G2468" i="5" s="1"/>
  <c r="G2469" i="5" s="1"/>
  <c r="G2470" i="5" s="1"/>
  <c r="G2471" i="5" s="1"/>
  <c r="G2472" i="5" s="1"/>
  <c r="G2473" i="5" s="1"/>
  <c r="G2474" i="5" s="1"/>
  <c r="G2475" i="5" s="1"/>
  <c r="G2476" i="5" s="1"/>
  <c r="G2477" i="5" s="1"/>
  <c r="G2478" i="5" s="1"/>
  <c r="G2479" i="5" s="1"/>
  <c r="G2480" i="5" s="1"/>
  <c r="S36" i="2"/>
  <c r="T36" i="2" s="1"/>
  <c r="U36" i="2" s="1"/>
  <c r="M304" i="2"/>
  <c r="R304" i="2" s="1"/>
  <c r="R619" i="2"/>
  <c r="Q172" i="2"/>
  <c r="P172" i="2"/>
  <c r="Q676" i="2"/>
  <c r="P676" i="2"/>
  <c r="Q815" i="2"/>
  <c r="P815" i="2"/>
  <c r="Q236" i="3"/>
  <c r="P236" i="3"/>
  <c r="Q440" i="3"/>
  <c r="P440" i="3"/>
  <c r="Q380" i="2"/>
  <c r="P380" i="2"/>
  <c r="Q53" i="3"/>
  <c r="P53" i="3"/>
  <c r="S71" i="2"/>
  <c r="T71" i="2" s="1"/>
  <c r="U71" i="2" s="1"/>
  <c r="U90" i="2"/>
  <c r="S141" i="2"/>
  <c r="T141" i="2" s="1"/>
  <c r="U141" i="2" s="1"/>
  <c r="S339" i="2"/>
  <c r="T339" i="2" s="1"/>
  <c r="U339" i="2" s="1"/>
  <c r="Q60" i="2"/>
  <c r="P60" i="2"/>
  <c r="S239" i="2"/>
  <c r="T239" i="2" s="1"/>
  <c r="U239" i="2" s="1"/>
  <c r="S290" i="2"/>
  <c r="T290" i="2" s="1"/>
  <c r="U290" i="2" s="1"/>
  <c r="Q485" i="2"/>
  <c r="P485" i="2"/>
  <c r="M653" i="2"/>
  <c r="R653" i="2" s="1"/>
  <c r="S653" i="2" s="1"/>
  <c r="T653" i="2" s="1"/>
  <c r="M688" i="2"/>
  <c r="R688" i="2" s="1"/>
  <c r="S688" i="2"/>
  <c r="T688" i="2" s="1"/>
  <c r="S695" i="2"/>
  <c r="T695" i="2" s="1"/>
  <c r="S834" i="2"/>
  <c r="T834" i="2" s="1"/>
  <c r="Q846" i="2"/>
  <c r="P846" i="2"/>
  <c r="S901" i="2"/>
  <c r="T901" i="2" s="1"/>
  <c r="M931" i="2"/>
  <c r="R931" i="2" s="1"/>
  <c r="S931" i="2" s="1"/>
  <c r="T931" i="2" s="1"/>
  <c r="C28" i="8"/>
  <c r="S985" i="2"/>
  <c r="T985" i="2" s="1"/>
  <c r="U985" i="2" s="1"/>
  <c r="Q1021" i="2"/>
  <c r="P1021" i="2"/>
  <c r="M49" i="3"/>
  <c r="R49" i="3" s="1"/>
  <c r="S49" i="3" s="1"/>
  <c r="T49" i="3" s="1"/>
  <c r="M70" i="3"/>
  <c r="R70" i="3" s="1"/>
  <c r="S70" i="3" s="1"/>
  <c r="T70" i="3" s="1"/>
  <c r="M105" i="3"/>
  <c r="S105" i="3"/>
  <c r="T105" i="3" s="1"/>
  <c r="M44" i="2"/>
  <c r="R44" i="2" s="1"/>
  <c r="S44" i="2" s="1"/>
  <c r="T44" i="2" s="1"/>
  <c r="R57" i="2"/>
  <c r="R72" i="2"/>
  <c r="S72" i="2" s="1"/>
  <c r="T72" i="2" s="1"/>
  <c r="U72" i="2" s="1"/>
  <c r="S81" i="2"/>
  <c r="T81" i="2" s="1"/>
  <c r="U81" i="2" s="1"/>
  <c r="R91" i="2"/>
  <c r="V128" i="2"/>
  <c r="Q187" i="2"/>
  <c r="P187" i="2"/>
  <c r="S287" i="2"/>
  <c r="T287" i="2" s="1"/>
  <c r="U287" i="2" s="1"/>
  <c r="R343" i="2"/>
  <c r="S343" i="2" s="1"/>
  <c r="T343" i="2" s="1"/>
  <c r="U343" i="2" s="1"/>
  <c r="M415" i="2"/>
  <c r="R415" i="2" s="1"/>
  <c r="P439" i="2"/>
  <c r="M554" i="2"/>
  <c r="D764" i="8"/>
  <c r="S642" i="2"/>
  <c r="T642" i="2" s="1"/>
  <c r="U642" i="2" s="1"/>
  <c r="R664" i="2"/>
  <c r="S664" i="2" s="1"/>
  <c r="T664" i="2" s="1"/>
  <c r="U664" i="2" s="1"/>
  <c r="Q860" i="2"/>
  <c r="P860" i="2"/>
  <c r="Q869" i="2"/>
  <c r="P869" i="2"/>
  <c r="S221" i="3"/>
  <c r="T221" i="3" s="1"/>
  <c r="M688" i="3"/>
  <c r="R688" i="3" s="1"/>
  <c r="S688" i="3"/>
  <c r="T688" i="3" s="1"/>
  <c r="O898" i="3"/>
  <c r="N898" i="3"/>
  <c r="M898" i="3"/>
  <c r="L898" i="3"/>
  <c r="K898" i="3"/>
  <c r="H898" i="3"/>
  <c r="M205" i="2"/>
  <c r="Q134" i="3"/>
  <c r="P134" i="3"/>
  <c r="M864" i="2"/>
  <c r="R864" i="2" s="1"/>
  <c r="S864" i="2" s="1"/>
  <c r="T864" i="2" s="1"/>
  <c r="D489" i="8"/>
  <c r="G489" i="8" s="1"/>
  <c r="C440" i="8"/>
  <c r="S100" i="2"/>
  <c r="T100" i="2" s="1"/>
  <c r="U100" i="2" s="1"/>
  <c r="P169" i="2"/>
  <c r="S169" i="2" s="1"/>
  <c r="T169" i="2" s="1"/>
  <c r="P176" i="2"/>
  <c r="P521" i="2"/>
  <c r="Q521" i="2"/>
  <c r="R554" i="2"/>
  <c r="P737" i="2"/>
  <c r="Q737" i="2"/>
  <c r="Q1218" i="2"/>
  <c r="P1218" i="2"/>
  <c r="V1218" i="2" s="1"/>
  <c r="Q39" i="2"/>
  <c r="P39" i="2"/>
  <c r="C484" i="8"/>
  <c r="D584" i="8"/>
  <c r="D80" i="1"/>
  <c r="D13" i="1"/>
  <c r="M63" i="2"/>
  <c r="R63" i="2" s="1"/>
  <c r="S63" i="2" s="1"/>
  <c r="T63" i="2" s="1"/>
  <c r="R116" i="2"/>
  <c r="S128" i="2"/>
  <c r="T128" i="2" s="1"/>
  <c r="R138" i="2"/>
  <c r="S138" i="2" s="1"/>
  <c r="T138" i="2" s="1"/>
  <c r="U138" i="2" s="1"/>
  <c r="P149" i="2"/>
  <c r="P214" i="2"/>
  <c r="V214" i="2" s="1"/>
  <c r="Q226" i="2"/>
  <c r="P226" i="2"/>
  <c r="S250" i="2"/>
  <c r="T250" i="2" s="1"/>
  <c r="U250" i="2" s="1"/>
  <c r="V253" i="2"/>
  <c r="S307" i="2"/>
  <c r="T307" i="2" s="1"/>
  <c r="U307" i="2" s="1"/>
  <c r="C968" i="8"/>
  <c r="D1011" i="8"/>
  <c r="G1011" i="8" s="1"/>
  <c r="P359" i="2"/>
  <c r="Q359" i="2"/>
  <c r="Q430" i="2"/>
  <c r="P430" i="2"/>
  <c r="Q454" i="2"/>
  <c r="P454" i="2"/>
  <c r="R468" i="2"/>
  <c r="M677" i="2"/>
  <c r="R677" i="2" s="1"/>
  <c r="S677" i="2" s="1"/>
  <c r="T677" i="2" s="1"/>
  <c r="P835" i="2"/>
  <c r="Q835" i="2"/>
  <c r="U1027" i="2"/>
  <c r="R1111" i="2"/>
  <c r="S1111" i="2" s="1"/>
  <c r="T1111" i="2" s="1"/>
  <c r="U1111" i="2" s="1"/>
  <c r="U1149" i="2"/>
  <c r="M185" i="3"/>
  <c r="R185" i="3" s="1"/>
  <c r="S185" i="3"/>
  <c r="T185" i="3" s="1"/>
  <c r="S263" i="3"/>
  <c r="T263" i="3" s="1"/>
  <c r="M263" i="3"/>
  <c r="M678" i="3"/>
  <c r="R678" i="3" s="1"/>
  <c r="S678" i="3" s="1"/>
  <c r="T678" i="3" s="1"/>
  <c r="Q858" i="2"/>
  <c r="P858" i="2"/>
  <c r="S22" i="2"/>
  <c r="T22" i="2" s="1"/>
  <c r="U137" i="2"/>
  <c r="P939" i="2"/>
  <c r="Q939" i="2"/>
  <c r="S6" i="2"/>
  <c r="T6" i="2" s="1"/>
  <c r="S17" i="2"/>
  <c r="T17" i="2" s="1"/>
  <c r="S106" i="2"/>
  <c r="T106" i="2" s="1"/>
  <c r="U106" i="2" s="1"/>
  <c r="S135" i="2"/>
  <c r="T135" i="2" s="1"/>
  <c r="U135" i="2" s="1"/>
  <c r="S253" i="2"/>
  <c r="T253" i="2" s="1"/>
  <c r="R405" i="2"/>
  <c r="S422" i="2"/>
  <c r="T422" i="2" s="1"/>
  <c r="Q528" i="2"/>
  <c r="P528" i="2"/>
  <c r="P554" i="2"/>
  <c r="S554" i="2" s="1"/>
  <c r="T554" i="2" s="1"/>
  <c r="C568" i="8"/>
  <c r="S595" i="2"/>
  <c r="T595" i="2" s="1"/>
  <c r="U595" i="2" s="1"/>
  <c r="S622" i="2"/>
  <c r="T622" i="2" s="1"/>
  <c r="S771" i="2"/>
  <c r="T771" i="2" s="1"/>
  <c r="U771" i="2" s="1"/>
  <c r="S909" i="2"/>
  <c r="T909" i="2" s="1"/>
  <c r="R1212" i="2"/>
  <c r="D893" i="3"/>
  <c r="P63" i="3"/>
  <c r="Q63" i="3"/>
  <c r="Q75" i="3"/>
  <c r="P75" i="3"/>
  <c r="Q186" i="3"/>
  <c r="P186" i="3"/>
  <c r="Q656" i="3"/>
  <c r="P656" i="3"/>
  <c r="C1085" i="8"/>
  <c r="P571" i="2"/>
  <c r="Q571" i="2"/>
  <c r="M145" i="2"/>
  <c r="M214" i="2"/>
  <c r="R214" i="2" s="1"/>
  <c r="S214" i="2" s="1"/>
  <c r="T214" i="2" s="1"/>
  <c r="P265" i="2"/>
  <c r="V265" i="2" s="1"/>
  <c r="Q265" i="2"/>
  <c r="Q471" i="2"/>
  <c r="P471" i="2"/>
  <c r="M663" i="2"/>
  <c r="U988" i="2"/>
  <c r="R50" i="2"/>
  <c r="R35" i="2"/>
  <c r="P50" i="2"/>
  <c r="S50" i="2" s="1"/>
  <c r="T50" i="2" s="1"/>
  <c r="M53" i="2"/>
  <c r="R53" i="2" s="1"/>
  <c r="S53" i="2" s="1"/>
  <c r="T53" i="2" s="1"/>
  <c r="R110" i="2"/>
  <c r="S110" i="2" s="1"/>
  <c r="T110" i="2" s="1"/>
  <c r="Q200" i="2"/>
  <c r="P200" i="2"/>
  <c r="R223" i="2"/>
  <c r="R236" i="2"/>
  <c r="S236" i="2" s="1"/>
  <c r="T236" i="2" s="1"/>
  <c r="U236" i="2" s="1"/>
  <c r="M257" i="2"/>
  <c r="R257" i="2" s="1"/>
  <c r="S257" i="2" s="1"/>
  <c r="T257" i="2" s="1"/>
  <c r="R288" i="2"/>
  <c r="P304" i="2"/>
  <c r="C1002" i="8"/>
  <c r="D1313" i="8"/>
  <c r="G1313" i="8" s="1"/>
  <c r="M377" i="2"/>
  <c r="R377" i="2" s="1"/>
  <c r="S377" i="2" s="1"/>
  <c r="T377" i="2" s="1"/>
  <c r="R482" i="2"/>
  <c r="S537" i="2"/>
  <c r="T537" i="2" s="1"/>
  <c r="U537" i="2" s="1"/>
  <c r="Q562" i="2"/>
  <c r="P562" i="2"/>
  <c r="S598" i="2"/>
  <c r="T598" i="2" s="1"/>
  <c r="S619" i="2"/>
  <c r="T619" i="2" s="1"/>
  <c r="P688" i="2"/>
  <c r="Q693" i="2"/>
  <c r="P693" i="2"/>
  <c r="M704" i="2"/>
  <c r="R704" i="2" s="1"/>
  <c r="S704" i="2" s="1"/>
  <c r="T704" i="2" s="1"/>
  <c r="Q1049" i="2"/>
  <c r="P1049" i="2"/>
  <c r="V1049" i="2" s="1"/>
  <c r="R211" i="3"/>
  <c r="M339" i="3"/>
  <c r="Q358" i="3"/>
  <c r="P358" i="3"/>
  <c r="M256" i="2"/>
  <c r="R256" i="2" s="1"/>
  <c r="S256" i="2" s="1"/>
  <c r="T256" i="2" s="1"/>
  <c r="Q1157" i="2"/>
  <c r="P1157" i="2"/>
  <c r="Q47" i="2"/>
  <c r="P47" i="2"/>
  <c r="S112" i="2"/>
  <c r="T112" i="2" s="1"/>
  <c r="Q131" i="2"/>
  <c r="P131" i="2"/>
  <c r="R149" i="2"/>
  <c r="S221" i="2"/>
  <c r="T221" i="2" s="1"/>
  <c r="M221" i="2"/>
  <c r="R221" i="2" s="1"/>
  <c r="P708" i="2"/>
  <c r="Q708" i="2"/>
  <c r="M850" i="2"/>
  <c r="R850" i="2" s="1"/>
  <c r="S850" i="2" s="1"/>
  <c r="T850" i="2" s="1"/>
  <c r="R20" i="2"/>
  <c r="S20" i="2" s="1"/>
  <c r="T20" i="2" s="1"/>
  <c r="Q113" i="2"/>
  <c r="P113" i="2"/>
  <c r="D85" i="8"/>
  <c r="S407" i="2"/>
  <c r="T407" i="2" s="1"/>
  <c r="T23" i="2"/>
  <c r="T26" i="2"/>
  <c r="S26" i="2"/>
  <c r="S116" i="2"/>
  <c r="T116" i="2" s="1"/>
  <c r="M160" i="2"/>
  <c r="R160" i="2" s="1"/>
  <c r="S160" i="2" s="1"/>
  <c r="T160" i="2" s="1"/>
  <c r="M164" i="2"/>
  <c r="R164" i="2" s="1"/>
  <c r="S164" i="2" s="1"/>
  <c r="T164" i="2" s="1"/>
  <c r="R184" i="2"/>
  <c r="S184" i="2" s="1"/>
  <c r="T184" i="2" s="1"/>
  <c r="Q227" i="2"/>
  <c r="P227" i="2"/>
  <c r="V227" i="2" s="1"/>
  <c r="P262" i="2"/>
  <c r="Q262" i="2"/>
  <c r="M297" i="2"/>
  <c r="R297" i="2" s="1"/>
  <c r="S297" i="2" s="1"/>
  <c r="T297" i="2" s="1"/>
  <c r="M314" i="2"/>
  <c r="S333" i="2"/>
  <c r="T333" i="2" s="1"/>
  <c r="C686" i="8"/>
  <c r="D689" i="8"/>
  <c r="G689" i="8" s="1"/>
  <c r="M399" i="2"/>
  <c r="R399" i="2" s="1"/>
  <c r="S399" i="2" s="1"/>
  <c r="T399" i="2" s="1"/>
  <c r="S426" i="2"/>
  <c r="T426" i="2" s="1"/>
  <c r="M426" i="2"/>
  <c r="R426" i="2" s="1"/>
  <c r="M629" i="2"/>
  <c r="R629" i="2" s="1"/>
  <c r="S629" i="2" s="1"/>
  <c r="T629" i="2" s="1"/>
  <c r="R682" i="2"/>
  <c r="M685" i="2"/>
  <c r="R685" i="2" s="1"/>
  <c r="S685" i="2"/>
  <c r="T685" i="2" s="1"/>
  <c r="M700" i="2"/>
  <c r="R700" i="2" s="1"/>
  <c r="S700" i="2" s="1"/>
  <c r="T700" i="2" s="1"/>
  <c r="S768" i="2"/>
  <c r="T768" i="2" s="1"/>
  <c r="U768" i="2" s="1"/>
  <c r="Q792" i="2"/>
  <c r="P792" i="2"/>
  <c r="M831" i="2"/>
  <c r="R831" i="2" s="1"/>
  <c r="S831" i="2"/>
  <c r="T831" i="2" s="1"/>
  <c r="D792" i="8"/>
  <c r="G792" i="8" s="1"/>
  <c r="S876" i="2"/>
  <c r="T876" i="2" s="1"/>
  <c r="U876" i="2" s="1"/>
  <c r="C428" i="8"/>
  <c r="S1169" i="2"/>
  <c r="T1169" i="2" s="1"/>
  <c r="U1169" i="2" s="1"/>
  <c r="M35" i="3"/>
  <c r="Q179" i="3"/>
  <c r="P179" i="3"/>
  <c r="Q3" i="2"/>
  <c r="P3" i="2"/>
  <c r="V23" i="2"/>
  <c r="R23" i="2"/>
  <c r="Q94" i="2"/>
  <c r="P94" i="2"/>
  <c r="S176" i="2"/>
  <c r="T176" i="2" s="1"/>
  <c r="S453" i="2"/>
  <c r="T453" i="2" s="1"/>
  <c r="E112" i="1"/>
  <c r="S57" i="2"/>
  <c r="T57" i="2" s="1"/>
  <c r="R79" i="2"/>
  <c r="S79" i="2" s="1"/>
  <c r="T79" i="2" s="1"/>
  <c r="U79" i="2" s="1"/>
  <c r="S91" i="2"/>
  <c r="T91" i="2" s="1"/>
  <c r="C479" i="8"/>
  <c r="R136" i="2"/>
  <c r="P258" i="2"/>
  <c r="V258" i="2" s="1"/>
  <c r="Q258" i="2"/>
  <c r="S353" i="2"/>
  <c r="T353" i="2" s="1"/>
  <c r="U353" i="2" s="1"/>
  <c r="P360" i="2"/>
  <c r="V360" i="2" s="1"/>
  <c r="Q360" i="2"/>
  <c r="Q392" i="2"/>
  <c r="P392" i="2"/>
  <c r="R451" i="2"/>
  <c r="R532" i="2"/>
  <c r="S585" i="2"/>
  <c r="T585" i="2" s="1"/>
  <c r="S616" i="2"/>
  <c r="T616" i="2" s="1"/>
  <c r="Q705" i="2"/>
  <c r="P705" i="2"/>
  <c r="M755" i="2"/>
  <c r="R755" i="2" s="1"/>
  <c r="S755" i="2" s="1"/>
  <c r="T755" i="2" s="1"/>
  <c r="D695" i="8"/>
  <c r="C681" i="8"/>
  <c r="S99" i="3"/>
  <c r="T99" i="3" s="1"/>
  <c r="D616" i="8"/>
  <c r="C583" i="8"/>
  <c r="S179" i="2"/>
  <c r="T179" i="2" s="1"/>
  <c r="U179" i="2" s="1"/>
  <c r="D21" i="1"/>
  <c r="C1371" i="8"/>
  <c r="R24" i="2"/>
  <c r="S24" i="2" s="1"/>
  <c r="R104" i="2"/>
  <c r="S104" i="2" s="1"/>
  <c r="T104" i="2" s="1"/>
  <c r="U104" i="2" s="1"/>
  <c r="M110" i="2"/>
  <c r="R147" i="2"/>
  <c r="S147" i="2" s="1"/>
  <c r="T147" i="2" s="1"/>
  <c r="U147" i="2" s="1"/>
  <c r="Q167" i="2"/>
  <c r="P167" i="2"/>
  <c r="U181" i="2"/>
  <c r="C29" i="8"/>
  <c r="D99" i="8"/>
  <c r="G99" i="8" s="1"/>
  <c r="R248" i="2"/>
  <c r="R270" i="2"/>
  <c r="S270" i="2" s="1"/>
  <c r="T270" i="2" s="1"/>
  <c r="U270" i="2" s="1"/>
  <c r="Q305" i="2"/>
  <c r="P305" i="2"/>
  <c r="R318" i="2"/>
  <c r="R334" i="2"/>
  <c r="S334" i="2" s="1"/>
  <c r="T334" i="2" s="1"/>
  <c r="Q344" i="2"/>
  <c r="P344" i="2"/>
  <c r="M381" i="2"/>
  <c r="R381" i="2" s="1"/>
  <c r="S381" i="2" s="1"/>
  <c r="T381" i="2" s="1"/>
  <c r="M461" i="2"/>
  <c r="R461" i="2" s="1"/>
  <c r="S461" i="2"/>
  <c r="T461" i="2" s="1"/>
  <c r="V465" i="2"/>
  <c r="M489" i="2"/>
  <c r="R489" i="2" s="1"/>
  <c r="S489" i="2" s="1"/>
  <c r="T489" i="2" s="1"/>
  <c r="S492" i="2"/>
  <c r="T492" i="2" s="1"/>
  <c r="Q496" i="2"/>
  <c r="P496" i="2"/>
  <c r="M518" i="2"/>
  <c r="R518" i="2" s="1"/>
  <c r="S518" i="2" s="1"/>
  <c r="T518" i="2" s="1"/>
  <c r="S637" i="2"/>
  <c r="T637" i="2" s="1"/>
  <c r="M922" i="2"/>
  <c r="R922" i="2" s="1"/>
  <c r="S922" i="2"/>
  <c r="T922" i="2" s="1"/>
  <c r="P24" i="3"/>
  <c r="Q24" i="3"/>
  <c r="S24" i="3" s="1"/>
  <c r="S405" i="2"/>
  <c r="T405" i="2" s="1"/>
  <c r="U405" i="2" s="1"/>
  <c r="Q896" i="2"/>
  <c r="P896" i="2"/>
  <c r="D751" i="8"/>
  <c r="S1186" i="2"/>
  <c r="T1186" i="2" s="1"/>
  <c r="U1186" i="2" s="1"/>
  <c r="M1203" i="2"/>
  <c r="S1212" i="2"/>
  <c r="T1212" i="2" s="1"/>
  <c r="U1212" i="2" s="1"/>
  <c r="S85" i="2"/>
  <c r="T85" i="2" s="1"/>
  <c r="U85" i="2" s="1"/>
  <c r="Q111" i="2"/>
  <c r="P111" i="2"/>
  <c r="R133" i="2"/>
  <c r="S219" i="2"/>
  <c r="T219" i="2" s="1"/>
  <c r="V224" i="2"/>
  <c r="R366" i="2"/>
  <c r="S366" i="2" s="1"/>
  <c r="T366" i="2" s="1"/>
  <c r="Q369" i="2"/>
  <c r="P369" i="2"/>
  <c r="R372" i="2"/>
  <c r="S372" i="2" s="1"/>
  <c r="T372" i="2" s="1"/>
  <c r="M420" i="2"/>
  <c r="C1270" i="8"/>
  <c r="S532" i="2"/>
  <c r="T532" i="2" s="1"/>
  <c r="U532" i="2" s="1"/>
  <c r="R559" i="2"/>
  <c r="S559" i="2" s="1"/>
  <c r="T559" i="2" s="1"/>
  <c r="M569" i="2"/>
  <c r="R569" i="2" s="1"/>
  <c r="S569" i="2"/>
  <c r="T569" i="2" s="1"/>
  <c r="D724" i="8"/>
  <c r="G724" i="8" s="1"/>
  <c r="S759" i="2"/>
  <c r="T759" i="2" s="1"/>
  <c r="U759" i="2" s="1"/>
  <c r="M785" i="2"/>
  <c r="R785" i="2" s="1"/>
  <c r="S785" i="2" s="1"/>
  <c r="T785" i="2" s="1"/>
  <c r="Q825" i="2"/>
  <c r="P825" i="2"/>
  <c r="M862" i="2"/>
  <c r="R862" i="2" s="1"/>
  <c r="S862" i="2"/>
  <c r="T862" i="2" s="1"/>
  <c r="S866" i="2"/>
  <c r="T866" i="2" s="1"/>
  <c r="Q1008" i="2"/>
  <c r="P1008" i="2"/>
  <c r="S1130" i="2"/>
  <c r="T1130" i="2" s="1"/>
  <c r="M121" i="3"/>
  <c r="R121" i="3" s="1"/>
  <c r="S121" i="3"/>
  <c r="T121" i="3" s="1"/>
  <c r="T564" i="3"/>
  <c r="D24" i="1"/>
  <c r="D7" i="1"/>
  <c r="F7" i="1" s="1"/>
  <c r="F8" i="1" s="1"/>
  <c r="F9" i="1" s="1"/>
  <c r="F10" i="1" s="1"/>
  <c r="F11" i="1" s="1"/>
  <c r="F12" i="1" s="1"/>
  <c r="F13" i="1" s="1"/>
  <c r="F14" i="1" s="1"/>
  <c r="F15" i="1" s="1"/>
  <c r="F16" i="1" s="1"/>
  <c r="R15" i="2"/>
  <c r="S15" i="2" s="1"/>
  <c r="L16" i="2"/>
  <c r="R16" i="2" s="1"/>
  <c r="S16" i="2" s="1"/>
  <c r="T16" i="2" s="1"/>
  <c r="R27" i="2"/>
  <c r="S27" i="2" s="1"/>
  <c r="T27" i="2" s="1"/>
  <c r="T29" i="2"/>
  <c r="S42" i="2"/>
  <c r="T42" i="2" s="1"/>
  <c r="S64" i="2"/>
  <c r="T64" i="2" s="1"/>
  <c r="R114" i="2"/>
  <c r="S114" i="2" s="1"/>
  <c r="T114" i="2" s="1"/>
  <c r="C423" i="8"/>
  <c r="D491" i="8"/>
  <c r="S194" i="2"/>
  <c r="T194" i="2" s="1"/>
  <c r="U194" i="2" s="1"/>
  <c r="Q393" i="2"/>
  <c r="P393" i="2"/>
  <c r="V393" i="2" s="1"/>
  <c r="M396" i="2"/>
  <c r="R396" i="2" s="1"/>
  <c r="S396" i="2" s="1"/>
  <c r="T396" i="2" s="1"/>
  <c r="S451" i="2"/>
  <c r="T451" i="2" s="1"/>
  <c r="Q480" i="2"/>
  <c r="P480" i="2"/>
  <c r="S547" i="2"/>
  <c r="T547" i="2" s="1"/>
  <c r="R593" i="2"/>
  <c r="M613" i="2"/>
  <c r="S682" i="2"/>
  <c r="T682" i="2" s="1"/>
  <c r="M745" i="2"/>
  <c r="R745" i="2" s="1"/>
  <c r="S745" i="2"/>
  <c r="T745" i="2" s="1"/>
  <c r="S793" i="2"/>
  <c r="T793" i="2" s="1"/>
  <c r="M793" i="2"/>
  <c r="D1214" i="8"/>
  <c r="C1168" i="8"/>
  <c r="D1284" i="8"/>
  <c r="G1284" i="8" s="1"/>
  <c r="S1121" i="2"/>
  <c r="T1121" i="2" s="1"/>
  <c r="U1121" i="2" s="1"/>
  <c r="C650" i="8"/>
  <c r="D662" i="8"/>
  <c r="S16" i="3"/>
  <c r="T16" i="3" s="1"/>
  <c r="Q20" i="3"/>
  <c r="P20" i="3"/>
  <c r="Q164" i="3"/>
  <c r="P164" i="3"/>
  <c r="D17" i="1"/>
  <c r="V129" i="2"/>
  <c r="R154" i="2"/>
  <c r="S154" i="2" s="1"/>
  <c r="T154" i="2" s="1"/>
  <c r="E257" i="1"/>
  <c r="D55" i="1"/>
  <c r="E140" i="1"/>
  <c r="T24" i="2"/>
  <c r="Q168" i="2"/>
  <c r="P168" i="2"/>
  <c r="Q209" i="2"/>
  <c r="P209" i="2"/>
  <c r="V209" i="2" s="1"/>
  <c r="R231" i="2"/>
  <c r="C1045" i="8"/>
  <c r="D1085" i="8"/>
  <c r="S248" i="2"/>
  <c r="T248" i="2" s="1"/>
  <c r="U248" i="2" s="1"/>
  <c r="Q400" i="2"/>
  <c r="P400" i="2"/>
  <c r="Q445" i="2"/>
  <c r="P445" i="2"/>
  <c r="S448" i="2"/>
  <c r="T448" i="2" s="1"/>
  <c r="R473" i="2"/>
  <c r="S473" i="2" s="1"/>
  <c r="T473" i="2" s="1"/>
  <c r="R490" i="2"/>
  <c r="Q497" i="2"/>
  <c r="P497" i="2"/>
  <c r="S665" i="2"/>
  <c r="T665" i="2" s="1"/>
  <c r="M683" i="2"/>
  <c r="Q698" i="2"/>
  <c r="P698" i="2"/>
  <c r="Q728" i="2"/>
  <c r="P728" i="2"/>
  <c r="M782" i="2"/>
  <c r="Q789" i="2"/>
  <c r="P789" i="2"/>
  <c r="S1060" i="2"/>
  <c r="T1060" i="2" s="1"/>
  <c r="U1060" i="2" s="1"/>
  <c r="Q65" i="3"/>
  <c r="P65" i="3"/>
  <c r="P45" i="2"/>
  <c r="Q45" i="2"/>
  <c r="S223" i="2"/>
  <c r="T223" i="2" s="1"/>
  <c r="Q302" i="2"/>
  <c r="P302" i="2"/>
  <c r="S482" i="2"/>
  <c r="T482" i="2" s="1"/>
  <c r="D1119" i="8"/>
  <c r="G1119" i="8" s="1"/>
  <c r="S752" i="2"/>
  <c r="T752" i="2" s="1"/>
  <c r="U752" i="2" s="1"/>
  <c r="Q1098" i="2"/>
  <c r="P1098" i="2"/>
  <c r="D130" i="1"/>
  <c r="C1284" i="8"/>
  <c r="R30" i="2"/>
  <c r="S30" i="2" s="1"/>
  <c r="T30" i="2" s="1"/>
  <c r="U30" i="2" s="1"/>
  <c r="R86" i="2"/>
  <c r="S86" i="2" s="1"/>
  <c r="T86" i="2" s="1"/>
  <c r="U86" i="2" s="1"/>
  <c r="U89" i="2"/>
  <c r="R99" i="2"/>
  <c r="S99" i="2" s="1"/>
  <c r="T99" i="2" s="1"/>
  <c r="M130" i="2"/>
  <c r="R130" i="2" s="1"/>
  <c r="S130" i="2" s="1"/>
  <c r="T130" i="2" s="1"/>
  <c r="R162" i="2"/>
  <c r="R175" i="2"/>
  <c r="S175" i="2" s="1"/>
  <c r="T175" i="2" s="1"/>
  <c r="S191" i="2"/>
  <c r="T191" i="2" s="1"/>
  <c r="U191" i="2" s="1"/>
  <c r="D960" i="8"/>
  <c r="G960" i="8" s="1"/>
  <c r="C895" i="8"/>
  <c r="M259" i="2"/>
  <c r="R259" i="2" s="1"/>
  <c r="S276" i="2"/>
  <c r="T276" i="2" s="1"/>
  <c r="U276" i="2" s="1"/>
  <c r="P299" i="2"/>
  <c r="Q299" i="2"/>
  <c r="S318" i="2"/>
  <c r="T318" i="2" s="1"/>
  <c r="U318" i="2" s="1"/>
  <c r="S341" i="2"/>
  <c r="T341" i="2" s="1"/>
  <c r="U341" i="2" s="1"/>
  <c r="R348" i="2"/>
  <c r="U354" i="2"/>
  <c r="P397" i="2"/>
  <c r="V397" i="2" s="1"/>
  <c r="Q397" i="2"/>
  <c r="S442" i="2"/>
  <c r="T442" i="2" s="1"/>
  <c r="M529" i="2"/>
  <c r="R529" i="2" s="1"/>
  <c r="S529" i="2" s="1"/>
  <c r="T529" i="2" s="1"/>
  <c r="R552" i="2"/>
  <c r="R577" i="2"/>
  <c r="U655" i="2"/>
  <c r="S658" i="2"/>
  <c r="T658" i="2" s="1"/>
  <c r="M720" i="2"/>
  <c r="P862" i="2"/>
  <c r="S964" i="2"/>
  <c r="T964" i="2" s="1"/>
  <c r="U964" i="2" s="1"/>
  <c r="E47" i="1"/>
  <c r="E119" i="1"/>
  <c r="Q55" i="2"/>
  <c r="P55" i="2"/>
  <c r="R62" i="2"/>
  <c r="S62" i="2" s="1"/>
  <c r="T62" i="2" s="1"/>
  <c r="Q182" i="2"/>
  <c r="P182" i="2"/>
  <c r="K205" i="2"/>
  <c r="Q220" i="2"/>
  <c r="P220" i="2"/>
  <c r="V220" i="2" s="1"/>
  <c r="C1186" i="8"/>
  <c r="M237" i="2"/>
  <c r="R237" i="2" s="1"/>
  <c r="S237" i="2" s="1"/>
  <c r="T237" i="2" s="1"/>
  <c r="S593" i="2"/>
  <c r="T593" i="2" s="1"/>
  <c r="U593" i="2" s="1"/>
  <c r="D1064" i="8"/>
  <c r="G1064" i="8" s="1"/>
  <c r="C1063" i="8"/>
  <c r="R746" i="2"/>
  <c r="S746" i="2" s="1"/>
  <c r="T746" i="2" s="1"/>
  <c r="Q779" i="2"/>
  <c r="P779" i="2"/>
  <c r="S814" i="2"/>
  <c r="T814" i="2" s="1"/>
  <c r="Q1005" i="2"/>
  <c r="P1005" i="2"/>
  <c r="P66" i="3"/>
  <c r="Q66" i="3"/>
  <c r="M152" i="3"/>
  <c r="R152" i="3" s="1"/>
  <c r="S152" i="3"/>
  <c r="T152" i="3" s="1"/>
  <c r="S40" i="2"/>
  <c r="T40" i="2" s="1"/>
  <c r="Q121" i="2"/>
  <c r="P121" i="2"/>
  <c r="S133" i="2"/>
  <c r="T133" i="2" s="1"/>
  <c r="U133" i="2" s="1"/>
  <c r="S231" i="2"/>
  <c r="T231" i="2" s="1"/>
  <c r="U231" i="2" s="1"/>
  <c r="Q255" i="2"/>
  <c r="P259" i="2"/>
  <c r="V259" i="2" s="1"/>
  <c r="S267" i="2"/>
  <c r="T267" i="2" s="1"/>
  <c r="R283" i="2"/>
  <c r="V315" i="2"/>
  <c r="D1288" i="8"/>
  <c r="G1288" i="8" s="1"/>
  <c r="C1032" i="8"/>
  <c r="P631" i="2"/>
  <c r="Q631" i="2"/>
  <c r="S648" i="2"/>
  <c r="T648" i="2" s="1"/>
  <c r="U648" i="2" s="1"/>
  <c r="R721" i="2"/>
  <c r="S721" i="2" s="1"/>
  <c r="T721" i="2" s="1"/>
  <c r="R804" i="2"/>
  <c r="S821" i="2"/>
  <c r="T821" i="2" s="1"/>
  <c r="V1088" i="2"/>
  <c r="M14" i="3"/>
  <c r="R14" i="3" s="1"/>
  <c r="S14" i="3"/>
  <c r="T14" i="3" s="1"/>
  <c r="S315" i="2"/>
  <c r="T315" i="2" s="1"/>
  <c r="M315" i="2"/>
  <c r="R315" i="2" s="1"/>
  <c r="S319" i="2"/>
  <c r="T319" i="2" s="1"/>
  <c r="U319" i="2" s="1"/>
  <c r="S382" i="2"/>
  <c r="T382" i="2" s="1"/>
  <c r="Q428" i="2"/>
  <c r="P428" i="2"/>
  <c r="R449" i="2"/>
  <c r="S449" i="2" s="1"/>
  <c r="T449" i="2" s="1"/>
  <c r="P487" i="2"/>
  <c r="S487" i="2" s="1"/>
  <c r="T487" i="2" s="1"/>
  <c r="U504" i="2"/>
  <c r="D493" i="8"/>
  <c r="G493" i="8" s="1"/>
  <c r="S533" i="2"/>
  <c r="T533" i="2" s="1"/>
  <c r="U533" i="2" s="1"/>
  <c r="M564" i="2"/>
  <c r="S574" i="2"/>
  <c r="T574" i="2" s="1"/>
  <c r="U574" i="2" s="1"/>
  <c r="Q811" i="2"/>
  <c r="P811" i="2"/>
  <c r="Q888" i="2"/>
  <c r="S961" i="2"/>
  <c r="T961" i="2" s="1"/>
  <c r="M961" i="2"/>
  <c r="R961" i="2" s="1"/>
  <c r="M1046" i="2"/>
  <c r="R1046" i="2" s="1"/>
  <c r="S1046" i="2"/>
  <c r="T1046" i="2" s="1"/>
  <c r="U1193" i="2"/>
  <c r="S110" i="3"/>
  <c r="T110" i="3" s="1"/>
  <c r="Q473" i="3"/>
  <c r="P473" i="3"/>
  <c r="M664" i="3"/>
  <c r="R664" i="3" s="1"/>
  <c r="Q217" i="2"/>
  <c r="P217" i="2"/>
  <c r="S361" i="2"/>
  <c r="T361" i="2" s="1"/>
  <c r="E17" i="1"/>
  <c r="V28" i="2"/>
  <c r="R28" i="2"/>
  <c r="S28" i="2" s="1"/>
  <c r="T28" i="2" s="1"/>
  <c r="C751" i="8"/>
  <c r="P56" i="2"/>
  <c r="Q56" i="2"/>
  <c r="Q152" i="2"/>
  <c r="P152" i="2"/>
  <c r="S162" i="2"/>
  <c r="T162" i="2" s="1"/>
  <c r="R169" i="2"/>
  <c r="S283" i="2"/>
  <c r="T283" i="2" s="1"/>
  <c r="U283" i="2" s="1"/>
  <c r="S345" i="2"/>
  <c r="T345" i="2" s="1"/>
  <c r="P425" i="2"/>
  <c r="Q425" i="2"/>
  <c r="S470" i="2"/>
  <c r="T470" i="2" s="1"/>
  <c r="M470" i="2"/>
  <c r="R470" i="2" s="1"/>
  <c r="S556" i="2"/>
  <c r="T556" i="2" s="1"/>
  <c r="S587" i="2"/>
  <c r="T587" i="2" s="1"/>
  <c r="V587" i="2"/>
  <c r="Q912" i="2"/>
  <c r="P912" i="2"/>
  <c r="M57" i="3"/>
  <c r="R57" i="3" s="1"/>
  <c r="S57" i="3" s="1"/>
  <c r="T57" i="3" s="1"/>
  <c r="M328" i="3"/>
  <c r="R328" i="3" s="1"/>
  <c r="S328" i="3" s="1"/>
  <c r="T328" i="3" s="1"/>
  <c r="Q419" i="3"/>
  <c r="P419" i="3"/>
  <c r="S5" i="2"/>
  <c r="T5" i="2" s="1"/>
  <c r="T25" i="2"/>
  <c r="S77" i="2"/>
  <c r="T77" i="2" s="1"/>
  <c r="U77" i="2" s="1"/>
  <c r="M93" i="2"/>
  <c r="R93" i="2" s="1"/>
  <c r="S105" i="2"/>
  <c r="T105" i="2" s="1"/>
  <c r="U105" i="2" s="1"/>
  <c r="Q109" i="2"/>
  <c r="P109" i="2"/>
  <c r="Q159" i="2"/>
  <c r="P159" i="2"/>
  <c r="Q183" i="2"/>
  <c r="P183" i="2"/>
  <c r="V260" i="2"/>
  <c r="Q312" i="2"/>
  <c r="P312" i="2"/>
  <c r="R327" i="2"/>
  <c r="S327" i="2" s="1"/>
  <c r="M394" i="2"/>
  <c r="R394" i="2" s="1"/>
  <c r="S394" i="2" s="1"/>
  <c r="T394" i="2" s="1"/>
  <c r="S417" i="2"/>
  <c r="T417" i="2" s="1"/>
  <c r="M421" i="2"/>
  <c r="M449" i="2"/>
  <c r="P459" i="2"/>
  <c r="S508" i="2"/>
  <c r="T508" i="2" s="1"/>
  <c r="U508" i="2" s="1"/>
  <c r="Q524" i="2"/>
  <c r="P524" i="2"/>
  <c r="R625" i="2"/>
  <c r="S645" i="2"/>
  <c r="T645" i="2" s="1"/>
  <c r="U645" i="2" s="1"/>
  <c r="S804" i="2"/>
  <c r="T804" i="2" s="1"/>
  <c r="M804" i="2"/>
  <c r="M826" i="2"/>
  <c r="S845" i="2"/>
  <c r="T845" i="2" s="1"/>
  <c r="U845" i="2" s="1"/>
  <c r="R879" i="2"/>
  <c r="S879" i="2" s="1"/>
  <c r="T879" i="2" s="1"/>
  <c r="R1030" i="2"/>
  <c r="R1231" i="2"/>
  <c r="S1231" i="2" s="1"/>
  <c r="T1231" i="2" s="1"/>
  <c r="U1231" i="2" s="1"/>
  <c r="Q325" i="3"/>
  <c r="P325" i="3"/>
  <c r="Q338" i="3"/>
  <c r="P338" i="3"/>
  <c r="U338" i="3" s="1"/>
  <c r="S352" i="3"/>
  <c r="T352" i="3" s="1"/>
  <c r="M352" i="3"/>
  <c r="P364" i="3"/>
  <c r="Q364" i="3"/>
  <c r="Q594" i="3"/>
  <c r="P594" i="3"/>
  <c r="M597" i="3"/>
  <c r="R597" i="3" s="1"/>
  <c r="S597" i="3" s="1"/>
  <c r="T597" i="3" s="1"/>
  <c r="M606" i="3"/>
  <c r="R606" i="3" s="1"/>
  <c r="S606" i="3" s="1"/>
  <c r="T606" i="3" s="1"/>
  <c r="C1378" i="8"/>
  <c r="D1441" i="8"/>
  <c r="S19" i="2"/>
  <c r="T19" i="2" s="1"/>
  <c r="C1169" i="8"/>
  <c r="D1347" i="8"/>
  <c r="G1347" i="8" s="1"/>
  <c r="S52" i="2"/>
  <c r="T52" i="2" s="1"/>
  <c r="S74" i="2"/>
  <c r="T74" i="2" s="1"/>
  <c r="R145" i="2"/>
  <c r="S145" i="2" s="1"/>
  <c r="T145" i="2" s="1"/>
  <c r="S149" i="2"/>
  <c r="T149" i="2" s="1"/>
  <c r="M155" i="2"/>
  <c r="R155" i="2" s="1"/>
  <c r="S155" i="2" s="1"/>
  <c r="T155" i="2" s="1"/>
  <c r="M169" i="2"/>
  <c r="U243" i="2"/>
  <c r="U355" i="2"/>
  <c r="M439" i="2"/>
  <c r="R439" i="2" s="1"/>
  <c r="S439" i="2" s="1"/>
  <c r="T439" i="2" s="1"/>
  <c r="Q557" i="2"/>
  <c r="P557" i="2"/>
  <c r="S567" i="2"/>
  <c r="T567" i="2" s="1"/>
  <c r="C119" i="8"/>
  <c r="D261" i="8"/>
  <c r="G261" i="8" s="1"/>
  <c r="S952" i="2"/>
  <c r="T952" i="2" s="1"/>
  <c r="Q1068" i="2"/>
  <c r="P1068" i="2"/>
  <c r="Q34" i="3"/>
  <c r="P34" i="3"/>
  <c r="S81" i="3"/>
  <c r="T81" i="3" s="1"/>
  <c r="M81" i="3"/>
  <c r="R81" i="3" s="1"/>
  <c r="M184" i="3"/>
  <c r="R184" i="3" s="1"/>
  <c r="S184" i="3"/>
  <c r="T184" i="3" s="1"/>
  <c r="Q711" i="3"/>
  <c r="P711" i="3"/>
  <c r="M739" i="3"/>
  <c r="R739" i="3" s="1"/>
  <c r="S739" i="3" s="1"/>
  <c r="T739" i="3" s="1"/>
  <c r="Q203" i="2"/>
  <c r="P203" i="2"/>
  <c r="C730" i="8"/>
  <c r="D813" i="8"/>
  <c r="G813" i="8" s="1"/>
  <c r="G51" i="8"/>
  <c r="S628" i="2"/>
  <c r="T628" i="2" s="1"/>
  <c r="Q718" i="2"/>
  <c r="P718" i="2"/>
  <c r="Q1019" i="2"/>
  <c r="P1019" i="2"/>
  <c r="Q347" i="3"/>
  <c r="P347" i="3"/>
  <c r="Q119" i="2"/>
  <c r="P119" i="2"/>
  <c r="S136" i="2"/>
  <c r="T136" i="2" s="1"/>
  <c r="U136" i="2" s="1"/>
  <c r="R190" i="2"/>
  <c r="S190" i="2" s="1"/>
  <c r="T190" i="2" s="1"/>
  <c r="U190" i="2" s="1"/>
  <c r="S348" i="2"/>
  <c r="T348" i="2" s="1"/>
  <c r="U348" i="2" s="1"/>
  <c r="S351" i="2"/>
  <c r="T351" i="2" s="1"/>
  <c r="U351" i="2" s="1"/>
  <c r="Q389" i="2"/>
  <c r="P389" i="2"/>
  <c r="R420" i="2"/>
  <c r="C1370" i="8"/>
  <c r="C1347" i="8"/>
  <c r="S545" i="2"/>
  <c r="T545" i="2" s="1"/>
  <c r="S625" i="2"/>
  <c r="T625" i="2" s="1"/>
  <c r="U625" i="2" s="1"/>
  <c r="M652" i="2"/>
  <c r="Q661" i="2"/>
  <c r="P661" i="2"/>
  <c r="R683" i="2"/>
  <c r="Q812" i="2"/>
  <c r="P812" i="2"/>
  <c r="M828" i="2"/>
  <c r="R828" i="2" s="1"/>
  <c r="S828" i="2" s="1"/>
  <c r="T828" i="2" s="1"/>
  <c r="C1249" i="8"/>
  <c r="S843" i="2"/>
  <c r="T843" i="2" s="1"/>
  <c r="U843" i="2" s="1"/>
  <c r="R883" i="2"/>
  <c r="S883" i="2" s="1"/>
  <c r="T883" i="2" s="1"/>
  <c r="D230" i="8"/>
  <c r="U930" i="2"/>
  <c r="S933" i="2"/>
  <c r="T933" i="2" s="1"/>
  <c r="M933" i="2"/>
  <c r="R933" i="2" s="1"/>
  <c r="R952" i="2"/>
  <c r="S1206" i="2"/>
  <c r="T1206" i="2" s="1"/>
  <c r="R17" i="3"/>
  <c r="M29" i="3"/>
  <c r="R29" i="3" s="1"/>
  <c r="S29" i="3" s="1"/>
  <c r="T29" i="3" s="1"/>
  <c r="P172" i="3"/>
  <c r="Q172" i="3"/>
  <c r="M274" i="3"/>
  <c r="R274" i="3" s="1"/>
  <c r="S274" i="3"/>
  <c r="T274" i="3" s="1"/>
  <c r="M480" i="3"/>
  <c r="R480" i="3" s="1"/>
  <c r="S480" i="3" s="1"/>
  <c r="T480" i="3" s="1"/>
  <c r="R541" i="3"/>
  <c r="Q725" i="3"/>
  <c r="P725" i="3"/>
  <c r="C227" i="8"/>
  <c r="C1014" i="8"/>
  <c r="Q297" i="3"/>
  <c r="P297" i="3"/>
  <c r="D69" i="8"/>
  <c r="C59" i="8"/>
  <c r="Q41" i="2"/>
  <c r="P41" i="2"/>
  <c r="C701" i="8"/>
  <c r="D706" i="8"/>
  <c r="G706" i="8" s="1"/>
  <c r="D1301" i="8"/>
  <c r="C1070" i="8"/>
  <c r="S273" i="2"/>
  <c r="T273" i="2" s="1"/>
  <c r="D20" i="8"/>
  <c r="R313" i="2"/>
  <c r="S313" i="2" s="1"/>
  <c r="T313" i="2" s="1"/>
  <c r="D958" i="8"/>
  <c r="G958" i="8" s="1"/>
  <c r="C881" i="8"/>
  <c r="Q346" i="2"/>
  <c r="P346" i="2"/>
  <c r="C532" i="8"/>
  <c r="Q378" i="2"/>
  <c r="P378" i="2"/>
  <c r="Q395" i="2"/>
  <c r="P395" i="2"/>
  <c r="V395" i="2" s="1"/>
  <c r="M414" i="2"/>
  <c r="R414" i="2" s="1"/>
  <c r="S414" i="2" s="1"/>
  <c r="T414" i="2" s="1"/>
  <c r="Q423" i="2"/>
  <c r="P423" i="2"/>
  <c r="S431" i="2"/>
  <c r="T431" i="2" s="1"/>
  <c r="M446" i="2"/>
  <c r="R446" i="2" s="1"/>
  <c r="S446" i="2" s="1"/>
  <c r="T446" i="2" s="1"/>
  <c r="R460" i="2"/>
  <c r="Q463" i="2"/>
  <c r="P463" i="2"/>
  <c r="S468" i="2"/>
  <c r="T468" i="2" s="1"/>
  <c r="S568" i="2"/>
  <c r="T568" i="2" s="1"/>
  <c r="G1452" i="8"/>
  <c r="M614" i="2"/>
  <c r="R614" i="2" s="1"/>
  <c r="S614" i="2" s="1"/>
  <c r="T614" i="2" s="1"/>
  <c r="R632" i="2"/>
  <c r="S632" i="2" s="1"/>
  <c r="T632" i="2" s="1"/>
  <c r="U632" i="2" s="1"/>
  <c r="S796" i="2"/>
  <c r="T796" i="2" s="1"/>
  <c r="V854" i="2"/>
  <c r="Q863" i="2"/>
  <c r="P863" i="2"/>
  <c r="P889" i="2"/>
  <c r="V889" i="2" s="1"/>
  <c r="Q889" i="2"/>
  <c r="M1002" i="2"/>
  <c r="R1002" i="2" s="1"/>
  <c r="S1002" i="2" s="1"/>
  <c r="T1002" i="2" s="1"/>
  <c r="S1077" i="2"/>
  <c r="T1077" i="2" s="1"/>
  <c r="S1105" i="2"/>
  <c r="T1105" i="2" s="1"/>
  <c r="U1105" i="2" s="1"/>
  <c r="R1124" i="2"/>
  <c r="S1124" i="2" s="1"/>
  <c r="T1124" i="2" s="1"/>
  <c r="U1124" i="2" s="1"/>
  <c r="R1139" i="2"/>
  <c r="S1139" i="2" s="1"/>
  <c r="T1139" i="2" s="1"/>
  <c r="S1146" i="2"/>
  <c r="T1146" i="2" s="1"/>
  <c r="U1146" i="2" s="1"/>
  <c r="U17" i="3"/>
  <c r="U20" i="3"/>
  <c r="S43" i="3"/>
  <c r="T43" i="3" s="1"/>
  <c r="M90" i="3"/>
  <c r="Q158" i="3"/>
  <c r="P158" i="3"/>
  <c r="Q405" i="3"/>
  <c r="P405" i="3"/>
  <c r="R530" i="3"/>
  <c r="M588" i="3"/>
  <c r="R588" i="3" s="1"/>
  <c r="S588" i="3" s="1"/>
  <c r="T588" i="3" s="1"/>
  <c r="Q818" i="3"/>
  <c r="P818" i="3"/>
  <c r="C62" i="8"/>
  <c r="S288" i="2"/>
  <c r="T288" i="2" s="1"/>
  <c r="U288" i="2" s="1"/>
  <c r="M296" i="2"/>
  <c r="R296" i="2" s="1"/>
  <c r="S296" i="2" s="1"/>
  <c r="T296" i="2" s="1"/>
  <c r="Q411" i="2"/>
  <c r="P411" i="2"/>
  <c r="G666" i="8"/>
  <c r="D518" i="8"/>
  <c r="S980" i="2"/>
  <c r="T980" i="2" s="1"/>
  <c r="U980" i="2" s="1"/>
  <c r="S1117" i="2"/>
  <c r="T1117" i="2" s="1"/>
  <c r="U1117" i="2" s="1"/>
  <c r="Q1197" i="2"/>
  <c r="P1197" i="2"/>
  <c r="S93" i="3"/>
  <c r="T93" i="3" s="1"/>
  <c r="M93" i="3"/>
  <c r="R93" i="3" s="1"/>
  <c r="S23" i="2"/>
  <c r="D1435" i="8"/>
  <c r="C1313" i="8"/>
  <c r="Q58" i="2"/>
  <c r="P58" i="2"/>
  <c r="N1238" i="2"/>
  <c r="M124" i="2"/>
  <c r="R124" i="2" s="1"/>
  <c r="S124" i="2" s="1"/>
  <c r="T124" i="2" s="1"/>
  <c r="Q185" i="2"/>
  <c r="P185" i="2"/>
  <c r="S234" i="2"/>
  <c r="T234" i="2" s="1"/>
  <c r="U234" i="2" s="1"/>
  <c r="R375" i="2"/>
  <c r="S375" i="2" s="1"/>
  <c r="T375" i="2" s="1"/>
  <c r="M477" i="2"/>
  <c r="S493" i="2"/>
  <c r="T493" i="2" s="1"/>
  <c r="P560" i="2"/>
  <c r="Q560" i="2"/>
  <c r="S577" i="2"/>
  <c r="T577" i="2" s="1"/>
  <c r="U577" i="2" s="1"/>
  <c r="M585" i="2"/>
  <c r="S667" i="2"/>
  <c r="T667" i="2" s="1"/>
  <c r="U667" i="2" s="1"/>
  <c r="M689" i="2"/>
  <c r="R689" i="2" s="1"/>
  <c r="S689" i="2" s="1"/>
  <c r="T689" i="2" s="1"/>
  <c r="U756" i="2"/>
  <c r="S832" i="2"/>
  <c r="T832" i="2" s="1"/>
  <c r="M874" i="2"/>
  <c r="R874" i="2" s="1"/>
  <c r="S874" i="2" s="1"/>
  <c r="T874" i="2" s="1"/>
  <c r="S920" i="2"/>
  <c r="T920" i="2" s="1"/>
  <c r="S977" i="2"/>
  <c r="T977" i="2" s="1"/>
  <c r="U977" i="2" s="1"/>
  <c r="R1025" i="2"/>
  <c r="Q1047" i="2"/>
  <c r="P1047" i="2"/>
  <c r="V1047" i="2" s="1"/>
  <c r="P1078" i="2"/>
  <c r="Q1078" i="2"/>
  <c r="Q12" i="3"/>
  <c r="P12" i="3"/>
  <c r="T131" i="3"/>
  <c r="M183" i="3"/>
  <c r="R183" i="3" s="1"/>
  <c r="S183" i="3"/>
  <c r="T183" i="3" s="1"/>
  <c r="S203" i="3"/>
  <c r="T203" i="3" s="1"/>
  <c r="M203" i="3"/>
  <c r="R203" i="3" s="1"/>
  <c r="S287" i="3"/>
  <c r="T287" i="3" s="1"/>
  <c r="Q454" i="3"/>
  <c r="P454" i="3"/>
  <c r="M613" i="3"/>
  <c r="R613" i="3" s="1"/>
  <c r="S613" i="3" s="1"/>
  <c r="T613" i="3" s="1"/>
  <c r="P65" i="2"/>
  <c r="Q150" i="2"/>
  <c r="P150" i="2"/>
  <c r="P157" i="2"/>
  <c r="Q170" i="2"/>
  <c r="P170" i="2"/>
  <c r="S206" i="2"/>
  <c r="T206" i="2" s="1"/>
  <c r="S246" i="2"/>
  <c r="T246" i="2" s="1"/>
  <c r="U246" i="2" s="1"/>
  <c r="M266" i="2"/>
  <c r="R266" i="2" s="1"/>
  <c r="S266" i="2" s="1"/>
  <c r="T266" i="2" s="1"/>
  <c r="D64" i="8"/>
  <c r="G64" i="8" s="1"/>
  <c r="C52" i="8"/>
  <c r="S335" i="2"/>
  <c r="T335" i="2" s="1"/>
  <c r="C687" i="8"/>
  <c r="D692" i="8"/>
  <c r="G692" i="8" s="1"/>
  <c r="D253" i="8"/>
  <c r="C65" i="8"/>
  <c r="P440" i="2"/>
  <c r="Q440" i="2"/>
  <c r="R477" i="2"/>
  <c r="S477" i="2" s="1"/>
  <c r="T477" i="2" s="1"/>
  <c r="M519" i="2"/>
  <c r="R519" i="2" s="1"/>
  <c r="S519" i="2" s="1"/>
  <c r="T519" i="2" s="1"/>
  <c r="G983" i="8"/>
  <c r="S548" i="2"/>
  <c r="T548" i="2" s="1"/>
  <c r="S572" i="2"/>
  <c r="T572" i="2" s="1"/>
  <c r="R575" i="2"/>
  <c r="U604" i="2"/>
  <c r="R623" i="2"/>
  <c r="S623" i="2" s="1"/>
  <c r="T623" i="2" s="1"/>
  <c r="Q643" i="2"/>
  <c r="P643" i="2"/>
  <c r="S656" i="2"/>
  <c r="T656" i="2" s="1"/>
  <c r="R665" i="2"/>
  <c r="M702" i="2"/>
  <c r="R702" i="2" s="1"/>
  <c r="C518" i="8"/>
  <c r="D528" i="8"/>
  <c r="G528" i="8" s="1"/>
  <c r="S750" i="2"/>
  <c r="T750" i="2" s="1"/>
  <c r="U750" i="2" s="1"/>
  <c r="S786" i="2"/>
  <c r="T786" i="2" s="1"/>
  <c r="Q822" i="2"/>
  <c r="P822" i="2"/>
  <c r="R826" i="2"/>
  <c r="S826" i="2" s="1"/>
  <c r="T826" i="2" s="1"/>
  <c r="S851" i="2"/>
  <c r="T851" i="2" s="1"/>
  <c r="P883" i="2"/>
  <c r="V883" i="2" s="1"/>
  <c r="Q934" i="2"/>
  <c r="P934" i="2"/>
  <c r="V934" i="2" s="1"/>
  <c r="M1025" i="2"/>
  <c r="Q37" i="3"/>
  <c r="P37" i="3"/>
  <c r="M370" i="3"/>
  <c r="R370" i="3" s="1"/>
  <c r="S370" i="3"/>
  <c r="T370" i="3" s="1"/>
  <c r="Q412" i="3"/>
  <c r="P412" i="3"/>
  <c r="Q470" i="3"/>
  <c r="P470" i="3"/>
  <c r="M541" i="3"/>
  <c r="S541" i="3"/>
  <c r="T541" i="3" s="1"/>
  <c r="R610" i="3"/>
  <c r="S610" i="3" s="1"/>
  <c r="T610" i="3" s="1"/>
  <c r="P702" i="3"/>
  <c r="Q702" i="3"/>
  <c r="R364" i="2"/>
  <c r="S364" i="2" s="1"/>
  <c r="T364" i="2" s="1"/>
  <c r="U364" i="2" s="1"/>
  <c r="S724" i="2"/>
  <c r="T724" i="2" s="1"/>
  <c r="S762" i="2"/>
  <c r="T762" i="2" s="1"/>
  <c r="U762" i="2" s="1"/>
  <c r="M839" i="2"/>
  <c r="R839" i="2" s="1"/>
  <c r="S839" i="2" s="1"/>
  <c r="T839" i="2" s="1"/>
  <c r="Q1228" i="2"/>
  <c r="P1228" i="2"/>
  <c r="Q291" i="3"/>
  <c r="P291" i="3"/>
  <c r="S466" i="3"/>
  <c r="T466" i="3" s="1"/>
  <c r="M466" i="3"/>
  <c r="R466" i="3" s="1"/>
  <c r="D1147" i="8"/>
  <c r="G1147" i="8" s="1"/>
  <c r="C1015" i="8"/>
  <c r="M43" i="2"/>
  <c r="R43" i="2" s="1"/>
  <c r="S43" i="2" s="1"/>
  <c r="T43" i="2" s="1"/>
  <c r="Q107" i="2"/>
  <c r="P107" i="2"/>
  <c r="Q117" i="2"/>
  <c r="P117" i="2"/>
  <c r="C22" i="8"/>
  <c r="D41" i="8"/>
  <c r="G41" i="8" s="1"/>
  <c r="Q215" i="2"/>
  <c r="P215" i="2"/>
  <c r="V215" i="2" s="1"/>
  <c r="R244" i="2"/>
  <c r="R260" i="2"/>
  <c r="Q263" i="2"/>
  <c r="P263" i="2"/>
  <c r="Q300" i="2"/>
  <c r="P300" i="2"/>
  <c r="C15" i="8"/>
  <c r="D104" i="8"/>
  <c r="G104" i="8" s="1"/>
  <c r="P316" i="2"/>
  <c r="V316" i="2" s="1"/>
  <c r="Q325" i="2"/>
  <c r="P325" i="2"/>
  <c r="Q408" i="2"/>
  <c r="P420" i="2"/>
  <c r="R432" i="2"/>
  <c r="S432" i="2" s="1"/>
  <c r="T432" i="2" s="1"/>
  <c r="Q522" i="2"/>
  <c r="P522" i="2"/>
  <c r="S563" i="2"/>
  <c r="T563" i="2" s="1"/>
  <c r="M563" i="2"/>
  <c r="R563" i="2" s="1"/>
  <c r="P635" i="2"/>
  <c r="S646" i="2"/>
  <c r="T646" i="2" s="1"/>
  <c r="U646" i="2" s="1"/>
  <c r="P683" i="2"/>
  <c r="D815" i="8"/>
  <c r="G815" i="8" s="1"/>
  <c r="Q797" i="2"/>
  <c r="P797" i="2"/>
  <c r="P819" i="2"/>
  <c r="S819" i="2" s="1"/>
  <c r="T819" i="2" s="1"/>
  <c r="Q840" i="2"/>
  <c r="S880" i="2"/>
  <c r="T880" i="2" s="1"/>
  <c r="M880" i="2"/>
  <c r="M917" i="2"/>
  <c r="R917" i="2" s="1"/>
  <c r="S917" i="2" s="1"/>
  <c r="T917" i="2" s="1"/>
  <c r="S949" i="2"/>
  <c r="T949" i="2" s="1"/>
  <c r="U949" i="2" s="1"/>
  <c r="M1040" i="2"/>
  <c r="R1040" i="2" s="1"/>
  <c r="S1040" i="2" s="1"/>
  <c r="T1040" i="2" s="1"/>
  <c r="V1089" i="2"/>
  <c r="S1089" i="2"/>
  <c r="T1089" i="2" s="1"/>
  <c r="S1162" i="2"/>
  <c r="T1162" i="2" s="1"/>
  <c r="U1162" i="2" s="1"/>
  <c r="Q1198" i="2"/>
  <c r="P1198" i="2"/>
  <c r="Q177" i="3"/>
  <c r="P177" i="3"/>
  <c r="M320" i="3"/>
  <c r="Q336" i="3"/>
  <c r="P336" i="3"/>
  <c r="U336" i="3" s="1"/>
  <c r="M457" i="3"/>
  <c r="P466" i="3"/>
  <c r="M515" i="3"/>
  <c r="M542" i="3"/>
  <c r="S542" i="3"/>
  <c r="S35" i="2"/>
  <c r="T35" i="2" s="1"/>
  <c r="U35" i="2" s="1"/>
  <c r="S65" i="2"/>
  <c r="T65" i="2" s="1"/>
  <c r="M129" i="2"/>
  <c r="R129" i="2" s="1"/>
  <c r="S129" i="2" s="1"/>
  <c r="T129" i="2" s="1"/>
  <c r="S157" i="2"/>
  <c r="T157" i="2" s="1"/>
  <c r="D1066" i="8"/>
  <c r="G1066" i="8" s="1"/>
  <c r="C1059" i="8"/>
  <c r="Q201" i="2"/>
  <c r="P201" i="2"/>
  <c r="D814" i="8"/>
  <c r="G814" i="8" s="1"/>
  <c r="C799" i="8"/>
  <c r="V398" i="2"/>
  <c r="R406" i="2"/>
  <c r="S406" i="2" s="1"/>
  <c r="T406" i="2" s="1"/>
  <c r="U406" i="2" s="1"/>
  <c r="S412" i="2"/>
  <c r="T412" i="2" s="1"/>
  <c r="U412" i="2" s="1"/>
  <c r="M443" i="2"/>
  <c r="Q452" i="2"/>
  <c r="P452" i="2"/>
  <c r="S460" i="2"/>
  <c r="T460" i="2" s="1"/>
  <c r="Q469" i="2"/>
  <c r="P469" i="2"/>
  <c r="M472" i="2"/>
  <c r="R472" i="2" s="1"/>
  <c r="S472" i="2" s="1"/>
  <c r="T472" i="2" s="1"/>
  <c r="P477" i="2"/>
  <c r="Q483" i="2"/>
  <c r="P483" i="2"/>
  <c r="S500" i="2"/>
  <c r="T500" i="2" s="1"/>
  <c r="U500" i="2" s="1"/>
  <c r="S527" i="2"/>
  <c r="T527" i="2" s="1"/>
  <c r="R647" i="2"/>
  <c r="S647" i="2" s="1"/>
  <c r="R662" i="2"/>
  <c r="S662" i="2" s="1"/>
  <c r="T662" i="2" s="1"/>
  <c r="S760" i="2"/>
  <c r="T760" i="2" s="1"/>
  <c r="U760" i="2" s="1"/>
  <c r="M803" i="2"/>
  <c r="R803" i="2" s="1"/>
  <c r="S803" i="2" s="1"/>
  <c r="T803" i="2" s="1"/>
  <c r="M851" i="2"/>
  <c r="R851" i="2" s="1"/>
  <c r="S893" i="2"/>
  <c r="T893" i="2" s="1"/>
  <c r="Q910" i="2"/>
  <c r="P910" i="2"/>
  <c r="V962" i="2"/>
  <c r="R978" i="2"/>
  <c r="S978" i="2" s="1"/>
  <c r="T978" i="2" s="1"/>
  <c r="U978" i="2" s="1"/>
  <c r="P1044" i="2"/>
  <c r="V1044" i="2" s="1"/>
  <c r="Q1044" i="2"/>
  <c r="S1086" i="2"/>
  <c r="T1086" i="2" s="1"/>
  <c r="S1115" i="2"/>
  <c r="T1115" i="2" s="1"/>
  <c r="U1115" i="2" s="1"/>
  <c r="R1121" i="2"/>
  <c r="R78" i="3"/>
  <c r="S78" i="3" s="1"/>
  <c r="T78" i="3" s="1"/>
  <c r="M84" i="3"/>
  <c r="M362" i="3"/>
  <c r="R362" i="3" s="1"/>
  <c r="S362" i="3"/>
  <c r="T362" i="3" s="1"/>
  <c r="C1393" i="8"/>
  <c r="C1269" i="8"/>
  <c r="D1277" i="8"/>
  <c r="G1277" i="8" s="1"/>
  <c r="Q127" i="2"/>
  <c r="P127" i="2"/>
  <c r="D1141" i="8"/>
  <c r="G1141" i="8" s="1"/>
  <c r="C1114" i="8"/>
  <c r="R163" i="2"/>
  <c r="C1067" i="8"/>
  <c r="D1120" i="8"/>
  <c r="R207" i="2"/>
  <c r="S207" i="2" s="1"/>
  <c r="T207" i="2" s="1"/>
  <c r="V221" i="2"/>
  <c r="R373" i="2"/>
  <c r="S373" i="2" s="1"/>
  <c r="T373" i="2" s="1"/>
  <c r="M398" i="2"/>
  <c r="R398" i="2" s="1"/>
  <c r="S398" i="2" s="1"/>
  <c r="T398" i="2" s="1"/>
  <c r="R435" i="2"/>
  <c r="S435" i="2" s="1"/>
  <c r="T435" i="2" s="1"/>
  <c r="S437" i="2"/>
  <c r="T437" i="2" s="1"/>
  <c r="S466" i="2"/>
  <c r="T466" i="2" s="1"/>
  <c r="R538" i="2"/>
  <c r="S538" i="2" s="1"/>
  <c r="S546" i="2"/>
  <c r="T546" i="2" s="1"/>
  <c r="S591" i="2"/>
  <c r="T591" i="2" s="1"/>
  <c r="U591" i="2" s="1"/>
  <c r="S605" i="2"/>
  <c r="T605" i="2" s="1"/>
  <c r="U605" i="2" s="1"/>
  <c r="S620" i="2"/>
  <c r="T620" i="2" s="1"/>
  <c r="C1388" i="8"/>
  <c r="D1422" i="8"/>
  <c r="M699" i="2"/>
  <c r="R699" i="2" s="1"/>
  <c r="S699" i="2" s="1"/>
  <c r="T699" i="2" s="1"/>
  <c r="M712" i="2"/>
  <c r="R712" i="2" s="1"/>
  <c r="S712" i="2" s="1"/>
  <c r="T712" i="2" s="1"/>
  <c r="S722" i="2"/>
  <c r="T722" i="2" s="1"/>
  <c r="M722" i="2"/>
  <c r="R722" i="2" s="1"/>
  <c r="U738" i="2"/>
  <c r="M744" i="2"/>
  <c r="R744" i="2" s="1"/>
  <c r="S744" i="2" s="1"/>
  <c r="T744" i="2" s="1"/>
  <c r="R748" i="2"/>
  <c r="S748" i="2" s="1"/>
  <c r="T748" i="2" s="1"/>
  <c r="U748" i="2" s="1"/>
  <c r="C688" i="8"/>
  <c r="S766" i="2"/>
  <c r="T766" i="2" s="1"/>
  <c r="U766" i="2" s="1"/>
  <c r="R784" i="2"/>
  <c r="S784" i="2" s="1"/>
  <c r="T784" i="2" s="1"/>
  <c r="M809" i="2"/>
  <c r="R809" i="2" s="1"/>
  <c r="S809" i="2" s="1"/>
  <c r="T809" i="2" s="1"/>
  <c r="M829" i="2"/>
  <c r="R829" i="2" s="1"/>
  <c r="S829" i="2" s="1"/>
  <c r="T829" i="2" s="1"/>
  <c r="S847" i="2"/>
  <c r="T847" i="2" s="1"/>
  <c r="U847" i="2" s="1"/>
  <c r="S859" i="2"/>
  <c r="T859" i="2" s="1"/>
  <c r="R907" i="2"/>
  <c r="S907" i="2" s="1"/>
  <c r="T907" i="2" s="1"/>
  <c r="Q918" i="2"/>
  <c r="P918" i="2"/>
  <c r="R941" i="2"/>
  <c r="S941" i="2" s="1"/>
  <c r="T941" i="2" s="1"/>
  <c r="S974" i="2"/>
  <c r="T974" i="2" s="1"/>
  <c r="U974" i="2" s="1"/>
  <c r="P1025" i="2"/>
  <c r="P1096" i="2"/>
  <c r="Q1096" i="2"/>
  <c r="S1243" i="2"/>
  <c r="T1243" i="2" s="1"/>
  <c r="U59" i="3"/>
  <c r="M115" i="3"/>
  <c r="R115" i="3" s="1"/>
  <c r="S115" i="3" s="1"/>
  <c r="T115" i="3" s="1"/>
  <c r="Q147" i="3"/>
  <c r="P147" i="3"/>
  <c r="P216" i="3"/>
  <c r="Q216" i="3"/>
  <c r="M401" i="3"/>
  <c r="R401" i="3" s="1"/>
  <c r="S401" i="3"/>
  <c r="T401" i="3" s="1"/>
  <c r="M680" i="3"/>
  <c r="R680" i="3" s="1"/>
  <c r="S680" i="3"/>
  <c r="T680" i="3" s="1"/>
  <c r="Q746" i="3"/>
  <c r="P746" i="3"/>
  <c r="Q791" i="3"/>
  <c r="P791" i="3"/>
  <c r="D615" i="8"/>
  <c r="G615" i="8" s="1"/>
  <c r="C167" i="8"/>
  <c r="S92" i="2"/>
  <c r="T92" i="2" s="1"/>
  <c r="Q115" i="2"/>
  <c r="P115" i="2"/>
  <c r="S232" i="2"/>
  <c r="T232" i="2" s="1"/>
  <c r="D289" i="8"/>
  <c r="G289" i="8" s="1"/>
  <c r="C288" i="8"/>
  <c r="S244" i="2"/>
  <c r="T244" i="2" s="1"/>
  <c r="U244" i="2" s="1"/>
  <c r="S260" i="2"/>
  <c r="T260" i="2" s="1"/>
  <c r="R314" i="2"/>
  <c r="S314" i="2" s="1"/>
  <c r="T314" i="2" s="1"/>
  <c r="D948" i="8"/>
  <c r="G948" i="8" s="1"/>
  <c r="C891" i="8"/>
  <c r="Q376" i="2"/>
  <c r="P376" i="2"/>
  <c r="Q390" i="2"/>
  <c r="P390" i="2"/>
  <c r="P415" i="2"/>
  <c r="Q441" i="2"/>
  <c r="P441" i="2"/>
  <c r="S447" i="2"/>
  <c r="T447" i="2" s="1"/>
  <c r="M458" i="2"/>
  <c r="R458" i="2" s="1"/>
  <c r="S458" i="2" s="1"/>
  <c r="T458" i="2" s="1"/>
  <c r="Q478" i="2"/>
  <c r="P478" i="2"/>
  <c r="D421" i="8"/>
  <c r="G421" i="8" s="1"/>
  <c r="C405" i="8"/>
  <c r="S530" i="2"/>
  <c r="T530" i="2" s="1"/>
  <c r="S552" i="2"/>
  <c r="T552" i="2" s="1"/>
  <c r="S555" i="2"/>
  <c r="T555" i="2" s="1"/>
  <c r="Q586" i="2"/>
  <c r="P586" i="2"/>
  <c r="V586" i="2" s="1"/>
  <c r="R615" i="2"/>
  <c r="S615" i="2" s="1"/>
  <c r="T615" i="2" s="1"/>
  <c r="Q636" i="2"/>
  <c r="P636" i="2"/>
  <c r="S668" i="2"/>
  <c r="T668" i="2" s="1"/>
  <c r="U668" i="2" s="1"/>
  <c r="Q703" i="2"/>
  <c r="P703" i="2"/>
  <c r="S713" i="2"/>
  <c r="T713" i="2" s="1"/>
  <c r="S794" i="2"/>
  <c r="T794" i="2" s="1"/>
  <c r="Q894" i="2"/>
  <c r="P894" i="2"/>
  <c r="V894" i="2" s="1"/>
  <c r="Q1023" i="2"/>
  <c r="P1023" i="2"/>
  <c r="M1079" i="2"/>
  <c r="R1079" i="2" s="1"/>
  <c r="S1079" i="2"/>
  <c r="T1079" i="2" s="1"/>
  <c r="P1093" i="2"/>
  <c r="Q1093" i="2"/>
  <c r="M1208" i="2"/>
  <c r="Q1225" i="2"/>
  <c r="P1225" i="2"/>
  <c r="V1225" i="2" s="1"/>
  <c r="S59" i="3"/>
  <c r="T59" i="3" s="1"/>
  <c r="M196" i="3"/>
  <c r="R196" i="3" s="1"/>
  <c r="S196" i="3"/>
  <c r="T196" i="3" s="1"/>
  <c r="Q394" i="3"/>
  <c r="P394" i="3"/>
  <c r="P603" i="3"/>
  <c r="Q603" i="3"/>
  <c r="R196" i="2"/>
  <c r="S196" i="2" s="1"/>
  <c r="T196" i="2" s="1"/>
  <c r="U196" i="2" s="1"/>
  <c r="S224" i="2"/>
  <c r="T224" i="2" s="1"/>
  <c r="G603" i="8"/>
  <c r="R347" i="2"/>
  <c r="S347" i="2" s="1"/>
  <c r="T347" i="2" s="1"/>
  <c r="U347" i="2" s="1"/>
  <c r="R363" i="2"/>
  <c r="S363" i="2" s="1"/>
  <c r="T363" i="2" s="1"/>
  <c r="U363" i="2" s="1"/>
  <c r="Q371" i="2"/>
  <c r="P371" i="2"/>
  <c r="C244" i="8"/>
  <c r="P418" i="2"/>
  <c r="Q418" i="2"/>
  <c r="Q464" i="2"/>
  <c r="P464" i="2"/>
  <c r="R475" i="2"/>
  <c r="S475" i="2" s="1"/>
  <c r="T475" i="2" s="1"/>
  <c r="R576" i="2"/>
  <c r="S576" i="2" s="1"/>
  <c r="T576" i="2" s="1"/>
  <c r="U576" i="2" s="1"/>
  <c r="G1122" i="8"/>
  <c r="R633" i="2"/>
  <c r="S633" i="2" s="1"/>
  <c r="T633" i="2" s="1"/>
  <c r="U633" i="2" s="1"/>
  <c r="M662" i="2"/>
  <c r="R713" i="2"/>
  <c r="M719" i="2"/>
  <c r="R719" i="2" s="1"/>
  <c r="S719" i="2" s="1"/>
  <c r="T719" i="2" s="1"/>
  <c r="S781" i="2"/>
  <c r="T781" i="2" s="1"/>
  <c r="Q791" i="2"/>
  <c r="P791" i="2"/>
  <c r="R817" i="2"/>
  <c r="S817" i="2" s="1"/>
  <c r="T817" i="2" s="1"/>
  <c r="Q830" i="2"/>
  <c r="P830" i="2"/>
  <c r="V848" i="2"/>
  <c r="S878" i="2"/>
  <c r="T878" i="2" s="1"/>
  <c r="M878" i="2"/>
  <c r="R929" i="2"/>
  <c r="S929" i="2" s="1"/>
  <c r="T929" i="2" s="1"/>
  <c r="U929" i="2" s="1"/>
  <c r="G1423" i="8"/>
  <c r="Q975" i="2"/>
  <c r="P975" i="2"/>
  <c r="S1010" i="2"/>
  <c r="T1010" i="2" s="1"/>
  <c r="M1010" i="2"/>
  <c r="R1010" i="2" s="1"/>
  <c r="S1055" i="2"/>
  <c r="T1055" i="2" s="1"/>
  <c r="U1055" i="2" s="1"/>
  <c r="R1084" i="2"/>
  <c r="S1084" i="2" s="1"/>
  <c r="T1084" i="2" s="1"/>
  <c r="U1084" i="2" s="1"/>
  <c r="M27" i="3"/>
  <c r="R27" i="3" s="1"/>
  <c r="S27" i="3" s="1"/>
  <c r="T27" i="3" s="1"/>
  <c r="R85" i="3"/>
  <c r="S85" i="3" s="1"/>
  <c r="T85" i="3" s="1"/>
  <c r="Q317" i="3"/>
  <c r="P317" i="3"/>
  <c r="M828" i="3"/>
  <c r="R828" i="3" s="1"/>
  <c r="R49" i="2"/>
  <c r="S49" i="2" s="1"/>
  <c r="T49" i="2" s="1"/>
  <c r="R98" i="2"/>
  <c r="S98" i="2" s="1"/>
  <c r="T98" i="2" s="1"/>
  <c r="Q125" i="2"/>
  <c r="P125" i="2"/>
  <c r="S210" i="2"/>
  <c r="T210" i="2" s="1"/>
  <c r="G1080" i="8"/>
  <c r="R447" i="2"/>
  <c r="R453" i="2"/>
  <c r="Q520" i="2"/>
  <c r="P520" i="2"/>
  <c r="R531" i="2"/>
  <c r="Q589" i="2"/>
  <c r="P589" i="2"/>
  <c r="S612" i="2"/>
  <c r="T612" i="2" s="1"/>
  <c r="R678" i="2"/>
  <c r="S678" i="2" s="1"/>
  <c r="T678" i="2" s="1"/>
  <c r="Q726" i="2"/>
  <c r="P726" i="2"/>
  <c r="R764" i="2"/>
  <c r="M787" i="2"/>
  <c r="R787" i="2" s="1"/>
  <c r="S787" i="2"/>
  <c r="T787" i="2" s="1"/>
  <c r="R915" i="2"/>
  <c r="V932" i="2"/>
  <c r="S932" i="2"/>
  <c r="T932" i="2" s="1"/>
  <c r="R969" i="2"/>
  <c r="S969" i="2" s="1"/>
  <c r="T969" i="2" s="1"/>
  <c r="U969" i="2" s="1"/>
  <c r="D934" i="8"/>
  <c r="C926" i="8"/>
  <c r="S1052" i="2"/>
  <c r="T1052" i="2" s="1"/>
  <c r="U1052" i="2" s="1"/>
  <c r="M1100" i="2"/>
  <c r="R1100" i="2" s="1"/>
  <c r="S1100" i="2" s="1"/>
  <c r="T1100" i="2" s="1"/>
  <c r="S1163" i="2"/>
  <c r="T1163" i="2" s="1"/>
  <c r="U1163" i="2" s="1"/>
  <c r="M51" i="3"/>
  <c r="R51" i="3" s="1"/>
  <c r="S51" i="3"/>
  <c r="T51" i="3" s="1"/>
  <c r="Q56" i="3"/>
  <c r="P56" i="3"/>
  <c r="Q148" i="3"/>
  <c r="P148" i="3"/>
  <c r="Q217" i="3"/>
  <c r="P217" i="3"/>
  <c r="M242" i="3"/>
  <c r="R242" i="3" s="1"/>
  <c r="S242" i="3"/>
  <c r="T242" i="3" s="1"/>
  <c r="M249" i="3"/>
  <c r="R249" i="3" s="1"/>
  <c r="S249" i="3"/>
  <c r="T249" i="3" s="1"/>
  <c r="Q253" i="3"/>
  <c r="P253" i="3"/>
  <c r="M341" i="3"/>
  <c r="R341" i="3" s="1"/>
  <c r="S341" i="3" s="1"/>
  <c r="T341" i="3" s="1"/>
  <c r="S512" i="3"/>
  <c r="M512" i="3"/>
  <c r="M779" i="3"/>
  <c r="Q800" i="3"/>
  <c r="P800" i="3"/>
  <c r="M808" i="3"/>
  <c r="R808" i="3" s="1"/>
  <c r="R78" i="2"/>
  <c r="S78" i="2" s="1"/>
  <c r="T78" i="2" s="1"/>
  <c r="U78" i="2" s="1"/>
  <c r="C983" i="8"/>
  <c r="S80" i="2"/>
  <c r="T80" i="2" s="1"/>
  <c r="U80" i="2" s="1"/>
  <c r="Q161" i="2"/>
  <c r="P161" i="2"/>
  <c r="S163" i="2"/>
  <c r="T163" i="2" s="1"/>
  <c r="C455" i="8"/>
  <c r="D492" i="8"/>
  <c r="G492" i="8" s="1"/>
  <c r="C1289" i="8"/>
  <c r="R238" i="2"/>
  <c r="S238" i="2" s="1"/>
  <c r="T238" i="2" s="1"/>
  <c r="U238" i="2" s="1"/>
  <c r="S269" i="2"/>
  <c r="T269" i="2" s="1"/>
  <c r="U269" i="2" s="1"/>
  <c r="R277" i="2"/>
  <c r="S277" i="2" s="1"/>
  <c r="T277" i="2" s="1"/>
  <c r="U277" i="2" s="1"/>
  <c r="Q298" i="2"/>
  <c r="P298" i="2"/>
  <c r="D91" i="8"/>
  <c r="G91" i="8" s="1"/>
  <c r="C87" i="8"/>
  <c r="R379" i="2"/>
  <c r="S379" i="2" s="1"/>
  <c r="T379" i="2" s="1"/>
  <c r="R433" i="2"/>
  <c r="S433" i="2" s="1"/>
  <c r="T433" i="2" s="1"/>
  <c r="U433" i="2" s="1"/>
  <c r="Q553" i="2"/>
  <c r="P553" i="2"/>
  <c r="Q570" i="2"/>
  <c r="P570" i="2"/>
  <c r="R612" i="2"/>
  <c r="G1081" i="8"/>
  <c r="D1071" i="8"/>
  <c r="M697" i="2"/>
  <c r="R697" i="2" s="1"/>
  <c r="S697" i="2" s="1"/>
  <c r="T697" i="2" s="1"/>
  <c r="R720" i="2"/>
  <c r="S720" i="2" s="1"/>
  <c r="T720" i="2" s="1"/>
  <c r="R795" i="2"/>
  <c r="S795" i="2" s="1"/>
  <c r="T795" i="2" s="1"/>
  <c r="Q872" i="2"/>
  <c r="P872" i="2"/>
  <c r="S891" i="2"/>
  <c r="T891" i="2" s="1"/>
  <c r="R898" i="2"/>
  <c r="S898" i="2" s="1"/>
  <c r="T898" i="2" s="1"/>
  <c r="R926" i="2"/>
  <c r="S926" i="2" s="1"/>
  <c r="T926" i="2" s="1"/>
  <c r="U926" i="2" s="1"/>
  <c r="R992" i="2"/>
  <c r="S992" i="2" s="1"/>
  <c r="T992" i="2" s="1"/>
  <c r="U992" i="2" s="1"/>
  <c r="Q1011" i="2"/>
  <c r="P1011" i="2"/>
  <c r="S1038" i="2"/>
  <c r="T1038" i="2" s="1"/>
  <c r="M1067" i="2"/>
  <c r="R1067" i="2" s="1"/>
  <c r="S1067" i="2" s="1"/>
  <c r="T1067" i="2" s="1"/>
  <c r="Q1097" i="2"/>
  <c r="P1097" i="2"/>
  <c r="R28" i="3"/>
  <c r="S28" i="3" s="1"/>
  <c r="P52" i="3"/>
  <c r="Q52" i="3"/>
  <c r="Q356" i="3"/>
  <c r="P356" i="3"/>
  <c r="M390" i="3"/>
  <c r="R390" i="3" s="1"/>
  <c r="S390" i="3"/>
  <c r="T390" i="3" s="1"/>
  <c r="M425" i="3"/>
  <c r="R425" i="3" s="1"/>
  <c r="S425" i="3" s="1"/>
  <c r="S582" i="3"/>
  <c r="T582" i="3" s="1"/>
  <c r="M582" i="3"/>
  <c r="R582" i="3" s="1"/>
  <c r="M722" i="3"/>
  <c r="R722" i="3" s="1"/>
  <c r="S722" i="3"/>
  <c r="T722" i="3" s="1"/>
  <c r="M733" i="3"/>
  <c r="R733" i="3" s="1"/>
  <c r="S733" i="3"/>
  <c r="T733" i="3" s="1"/>
  <c r="M747" i="3"/>
  <c r="R779" i="3"/>
  <c r="C1268" i="8"/>
  <c r="V207" i="2"/>
  <c r="M222" i="2"/>
  <c r="R222" i="2" s="1"/>
  <c r="S222" i="2" s="1"/>
  <c r="T222" i="2" s="1"/>
  <c r="M261" i="2"/>
  <c r="R261" i="2" s="1"/>
  <c r="S261" i="2" s="1"/>
  <c r="T261" i="2" s="1"/>
  <c r="D1015" i="8"/>
  <c r="C988" i="8"/>
  <c r="S387" i="2"/>
  <c r="T387" i="2" s="1"/>
  <c r="S479" i="2"/>
  <c r="T479" i="2" s="1"/>
  <c r="Q495" i="2"/>
  <c r="P495" i="2"/>
  <c r="R502" i="2"/>
  <c r="S502" i="2" s="1"/>
  <c r="T502" i="2" s="1"/>
  <c r="U502" i="2" s="1"/>
  <c r="R526" i="2"/>
  <c r="S526" i="2" s="1"/>
  <c r="T526" i="2" s="1"/>
  <c r="Q550" i="2"/>
  <c r="P550" i="2"/>
  <c r="S561" i="2"/>
  <c r="T561" i="2" s="1"/>
  <c r="R603" i="2"/>
  <c r="S603" i="2" s="1"/>
  <c r="T603" i="2" s="1"/>
  <c r="U603" i="2" s="1"/>
  <c r="M612" i="2"/>
  <c r="T639" i="2"/>
  <c r="S687" i="2"/>
  <c r="T687" i="2" s="1"/>
  <c r="U687" i="2" s="1"/>
  <c r="C1099" i="8"/>
  <c r="D1115" i="8"/>
  <c r="G1115" i="8" s="1"/>
  <c r="S848" i="2"/>
  <c r="T848" i="2" s="1"/>
  <c r="S856" i="2"/>
  <c r="T856" i="2" s="1"/>
  <c r="P878" i="2"/>
  <c r="S881" i="2"/>
  <c r="T881" i="2" s="1"/>
  <c r="S887" i="2"/>
  <c r="T887" i="2" s="1"/>
  <c r="M887" i="2"/>
  <c r="R887" i="2" s="1"/>
  <c r="S957" i="2"/>
  <c r="T957" i="2" s="1"/>
  <c r="U957" i="2" s="1"/>
  <c r="S1151" i="2"/>
  <c r="T1151" i="2" s="1"/>
  <c r="U1151" i="2" s="1"/>
  <c r="P1208" i="2"/>
  <c r="M48" i="3"/>
  <c r="R48" i="3" s="1"/>
  <c r="S48" i="3"/>
  <c r="T48" i="3" s="1"/>
  <c r="R105" i="3"/>
  <c r="R221" i="3"/>
  <c r="R229" i="3"/>
  <c r="Q318" i="3"/>
  <c r="P318" i="3"/>
  <c r="R468" i="3"/>
  <c r="S468" i="3" s="1"/>
  <c r="T468" i="3" s="1"/>
  <c r="M508" i="3"/>
  <c r="R508" i="3" s="1"/>
  <c r="S508" i="3"/>
  <c r="T508" i="3" s="1"/>
  <c r="M590" i="3"/>
  <c r="R590" i="3" s="1"/>
  <c r="S590" i="3" s="1"/>
  <c r="T590" i="3" s="1"/>
  <c r="S598" i="3"/>
  <c r="T598" i="3" s="1"/>
  <c r="M598" i="3"/>
  <c r="R598" i="3" s="1"/>
  <c r="Q96" i="2"/>
  <c r="P96" i="2"/>
  <c r="Q123" i="2"/>
  <c r="P123" i="2"/>
  <c r="U143" i="2"/>
  <c r="R174" i="2"/>
  <c r="S174" i="2" s="1"/>
  <c r="T174" i="2" s="1"/>
  <c r="Q208" i="2"/>
  <c r="P208" i="2"/>
  <c r="V208" i="2" s="1"/>
  <c r="S272" i="2"/>
  <c r="T272" i="2" s="1"/>
  <c r="R293" i="2"/>
  <c r="S293" i="2" s="1"/>
  <c r="T293" i="2" s="1"/>
  <c r="U293" i="2" s="1"/>
  <c r="S295" i="2"/>
  <c r="T295" i="2" s="1"/>
  <c r="S326" i="2"/>
  <c r="T326" i="2" s="1"/>
  <c r="R337" i="2"/>
  <c r="S337" i="2" s="1"/>
  <c r="T337" i="2" s="1"/>
  <c r="U337" i="2" s="1"/>
  <c r="S385" i="2"/>
  <c r="T385" i="2" s="1"/>
  <c r="R410" i="2"/>
  <c r="S410" i="2" s="1"/>
  <c r="T410" i="2" s="1"/>
  <c r="G568" i="8"/>
  <c r="S424" i="2"/>
  <c r="T424" i="2" s="1"/>
  <c r="M467" i="2"/>
  <c r="R467" i="2" s="1"/>
  <c r="S467" i="2" s="1"/>
  <c r="T467" i="2" s="1"/>
  <c r="Q476" i="2"/>
  <c r="P476" i="2"/>
  <c r="R542" i="2"/>
  <c r="S542" i="2" s="1"/>
  <c r="S565" i="2"/>
  <c r="T565" i="2" s="1"/>
  <c r="S651" i="2"/>
  <c r="T651" i="2" s="1"/>
  <c r="D1060" i="8"/>
  <c r="G1060" i="8" s="1"/>
  <c r="S666" i="2"/>
  <c r="T666" i="2" s="1"/>
  <c r="U666" i="2" s="1"/>
  <c r="S723" i="2"/>
  <c r="T723" i="2" s="1"/>
  <c r="C629" i="8"/>
  <c r="S764" i="2"/>
  <c r="T764" i="2" s="1"/>
  <c r="U764" i="2" s="1"/>
  <c r="S915" i="2"/>
  <c r="T915" i="2" s="1"/>
  <c r="G981" i="8"/>
  <c r="M1015" i="2"/>
  <c r="R1015" i="2" s="1"/>
  <c r="S1015" i="2" s="1"/>
  <c r="T1015" i="2" s="1"/>
  <c r="R1039" i="2"/>
  <c r="S1039" i="2" s="1"/>
  <c r="T1039" i="2" s="1"/>
  <c r="M1195" i="2"/>
  <c r="D296" i="8"/>
  <c r="M113" i="3"/>
  <c r="R113" i="3" s="1"/>
  <c r="S113" i="3" s="1"/>
  <c r="T113" i="3" s="1"/>
  <c r="Q225" i="3"/>
  <c r="P225" i="3"/>
  <c r="S345" i="3"/>
  <c r="T345" i="3" s="1"/>
  <c r="M345" i="3"/>
  <c r="R345" i="3" s="1"/>
  <c r="R433" i="3"/>
  <c r="Q647" i="3"/>
  <c r="P647" i="3"/>
  <c r="C36" i="8"/>
  <c r="D38" i="8"/>
  <c r="S229" i="2"/>
  <c r="T229" i="2" s="1"/>
  <c r="U229" i="2" s="1"/>
  <c r="R268" i="2"/>
  <c r="S268" i="2" s="1"/>
  <c r="T268" i="2" s="1"/>
  <c r="U268" i="2" s="1"/>
  <c r="S279" i="2"/>
  <c r="T279" i="2" s="1"/>
  <c r="U279" i="2" s="1"/>
  <c r="M402" i="2"/>
  <c r="R402" i="2" s="1"/>
  <c r="S402" i="2" s="1"/>
  <c r="T402" i="2" s="1"/>
  <c r="D566" i="8"/>
  <c r="G566" i="8" s="1"/>
  <c r="R618" i="2"/>
  <c r="M626" i="2"/>
  <c r="R626" i="2" s="1"/>
  <c r="S626" i="2" s="1"/>
  <c r="T626" i="2" s="1"/>
  <c r="Q681" i="2"/>
  <c r="P681" i="2"/>
  <c r="M711" i="2"/>
  <c r="R711" i="2" s="1"/>
  <c r="S711" i="2" s="1"/>
  <c r="T711" i="2" s="1"/>
  <c r="C1003" i="8"/>
  <c r="Q802" i="2"/>
  <c r="P802" i="2"/>
  <c r="S854" i="2"/>
  <c r="T854" i="2" s="1"/>
  <c r="R877" i="2"/>
  <c r="S877" i="2" s="1"/>
  <c r="T877" i="2" s="1"/>
  <c r="U877" i="2" s="1"/>
  <c r="V884" i="2"/>
  <c r="S899" i="2"/>
  <c r="T899" i="2" s="1"/>
  <c r="S905" i="2"/>
  <c r="T905" i="2" s="1"/>
  <c r="M962" i="2"/>
  <c r="R962" i="2" s="1"/>
  <c r="S962" i="2"/>
  <c r="T962" i="2" s="1"/>
  <c r="D1059" i="8"/>
  <c r="G1059" i="8" s="1"/>
  <c r="Q1075" i="2"/>
  <c r="P1075" i="2"/>
  <c r="R1092" i="2"/>
  <c r="R1106" i="2"/>
  <c r="S1114" i="2"/>
  <c r="T1114" i="2" s="1"/>
  <c r="U1114" i="2" s="1"/>
  <c r="R1133" i="2"/>
  <c r="S1133" i="2" s="1"/>
  <c r="T1133" i="2" s="1"/>
  <c r="R1204" i="2"/>
  <c r="S1204" i="2" s="1"/>
  <c r="T1204" i="2" s="1"/>
  <c r="S1245" i="2"/>
  <c r="T1245" i="2" s="1"/>
  <c r="M17" i="3"/>
  <c r="S17" i="3"/>
  <c r="T17" i="3" s="1"/>
  <c r="R88" i="3"/>
  <c r="S88" i="3" s="1"/>
  <c r="T88" i="3" s="1"/>
  <c r="Q226" i="3"/>
  <c r="P226" i="3"/>
  <c r="Q268" i="3"/>
  <c r="P268" i="3"/>
  <c r="Q298" i="3"/>
  <c r="P298" i="3"/>
  <c r="M372" i="3"/>
  <c r="R372" i="3" s="1"/>
  <c r="S372" i="3"/>
  <c r="T372" i="3" s="1"/>
  <c r="Q377" i="3"/>
  <c r="P377" i="3"/>
  <c r="R458" i="3"/>
  <c r="M492" i="3"/>
  <c r="R492" i="3" s="1"/>
  <c r="S492" i="3" s="1"/>
  <c r="T492" i="3" s="1"/>
  <c r="R542" i="3"/>
  <c r="M546" i="3"/>
  <c r="S546" i="3"/>
  <c r="T546" i="3" s="1"/>
  <c r="Q568" i="3"/>
  <c r="P568" i="3"/>
  <c r="Q584" i="3"/>
  <c r="P584" i="3"/>
  <c r="S630" i="3"/>
  <c r="T630" i="3" s="1"/>
  <c r="M630" i="3"/>
  <c r="R630" i="3" s="1"/>
  <c r="S657" i="3"/>
  <c r="T657" i="3" s="1"/>
  <c r="M657" i="3"/>
  <c r="R657" i="3" s="1"/>
  <c r="C553" i="8"/>
  <c r="D553" i="8"/>
  <c r="G553" i="8" s="1"/>
  <c r="R249" i="2"/>
  <c r="S249" i="2" s="1"/>
  <c r="T249" i="2" s="1"/>
  <c r="U249" i="2" s="1"/>
  <c r="C1046" i="8"/>
  <c r="R421" i="2"/>
  <c r="S421" i="2" s="1"/>
  <c r="T421" i="2" s="1"/>
  <c r="R587" i="2"/>
  <c r="S594" i="2"/>
  <c r="T594" i="2" s="1"/>
  <c r="U594" i="2" s="1"/>
  <c r="G1077" i="8"/>
  <c r="R659" i="2"/>
  <c r="S659" i="2" s="1"/>
  <c r="T659" i="2" s="1"/>
  <c r="U659" i="2" s="1"/>
  <c r="G573" i="8"/>
  <c r="R691" i="2"/>
  <c r="S691" i="2" s="1"/>
  <c r="T691" i="2" s="1"/>
  <c r="U691" i="2" s="1"/>
  <c r="Q696" i="2"/>
  <c r="P696" i="2"/>
  <c r="Q716" i="2"/>
  <c r="P716" i="2"/>
  <c r="M746" i="2"/>
  <c r="M754" i="2"/>
  <c r="R754" i="2" s="1"/>
  <c r="S754" i="2" s="1"/>
  <c r="T754" i="2" s="1"/>
  <c r="R805" i="2"/>
  <c r="S805" i="2" s="1"/>
  <c r="T805" i="2" s="1"/>
  <c r="U805" i="2" s="1"/>
  <c r="M902" i="2"/>
  <c r="R902" i="2" s="1"/>
  <c r="S902" i="2" s="1"/>
  <c r="T902" i="2" s="1"/>
  <c r="R905" i="2"/>
  <c r="R942" i="2"/>
  <c r="Q955" i="2"/>
  <c r="P955" i="2"/>
  <c r="V955" i="2" s="1"/>
  <c r="D577" i="8"/>
  <c r="M986" i="2"/>
  <c r="R986" i="2" s="1"/>
  <c r="S986" i="2" s="1"/>
  <c r="T986" i="2" s="1"/>
  <c r="R1053" i="2"/>
  <c r="M1072" i="2"/>
  <c r="R1072" i="2" s="1"/>
  <c r="S1072" i="2" s="1"/>
  <c r="T1072" i="2" s="1"/>
  <c r="M1087" i="2"/>
  <c r="R1087" i="2" s="1"/>
  <c r="S1087" i="2" s="1"/>
  <c r="T1087" i="2" s="1"/>
  <c r="M1101" i="2"/>
  <c r="R1101" i="2" s="1"/>
  <c r="S1101" i="2" s="1"/>
  <c r="T1101" i="2" s="1"/>
  <c r="R1131" i="2"/>
  <c r="S1131" i="2" s="1"/>
  <c r="T1131" i="2" s="1"/>
  <c r="R1184" i="2"/>
  <c r="Q10" i="3"/>
  <c r="P10" i="3"/>
  <c r="Q13" i="3"/>
  <c r="P13" i="3"/>
  <c r="M18" i="3"/>
  <c r="R18" i="3" s="1"/>
  <c r="S18" i="3" s="1"/>
  <c r="T18" i="3" s="1"/>
  <c r="U88" i="3"/>
  <c r="M141" i="3"/>
  <c r="R141" i="3" s="1"/>
  <c r="S151" i="3"/>
  <c r="T151" i="3" s="1"/>
  <c r="M151" i="3"/>
  <c r="R151" i="3" s="1"/>
  <c r="T159" i="3"/>
  <c r="P176" i="3"/>
  <c r="Q176" i="3"/>
  <c r="T182" i="3"/>
  <c r="Q208" i="3"/>
  <c r="P208" i="3"/>
  <c r="T361" i="3"/>
  <c r="Q395" i="3"/>
  <c r="P395" i="3"/>
  <c r="M406" i="3"/>
  <c r="M430" i="3"/>
  <c r="R430" i="3" s="1"/>
  <c r="S430" i="3"/>
  <c r="T430" i="3" s="1"/>
  <c r="M483" i="3"/>
  <c r="R483" i="3" s="1"/>
  <c r="S483" i="3" s="1"/>
  <c r="T483" i="3" s="1"/>
  <c r="R500" i="3"/>
  <c r="M531" i="3"/>
  <c r="R531" i="3" s="1"/>
  <c r="Q561" i="3"/>
  <c r="P561" i="3"/>
  <c r="M775" i="3"/>
  <c r="R775" i="3" s="1"/>
  <c r="S775" i="3" s="1"/>
  <c r="T775" i="3" s="1"/>
  <c r="U824" i="3"/>
  <c r="C1298" i="8"/>
  <c r="C575" i="8"/>
  <c r="D601" i="8"/>
  <c r="G601" i="8" s="1"/>
  <c r="D1000" i="8"/>
  <c r="C980" i="8"/>
  <c r="D626" i="8"/>
  <c r="G626" i="8" s="1"/>
  <c r="C617" i="8"/>
  <c r="D1217" i="8"/>
  <c r="C883" i="8"/>
  <c r="R488" i="2"/>
  <c r="S488" i="2" s="1"/>
  <c r="T488" i="2" s="1"/>
  <c r="S490" i="2"/>
  <c r="T490" i="2" s="1"/>
  <c r="U490" i="2" s="1"/>
  <c r="S531" i="2"/>
  <c r="T531" i="2" s="1"/>
  <c r="U531" i="2" s="1"/>
  <c r="S575" i="2"/>
  <c r="T575" i="2" s="1"/>
  <c r="U575" i="2" s="1"/>
  <c r="R592" i="2"/>
  <c r="S592" i="2" s="1"/>
  <c r="T592" i="2" s="1"/>
  <c r="R749" i="2"/>
  <c r="S749" i="2" s="1"/>
  <c r="S751" i="2"/>
  <c r="T751" i="2" s="1"/>
  <c r="U751" i="2" s="1"/>
  <c r="D622" i="8"/>
  <c r="G622" i="8" s="1"/>
  <c r="C618" i="8"/>
  <c r="C709" i="8"/>
  <c r="R782" i="2"/>
  <c r="S782" i="2" s="1"/>
  <c r="T782" i="2" s="1"/>
  <c r="Q849" i="2"/>
  <c r="P849" i="2"/>
  <c r="Q921" i="2"/>
  <c r="P921" i="2"/>
  <c r="S989" i="2"/>
  <c r="T989" i="2" s="1"/>
  <c r="U989" i="2" s="1"/>
  <c r="R1129" i="2"/>
  <c r="S1129" i="2" s="1"/>
  <c r="T1129" i="2" s="1"/>
  <c r="S1164" i="2"/>
  <c r="T1164" i="2" s="1"/>
  <c r="U1164" i="2" s="1"/>
  <c r="R1207" i="2"/>
  <c r="M1215" i="2"/>
  <c r="R1215" i="2" s="1"/>
  <c r="S1215" i="2" s="1"/>
  <c r="T1215" i="2" s="1"/>
  <c r="S31" i="3"/>
  <c r="T31" i="3" s="1"/>
  <c r="M60" i="3"/>
  <c r="R60" i="3" s="1"/>
  <c r="S60" i="3" s="1"/>
  <c r="T60" i="3" s="1"/>
  <c r="S94" i="3"/>
  <c r="T94" i="3" s="1"/>
  <c r="M108" i="3"/>
  <c r="R108" i="3" s="1"/>
  <c r="S108" i="3"/>
  <c r="T108" i="3" s="1"/>
  <c r="Q126" i="3"/>
  <c r="P126" i="3"/>
  <c r="Q198" i="3"/>
  <c r="P198" i="3"/>
  <c r="Q215" i="3"/>
  <c r="P215" i="3"/>
  <c r="Q219" i="3"/>
  <c r="P219" i="3"/>
  <c r="S264" i="3"/>
  <c r="T264" i="3" s="1"/>
  <c r="M264" i="3"/>
  <c r="R264" i="3" s="1"/>
  <c r="M329" i="3"/>
  <c r="R329" i="3" s="1"/>
  <c r="S329" i="3"/>
  <c r="T329" i="3" s="1"/>
  <c r="S505" i="3"/>
  <c r="T505" i="3" s="1"/>
  <c r="S534" i="3"/>
  <c r="T534" i="3" s="1"/>
  <c r="M534" i="3"/>
  <c r="R534" i="3" s="1"/>
  <c r="U820" i="3"/>
  <c r="D1084" i="8"/>
  <c r="G1084" i="8" s="1"/>
  <c r="C1081" i="8"/>
  <c r="D379" i="8"/>
  <c r="G379" i="8" s="1"/>
  <c r="C296" i="8"/>
  <c r="R199" i="2"/>
  <c r="S199" i="2" s="1"/>
  <c r="T199" i="2" s="1"/>
  <c r="R349" i="2"/>
  <c r="S349" i="2" s="1"/>
  <c r="T349" i="2" s="1"/>
  <c r="U349" i="2" s="1"/>
  <c r="R443" i="2"/>
  <c r="S443" i="2" s="1"/>
  <c r="T443" i="2" s="1"/>
  <c r="Q573" i="2"/>
  <c r="P573" i="2"/>
  <c r="R613" i="2"/>
  <c r="S613" i="2" s="1"/>
  <c r="T613" i="2" s="1"/>
  <c r="R634" i="2"/>
  <c r="S634" i="2" s="1"/>
  <c r="T634" i="2" s="1"/>
  <c r="U634" i="2" s="1"/>
  <c r="R652" i="2"/>
  <c r="S652" i="2" s="1"/>
  <c r="T652" i="2" s="1"/>
  <c r="R709" i="2"/>
  <c r="Q729" i="2"/>
  <c r="P729" i="2"/>
  <c r="V729" i="2" s="1"/>
  <c r="C402" i="8"/>
  <c r="D427" i="8"/>
  <c r="G427" i="8" s="1"/>
  <c r="R767" i="2"/>
  <c r="S767" i="2" s="1"/>
  <c r="T767" i="2" s="1"/>
  <c r="U767" i="2" s="1"/>
  <c r="S769" i="2"/>
  <c r="T769" i="2" s="1"/>
  <c r="U769" i="2" s="1"/>
  <c r="S838" i="2"/>
  <c r="T838" i="2" s="1"/>
  <c r="S857" i="2"/>
  <c r="T857" i="2" s="1"/>
  <c r="R880" i="2"/>
  <c r="Q892" i="2"/>
  <c r="P892" i="2"/>
  <c r="V892" i="2" s="1"/>
  <c r="R958" i="2"/>
  <c r="S958" i="2" s="1"/>
  <c r="T958" i="2" s="1"/>
  <c r="M960" i="2"/>
  <c r="R960" i="2" s="1"/>
  <c r="S960" i="2"/>
  <c r="T960" i="2" s="1"/>
  <c r="S997" i="2"/>
  <c r="T997" i="2" s="1"/>
  <c r="U997" i="2" s="1"/>
  <c r="R1014" i="2"/>
  <c r="S1014" i="2" s="1"/>
  <c r="T1014" i="2" s="1"/>
  <c r="U1075" i="2"/>
  <c r="V1087" i="2"/>
  <c r="R1127" i="2"/>
  <c r="S1127" i="2" s="1"/>
  <c r="T1127" i="2" s="1"/>
  <c r="D345" i="8"/>
  <c r="G345" i="8" s="1"/>
  <c r="C94" i="8"/>
  <c r="R1246" i="2"/>
  <c r="S1246" i="2" s="1"/>
  <c r="T1246" i="2" s="1"/>
  <c r="P45" i="3"/>
  <c r="Q45" i="3"/>
  <c r="Q76" i="3"/>
  <c r="P76" i="3"/>
  <c r="U82" i="3"/>
  <c r="M88" i="3"/>
  <c r="S91" i="3"/>
  <c r="T91" i="3" s="1"/>
  <c r="U100" i="3"/>
  <c r="R119" i="3"/>
  <c r="M193" i="3"/>
  <c r="R193" i="3" s="1"/>
  <c r="S193" i="3"/>
  <c r="T193" i="3" s="1"/>
  <c r="T250" i="3"/>
  <c r="R285" i="3"/>
  <c r="Q319" i="3"/>
  <c r="P319" i="3"/>
  <c r="T406" i="3"/>
  <c r="Q513" i="3"/>
  <c r="P513" i="3"/>
  <c r="Q520" i="3"/>
  <c r="P520" i="3"/>
  <c r="S595" i="3"/>
  <c r="T595" i="3" s="1"/>
  <c r="Q668" i="3"/>
  <c r="P668" i="3"/>
  <c r="U668" i="3" s="1"/>
  <c r="Q809" i="3"/>
  <c r="P809" i="3"/>
  <c r="R218" i="2"/>
  <c r="S218" i="2" s="1"/>
  <c r="T218" i="2" s="1"/>
  <c r="C662" i="8"/>
  <c r="D673" i="8"/>
  <c r="G673" i="8" s="1"/>
  <c r="D101" i="8"/>
  <c r="G101" i="8" s="1"/>
  <c r="C50" i="8"/>
  <c r="R289" i="2"/>
  <c r="S289" i="2" s="1"/>
  <c r="T289" i="2" s="1"/>
  <c r="U289" i="2" s="1"/>
  <c r="C98" i="8"/>
  <c r="D107" i="8"/>
  <c r="R301" i="2"/>
  <c r="S301" i="2" s="1"/>
  <c r="T301" i="2" s="1"/>
  <c r="R367" i="2"/>
  <c r="S367" i="2" s="1"/>
  <c r="T367" i="2" s="1"/>
  <c r="R431" i="2"/>
  <c r="R541" i="2"/>
  <c r="S541" i="2" s="1"/>
  <c r="T541" i="2" s="1"/>
  <c r="U541" i="2" s="1"/>
  <c r="R679" i="2"/>
  <c r="S679" i="2" s="1"/>
  <c r="T679" i="2" s="1"/>
  <c r="U679" i="2" s="1"/>
  <c r="S772" i="2"/>
  <c r="T772" i="2" s="1"/>
  <c r="U772" i="2" s="1"/>
  <c r="Q833" i="2"/>
  <c r="P833" i="2"/>
  <c r="S882" i="2"/>
  <c r="T882" i="2" s="1"/>
  <c r="M942" i="2"/>
  <c r="S942" i="2"/>
  <c r="T942" i="2" s="1"/>
  <c r="C1119" i="8"/>
  <c r="S1000" i="2"/>
  <c r="T1000" i="2" s="1"/>
  <c r="U1000" i="2" s="1"/>
  <c r="R1009" i="2"/>
  <c r="S1009" i="2" s="1"/>
  <c r="T1009" i="2" s="1"/>
  <c r="M1017" i="2"/>
  <c r="R1017" i="2" s="1"/>
  <c r="S1017" i="2" s="1"/>
  <c r="T1017" i="2" s="1"/>
  <c r="S1069" i="2"/>
  <c r="T1069" i="2" s="1"/>
  <c r="M1069" i="2"/>
  <c r="R1069" i="2" s="1"/>
  <c r="Q1076" i="2"/>
  <c r="P1076" i="2"/>
  <c r="U1076" i="2" s="1"/>
  <c r="S1152" i="2"/>
  <c r="T1152" i="2" s="1"/>
  <c r="U1152" i="2" s="1"/>
  <c r="Q1219" i="2"/>
  <c r="P1219" i="2"/>
  <c r="V1219" i="2" s="1"/>
  <c r="R35" i="3"/>
  <c r="S35" i="3" s="1"/>
  <c r="T35" i="3" s="1"/>
  <c r="Q155" i="3"/>
  <c r="P155" i="3"/>
  <c r="Q166" i="3"/>
  <c r="P166" i="3"/>
  <c r="Q201" i="3"/>
  <c r="Q227" i="3"/>
  <c r="P227" i="3"/>
  <c r="Q244" i="3"/>
  <c r="P244" i="3"/>
  <c r="Q261" i="3"/>
  <c r="P261" i="3"/>
  <c r="S272" i="3"/>
  <c r="T272" i="3" s="1"/>
  <c r="M373" i="3"/>
  <c r="R373" i="3" s="1"/>
  <c r="S373" i="3"/>
  <c r="T373" i="3" s="1"/>
  <c r="Q497" i="3"/>
  <c r="P497" i="3"/>
  <c r="Q543" i="3"/>
  <c r="P543" i="3"/>
  <c r="M585" i="3"/>
  <c r="M591" i="3"/>
  <c r="R591" i="3" s="1"/>
  <c r="S591" i="3" s="1"/>
  <c r="T591" i="3" s="1"/>
  <c r="S596" i="3"/>
  <c r="T596" i="3" s="1"/>
  <c r="Q628" i="3"/>
  <c r="P628" i="3"/>
  <c r="S634" i="3"/>
  <c r="T634" i="3" s="1"/>
  <c r="M634" i="3"/>
  <c r="R634" i="3" s="1"/>
  <c r="M692" i="3"/>
  <c r="R692" i="3" s="1"/>
  <c r="S692" i="3"/>
  <c r="T692" i="3" s="1"/>
  <c r="Q748" i="3"/>
  <c r="P748" i="3"/>
  <c r="M804" i="3"/>
  <c r="R804" i="3" s="1"/>
  <c r="S804" i="3"/>
  <c r="T804" i="3" s="1"/>
  <c r="C559" i="8"/>
  <c r="C1001" i="8"/>
  <c r="R280" i="2"/>
  <c r="S280" i="2" s="1"/>
  <c r="T280" i="2" s="1"/>
  <c r="S291" i="2"/>
  <c r="T291" i="2" s="1"/>
  <c r="U291" i="2" s="1"/>
  <c r="D881" i="8"/>
  <c r="G881" i="8" s="1"/>
  <c r="C825" i="8"/>
  <c r="C3" i="8"/>
  <c r="E3" i="8" s="1"/>
  <c r="E4" i="8" s="1"/>
  <c r="E5" i="8" s="1"/>
  <c r="E6" i="8" s="1"/>
  <c r="E7" i="8" s="1"/>
  <c r="E8" i="8" s="1"/>
  <c r="E9" i="8" s="1"/>
  <c r="E10" i="8" s="1"/>
  <c r="E11" i="8" s="1"/>
  <c r="E12" i="8" s="1"/>
  <c r="E13" i="8" s="1"/>
  <c r="E14" i="8" s="1"/>
  <c r="E15" i="8" s="1"/>
  <c r="E16" i="8" s="1"/>
  <c r="E17" i="8" s="1"/>
  <c r="E18" i="8" s="1"/>
  <c r="E19" i="8" s="1"/>
  <c r="E20" i="8" s="1"/>
  <c r="E21" i="8" s="1"/>
  <c r="E22" i="8" s="1"/>
  <c r="E23" i="8" s="1"/>
  <c r="E24" i="8" s="1"/>
  <c r="E25" i="8" s="1"/>
  <c r="E26" i="8" s="1"/>
  <c r="E27" i="8" s="1"/>
  <c r="E28" i="8" s="1"/>
  <c r="E29" i="8" s="1"/>
  <c r="R374" i="2"/>
  <c r="S374" i="2" s="1"/>
  <c r="T374" i="2" s="1"/>
  <c r="Q388" i="2"/>
  <c r="R391" i="2"/>
  <c r="S391" i="2" s="1"/>
  <c r="T391" i="2" s="1"/>
  <c r="Q419" i="2"/>
  <c r="P419" i="2"/>
  <c r="Q462" i="2"/>
  <c r="R465" i="2"/>
  <c r="S465" i="2" s="1"/>
  <c r="T465" i="2" s="1"/>
  <c r="R474" i="2"/>
  <c r="S474" i="2" s="1"/>
  <c r="T474" i="2" s="1"/>
  <c r="S543" i="2"/>
  <c r="T543" i="2" s="1"/>
  <c r="U543" i="2" s="1"/>
  <c r="Q551" i="2"/>
  <c r="P551" i="2"/>
  <c r="R585" i="2"/>
  <c r="R602" i="2"/>
  <c r="S602" i="2" s="1"/>
  <c r="T602" i="2" s="1"/>
  <c r="U602" i="2" s="1"/>
  <c r="S618" i="2"/>
  <c r="T618" i="2" s="1"/>
  <c r="Q694" i="2"/>
  <c r="P694" i="2"/>
  <c r="P706" i="2"/>
  <c r="S706" i="2" s="1"/>
  <c r="T706" i="2" s="1"/>
  <c r="M724" i="2"/>
  <c r="R724" i="2" s="1"/>
  <c r="M810" i="2"/>
  <c r="R810" i="2" s="1"/>
  <c r="S810" i="2" s="1"/>
  <c r="T810" i="2" s="1"/>
  <c r="P852" i="2"/>
  <c r="M900" i="2"/>
  <c r="R900" i="2" s="1"/>
  <c r="S900" i="2" s="1"/>
  <c r="T900" i="2" s="1"/>
  <c r="P905" i="2"/>
  <c r="S924" i="2"/>
  <c r="T924" i="2" s="1"/>
  <c r="R927" i="2"/>
  <c r="S927" i="2" s="1"/>
  <c r="T927" i="2" s="1"/>
  <c r="U927" i="2" s="1"/>
  <c r="V960" i="2"/>
  <c r="R984" i="2"/>
  <c r="S1066" i="2"/>
  <c r="T1066" i="2" s="1"/>
  <c r="S1092" i="2"/>
  <c r="T1092" i="2" s="1"/>
  <c r="U1092" i="2" s="1"/>
  <c r="S1095" i="2"/>
  <c r="T1095" i="2" s="1"/>
  <c r="S1106" i="2"/>
  <c r="T1106" i="2" s="1"/>
  <c r="U1106" i="2" s="1"/>
  <c r="D671" i="8"/>
  <c r="D685" i="8"/>
  <c r="C679" i="8"/>
  <c r="R1195" i="2"/>
  <c r="S1195" i="2" s="1"/>
  <c r="T1195" i="2" s="1"/>
  <c r="S1207" i="2"/>
  <c r="T1207" i="2" s="1"/>
  <c r="R1210" i="2"/>
  <c r="S1210" i="2" s="1"/>
  <c r="T1210" i="2" s="1"/>
  <c r="U18" i="3"/>
  <c r="M50" i="3"/>
  <c r="R50" i="3" s="1"/>
  <c r="S50" i="3" s="1"/>
  <c r="T50" i="3" s="1"/>
  <c r="Q73" i="3"/>
  <c r="P73" i="3"/>
  <c r="S79" i="3"/>
  <c r="T79" i="3" s="1"/>
  <c r="M82" i="3"/>
  <c r="R89" i="3"/>
  <c r="M100" i="3"/>
  <c r="R100" i="3" s="1"/>
  <c r="S100" i="3"/>
  <c r="T100" i="3" s="1"/>
  <c r="M145" i="3"/>
  <c r="R145" i="3" s="1"/>
  <c r="S145" i="3"/>
  <c r="T145" i="3" s="1"/>
  <c r="Q209" i="3"/>
  <c r="P209" i="3"/>
  <c r="S230" i="3"/>
  <c r="T230" i="3" s="1"/>
  <c r="M230" i="3"/>
  <c r="R230" i="3" s="1"/>
  <c r="Q315" i="3"/>
  <c r="P315" i="3"/>
  <c r="R378" i="3"/>
  <c r="P445" i="3"/>
  <c r="Q445" i="3"/>
  <c r="Q452" i="3"/>
  <c r="P452" i="3"/>
  <c r="S461" i="3"/>
  <c r="T461" i="3" s="1"/>
  <c r="S464" i="3"/>
  <c r="T464" i="3" s="1"/>
  <c r="M464" i="3"/>
  <c r="R464" i="3" s="1"/>
  <c r="Q475" i="3"/>
  <c r="P475" i="3"/>
  <c r="M550" i="3"/>
  <c r="S550" i="3"/>
  <c r="T550" i="3" s="1"/>
  <c r="P558" i="3"/>
  <c r="Q558" i="3"/>
  <c r="M608" i="3"/>
  <c r="M623" i="3"/>
  <c r="R623" i="3" s="1"/>
  <c r="S623" i="3"/>
  <c r="T623" i="3" s="1"/>
  <c r="U676" i="3"/>
  <c r="R793" i="3"/>
  <c r="Q590" i="2"/>
  <c r="P590" i="2"/>
  <c r="V590" i="2" s="1"/>
  <c r="S757" i="2"/>
  <c r="T757" i="2" s="1"/>
  <c r="U757" i="2" s="1"/>
  <c r="Q800" i="2"/>
  <c r="P800" i="2"/>
  <c r="Q813" i="2"/>
  <c r="P813" i="2"/>
  <c r="M836" i="2"/>
  <c r="R836" i="2" s="1"/>
  <c r="S836" i="2" s="1"/>
  <c r="T836" i="2" s="1"/>
  <c r="C654" i="8"/>
  <c r="D574" i="8"/>
  <c r="G574" i="8" s="1"/>
  <c r="C279" i="8"/>
  <c r="S947" i="2"/>
  <c r="T947" i="2" s="1"/>
  <c r="U947" i="2" s="1"/>
  <c r="S981" i="2"/>
  <c r="T981" i="2" s="1"/>
  <c r="U981" i="2" s="1"/>
  <c r="S1003" i="2"/>
  <c r="T1003" i="2" s="1"/>
  <c r="S1050" i="2"/>
  <c r="T1050" i="2" s="1"/>
  <c r="S1053" i="2"/>
  <c r="T1053" i="2" s="1"/>
  <c r="U1053" i="2" s="1"/>
  <c r="S1056" i="2"/>
  <c r="T1056" i="2" s="1"/>
  <c r="U1056" i="2" s="1"/>
  <c r="R1064" i="2"/>
  <c r="Q1104" i="2"/>
  <c r="P1104" i="2"/>
  <c r="M1158" i="2"/>
  <c r="R1158" i="2" s="1"/>
  <c r="S1158" i="2" s="1"/>
  <c r="T1158" i="2" s="1"/>
  <c r="S1176" i="2"/>
  <c r="T1176" i="2" s="1"/>
  <c r="U1176" i="2" s="1"/>
  <c r="S1184" i="2"/>
  <c r="T1184" i="2" s="1"/>
  <c r="U1184" i="2" s="1"/>
  <c r="K1226" i="2"/>
  <c r="R1226" i="2" s="1"/>
  <c r="S1226" i="2" s="1"/>
  <c r="T1226" i="2" s="1"/>
  <c r="G56" i="8"/>
  <c r="Q173" i="3"/>
  <c r="P173" i="3"/>
  <c r="S190" i="3"/>
  <c r="T190" i="3" s="1"/>
  <c r="S212" i="3"/>
  <c r="T212" i="3" s="1"/>
  <c r="M212" i="3"/>
  <c r="R212" i="3" s="1"/>
  <c r="S285" i="3"/>
  <c r="T285" i="3" s="1"/>
  <c r="M285" i="3"/>
  <c r="S604" i="3"/>
  <c r="T604" i="3" s="1"/>
  <c r="M604" i="3"/>
  <c r="R604" i="3" s="1"/>
  <c r="R608" i="3"/>
  <c r="M624" i="3"/>
  <c r="P669" i="3"/>
  <c r="Q669" i="3"/>
  <c r="M686" i="3"/>
  <c r="R686" i="3" s="1"/>
  <c r="S686" i="3"/>
  <c r="T686" i="3" s="1"/>
  <c r="Q769" i="3"/>
  <c r="P769" i="3"/>
  <c r="M781" i="3"/>
  <c r="R781" i="3" s="1"/>
  <c r="S709" i="2"/>
  <c r="T709" i="2" s="1"/>
  <c r="Q747" i="2"/>
  <c r="P747" i="2"/>
  <c r="D993" i="8"/>
  <c r="C780" i="8"/>
  <c r="Q780" i="2"/>
  <c r="P780" i="2"/>
  <c r="R878" i="2"/>
  <c r="Q890" i="2"/>
  <c r="P890" i="2"/>
  <c r="V890" i="2" s="1"/>
  <c r="Q903" i="2"/>
  <c r="P903" i="2"/>
  <c r="S916" i="2"/>
  <c r="T916" i="2" s="1"/>
  <c r="S950" i="2"/>
  <c r="T950" i="2" s="1"/>
  <c r="U950" i="2" s="1"/>
  <c r="R968" i="2"/>
  <c r="R1029" i="2"/>
  <c r="S1029" i="2" s="1"/>
  <c r="T1029" i="2" s="1"/>
  <c r="U1029" i="2" s="1"/>
  <c r="Q1051" i="2"/>
  <c r="P1051" i="2"/>
  <c r="V1051" i="2" s="1"/>
  <c r="V1085" i="2"/>
  <c r="V1140" i="2"/>
  <c r="S1147" i="2"/>
  <c r="T1147" i="2" s="1"/>
  <c r="U1147" i="2" s="1"/>
  <c r="S1187" i="2"/>
  <c r="T1187" i="2" s="1"/>
  <c r="U1187" i="2" s="1"/>
  <c r="M1199" i="2"/>
  <c r="R1199" i="2" s="1"/>
  <c r="S1199" i="2" s="1"/>
  <c r="T1199" i="2" s="1"/>
  <c r="R1205" i="2"/>
  <c r="S1205" i="2" s="1"/>
  <c r="T1205" i="2" s="1"/>
  <c r="R54" i="3"/>
  <c r="S54" i="3" s="1"/>
  <c r="T54" i="3" s="1"/>
  <c r="R86" i="3"/>
  <c r="M114" i="3"/>
  <c r="R114" i="3" s="1"/>
  <c r="S114" i="3"/>
  <c r="T114" i="3" s="1"/>
  <c r="M194" i="3"/>
  <c r="R194" i="3" s="1"/>
  <c r="S194" i="3"/>
  <c r="T194" i="3" s="1"/>
  <c r="M202" i="3"/>
  <c r="Q245" i="3"/>
  <c r="P245" i="3"/>
  <c r="S265" i="3"/>
  <c r="T265" i="3" s="1"/>
  <c r="M265" i="3"/>
  <c r="Q270" i="3"/>
  <c r="P270" i="3"/>
  <c r="Q334" i="3"/>
  <c r="P334" i="3"/>
  <c r="U334" i="3" s="1"/>
  <c r="T434" i="3"/>
  <c r="S442" i="3"/>
  <c r="T442" i="3" s="1"/>
  <c r="S484" i="3"/>
  <c r="T484" i="3" s="1"/>
  <c r="M484" i="3"/>
  <c r="R484" i="3" s="1"/>
  <c r="R521" i="3"/>
  <c r="R555" i="3"/>
  <c r="P570" i="3"/>
  <c r="Q570" i="3"/>
  <c r="S642" i="3"/>
  <c r="T642" i="3" s="1"/>
  <c r="M642" i="3"/>
  <c r="R642" i="3" s="1"/>
  <c r="S683" i="3"/>
  <c r="T683" i="3" s="1"/>
  <c r="M683" i="3"/>
  <c r="R683" i="3" s="1"/>
  <c r="Q789" i="3"/>
  <c r="P789" i="3"/>
  <c r="M817" i="3"/>
  <c r="Q707" i="2"/>
  <c r="P707" i="2"/>
  <c r="Q727" i="2"/>
  <c r="P727" i="2"/>
  <c r="R793" i="2"/>
  <c r="S818" i="2"/>
  <c r="T818" i="2" s="1"/>
  <c r="S895" i="2"/>
  <c r="T895" i="2" s="1"/>
  <c r="S908" i="2"/>
  <c r="T908" i="2" s="1"/>
  <c r="D841" i="8"/>
  <c r="C832" i="8"/>
  <c r="R948" i="2"/>
  <c r="S976" i="2"/>
  <c r="T976" i="2" s="1"/>
  <c r="M976" i="2"/>
  <c r="R976" i="2" s="1"/>
  <c r="U1122" i="2"/>
  <c r="R1145" i="2"/>
  <c r="S1145" i="2" s="1"/>
  <c r="T1145" i="2" s="1"/>
  <c r="U1145" i="2" s="1"/>
  <c r="Q1159" i="2"/>
  <c r="P1159" i="2"/>
  <c r="R1162" i="2"/>
  <c r="Q1196" i="2"/>
  <c r="P1196" i="2"/>
  <c r="Q1200" i="2"/>
  <c r="P1200" i="2"/>
  <c r="Q11" i="3"/>
  <c r="P11" i="3"/>
  <c r="Q77" i="3"/>
  <c r="P77" i="3"/>
  <c r="R80" i="3"/>
  <c r="S80" i="3" s="1"/>
  <c r="T80" i="3" s="1"/>
  <c r="R130" i="3"/>
  <c r="R167" i="3"/>
  <c r="M205" i="3"/>
  <c r="R205" i="3" s="1"/>
  <c r="S205" i="3" s="1"/>
  <c r="T205" i="3" s="1"/>
  <c r="Q309" i="3"/>
  <c r="P309" i="3"/>
  <c r="S312" i="3"/>
  <c r="T312" i="3" s="1"/>
  <c r="M330" i="3"/>
  <c r="R330" i="3" s="1"/>
  <c r="S330" i="3"/>
  <c r="T330" i="3" s="1"/>
  <c r="R352" i="3"/>
  <c r="S359" i="3"/>
  <c r="T359" i="3" s="1"/>
  <c r="M359" i="3"/>
  <c r="R359" i="3" s="1"/>
  <c r="M472" i="3"/>
  <c r="R472" i="3" s="1"/>
  <c r="Q498" i="3"/>
  <c r="P498" i="3"/>
  <c r="M524" i="3"/>
  <c r="R524" i="3" s="1"/>
  <c r="S524" i="3"/>
  <c r="T524" i="3" s="1"/>
  <c r="Q609" i="3"/>
  <c r="P609" i="3"/>
  <c r="M617" i="3"/>
  <c r="M830" i="3"/>
  <c r="R830" i="3" s="1"/>
  <c r="R324" i="2"/>
  <c r="S324" i="2" s="1"/>
  <c r="T324" i="2" s="1"/>
  <c r="U324" i="2" s="1"/>
  <c r="D650" i="8"/>
  <c r="C645" i="8"/>
  <c r="V396" i="2"/>
  <c r="R564" i="2"/>
  <c r="S564" i="2" s="1"/>
  <c r="T564" i="2" s="1"/>
  <c r="Q588" i="2"/>
  <c r="P588" i="2"/>
  <c r="V588" i="2" s="1"/>
  <c r="Q611" i="2"/>
  <c r="P611" i="2"/>
  <c r="S644" i="2"/>
  <c r="T644" i="2" s="1"/>
  <c r="U644" i="2" s="1"/>
  <c r="D1413" i="8"/>
  <c r="G1413" i="8" s="1"/>
  <c r="C1329" i="8"/>
  <c r="R660" i="2"/>
  <c r="S660" i="2" s="1"/>
  <c r="T660" i="2" s="1"/>
  <c r="U660" i="2" s="1"/>
  <c r="Q692" i="2"/>
  <c r="P692" i="2"/>
  <c r="V692" i="2" s="1"/>
  <c r="S732" i="2"/>
  <c r="T732" i="2" s="1"/>
  <c r="R758" i="2"/>
  <c r="S758" i="2" s="1"/>
  <c r="T758" i="2" s="1"/>
  <c r="U758" i="2" s="1"/>
  <c r="Q842" i="2"/>
  <c r="P842" i="2"/>
  <c r="S870" i="2"/>
  <c r="T870" i="2" s="1"/>
  <c r="S953" i="2"/>
  <c r="T953" i="2" s="1"/>
  <c r="U953" i="2" s="1"/>
  <c r="S973" i="2"/>
  <c r="T973" i="2" s="1"/>
  <c r="S984" i="2"/>
  <c r="T984" i="2" s="1"/>
  <c r="U984" i="2" s="1"/>
  <c r="R1004" i="2"/>
  <c r="S1004" i="2" s="1"/>
  <c r="T1004" i="2" s="1"/>
  <c r="S1006" i="2"/>
  <c r="T1006" i="2" s="1"/>
  <c r="D371" i="8"/>
  <c r="S1037" i="2"/>
  <c r="T1037" i="2" s="1"/>
  <c r="U1037" i="2" s="1"/>
  <c r="R1054" i="2"/>
  <c r="Q1080" i="2"/>
  <c r="P1080" i="2"/>
  <c r="R1083" i="2"/>
  <c r="S1083" i="2" s="1"/>
  <c r="T1083" i="2" s="1"/>
  <c r="U1083" i="2" s="1"/>
  <c r="V1138" i="2"/>
  <c r="Q1223" i="2"/>
  <c r="P1223" i="2"/>
  <c r="V1223" i="2" s="1"/>
  <c r="M39" i="3"/>
  <c r="R39" i="3" s="1"/>
  <c r="S39" i="3" s="1"/>
  <c r="T39" i="3" s="1"/>
  <c r="S42" i="3"/>
  <c r="T42" i="3" s="1"/>
  <c r="U58" i="3"/>
  <c r="U86" i="3"/>
  <c r="M92" i="3"/>
  <c r="R92" i="3" s="1"/>
  <c r="S92" i="3" s="1"/>
  <c r="T92" i="3" s="1"/>
  <c r="S95" i="3"/>
  <c r="T95" i="3" s="1"/>
  <c r="R156" i="3"/>
  <c r="M323" i="3"/>
  <c r="R323" i="3" s="1"/>
  <c r="S323" i="3"/>
  <c r="T323" i="3" s="1"/>
  <c r="T381" i="3"/>
  <c r="S421" i="3"/>
  <c r="T421" i="3" s="1"/>
  <c r="M421" i="3"/>
  <c r="R421" i="3" s="1"/>
  <c r="S459" i="3"/>
  <c r="T459" i="3" s="1"/>
  <c r="M459" i="3"/>
  <c r="R459" i="3" s="1"/>
  <c r="Q494" i="3"/>
  <c r="P494" i="3"/>
  <c r="Q636" i="3"/>
  <c r="P636" i="3"/>
  <c r="Q782" i="3"/>
  <c r="P782" i="3"/>
  <c r="R893" i="2"/>
  <c r="Q914" i="2"/>
  <c r="P914" i="2"/>
  <c r="C744" i="8"/>
  <c r="D750" i="8"/>
  <c r="G750" i="8" s="1"/>
  <c r="R928" i="2"/>
  <c r="S928" i="2" s="1"/>
  <c r="T928" i="2" s="1"/>
  <c r="U928" i="2" s="1"/>
  <c r="Q938" i="2"/>
  <c r="P938" i="2"/>
  <c r="R951" i="2"/>
  <c r="S951" i="2" s="1"/>
  <c r="T951" i="2" s="1"/>
  <c r="S1064" i="2"/>
  <c r="T1064" i="2" s="1"/>
  <c r="U1064" i="2" s="1"/>
  <c r="U1070" i="2"/>
  <c r="S1099" i="2"/>
  <c r="T1099" i="2" s="1"/>
  <c r="Q40" i="3"/>
  <c r="P40" i="3"/>
  <c r="M83" i="3"/>
  <c r="R83" i="3" s="1"/>
  <c r="S83" i="3" s="1"/>
  <c r="T83" i="3" s="1"/>
  <c r="Q174" i="3"/>
  <c r="P174" i="3"/>
  <c r="Q206" i="3"/>
  <c r="P206" i="3"/>
  <c r="R228" i="3"/>
  <c r="M241" i="3"/>
  <c r="R241" i="3" s="1"/>
  <c r="S241" i="3"/>
  <c r="T241" i="3" s="1"/>
  <c r="Q278" i="3"/>
  <c r="P278" i="3"/>
  <c r="M282" i="3"/>
  <c r="R282" i="3" s="1"/>
  <c r="S282" i="3" s="1"/>
  <c r="T282" i="3" s="1"/>
  <c r="Q324" i="3"/>
  <c r="P324" i="3"/>
  <c r="Q414" i="3"/>
  <c r="P414" i="3"/>
  <c r="M449" i="3"/>
  <c r="R449" i="3" s="1"/>
  <c r="M468" i="3"/>
  <c r="Q491" i="3"/>
  <c r="P491" i="3"/>
  <c r="Q529" i="3"/>
  <c r="P529" i="3"/>
  <c r="R544" i="3"/>
  <c r="R563" i="3"/>
  <c r="M601" i="3"/>
  <c r="R601" i="3" s="1"/>
  <c r="S659" i="3"/>
  <c r="T659" i="3" s="1"/>
  <c r="M659" i="3"/>
  <c r="R659" i="3" s="1"/>
  <c r="S677" i="3"/>
  <c r="T677" i="3" s="1"/>
  <c r="M677" i="3"/>
  <c r="R677" i="3" s="1"/>
  <c r="S650" i="2"/>
  <c r="T650" i="2" s="1"/>
  <c r="R663" i="2"/>
  <c r="S663" i="2" s="1"/>
  <c r="T663" i="2" s="1"/>
  <c r="Q670" i="2"/>
  <c r="P670" i="2"/>
  <c r="P702" i="2"/>
  <c r="P717" i="2"/>
  <c r="S717" i="2" s="1"/>
  <c r="T717" i="2" s="1"/>
  <c r="P793" i="2"/>
  <c r="Q824" i="2"/>
  <c r="P824" i="2"/>
  <c r="S919" i="2"/>
  <c r="T919" i="2" s="1"/>
  <c r="S935" i="2"/>
  <c r="T935" i="2" s="1"/>
  <c r="S968" i="2"/>
  <c r="T968" i="2" s="1"/>
  <c r="U968" i="2" s="1"/>
  <c r="S987" i="2"/>
  <c r="T987" i="2" s="1"/>
  <c r="R996" i="2"/>
  <c r="S996" i="2" s="1"/>
  <c r="T996" i="2" s="1"/>
  <c r="U996" i="2" s="1"/>
  <c r="R999" i="2"/>
  <c r="S999" i="2" s="1"/>
  <c r="T999" i="2" s="1"/>
  <c r="U999" i="2" s="1"/>
  <c r="S1001" i="2"/>
  <c r="T1001" i="2" s="1"/>
  <c r="U1001" i="2" s="1"/>
  <c r="M1004" i="2"/>
  <c r="G1032" i="8"/>
  <c r="S1057" i="2"/>
  <c r="T1057" i="2" s="1"/>
  <c r="U1057" i="2" s="1"/>
  <c r="S1070" i="2"/>
  <c r="T1070" i="2" s="1"/>
  <c r="S1110" i="2"/>
  <c r="T1110" i="2" s="1"/>
  <c r="U1110" i="2" s="1"/>
  <c r="Q1217" i="2"/>
  <c r="P1217" i="2"/>
  <c r="S1230" i="2"/>
  <c r="T1230" i="2" s="1"/>
  <c r="U1230" i="2" s="1"/>
  <c r="Q55" i="3"/>
  <c r="P55" i="3"/>
  <c r="R90" i="3"/>
  <c r="S90" i="3" s="1"/>
  <c r="T90" i="3" s="1"/>
  <c r="M104" i="3"/>
  <c r="R104" i="3" s="1"/>
  <c r="S104" i="3"/>
  <c r="T104" i="3" s="1"/>
  <c r="S117" i="3"/>
  <c r="T117" i="3" s="1"/>
  <c r="T137" i="3"/>
  <c r="R150" i="3"/>
  <c r="P156" i="3"/>
  <c r="S199" i="3"/>
  <c r="T199" i="3" s="1"/>
  <c r="M199" i="3"/>
  <c r="R199" i="3" s="1"/>
  <c r="M228" i="3"/>
  <c r="Q235" i="3"/>
  <c r="P235" i="3"/>
  <c r="T238" i="3"/>
  <c r="Q266" i="3"/>
  <c r="S301" i="3"/>
  <c r="T301" i="3" s="1"/>
  <c r="Q368" i="3"/>
  <c r="P368" i="3"/>
  <c r="Q375" i="3"/>
  <c r="P375" i="3"/>
  <c r="R422" i="3"/>
  <c r="S589" i="3"/>
  <c r="T589" i="3" s="1"/>
  <c r="Q618" i="3"/>
  <c r="P618" i="3"/>
  <c r="R629" i="3"/>
  <c r="R655" i="3"/>
  <c r="Q660" i="3"/>
  <c r="P660" i="3"/>
  <c r="U660" i="3" s="1"/>
  <c r="S735" i="3"/>
  <c r="T735" i="3" s="1"/>
  <c r="C38" i="8"/>
  <c r="D42" i="8"/>
  <c r="R690" i="2"/>
  <c r="S690" i="2" s="1"/>
  <c r="T690" i="2" s="1"/>
  <c r="U690" i="2" s="1"/>
  <c r="C521" i="8"/>
  <c r="D556" i="8"/>
  <c r="G556" i="8" s="1"/>
  <c r="C584" i="8"/>
  <c r="Q778" i="2"/>
  <c r="P778" i="2"/>
  <c r="S816" i="2"/>
  <c r="T816" i="2" s="1"/>
  <c r="R871" i="2"/>
  <c r="S871" i="2" s="1"/>
  <c r="T871" i="2" s="1"/>
  <c r="R944" i="2"/>
  <c r="S944" i="2" s="1"/>
  <c r="T944" i="2" s="1"/>
  <c r="U944" i="2" s="1"/>
  <c r="S948" i="2"/>
  <c r="T948" i="2" s="1"/>
  <c r="U948" i="2" s="1"/>
  <c r="D273" i="8"/>
  <c r="G273" i="8" s="1"/>
  <c r="C115" i="8"/>
  <c r="S1054" i="2"/>
  <c r="T1054" i="2" s="1"/>
  <c r="R1065" i="2"/>
  <c r="S1065" i="2" s="1"/>
  <c r="T1065" i="2" s="1"/>
  <c r="U1077" i="2"/>
  <c r="V1134" i="2"/>
  <c r="R1141" i="2"/>
  <c r="S1141" i="2" s="1"/>
  <c r="T1141" i="2" s="1"/>
  <c r="S1156" i="2"/>
  <c r="T1156" i="2" s="1"/>
  <c r="R1191" i="2"/>
  <c r="S1191" i="2" s="1"/>
  <c r="Q1224" i="2"/>
  <c r="P1224" i="2"/>
  <c r="V1224" i="2" s="1"/>
  <c r="U14" i="3"/>
  <c r="S19" i="3"/>
  <c r="T19" i="3" s="1"/>
  <c r="M19" i="3"/>
  <c r="Q62" i="3"/>
  <c r="P62" i="3"/>
  <c r="U62" i="3" s="1"/>
  <c r="R137" i="3"/>
  <c r="M153" i="3"/>
  <c r="R153" i="3" s="1"/>
  <c r="S153" i="3"/>
  <c r="T153" i="3" s="1"/>
  <c r="S156" i="3"/>
  <c r="M210" i="3"/>
  <c r="R210" i="3" s="1"/>
  <c r="M258" i="3"/>
  <c r="R258" i="3" s="1"/>
  <c r="S258" i="3"/>
  <c r="T258" i="3" s="1"/>
  <c r="R263" i="3"/>
  <c r="M295" i="3"/>
  <c r="R295" i="3" s="1"/>
  <c r="S295" i="3"/>
  <c r="T295" i="3" s="1"/>
  <c r="Q386" i="3"/>
  <c r="P386" i="3"/>
  <c r="Q393" i="3"/>
  <c r="P393" i="3"/>
  <c r="S397" i="3"/>
  <c r="T397" i="3" s="1"/>
  <c r="M397" i="3"/>
  <c r="R397" i="3" s="1"/>
  <c r="Q411" i="3"/>
  <c r="P411" i="3"/>
  <c r="Q499" i="3"/>
  <c r="P499" i="3"/>
  <c r="R515" i="3"/>
  <c r="M540" i="3"/>
  <c r="R540" i="3" s="1"/>
  <c r="S540" i="3"/>
  <c r="T540" i="3" s="1"/>
  <c r="Q545" i="3"/>
  <c r="P545" i="3"/>
  <c r="M610" i="3"/>
  <c r="S687" i="3"/>
  <c r="T687" i="3" s="1"/>
  <c r="M687" i="3"/>
  <c r="R687" i="3" s="1"/>
  <c r="Q750" i="3"/>
  <c r="P750" i="3"/>
  <c r="M826" i="3"/>
  <c r="R826" i="3" s="1"/>
  <c r="S826" i="3" s="1"/>
  <c r="T826" i="3" s="1"/>
  <c r="L904" i="3"/>
  <c r="K904" i="3"/>
  <c r="T523" i="3"/>
  <c r="S530" i="3"/>
  <c r="T530" i="3" s="1"/>
  <c r="M530" i="3"/>
  <c r="T556" i="3"/>
  <c r="Q577" i="3"/>
  <c r="P577" i="3"/>
  <c r="Q626" i="3"/>
  <c r="P626" i="3"/>
  <c r="M650" i="3"/>
  <c r="M653" i="3"/>
  <c r="R653" i="3" s="1"/>
  <c r="S653" i="3"/>
  <c r="T653" i="3" s="1"/>
  <c r="S662" i="3"/>
  <c r="T662" i="3" s="1"/>
  <c r="M662" i="3"/>
  <c r="R662" i="3" s="1"/>
  <c r="U678" i="3"/>
  <c r="S689" i="3"/>
  <c r="T689" i="3" s="1"/>
  <c r="M689" i="3"/>
  <c r="R689" i="3" s="1"/>
  <c r="R752" i="3"/>
  <c r="S752" i="3" s="1"/>
  <c r="T752" i="3" s="1"/>
  <c r="M807" i="3"/>
  <c r="R807" i="3" s="1"/>
  <c r="R811" i="3"/>
  <c r="R940" i="2"/>
  <c r="S940" i="2" s="1"/>
  <c r="T940" i="2" s="1"/>
  <c r="R1183" i="2"/>
  <c r="S1183" i="2" s="1"/>
  <c r="T1183" i="2" s="1"/>
  <c r="U1183" i="2" s="1"/>
  <c r="R1201" i="2"/>
  <c r="S1201" i="2" s="1"/>
  <c r="T1201" i="2" s="1"/>
  <c r="S1211" i="2"/>
  <c r="T1211" i="2" s="1"/>
  <c r="Q1227" i="2"/>
  <c r="P1227" i="2"/>
  <c r="R8" i="3"/>
  <c r="S8" i="3" s="1"/>
  <c r="T8" i="3" s="1"/>
  <c r="U79" i="3"/>
  <c r="R82" i="3"/>
  <c r="S82" i="3" s="1"/>
  <c r="T82" i="3" s="1"/>
  <c r="S87" i="3"/>
  <c r="T87" i="3" s="1"/>
  <c r="Q136" i="3"/>
  <c r="P136" i="3"/>
  <c r="Q144" i="3"/>
  <c r="P144" i="3"/>
  <c r="S211" i="3"/>
  <c r="T211" i="3" s="1"/>
  <c r="T229" i="3"/>
  <c r="Q262" i="3"/>
  <c r="P262" i="3"/>
  <c r="R311" i="3"/>
  <c r="S311" i="3" s="1"/>
  <c r="T311" i="3" s="1"/>
  <c r="Q349" i="3"/>
  <c r="P349" i="3"/>
  <c r="Q355" i="3"/>
  <c r="P355" i="3"/>
  <c r="Q418" i="3"/>
  <c r="P418" i="3"/>
  <c r="D894" i="3"/>
  <c r="Q439" i="3"/>
  <c r="P439" i="3"/>
  <c r="R457" i="3"/>
  <c r="S457" i="3" s="1"/>
  <c r="T457" i="3" s="1"/>
  <c r="S467" i="3"/>
  <c r="T467" i="3" s="1"/>
  <c r="M467" i="3"/>
  <c r="R467" i="3" s="1"/>
  <c r="S479" i="3"/>
  <c r="T479" i="3" s="1"/>
  <c r="Q496" i="3"/>
  <c r="P496" i="3"/>
  <c r="R502" i="3"/>
  <c r="Q527" i="3"/>
  <c r="P527" i="3"/>
  <c r="T563" i="3"/>
  <c r="M646" i="3"/>
  <c r="R650" i="3"/>
  <c r="S650" i="3" s="1"/>
  <c r="T650" i="3" s="1"/>
  <c r="M674" i="3"/>
  <c r="R674" i="3" s="1"/>
  <c r="S674" i="3" s="1"/>
  <c r="T674" i="3" s="1"/>
  <c r="S758" i="3"/>
  <c r="T758" i="3" s="1"/>
  <c r="M795" i="3"/>
  <c r="R795" i="3" s="1"/>
  <c r="S795" i="3"/>
  <c r="T795" i="3" s="1"/>
  <c r="M819" i="3"/>
  <c r="K899" i="3"/>
  <c r="H899" i="3"/>
  <c r="AA94" i="5"/>
  <c r="Z94" i="5"/>
  <c r="AG94" i="5"/>
  <c r="AH94" i="5" s="1"/>
  <c r="Q364" i="5"/>
  <c r="C1161" i="8"/>
  <c r="D1231" i="8"/>
  <c r="G1231" i="8" s="1"/>
  <c r="C1144" i="8"/>
  <c r="D1144" i="8"/>
  <c r="S1123" i="2"/>
  <c r="T1123" i="2" s="1"/>
  <c r="U1123" i="2" s="1"/>
  <c r="S1173" i="2"/>
  <c r="T1173" i="2" s="1"/>
  <c r="U1173" i="2" s="1"/>
  <c r="G108" i="8"/>
  <c r="U8" i="3"/>
  <c r="S38" i="3"/>
  <c r="T38" i="3" s="1"/>
  <c r="U93" i="3"/>
  <c r="Q125" i="3"/>
  <c r="P125" i="3"/>
  <c r="Q133" i="3"/>
  <c r="P133" i="3"/>
  <c r="M150" i="3"/>
  <c r="R188" i="3"/>
  <c r="T220" i="3"/>
  <c r="Q304" i="3"/>
  <c r="P304" i="3"/>
  <c r="R340" i="3"/>
  <c r="S340" i="3" s="1"/>
  <c r="T340" i="3" s="1"/>
  <c r="T389" i="3"/>
  <c r="Q396" i="3"/>
  <c r="P396" i="3"/>
  <c r="M424" i="3"/>
  <c r="R424" i="3" s="1"/>
  <c r="S424" i="3"/>
  <c r="Q451" i="3"/>
  <c r="P451" i="3"/>
  <c r="M462" i="3"/>
  <c r="R462" i="3" s="1"/>
  <c r="S462" i="3" s="1"/>
  <c r="T462" i="3" s="1"/>
  <c r="P537" i="3"/>
  <c r="Q537" i="3"/>
  <c r="R554" i="3"/>
  <c r="S566" i="3"/>
  <c r="T566" i="3" s="1"/>
  <c r="M566" i="3"/>
  <c r="R566" i="3" s="1"/>
  <c r="T573" i="3"/>
  <c r="S619" i="3"/>
  <c r="T619" i="3" s="1"/>
  <c r="R646" i="3"/>
  <c r="S701" i="3"/>
  <c r="M701" i="3"/>
  <c r="T707" i="3"/>
  <c r="M749" i="3"/>
  <c r="R749" i="3" s="1"/>
  <c r="S755" i="3"/>
  <c r="T755" i="3" s="1"/>
  <c r="M765" i="3"/>
  <c r="R765" i="3" s="1"/>
  <c r="R823" i="3"/>
  <c r="S823" i="3" s="1"/>
  <c r="T823" i="3" s="1"/>
  <c r="P831" i="3"/>
  <c r="Q831" i="3"/>
  <c r="L899" i="3"/>
  <c r="Q122" i="3"/>
  <c r="P122" i="3"/>
  <c r="Q197" i="3"/>
  <c r="P197" i="3"/>
  <c r="Q275" i="3"/>
  <c r="P275" i="3"/>
  <c r="Q308" i="3"/>
  <c r="P308" i="3"/>
  <c r="P333" i="3"/>
  <c r="U333" i="3" s="1"/>
  <c r="Q333" i="3"/>
  <c r="Q346" i="3"/>
  <c r="P346" i="3"/>
  <c r="Q402" i="3"/>
  <c r="P402" i="3"/>
  <c r="S436" i="3"/>
  <c r="T436" i="3" s="1"/>
  <c r="S482" i="3"/>
  <c r="T482" i="3" s="1"/>
  <c r="S487" i="3"/>
  <c r="T487" i="3" s="1"/>
  <c r="T521" i="3"/>
  <c r="S533" i="3"/>
  <c r="T533" i="3" s="1"/>
  <c r="R560" i="3"/>
  <c r="Q602" i="3"/>
  <c r="P602" i="3"/>
  <c r="Q616" i="3"/>
  <c r="P616" i="3"/>
  <c r="M637" i="3"/>
  <c r="U650" i="3"/>
  <c r="M658" i="3"/>
  <c r="R658" i="3" s="1"/>
  <c r="S658" i="3" s="1"/>
  <c r="T658" i="3" s="1"/>
  <c r="M697" i="3"/>
  <c r="R697" i="3" s="1"/>
  <c r="S697" i="3"/>
  <c r="T697" i="3" s="1"/>
  <c r="R701" i="3"/>
  <c r="S715" i="3"/>
  <c r="T715" i="3" s="1"/>
  <c r="S741" i="3"/>
  <c r="T741" i="3" s="1"/>
  <c r="Q780" i="3"/>
  <c r="P780" i="3"/>
  <c r="S784" i="3"/>
  <c r="T784" i="3" s="1"/>
  <c r="R819" i="3"/>
  <c r="N899" i="3"/>
  <c r="J279" i="5"/>
  <c r="I279" i="5"/>
  <c r="O279" i="5" s="1"/>
  <c r="P279" i="5"/>
  <c r="Q279" i="5" s="1"/>
  <c r="S103" i="3"/>
  <c r="T103" i="3" s="1"/>
  <c r="T150" i="3"/>
  <c r="R159" i="3"/>
  <c r="Q259" i="3"/>
  <c r="P259" i="3"/>
  <c r="Q305" i="3"/>
  <c r="P305" i="3"/>
  <c r="M380" i="3"/>
  <c r="R380" i="3" s="1"/>
  <c r="S380" i="3"/>
  <c r="T380" i="3" s="1"/>
  <c r="Q387" i="3"/>
  <c r="P387" i="3"/>
  <c r="R428" i="3"/>
  <c r="S428" i="3" s="1"/>
  <c r="T428" i="3" s="1"/>
  <c r="M455" i="3"/>
  <c r="R455" i="3" s="1"/>
  <c r="Q471" i="3"/>
  <c r="P471" i="3"/>
  <c r="Q474" i="3"/>
  <c r="P474" i="3"/>
  <c r="S490" i="3"/>
  <c r="T490" i="3" s="1"/>
  <c r="M490" i="3"/>
  <c r="R490" i="3" s="1"/>
  <c r="R493" i="3"/>
  <c r="S514" i="3"/>
  <c r="T514" i="3" s="1"/>
  <c r="M514" i="3"/>
  <c r="R514" i="3" s="1"/>
  <c r="T547" i="3"/>
  <c r="S578" i="3"/>
  <c r="T578" i="3" s="1"/>
  <c r="M578" i="3"/>
  <c r="R585" i="3"/>
  <c r="P627" i="3"/>
  <c r="Q627" i="3"/>
  <c r="S640" i="3"/>
  <c r="T640" i="3" s="1"/>
  <c r="R708" i="3"/>
  <c r="Q820" i="3"/>
  <c r="P820" i="3"/>
  <c r="AA265" i="5"/>
  <c r="Z265" i="5"/>
  <c r="D1376" i="8"/>
  <c r="C1328" i="8"/>
  <c r="D1298" i="8"/>
  <c r="G1298" i="8" s="1"/>
  <c r="C1120" i="8"/>
  <c r="D863" i="8"/>
  <c r="G863" i="8" s="1"/>
  <c r="C813" i="8"/>
  <c r="S954" i="2"/>
  <c r="T954" i="2" s="1"/>
  <c r="U954" i="2" s="1"/>
  <c r="Q1048" i="2"/>
  <c r="P1074" i="2"/>
  <c r="S1161" i="2"/>
  <c r="T1161" i="2" s="1"/>
  <c r="U1161" i="2" s="1"/>
  <c r="S1209" i="2"/>
  <c r="T1209" i="2" s="1"/>
  <c r="Q21" i="3"/>
  <c r="P21" i="3"/>
  <c r="Q36" i="3"/>
  <c r="P36" i="3"/>
  <c r="Q44" i="3"/>
  <c r="U57" i="3"/>
  <c r="Q71" i="3"/>
  <c r="T139" i="3"/>
  <c r="Q171" i="3"/>
  <c r="P171" i="3"/>
  <c r="P188" i="3"/>
  <c r="T200" i="3"/>
  <c r="Q224" i="3"/>
  <c r="P224" i="3"/>
  <c r="T248" i="3"/>
  <c r="Q269" i="3"/>
  <c r="P269" i="3"/>
  <c r="P337" i="3"/>
  <c r="Q337" i="3"/>
  <c r="M371" i="3"/>
  <c r="R371" i="3" s="1"/>
  <c r="S371" i="3"/>
  <c r="T371" i="3" s="1"/>
  <c r="R406" i="3"/>
  <c r="Q415" i="3"/>
  <c r="P415" i="3"/>
  <c r="Q448" i="3"/>
  <c r="S465" i="3"/>
  <c r="T465" i="3" s="1"/>
  <c r="R477" i="3"/>
  <c r="S477" i="3" s="1"/>
  <c r="T477" i="3" s="1"/>
  <c r="M485" i="3"/>
  <c r="R485" i="3" s="1"/>
  <c r="S485" i="3" s="1"/>
  <c r="T485" i="3" s="1"/>
  <c r="Q511" i="3"/>
  <c r="P511" i="3"/>
  <c r="S517" i="3"/>
  <c r="T517" i="3" s="1"/>
  <c r="M521" i="3"/>
  <c r="Q551" i="3"/>
  <c r="P551" i="3"/>
  <c r="R578" i="3"/>
  <c r="R637" i="3"/>
  <c r="R651" i="3"/>
  <c r="S654" i="3"/>
  <c r="T654" i="3" s="1"/>
  <c r="M654" i="3"/>
  <c r="R654" i="3" s="1"/>
  <c r="S663" i="3"/>
  <c r="T663" i="3" s="1"/>
  <c r="S681" i="3"/>
  <c r="T681" i="3" s="1"/>
  <c r="M681" i="3"/>
  <c r="R681" i="3" s="1"/>
  <c r="Q694" i="3"/>
  <c r="P694" i="3"/>
  <c r="R698" i="3"/>
  <c r="S723" i="3"/>
  <c r="T723" i="3" s="1"/>
  <c r="M723" i="3"/>
  <c r="R723" i="3" s="1"/>
  <c r="S727" i="3"/>
  <c r="T727" i="3" s="1"/>
  <c r="Q836" i="3"/>
  <c r="P836" i="3"/>
  <c r="P862" i="3"/>
  <c r="O147" i="5"/>
  <c r="Q1194" i="2"/>
  <c r="P1194" i="2"/>
  <c r="V1194" i="2" s="1"/>
  <c r="R1202" i="2"/>
  <c r="S1202" i="2" s="1"/>
  <c r="T1202" i="2" s="1"/>
  <c r="R9" i="3"/>
  <c r="S9" i="3" s="1"/>
  <c r="T9" i="3" s="1"/>
  <c r="U16" i="3"/>
  <c r="Q25" i="3"/>
  <c r="P25" i="3"/>
  <c r="U99" i="3"/>
  <c r="Q246" i="3"/>
  <c r="P246" i="3"/>
  <c r="Q257" i="3"/>
  <c r="P257" i="3"/>
  <c r="Q276" i="3"/>
  <c r="P276" i="3"/>
  <c r="T279" i="3"/>
  <c r="Q293" i="3"/>
  <c r="P293" i="3"/>
  <c r="U337" i="3"/>
  <c r="Q384" i="3"/>
  <c r="P384" i="3"/>
  <c r="R403" i="3"/>
  <c r="P455" i="3"/>
  <c r="S455" i="3" s="1"/>
  <c r="T455" i="3" s="1"/>
  <c r="M478" i="3"/>
  <c r="R478" i="3" s="1"/>
  <c r="S488" i="3"/>
  <c r="T488" i="3" s="1"/>
  <c r="M488" i="3"/>
  <c r="R488" i="3" s="1"/>
  <c r="Q575" i="3"/>
  <c r="P575" i="3"/>
  <c r="R617" i="3"/>
  <c r="S620" i="3"/>
  <c r="T620" i="3" s="1"/>
  <c r="R638" i="3"/>
  <c r="S638" i="3" s="1"/>
  <c r="T638" i="3" s="1"/>
  <c r="Q695" i="3"/>
  <c r="P695" i="3"/>
  <c r="T698" i="3"/>
  <c r="Q709" i="3"/>
  <c r="P709" i="3"/>
  <c r="M713" i="3"/>
  <c r="R713" i="3" s="1"/>
  <c r="S717" i="3"/>
  <c r="M717" i="3"/>
  <c r="R717" i="3" s="1"/>
  <c r="M731" i="3"/>
  <c r="R731" i="3" s="1"/>
  <c r="S731" i="3"/>
  <c r="T731" i="3" s="1"/>
  <c r="R797" i="3"/>
  <c r="T812" i="3"/>
  <c r="M824" i="3"/>
  <c r="R824" i="3" s="1"/>
  <c r="S824" i="3" s="1"/>
  <c r="T824" i="3" s="1"/>
  <c r="S832" i="3"/>
  <c r="T832" i="3" s="1"/>
  <c r="O901" i="3"/>
  <c r="N901" i="3"/>
  <c r="L901" i="3"/>
  <c r="K901" i="3"/>
  <c r="H901" i="3"/>
  <c r="T180" i="3"/>
  <c r="Q195" i="3"/>
  <c r="P195" i="3"/>
  <c r="Q260" i="3"/>
  <c r="P260" i="3"/>
  <c r="T286" i="3"/>
  <c r="Q306" i="3"/>
  <c r="P306" i="3"/>
  <c r="U341" i="3"/>
  <c r="T350" i="3"/>
  <c r="M353" i="3"/>
  <c r="R353" i="3" s="1"/>
  <c r="S353" i="3"/>
  <c r="T353" i="3" s="1"/>
  <c r="Q366" i="3"/>
  <c r="P366" i="3"/>
  <c r="Q416" i="3"/>
  <c r="P416" i="3"/>
  <c r="S446" i="3"/>
  <c r="T446" i="3" s="1"/>
  <c r="M446" i="3"/>
  <c r="R446" i="3" s="1"/>
  <c r="S503" i="3"/>
  <c r="T503" i="3" s="1"/>
  <c r="Q552" i="3"/>
  <c r="P552" i="3"/>
  <c r="R624" i="3"/>
  <c r="S641" i="3"/>
  <c r="T641" i="3" s="1"/>
  <c r="M648" i="3"/>
  <c r="R648" i="3" s="1"/>
  <c r="M751" i="3"/>
  <c r="S793" i="3"/>
  <c r="T793" i="3" s="1"/>
  <c r="S837" i="3"/>
  <c r="T837" i="3" s="1"/>
  <c r="S851" i="3"/>
  <c r="O902" i="3"/>
  <c r="N902" i="3"/>
  <c r="L902" i="3"/>
  <c r="K902" i="3"/>
  <c r="T140" i="3"/>
  <c r="Q178" i="3"/>
  <c r="P178" i="3"/>
  <c r="Q294" i="3"/>
  <c r="P294" i="3"/>
  <c r="Q357" i="3"/>
  <c r="P357" i="3"/>
  <c r="S400" i="3"/>
  <c r="T400" i="3" s="1"/>
  <c r="M400" i="3"/>
  <c r="R400" i="3" s="1"/>
  <c r="Q441" i="3"/>
  <c r="P441" i="3"/>
  <c r="R481" i="3"/>
  <c r="S481" i="3" s="1"/>
  <c r="T481" i="3" s="1"/>
  <c r="R512" i="3"/>
  <c r="T518" i="3"/>
  <c r="T555" i="3"/>
  <c r="S586" i="3"/>
  <c r="T586" i="3" s="1"/>
  <c r="Q593" i="3"/>
  <c r="P593" i="3"/>
  <c r="M676" i="3"/>
  <c r="R676" i="3" s="1"/>
  <c r="S676" i="3"/>
  <c r="T676" i="3" s="1"/>
  <c r="S682" i="3"/>
  <c r="T682" i="3" s="1"/>
  <c r="S685" i="3"/>
  <c r="T685" i="3" s="1"/>
  <c r="M685" i="3"/>
  <c r="R685" i="3" s="1"/>
  <c r="Q718" i="3"/>
  <c r="P718" i="3"/>
  <c r="R754" i="3"/>
  <c r="S760" i="3"/>
  <c r="T760" i="3" s="1"/>
  <c r="Q767" i="3"/>
  <c r="P767" i="3"/>
  <c r="D62" i="8"/>
  <c r="G62" i="8" s="1"/>
  <c r="C31" i="8"/>
  <c r="D989" i="8"/>
  <c r="D1165" i="8"/>
  <c r="G1165" i="8" s="1"/>
  <c r="C1163" i="8"/>
  <c r="C90" i="8"/>
  <c r="Q22" i="3"/>
  <c r="P22" i="3"/>
  <c r="S58" i="3"/>
  <c r="T58" i="3" s="1"/>
  <c r="Q64" i="3"/>
  <c r="P64" i="3"/>
  <c r="S67" i="3"/>
  <c r="T67" i="3" s="1"/>
  <c r="S86" i="3"/>
  <c r="T86" i="3" s="1"/>
  <c r="U102" i="3"/>
  <c r="T129" i="3"/>
  <c r="P157" i="3"/>
  <c r="Q157" i="3"/>
  <c r="Q175" i="3"/>
  <c r="P175" i="3"/>
  <c r="P210" i="3"/>
  <c r="P228" i="3"/>
  <c r="T228" i="3" s="1"/>
  <c r="M240" i="3"/>
  <c r="R240" i="3" s="1"/>
  <c r="S240" i="3"/>
  <c r="T240" i="3" s="1"/>
  <c r="Q255" i="3"/>
  <c r="P255" i="3"/>
  <c r="M273" i="3"/>
  <c r="R273" i="3" s="1"/>
  <c r="S273" i="3"/>
  <c r="T273" i="3" s="1"/>
  <c r="Q316" i="3"/>
  <c r="P316" i="3"/>
  <c r="T360" i="3"/>
  <c r="Q413" i="3"/>
  <c r="P413" i="3"/>
  <c r="M423" i="3"/>
  <c r="R423" i="3" s="1"/>
  <c r="S435" i="3"/>
  <c r="T435" i="3" s="1"/>
  <c r="Q447" i="3"/>
  <c r="P447" i="3"/>
  <c r="Q453" i="3"/>
  <c r="P453" i="3"/>
  <c r="R456" i="3"/>
  <c r="P478" i="3"/>
  <c r="R501" i="3"/>
  <c r="S501" i="3" s="1"/>
  <c r="T501" i="3" s="1"/>
  <c r="Q519" i="3"/>
  <c r="P519" i="3"/>
  <c r="S525" i="3"/>
  <c r="T525" i="3" s="1"/>
  <c r="M572" i="3"/>
  <c r="R583" i="3"/>
  <c r="Q600" i="3"/>
  <c r="P600" i="3"/>
  <c r="Q661" i="3"/>
  <c r="P661" i="3"/>
  <c r="U661" i="3" s="1"/>
  <c r="S691" i="3"/>
  <c r="T691" i="3" s="1"/>
  <c r="M691" i="3"/>
  <c r="R691" i="3" s="1"/>
  <c r="S710" i="3"/>
  <c r="M710" i="3"/>
  <c r="R710" i="3" s="1"/>
  <c r="R714" i="3"/>
  <c r="T721" i="3"/>
  <c r="M737" i="3"/>
  <c r="R737" i="3" s="1"/>
  <c r="S737" i="3"/>
  <c r="T737" i="3" s="1"/>
  <c r="R751" i="3"/>
  <c r="S751" i="3" s="1"/>
  <c r="T751" i="3" s="1"/>
  <c r="Q771" i="3"/>
  <c r="P771" i="3"/>
  <c r="M790" i="3"/>
  <c r="Q798" i="3"/>
  <c r="P798" i="3"/>
  <c r="R817" i="3"/>
  <c r="D1297" i="8"/>
  <c r="C1217" i="8"/>
  <c r="D212" i="8"/>
  <c r="G212" i="8" s="1"/>
  <c r="C195" i="8"/>
  <c r="G1072" i="8"/>
  <c r="C1148" i="8"/>
  <c r="D1196" i="8"/>
  <c r="S1030" i="2"/>
  <c r="T1030" i="2" s="1"/>
  <c r="U1030" i="2" s="1"/>
  <c r="Q1073" i="2"/>
  <c r="P1073" i="2"/>
  <c r="G1114" i="8"/>
  <c r="R1109" i="2"/>
  <c r="S1109" i="2" s="1"/>
  <c r="T1109" i="2" s="1"/>
  <c r="U1109" i="2" s="1"/>
  <c r="Q1160" i="2"/>
  <c r="P1160" i="2"/>
  <c r="R19" i="3"/>
  <c r="S111" i="3"/>
  <c r="T111" i="3" s="1"/>
  <c r="S123" i="3"/>
  <c r="T123" i="3" s="1"/>
  <c r="R127" i="3"/>
  <c r="Q146" i="3"/>
  <c r="P146" i="3"/>
  <c r="S192" i="3"/>
  <c r="T192" i="3" s="1"/>
  <c r="S204" i="3"/>
  <c r="T204" i="3" s="1"/>
  <c r="M204" i="3"/>
  <c r="R204" i="3" s="1"/>
  <c r="M231" i="3"/>
  <c r="R231" i="3" s="1"/>
  <c r="S231" i="3"/>
  <c r="T231" i="3" s="1"/>
  <c r="R247" i="3"/>
  <c r="Q277" i="3"/>
  <c r="P277" i="3"/>
  <c r="S280" i="3"/>
  <c r="T280" i="3" s="1"/>
  <c r="S289" i="3"/>
  <c r="T289" i="3" s="1"/>
  <c r="S302" i="3"/>
  <c r="T302" i="3" s="1"/>
  <c r="S322" i="3"/>
  <c r="T322" i="3" s="1"/>
  <c r="P335" i="3"/>
  <c r="U335" i="3" s="1"/>
  <c r="Q335" i="3"/>
  <c r="S344" i="3"/>
  <c r="T344" i="3" s="1"/>
  <c r="R348" i="3"/>
  <c r="Q385" i="3"/>
  <c r="P385" i="3"/>
  <c r="T388" i="3"/>
  <c r="Q391" i="3"/>
  <c r="S429" i="3"/>
  <c r="T429" i="3" s="1"/>
  <c r="S444" i="3"/>
  <c r="T444" i="3" s="1"/>
  <c r="M444" i="3"/>
  <c r="R444" i="3" s="1"/>
  <c r="Q495" i="3"/>
  <c r="P495" i="3"/>
  <c r="M506" i="3"/>
  <c r="R506" i="3" s="1"/>
  <c r="S506" i="3" s="1"/>
  <c r="T506" i="3" s="1"/>
  <c r="P526" i="3"/>
  <c r="Q526" i="3"/>
  <c r="S535" i="3"/>
  <c r="Q562" i="3"/>
  <c r="S621" i="3"/>
  <c r="T621" i="3" s="1"/>
  <c r="M639" i="3"/>
  <c r="R639" i="3" s="1"/>
  <c r="S639" i="3" s="1"/>
  <c r="T639" i="3" s="1"/>
  <c r="Q649" i="3"/>
  <c r="P649" i="3"/>
  <c r="S665" i="3"/>
  <c r="T665" i="3" s="1"/>
  <c r="R670" i="3"/>
  <c r="S670" i="3" s="1"/>
  <c r="T670" i="3" s="1"/>
  <c r="U729" i="3"/>
  <c r="R747" i="3"/>
  <c r="S754" i="3"/>
  <c r="T754" i="3" s="1"/>
  <c r="R790" i="3"/>
  <c r="M813" i="3"/>
  <c r="R813" i="3" s="1"/>
  <c r="S813" i="3"/>
  <c r="T813" i="3" s="1"/>
  <c r="D891" i="3"/>
  <c r="D1128" i="8"/>
  <c r="G1128" i="8" s="1"/>
  <c r="C1122" i="8"/>
  <c r="C1134" i="8"/>
  <c r="G92" i="8"/>
  <c r="C30" i="8"/>
  <c r="D37" i="8"/>
  <c r="G37" i="8" s="1"/>
  <c r="G1213" i="8"/>
  <c r="Q1045" i="2"/>
  <c r="P1045" i="2"/>
  <c r="V1045" i="2" s="1"/>
  <c r="G1091" i="8"/>
  <c r="R1170" i="2"/>
  <c r="S1170" i="2" s="1"/>
  <c r="T1170" i="2" s="1"/>
  <c r="U1170" i="2" s="1"/>
  <c r="R1208" i="2"/>
  <c r="Q1221" i="2"/>
  <c r="P1221" i="2"/>
  <c r="V1221" i="2" s="1"/>
  <c r="P7" i="3"/>
  <c r="U19" i="3"/>
  <c r="Q26" i="3"/>
  <c r="P26" i="3"/>
  <c r="U81" i="3"/>
  <c r="R84" i="3"/>
  <c r="S84" i="3" s="1"/>
  <c r="T84" i="3" s="1"/>
  <c r="S89" i="3"/>
  <c r="T89" i="3" s="1"/>
  <c r="S118" i="3"/>
  <c r="T118" i="3" s="1"/>
  <c r="Q135" i="3"/>
  <c r="P135" i="3"/>
  <c r="T160" i="3"/>
  <c r="Q187" i="3"/>
  <c r="P187" i="3"/>
  <c r="M222" i="3"/>
  <c r="R222" i="3" s="1"/>
  <c r="S222" i="3"/>
  <c r="T222" i="3" s="1"/>
  <c r="S252" i="3"/>
  <c r="T252" i="3" s="1"/>
  <c r="R310" i="3"/>
  <c r="S310" i="3" s="1"/>
  <c r="T310" i="3" s="1"/>
  <c r="M326" i="3"/>
  <c r="R326" i="3" s="1"/>
  <c r="S326" i="3" s="1"/>
  <c r="T326" i="3" s="1"/>
  <c r="Q332" i="3"/>
  <c r="P332" i="3"/>
  <c r="U332" i="3" s="1"/>
  <c r="R342" i="3"/>
  <c r="S363" i="3"/>
  <c r="T363" i="3" s="1"/>
  <c r="Q376" i="3"/>
  <c r="P376" i="3"/>
  <c r="Q404" i="3"/>
  <c r="P404" i="3"/>
  <c r="Q450" i="3"/>
  <c r="P450" i="3"/>
  <c r="Q469" i="3"/>
  <c r="Q489" i="3"/>
  <c r="R546" i="3"/>
  <c r="T553" i="3"/>
  <c r="Q569" i="3"/>
  <c r="P569" i="3"/>
  <c r="R576" i="3"/>
  <c r="M614" i="3"/>
  <c r="R614" i="3" s="1"/>
  <c r="S614" i="3" s="1"/>
  <c r="T614" i="3" s="1"/>
  <c r="P625" i="3"/>
  <c r="Q625" i="3"/>
  <c r="M652" i="3"/>
  <c r="R652" i="3" s="1"/>
  <c r="S652" i="3" s="1"/>
  <c r="T652" i="3" s="1"/>
  <c r="S699" i="3"/>
  <c r="T699" i="3" s="1"/>
  <c r="S845" i="3"/>
  <c r="C990" i="8"/>
  <c r="G1038" i="8"/>
  <c r="S982" i="2"/>
  <c r="T982" i="2" s="1"/>
  <c r="U982" i="2" s="1"/>
  <c r="R1148" i="2"/>
  <c r="S1148" i="2" s="1"/>
  <c r="T1148" i="2" s="1"/>
  <c r="U1148" i="2" s="1"/>
  <c r="S1172" i="2"/>
  <c r="T1172" i="2" s="1"/>
  <c r="U1172" i="2" s="1"/>
  <c r="R1203" i="2"/>
  <c r="S1203" i="2" s="1"/>
  <c r="T1203" i="2" s="1"/>
  <c r="T7" i="3"/>
  <c r="U95" i="3"/>
  <c r="Q124" i="3"/>
  <c r="P124" i="3"/>
  <c r="Q163" i="3"/>
  <c r="R238" i="3"/>
  <c r="R271" i="3"/>
  <c r="Q290" i="3"/>
  <c r="P290" i="3"/>
  <c r="Q307" i="3"/>
  <c r="P307" i="3"/>
  <c r="R320" i="3"/>
  <c r="S320" i="3" s="1"/>
  <c r="T320" i="3" s="1"/>
  <c r="R339" i="3"/>
  <c r="S339" i="3" s="1"/>
  <c r="T339" i="3" s="1"/>
  <c r="Q367" i="3"/>
  <c r="P367" i="3"/>
  <c r="Q417" i="3"/>
  <c r="P417" i="3"/>
  <c r="Q476" i="3"/>
  <c r="P476" i="3"/>
  <c r="Q536" i="3"/>
  <c r="P536" i="3"/>
  <c r="R553" i="3"/>
  <c r="R580" i="3"/>
  <c r="S580" i="3" s="1"/>
  <c r="T580" i="3" s="1"/>
  <c r="S607" i="3"/>
  <c r="T607" i="3" s="1"/>
  <c r="M607" i="3"/>
  <c r="R607" i="3" s="1"/>
  <c r="R632" i="3"/>
  <c r="S632" i="3" s="1"/>
  <c r="T632" i="3" s="1"/>
  <c r="M706" i="3"/>
  <c r="R706" i="3" s="1"/>
  <c r="S706" i="3"/>
  <c r="T706" i="3" s="1"/>
  <c r="M729" i="3"/>
  <c r="R729" i="3" s="1"/>
  <c r="S729" i="3"/>
  <c r="T729" i="3" s="1"/>
  <c r="J268" i="5"/>
  <c r="O268" i="5" s="1"/>
  <c r="P268" i="5" s="1"/>
  <c r="Q268" i="5" s="1"/>
  <c r="I268" i="5"/>
  <c r="AA366" i="5"/>
  <c r="Z366" i="5"/>
  <c r="AF366" i="5" s="1"/>
  <c r="AG366" i="5"/>
  <c r="AH366" i="5" s="1"/>
  <c r="L397" i="5"/>
  <c r="Q396" i="5"/>
  <c r="S460" i="3"/>
  <c r="T460" i="3" s="1"/>
  <c r="S504" i="3"/>
  <c r="T504" i="3" s="1"/>
  <c r="G903" i="3"/>
  <c r="L905" i="3"/>
  <c r="AA151" i="5"/>
  <c r="Z151" i="5"/>
  <c r="AF151" i="5" s="1"/>
  <c r="AG151" i="5"/>
  <c r="AH151" i="5" s="1"/>
  <c r="J157" i="5"/>
  <c r="I157" i="5"/>
  <c r="O157" i="5" s="1"/>
  <c r="P157" i="5"/>
  <c r="Q157" i="5" s="1"/>
  <c r="AA162" i="5"/>
  <c r="Z162" i="5"/>
  <c r="AG162" i="5"/>
  <c r="AH162" i="5" s="1"/>
  <c r="J168" i="5"/>
  <c r="I168" i="5"/>
  <c r="O168" i="5" s="1"/>
  <c r="P168" i="5"/>
  <c r="Q168" i="5" s="1"/>
  <c r="AA173" i="5"/>
  <c r="Z173" i="5"/>
  <c r="AG173" i="5"/>
  <c r="AH173" i="5" s="1"/>
  <c r="J179" i="5"/>
  <c r="I179" i="5"/>
  <c r="P179" i="5"/>
  <c r="Q179" i="5" s="1"/>
  <c r="AA184" i="5"/>
  <c r="Z184" i="5"/>
  <c r="AF184" i="5" s="1"/>
  <c r="AG184" i="5"/>
  <c r="AH184" i="5" s="1"/>
  <c r="J190" i="5"/>
  <c r="I190" i="5"/>
  <c r="O190" i="5" s="1"/>
  <c r="P190" i="5"/>
  <c r="Q190" i="5" s="1"/>
  <c r="AF197" i="5"/>
  <c r="O213" i="5"/>
  <c r="O224" i="5"/>
  <c r="AF229" i="5"/>
  <c r="J235" i="5"/>
  <c r="I235" i="5"/>
  <c r="O235" i="5" s="1"/>
  <c r="P235" i="5"/>
  <c r="Q235" i="5" s="1"/>
  <c r="P259" i="5"/>
  <c r="Q259" i="5" s="1"/>
  <c r="AF261" i="5"/>
  <c r="AF270" i="5"/>
  <c r="AG270" i="5" s="1"/>
  <c r="AH270" i="5" s="1"/>
  <c r="AA287" i="5"/>
  <c r="Z287" i="5"/>
  <c r="AF287" i="5" s="1"/>
  <c r="AG287" i="5"/>
  <c r="AH287" i="5" s="1"/>
  <c r="AF291" i="5"/>
  <c r="AA297" i="5"/>
  <c r="Z297" i="5"/>
  <c r="AF297" i="5" s="1"/>
  <c r="AG297" i="5"/>
  <c r="AH297" i="5" s="1"/>
  <c r="P322" i="5"/>
  <c r="Q322" i="5" s="1"/>
  <c r="P324" i="5"/>
  <c r="Q324" i="5" s="1"/>
  <c r="AF328" i="5"/>
  <c r="AF331" i="5"/>
  <c r="AG331" i="5" s="1"/>
  <c r="AH331" i="5" s="1"/>
  <c r="P333" i="5"/>
  <c r="Q333" i="5" s="1"/>
  <c r="P340" i="5"/>
  <c r="Q340" i="5" s="1"/>
  <c r="S458" i="3"/>
  <c r="T458" i="3" s="1"/>
  <c r="S502" i="3"/>
  <c r="T502" i="3" s="1"/>
  <c r="M693" i="3"/>
  <c r="R693" i="3" s="1"/>
  <c r="S693" i="3" s="1"/>
  <c r="T693" i="3" s="1"/>
  <c r="S822" i="3"/>
  <c r="T822" i="3" s="1"/>
  <c r="N905" i="3"/>
  <c r="O155" i="5"/>
  <c r="AF160" i="5"/>
  <c r="O166" i="5"/>
  <c r="AF171" i="5"/>
  <c r="O177" i="5"/>
  <c r="AF182" i="5"/>
  <c r="O188" i="5"/>
  <c r="AF193" i="5"/>
  <c r="AF205" i="5"/>
  <c r="O211" i="5"/>
  <c r="AF216" i="5"/>
  <c r="O222" i="5"/>
  <c r="AF227" i="5"/>
  <c r="O233" i="5"/>
  <c r="AA254" i="5"/>
  <c r="Z254" i="5"/>
  <c r="AF254" i="5" s="1"/>
  <c r="AG254" i="5" s="1"/>
  <c r="AH254" i="5" s="1"/>
  <c r="O257" i="5"/>
  <c r="AG310" i="5"/>
  <c r="AH310" i="5" s="1"/>
  <c r="AF337" i="5"/>
  <c r="AG337" i="5" s="1"/>
  <c r="AH337" i="5" s="1"/>
  <c r="S456" i="3"/>
  <c r="T456" i="3" s="1"/>
  <c r="S500" i="3"/>
  <c r="T500" i="3" s="1"/>
  <c r="R550" i="3"/>
  <c r="S579" i="3"/>
  <c r="T579" i="3" s="1"/>
  <c r="M829" i="3"/>
  <c r="R829" i="3" s="1"/>
  <c r="S829" i="3" s="1"/>
  <c r="T829" i="3" s="1"/>
  <c r="O97" i="5"/>
  <c r="AF104" i="5"/>
  <c r="O110" i="5"/>
  <c r="AF115" i="5"/>
  <c r="O121" i="5"/>
  <c r="AF126" i="5"/>
  <c r="O132" i="5"/>
  <c r="J257" i="5"/>
  <c r="I257" i="5"/>
  <c r="P257" i="5"/>
  <c r="Q257" i="5" s="1"/>
  <c r="O304" i="5"/>
  <c r="P304" i="5" s="1"/>
  <c r="Q304" i="5" s="1"/>
  <c r="P335" i="5"/>
  <c r="Q335" i="5" s="1"/>
  <c r="O350" i="5"/>
  <c r="P350" i="5" s="1"/>
  <c r="Q350" i="5" s="1"/>
  <c r="O354" i="5"/>
  <c r="P354" i="5" s="1"/>
  <c r="Q354" i="5" s="1"/>
  <c r="R170" i="3"/>
  <c r="M707" i="3"/>
  <c r="R707" i="3" s="1"/>
  <c r="M763" i="3"/>
  <c r="R763" i="3" s="1"/>
  <c r="S763" i="3" s="1"/>
  <c r="T763" i="3" s="1"/>
  <c r="M778" i="3"/>
  <c r="R778" i="3" s="1"/>
  <c r="S778" i="3" s="1"/>
  <c r="T778" i="3" s="1"/>
  <c r="M787" i="3"/>
  <c r="R787" i="3" s="1"/>
  <c r="S787" i="3" s="1"/>
  <c r="T787" i="3" s="1"/>
  <c r="M827" i="3"/>
  <c r="R827" i="3" s="1"/>
  <c r="S827" i="3" s="1"/>
  <c r="T827" i="3" s="1"/>
  <c r="F897" i="3"/>
  <c r="I897" i="3" s="1"/>
  <c r="G897" i="3" s="1"/>
  <c r="H903" i="3"/>
  <c r="O91" i="5"/>
  <c r="O202" i="5"/>
  <c r="AF237" i="5"/>
  <c r="AA243" i="5"/>
  <c r="Z243" i="5"/>
  <c r="AF243" i="5" s="1"/>
  <c r="AG243" i="5"/>
  <c r="AH243" i="5" s="1"/>
  <c r="AF259" i="5"/>
  <c r="AG259" i="5" s="1"/>
  <c r="AH259" i="5" s="1"/>
  <c r="P313" i="5"/>
  <c r="Q313" i="5" s="1"/>
  <c r="AF344" i="5"/>
  <c r="O369" i="5"/>
  <c r="P369" i="5" s="1"/>
  <c r="Q369" i="5" s="1"/>
  <c r="I394" i="5"/>
  <c r="F394" i="5"/>
  <c r="C395" i="5"/>
  <c r="R265" i="3"/>
  <c r="R605" i="3"/>
  <c r="S605" i="3" s="1"/>
  <c r="T605" i="3" s="1"/>
  <c r="M679" i="3"/>
  <c r="R679" i="3" s="1"/>
  <c r="P716" i="3"/>
  <c r="M736" i="3"/>
  <c r="R736" i="3" s="1"/>
  <c r="P807" i="3"/>
  <c r="S807" i="3" s="1"/>
  <c r="T807" i="3" s="1"/>
  <c r="O219" i="5"/>
  <c r="AF224" i="5"/>
  <c r="O230" i="5"/>
  <c r="O246" i="5"/>
  <c r="AF250" i="5"/>
  <c r="AG250" i="5" s="1"/>
  <c r="AH250" i="5" s="1"/>
  <c r="AF257" i="5"/>
  <c r="AG257" i="5" s="1"/>
  <c r="AH257" i="5" s="1"/>
  <c r="AG261" i="5"/>
  <c r="AH261" i="5" s="1"/>
  <c r="O282" i="5"/>
  <c r="AF322" i="5"/>
  <c r="P365" i="3"/>
  <c r="T365" i="3" s="1"/>
  <c r="M573" i="3"/>
  <c r="R573" i="3" s="1"/>
  <c r="P744" i="3"/>
  <c r="S744" i="3" s="1"/>
  <c r="T744" i="3" s="1"/>
  <c r="P765" i="3"/>
  <c r="S765" i="3" s="1"/>
  <c r="T765" i="3" s="1"/>
  <c r="P816" i="3"/>
  <c r="M834" i="3"/>
  <c r="R834" i="3" s="1"/>
  <c r="S834" i="3" s="1"/>
  <c r="T834" i="3" s="1"/>
  <c r="N903" i="3"/>
  <c r="AF97" i="5"/>
  <c r="AF153" i="5"/>
  <c r="AF155" i="5"/>
  <c r="O159" i="5"/>
  <c r="O161" i="5"/>
  <c r="AF164" i="5"/>
  <c r="O170" i="5"/>
  <c r="AF175" i="5"/>
  <c r="AF177" i="5"/>
  <c r="O181" i="5"/>
  <c r="O183" i="5"/>
  <c r="AF186" i="5"/>
  <c r="O192" i="5"/>
  <c r="J246" i="5"/>
  <c r="I246" i="5"/>
  <c r="P246" i="5"/>
  <c r="Q246" i="5" s="1"/>
  <c r="J290" i="5"/>
  <c r="I290" i="5"/>
  <c r="O290" i="5" s="1"/>
  <c r="P290" i="5"/>
  <c r="Q290" i="5" s="1"/>
  <c r="O294" i="5"/>
  <c r="P311" i="5"/>
  <c r="Q311" i="5" s="1"/>
  <c r="AG315" i="5"/>
  <c r="AH315" i="5" s="1"/>
  <c r="O85" i="5"/>
  <c r="AA101" i="5"/>
  <c r="Z101" i="5"/>
  <c r="AF101" i="5" s="1"/>
  <c r="AG101" i="5"/>
  <c r="AH101" i="5" s="1"/>
  <c r="J107" i="5"/>
  <c r="I107" i="5"/>
  <c r="P107" i="5"/>
  <c r="Q107" i="5" s="1"/>
  <c r="AA112" i="5"/>
  <c r="Z112" i="5"/>
  <c r="AG112" i="5"/>
  <c r="AH112" i="5" s="1"/>
  <c r="J118" i="5"/>
  <c r="I118" i="5"/>
  <c r="O118" i="5" s="1"/>
  <c r="P118" i="5"/>
  <c r="Q118" i="5" s="1"/>
  <c r="AA123" i="5"/>
  <c r="Z123" i="5"/>
  <c r="AF123" i="5" s="1"/>
  <c r="AG123" i="5"/>
  <c r="AH123" i="5" s="1"/>
  <c r="J129" i="5"/>
  <c r="I129" i="5"/>
  <c r="O129" i="5" s="1"/>
  <c r="P129" i="5"/>
  <c r="Q129" i="5" s="1"/>
  <c r="AA134" i="5"/>
  <c r="Z134" i="5"/>
  <c r="AF134" i="5" s="1"/>
  <c r="AG134" i="5"/>
  <c r="AH134" i="5" s="1"/>
  <c r="J140" i="5"/>
  <c r="I140" i="5"/>
  <c r="O140" i="5" s="1"/>
  <c r="P140" i="5"/>
  <c r="Q140" i="5" s="1"/>
  <c r="AA145" i="5"/>
  <c r="Z145" i="5"/>
  <c r="AF145" i="5" s="1"/>
  <c r="AG145" i="5"/>
  <c r="AH145" i="5" s="1"/>
  <c r="O238" i="5"/>
  <c r="S796" i="3"/>
  <c r="T796" i="3" s="1"/>
  <c r="F896" i="3"/>
  <c r="I896" i="3" s="1"/>
  <c r="M896" i="3" s="1"/>
  <c r="F900" i="3"/>
  <c r="I900" i="3" s="1"/>
  <c r="O206" i="5"/>
  <c r="AF211" i="5"/>
  <c r="O217" i="5"/>
  <c r="O228" i="5"/>
  <c r="AF233" i="5"/>
  <c r="AF248" i="5"/>
  <c r="AG248" i="5" s="1"/>
  <c r="AH248" i="5" s="1"/>
  <c r="O262" i="5"/>
  <c r="P262" i="5" s="1"/>
  <c r="Q262" i="5" s="1"/>
  <c r="O284" i="5"/>
  <c r="AF371" i="5"/>
  <c r="P664" i="3"/>
  <c r="M712" i="3"/>
  <c r="R712" i="3" s="1"/>
  <c r="U728" i="3"/>
  <c r="M753" i="3"/>
  <c r="R753" i="3" s="1"/>
  <c r="S753" i="3" s="1"/>
  <c r="T753" i="3" s="1"/>
  <c r="M821" i="3"/>
  <c r="R821" i="3" s="1"/>
  <c r="S821" i="3" s="1"/>
  <c r="T821" i="3" s="1"/>
  <c r="J148" i="5"/>
  <c r="I148" i="5"/>
  <c r="O148" i="5" s="1"/>
  <c r="P148" i="5"/>
  <c r="Q148" i="5" s="1"/>
  <c r="J323" i="5"/>
  <c r="I323" i="5"/>
  <c r="O323" i="5" s="1"/>
  <c r="P323" i="5"/>
  <c r="Q323" i="5" s="1"/>
  <c r="O327" i="5"/>
  <c r="P327" i="5" s="1"/>
  <c r="Q327" i="5" s="1"/>
  <c r="AF346" i="5"/>
  <c r="AF354" i="5"/>
  <c r="AG354" i="5" s="1"/>
  <c r="AH354" i="5" s="1"/>
  <c r="S486" i="3"/>
  <c r="T486" i="3" s="1"/>
  <c r="Q548" i="3"/>
  <c r="Q673" i="3"/>
  <c r="M703" i="3"/>
  <c r="R703" i="3" s="1"/>
  <c r="M719" i="3"/>
  <c r="R719" i="3" s="1"/>
  <c r="M726" i="3"/>
  <c r="R726" i="3" s="1"/>
  <c r="S726" i="3" s="1"/>
  <c r="T726" i="3" s="1"/>
  <c r="M783" i="3"/>
  <c r="R783" i="3" s="1"/>
  <c r="S785" i="3"/>
  <c r="T785" i="3" s="1"/>
  <c r="M792" i="3"/>
  <c r="R792" i="3" s="1"/>
  <c r="S792" i="3" s="1"/>
  <c r="T792" i="3" s="1"/>
  <c r="P794" i="3"/>
  <c r="S794" i="3" s="1"/>
  <c r="T794" i="3" s="1"/>
  <c r="M801" i="3"/>
  <c r="R801" i="3" s="1"/>
  <c r="S801" i="3" s="1"/>
  <c r="T801" i="3" s="1"/>
  <c r="P854" i="3"/>
  <c r="S854" i="3" s="1"/>
  <c r="AF99" i="5"/>
  <c r="O267" i="5"/>
  <c r="AG275" i="5"/>
  <c r="AH275" i="5" s="1"/>
  <c r="Z311" i="5"/>
  <c r="AF311" i="5" s="1"/>
  <c r="AG311" i="5" s="1"/>
  <c r="AH311" i="5" s="1"/>
  <c r="AA311" i="5"/>
  <c r="P316" i="5"/>
  <c r="Q316" i="5" s="1"/>
  <c r="T734" i="3"/>
  <c r="M772" i="3"/>
  <c r="R772" i="3" s="1"/>
  <c r="AF93" i="5"/>
  <c r="O240" i="5"/>
  <c r="O249" i="5"/>
  <c r="P249" i="5" s="1"/>
  <c r="Q249" i="5" s="1"/>
  <c r="AF284" i="5"/>
  <c r="AG300" i="5"/>
  <c r="AH300" i="5" s="1"/>
  <c r="AA338" i="5"/>
  <c r="Z338" i="5"/>
  <c r="AF338" i="5" s="1"/>
  <c r="AG338" i="5" s="1"/>
  <c r="AH338" i="5" s="1"/>
  <c r="AF352" i="5"/>
  <c r="AG352" i="5" s="1"/>
  <c r="AH352" i="5" s="1"/>
  <c r="S774" i="3"/>
  <c r="T774" i="3" s="1"/>
  <c r="P783" i="3"/>
  <c r="J904" i="3"/>
  <c r="AF138" i="5"/>
  <c r="O144" i="5"/>
  <c r="AF150" i="5"/>
  <c r="O156" i="5"/>
  <c r="AF161" i="5"/>
  <c r="AF183" i="5"/>
  <c r="AA208" i="5"/>
  <c r="Z208" i="5"/>
  <c r="AG208" i="5"/>
  <c r="AH208" i="5" s="1"/>
  <c r="J214" i="5"/>
  <c r="I214" i="5"/>
  <c r="O214" i="5" s="1"/>
  <c r="P214" i="5"/>
  <c r="Q214" i="5" s="1"/>
  <c r="AA219" i="5"/>
  <c r="Z219" i="5"/>
  <c r="AF219" i="5" s="1"/>
  <c r="AG219" i="5"/>
  <c r="AH219" i="5" s="1"/>
  <c r="J225" i="5"/>
  <c r="I225" i="5"/>
  <c r="O225" i="5" s="1"/>
  <c r="P225" i="5"/>
  <c r="Q225" i="5" s="1"/>
  <c r="AA230" i="5"/>
  <c r="Z230" i="5"/>
  <c r="AF230" i="5" s="1"/>
  <c r="AG230" i="5"/>
  <c r="AH230" i="5" s="1"/>
  <c r="O251" i="5"/>
  <c r="P253" i="5"/>
  <c r="Q253" i="5" s="1"/>
  <c r="AF264" i="5"/>
  <c r="O276" i="5"/>
  <c r="J314" i="5"/>
  <c r="I314" i="5"/>
  <c r="O314" i="5" s="1"/>
  <c r="P314" i="5" s="1"/>
  <c r="Q314" i="5" s="1"/>
  <c r="P819" i="3"/>
  <c r="S819" i="3" s="1"/>
  <c r="T819" i="3" s="1"/>
  <c r="M899" i="3"/>
  <c r="O96" i="5"/>
  <c r="O154" i="5"/>
  <c r="AF159" i="5"/>
  <c r="O165" i="5"/>
  <c r="AF170" i="5"/>
  <c r="O176" i="5"/>
  <c r="AF181" i="5"/>
  <c r="O187" i="5"/>
  <c r="AF192" i="5"/>
  <c r="AF196" i="5"/>
  <c r="AA200" i="5"/>
  <c r="Z200" i="5"/>
  <c r="AF200" i="5" s="1"/>
  <c r="AG200" i="5"/>
  <c r="AH200" i="5" s="1"/>
  <c r="AG255" i="5"/>
  <c r="AH255" i="5" s="1"/>
  <c r="AG264" i="5"/>
  <c r="AH264" i="5" s="1"/>
  <c r="P276" i="5"/>
  <c r="Q276" i="5" s="1"/>
  <c r="AA292" i="5"/>
  <c r="Z292" i="5"/>
  <c r="AF292" i="5" s="1"/>
  <c r="AG292" i="5"/>
  <c r="AH292" i="5" s="1"/>
  <c r="P585" i="3"/>
  <c r="P601" i="3"/>
  <c r="P617" i="3"/>
  <c r="P648" i="3"/>
  <c r="P710" i="3"/>
  <c r="R715" i="3"/>
  <c r="P749" i="3"/>
  <c r="S749" i="3" s="1"/>
  <c r="T749" i="3" s="1"/>
  <c r="P772" i="3"/>
  <c r="S772" i="3" s="1"/>
  <c r="T772" i="3" s="1"/>
  <c r="P781" i="3"/>
  <c r="P790" i="3"/>
  <c r="P808" i="3"/>
  <c r="S808" i="3" s="1"/>
  <c r="T808" i="3" s="1"/>
  <c r="P865" i="3"/>
  <c r="AF85" i="5"/>
  <c r="O94" i="5"/>
  <c r="AA316" i="5"/>
  <c r="Z316" i="5"/>
  <c r="AF316" i="5" s="1"/>
  <c r="AG316" i="5" s="1"/>
  <c r="AH316" i="5" s="1"/>
  <c r="D826" i="8"/>
  <c r="G826" i="8" s="1"/>
  <c r="C812" i="8"/>
  <c r="P512" i="3"/>
  <c r="R517" i="3"/>
  <c r="P528" i="3"/>
  <c r="T528" i="3" s="1"/>
  <c r="P544" i="3"/>
  <c r="P560" i="3"/>
  <c r="P576" i="3"/>
  <c r="P608" i="3"/>
  <c r="S608" i="3" s="1"/>
  <c r="T608" i="3" s="1"/>
  <c r="P637" i="3"/>
  <c r="P701" i="3"/>
  <c r="P717" i="3"/>
  <c r="P747" i="3"/>
  <c r="S747" i="3" s="1"/>
  <c r="T747" i="3" s="1"/>
  <c r="P770" i="3"/>
  <c r="P817" i="3"/>
  <c r="U817" i="3" s="1"/>
  <c r="P830" i="3"/>
  <c r="J203" i="5"/>
  <c r="I203" i="5"/>
  <c r="O203" i="5" s="1"/>
  <c r="P203" i="5"/>
  <c r="Q203" i="5" s="1"/>
  <c r="P267" i="5"/>
  <c r="Q267" i="5" s="1"/>
  <c r="AF286" i="5"/>
  <c r="O319" i="5"/>
  <c r="P319" i="5" s="1"/>
  <c r="Q319" i="5" s="1"/>
  <c r="O330" i="5"/>
  <c r="O349" i="5"/>
  <c r="P349" i="5" s="1"/>
  <c r="Q349" i="5" s="1"/>
  <c r="D580" i="8"/>
  <c r="G580" i="8" s="1"/>
  <c r="C302" i="8"/>
  <c r="R313" i="3"/>
  <c r="S313" i="3" s="1"/>
  <c r="T313" i="3" s="1"/>
  <c r="P449" i="3"/>
  <c r="S449" i="3" s="1"/>
  <c r="T449" i="3" s="1"/>
  <c r="P472" i="3"/>
  <c r="P493" i="3"/>
  <c r="P535" i="3"/>
  <c r="Q592" i="3"/>
  <c r="P624" i="3"/>
  <c r="R633" i="3"/>
  <c r="S633" i="3" s="1"/>
  <c r="T633" i="3" s="1"/>
  <c r="P646" i="3"/>
  <c r="P655" i="3"/>
  <c r="S655" i="3" s="1"/>
  <c r="T655" i="3" s="1"/>
  <c r="P708" i="3"/>
  <c r="P745" i="3"/>
  <c r="P768" i="3"/>
  <c r="P779" i="3"/>
  <c r="P797" i="3"/>
  <c r="S797" i="3" s="1"/>
  <c r="T797" i="3" s="1"/>
  <c r="P835" i="3"/>
  <c r="S835" i="3" s="1"/>
  <c r="T835" i="3" s="1"/>
  <c r="O173" i="5"/>
  <c r="AF178" i="5"/>
  <c r="O184" i="5"/>
  <c r="AF189" i="5"/>
  <c r="AF253" i="5"/>
  <c r="AG269" i="5"/>
  <c r="AH269" i="5" s="1"/>
  <c r="J319" i="5"/>
  <c r="I319" i="5"/>
  <c r="R202" i="3"/>
  <c r="P296" i="3"/>
  <c r="S296" i="3" s="1"/>
  <c r="T296" i="3" s="1"/>
  <c r="P510" i="3"/>
  <c r="P542" i="3"/>
  <c r="P567" i="3"/>
  <c r="R572" i="3"/>
  <c r="P583" i="3"/>
  <c r="S583" i="3" s="1"/>
  <c r="T583" i="3" s="1"/>
  <c r="P599" i="3"/>
  <c r="S599" i="3" s="1"/>
  <c r="T599" i="3" s="1"/>
  <c r="P615" i="3"/>
  <c r="P635" i="3"/>
  <c r="S635" i="3" s="1"/>
  <c r="T635" i="3" s="1"/>
  <c r="Q724" i="3"/>
  <c r="P743" i="3"/>
  <c r="S743" i="3" s="1"/>
  <c r="T743" i="3" s="1"/>
  <c r="P766" i="3"/>
  <c r="S766" i="3" s="1"/>
  <c r="T766" i="3" s="1"/>
  <c r="S799" i="3"/>
  <c r="T799" i="3" s="1"/>
  <c r="P806" i="3"/>
  <c r="P828" i="3"/>
  <c r="R833" i="3"/>
  <c r="S833" i="3" s="1"/>
  <c r="O86" i="5"/>
  <c r="O205" i="5"/>
  <c r="O207" i="5"/>
  <c r="AF210" i="5"/>
  <c r="AF212" i="5"/>
  <c r="O216" i="5"/>
  <c r="O218" i="5"/>
  <c r="AF221" i="5"/>
  <c r="AF223" i="5"/>
  <c r="O227" i="5"/>
  <c r="AF232" i="5"/>
  <c r="O245" i="5"/>
  <c r="AG253" i="5"/>
  <c r="AH253" i="5" s="1"/>
  <c r="AA276" i="5"/>
  <c r="Z276" i="5"/>
  <c r="AF355" i="5"/>
  <c r="J362" i="5"/>
  <c r="I362" i="5"/>
  <c r="O362" i="5" s="1"/>
  <c r="P362" i="5"/>
  <c r="Q362" i="5" s="1"/>
  <c r="R200" i="3"/>
  <c r="R704" i="3"/>
  <c r="P764" i="3"/>
  <c r="S764" i="3" s="1"/>
  <c r="T764" i="3" s="1"/>
  <c r="S861" i="3"/>
  <c r="J86" i="5"/>
  <c r="I86" i="5"/>
  <c r="P86" i="5"/>
  <c r="Q86" i="5" s="1"/>
  <c r="AF100" i="5"/>
  <c r="O106" i="5"/>
  <c r="AF111" i="5"/>
  <c r="O128" i="5"/>
  <c r="O139" i="5"/>
  <c r="AF144" i="5"/>
  <c r="AF242" i="5"/>
  <c r="AF267" i="5"/>
  <c r="AG267" i="5" s="1"/>
  <c r="AH267" i="5" s="1"/>
  <c r="J295" i="5"/>
  <c r="I295" i="5"/>
  <c r="O295" i="5" s="1"/>
  <c r="P295" i="5"/>
  <c r="Q295" i="5" s="1"/>
  <c r="O299" i="5"/>
  <c r="P299" i="5" s="1"/>
  <c r="Q299" i="5" s="1"/>
  <c r="AA355" i="5"/>
  <c r="Z355" i="5"/>
  <c r="AG355" i="5"/>
  <c r="AH355" i="5" s="1"/>
  <c r="G902" i="3"/>
  <c r="J903" i="3"/>
  <c r="M904" i="3"/>
  <c r="AA328" i="5"/>
  <c r="Z328" i="5"/>
  <c r="J337" i="5"/>
  <c r="I337" i="5"/>
  <c r="O337" i="5" s="1"/>
  <c r="O365" i="5"/>
  <c r="H902" i="3"/>
  <c r="K903" i="3"/>
  <c r="N904" i="3"/>
  <c r="AF335" i="5"/>
  <c r="AG335" i="5" s="1"/>
  <c r="AH335" i="5" s="1"/>
  <c r="O351" i="5"/>
  <c r="AG360" i="5"/>
  <c r="AH360" i="5" s="1"/>
  <c r="L903" i="3"/>
  <c r="O904" i="3"/>
  <c r="AG88" i="5"/>
  <c r="AH88" i="5" s="1"/>
  <c r="AG100" i="5"/>
  <c r="AH100" i="5" s="1"/>
  <c r="P106" i="5"/>
  <c r="Q106" i="5" s="1"/>
  <c r="AG111" i="5"/>
  <c r="AH111" i="5" s="1"/>
  <c r="P117" i="5"/>
  <c r="Q117" i="5" s="1"/>
  <c r="AG122" i="5"/>
  <c r="AH122" i="5" s="1"/>
  <c r="P128" i="5"/>
  <c r="Q128" i="5" s="1"/>
  <c r="AG133" i="5"/>
  <c r="AH133" i="5" s="1"/>
  <c r="P139" i="5"/>
  <c r="Q139" i="5" s="1"/>
  <c r="AG144" i="5"/>
  <c r="AH144" i="5" s="1"/>
  <c r="AG150" i="5"/>
  <c r="AH150" i="5" s="1"/>
  <c r="P156" i="5"/>
  <c r="Q156" i="5" s="1"/>
  <c r="AG161" i="5"/>
  <c r="AH161" i="5" s="1"/>
  <c r="P167" i="5"/>
  <c r="Q167" i="5" s="1"/>
  <c r="AG172" i="5"/>
  <c r="AH172" i="5" s="1"/>
  <c r="P178" i="5"/>
  <c r="Q178" i="5" s="1"/>
  <c r="AG183" i="5"/>
  <c r="AH183" i="5" s="1"/>
  <c r="P189" i="5"/>
  <c r="Q189" i="5" s="1"/>
  <c r="AG194" i="5"/>
  <c r="AH194" i="5" s="1"/>
  <c r="AG207" i="5"/>
  <c r="AH207" i="5" s="1"/>
  <c r="P213" i="5"/>
  <c r="Q213" i="5" s="1"/>
  <c r="AG218" i="5"/>
  <c r="AH218" i="5" s="1"/>
  <c r="P224" i="5"/>
  <c r="Q224" i="5" s="1"/>
  <c r="AG229" i="5"/>
  <c r="AH229" i="5" s="1"/>
  <c r="AG237" i="5"/>
  <c r="AH237" i="5" s="1"/>
  <c r="AG281" i="5"/>
  <c r="AH281" i="5" s="1"/>
  <c r="AG328" i="5"/>
  <c r="AH328" i="5" s="1"/>
  <c r="P337" i="5"/>
  <c r="Q337" i="5" s="1"/>
  <c r="J342" i="5"/>
  <c r="I342" i="5"/>
  <c r="O342" i="5" s="1"/>
  <c r="AG346" i="5"/>
  <c r="AH346" i="5" s="1"/>
  <c r="Z346" i="5"/>
  <c r="Z352" i="5"/>
  <c r="AA352" i="5"/>
  <c r="J357" i="5"/>
  <c r="O357" i="5" s="1"/>
  <c r="P357" i="5" s="1"/>
  <c r="Q357" i="5" s="1"/>
  <c r="P365" i="5"/>
  <c r="O370" i="5"/>
  <c r="P370" i="5" s="1"/>
  <c r="Q370" i="5" s="1"/>
  <c r="G901" i="3"/>
  <c r="J902" i="3"/>
  <c r="M903" i="3"/>
  <c r="P91" i="5"/>
  <c r="Q91" i="5" s="1"/>
  <c r="I95" i="5"/>
  <c r="O95" i="5" s="1"/>
  <c r="P97" i="5"/>
  <c r="Q97" i="5" s="1"/>
  <c r="I102" i="5"/>
  <c r="O102" i="5" s="1"/>
  <c r="Z107" i="5"/>
  <c r="AF107" i="5" s="1"/>
  <c r="I113" i="5"/>
  <c r="O113" i="5" s="1"/>
  <c r="Z118" i="5"/>
  <c r="I124" i="5"/>
  <c r="Z129" i="5"/>
  <c r="AF129" i="5" s="1"/>
  <c r="I135" i="5"/>
  <c r="Z140" i="5"/>
  <c r="I146" i="5"/>
  <c r="O146" i="5" s="1"/>
  <c r="I152" i="5"/>
  <c r="O152" i="5" s="1"/>
  <c r="Z157" i="5"/>
  <c r="AF157" i="5" s="1"/>
  <c r="I163" i="5"/>
  <c r="O163" i="5" s="1"/>
  <c r="Z168" i="5"/>
  <c r="I174" i="5"/>
  <c r="Z179" i="5"/>
  <c r="I185" i="5"/>
  <c r="Z190" i="5"/>
  <c r="P197" i="5"/>
  <c r="Q197" i="5" s="1"/>
  <c r="I201" i="5"/>
  <c r="O201" i="5" s="1"/>
  <c r="I209" i="5"/>
  <c r="Z214" i="5"/>
  <c r="I220" i="5"/>
  <c r="O220" i="5" s="1"/>
  <c r="Z225" i="5"/>
  <c r="AF225" i="5" s="1"/>
  <c r="I231" i="5"/>
  <c r="O231" i="5" s="1"/>
  <c r="P240" i="5"/>
  <c r="Q240" i="5" s="1"/>
  <c r="I244" i="5"/>
  <c r="O244" i="5" s="1"/>
  <c r="P251" i="5"/>
  <c r="Q251" i="5" s="1"/>
  <c r="I255" i="5"/>
  <c r="O255" i="5" s="1"/>
  <c r="P255" i="5" s="1"/>
  <c r="Q255" i="5" s="1"/>
  <c r="I266" i="5"/>
  <c r="O266" i="5" s="1"/>
  <c r="P266" i="5" s="1"/>
  <c r="Q266" i="5" s="1"/>
  <c r="P273" i="5"/>
  <c r="Q273" i="5" s="1"/>
  <c r="I277" i="5"/>
  <c r="O277" i="5" s="1"/>
  <c r="P284" i="5"/>
  <c r="Q284" i="5" s="1"/>
  <c r="AG301" i="5"/>
  <c r="AH301" i="5" s="1"/>
  <c r="AG306" i="5"/>
  <c r="AH306" i="5" s="1"/>
  <c r="AG320" i="5"/>
  <c r="AH320" i="5" s="1"/>
  <c r="AG324" i="5"/>
  <c r="AH324" i="5" s="1"/>
  <c r="Z86" i="5"/>
  <c r="J102" i="5"/>
  <c r="P105" i="5"/>
  <c r="Q105" i="5" s="1"/>
  <c r="AA107" i="5"/>
  <c r="AG110" i="5"/>
  <c r="AH110" i="5" s="1"/>
  <c r="J113" i="5"/>
  <c r="P116" i="5"/>
  <c r="Q116" i="5" s="1"/>
  <c r="AA118" i="5"/>
  <c r="AG121" i="5"/>
  <c r="AH121" i="5" s="1"/>
  <c r="J124" i="5"/>
  <c r="P127" i="5"/>
  <c r="Q127" i="5" s="1"/>
  <c r="AA129" i="5"/>
  <c r="AG132" i="5"/>
  <c r="AH132" i="5" s="1"/>
  <c r="J135" i="5"/>
  <c r="P138" i="5"/>
  <c r="Q138" i="5" s="1"/>
  <c r="AA140" i="5"/>
  <c r="AG143" i="5"/>
  <c r="AH143" i="5" s="1"/>
  <c r="Z148" i="5"/>
  <c r="J152" i="5"/>
  <c r="P155" i="5"/>
  <c r="Q155" i="5" s="1"/>
  <c r="AA157" i="5"/>
  <c r="AG160" i="5"/>
  <c r="AH160" i="5" s="1"/>
  <c r="J163" i="5"/>
  <c r="P166" i="5"/>
  <c r="Q166" i="5" s="1"/>
  <c r="AA168" i="5"/>
  <c r="AG171" i="5"/>
  <c r="AH171" i="5" s="1"/>
  <c r="J174" i="5"/>
  <c r="P177" i="5"/>
  <c r="Q177" i="5" s="1"/>
  <c r="AA179" i="5"/>
  <c r="AG182" i="5"/>
  <c r="AH182" i="5" s="1"/>
  <c r="J185" i="5"/>
  <c r="P188" i="5"/>
  <c r="Q188" i="5" s="1"/>
  <c r="AA190" i="5"/>
  <c r="AG193" i="5"/>
  <c r="AH193" i="5" s="1"/>
  <c r="Z203" i="5"/>
  <c r="AF203" i="5" s="1"/>
  <c r="AG206" i="5"/>
  <c r="AH206" i="5" s="1"/>
  <c r="J209" i="5"/>
  <c r="P212" i="5"/>
  <c r="Q212" i="5" s="1"/>
  <c r="AA214" i="5"/>
  <c r="AG217" i="5"/>
  <c r="AH217" i="5" s="1"/>
  <c r="J220" i="5"/>
  <c r="P223" i="5"/>
  <c r="Q223" i="5" s="1"/>
  <c r="AA225" i="5"/>
  <c r="AG228" i="5"/>
  <c r="AH228" i="5" s="1"/>
  <c r="J231" i="5"/>
  <c r="P234" i="5"/>
  <c r="Q234" i="5" s="1"/>
  <c r="Z235" i="5"/>
  <c r="AF235" i="5" s="1"/>
  <c r="Z246" i="5"/>
  <c r="AF246" i="5" s="1"/>
  <c r="Z257" i="5"/>
  <c r="Z268" i="5"/>
  <c r="AF268" i="5" s="1"/>
  <c r="AG268" i="5" s="1"/>
  <c r="AH268" i="5" s="1"/>
  <c r="Z279" i="5"/>
  <c r="AF279" i="5" s="1"/>
  <c r="I312" i="5"/>
  <c r="O312" i="5" s="1"/>
  <c r="P312" i="5" s="1"/>
  <c r="Q312" i="5" s="1"/>
  <c r="Z314" i="5"/>
  <c r="AF314" i="5" s="1"/>
  <c r="AG314" i="5" s="1"/>
  <c r="AH314" i="5" s="1"/>
  <c r="I317" i="5"/>
  <c r="O317" i="5" s="1"/>
  <c r="P317" i="5" s="1"/>
  <c r="Q317" i="5" s="1"/>
  <c r="Z319" i="5"/>
  <c r="AF319" i="5" s="1"/>
  <c r="AG319" i="5" s="1"/>
  <c r="AH319" i="5" s="1"/>
  <c r="P330" i="5"/>
  <c r="Q330" i="5" s="1"/>
  <c r="P359" i="5"/>
  <c r="Q359" i="5" s="1"/>
  <c r="P368" i="5"/>
  <c r="Q368" i="5" s="1"/>
  <c r="AA86" i="5"/>
  <c r="I89" i="5"/>
  <c r="O89" i="5" s="1"/>
  <c r="I101" i="5"/>
  <c r="O101" i="5" s="1"/>
  <c r="Z106" i="5"/>
  <c r="AF106" i="5" s="1"/>
  <c r="I112" i="5"/>
  <c r="O112" i="5" s="1"/>
  <c r="Z117" i="5"/>
  <c r="AF117" i="5" s="1"/>
  <c r="I123" i="5"/>
  <c r="O123" i="5" s="1"/>
  <c r="Z128" i="5"/>
  <c r="AF128" i="5" s="1"/>
  <c r="I134" i="5"/>
  <c r="O134" i="5" s="1"/>
  <c r="Z139" i="5"/>
  <c r="AF139" i="5" s="1"/>
  <c r="I145" i="5"/>
  <c r="O145" i="5" s="1"/>
  <c r="AA148" i="5"/>
  <c r="AF148" i="5" s="1"/>
  <c r="I151" i="5"/>
  <c r="O151" i="5" s="1"/>
  <c r="Z156" i="5"/>
  <c r="AF156" i="5" s="1"/>
  <c r="I162" i="5"/>
  <c r="O162" i="5" s="1"/>
  <c r="Z167" i="5"/>
  <c r="AF167" i="5" s="1"/>
  <c r="I173" i="5"/>
  <c r="Z178" i="5"/>
  <c r="I184" i="5"/>
  <c r="Z189" i="5"/>
  <c r="I195" i="5"/>
  <c r="O195" i="5" s="1"/>
  <c r="AA203" i="5"/>
  <c r="I208" i="5"/>
  <c r="O208" i="5" s="1"/>
  <c r="Z213" i="5"/>
  <c r="AF213" i="5" s="1"/>
  <c r="I219" i="5"/>
  <c r="Z224" i="5"/>
  <c r="I230" i="5"/>
  <c r="AA235" i="5"/>
  <c r="I238" i="5"/>
  <c r="AA246" i="5"/>
  <c r="I249" i="5"/>
  <c r="AA257" i="5"/>
  <c r="I260" i="5"/>
  <c r="O260" i="5" s="1"/>
  <c r="P260" i="5" s="1"/>
  <c r="Q260" i="5" s="1"/>
  <c r="AA268" i="5"/>
  <c r="I271" i="5"/>
  <c r="O271" i="5" s="1"/>
  <c r="P271" i="5" s="1"/>
  <c r="Q271" i="5" s="1"/>
  <c r="Y273" i="5"/>
  <c r="AF273" i="5" s="1"/>
  <c r="AG273" i="5" s="1"/>
  <c r="AH273" i="5" s="1"/>
  <c r="AA279" i="5"/>
  <c r="I282" i="5"/>
  <c r="Z309" i="5"/>
  <c r="AF309" i="5" s="1"/>
  <c r="AG309" i="5" s="1"/>
  <c r="AH309" i="5" s="1"/>
  <c r="J312" i="5"/>
  <c r="AA314" i="5"/>
  <c r="J317" i="5"/>
  <c r="AA319" i="5"/>
  <c r="O321" i="5"/>
  <c r="P321" i="5" s="1"/>
  <c r="Q321" i="5" s="1"/>
  <c r="I325" i="5"/>
  <c r="O325" i="5" s="1"/>
  <c r="P325" i="5" s="1"/>
  <c r="Q325" i="5" s="1"/>
  <c r="I329" i="5"/>
  <c r="O329" i="5" s="1"/>
  <c r="P329" i="5" s="1"/>
  <c r="Q329" i="5" s="1"/>
  <c r="Z337" i="5"/>
  <c r="AF345" i="5"/>
  <c r="Z354" i="5"/>
  <c r="AA362" i="5"/>
  <c r="Z362" i="5"/>
  <c r="AF362" i="5" s="1"/>
  <c r="Z365" i="5"/>
  <c r="AF365" i="5" s="1"/>
  <c r="AG365" i="5" s="1"/>
  <c r="AH365" i="5" s="1"/>
  <c r="I372" i="5"/>
  <c r="O372" i="5" s="1"/>
  <c r="G900" i="3"/>
  <c r="J901" i="3"/>
  <c r="M902" i="3"/>
  <c r="J89" i="5"/>
  <c r="Z91" i="5"/>
  <c r="AF91" i="5" s="1"/>
  <c r="Z97" i="5"/>
  <c r="Z197" i="5"/>
  <c r="Z240" i="5"/>
  <c r="AF240" i="5" s="1"/>
  <c r="Z251" i="5"/>
  <c r="AF251" i="5" s="1"/>
  <c r="AG251" i="5" s="1"/>
  <c r="AH251" i="5" s="1"/>
  <c r="J260" i="5"/>
  <c r="Z262" i="5"/>
  <c r="AF262" i="5" s="1"/>
  <c r="AG262" i="5" s="1"/>
  <c r="AH262" i="5" s="1"/>
  <c r="J271" i="5"/>
  <c r="Z273" i="5"/>
  <c r="J282" i="5"/>
  <c r="Z284" i="5"/>
  <c r="Z299" i="5"/>
  <c r="AF299" i="5" s="1"/>
  <c r="AG299" i="5" s="1"/>
  <c r="AH299" i="5" s="1"/>
  <c r="I302" i="5"/>
  <c r="O302" i="5" s="1"/>
  <c r="P302" i="5" s="1"/>
  <c r="Q302" i="5" s="1"/>
  <c r="Z304" i="5"/>
  <c r="AF304" i="5" s="1"/>
  <c r="AG304" i="5" s="1"/>
  <c r="AH304" i="5" s="1"/>
  <c r="I307" i="5"/>
  <c r="O307" i="5" s="1"/>
  <c r="P307" i="5" s="1"/>
  <c r="Q307" i="5" s="1"/>
  <c r="P326" i="5"/>
  <c r="Q326" i="5" s="1"/>
  <c r="O332" i="5"/>
  <c r="P332" i="5" s="1"/>
  <c r="Q332" i="5" s="1"/>
  <c r="J339" i="5"/>
  <c r="I339" i="5"/>
  <c r="O339" i="5" s="1"/>
  <c r="P339" i="5" s="1"/>
  <c r="Q339" i="5" s="1"/>
  <c r="AG340" i="5"/>
  <c r="AH340" i="5" s="1"/>
  <c r="AF342" i="5"/>
  <c r="J347" i="5"/>
  <c r="I347" i="5"/>
  <c r="O347" i="5" s="1"/>
  <c r="G907" i="3"/>
  <c r="I94" i="5"/>
  <c r="I100" i="5"/>
  <c r="O100" i="5" s="1"/>
  <c r="Z105" i="5"/>
  <c r="AF105" i="5" s="1"/>
  <c r="I111" i="5"/>
  <c r="O111" i="5" s="1"/>
  <c r="Z116" i="5"/>
  <c r="AF116" i="5" s="1"/>
  <c r="I122" i="5"/>
  <c r="O122" i="5" s="1"/>
  <c r="Z127" i="5"/>
  <c r="I133" i="5"/>
  <c r="Z138" i="5"/>
  <c r="I144" i="5"/>
  <c r="Z155" i="5"/>
  <c r="I161" i="5"/>
  <c r="Z166" i="5"/>
  <c r="AF166" i="5" s="1"/>
  <c r="I172" i="5"/>
  <c r="O172" i="5" s="1"/>
  <c r="Z177" i="5"/>
  <c r="I183" i="5"/>
  <c r="Z188" i="5"/>
  <c r="AF188" i="5" s="1"/>
  <c r="I194" i="5"/>
  <c r="O194" i="5" s="1"/>
  <c r="I200" i="5"/>
  <c r="O200" i="5" s="1"/>
  <c r="I207" i="5"/>
  <c r="Z212" i="5"/>
  <c r="I218" i="5"/>
  <c r="Z223" i="5"/>
  <c r="I229" i="5"/>
  <c r="O229" i="5" s="1"/>
  <c r="Z234" i="5"/>
  <c r="AF234" i="5" s="1"/>
  <c r="I243" i="5"/>
  <c r="I254" i="5"/>
  <c r="O254" i="5" s="1"/>
  <c r="P254" i="5" s="1"/>
  <c r="Q254" i="5" s="1"/>
  <c r="I265" i="5"/>
  <c r="O265" i="5" s="1"/>
  <c r="P265" i="5" s="1"/>
  <c r="Q265" i="5" s="1"/>
  <c r="I276" i="5"/>
  <c r="I287" i="5"/>
  <c r="I292" i="5"/>
  <c r="Z294" i="5"/>
  <c r="I297" i="5"/>
  <c r="P303" i="5"/>
  <c r="Q303" i="5" s="1"/>
  <c r="Z330" i="5"/>
  <c r="AF330" i="5" s="1"/>
  <c r="AG330" i="5" s="1"/>
  <c r="AH330" i="5" s="1"/>
  <c r="AH343" i="5"/>
  <c r="Z357" i="5"/>
  <c r="AF357" i="5" s="1"/>
  <c r="AG357" i="5" s="1"/>
  <c r="AH357" i="5" s="1"/>
  <c r="AA359" i="5"/>
  <c r="AF359" i="5" s="1"/>
  <c r="AG359" i="5" s="1"/>
  <c r="AH359" i="5" s="1"/>
  <c r="AG362" i="5"/>
  <c r="AH362" i="5" s="1"/>
  <c r="H907" i="3"/>
  <c r="Z85" i="5"/>
  <c r="J94" i="5"/>
  <c r="J100" i="5"/>
  <c r="AA105" i="5"/>
  <c r="J111" i="5"/>
  <c r="AA116" i="5"/>
  <c r="J122" i="5"/>
  <c r="AA127" i="5"/>
  <c r="AF127" i="5" s="1"/>
  <c r="J133" i="5"/>
  <c r="O133" i="5" s="1"/>
  <c r="AA138" i="5"/>
  <c r="J144" i="5"/>
  <c r="Z147" i="5"/>
  <c r="AF147" i="5" s="1"/>
  <c r="AA155" i="5"/>
  <c r="J161" i="5"/>
  <c r="AA166" i="5"/>
  <c r="J172" i="5"/>
  <c r="AA177" i="5"/>
  <c r="J183" i="5"/>
  <c r="AA188" i="5"/>
  <c r="J194" i="5"/>
  <c r="J200" i="5"/>
  <c r="Z202" i="5"/>
  <c r="AF202" i="5" s="1"/>
  <c r="J207" i="5"/>
  <c r="AA212" i="5"/>
  <c r="J218" i="5"/>
  <c r="AA223" i="5"/>
  <c r="J229" i="5"/>
  <c r="AA234" i="5"/>
  <c r="J243" i="5"/>
  <c r="Z245" i="5"/>
  <c r="AF245" i="5" s="1"/>
  <c r="H248" i="5"/>
  <c r="O248" i="5" s="1"/>
  <c r="P248" i="5" s="1"/>
  <c r="Q248" i="5" s="1"/>
  <c r="J254" i="5"/>
  <c r="Z256" i="5"/>
  <c r="AF256" i="5" s="1"/>
  <c r="AG256" i="5" s="1"/>
  <c r="AH256" i="5" s="1"/>
  <c r="H259" i="5"/>
  <c r="O259" i="5" s="1"/>
  <c r="J265" i="5"/>
  <c r="Z267" i="5"/>
  <c r="H270" i="5"/>
  <c r="O270" i="5" s="1"/>
  <c r="P270" i="5" s="1"/>
  <c r="Q270" i="5" s="1"/>
  <c r="J276" i="5"/>
  <c r="Z278" i="5"/>
  <c r="AF278" i="5" s="1"/>
  <c r="J287" i="5"/>
  <c r="O287" i="5" s="1"/>
  <c r="AA289" i="5"/>
  <c r="AF289" i="5" s="1"/>
  <c r="J292" i="5"/>
  <c r="AA294" i="5"/>
  <c r="AF294" i="5" s="1"/>
  <c r="J297" i="5"/>
  <c r="O297" i="5" s="1"/>
  <c r="H311" i="5"/>
  <c r="O311" i="5" s="1"/>
  <c r="Y313" i="5"/>
  <c r="AF313" i="5" s="1"/>
  <c r="AG313" i="5" s="1"/>
  <c r="AH313" i="5" s="1"/>
  <c r="H316" i="5"/>
  <c r="O316" i="5" s="1"/>
  <c r="AA322" i="5"/>
  <c r="Y326" i="5"/>
  <c r="AF326" i="5" s="1"/>
  <c r="AG326" i="5" s="1"/>
  <c r="AH326" i="5" s="1"/>
  <c r="AA333" i="5"/>
  <c r="AF333" i="5" s="1"/>
  <c r="H341" i="5"/>
  <c r="O341" i="5" s="1"/>
  <c r="P341" i="5" s="1"/>
  <c r="Q341" i="5" s="1"/>
  <c r="J353" i="5"/>
  <c r="I353" i="5"/>
  <c r="AA368" i="5"/>
  <c r="Z368" i="5"/>
  <c r="AF368" i="5" s="1"/>
  <c r="AG368" i="5" s="1"/>
  <c r="AH368" i="5" s="1"/>
  <c r="G899" i="3"/>
  <c r="M901" i="3"/>
  <c r="AA85" i="5"/>
  <c r="AA147" i="5"/>
  <c r="AA202" i="5"/>
  <c r="AA245" i="5"/>
  <c r="AA256" i="5"/>
  <c r="J350" i="5"/>
  <c r="J358" i="5"/>
  <c r="O358" i="5" s="1"/>
  <c r="P358" i="5" s="1"/>
  <c r="Q358" i="5" s="1"/>
  <c r="K399" i="5"/>
  <c r="G906" i="3"/>
  <c r="J907" i="3"/>
  <c r="Z90" i="5"/>
  <c r="AA96" i="5"/>
  <c r="AF96" i="5" s="1"/>
  <c r="AA104" i="5"/>
  <c r="J110" i="5"/>
  <c r="AA115" i="5"/>
  <c r="J121" i="5"/>
  <c r="AA126" i="5"/>
  <c r="J132" i="5"/>
  <c r="AA137" i="5"/>
  <c r="AF137" i="5" s="1"/>
  <c r="J143" i="5"/>
  <c r="O143" i="5" s="1"/>
  <c r="AA154" i="5"/>
  <c r="AF154" i="5" s="1"/>
  <c r="J160" i="5"/>
  <c r="O160" i="5" s="1"/>
  <c r="AA165" i="5"/>
  <c r="AF165" i="5" s="1"/>
  <c r="J171" i="5"/>
  <c r="O171" i="5" s="1"/>
  <c r="AA176" i="5"/>
  <c r="AF176" i="5" s="1"/>
  <c r="J182" i="5"/>
  <c r="O182" i="5" s="1"/>
  <c r="AA187" i="5"/>
  <c r="AF187" i="5" s="1"/>
  <c r="J193" i="5"/>
  <c r="O193" i="5" s="1"/>
  <c r="Z196" i="5"/>
  <c r="J206" i="5"/>
  <c r="AA211" i="5"/>
  <c r="J217" i="5"/>
  <c r="AA222" i="5"/>
  <c r="AF222" i="5" s="1"/>
  <c r="J228" i="5"/>
  <c r="AA233" i="5"/>
  <c r="Z239" i="5"/>
  <c r="AF239" i="5" s="1"/>
  <c r="Z250" i="5"/>
  <c r="Z261" i="5"/>
  <c r="Z272" i="5"/>
  <c r="AF272" i="5" s="1"/>
  <c r="AG272" i="5" s="1"/>
  <c r="AH272" i="5" s="1"/>
  <c r="Z283" i="5"/>
  <c r="AF283" i="5" s="1"/>
  <c r="I301" i="5"/>
  <c r="O301" i="5" s="1"/>
  <c r="P301" i="5" s="1"/>
  <c r="Q301" i="5" s="1"/>
  <c r="Z303" i="5"/>
  <c r="AF303" i="5" s="1"/>
  <c r="AG303" i="5" s="1"/>
  <c r="AH303" i="5" s="1"/>
  <c r="I306" i="5"/>
  <c r="O306" i="5" s="1"/>
  <c r="P306" i="5" s="1"/>
  <c r="Q306" i="5" s="1"/>
  <c r="Z308" i="5"/>
  <c r="AF308" i="5" s="1"/>
  <c r="AG308" i="5" s="1"/>
  <c r="AH308" i="5" s="1"/>
  <c r="AF347" i="5"/>
  <c r="P372" i="5"/>
  <c r="Q372" i="5" s="1"/>
  <c r="H906" i="3"/>
  <c r="K907" i="3"/>
  <c r="AA90" i="5"/>
  <c r="P344" i="5"/>
  <c r="Q344" i="5" s="1"/>
  <c r="I344" i="5"/>
  <c r="O344" i="5" s="1"/>
  <c r="G898" i="3"/>
  <c r="J899" i="3"/>
  <c r="L907" i="3"/>
  <c r="AA339" i="5"/>
  <c r="Z339" i="5"/>
  <c r="AF339" i="5" s="1"/>
  <c r="AG339" i="5" s="1"/>
  <c r="AH339" i="5" s="1"/>
  <c r="J363" i="5"/>
  <c r="I363" i="5"/>
  <c r="O363" i="5" s="1"/>
  <c r="P363" i="5" s="1"/>
  <c r="Q363" i="5" s="1"/>
  <c r="N398" i="5"/>
  <c r="G905" i="3"/>
  <c r="J906" i="3"/>
  <c r="M907" i="3"/>
  <c r="AG289" i="5"/>
  <c r="AH289" i="5" s="1"/>
  <c r="O310" i="5"/>
  <c r="P310" i="5" s="1"/>
  <c r="Q310" i="5" s="1"/>
  <c r="AG318" i="5"/>
  <c r="AH318" i="5" s="1"/>
  <c r="AG322" i="5"/>
  <c r="AH322" i="5" s="1"/>
  <c r="AG333" i="5"/>
  <c r="AH333" i="5" s="1"/>
  <c r="J369" i="5"/>
  <c r="I369" i="5"/>
  <c r="H905" i="3"/>
  <c r="K906" i="3"/>
  <c r="N907" i="3"/>
  <c r="J320" i="5"/>
  <c r="I320" i="5"/>
  <c r="O320" i="5" s="1"/>
  <c r="L906" i="3"/>
  <c r="O907" i="3"/>
  <c r="P338" i="5"/>
  <c r="Q338" i="5" s="1"/>
  <c r="AA344" i="5"/>
  <c r="Z344" i="5"/>
  <c r="H349" i="5"/>
  <c r="J355" i="5"/>
  <c r="I355" i="5"/>
  <c r="O355" i="5" s="1"/>
  <c r="P355" i="5" s="1"/>
  <c r="Q355" i="5" s="1"/>
  <c r="J360" i="5"/>
  <c r="I360" i="5"/>
  <c r="O360" i="5" s="1"/>
  <c r="P360" i="5" s="1"/>
  <c r="Q360" i="5" s="1"/>
  <c r="AG361" i="5"/>
  <c r="AH361" i="5" s="1"/>
  <c r="J366" i="5"/>
  <c r="I366" i="5"/>
  <c r="O366" i="5" s="1"/>
  <c r="P366" i="5" s="1"/>
  <c r="Q366" i="5" s="1"/>
  <c r="G904" i="3"/>
  <c r="J905" i="3"/>
  <c r="M906" i="3"/>
  <c r="P320" i="5"/>
  <c r="Q320" i="5" s="1"/>
  <c r="J331" i="5"/>
  <c r="I331" i="5"/>
  <c r="O331" i="5" s="1"/>
  <c r="AA350" i="5"/>
  <c r="Z350" i="5"/>
  <c r="AF350" i="5" s="1"/>
  <c r="AG350" i="5" s="1"/>
  <c r="AH350" i="5" s="1"/>
  <c r="H904" i="3"/>
  <c r="K905" i="3"/>
  <c r="N906" i="3"/>
  <c r="Z100" i="5"/>
  <c r="I106" i="5"/>
  <c r="Z111" i="5"/>
  <c r="I117" i="5"/>
  <c r="O117" i="5" s="1"/>
  <c r="Z122" i="5"/>
  <c r="AF122" i="5" s="1"/>
  <c r="I128" i="5"/>
  <c r="Z133" i="5"/>
  <c r="AF133" i="5" s="1"/>
  <c r="I139" i="5"/>
  <c r="Z144" i="5"/>
  <c r="I156" i="5"/>
  <c r="Z161" i="5"/>
  <c r="I167" i="5"/>
  <c r="O167" i="5" s="1"/>
  <c r="Z172" i="5"/>
  <c r="AF172" i="5" s="1"/>
  <c r="I178" i="5"/>
  <c r="O178" i="5" s="1"/>
  <c r="Z183" i="5"/>
  <c r="I189" i="5"/>
  <c r="O189" i="5" s="1"/>
  <c r="Z194" i="5"/>
  <c r="AF194" i="5" s="1"/>
  <c r="Z207" i="5"/>
  <c r="AF207" i="5" s="1"/>
  <c r="I213" i="5"/>
  <c r="Z218" i="5"/>
  <c r="AF218" i="5" s="1"/>
  <c r="I224" i="5"/>
  <c r="Z229" i="5"/>
  <c r="AG329" i="5"/>
  <c r="AH329" i="5" s="1"/>
  <c r="AG336" i="5"/>
  <c r="AH336" i="5" s="1"/>
  <c r="AG344" i="5"/>
  <c r="AH344" i="5" s="1"/>
  <c r="AG364" i="5"/>
  <c r="AH364" i="5" s="1"/>
  <c r="Z88" i="5"/>
  <c r="AF88" i="5" s="1"/>
  <c r="Z150" i="5"/>
  <c r="Z237" i="5"/>
  <c r="Z248" i="5"/>
  <c r="Z259" i="5"/>
  <c r="Z270" i="5"/>
  <c r="Z281" i="5"/>
  <c r="AF281" i="5" s="1"/>
  <c r="I327" i="5"/>
  <c r="P331" i="5"/>
  <c r="Q331" i="5" s="1"/>
  <c r="O348" i="5"/>
  <c r="AA349" i="5"/>
  <c r="AF349" i="5" s="1"/>
  <c r="AG349" i="5" s="1"/>
  <c r="AH349" i="5" s="1"/>
  <c r="AG307" i="5"/>
  <c r="AH307" i="5" s="1"/>
  <c r="I309" i="5"/>
  <c r="O309" i="5" s="1"/>
  <c r="P309" i="5" s="1"/>
  <c r="Q309" i="5" s="1"/>
  <c r="J327" i="5"/>
  <c r="AA341" i="5"/>
  <c r="Z341" i="5"/>
  <c r="O345" i="5"/>
  <c r="AG358" i="5"/>
  <c r="AH358" i="5" s="1"/>
  <c r="AG353" i="5"/>
  <c r="AH353" i="5" s="1"/>
  <c r="O367" i="5"/>
  <c r="P367" i="5" s="1"/>
  <c r="Q367" i="5" s="1"/>
  <c r="AG369" i="5"/>
  <c r="AH369" i="5" s="1"/>
  <c r="P351" i="5"/>
  <c r="Q351" i="5" s="1"/>
  <c r="P348" i="5"/>
  <c r="Q348" i="5" s="1"/>
  <c r="G31" i="6"/>
  <c r="H33" i="6"/>
  <c r="H105" i="6"/>
  <c r="H66" i="6"/>
  <c r="E11" i="6"/>
  <c r="H7" i="6"/>
  <c r="G7" i="6"/>
  <c r="G11" i="6" s="1"/>
  <c r="H282" i="6"/>
  <c r="H183" i="6"/>
  <c r="H36" i="6"/>
  <c r="H127" i="6"/>
  <c r="H264" i="6"/>
  <c r="H189" i="6"/>
  <c r="H29" i="6"/>
  <c r="H257" i="6"/>
  <c r="H284" i="6"/>
  <c r="H4" i="8"/>
  <c r="H5" i="8" s="1"/>
  <c r="H6" i="8" s="1"/>
  <c r="H7" i="8" s="1"/>
  <c r="H8" i="8" s="1"/>
  <c r="H9" i="8" s="1"/>
  <c r="H10" i="8" s="1"/>
  <c r="H11" i="8" s="1"/>
  <c r="H12" i="8" s="1"/>
  <c r="H13" i="8" s="1"/>
  <c r="H14" i="8" s="1"/>
  <c r="H15" i="8" s="1"/>
  <c r="H16" i="8" s="1"/>
  <c r="H17" i="8" s="1"/>
  <c r="H18" i="8" s="1"/>
  <c r="H19" i="8" s="1"/>
  <c r="H246" i="6"/>
  <c r="H296" i="6"/>
  <c r="H149" i="6"/>
  <c r="H181" i="6"/>
  <c r="H103" i="6"/>
  <c r="H135" i="6"/>
  <c r="H48" i="6"/>
  <c r="H61" i="6"/>
  <c r="H146" i="6"/>
  <c r="H300" i="6"/>
  <c r="H52" i="6"/>
  <c r="H154" i="6"/>
  <c r="H167" i="6"/>
  <c r="H292" i="6"/>
  <c r="H280" i="6"/>
  <c r="H70" i="6"/>
  <c r="K163" i="9"/>
  <c r="K164" i="9" s="1"/>
  <c r="K165" i="9" s="1"/>
  <c r="J163" i="9"/>
  <c r="J162" i="9" s="1"/>
  <c r="J164" i="9" s="1"/>
  <c r="J165" i="9" s="1"/>
  <c r="K39" i="9"/>
  <c r="K40" i="9" s="1"/>
  <c r="K41" i="9" s="1"/>
  <c r="J39" i="9"/>
  <c r="J38" i="9" s="1"/>
  <c r="J40" i="9" s="1"/>
  <c r="J41" i="9" s="1"/>
  <c r="AG14" i="10"/>
  <c r="AH14" i="10" s="1"/>
  <c r="AI14" i="10" s="1"/>
  <c r="AJ14" i="10" s="1"/>
  <c r="AK14" i="10" s="1"/>
  <c r="AL14" i="10" s="1"/>
  <c r="AM14" i="10" s="1"/>
  <c r="AN14" i="10" s="1"/>
  <c r="AO14" i="10" s="1"/>
  <c r="AP14" i="10" s="1"/>
  <c r="AQ14" i="10" s="1"/>
  <c r="AR14" i="10" s="1"/>
  <c r="AS14" i="10" s="1"/>
  <c r="AT14" i="10" s="1"/>
  <c r="AU14" i="10" s="1"/>
  <c r="AV14" i="10" s="1"/>
  <c r="AW14" i="10" s="1"/>
  <c r="AX14" i="10" s="1"/>
  <c r="AY14" i="10" s="1"/>
  <c r="AZ14" i="10" s="1"/>
  <c r="BA14" i="10" s="1"/>
  <c r="BB14" i="10" s="1"/>
  <c r="BC14" i="10" s="1"/>
  <c r="BD14" i="10" s="1"/>
  <c r="BE14" i="10" s="1"/>
  <c r="BF14" i="10" s="1"/>
  <c r="BG14" i="10" s="1"/>
  <c r="BH14" i="10" s="1"/>
  <c r="BI14" i="10" s="1"/>
  <c r="BJ14" i="10" s="1"/>
  <c r="BK14" i="10" s="1"/>
  <c r="BL14" i="10" s="1"/>
  <c r="BM14" i="10" s="1"/>
  <c r="BN14" i="10" s="1"/>
  <c r="BO14" i="10" s="1"/>
  <c r="BP14" i="10" s="1"/>
  <c r="BQ14" i="10" s="1"/>
  <c r="BR14" i="10" s="1"/>
  <c r="BS14" i="10" s="1"/>
  <c r="BT14" i="10" s="1"/>
  <c r="BU14" i="10" s="1"/>
  <c r="BV14" i="10" s="1"/>
  <c r="BW14" i="10" s="1"/>
  <c r="BX14" i="10" s="1"/>
  <c r="BY14" i="10" s="1"/>
  <c r="BZ14" i="10" s="1"/>
  <c r="CA14" i="10" s="1"/>
  <c r="CB14" i="10" s="1"/>
  <c r="AL51" i="10"/>
  <c r="AS51" i="10"/>
  <c r="K19" i="9"/>
  <c r="K20" i="9" s="1"/>
  <c r="K21" i="9" s="1"/>
  <c r="J19" i="9"/>
  <c r="J18" i="9" s="1"/>
  <c r="J20" i="9" s="1"/>
  <c r="J21" i="9" s="1"/>
  <c r="J182" i="9"/>
  <c r="J181" i="9" s="1"/>
  <c r="J183" i="9" s="1"/>
  <c r="J184" i="9" s="1"/>
  <c r="H514" i="9"/>
  <c r="X25" i="10"/>
  <c r="H41" i="10"/>
  <c r="H44" i="10"/>
  <c r="K59" i="9"/>
  <c r="J59" i="9"/>
  <c r="J58" i="9" s="1"/>
  <c r="J60" i="9" s="1"/>
  <c r="J61" i="9" s="1"/>
  <c r="H367" i="9"/>
  <c r="F42" i="10"/>
  <c r="K78" i="9"/>
  <c r="K79" i="9" s="1"/>
  <c r="K80" i="9" s="1"/>
  <c r="J78" i="9"/>
  <c r="J77" i="9" s="1"/>
  <c r="J79" i="9" s="1"/>
  <c r="J80" i="9" s="1"/>
  <c r="K99" i="9"/>
  <c r="K100" i="9" s="1"/>
  <c r="K101" i="9" s="1"/>
  <c r="J99" i="9"/>
  <c r="J98" i="9" s="1"/>
  <c r="J100" i="9" s="1"/>
  <c r="J101" i="9" s="1"/>
  <c r="K120" i="9"/>
  <c r="K121" i="9" s="1"/>
  <c r="K122" i="9" s="1"/>
  <c r="J120" i="9"/>
  <c r="J119" i="9" s="1"/>
  <c r="J121" i="9" s="1"/>
  <c r="J122" i="9" s="1"/>
  <c r="Y24" i="10"/>
  <c r="Y25" i="10" s="1"/>
  <c r="Z11" i="10"/>
  <c r="BK19" i="10"/>
  <c r="BL19" i="10" s="1"/>
  <c r="BM19" i="10" s="1"/>
  <c r="BN19" i="10" s="1"/>
  <c r="BO19" i="10" s="1"/>
  <c r="BP19" i="10" s="1"/>
  <c r="BQ19" i="10" s="1"/>
  <c r="BR19" i="10" s="1"/>
  <c r="BS19" i="10" s="1"/>
  <c r="BT19" i="10" s="1"/>
  <c r="BU19" i="10" s="1"/>
  <c r="BV19" i="10" s="1"/>
  <c r="BW19" i="10" s="1"/>
  <c r="BX19" i="10" s="1"/>
  <c r="BY19" i="10" s="1"/>
  <c r="BZ19" i="10" s="1"/>
  <c r="CA19" i="10" s="1"/>
  <c r="CB19" i="10" s="1"/>
  <c r="L35" i="10"/>
  <c r="O722" i="16"/>
  <c r="X53" i="10"/>
  <c r="O287" i="16"/>
  <c r="K224" i="9"/>
  <c r="K225" i="9" s="1"/>
  <c r="P35" i="10"/>
  <c r="P41" i="10" s="1"/>
  <c r="R35" i="10"/>
  <c r="R41" i="10" s="1"/>
  <c r="AB54" i="10"/>
  <c r="O482" i="16"/>
  <c r="O316" i="16"/>
  <c r="O326" i="16"/>
  <c r="O283" i="16"/>
  <c r="O477" i="16"/>
  <c r="O679" i="16"/>
  <c r="P679" i="16" s="1"/>
  <c r="Q679" i="16" s="1"/>
  <c r="J141" i="9"/>
  <c r="J140" i="9" s="1"/>
  <c r="J142" i="9" s="1"/>
  <c r="J143" i="9" s="1"/>
  <c r="H36" i="10"/>
  <c r="AX54" i="10"/>
  <c r="AX51" i="10" s="1"/>
  <c r="O271" i="16"/>
  <c r="P271" i="16" s="1"/>
  <c r="Q271" i="16" s="1"/>
  <c r="P331" i="16"/>
  <c r="Q331" i="16" s="1"/>
  <c r="O336" i="16"/>
  <c r="J36" i="10"/>
  <c r="BD54" i="10"/>
  <c r="BD51" i="10" s="1"/>
  <c r="L36" i="10"/>
  <c r="O388" i="16"/>
  <c r="P670" i="16"/>
  <c r="Q670" i="16" s="1"/>
  <c r="O724" i="16"/>
  <c r="N36" i="10"/>
  <c r="D42" i="10"/>
  <c r="O460" i="16"/>
  <c r="P36" i="10"/>
  <c r="P42" i="10" s="1"/>
  <c r="BK55" i="10"/>
  <c r="O342" i="16"/>
  <c r="W36" i="10"/>
  <c r="P399" i="16"/>
  <c r="Q399" i="16" s="1"/>
  <c r="O513" i="16"/>
  <c r="O343" i="16"/>
  <c r="O484" i="16"/>
  <c r="O470" i="16"/>
  <c r="O672" i="16"/>
  <c r="P672" i="16" s="1"/>
  <c r="Q672" i="16" s="1"/>
  <c r="O699" i="16"/>
  <c r="AG32" i="10"/>
  <c r="W32" i="10" s="1"/>
  <c r="AL32" i="10"/>
  <c r="AS32" i="10"/>
  <c r="AX32" i="10"/>
  <c r="F35" i="10"/>
  <c r="O319" i="16"/>
  <c r="P319" i="16" s="1"/>
  <c r="Q319" i="16" s="1"/>
  <c r="O391" i="16"/>
  <c r="O681" i="16"/>
  <c r="P681" i="16" s="1"/>
  <c r="Q681" i="16" s="1"/>
  <c r="D25" i="17"/>
  <c r="O339" i="16"/>
  <c r="P339" i="16" s="1"/>
  <c r="Q339" i="16" s="1"/>
  <c r="O490" i="16"/>
  <c r="E25" i="17"/>
  <c r="P425" i="16"/>
  <c r="Q425" i="16" s="1"/>
  <c r="I425" i="16"/>
  <c r="I445" i="16"/>
  <c r="O445" i="16" s="1"/>
  <c r="P445" i="16"/>
  <c r="Q445" i="16" s="1"/>
  <c r="I691" i="16"/>
  <c r="O691" i="16" s="1"/>
  <c r="P714" i="16"/>
  <c r="Q714" i="16" s="1"/>
  <c r="J714" i="16"/>
  <c r="I714" i="16"/>
  <c r="O714" i="16" s="1"/>
  <c r="H721" i="16"/>
  <c r="O721" i="16" s="1"/>
  <c r="O28" i="18"/>
  <c r="I280" i="16"/>
  <c r="O280" i="16" s="1"/>
  <c r="P345" i="16"/>
  <c r="Q345" i="16" s="1"/>
  <c r="P380" i="16"/>
  <c r="Q380" i="16" s="1"/>
  <c r="I380" i="16"/>
  <c r="O380" i="16" s="1"/>
  <c r="O442" i="16"/>
  <c r="I469" i="16"/>
  <c r="O469" i="16" s="1"/>
  <c r="P479" i="16"/>
  <c r="Q479" i="16" s="1"/>
  <c r="I497" i="16"/>
  <c r="O497" i="16" s="1"/>
  <c r="P497" i="16"/>
  <c r="Q497" i="16" s="1"/>
  <c r="I512" i="16"/>
  <c r="O512" i="16" s="1"/>
  <c r="O678" i="16"/>
  <c r="P678" i="16" s="1"/>
  <c r="Q678" i="16" s="1"/>
  <c r="I718" i="16"/>
  <c r="J280" i="16"/>
  <c r="I316" i="16"/>
  <c r="I319" i="16"/>
  <c r="P332" i="16"/>
  <c r="Q332" i="16" s="1"/>
  <c r="I356" i="16"/>
  <c r="O356" i="16" s="1"/>
  <c r="I366" i="16"/>
  <c r="O366" i="16" s="1"/>
  <c r="P369" i="16"/>
  <c r="Q369" i="16" s="1"/>
  <c r="I398" i="16"/>
  <c r="O398" i="16" s="1"/>
  <c r="P398" i="16"/>
  <c r="Q398" i="16" s="1"/>
  <c r="P405" i="16"/>
  <c r="Q405" i="16" s="1"/>
  <c r="I426" i="16"/>
  <c r="O426" i="16" s="1"/>
  <c r="P435" i="16"/>
  <c r="Q435" i="16" s="1"/>
  <c r="O459" i="16"/>
  <c r="P465" i="16"/>
  <c r="Q465" i="16" s="1"/>
  <c r="I473" i="16"/>
  <c r="O473" i="16" s="1"/>
  <c r="Q591" i="16"/>
  <c r="I678" i="16"/>
  <c r="P708" i="16"/>
  <c r="Q708" i="16" s="1"/>
  <c r="J708" i="16"/>
  <c r="O708" i="16" s="1"/>
  <c r="J718" i="16"/>
  <c r="P724" i="16"/>
  <c r="Q724" i="16" s="1"/>
  <c r="J724" i="16"/>
  <c r="J283" i="16"/>
  <c r="P299" i="16"/>
  <c r="Q299" i="16" s="1"/>
  <c r="I336" i="16"/>
  <c r="P349" i="16"/>
  <c r="Q349" i="16" s="1"/>
  <c r="Q422" i="16"/>
  <c r="O446" i="16"/>
  <c r="P449" i="16"/>
  <c r="Q449" i="16" s="1"/>
  <c r="P452" i="16"/>
  <c r="Q452" i="16" s="1"/>
  <c r="Q455" i="16"/>
  <c r="P501" i="16"/>
  <c r="Q501" i="16" s="1"/>
  <c r="I501" i="16"/>
  <c r="O501" i="16" s="1"/>
  <c r="P508" i="16"/>
  <c r="Q508" i="16" s="1"/>
  <c r="J688" i="16"/>
  <c r="I688" i="16"/>
  <c r="O695" i="16"/>
  <c r="I715" i="16"/>
  <c r="J715" i="16"/>
  <c r="J294" i="16"/>
  <c r="I294" i="16"/>
  <c r="O333" i="16"/>
  <c r="O406" i="16"/>
  <c r="O436" i="16"/>
  <c r="O466" i="16"/>
  <c r="I519" i="16"/>
  <c r="O519" i="16" s="1"/>
  <c r="P519" i="16"/>
  <c r="Q519" i="16" s="1"/>
  <c r="P691" i="16"/>
  <c r="Q691" i="16" s="1"/>
  <c r="P698" i="16"/>
  <c r="Q698" i="16" s="1"/>
  <c r="J698" i="16"/>
  <c r="O698" i="16" s="1"/>
  <c r="P291" i="16"/>
  <c r="Q291" i="16" s="1"/>
  <c r="J291" i="16"/>
  <c r="O291" i="16" s="1"/>
  <c r="P326" i="16"/>
  <c r="Q326" i="16" s="1"/>
  <c r="I326" i="16"/>
  <c r="O374" i="16"/>
  <c r="J672" i="16"/>
  <c r="I672" i="16"/>
  <c r="O702" i="16"/>
  <c r="I705" i="16"/>
  <c r="O705" i="16" s="1"/>
  <c r="J705" i="16"/>
  <c r="H8" i="15"/>
  <c r="K10" i="15" s="1"/>
  <c r="P294" i="16"/>
  <c r="Q294" i="16" s="1"/>
  <c r="O310" i="16"/>
  <c r="P346" i="16"/>
  <c r="Q346" i="16" s="1"/>
  <c r="O370" i="16"/>
  <c r="P388" i="16"/>
  <c r="Q388" i="16" s="1"/>
  <c r="I388" i="16"/>
  <c r="P419" i="16"/>
  <c r="Q419" i="16" s="1"/>
  <c r="P429" i="16"/>
  <c r="Q429" i="16" s="1"/>
  <c r="O498" i="16"/>
  <c r="P705" i="16"/>
  <c r="Q705" i="16" s="1"/>
  <c r="J286" i="16"/>
  <c r="O286" i="16" s="1"/>
  <c r="I289" i="16"/>
  <c r="O289" i="16" s="1"/>
  <c r="O313" i="16"/>
  <c r="I327" i="16"/>
  <c r="O327" i="16" s="1"/>
  <c r="I343" i="16"/>
  <c r="P343" i="16"/>
  <c r="Q343" i="16" s="1"/>
  <c r="O350" i="16"/>
  <c r="Q370" i="16"/>
  <c r="Q381" i="16"/>
  <c r="I385" i="16"/>
  <c r="O385" i="16" s="1"/>
  <c r="I396" i="16"/>
  <c r="O396" i="16" s="1"/>
  <c r="P409" i="16"/>
  <c r="Q409" i="16" s="1"/>
  <c r="I460" i="16"/>
  <c r="I477" i="16"/>
  <c r="I484" i="16"/>
  <c r="Q557" i="16"/>
  <c r="O682" i="16"/>
  <c r="P682" i="16" s="1"/>
  <c r="Q682" i="16" s="1"/>
  <c r="J699" i="16"/>
  <c r="J702" i="16"/>
  <c r="I716" i="16"/>
  <c r="O716" i="16" s="1"/>
  <c r="P283" i="16"/>
  <c r="Q283" i="16" s="1"/>
  <c r="P374" i="16"/>
  <c r="Q374" i="16" s="1"/>
  <c r="I374" i="16"/>
  <c r="P392" i="16"/>
  <c r="Q392" i="16" s="1"/>
  <c r="I392" i="16"/>
  <c r="O392" i="16" s="1"/>
  <c r="P470" i="16"/>
  <c r="Q470" i="16" s="1"/>
  <c r="I470" i="16"/>
  <c r="O491" i="16"/>
  <c r="P509" i="16"/>
  <c r="Q509" i="16" s="1"/>
  <c r="I509" i="16"/>
  <c r="O509" i="16" s="1"/>
  <c r="P675" i="16"/>
  <c r="Q675" i="16" s="1"/>
  <c r="Q275" i="16"/>
  <c r="P313" i="16"/>
  <c r="Q313" i="16" s="1"/>
  <c r="Q487" i="16"/>
  <c r="Q491" i="16"/>
  <c r="Q502" i="16"/>
  <c r="Q580" i="16"/>
  <c r="Q605" i="16"/>
  <c r="I284" i="16"/>
  <c r="Q286" i="16"/>
  <c r="P413" i="16"/>
  <c r="Q413" i="16" s="1"/>
  <c r="O447" i="16"/>
  <c r="P453" i="16"/>
  <c r="Q453" i="16" s="1"/>
  <c r="P495" i="16"/>
  <c r="Q495" i="16" s="1"/>
  <c r="I495" i="16"/>
  <c r="O495" i="16" s="1"/>
  <c r="P513" i="16"/>
  <c r="Q513" i="16" s="1"/>
  <c r="I513" i="16"/>
  <c r="Q702" i="16"/>
  <c r="J284" i="16"/>
  <c r="Q323" i="16"/>
  <c r="I344" i="16"/>
  <c r="O344" i="16" s="1"/>
  <c r="I364" i="16"/>
  <c r="O364" i="16" s="1"/>
  <c r="I375" i="16"/>
  <c r="O375" i="16" s="1"/>
  <c r="I414" i="16"/>
  <c r="I457" i="16"/>
  <c r="O457" i="16" s="1"/>
  <c r="I499" i="16"/>
  <c r="O499" i="16" s="1"/>
  <c r="I503" i="16"/>
  <c r="O503" i="16" s="1"/>
  <c r="H670" i="16"/>
  <c r="O670" i="16" s="1"/>
  <c r="I271" i="16"/>
  <c r="P289" i="16"/>
  <c r="Q289" i="16" s="1"/>
  <c r="H331" i="16"/>
  <c r="O331" i="16" s="1"/>
  <c r="P357" i="16"/>
  <c r="Q357" i="16" s="1"/>
  <c r="Q367" i="16"/>
  <c r="Q410" i="16"/>
  <c r="P420" i="16"/>
  <c r="Q420" i="16" s="1"/>
  <c r="O676" i="16"/>
  <c r="P676" i="16" s="1"/>
  <c r="Q676" i="16" s="1"/>
  <c r="J679" i="16"/>
  <c r="P686" i="16"/>
  <c r="Q686" i="16" s="1"/>
  <c r="P692" i="16"/>
  <c r="Q692" i="16" s="1"/>
  <c r="P706" i="16"/>
  <c r="Q706" i="16" s="1"/>
  <c r="J706" i="16"/>
  <c r="O706" i="16" s="1"/>
  <c r="J722" i="16"/>
  <c r="P722" i="16"/>
  <c r="Q722" i="16" s="1"/>
  <c r="I722" i="16"/>
  <c r="I287" i="16"/>
  <c r="P320" i="16"/>
  <c r="Q320" i="16" s="1"/>
  <c r="Q337" i="16"/>
  <c r="P389" i="16"/>
  <c r="Q389" i="16" s="1"/>
  <c r="P393" i="16"/>
  <c r="Q393" i="16" s="1"/>
  <c r="O414" i="16"/>
  <c r="P447" i="16"/>
  <c r="Q447" i="16" s="1"/>
  <c r="I447" i="16"/>
  <c r="O461" i="16"/>
  <c r="P467" i="16"/>
  <c r="Q467" i="16" s="1"/>
  <c r="O471" i="16"/>
  <c r="Q492" i="16"/>
  <c r="I496" i="16"/>
  <c r="O496" i="16" s="1"/>
  <c r="O510" i="16"/>
  <c r="Q601" i="16"/>
  <c r="I683" i="16"/>
  <c r="J683" i="16"/>
  <c r="N524" i="16" s="1"/>
  <c r="J696" i="16"/>
  <c r="I696" i="16"/>
  <c r="I324" i="16"/>
  <c r="O324" i="16" s="1"/>
  <c r="P324" i="16"/>
  <c r="Q324" i="16" s="1"/>
  <c r="P585" i="16"/>
  <c r="Q585" i="16" s="1"/>
  <c r="G25" i="17"/>
  <c r="O293" i="16"/>
  <c r="P400" i="16"/>
  <c r="Q400" i="16" s="1"/>
  <c r="I400" i="16"/>
  <c r="O400" i="16" s="1"/>
  <c r="O507" i="16"/>
  <c r="J710" i="16"/>
  <c r="I710" i="16"/>
  <c r="O710" i="16" s="1"/>
  <c r="I293" i="16"/>
  <c r="P314" i="16"/>
  <c r="Q314" i="16" s="1"/>
  <c r="O318" i="16"/>
  <c r="O338" i="16"/>
  <c r="P361" i="16"/>
  <c r="Q361" i="16" s="1"/>
  <c r="I368" i="16"/>
  <c r="O368" i="16" s="1"/>
  <c r="P368" i="16"/>
  <c r="Q368" i="16" s="1"/>
  <c r="P386" i="16"/>
  <c r="Q386" i="16" s="1"/>
  <c r="I386" i="16"/>
  <c r="O386" i="16" s="1"/>
  <c r="P407" i="16"/>
  <c r="Q407" i="16" s="1"/>
  <c r="O428" i="16"/>
  <c r="O485" i="16"/>
  <c r="O684" i="16"/>
  <c r="J700" i="16"/>
  <c r="P700" i="16"/>
  <c r="Q700" i="16" s="1"/>
  <c r="I700" i="16"/>
  <c r="O700" i="16" s="1"/>
  <c r="P710" i="16"/>
  <c r="Q710" i="16" s="1"/>
  <c r="I274" i="16"/>
  <c r="O274" i="16" s="1"/>
  <c r="Q334" i="16"/>
  <c r="P478" i="16"/>
  <c r="Q478" i="16" s="1"/>
  <c r="O489" i="16"/>
  <c r="O680" i="16"/>
  <c r="H707" i="16"/>
  <c r="O707" i="16" s="1"/>
  <c r="Q707" i="16"/>
  <c r="I25" i="17"/>
  <c r="J274" i="16"/>
  <c r="P311" i="16"/>
  <c r="Q311" i="16" s="1"/>
  <c r="O345" i="16"/>
  <c r="P390" i="16"/>
  <c r="Q390" i="16" s="1"/>
  <c r="P482" i="16"/>
  <c r="Q482" i="16" s="1"/>
  <c r="I482" i="16"/>
  <c r="I489" i="16"/>
  <c r="P489" i="16"/>
  <c r="Q489" i="16" s="1"/>
  <c r="P507" i="16"/>
  <c r="Q507" i="16" s="1"/>
  <c r="I507" i="16"/>
  <c r="P606" i="16"/>
  <c r="Q606" i="16" s="1"/>
  <c r="P680" i="16"/>
  <c r="Q680" i="16" s="1"/>
  <c r="P321" i="16"/>
  <c r="Q321" i="16" s="1"/>
  <c r="Q348" i="16"/>
  <c r="P379" i="16"/>
  <c r="Q379" i="16" s="1"/>
  <c r="Q383" i="16"/>
  <c r="O425" i="16"/>
  <c r="P444" i="16"/>
  <c r="Q444" i="16" s="1"/>
  <c r="Q586" i="16"/>
  <c r="J671" i="16"/>
  <c r="P723" i="16"/>
  <c r="Q723" i="16" s="1"/>
  <c r="F36" i="18"/>
  <c r="I272" i="16"/>
  <c r="O272" i="16" s="1"/>
  <c r="J277" i="16"/>
  <c r="O277" i="16" s="1"/>
  <c r="P277" i="16" s="1"/>
  <c r="Q277" i="16" s="1"/>
  <c r="J299" i="16"/>
  <c r="O299" i="16" s="1"/>
  <c r="I342" i="16"/>
  <c r="Q397" i="16"/>
  <c r="Q411" i="16"/>
  <c r="Q448" i="16"/>
  <c r="O452" i="16"/>
  <c r="P551" i="16"/>
  <c r="Q551" i="16" s="1"/>
  <c r="J681" i="16"/>
  <c r="J704" i="16"/>
  <c r="I704" i="16"/>
  <c r="O704" i="16" s="1"/>
  <c r="G36" i="18"/>
  <c r="I288" i="16"/>
  <c r="O288" i="16" s="1"/>
  <c r="H309" i="16"/>
  <c r="O309" i="16" s="1"/>
  <c r="I376" i="16"/>
  <c r="O376" i="16" s="1"/>
  <c r="P376" i="16"/>
  <c r="Q376" i="16" s="1"/>
  <c r="O384" i="16"/>
  <c r="P401" i="16"/>
  <c r="Q401" i="16" s="1"/>
  <c r="P441" i="16"/>
  <c r="Q441" i="16" s="1"/>
  <c r="O479" i="16"/>
  <c r="P500" i="16"/>
  <c r="Q500" i="16" s="1"/>
  <c r="Q504" i="16"/>
  <c r="O671" i="16"/>
  <c r="P671" i="16" s="1"/>
  <c r="Q671" i="16" s="1"/>
  <c r="P677" i="16"/>
  <c r="Q677" i="16" s="1"/>
  <c r="P684" i="16"/>
  <c r="Q684" i="16" s="1"/>
  <c r="Q697" i="16"/>
  <c r="I708" i="16"/>
  <c r="O711" i="16"/>
  <c r="I724" i="16"/>
  <c r="Q315" i="16"/>
  <c r="Q436" i="16"/>
  <c r="O668" i="16"/>
  <c r="P668" i="16" s="1"/>
  <c r="Q668" i="16" s="1"/>
  <c r="O395" i="16"/>
  <c r="O516" i="16"/>
  <c r="C36" i="18"/>
  <c r="O362" i="16"/>
  <c r="P464" i="16"/>
  <c r="Q464" i="16" s="1"/>
  <c r="O483" i="16"/>
  <c r="J682" i="16"/>
  <c r="J693" i="16"/>
  <c r="O693" i="16" s="1"/>
  <c r="Q719" i="16"/>
  <c r="Q624" i="16"/>
  <c r="I36" i="18"/>
  <c r="P359" i="16"/>
  <c r="Q359" i="16" s="1"/>
  <c r="Q480" i="16"/>
  <c r="Q613" i="16"/>
  <c r="P685" i="16"/>
  <c r="Q685" i="16" s="1"/>
  <c r="P693" i="16"/>
  <c r="Q693" i="16" s="1"/>
  <c r="I2216" i="5" l="1"/>
  <c r="C2217" i="5"/>
  <c r="F2216" i="5"/>
  <c r="I2215" i="5"/>
  <c r="N2216" i="5"/>
  <c r="Q2216" i="5"/>
  <c r="K2217" i="5"/>
  <c r="G12" i="6"/>
  <c r="F11" i="6"/>
  <c r="O284" i="16"/>
  <c r="S768" i="3"/>
  <c r="T768" i="3" s="1"/>
  <c r="S648" i="3"/>
  <c r="T648" i="3" s="1"/>
  <c r="U648" i="3"/>
  <c r="M616" i="3"/>
  <c r="R616" i="3" s="1"/>
  <c r="S616" i="3" s="1"/>
  <c r="T616" i="3" s="1"/>
  <c r="M694" i="2"/>
  <c r="R694" i="2" s="1"/>
  <c r="S694" i="2"/>
  <c r="T694" i="2" s="1"/>
  <c r="M894" i="2"/>
  <c r="R894" i="2" s="1"/>
  <c r="S894" i="2" s="1"/>
  <c r="T894" i="2" s="1"/>
  <c r="T538" i="2"/>
  <c r="U538" i="2" s="1"/>
  <c r="G707" i="8"/>
  <c r="M840" i="2"/>
  <c r="R840" i="2" s="1"/>
  <c r="S840" i="2" s="1"/>
  <c r="T840" i="2" s="1"/>
  <c r="S627" i="3"/>
  <c r="T627" i="3" s="1"/>
  <c r="M627" i="3"/>
  <c r="R627" i="3" s="1"/>
  <c r="S495" i="3"/>
  <c r="T495" i="3" s="1"/>
  <c r="M495" i="3"/>
  <c r="R495" i="3" s="1"/>
  <c r="E894" i="3"/>
  <c r="F894" i="3" s="1"/>
  <c r="T424" i="3"/>
  <c r="S93" i="2"/>
  <c r="T93" i="2" s="1"/>
  <c r="M152" i="2"/>
  <c r="R152" i="2" s="1"/>
  <c r="S152" i="2" s="1"/>
  <c r="T152" i="2" s="1"/>
  <c r="S209" i="2"/>
  <c r="T209" i="2" s="1"/>
  <c r="M209" i="2"/>
  <c r="R209" i="2" s="1"/>
  <c r="T560" i="3"/>
  <c r="E893" i="3"/>
  <c r="F893" i="3" s="1"/>
  <c r="I893" i="3" s="1"/>
  <c r="T28" i="3"/>
  <c r="H42" i="10"/>
  <c r="H45" i="10"/>
  <c r="O209" i="5"/>
  <c r="S745" i="3"/>
  <c r="T745" i="3" s="1"/>
  <c r="O900" i="3"/>
  <c r="N900" i="3"/>
  <c r="L900" i="3"/>
  <c r="K900" i="3"/>
  <c r="H900" i="3"/>
  <c r="L41" i="10"/>
  <c r="L44" i="10"/>
  <c r="S601" i="3"/>
  <c r="T601" i="3" s="1"/>
  <c r="M469" i="3"/>
  <c r="R469" i="3" s="1"/>
  <c r="S469" i="3" s="1"/>
  <c r="T469" i="3" s="1"/>
  <c r="M144" i="3"/>
  <c r="R144" i="3" s="1"/>
  <c r="S144" i="3"/>
  <c r="T144" i="3" s="1"/>
  <c r="S1080" i="2"/>
  <c r="T1080" i="2" s="1"/>
  <c r="M1080" i="2"/>
  <c r="R1080" i="2" s="1"/>
  <c r="S570" i="3"/>
  <c r="T570" i="3" s="1"/>
  <c r="M570" i="3"/>
  <c r="R570" i="3" s="1"/>
  <c r="M800" i="2"/>
  <c r="R800" i="2" s="1"/>
  <c r="S800" i="2"/>
  <c r="T800" i="2" s="1"/>
  <c r="T15" i="2"/>
  <c r="AF190" i="5"/>
  <c r="U646" i="3"/>
  <c r="S646" i="3"/>
  <c r="T646" i="3" s="1"/>
  <c r="U819" i="3"/>
  <c r="N269" i="16"/>
  <c r="S617" i="3"/>
  <c r="T617" i="3" s="1"/>
  <c r="T708" i="3"/>
  <c r="S43" i="10"/>
  <c r="AF86" i="5"/>
  <c r="S585" i="3"/>
  <c r="T585" i="3" s="1"/>
  <c r="Z24" i="10"/>
  <c r="Z25" i="10" s="1"/>
  <c r="AA11" i="10"/>
  <c r="W55" i="10"/>
  <c r="BK51" i="10"/>
  <c r="H31" i="6"/>
  <c r="I31" i="6" s="1"/>
  <c r="M900" i="3"/>
  <c r="J900" i="3"/>
  <c r="O185" i="5"/>
  <c r="S551" i="2"/>
  <c r="T551" i="2" s="1"/>
  <c r="M551" i="2"/>
  <c r="R551" i="2" s="1"/>
  <c r="S603" i="3"/>
  <c r="T603" i="3" s="1"/>
  <c r="M603" i="3"/>
  <c r="R603" i="3" s="1"/>
  <c r="S469" i="2"/>
  <c r="T469" i="2" s="1"/>
  <c r="M469" i="2"/>
  <c r="R469" i="2" s="1"/>
  <c r="G1057" i="8"/>
  <c r="M347" i="3"/>
  <c r="R347" i="3" s="1"/>
  <c r="S347" i="3"/>
  <c r="T347" i="3" s="1"/>
  <c r="AG51" i="10"/>
  <c r="S673" i="3"/>
  <c r="T673" i="3" s="1"/>
  <c r="M673" i="3"/>
  <c r="R673" i="3" s="1"/>
  <c r="O292" i="5"/>
  <c r="AF179" i="5"/>
  <c r="E891" i="3"/>
  <c r="F891" i="3" s="1"/>
  <c r="I891" i="3" s="1"/>
  <c r="T833" i="3"/>
  <c r="S624" i="3"/>
  <c r="T624" i="3" s="1"/>
  <c r="S548" i="3"/>
  <c r="T548" i="3" s="1"/>
  <c r="M548" i="3"/>
  <c r="R548" i="3" s="1"/>
  <c r="AF112" i="5"/>
  <c r="S816" i="3"/>
  <c r="T816" i="3" s="1"/>
  <c r="O179" i="5"/>
  <c r="S210" i="3"/>
  <c r="T210" i="3" s="1"/>
  <c r="M315" i="3"/>
  <c r="R315" i="3" s="1"/>
  <c r="S315" i="3"/>
  <c r="T315" i="3" s="1"/>
  <c r="M681" i="2"/>
  <c r="R681" i="2" s="1"/>
  <c r="S681" i="2" s="1"/>
  <c r="T681" i="2" s="1"/>
  <c r="T544" i="3"/>
  <c r="S779" i="3"/>
  <c r="T779" i="3" s="1"/>
  <c r="R43" i="10"/>
  <c r="F41" i="10"/>
  <c r="AF214" i="5"/>
  <c r="S664" i="3"/>
  <c r="T664" i="3" s="1"/>
  <c r="O896" i="3"/>
  <c r="N896" i="3"/>
  <c r="L896" i="3"/>
  <c r="K896" i="3"/>
  <c r="J896" i="3"/>
  <c r="H896" i="3"/>
  <c r="G896" i="3"/>
  <c r="N306" i="16"/>
  <c r="O174" i="5"/>
  <c r="U828" i="3"/>
  <c r="S828" i="3"/>
  <c r="T828" i="3" s="1"/>
  <c r="M592" i="3"/>
  <c r="R592" i="3" s="1"/>
  <c r="S592" i="3" s="1"/>
  <c r="T592" i="3" s="1"/>
  <c r="S478" i="3"/>
  <c r="T478" i="3" s="1"/>
  <c r="M849" i="2"/>
  <c r="R849" i="2" s="1"/>
  <c r="S849" i="2" s="1"/>
  <c r="T849" i="2" s="1"/>
  <c r="S459" i="2"/>
  <c r="T459" i="2" s="1"/>
  <c r="BK60" i="10"/>
  <c r="W60" i="10" s="1"/>
  <c r="BK59" i="10"/>
  <c r="W59" i="10" s="1"/>
  <c r="X51" i="10"/>
  <c r="BK62" i="10"/>
  <c r="W62" i="10" s="1"/>
  <c r="W53" i="10"/>
  <c r="BK61" i="10"/>
  <c r="W61" i="10" s="1"/>
  <c r="AG28" i="10"/>
  <c r="AH28" i="10" s="1"/>
  <c r="AI28" i="10" s="1"/>
  <c r="AJ28" i="10" s="1"/>
  <c r="AK28" i="10" s="1"/>
  <c r="AL28" i="10" s="1"/>
  <c r="AM28" i="10" s="1"/>
  <c r="AN28" i="10" s="1"/>
  <c r="AO28" i="10" s="1"/>
  <c r="AP28" i="10" s="1"/>
  <c r="AQ28" i="10" s="1"/>
  <c r="AR28" i="10" s="1"/>
  <c r="AS28" i="10" s="1"/>
  <c r="AT28" i="10" s="1"/>
  <c r="AU28" i="10" s="1"/>
  <c r="AV28" i="10" s="1"/>
  <c r="AW28" i="10" s="1"/>
  <c r="AX28" i="10" s="1"/>
  <c r="AY28" i="10" s="1"/>
  <c r="AZ28" i="10" s="1"/>
  <c r="BA28" i="10" s="1"/>
  <c r="BB28" i="10" s="1"/>
  <c r="BC28" i="10" s="1"/>
  <c r="BD28" i="10" s="1"/>
  <c r="BE28" i="10" s="1"/>
  <c r="BF28" i="10" s="1"/>
  <c r="BG28" i="10" s="1"/>
  <c r="BH28" i="10" s="1"/>
  <c r="BI28" i="10" s="1"/>
  <c r="BJ28" i="10" s="1"/>
  <c r="BK28" i="10" s="1"/>
  <c r="BL28" i="10" s="1"/>
  <c r="BM28" i="10" s="1"/>
  <c r="BN28" i="10" s="1"/>
  <c r="BO28" i="10" s="1"/>
  <c r="BP28" i="10" s="1"/>
  <c r="BQ28" i="10" s="1"/>
  <c r="BR28" i="10" s="1"/>
  <c r="BS28" i="10" s="1"/>
  <c r="BT28" i="10" s="1"/>
  <c r="BU28" i="10" s="1"/>
  <c r="BV28" i="10" s="1"/>
  <c r="BW28" i="10" s="1"/>
  <c r="BX28" i="10" s="1"/>
  <c r="BY28" i="10" s="1"/>
  <c r="BZ28" i="10" s="1"/>
  <c r="CA28" i="10" s="1"/>
  <c r="CB28" i="10" s="1"/>
  <c r="K60" i="9"/>
  <c r="K61" i="9" s="1"/>
  <c r="L59" i="9"/>
  <c r="AF90" i="5"/>
  <c r="AF168" i="5"/>
  <c r="AF276" i="5"/>
  <c r="AG276" i="5" s="1"/>
  <c r="AH276" i="5" s="1"/>
  <c r="S806" i="3"/>
  <c r="T806" i="3" s="1"/>
  <c r="U830" i="3"/>
  <c r="S830" i="3"/>
  <c r="T830" i="3" s="1"/>
  <c r="AF208" i="5"/>
  <c r="S336" i="3"/>
  <c r="T336" i="3" s="1"/>
  <c r="M336" i="3"/>
  <c r="R336" i="3" s="1"/>
  <c r="M220" i="2"/>
  <c r="R220" i="2" s="1"/>
  <c r="S220" i="2" s="1"/>
  <c r="T220" i="2" s="1"/>
  <c r="T510" i="3"/>
  <c r="O696" i="16"/>
  <c r="O294" i="16"/>
  <c r="O718" i="16"/>
  <c r="S49" i="10"/>
  <c r="O353" i="5"/>
  <c r="P353" i="5" s="1"/>
  <c r="Q353" i="5" s="1"/>
  <c r="Q365" i="5"/>
  <c r="H81" i="5"/>
  <c r="S493" i="3"/>
  <c r="T493" i="3" s="1"/>
  <c r="S783" i="3"/>
  <c r="T783" i="3" s="1"/>
  <c r="O107" i="5"/>
  <c r="AF173" i="5"/>
  <c r="M166" i="3"/>
  <c r="R166" i="3" s="1"/>
  <c r="S166" i="3"/>
  <c r="T166" i="3" s="1"/>
  <c r="G1120" i="8"/>
  <c r="M439" i="3"/>
  <c r="R439" i="3" s="1"/>
  <c r="S439" i="3"/>
  <c r="T439" i="3" s="1"/>
  <c r="M872" i="2"/>
  <c r="R872" i="2" s="1"/>
  <c r="S872" i="2"/>
  <c r="T872" i="2" s="1"/>
  <c r="S417" i="3"/>
  <c r="T417" i="3" s="1"/>
  <c r="M417" i="3"/>
  <c r="R417" i="3" s="1"/>
  <c r="S1051" i="2"/>
  <c r="T1051" i="2" s="1"/>
  <c r="M1051" i="2"/>
  <c r="R1051" i="2" s="1"/>
  <c r="M209" i="3"/>
  <c r="R209" i="3" s="1"/>
  <c r="S209" i="3" s="1"/>
  <c r="T209" i="3" s="1"/>
  <c r="M13" i="3"/>
  <c r="R13" i="3" s="1"/>
  <c r="S13" i="3"/>
  <c r="T13" i="3" s="1"/>
  <c r="M185" i="2"/>
  <c r="R185" i="2" s="1"/>
  <c r="S185" i="2" s="1"/>
  <c r="T185" i="2" s="1"/>
  <c r="M1221" i="2"/>
  <c r="R1221" i="2" s="1"/>
  <c r="S1221" i="2"/>
  <c r="T1221" i="2" s="1"/>
  <c r="T1191" i="2"/>
  <c r="U1191" i="2" s="1"/>
  <c r="G955" i="8"/>
  <c r="U664" i="3"/>
  <c r="U10" i="3"/>
  <c r="S696" i="2"/>
  <c r="T696" i="2" s="1"/>
  <c r="M696" i="2"/>
  <c r="R696" i="2" s="1"/>
  <c r="M910" i="2"/>
  <c r="R910" i="2" s="1"/>
  <c r="S910" i="2"/>
  <c r="T910" i="2" s="1"/>
  <c r="T327" i="2"/>
  <c r="U327" i="2" s="1"/>
  <c r="G1094" i="8"/>
  <c r="S1008" i="2"/>
  <c r="T1008" i="2" s="1"/>
  <c r="M1008" i="2"/>
  <c r="R1008" i="2" s="1"/>
  <c r="AB51" i="10"/>
  <c r="W54" i="10"/>
  <c r="E2008" i="5"/>
  <c r="E2009" i="5" s="1"/>
  <c r="E2010" i="5" s="1"/>
  <c r="E2011" i="5" s="1"/>
  <c r="E2012" i="5" s="1"/>
  <c r="E2013" i="5" s="1"/>
  <c r="E2014" i="5" s="1"/>
  <c r="E2015" i="5" s="1"/>
  <c r="E2016" i="5" s="1"/>
  <c r="E2017" i="5" s="1"/>
  <c r="E2018" i="5" s="1"/>
  <c r="E2019" i="5" s="1"/>
  <c r="E2020" i="5" s="1"/>
  <c r="E2021" i="5" s="1"/>
  <c r="E2022" i="5" s="1"/>
  <c r="E2023" i="5" s="1"/>
  <c r="E2024" i="5" s="1"/>
  <c r="E2025" i="5" s="1"/>
  <c r="E2026" i="5" s="1"/>
  <c r="E2027" i="5" s="1"/>
  <c r="E2028" i="5" s="1"/>
  <c r="E2029" i="5" s="1"/>
  <c r="E2030" i="5" s="1"/>
  <c r="E2031" i="5" s="1"/>
  <c r="E2032" i="5" s="1"/>
  <c r="E2033" i="5" s="1"/>
  <c r="E2034" i="5" s="1"/>
  <c r="E2035" i="5" s="1"/>
  <c r="E2036" i="5" s="1"/>
  <c r="E2037" i="5" s="1"/>
  <c r="E2038" i="5" s="1"/>
  <c r="E2039" i="5" s="1"/>
  <c r="E2040" i="5" s="1"/>
  <c r="E2041" i="5" s="1"/>
  <c r="E2042" i="5" s="1"/>
  <c r="E2043" i="5" s="1"/>
  <c r="E2044" i="5" s="1"/>
  <c r="E2045" i="5" s="1"/>
  <c r="E2046" i="5" s="1"/>
  <c r="E2047" i="5" s="1"/>
  <c r="E2048" i="5" s="1"/>
  <c r="E2049" i="5" s="1"/>
  <c r="E2050" i="5" s="1"/>
  <c r="E2051" i="5" s="1"/>
  <c r="E2052" i="5" s="1"/>
  <c r="E2053" i="5" s="1"/>
  <c r="E2054" i="5" s="1"/>
  <c r="E2055" i="5" s="1"/>
  <c r="E2056" i="5" s="1"/>
  <c r="E2057" i="5" s="1"/>
  <c r="E2058" i="5" s="1"/>
  <c r="E2059" i="5" s="1"/>
  <c r="E2060" i="5" s="1"/>
  <c r="E2061" i="5" s="1"/>
  <c r="E2062" i="5" s="1"/>
  <c r="E2063" i="5" s="1"/>
  <c r="E2064" i="5" s="1"/>
  <c r="E2065" i="5" s="1"/>
  <c r="E2066" i="5" s="1"/>
  <c r="E2067" i="5" s="1"/>
  <c r="E2068" i="5" s="1"/>
  <c r="E2069" i="5" s="1"/>
  <c r="E2070" i="5" s="1"/>
  <c r="E2071" i="5" s="1"/>
  <c r="E2072" i="5" s="1"/>
  <c r="E2073" i="5" s="1"/>
  <c r="E2074" i="5" s="1"/>
  <c r="E2075" i="5" s="1"/>
  <c r="E2076" i="5" s="1"/>
  <c r="E2077" i="5" s="1"/>
  <c r="E2078" i="5" s="1"/>
  <c r="E2079" i="5" s="1"/>
  <c r="E2080" i="5" s="1"/>
  <c r="E2081" i="5" s="1"/>
  <c r="E2082" i="5" s="1"/>
  <c r="E2083" i="5" s="1"/>
  <c r="E2084" i="5" s="1"/>
  <c r="E2085" i="5" s="1"/>
  <c r="E2086" i="5" s="1"/>
  <c r="E2087" i="5" s="1"/>
  <c r="E2088" i="5" s="1"/>
  <c r="E2089" i="5" s="1"/>
  <c r="E2090" i="5" s="1"/>
  <c r="E2091" i="5" s="1"/>
  <c r="E2092" i="5" s="1"/>
  <c r="E2093" i="5" s="1"/>
  <c r="E2094" i="5" s="1"/>
  <c r="E2095" i="5" s="1"/>
  <c r="E2096" i="5" s="1"/>
  <c r="E2097" i="5" s="1"/>
  <c r="E2098" i="5" s="1"/>
  <c r="E2099" i="5" s="1"/>
  <c r="E2100" i="5" s="1"/>
  <c r="E2101" i="5" s="1"/>
  <c r="E2102" i="5" s="1"/>
  <c r="E2103" i="5" s="1"/>
  <c r="E2104" i="5" s="1"/>
  <c r="E2105" i="5" s="1"/>
  <c r="E2106" i="5" s="1"/>
  <c r="E2107" i="5" s="1"/>
  <c r="E2108" i="5" s="1"/>
  <c r="E2109" i="5" s="1"/>
  <c r="E2110" i="5" s="1"/>
  <c r="E2111" i="5" s="1"/>
  <c r="E2112" i="5" s="1"/>
  <c r="E2113" i="5" s="1"/>
  <c r="E2114" i="5" s="1"/>
  <c r="E2115" i="5" s="1"/>
  <c r="E2116" i="5" s="1"/>
  <c r="E2117" i="5" s="1"/>
  <c r="E2118" i="5" s="1"/>
  <c r="E2119" i="5" s="1"/>
  <c r="E2120" i="5" s="1"/>
  <c r="E2121" i="5" s="1"/>
  <c r="E2122" i="5" s="1"/>
  <c r="E2123" i="5" s="1"/>
  <c r="E2124" i="5" s="1"/>
  <c r="E2125" i="5" s="1"/>
  <c r="E2126" i="5" s="1"/>
  <c r="E2127" i="5" s="1"/>
  <c r="E2128" i="5" s="1"/>
  <c r="E2129" i="5" s="1"/>
  <c r="E2130" i="5" s="1"/>
  <c r="E2131" i="5" s="1"/>
  <c r="E2132" i="5" s="1"/>
  <c r="E2133" i="5" s="1"/>
  <c r="E2134" i="5" s="1"/>
  <c r="E2135" i="5" s="1"/>
  <c r="E2136" i="5" s="1"/>
  <c r="E2137" i="5" s="1"/>
  <c r="E2138" i="5" s="1"/>
  <c r="E2139" i="5" s="1"/>
  <c r="E2140" i="5" s="1"/>
  <c r="E2141" i="5" s="1"/>
  <c r="E2142" i="5" s="1"/>
  <c r="E2143" i="5" s="1"/>
  <c r="E2144" i="5" s="1"/>
  <c r="E2145" i="5" s="1"/>
  <c r="E2146" i="5" s="1"/>
  <c r="E2147" i="5" s="1"/>
  <c r="E2148" i="5" s="1"/>
  <c r="E2149" i="5" s="1"/>
  <c r="E2150" i="5" s="1"/>
  <c r="E2151" i="5" s="1"/>
  <c r="E2152" i="5" s="1"/>
  <c r="E2153" i="5" s="1"/>
  <c r="E2154" i="5" s="1"/>
  <c r="E2155" i="5" s="1"/>
  <c r="E2156" i="5" s="1"/>
  <c r="E2157" i="5" s="1"/>
  <c r="E2158" i="5" s="1"/>
  <c r="E2159" i="5" s="1"/>
  <c r="E2160" i="5" s="1"/>
  <c r="E2161" i="5" s="1"/>
  <c r="E2162" i="5" s="1"/>
  <c r="E2163" i="5" s="1"/>
  <c r="E2164" i="5" s="1"/>
  <c r="E2165" i="5" s="1"/>
  <c r="E2166" i="5" s="1"/>
  <c r="E2167" i="5" s="1"/>
  <c r="E2168" i="5" s="1"/>
  <c r="E2169" i="5" s="1"/>
  <c r="E2170" i="5" s="1"/>
  <c r="E2171" i="5" s="1"/>
  <c r="E2172" i="5" s="1"/>
  <c r="E2173" i="5" s="1"/>
  <c r="E2174" i="5" s="1"/>
  <c r="E2175" i="5" s="1"/>
  <c r="E2176" i="5" s="1"/>
  <c r="E2177" i="5" s="1"/>
  <c r="E2178" i="5" s="1"/>
  <c r="E2179" i="5" s="1"/>
  <c r="E2180" i="5" s="1"/>
  <c r="E2181" i="5" s="1"/>
  <c r="E2182" i="5" s="1"/>
  <c r="E2183" i="5" s="1"/>
  <c r="E2184" i="5" s="1"/>
  <c r="E2185" i="5" s="1"/>
  <c r="E2186" i="5" s="1"/>
  <c r="E2187" i="5" s="1"/>
  <c r="E2188" i="5" s="1"/>
  <c r="E2189" i="5" s="1"/>
  <c r="E2190" i="5" s="1"/>
  <c r="E2191" i="5" s="1"/>
  <c r="E2192" i="5" s="1"/>
  <c r="E2193" i="5" s="1"/>
  <c r="E2194" i="5" s="1"/>
  <c r="E2195" i="5" s="1"/>
  <c r="E2196" i="5" s="1"/>
  <c r="E2197" i="5" s="1"/>
  <c r="E2198" i="5" s="1"/>
  <c r="E2199" i="5" s="1"/>
  <c r="E2200" i="5" s="1"/>
  <c r="E2201" i="5" s="1"/>
  <c r="E2202" i="5" s="1"/>
  <c r="E2203" i="5" s="1"/>
  <c r="E2204" i="5" s="1"/>
  <c r="E2205" i="5" s="1"/>
  <c r="E2206" i="5" s="1"/>
  <c r="E2207" i="5" s="1"/>
  <c r="E2208" i="5" s="1"/>
  <c r="E2209" i="5" s="1"/>
  <c r="E2210" i="5" s="1"/>
  <c r="E2211" i="5" s="1"/>
  <c r="E2212" i="5" s="1"/>
  <c r="E2213" i="5" s="1"/>
  <c r="M2008" i="5"/>
  <c r="M2009" i="5" s="1"/>
  <c r="M2010" i="5" s="1"/>
  <c r="M2011" i="5" s="1"/>
  <c r="M2012" i="5" s="1"/>
  <c r="M2013" i="5" s="1"/>
  <c r="M2014" i="5" s="1"/>
  <c r="M2015" i="5" s="1"/>
  <c r="M2016" i="5" s="1"/>
  <c r="M2017" i="5" s="1"/>
  <c r="M2018" i="5" s="1"/>
  <c r="M2019" i="5" s="1"/>
  <c r="M2020" i="5" s="1"/>
  <c r="M2021" i="5" s="1"/>
  <c r="M2022" i="5" s="1"/>
  <c r="M2023" i="5" s="1"/>
  <c r="M2024" i="5" s="1"/>
  <c r="M2025" i="5" s="1"/>
  <c r="M2026" i="5" s="1"/>
  <c r="M2027" i="5" s="1"/>
  <c r="M2028" i="5" s="1"/>
  <c r="M2029" i="5" s="1"/>
  <c r="M2030" i="5" s="1"/>
  <c r="M2031" i="5" s="1"/>
  <c r="M2032" i="5" s="1"/>
  <c r="M2033" i="5" s="1"/>
  <c r="M2034" i="5" s="1"/>
  <c r="M2035" i="5" s="1"/>
  <c r="M2036" i="5" s="1"/>
  <c r="M2037" i="5" s="1"/>
  <c r="M2038" i="5" s="1"/>
  <c r="M2039" i="5" s="1"/>
  <c r="M2040" i="5" s="1"/>
  <c r="M2041" i="5" s="1"/>
  <c r="M2042" i="5" s="1"/>
  <c r="M2043" i="5" s="1"/>
  <c r="M2044" i="5" s="1"/>
  <c r="M2045" i="5" s="1"/>
  <c r="M2046" i="5" s="1"/>
  <c r="M2047" i="5" s="1"/>
  <c r="M2048" i="5" s="1"/>
  <c r="M2049" i="5" s="1"/>
  <c r="M2050" i="5" s="1"/>
  <c r="M2051" i="5" s="1"/>
  <c r="M2052" i="5" s="1"/>
  <c r="M2053" i="5" s="1"/>
  <c r="M2054" i="5" s="1"/>
  <c r="M2055" i="5" s="1"/>
  <c r="M2056" i="5" s="1"/>
  <c r="M2057" i="5" s="1"/>
  <c r="M2058" i="5" s="1"/>
  <c r="M2059" i="5" s="1"/>
  <c r="M2060" i="5" s="1"/>
  <c r="M2061" i="5" s="1"/>
  <c r="M2062" i="5" s="1"/>
  <c r="M2063" i="5" s="1"/>
  <c r="M2064" i="5" s="1"/>
  <c r="M2065" i="5" s="1"/>
  <c r="M2066" i="5" s="1"/>
  <c r="M2067" i="5" s="1"/>
  <c r="M2068" i="5" s="1"/>
  <c r="M2069" i="5" s="1"/>
  <c r="M2070" i="5" s="1"/>
  <c r="M2071" i="5" s="1"/>
  <c r="M2072" i="5" s="1"/>
  <c r="M2073" i="5" s="1"/>
  <c r="M2074" i="5" s="1"/>
  <c r="M2075" i="5" s="1"/>
  <c r="M2076" i="5" s="1"/>
  <c r="M2077" i="5" s="1"/>
  <c r="M2078" i="5" s="1"/>
  <c r="M2079" i="5" s="1"/>
  <c r="M2080" i="5" s="1"/>
  <c r="M2081" i="5" s="1"/>
  <c r="M2082" i="5" s="1"/>
  <c r="M2083" i="5" s="1"/>
  <c r="M2084" i="5" s="1"/>
  <c r="M2085" i="5" s="1"/>
  <c r="M2086" i="5" s="1"/>
  <c r="M2087" i="5" s="1"/>
  <c r="M2088" i="5" s="1"/>
  <c r="M2089" i="5" s="1"/>
  <c r="M2090" i="5" s="1"/>
  <c r="M2091" i="5" s="1"/>
  <c r="M2092" i="5" s="1"/>
  <c r="M2093" i="5" s="1"/>
  <c r="M2094" i="5" s="1"/>
  <c r="M2095" i="5" s="1"/>
  <c r="M2096" i="5" s="1"/>
  <c r="M2097" i="5" s="1"/>
  <c r="M2098" i="5" s="1"/>
  <c r="M2099" i="5" s="1"/>
  <c r="M2100" i="5" s="1"/>
  <c r="M2101" i="5" s="1"/>
  <c r="M2102" i="5" s="1"/>
  <c r="M2103" i="5" s="1"/>
  <c r="M2104" i="5" s="1"/>
  <c r="M2105" i="5" s="1"/>
  <c r="M2106" i="5" s="1"/>
  <c r="M2107" i="5" s="1"/>
  <c r="M2108" i="5" s="1"/>
  <c r="M2109" i="5" s="1"/>
  <c r="M2110" i="5" s="1"/>
  <c r="M2111" i="5" s="1"/>
  <c r="M2112" i="5" s="1"/>
  <c r="M2113" i="5" s="1"/>
  <c r="M2114" i="5" s="1"/>
  <c r="M2115" i="5" s="1"/>
  <c r="M2116" i="5" s="1"/>
  <c r="M2117" i="5" s="1"/>
  <c r="M2118" i="5" s="1"/>
  <c r="M2119" i="5" s="1"/>
  <c r="M2120" i="5" s="1"/>
  <c r="M2121" i="5" s="1"/>
  <c r="M2122" i="5" s="1"/>
  <c r="M2123" i="5" s="1"/>
  <c r="M2124" i="5" s="1"/>
  <c r="M2125" i="5" s="1"/>
  <c r="M2126" i="5" s="1"/>
  <c r="M2127" i="5" s="1"/>
  <c r="M2128" i="5" s="1"/>
  <c r="M2129" i="5" s="1"/>
  <c r="M2130" i="5" s="1"/>
  <c r="M2131" i="5" s="1"/>
  <c r="M2132" i="5" s="1"/>
  <c r="M2133" i="5" s="1"/>
  <c r="M2134" i="5" s="1"/>
  <c r="M2135" i="5" s="1"/>
  <c r="M2136" i="5" s="1"/>
  <c r="M2137" i="5" s="1"/>
  <c r="M2138" i="5" s="1"/>
  <c r="M2139" i="5" s="1"/>
  <c r="M2140" i="5" s="1"/>
  <c r="M2141" i="5" s="1"/>
  <c r="M2142" i="5" s="1"/>
  <c r="M2143" i="5" s="1"/>
  <c r="M2144" i="5" s="1"/>
  <c r="M2145" i="5" s="1"/>
  <c r="M2146" i="5" s="1"/>
  <c r="M2147" i="5" s="1"/>
  <c r="M2148" i="5" s="1"/>
  <c r="M2149" i="5" s="1"/>
  <c r="M2150" i="5" s="1"/>
  <c r="M2151" i="5" s="1"/>
  <c r="M2152" i="5" s="1"/>
  <c r="M2153" i="5" s="1"/>
  <c r="M2154" i="5" s="1"/>
  <c r="M2155" i="5" s="1"/>
  <c r="M2156" i="5" s="1"/>
  <c r="M2157" i="5" s="1"/>
  <c r="M2158" i="5" s="1"/>
  <c r="M2159" i="5" s="1"/>
  <c r="M2160" i="5" s="1"/>
  <c r="M2161" i="5" s="1"/>
  <c r="M2162" i="5" s="1"/>
  <c r="M2163" i="5" s="1"/>
  <c r="M2164" i="5" s="1"/>
  <c r="M2165" i="5" s="1"/>
  <c r="M2166" i="5" s="1"/>
  <c r="M2167" i="5" s="1"/>
  <c r="M2168" i="5" s="1"/>
  <c r="M2169" i="5" s="1"/>
  <c r="M2170" i="5" s="1"/>
  <c r="M2171" i="5" s="1"/>
  <c r="M2172" i="5" s="1"/>
  <c r="M2173" i="5" s="1"/>
  <c r="M2174" i="5" s="1"/>
  <c r="M2175" i="5" s="1"/>
  <c r="M2176" i="5" s="1"/>
  <c r="M2177" i="5" s="1"/>
  <c r="M2178" i="5" s="1"/>
  <c r="M2179" i="5" s="1"/>
  <c r="M2180" i="5" s="1"/>
  <c r="M2181" i="5" s="1"/>
  <c r="M2182" i="5" s="1"/>
  <c r="M2183" i="5" s="1"/>
  <c r="M2184" i="5" s="1"/>
  <c r="M2185" i="5" s="1"/>
  <c r="M2186" i="5" s="1"/>
  <c r="M2187" i="5" s="1"/>
  <c r="M2188" i="5" s="1"/>
  <c r="M2189" i="5" s="1"/>
  <c r="M2190" i="5" s="1"/>
  <c r="M2191" i="5" s="1"/>
  <c r="M2192" i="5" s="1"/>
  <c r="M2193" i="5" s="1"/>
  <c r="M2194" i="5" s="1"/>
  <c r="M2195" i="5" s="1"/>
  <c r="M2196" i="5" s="1"/>
  <c r="M2197" i="5" s="1"/>
  <c r="M2198" i="5" s="1"/>
  <c r="M2199" i="5" s="1"/>
  <c r="M2200" i="5" s="1"/>
  <c r="M2201" i="5" s="1"/>
  <c r="M2202" i="5" s="1"/>
  <c r="M2203" i="5" s="1"/>
  <c r="M2204" i="5" s="1"/>
  <c r="M2205" i="5" s="1"/>
  <c r="M2206" i="5" s="1"/>
  <c r="M2207" i="5" s="1"/>
  <c r="M2208" i="5" s="1"/>
  <c r="M2209" i="5" s="1"/>
  <c r="M2210" i="5" s="1"/>
  <c r="M2211" i="5" s="1"/>
  <c r="M2212" i="5" s="1"/>
  <c r="M2213" i="5" s="1"/>
  <c r="M660" i="3"/>
  <c r="R660" i="3" s="1"/>
  <c r="S660" i="3"/>
  <c r="T660" i="3" s="1"/>
  <c r="T749" i="2"/>
  <c r="U749" i="2" s="1"/>
  <c r="G1417" i="8"/>
  <c r="S1208" i="2"/>
  <c r="T1208" i="2" s="1"/>
  <c r="E895" i="3"/>
  <c r="T425" i="3"/>
  <c r="S148" i="3"/>
  <c r="T148" i="3" s="1"/>
  <c r="M148" i="3"/>
  <c r="R148" i="3" s="1"/>
  <c r="O688" i="16"/>
  <c r="P688" i="16" s="1"/>
  <c r="Q688" i="16" s="1"/>
  <c r="H51" i="15"/>
  <c r="I52" i="15" s="1"/>
  <c r="L42" i="10"/>
  <c r="S50" i="10" s="1"/>
  <c r="L45" i="10"/>
  <c r="AF341" i="5"/>
  <c r="AG341" i="5" s="1"/>
  <c r="AH341" i="5" s="1"/>
  <c r="O135" i="5"/>
  <c r="S615" i="3"/>
  <c r="T615" i="3" s="1"/>
  <c r="M171" i="3"/>
  <c r="R171" i="3" s="1"/>
  <c r="S171" i="3"/>
  <c r="T171" i="3" s="1"/>
  <c r="U669" i="3"/>
  <c r="S420" i="2"/>
  <c r="T420" i="2" s="1"/>
  <c r="M473" i="3"/>
  <c r="R473" i="3" s="1"/>
  <c r="S473" i="3" s="1"/>
  <c r="T473" i="3" s="1"/>
  <c r="S472" i="3"/>
  <c r="T472" i="3" s="1"/>
  <c r="T716" i="3"/>
  <c r="K400" i="5"/>
  <c r="N399" i="5"/>
  <c r="O243" i="5"/>
  <c r="O897" i="3"/>
  <c r="N897" i="3"/>
  <c r="M897" i="3"/>
  <c r="L897" i="3"/>
  <c r="K897" i="3"/>
  <c r="J897" i="3"/>
  <c r="H897" i="3"/>
  <c r="AF140" i="5"/>
  <c r="S637" i="3"/>
  <c r="T637" i="3" s="1"/>
  <c r="AF162" i="5"/>
  <c r="S126" i="3"/>
  <c r="T126" i="3" s="1"/>
  <c r="M126" i="3"/>
  <c r="R126" i="3" s="1"/>
  <c r="M302" i="2"/>
  <c r="R302" i="2" s="1"/>
  <c r="S302" i="2" s="1"/>
  <c r="T302" i="2" s="1"/>
  <c r="M393" i="2"/>
  <c r="R393" i="2" s="1"/>
  <c r="S393" i="2"/>
  <c r="T393" i="2" s="1"/>
  <c r="N42" i="10"/>
  <c r="N45" i="10"/>
  <c r="S770" i="3"/>
  <c r="T770" i="3" s="1"/>
  <c r="O683" i="16"/>
  <c r="P683" i="16" s="1"/>
  <c r="Q683" i="16" s="1"/>
  <c r="C396" i="5"/>
  <c r="I395" i="5"/>
  <c r="F395" i="5"/>
  <c r="S387" i="3"/>
  <c r="T387" i="3" s="1"/>
  <c r="M387" i="3"/>
  <c r="R387" i="3" s="1"/>
  <c r="M975" i="2"/>
  <c r="R975" i="2" s="1"/>
  <c r="S975" i="2" s="1"/>
  <c r="T975" i="2" s="1"/>
  <c r="S66" i="3"/>
  <c r="T66" i="3" s="1"/>
  <c r="M66" i="3"/>
  <c r="R66" i="3" s="1"/>
  <c r="O715" i="16"/>
  <c r="M724" i="3"/>
  <c r="R724" i="3" s="1"/>
  <c r="S724" i="3"/>
  <c r="T724" i="3" s="1"/>
  <c r="J42" i="10"/>
  <c r="J45" i="10"/>
  <c r="O124" i="5"/>
  <c r="S790" i="3"/>
  <c r="T790" i="3" s="1"/>
  <c r="AF118" i="5"/>
  <c r="T576" i="3"/>
  <c r="S781" i="3"/>
  <c r="T781" i="3" s="1"/>
  <c r="S308" i="3"/>
  <c r="T308" i="3" s="1"/>
  <c r="M308" i="3"/>
  <c r="R308" i="3" s="1"/>
  <c r="S170" i="2"/>
  <c r="T170" i="2" s="1"/>
  <c r="M170" i="2"/>
  <c r="R170" i="2" s="1"/>
  <c r="S817" i="3"/>
  <c r="T817" i="3" s="1"/>
  <c r="M245" i="3"/>
  <c r="R245" i="3" s="1"/>
  <c r="S245" i="3"/>
  <c r="T245" i="3" s="1"/>
  <c r="S1025" i="2"/>
  <c r="T1025" i="2" s="1"/>
  <c r="M344" i="2"/>
  <c r="R344" i="2" s="1"/>
  <c r="S344" i="2"/>
  <c r="T344" i="2" s="1"/>
  <c r="T567" i="3"/>
  <c r="S277" i="3"/>
  <c r="T277" i="3" s="1"/>
  <c r="M277" i="3"/>
  <c r="R277" i="3" s="1"/>
  <c r="T542" i="2"/>
  <c r="U542" i="2" s="1"/>
  <c r="G980" i="8"/>
  <c r="Q1238" i="2"/>
  <c r="T647" i="2"/>
  <c r="U647" i="2" s="1"/>
  <c r="G1263" i="8"/>
  <c r="M389" i="2"/>
  <c r="R389" i="2" s="1"/>
  <c r="S389" i="2" s="1"/>
  <c r="T389" i="2" s="1"/>
  <c r="M371" i="2"/>
  <c r="R371" i="2" s="1"/>
  <c r="S371" i="2" s="1"/>
  <c r="T371" i="2" s="1"/>
  <c r="M65" i="3"/>
  <c r="R65" i="3" s="1"/>
  <c r="S65" i="3" s="1"/>
  <c r="T65" i="3" s="1"/>
  <c r="S359" i="2"/>
  <c r="T359" i="2" s="1"/>
  <c r="M359" i="2"/>
  <c r="R359" i="2" s="1"/>
  <c r="M914" i="2"/>
  <c r="R914" i="2" s="1"/>
  <c r="S914" i="2" s="1"/>
  <c r="T914" i="2" s="1"/>
  <c r="S197" i="3"/>
  <c r="T197" i="3" s="1"/>
  <c r="M197" i="3"/>
  <c r="R197" i="3" s="1"/>
  <c r="S278" i="3"/>
  <c r="T278" i="3" s="1"/>
  <c r="M278" i="3"/>
  <c r="R278" i="3" s="1"/>
  <c r="M888" i="2"/>
  <c r="R888" i="2" s="1"/>
  <c r="S888" i="2"/>
  <c r="T888" i="2" s="1"/>
  <c r="M307" i="3"/>
  <c r="R307" i="3" s="1"/>
  <c r="S307" i="3" s="1"/>
  <c r="T307" i="3" s="1"/>
  <c r="M385" i="3"/>
  <c r="R385" i="3" s="1"/>
  <c r="S385" i="3"/>
  <c r="T385" i="3" s="1"/>
  <c r="M195" i="3"/>
  <c r="R195" i="3" s="1"/>
  <c r="S195" i="3"/>
  <c r="T195" i="3" s="1"/>
  <c r="M44" i="3"/>
  <c r="R44" i="3" s="1"/>
  <c r="S44" i="3"/>
  <c r="T44" i="3" s="1"/>
  <c r="M259" i="3"/>
  <c r="R259" i="3" s="1"/>
  <c r="S259" i="3"/>
  <c r="T259" i="3" s="1"/>
  <c r="M304" i="3"/>
  <c r="R304" i="3" s="1"/>
  <c r="S304" i="3" s="1"/>
  <c r="T304" i="3" s="1"/>
  <c r="K1227" i="2"/>
  <c r="M393" i="3"/>
  <c r="R393" i="3" s="1"/>
  <c r="S393" i="3"/>
  <c r="T393" i="3" s="1"/>
  <c r="M778" i="2"/>
  <c r="R778" i="2" s="1"/>
  <c r="S778" i="2"/>
  <c r="T778" i="2" s="1"/>
  <c r="S174" i="3"/>
  <c r="T174" i="3" s="1"/>
  <c r="M174" i="3"/>
  <c r="R174" i="3" s="1"/>
  <c r="M77" i="3"/>
  <c r="R77" i="3" s="1"/>
  <c r="S77" i="3" s="1"/>
  <c r="T77" i="3" s="1"/>
  <c r="M497" i="3"/>
  <c r="R497" i="3" s="1"/>
  <c r="S497" i="3" s="1"/>
  <c r="T497" i="3" s="1"/>
  <c r="S668" i="3"/>
  <c r="T668" i="3" s="1"/>
  <c r="M668" i="3"/>
  <c r="R668" i="3" s="1"/>
  <c r="S208" i="3"/>
  <c r="T208" i="3" s="1"/>
  <c r="M208" i="3"/>
  <c r="R208" i="3" s="1"/>
  <c r="S268" i="3"/>
  <c r="T268" i="3" s="1"/>
  <c r="M268" i="3"/>
  <c r="R268" i="3" s="1"/>
  <c r="V589" i="2"/>
  <c r="V415" i="2"/>
  <c r="M818" i="3"/>
  <c r="R818" i="3" s="1"/>
  <c r="S818" i="3" s="1"/>
  <c r="T818" i="3" s="1"/>
  <c r="S889" i="2"/>
  <c r="T889" i="2" s="1"/>
  <c r="M889" i="2"/>
  <c r="R889" i="2" s="1"/>
  <c r="M812" i="2"/>
  <c r="R812" i="2" s="1"/>
  <c r="S812" i="2" s="1"/>
  <c r="T812" i="2" s="1"/>
  <c r="S109" i="2"/>
  <c r="T109" i="2" s="1"/>
  <c r="M109" i="2"/>
  <c r="R109" i="2" s="1"/>
  <c r="M496" i="2"/>
  <c r="R496" i="2" s="1"/>
  <c r="S496" i="2" s="1"/>
  <c r="T496" i="2" s="1"/>
  <c r="S3" i="2"/>
  <c r="T3" i="2" s="1"/>
  <c r="M3" i="2"/>
  <c r="R3" i="2" s="1"/>
  <c r="V262" i="2"/>
  <c r="S358" i="3"/>
  <c r="T358" i="3" s="1"/>
  <c r="M358" i="3"/>
  <c r="R358" i="3" s="1"/>
  <c r="S939" i="2"/>
  <c r="T939" i="2" s="1"/>
  <c r="M939" i="2"/>
  <c r="R939" i="2" s="1"/>
  <c r="M1218" i="2"/>
  <c r="R1218" i="2" s="1"/>
  <c r="S1218" i="2" s="1"/>
  <c r="T1218" i="2" s="1"/>
  <c r="M1021" i="2"/>
  <c r="R1021" i="2" s="1"/>
  <c r="S1021" i="2" s="1"/>
  <c r="T1021" i="2" s="1"/>
  <c r="S236" i="3"/>
  <c r="T236" i="3" s="1"/>
  <c r="M236" i="3"/>
  <c r="R236" i="3" s="1"/>
  <c r="S450" i="3"/>
  <c r="T450" i="3" s="1"/>
  <c r="M450" i="3"/>
  <c r="R450" i="3" s="1"/>
  <c r="S649" i="3"/>
  <c r="T649" i="3" s="1"/>
  <c r="M649" i="3"/>
  <c r="R649" i="3" s="1"/>
  <c r="S146" i="3"/>
  <c r="T146" i="3" s="1"/>
  <c r="M146" i="3"/>
  <c r="R146" i="3" s="1"/>
  <c r="M767" i="3"/>
  <c r="R767" i="3" s="1"/>
  <c r="S767" i="3" s="1"/>
  <c r="T767" i="3" s="1"/>
  <c r="S709" i="3"/>
  <c r="T709" i="3" s="1"/>
  <c r="M709" i="3"/>
  <c r="R709" i="3" s="1"/>
  <c r="M337" i="3"/>
  <c r="R337" i="3" s="1"/>
  <c r="S337" i="3" s="1"/>
  <c r="T337" i="3" s="1"/>
  <c r="AF265" i="5"/>
  <c r="AG265" i="5" s="1"/>
  <c r="AH265" i="5" s="1"/>
  <c r="M1227" i="2"/>
  <c r="M750" i="3"/>
  <c r="R750" i="3" s="1"/>
  <c r="S750" i="3" s="1"/>
  <c r="T750" i="3" s="1"/>
  <c r="M375" i="3"/>
  <c r="R375" i="3" s="1"/>
  <c r="S375" i="3"/>
  <c r="T375" i="3" s="1"/>
  <c r="U11" i="3"/>
  <c r="M890" i="2"/>
  <c r="R890" i="2" s="1"/>
  <c r="S890" i="2"/>
  <c r="T890" i="2" s="1"/>
  <c r="G988" i="8"/>
  <c r="M208" i="2"/>
  <c r="R208" i="2" s="1"/>
  <c r="S208" i="2" s="1"/>
  <c r="T208" i="2" s="1"/>
  <c r="M1097" i="2"/>
  <c r="R1097" i="2" s="1"/>
  <c r="S1097" i="2" s="1"/>
  <c r="T1097" i="2" s="1"/>
  <c r="M589" i="2"/>
  <c r="R589" i="2" s="1"/>
  <c r="S589" i="2" s="1"/>
  <c r="T589" i="2" s="1"/>
  <c r="M636" i="2"/>
  <c r="R636" i="2" s="1"/>
  <c r="S636" i="2" s="1"/>
  <c r="T636" i="2" s="1"/>
  <c r="S791" i="3"/>
  <c r="T791" i="3" s="1"/>
  <c r="M791" i="3"/>
  <c r="R791" i="3" s="1"/>
  <c r="M1198" i="2"/>
  <c r="R1198" i="2" s="1"/>
  <c r="S1198" i="2" s="1"/>
  <c r="T1198" i="2" s="1"/>
  <c r="M822" i="2"/>
  <c r="R822" i="2" s="1"/>
  <c r="S822" i="2" s="1"/>
  <c r="T822" i="2" s="1"/>
  <c r="M440" i="2"/>
  <c r="R440" i="2" s="1"/>
  <c r="S440" i="2" s="1"/>
  <c r="T440" i="2" s="1"/>
  <c r="G1435" i="8"/>
  <c r="M423" i="2"/>
  <c r="R423" i="2" s="1"/>
  <c r="S423" i="2" s="1"/>
  <c r="T423" i="2" s="1"/>
  <c r="M41" i="2"/>
  <c r="R41" i="2" s="1"/>
  <c r="S41" i="2" s="1"/>
  <c r="T41" i="2" s="1"/>
  <c r="S338" i="3"/>
  <c r="T338" i="3" s="1"/>
  <c r="M338" i="3"/>
  <c r="R338" i="3" s="1"/>
  <c r="M811" i="2"/>
  <c r="R811" i="2" s="1"/>
  <c r="S811" i="2"/>
  <c r="T811" i="2" s="1"/>
  <c r="M255" i="2"/>
  <c r="R255" i="2" s="1"/>
  <c r="S255" i="2" s="1"/>
  <c r="T255" i="2" s="1"/>
  <c r="M397" i="2"/>
  <c r="R397" i="2" s="1"/>
  <c r="S397" i="2" s="1"/>
  <c r="T397" i="2" s="1"/>
  <c r="M445" i="2"/>
  <c r="R445" i="2" s="1"/>
  <c r="S445" i="2" s="1"/>
  <c r="T445" i="2" s="1"/>
  <c r="M896" i="2"/>
  <c r="R896" i="2" s="1"/>
  <c r="S896" i="2" s="1"/>
  <c r="T896" i="2" s="1"/>
  <c r="V471" i="2"/>
  <c r="M75" i="3"/>
  <c r="R75" i="3" s="1"/>
  <c r="S75" i="3" s="1"/>
  <c r="T75" i="3" s="1"/>
  <c r="M737" i="2"/>
  <c r="R737" i="2" s="1"/>
  <c r="S737" i="2" s="1"/>
  <c r="T737" i="2" s="1"/>
  <c r="S869" i="2"/>
  <c r="T869" i="2" s="1"/>
  <c r="M869" i="2"/>
  <c r="R869" i="2" s="1"/>
  <c r="M187" i="2"/>
  <c r="R187" i="2" s="1"/>
  <c r="S187" i="2" s="1"/>
  <c r="T187" i="2" s="1"/>
  <c r="M290" i="3"/>
  <c r="R290" i="3" s="1"/>
  <c r="S290" i="3" s="1"/>
  <c r="T290" i="3" s="1"/>
  <c r="S135" i="3"/>
  <c r="T135" i="3" s="1"/>
  <c r="M135" i="3"/>
  <c r="R135" i="3" s="1"/>
  <c r="G1297" i="8"/>
  <c r="M661" i="3"/>
  <c r="R661" i="3" s="1"/>
  <c r="S661" i="3" s="1"/>
  <c r="T661" i="3" s="1"/>
  <c r="S413" i="3"/>
  <c r="T413" i="3" s="1"/>
  <c r="M413" i="3"/>
  <c r="R413" i="3" s="1"/>
  <c r="M36" i="3"/>
  <c r="R36" i="3" s="1"/>
  <c r="S36" i="3" s="1"/>
  <c r="T36" i="3" s="1"/>
  <c r="M122" i="3"/>
  <c r="R122" i="3" s="1"/>
  <c r="S122" i="3"/>
  <c r="T122" i="3" s="1"/>
  <c r="M355" i="3"/>
  <c r="R355" i="3" s="1"/>
  <c r="S355" i="3"/>
  <c r="T355" i="3" s="1"/>
  <c r="S386" i="3"/>
  <c r="T386" i="3" s="1"/>
  <c r="M386" i="3"/>
  <c r="R386" i="3" s="1"/>
  <c r="M498" i="3"/>
  <c r="R498" i="3" s="1"/>
  <c r="S498" i="3" s="1"/>
  <c r="T498" i="3" s="1"/>
  <c r="S11" i="3"/>
  <c r="T11" i="3" s="1"/>
  <c r="M11" i="3"/>
  <c r="R11" i="3" s="1"/>
  <c r="M475" i="3"/>
  <c r="R475" i="3" s="1"/>
  <c r="S475" i="3" s="1"/>
  <c r="T475" i="3" s="1"/>
  <c r="M1219" i="2"/>
  <c r="R1219" i="2" s="1"/>
  <c r="S1219" i="2"/>
  <c r="T1219" i="2" s="1"/>
  <c r="S176" i="3"/>
  <c r="T176" i="3" s="1"/>
  <c r="M176" i="3"/>
  <c r="R176" i="3" s="1"/>
  <c r="S226" i="3"/>
  <c r="T226" i="3" s="1"/>
  <c r="M226" i="3"/>
  <c r="R226" i="3" s="1"/>
  <c r="G38" i="8"/>
  <c r="G934" i="8"/>
  <c r="M1225" i="2"/>
  <c r="R1225" i="2" s="1"/>
  <c r="S1225" i="2"/>
  <c r="T1225" i="2" s="1"/>
  <c r="M390" i="2"/>
  <c r="R390" i="2" s="1"/>
  <c r="S390" i="2" s="1"/>
  <c r="T390" i="2" s="1"/>
  <c r="M150" i="2"/>
  <c r="R150" i="2" s="1"/>
  <c r="S150" i="2" s="1"/>
  <c r="T150" i="2" s="1"/>
  <c r="M560" i="2"/>
  <c r="R560" i="2" s="1"/>
  <c r="S560" i="2" s="1"/>
  <c r="T560" i="2" s="1"/>
  <c r="M55" i="2"/>
  <c r="R55" i="2" s="1"/>
  <c r="S55" i="2" s="1"/>
  <c r="T55" i="2" s="1"/>
  <c r="K167" i="2"/>
  <c r="S227" i="2"/>
  <c r="T227" i="2" s="1"/>
  <c r="M227" i="2"/>
  <c r="R227" i="2" s="1"/>
  <c r="M708" i="2"/>
  <c r="R708" i="2" s="1"/>
  <c r="S708" i="2" s="1"/>
  <c r="T708" i="2" s="1"/>
  <c r="M471" i="2"/>
  <c r="R471" i="2" s="1"/>
  <c r="S471" i="2" s="1"/>
  <c r="T471" i="2" s="1"/>
  <c r="M63" i="3"/>
  <c r="R63" i="3" s="1"/>
  <c r="S63" i="3"/>
  <c r="T63" i="3" s="1"/>
  <c r="M815" i="2"/>
  <c r="R815" i="2" s="1"/>
  <c r="S815" i="2" s="1"/>
  <c r="T815" i="2" s="1"/>
  <c r="S404" i="3"/>
  <c r="T404" i="3" s="1"/>
  <c r="M404" i="3"/>
  <c r="R404" i="3" s="1"/>
  <c r="S335" i="3"/>
  <c r="T335" i="3" s="1"/>
  <c r="M335" i="3"/>
  <c r="R335" i="3" s="1"/>
  <c r="M441" i="3"/>
  <c r="R441" i="3" s="1"/>
  <c r="S441" i="3" s="1"/>
  <c r="T441" i="3" s="1"/>
  <c r="M1194" i="2"/>
  <c r="R1194" i="2" s="1"/>
  <c r="S1194" i="2" s="1"/>
  <c r="T1194" i="2" s="1"/>
  <c r="U21" i="3"/>
  <c r="M1224" i="2"/>
  <c r="R1224" i="2" s="1"/>
  <c r="S1224" i="2"/>
  <c r="T1224" i="2" s="1"/>
  <c r="S368" i="3"/>
  <c r="T368" i="3" s="1"/>
  <c r="M368" i="3"/>
  <c r="R368" i="3" s="1"/>
  <c r="M462" i="2"/>
  <c r="R462" i="2" s="1"/>
  <c r="S462" i="2" s="1"/>
  <c r="T462" i="2" s="1"/>
  <c r="S520" i="3"/>
  <c r="T520" i="3" s="1"/>
  <c r="M520" i="3"/>
  <c r="R520" i="3" s="1"/>
  <c r="M573" i="2"/>
  <c r="R573" i="2" s="1"/>
  <c r="S573" i="2" s="1"/>
  <c r="T573" i="2" s="1"/>
  <c r="M584" i="3"/>
  <c r="R584" i="3" s="1"/>
  <c r="S584" i="3"/>
  <c r="T584" i="3" s="1"/>
  <c r="M495" i="2"/>
  <c r="R495" i="2" s="1"/>
  <c r="S495" i="2" s="1"/>
  <c r="T495" i="2" s="1"/>
  <c r="M570" i="2"/>
  <c r="R570" i="2" s="1"/>
  <c r="S570" i="2"/>
  <c r="T570" i="2" s="1"/>
  <c r="M127" i="2"/>
  <c r="R127" i="2" s="1"/>
  <c r="S127" i="2" s="1"/>
  <c r="T127" i="2" s="1"/>
  <c r="M300" i="2"/>
  <c r="R300" i="2" s="1"/>
  <c r="S300" i="2" s="1"/>
  <c r="T300" i="2" s="1"/>
  <c r="M470" i="3"/>
  <c r="R470" i="3" s="1"/>
  <c r="S470" i="3" s="1"/>
  <c r="T470" i="3" s="1"/>
  <c r="U12" i="3"/>
  <c r="M863" i="2"/>
  <c r="R863" i="2" s="1"/>
  <c r="S863" i="2" s="1"/>
  <c r="T863" i="2" s="1"/>
  <c r="G69" i="8"/>
  <c r="G1099" i="8"/>
  <c r="S325" i="3"/>
  <c r="T325" i="3" s="1"/>
  <c r="M325" i="3"/>
  <c r="R325" i="3" s="1"/>
  <c r="M789" i="2"/>
  <c r="R789" i="2" s="1"/>
  <c r="S789" i="2"/>
  <c r="T789" i="2" s="1"/>
  <c r="M400" i="2"/>
  <c r="R400" i="2" s="1"/>
  <c r="S400" i="2"/>
  <c r="T400" i="2" s="1"/>
  <c r="M167" i="2"/>
  <c r="M265" i="2"/>
  <c r="R265" i="2" s="1"/>
  <c r="S265" i="2" s="1"/>
  <c r="T265" i="2" s="1"/>
  <c r="S835" i="2"/>
  <c r="T835" i="2" s="1"/>
  <c r="M835" i="2"/>
  <c r="R835" i="2" s="1"/>
  <c r="M226" i="2"/>
  <c r="R226" i="2" s="1"/>
  <c r="S226" i="2" s="1"/>
  <c r="T226" i="2" s="1"/>
  <c r="M860" i="2"/>
  <c r="R860" i="2" s="1"/>
  <c r="S860" i="2" s="1"/>
  <c r="T860" i="2" s="1"/>
  <c r="S695" i="3"/>
  <c r="T695" i="3" s="1"/>
  <c r="M695" i="3"/>
  <c r="R695" i="3" s="1"/>
  <c r="M551" i="3"/>
  <c r="R551" i="3" s="1"/>
  <c r="S551" i="3"/>
  <c r="T551" i="3" s="1"/>
  <c r="M21" i="3"/>
  <c r="R21" i="3" s="1"/>
  <c r="S21" i="3" s="1"/>
  <c r="T21" i="3" s="1"/>
  <c r="M820" i="3"/>
  <c r="R820" i="3" s="1"/>
  <c r="S820" i="3" s="1"/>
  <c r="T820" i="3" s="1"/>
  <c r="M527" i="3"/>
  <c r="R527" i="3" s="1"/>
  <c r="S527" i="3"/>
  <c r="T527" i="3" s="1"/>
  <c r="S349" i="3"/>
  <c r="T349" i="3" s="1"/>
  <c r="M349" i="3"/>
  <c r="R349" i="3" s="1"/>
  <c r="S626" i="3"/>
  <c r="T626" i="3" s="1"/>
  <c r="M626" i="3"/>
  <c r="R626" i="3" s="1"/>
  <c r="M55" i="3"/>
  <c r="R55" i="3" s="1"/>
  <c r="S55" i="3" s="1"/>
  <c r="T55" i="3" s="1"/>
  <c r="M782" i="3"/>
  <c r="R782" i="3" s="1"/>
  <c r="S782" i="3" s="1"/>
  <c r="T782" i="3" s="1"/>
  <c r="M748" i="3"/>
  <c r="R748" i="3" s="1"/>
  <c r="S748" i="3" s="1"/>
  <c r="T748" i="3" s="1"/>
  <c r="M76" i="3"/>
  <c r="R76" i="3" s="1"/>
  <c r="S76" i="3" s="1"/>
  <c r="T76" i="3" s="1"/>
  <c r="M253" i="3"/>
  <c r="R253" i="3" s="1"/>
  <c r="S253" i="3"/>
  <c r="T253" i="3" s="1"/>
  <c r="M520" i="2"/>
  <c r="R520" i="2" s="1"/>
  <c r="S520" i="2"/>
  <c r="T520" i="2" s="1"/>
  <c r="S586" i="2"/>
  <c r="T586" i="2" s="1"/>
  <c r="M586" i="2"/>
  <c r="R586" i="2" s="1"/>
  <c r="M376" i="2"/>
  <c r="R376" i="2" s="1"/>
  <c r="S376" i="2" s="1"/>
  <c r="T376" i="2" s="1"/>
  <c r="M746" i="3"/>
  <c r="R746" i="3" s="1"/>
  <c r="S746" i="3" s="1"/>
  <c r="T746" i="3" s="1"/>
  <c r="S918" i="2"/>
  <c r="T918" i="2" s="1"/>
  <c r="M918" i="2"/>
  <c r="R918" i="2" s="1"/>
  <c r="T542" i="3"/>
  <c r="S635" i="2"/>
  <c r="T635" i="2" s="1"/>
  <c r="G253" i="8"/>
  <c r="S12" i="3"/>
  <c r="T12" i="3" s="1"/>
  <c r="M12" i="3"/>
  <c r="R12" i="3" s="1"/>
  <c r="M203" i="2"/>
  <c r="R203" i="2" s="1"/>
  <c r="S203" i="2" s="1"/>
  <c r="T203" i="2" s="1"/>
  <c r="S179" i="3"/>
  <c r="T179" i="3" s="1"/>
  <c r="M179" i="3"/>
  <c r="R179" i="3" s="1"/>
  <c r="O893" i="3"/>
  <c r="N893" i="3"/>
  <c r="M893" i="3"/>
  <c r="L893" i="3"/>
  <c r="K893" i="3"/>
  <c r="J893" i="3"/>
  <c r="H893" i="3"/>
  <c r="G893" i="3"/>
  <c r="M521" i="2"/>
  <c r="R521" i="2" s="1"/>
  <c r="S521" i="2" s="1"/>
  <c r="T521" i="2" s="1"/>
  <c r="M676" i="2"/>
  <c r="R676" i="2" s="1"/>
  <c r="S676" i="2" s="1"/>
  <c r="T676" i="2" s="1"/>
  <c r="M163" i="3"/>
  <c r="R163" i="3" s="1"/>
  <c r="S163" i="3"/>
  <c r="T163" i="3" s="1"/>
  <c r="S562" i="3"/>
  <c r="T562" i="3" s="1"/>
  <c r="M562" i="3"/>
  <c r="R562" i="3" s="1"/>
  <c r="M798" i="3"/>
  <c r="R798" i="3" s="1"/>
  <c r="S798" i="3" s="1"/>
  <c r="T798" i="3" s="1"/>
  <c r="M600" i="3"/>
  <c r="R600" i="3" s="1"/>
  <c r="S600" i="3"/>
  <c r="T600" i="3" s="1"/>
  <c r="M293" i="3"/>
  <c r="R293" i="3" s="1"/>
  <c r="S293" i="3" s="1"/>
  <c r="T293" i="3" s="1"/>
  <c r="M402" i="3"/>
  <c r="R402" i="3" s="1"/>
  <c r="S402" i="3"/>
  <c r="T402" i="3" s="1"/>
  <c r="M842" i="2"/>
  <c r="R842" i="2" s="1"/>
  <c r="S842" i="2"/>
  <c r="T842" i="2" s="1"/>
  <c r="M419" i="2"/>
  <c r="R419" i="2" s="1"/>
  <c r="S419" i="2" s="1"/>
  <c r="T419" i="2" s="1"/>
  <c r="M261" i="3"/>
  <c r="R261" i="3" s="1"/>
  <c r="S261" i="3"/>
  <c r="T261" i="3" s="1"/>
  <c r="M513" i="3"/>
  <c r="R513" i="3" s="1"/>
  <c r="S513" i="3"/>
  <c r="T513" i="3" s="1"/>
  <c r="M892" i="2"/>
  <c r="R892" i="2" s="1"/>
  <c r="S892" i="2" s="1"/>
  <c r="T892" i="2" s="1"/>
  <c r="S219" i="3"/>
  <c r="T219" i="3" s="1"/>
  <c r="M219" i="3"/>
  <c r="R219" i="3" s="1"/>
  <c r="M568" i="3"/>
  <c r="R568" i="3" s="1"/>
  <c r="S568" i="3"/>
  <c r="T568" i="3" s="1"/>
  <c r="S647" i="3"/>
  <c r="T647" i="3" s="1"/>
  <c r="M647" i="3"/>
  <c r="R647" i="3" s="1"/>
  <c r="M1093" i="2"/>
  <c r="R1093" i="2" s="1"/>
  <c r="S1093" i="2"/>
  <c r="T1093" i="2" s="1"/>
  <c r="G1422" i="8"/>
  <c r="M263" i="2"/>
  <c r="R263" i="2" s="1"/>
  <c r="S263" i="2"/>
  <c r="T263" i="2" s="1"/>
  <c r="M412" i="3"/>
  <c r="R412" i="3" s="1"/>
  <c r="S412" i="3"/>
  <c r="T412" i="3" s="1"/>
  <c r="M1078" i="2"/>
  <c r="R1078" i="2" s="1"/>
  <c r="S1078" i="2"/>
  <c r="T1078" i="2" s="1"/>
  <c r="S395" i="2"/>
  <c r="T395" i="2" s="1"/>
  <c r="M395" i="2"/>
  <c r="R395" i="2" s="1"/>
  <c r="S297" i="3"/>
  <c r="T297" i="3" s="1"/>
  <c r="M297" i="3"/>
  <c r="R297" i="3" s="1"/>
  <c r="M661" i="2"/>
  <c r="R661" i="2" s="1"/>
  <c r="S661" i="2" s="1"/>
  <c r="T661" i="2" s="1"/>
  <c r="M825" i="2"/>
  <c r="R825" i="2" s="1"/>
  <c r="S825" i="2" s="1"/>
  <c r="T825" i="2" s="1"/>
  <c r="G98" i="8"/>
  <c r="S258" i="2"/>
  <c r="T258" i="2" s="1"/>
  <c r="M258" i="2"/>
  <c r="R258" i="2" s="1"/>
  <c r="S376" i="3"/>
  <c r="T376" i="3" s="1"/>
  <c r="M376" i="3"/>
  <c r="R376" i="3" s="1"/>
  <c r="O891" i="3"/>
  <c r="N891" i="3"/>
  <c r="M891" i="3"/>
  <c r="L891" i="3"/>
  <c r="K891" i="3"/>
  <c r="J891" i="3"/>
  <c r="H891" i="3"/>
  <c r="H1" i="3" s="1"/>
  <c r="G891" i="3"/>
  <c r="M64" i="3"/>
  <c r="R64" i="3" s="1"/>
  <c r="S64" i="3"/>
  <c r="T64" i="3" s="1"/>
  <c r="S718" i="3"/>
  <c r="T718" i="3" s="1"/>
  <c r="M718" i="3"/>
  <c r="R718" i="3" s="1"/>
  <c r="S416" i="3"/>
  <c r="T416" i="3" s="1"/>
  <c r="M416" i="3"/>
  <c r="R416" i="3" s="1"/>
  <c r="S537" i="3"/>
  <c r="T537" i="3" s="1"/>
  <c r="M537" i="3"/>
  <c r="R537" i="3" s="1"/>
  <c r="G42" i="8"/>
  <c r="M266" i="3"/>
  <c r="R266" i="3" s="1"/>
  <c r="S266" i="3"/>
  <c r="T266" i="3" s="1"/>
  <c r="M824" i="2"/>
  <c r="R824" i="2" s="1"/>
  <c r="S824" i="2" s="1"/>
  <c r="T824" i="2" s="1"/>
  <c r="M40" i="3"/>
  <c r="R40" i="3" s="1"/>
  <c r="S40" i="3"/>
  <c r="T40" i="3" s="1"/>
  <c r="M780" i="2"/>
  <c r="R780" i="2" s="1"/>
  <c r="S780" i="2" s="1"/>
  <c r="T780" i="2" s="1"/>
  <c r="M1104" i="2"/>
  <c r="R1104" i="2" s="1"/>
  <c r="S1104" i="2" s="1"/>
  <c r="T1104" i="2" s="1"/>
  <c r="M45" i="3"/>
  <c r="R45" i="3" s="1"/>
  <c r="S45" i="3"/>
  <c r="T45" i="3" s="1"/>
  <c r="G577" i="8"/>
  <c r="M318" i="3"/>
  <c r="R318" i="3" s="1"/>
  <c r="S318" i="3" s="1"/>
  <c r="T318" i="3" s="1"/>
  <c r="M1011" i="2"/>
  <c r="R1011" i="2" s="1"/>
  <c r="S1011" i="2"/>
  <c r="T1011" i="2" s="1"/>
  <c r="M553" i="2"/>
  <c r="R553" i="2" s="1"/>
  <c r="S553" i="2" s="1"/>
  <c r="T553" i="2" s="1"/>
  <c r="M464" i="2"/>
  <c r="R464" i="2" s="1"/>
  <c r="S464" i="2" s="1"/>
  <c r="T464" i="2" s="1"/>
  <c r="M1044" i="2"/>
  <c r="R1044" i="2" s="1"/>
  <c r="S1044" i="2" s="1"/>
  <c r="T1044" i="2" s="1"/>
  <c r="S291" i="3"/>
  <c r="T291" i="3" s="1"/>
  <c r="M291" i="3"/>
  <c r="R291" i="3" s="1"/>
  <c r="S1197" i="2"/>
  <c r="T1197" i="2" s="1"/>
  <c r="M1197" i="2"/>
  <c r="R1197" i="2" s="1"/>
  <c r="S425" i="2"/>
  <c r="T425" i="2" s="1"/>
  <c r="M425" i="2"/>
  <c r="R425" i="2" s="1"/>
  <c r="V217" i="2"/>
  <c r="G695" i="8"/>
  <c r="M1049" i="2"/>
  <c r="R1049" i="2" s="1"/>
  <c r="S1049" i="2" s="1"/>
  <c r="T1049" i="2" s="1"/>
  <c r="T535" i="3"/>
  <c r="M316" i="3"/>
  <c r="R316" i="3" s="1"/>
  <c r="S316" i="3" s="1"/>
  <c r="T316" i="3" s="1"/>
  <c r="S269" i="3"/>
  <c r="T269" i="3" s="1"/>
  <c r="M269" i="3"/>
  <c r="R269" i="3" s="1"/>
  <c r="S474" i="3"/>
  <c r="T474" i="3" s="1"/>
  <c r="M474" i="3"/>
  <c r="R474" i="3" s="1"/>
  <c r="M133" i="3"/>
  <c r="R133" i="3" s="1"/>
  <c r="S133" i="3"/>
  <c r="T133" i="3" s="1"/>
  <c r="AF94" i="5"/>
  <c r="S496" i="3"/>
  <c r="T496" i="3" s="1"/>
  <c r="M496" i="3"/>
  <c r="R496" i="3" s="1"/>
  <c r="S577" i="3"/>
  <c r="T577" i="3" s="1"/>
  <c r="M577" i="3"/>
  <c r="R577" i="3" s="1"/>
  <c r="S529" i="3"/>
  <c r="T529" i="3" s="1"/>
  <c r="M529" i="3"/>
  <c r="R529" i="3" s="1"/>
  <c r="M414" i="3"/>
  <c r="R414" i="3" s="1"/>
  <c r="S414" i="3"/>
  <c r="T414" i="3" s="1"/>
  <c r="M636" i="3"/>
  <c r="R636" i="3" s="1"/>
  <c r="S636" i="3" s="1"/>
  <c r="T636" i="3" s="1"/>
  <c r="G650" i="8"/>
  <c r="M1200" i="2"/>
  <c r="R1200" i="2" s="1"/>
  <c r="S1200" i="2" s="1"/>
  <c r="T1200" i="2" s="1"/>
  <c r="M727" i="2"/>
  <c r="R727" i="2" s="1"/>
  <c r="S727" i="2" s="1"/>
  <c r="T727" i="2" s="1"/>
  <c r="M452" i="3"/>
  <c r="R452" i="3" s="1"/>
  <c r="S452" i="3" s="1"/>
  <c r="T452" i="3" s="1"/>
  <c r="M388" i="2"/>
  <c r="R388" i="2" s="1"/>
  <c r="S388" i="2" s="1"/>
  <c r="T388" i="2" s="1"/>
  <c r="M244" i="3"/>
  <c r="R244" i="3" s="1"/>
  <c r="S244" i="3"/>
  <c r="T244" i="3" s="1"/>
  <c r="M1076" i="2"/>
  <c r="R1076" i="2" s="1"/>
  <c r="S1076" i="2" s="1"/>
  <c r="T1076" i="2" s="1"/>
  <c r="M215" i="3"/>
  <c r="R215" i="3" s="1"/>
  <c r="S215" i="3" s="1"/>
  <c r="T215" i="3" s="1"/>
  <c r="S561" i="3"/>
  <c r="T561" i="3" s="1"/>
  <c r="M561" i="3"/>
  <c r="R561" i="3" s="1"/>
  <c r="G87" i="8"/>
  <c r="S405" i="3"/>
  <c r="T405" i="3" s="1"/>
  <c r="M405" i="3"/>
  <c r="R405" i="3" s="1"/>
  <c r="M378" i="2"/>
  <c r="R378" i="2" s="1"/>
  <c r="S378" i="2" s="1"/>
  <c r="T378" i="2" s="1"/>
  <c r="G1441" i="8"/>
  <c r="M217" i="2"/>
  <c r="R217" i="2" s="1"/>
  <c r="S217" i="2" s="1"/>
  <c r="T217" i="2" s="1"/>
  <c r="M121" i="2"/>
  <c r="R121" i="2" s="1"/>
  <c r="S121" i="2" s="1"/>
  <c r="T121" i="2" s="1"/>
  <c r="M1098" i="2"/>
  <c r="R1098" i="2" s="1"/>
  <c r="S1098" i="2"/>
  <c r="T1098" i="2" s="1"/>
  <c r="S728" i="2"/>
  <c r="T728" i="2" s="1"/>
  <c r="M728" i="2"/>
  <c r="R728" i="2" s="1"/>
  <c r="M164" i="3"/>
  <c r="R164" i="3" s="1"/>
  <c r="S164" i="3"/>
  <c r="T164" i="3" s="1"/>
  <c r="F17" i="1"/>
  <c r="F18" i="1" s="1"/>
  <c r="F19" i="1" s="1"/>
  <c r="F20" i="1" s="1"/>
  <c r="F21" i="1" s="1"/>
  <c r="F22" i="1" s="1"/>
  <c r="F23" i="1" s="1"/>
  <c r="F24" i="1" s="1"/>
  <c r="F25" i="1" s="1"/>
  <c r="F26" i="1" s="1"/>
  <c r="F27" i="1" s="1"/>
  <c r="F28" i="1" s="1"/>
  <c r="F29" i="1" s="1"/>
  <c r="F30" i="1" s="1"/>
  <c r="F31" i="1" s="1"/>
  <c r="F32" i="1" s="1"/>
  <c r="F33" i="1" s="1"/>
  <c r="F34" i="1" s="1"/>
  <c r="F35" i="1" s="1"/>
  <c r="F36" i="1" s="1"/>
  <c r="F37" i="1" s="1"/>
  <c r="F38" i="1" s="1"/>
  <c r="F39" i="1" s="1"/>
  <c r="F40" i="1" s="1"/>
  <c r="F41" i="1" s="1"/>
  <c r="F42" i="1" s="1"/>
  <c r="F43" i="1" s="1"/>
  <c r="F44" i="1" s="1"/>
  <c r="F45" i="1" s="1"/>
  <c r="F46" i="1" s="1"/>
  <c r="F47" i="1" s="1"/>
  <c r="F48" i="1" s="1"/>
  <c r="F49" i="1" s="1"/>
  <c r="F50" i="1" s="1"/>
  <c r="F51" i="1" s="1"/>
  <c r="F52" i="1" s="1"/>
  <c r="F53" i="1" s="1"/>
  <c r="F54" i="1" s="1"/>
  <c r="F55" i="1" s="1"/>
  <c r="F56" i="1" s="1"/>
  <c r="F57" i="1" s="1"/>
  <c r="F58" i="1" s="1"/>
  <c r="F59" i="1" s="1"/>
  <c r="F60" i="1" s="1"/>
  <c r="F61" i="1" s="1"/>
  <c r="F62" i="1" s="1"/>
  <c r="F63" i="1" s="1"/>
  <c r="F64" i="1" s="1"/>
  <c r="F65" i="1" s="1"/>
  <c r="F66" i="1" s="1"/>
  <c r="F67" i="1" s="1"/>
  <c r="F68" i="1" s="1"/>
  <c r="F69" i="1" s="1"/>
  <c r="F70" i="1" s="1"/>
  <c r="F71" i="1" s="1"/>
  <c r="F72" i="1" s="1"/>
  <c r="F73" i="1" s="1"/>
  <c r="F74" i="1" s="1"/>
  <c r="F75" i="1" s="1"/>
  <c r="F76" i="1" s="1"/>
  <c r="F77" i="1" s="1"/>
  <c r="F78" i="1" s="1"/>
  <c r="F79" i="1" s="1"/>
  <c r="F80" i="1" s="1"/>
  <c r="F81" i="1" s="1"/>
  <c r="F82" i="1" s="1"/>
  <c r="F83" i="1" s="1"/>
  <c r="F84" i="1" s="1"/>
  <c r="F85" i="1" s="1"/>
  <c r="F86" i="1" s="1"/>
  <c r="F87" i="1" s="1"/>
  <c r="F88" i="1" s="1"/>
  <c r="F89" i="1" s="1"/>
  <c r="F90" i="1" s="1"/>
  <c r="F91" i="1" s="1"/>
  <c r="F92" i="1" s="1"/>
  <c r="F93" i="1" s="1"/>
  <c r="F94" i="1" s="1"/>
  <c r="F95" i="1" s="1"/>
  <c r="F96" i="1" s="1"/>
  <c r="F97" i="1" s="1"/>
  <c r="F98" i="1" s="1"/>
  <c r="F99" i="1" s="1"/>
  <c r="F100" i="1" s="1"/>
  <c r="F101" i="1" s="1"/>
  <c r="F102" i="1" s="1"/>
  <c r="F103" i="1" s="1"/>
  <c r="F104" i="1" s="1"/>
  <c r="F105" i="1" s="1"/>
  <c r="F106" i="1" s="1"/>
  <c r="F107" i="1" s="1"/>
  <c r="F108" i="1" s="1"/>
  <c r="F109" i="1" s="1"/>
  <c r="F110" i="1" s="1"/>
  <c r="F111" i="1" s="1"/>
  <c r="F112" i="1" s="1"/>
  <c r="F113" i="1" s="1"/>
  <c r="F114" i="1" s="1"/>
  <c r="F115" i="1" s="1"/>
  <c r="F116" i="1" s="1"/>
  <c r="F117" i="1" s="1"/>
  <c r="F118" i="1" s="1"/>
  <c r="F119" i="1" s="1"/>
  <c r="F120" i="1" s="1"/>
  <c r="F121" i="1" s="1"/>
  <c r="F122" i="1" s="1"/>
  <c r="F123" i="1" s="1"/>
  <c r="F124" i="1" s="1"/>
  <c r="F125" i="1" s="1"/>
  <c r="F126" i="1" s="1"/>
  <c r="F127" i="1" s="1"/>
  <c r="F128" i="1" s="1"/>
  <c r="F129" i="1" s="1"/>
  <c r="F130" i="1" s="1"/>
  <c r="F131" i="1" s="1"/>
  <c r="F132" i="1" s="1"/>
  <c r="F133" i="1" s="1"/>
  <c r="F134" i="1" s="1"/>
  <c r="F135" i="1" s="1"/>
  <c r="F136" i="1" s="1"/>
  <c r="F137" i="1" s="1"/>
  <c r="F138" i="1" s="1"/>
  <c r="F139" i="1" s="1"/>
  <c r="F140" i="1" s="1"/>
  <c r="F141" i="1" s="1"/>
  <c r="F142" i="1" s="1"/>
  <c r="F143" i="1" s="1"/>
  <c r="F144" i="1" s="1"/>
  <c r="F145" i="1" s="1"/>
  <c r="F146" i="1" s="1"/>
  <c r="F147" i="1" s="1"/>
  <c r="F148" i="1" s="1"/>
  <c r="F149" i="1" s="1"/>
  <c r="F150" i="1" s="1"/>
  <c r="F151" i="1" s="1"/>
  <c r="F152" i="1" s="1"/>
  <c r="F153" i="1" s="1"/>
  <c r="F154" i="1" s="1"/>
  <c r="F155" i="1" s="1"/>
  <c r="F156" i="1" s="1"/>
  <c r="F157" i="1" s="1"/>
  <c r="F158" i="1" s="1"/>
  <c r="F159" i="1" s="1"/>
  <c r="F160" i="1" s="1"/>
  <c r="F161" i="1" s="1"/>
  <c r="F162" i="1" s="1"/>
  <c r="F163" i="1" s="1"/>
  <c r="F164" i="1" s="1"/>
  <c r="F165" i="1" s="1"/>
  <c r="F166" i="1" s="1"/>
  <c r="F167" i="1" s="1"/>
  <c r="F168" i="1" s="1"/>
  <c r="F169" i="1" s="1"/>
  <c r="F170" i="1" s="1"/>
  <c r="F171" i="1" s="1"/>
  <c r="F172" i="1" s="1"/>
  <c r="F173" i="1" s="1"/>
  <c r="F174" i="1" s="1"/>
  <c r="F175" i="1" s="1"/>
  <c r="F176" i="1" s="1"/>
  <c r="F177" i="1" s="1"/>
  <c r="F178" i="1" s="1"/>
  <c r="F179" i="1" s="1"/>
  <c r="F180" i="1" s="1"/>
  <c r="F181" i="1" s="1"/>
  <c r="F182" i="1" s="1"/>
  <c r="F183" i="1" s="1"/>
  <c r="F184" i="1" s="1"/>
  <c r="F185" i="1" s="1"/>
  <c r="F186" i="1" s="1"/>
  <c r="F187" i="1" s="1"/>
  <c r="F188" i="1" s="1"/>
  <c r="F189" i="1" s="1"/>
  <c r="F190" i="1" s="1"/>
  <c r="F191" i="1" s="1"/>
  <c r="F192" i="1" s="1"/>
  <c r="F193" i="1" s="1"/>
  <c r="F194" i="1" s="1"/>
  <c r="F195" i="1" s="1"/>
  <c r="F196" i="1" s="1"/>
  <c r="F197" i="1" s="1"/>
  <c r="F198" i="1" s="1"/>
  <c r="F199" i="1" s="1"/>
  <c r="F200" i="1" s="1"/>
  <c r="F201" i="1" s="1"/>
  <c r="F202" i="1" s="1"/>
  <c r="F203" i="1" s="1"/>
  <c r="F204" i="1" s="1"/>
  <c r="F205" i="1" s="1"/>
  <c r="F206" i="1" s="1"/>
  <c r="F207" i="1" s="1"/>
  <c r="F208" i="1" s="1"/>
  <c r="F209" i="1" s="1"/>
  <c r="F210" i="1" s="1"/>
  <c r="F211" i="1" s="1"/>
  <c r="F212" i="1" s="1"/>
  <c r="F213" i="1" s="1"/>
  <c r="F214" i="1" s="1"/>
  <c r="F215" i="1" s="1"/>
  <c r="F216" i="1" s="1"/>
  <c r="F217" i="1" s="1"/>
  <c r="F218" i="1" s="1"/>
  <c r="F219" i="1" s="1"/>
  <c r="F220" i="1" s="1"/>
  <c r="F221" i="1" s="1"/>
  <c r="F222" i="1" s="1"/>
  <c r="F223" i="1" s="1"/>
  <c r="F224" i="1" s="1"/>
  <c r="F225" i="1" s="1"/>
  <c r="F226" i="1" s="1"/>
  <c r="F227" i="1" s="1"/>
  <c r="F228" i="1" s="1"/>
  <c r="F229" i="1" s="1"/>
  <c r="F230" i="1" s="1"/>
  <c r="F231" i="1" s="1"/>
  <c r="F232" i="1" s="1"/>
  <c r="F233" i="1" s="1"/>
  <c r="F234" i="1" s="1"/>
  <c r="F235" i="1" s="1"/>
  <c r="F236" i="1" s="1"/>
  <c r="F237" i="1" s="1"/>
  <c r="F238" i="1" s="1"/>
  <c r="F239" i="1" s="1"/>
  <c r="F240" i="1" s="1"/>
  <c r="F241" i="1" s="1"/>
  <c r="F242" i="1" s="1"/>
  <c r="F243" i="1" s="1"/>
  <c r="F244" i="1" s="1"/>
  <c r="F245" i="1" s="1"/>
  <c r="F246" i="1" s="1"/>
  <c r="F247" i="1" s="1"/>
  <c r="F248" i="1" s="1"/>
  <c r="F249" i="1" s="1"/>
  <c r="F250" i="1" s="1"/>
  <c r="F251" i="1" s="1"/>
  <c r="F252" i="1" s="1"/>
  <c r="F253" i="1" s="1"/>
  <c r="F254" i="1" s="1"/>
  <c r="F255" i="1" s="1"/>
  <c r="F256" i="1" s="1"/>
  <c r="F257" i="1" s="1"/>
  <c r="F258" i="1" s="1"/>
  <c r="F259" i="1" s="1"/>
  <c r="F260" i="1" s="1"/>
  <c r="F261" i="1" s="1"/>
  <c r="F262" i="1" s="1"/>
  <c r="F263" i="1" s="1"/>
  <c r="F264" i="1" s="1"/>
  <c r="F265" i="1" s="1"/>
  <c r="F266" i="1" s="1"/>
  <c r="F267" i="1" s="1"/>
  <c r="F268" i="1" s="1"/>
  <c r="F269" i="1" s="1"/>
  <c r="F270" i="1" s="1"/>
  <c r="F271" i="1" s="1"/>
  <c r="F272" i="1" s="1"/>
  <c r="F273" i="1" s="1"/>
  <c r="F274" i="1" s="1"/>
  <c r="F275" i="1" s="1"/>
  <c r="F276" i="1" s="1"/>
  <c r="F277" i="1" s="1"/>
  <c r="F278" i="1" s="1"/>
  <c r="F279" i="1" s="1"/>
  <c r="F280" i="1" s="1"/>
  <c r="F281" i="1" s="1"/>
  <c r="F282" i="1" s="1"/>
  <c r="F283" i="1" s="1"/>
  <c r="F284" i="1" s="1"/>
  <c r="F285" i="1" s="1"/>
  <c r="F286" i="1" s="1"/>
  <c r="F287" i="1" s="1"/>
  <c r="F288" i="1" s="1"/>
  <c r="F289" i="1" s="1"/>
  <c r="F290" i="1" s="1"/>
  <c r="F291" i="1" s="1"/>
  <c r="F292" i="1" s="1"/>
  <c r="F293" i="1" s="1"/>
  <c r="F294" i="1" s="1"/>
  <c r="F295" i="1" s="1"/>
  <c r="F296" i="1" s="1"/>
  <c r="F297" i="1" s="1"/>
  <c r="F298" i="1" s="1"/>
  <c r="F299" i="1" s="1"/>
  <c r="F300" i="1" s="1"/>
  <c r="F301" i="1" s="1"/>
  <c r="F302" i="1" s="1"/>
  <c r="F303" i="1" s="1"/>
  <c r="F304" i="1" s="1"/>
  <c r="F305" i="1" s="1"/>
  <c r="F306" i="1" s="1"/>
  <c r="F307" i="1" s="1"/>
  <c r="F308" i="1" s="1"/>
  <c r="F309" i="1" s="1"/>
  <c r="F310" i="1" s="1"/>
  <c r="F311" i="1" s="1"/>
  <c r="F312" i="1" s="1"/>
  <c r="F313" i="1" s="1"/>
  <c r="F314" i="1" s="1"/>
  <c r="F315" i="1" s="1"/>
  <c r="F316" i="1" s="1"/>
  <c r="F317" i="1" s="1"/>
  <c r="F318" i="1" s="1"/>
  <c r="F319" i="1" s="1"/>
  <c r="F320" i="1" s="1"/>
  <c r="F321" i="1" s="1"/>
  <c r="F322" i="1" s="1"/>
  <c r="F323" i="1" s="1"/>
  <c r="F324" i="1" s="1"/>
  <c r="F325" i="1" s="1"/>
  <c r="F326" i="1" s="1"/>
  <c r="F327" i="1" s="1"/>
  <c r="F328" i="1" s="1"/>
  <c r="F329" i="1" s="1"/>
  <c r="F330" i="1" s="1"/>
  <c r="F331" i="1" s="1"/>
  <c r="F332" i="1" s="1"/>
  <c r="F333" i="1" s="1"/>
  <c r="F334" i="1" s="1"/>
  <c r="F335" i="1" s="1"/>
  <c r="F336" i="1" s="1"/>
  <c r="F337" i="1" s="1"/>
  <c r="F338" i="1" s="1"/>
  <c r="F339" i="1" s="1"/>
  <c r="F340" i="1" s="1"/>
  <c r="F341" i="1" s="1"/>
  <c r="F342" i="1" s="1"/>
  <c r="F343" i="1" s="1"/>
  <c r="F344" i="1" s="1"/>
  <c r="F345" i="1" s="1"/>
  <c r="F346" i="1" s="1"/>
  <c r="F347" i="1" s="1"/>
  <c r="F348" i="1" s="1"/>
  <c r="F349" i="1" s="1"/>
  <c r="F350" i="1" s="1"/>
  <c r="F351" i="1" s="1"/>
  <c r="F352" i="1" s="1"/>
  <c r="F353" i="1" s="1"/>
  <c r="F354" i="1" s="1"/>
  <c r="F355" i="1" s="1"/>
  <c r="F356" i="1" s="1"/>
  <c r="F357" i="1" s="1"/>
  <c r="F358" i="1" s="1"/>
  <c r="F359" i="1" s="1"/>
  <c r="F360" i="1" s="1"/>
  <c r="F361" i="1" s="1"/>
  <c r="F362" i="1" s="1"/>
  <c r="F363" i="1" s="1"/>
  <c r="F364" i="1" s="1"/>
  <c r="F365" i="1" s="1"/>
  <c r="F366" i="1" s="1"/>
  <c r="F367" i="1" s="1"/>
  <c r="F368" i="1" s="1"/>
  <c r="F369" i="1" s="1"/>
  <c r="F370" i="1" s="1"/>
  <c r="F371" i="1" s="1"/>
  <c r="F372" i="1" s="1"/>
  <c r="F373" i="1" s="1"/>
  <c r="F374" i="1" s="1"/>
  <c r="F375" i="1" s="1"/>
  <c r="F376" i="1" s="1"/>
  <c r="F377" i="1" s="1"/>
  <c r="S858" i="2"/>
  <c r="T858" i="2" s="1"/>
  <c r="M858" i="2"/>
  <c r="R858" i="2" s="1"/>
  <c r="S316" i="2"/>
  <c r="T316" i="2" s="1"/>
  <c r="S846" i="2"/>
  <c r="T846" i="2" s="1"/>
  <c r="M846" i="2"/>
  <c r="R846" i="2" s="1"/>
  <c r="M526" i="3"/>
  <c r="R526" i="3" s="1"/>
  <c r="S526" i="3"/>
  <c r="T526" i="3" s="1"/>
  <c r="S357" i="3"/>
  <c r="T357" i="3" s="1"/>
  <c r="M357" i="3"/>
  <c r="R357" i="3" s="1"/>
  <c r="M276" i="3"/>
  <c r="R276" i="3" s="1"/>
  <c r="S276" i="3"/>
  <c r="T276" i="3" s="1"/>
  <c r="S831" i="3"/>
  <c r="T831" i="3" s="1"/>
  <c r="M831" i="3"/>
  <c r="R831" i="3" s="1"/>
  <c r="M334" i="3"/>
  <c r="R334" i="3" s="1"/>
  <c r="S334" i="3"/>
  <c r="T334" i="3" s="1"/>
  <c r="G993" i="8"/>
  <c r="M590" i="2"/>
  <c r="R590" i="2" s="1"/>
  <c r="S590" i="2" s="1"/>
  <c r="T590" i="2" s="1"/>
  <c r="M445" i="3"/>
  <c r="R445" i="3" s="1"/>
  <c r="S445" i="3"/>
  <c r="T445" i="3" s="1"/>
  <c r="G107" i="8"/>
  <c r="M955" i="2"/>
  <c r="R955" i="2" s="1"/>
  <c r="S955" i="2" s="1"/>
  <c r="T955" i="2" s="1"/>
  <c r="G1053" i="8"/>
  <c r="M802" i="2"/>
  <c r="R802" i="2" s="1"/>
  <c r="S802" i="2" s="1"/>
  <c r="T802" i="2" s="1"/>
  <c r="M161" i="2"/>
  <c r="R161" i="2" s="1"/>
  <c r="S161" i="2" s="1"/>
  <c r="T161" i="2" s="1"/>
  <c r="M830" i="2"/>
  <c r="R830" i="2" s="1"/>
  <c r="S830" i="2" s="1"/>
  <c r="T830" i="2" s="1"/>
  <c r="S418" i="2"/>
  <c r="T418" i="2" s="1"/>
  <c r="M418" i="2"/>
  <c r="R418" i="2" s="1"/>
  <c r="M1228" i="2"/>
  <c r="R1228" i="2" s="1"/>
  <c r="S1228" i="2"/>
  <c r="T1228" i="2" s="1"/>
  <c r="M1047" i="2"/>
  <c r="R1047" i="2" s="1"/>
  <c r="S1047" i="2"/>
  <c r="T1047" i="2" s="1"/>
  <c r="S119" i="2"/>
  <c r="T119" i="2" s="1"/>
  <c r="M119" i="2"/>
  <c r="R119" i="2" s="1"/>
  <c r="S557" i="2"/>
  <c r="T557" i="2" s="1"/>
  <c r="M557" i="2"/>
  <c r="R557" i="2" s="1"/>
  <c r="S299" i="2"/>
  <c r="T299" i="2" s="1"/>
  <c r="M299" i="2"/>
  <c r="R299" i="2" s="1"/>
  <c r="T24" i="3"/>
  <c r="V131" i="2"/>
  <c r="M536" i="3"/>
  <c r="R536" i="3" s="1"/>
  <c r="S536" i="3"/>
  <c r="T536" i="3" s="1"/>
  <c r="S124" i="3"/>
  <c r="T124" i="3" s="1"/>
  <c r="M124" i="3"/>
  <c r="R124" i="3" s="1"/>
  <c r="M625" i="3"/>
  <c r="R625" i="3" s="1"/>
  <c r="S625" i="3" s="1"/>
  <c r="T625" i="3" s="1"/>
  <c r="K1160" i="2"/>
  <c r="R1160" i="2" s="1"/>
  <c r="S1160" i="2" s="1"/>
  <c r="T1160" i="2" s="1"/>
  <c r="U22" i="3"/>
  <c r="S366" i="3"/>
  <c r="T366" i="3" s="1"/>
  <c r="M366" i="3"/>
  <c r="R366" i="3" s="1"/>
  <c r="M836" i="3"/>
  <c r="R836" i="3" s="1"/>
  <c r="S836" i="3"/>
  <c r="T836" i="3" s="1"/>
  <c r="M511" i="3"/>
  <c r="R511" i="3" s="1"/>
  <c r="S511" i="3"/>
  <c r="T511" i="3" s="1"/>
  <c r="U1074" i="2"/>
  <c r="S1074" i="2"/>
  <c r="T1074" i="2" s="1"/>
  <c r="M471" i="3"/>
  <c r="R471" i="3" s="1"/>
  <c r="S471" i="3"/>
  <c r="T471" i="3" s="1"/>
  <c r="M346" i="3"/>
  <c r="R346" i="3" s="1"/>
  <c r="S346" i="3"/>
  <c r="T346" i="3" s="1"/>
  <c r="S125" i="3"/>
  <c r="T125" i="3" s="1"/>
  <c r="M125" i="3"/>
  <c r="R125" i="3" s="1"/>
  <c r="S262" i="3"/>
  <c r="T262" i="3" s="1"/>
  <c r="M262" i="3"/>
  <c r="R262" i="3" s="1"/>
  <c r="S235" i="3"/>
  <c r="T235" i="3" s="1"/>
  <c r="M235" i="3"/>
  <c r="R235" i="3" s="1"/>
  <c r="S494" i="3"/>
  <c r="T494" i="3" s="1"/>
  <c r="M494" i="3"/>
  <c r="R494" i="3" s="1"/>
  <c r="M1196" i="2"/>
  <c r="R1196" i="2" s="1"/>
  <c r="S1196" i="2" s="1"/>
  <c r="T1196" i="2" s="1"/>
  <c r="M707" i="2"/>
  <c r="R707" i="2" s="1"/>
  <c r="S707" i="2" s="1"/>
  <c r="T707" i="2" s="1"/>
  <c r="M73" i="3"/>
  <c r="R73" i="3" s="1"/>
  <c r="S73" i="3"/>
  <c r="T73" i="3" s="1"/>
  <c r="V852" i="2"/>
  <c r="S852" i="2"/>
  <c r="T852" i="2" s="1"/>
  <c r="E30" i="8"/>
  <c r="E31" i="8" s="1"/>
  <c r="E32" i="8" s="1"/>
  <c r="E33" i="8" s="1"/>
  <c r="E34" i="8" s="1"/>
  <c r="E35" i="8" s="1"/>
  <c r="E36" i="8" s="1"/>
  <c r="E37" i="8" s="1"/>
  <c r="E38" i="8" s="1"/>
  <c r="E39" i="8" s="1"/>
  <c r="E40" i="8" s="1"/>
  <c r="E41" i="8" s="1"/>
  <c r="E42" i="8" s="1"/>
  <c r="E43" i="8" s="1"/>
  <c r="E44" i="8" s="1"/>
  <c r="E45" i="8" s="1"/>
  <c r="E46" i="8" s="1"/>
  <c r="E47" i="8" s="1"/>
  <c r="E48" i="8" s="1"/>
  <c r="E49" i="8" s="1"/>
  <c r="E50" i="8" s="1"/>
  <c r="E51" i="8" s="1"/>
  <c r="E52" i="8" s="1"/>
  <c r="E53" i="8" s="1"/>
  <c r="E54" i="8" s="1"/>
  <c r="E55" i="8" s="1"/>
  <c r="E56" i="8" s="1"/>
  <c r="E57" i="8" s="1"/>
  <c r="E58" i="8" s="1"/>
  <c r="E59" i="8" s="1"/>
  <c r="E60" i="8" s="1"/>
  <c r="E61" i="8" s="1"/>
  <c r="E62" i="8" s="1"/>
  <c r="E63" i="8" s="1"/>
  <c r="E64" i="8" s="1"/>
  <c r="E65" i="8" s="1"/>
  <c r="E66" i="8" s="1"/>
  <c r="E67" i="8" s="1"/>
  <c r="E68" i="8" s="1"/>
  <c r="E69" i="8" s="1"/>
  <c r="E70" i="8" s="1"/>
  <c r="E71" i="8" s="1"/>
  <c r="E72" i="8" s="1"/>
  <c r="E73" i="8" s="1"/>
  <c r="E74" i="8" s="1"/>
  <c r="E75" i="8" s="1"/>
  <c r="E76" i="8" s="1"/>
  <c r="E77" i="8" s="1"/>
  <c r="E78" i="8" s="1"/>
  <c r="E79" i="8" s="1"/>
  <c r="E80" i="8" s="1"/>
  <c r="E81" i="8" s="1"/>
  <c r="E82" i="8" s="1"/>
  <c r="E83" i="8" s="1"/>
  <c r="E84" i="8" s="1"/>
  <c r="E85" i="8" s="1"/>
  <c r="E86" i="8" s="1"/>
  <c r="E87" i="8" s="1"/>
  <c r="E88" i="8" s="1"/>
  <c r="E89" i="8" s="1"/>
  <c r="E90" i="8" s="1"/>
  <c r="E91" i="8" s="1"/>
  <c r="E92" i="8" s="1"/>
  <c r="E93" i="8" s="1"/>
  <c r="E94" i="8" s="1"/>
  <c r="E95" i="8" s="1"/>
  <c r="E96" i="8" s="1"/>
  <c r="E97" i="8" s="1"/>
  <c r="E98" i="8" s="1"/>
  <c r="E99" i="8" s="1"/>
  <c r="E100" i="8" s="1"/>
  <c r="E101" i="8" s="1"/>
  <c r="E102" i="8" s="1"/>
  <c r="E103" i="8" s="1"/>
  <c r="E104" i="8" s="1"/>
  <c r="E105" i="8" s="1"/>
  <c r="E106" i="8" s="1"/>
  <c r="E107" i="8" s="1"/>
  <c r="E108" i="8" s="1"/>
  <c r="E109" i="8" s="1"/>
  <c r="E110" i="8" s="1"/>
  <c r="E111" i="8" s="1"/>
  <c r="E112" i="8" s="1"/>
  <c r="E113" i="8" s="1"/>
  <c r="E114" i="8" s="1"/>
  <c r="E115" i="8" s="1"/>
  <c r="E116" i="8" s="1"/>
  <c r="E117" i="8" s="1"/>
  <c r="E118" i="8" s="1"/>
  <c r="E119" i="8" s="1"/>
  <c r="E120" i="8" s="1"/>
  <c r="E121" i="8" s="1"/>
  <c r="E122" i="8" s="1"/>
  <c r="E123" i="8" s="1"/>
  <c r="E124" i="8" s="1"/>
  <c r="E125" i="8" s="1"/>
  <c r="E126" i="8" s="1"/>
  <c r="E127" i="8" s="1"/>
  <c r="E128" i="8" s="1"/>
  <c r="E129" i="8" s="1"/>
  <c r="E130" i="8" s="1"/>
  <c r="E131" i="8" s="1"/>
  <c r="E132" i="8" s="1"/>
  <c r="E133" i="8" s="1"/>
  <c r="E134" i="8" s="1"/>
  <c r="E135" i="8" s="1"/>
  <c r="E136" i="8" s="1"/>
  <c r="E137" i="8" s="1"/>
  <c r="E138" i="8" s="1"/>
  <c r="E139" i="8" s="1"/>
  <c r="E140" i="8" s="1"/>
  <c r="E141" i="8" s="1"/>
  <c r="E142" i="8" s="1"/>
  <c r="E143" i="8" s="1"/>
  <c r="E144" i="8" s="1"/>
  <c r="E145" i="8" s="1"/>
  <c r="E146" i="8" s="1"/>
  <c r="E147" i="8" s="1"/>
  <c r="E148" i="8" s="1"/>
  <c r="E149" i="8" s="1"/>
  <c r="E150" i="8" s="1"/>
  <c r="E151" i="8" s="1"/>
  <c r="E152" i="8" s="1"/>
  <c r="E153" i="8" s="1"/>
  <c r="E154" i="8" s="1"/>
  <c r="E155" i="8" s="1"/>
  <c r="E156" i="8" s="1"/>
  <c r="E157" i="8" s="1"/>
  <c r="E158" i="8" s="1"/>
  <c r="E159" i="8" s="1"/>
  <c r="E160" i="8" s="1"/>
  <c r="E161" i="8" s="1"/>
  <c r="E162" i="8" s="1"/>
  <c r="E163" i="8" s="1"/>
  <c r="E164" i="8" s="1"/>
  <c r="E165" i="8" s="1"/>
  <c r="E166" i="8" s="1"/>
  <c r="E167" i="8" s="1"/>
  <c r="E168" i="8" s="1"/>
  <c r="E169" i="8" s="1"/>
  <c r="E170" i="8" s="1"/>
  <c r="E171" i="8" s="1"/>
  <c r="E172" i="8" s="1"/>
  <c r="E173" i="8" s="1"/>
  <c r="E174" i="8" s="1"/>
  <c r="E175" i="8" s="1"/>
  <c r="E176" i="8" s="1"/>
  <c r="E177" i="8" s="1"/>
  <c r="E178" i="8" s="1"/>
  <c r="E179" i="8" s="1"/>
  <c r="E180" i="8" s="1"/>
  <c r="E181" i="8" s="1"/>
  <c r="E182" i="8" s="1"/>
  <c r="E183" i="8" s="1"/>
  <c r="E184" i="8" s="1"/>
  <c r="E185" i="8" s="1"/>
  <c r="E186" i="8" s="1"/>
  <c r="E187" i="8" s="1"/>
  <c r="E188" i="8" s="1"/>
  <c r="E189" i="8" s="1"/>
  <c r="E190" i="8" s="1"/>
  <c r="E191" i="8" s="1"/>
  <c r="E192" i="8" s="1"/>
  <c r="E193" i="8" s="1"/>
  <c r="E194" i="8" s="1"/>
  <c r="E195" i="8" s="1"/>
  <c r="E196" i="8" s="1"/>
  <c r="E197" i="8" s="1"/>
  <c r="E198" i="8" s="1"/>
  <c r="E199" i="8" s="1"/>
  <c r="E200" i="8" s="1"/>
  <c r="E201" i="8" s="1"/>
  <c r="E202" i="8" s="1"/>
  <c r="E203" i="8" s="1"/>
  <c r="E204" i="8" s="1"/>
  <c r="E205" i="8" s="1"/>
  <c r="E206" i="8" s="1"/>
  <c r="E207" i="8" s="1"/>
  <c r="E208" i="8" s="1"/>
  <c r="E209" i="8" s="1"/>
  <c r="E210" i="8" s="1"/>
  <c r="E211" i="8" s="1"/>
  <c r="E212" i="8" s="1"/>
  <c r="E213" i="8" s="1"/>
  <c r="E214" i="8" s="1"/>
  <c r="E215" i="8" s="1"/>
  <c r="E216" i="8" s="1"/>
  <c r="E217" i="8" s="1"/>
  <c r="E218" i="8" s="1"/>
  <c r="E219" i="8" s="1"/>
  <c r="E220" i="8" s="1"/>
  <c r="E221" i="8" s="1"/>
  <c r="E222" i="8" s="1"/>
  <c r="E223" i="8" s="1"/>
  <c r="E224" i="8" s="1"/>
  <c r="E225" i="8" s="1"/>
  <c r="E226" i="8" s="1"/>
  <c r="E227" i="8" s="1"/>
  <c r="E228" i="8" s="1"/>
  <c r="E229" i="8" s="1"/>
  <c r="E230" i="8" s="1"/>
  <c r="E231" i="8" s="1"/>
  <c r="E232" i="8" s="1"/>
  <c r="E233" i="8" s="1"/>
  <c r="E234" i="8" s="1"/>
  <c r="E235" i="8" s="1"/>
  <c r="E236" i="8" s="1"/>
  <c r="E237" i="8" s="1"/>
  <c r="E238" i="8" s="1"/>
  <c r="E239" i="8" s="1"/>
  <c r="E240" i="8" s="1"/>
  <c r="E241" i="8" s="1"/>
  <c r="E242" i="8" s="1"/>
  <c r="E243" i="8" s="1"/>
  <c r="E244" i="8" s="1"/>
  <c r="E245" i="8" s="1"/>
  <c r="E246" i="8" s="1"/>
  <c r="E247" i="8" s="1"/>
  <c r="E248" i="8" s="1"/>
  <c r="E249" i="8" s="1"/>
  <c r="E250" i="8" s="1"/>
  <c r="E251" i="8" s="1"/>
  <c r="E252" i="8" s="1"/>
  <c r="E253" i="8" s="1"/>
  <c r="E254" i="8" s="1"/>
  <c r="E255" i="8" s="1"/>
  <c r="E256" i="8" s="1"/>
  <c r="E257" i="8" s="1"/>
  <c r="E258" i="8" s="1"/>
  <c r="E259" i="8" s="1"/>
  <c r="E260" i="8" s="1"/>
  <c r="E261" i="8" s="1"/>
  <c r="E262" i="8" s="1"/>
  <c r="E263" i="8" s="1"/>
  <c r="E264" i="8" s="1"/>
  <c r="E265" i="8" s="1"/>
  <c r="E266" i="8" s="1"/>
  <c r="E267" i="8" s="1"/>
  <c r="E268" i="8" s="1"/>
  <c r="E269" i="8" s="1"/>
  <c r="E270" i="8" s="1"/>
  <c r="E271" i="8" s="1"/>
  <c r="E272" i="8" s="1"/>
  <c r="E273" i="8" s="1"/>
  <c r="E274" i="8" s="1"/>
  <c r="E275" i="8" s="1"/>
  <c r="E276" i="8" s="1"/>
  <c r="E277" i="8" s="1"/>
  <c r="E278" i="8" s="1"/>
  <c r="E279" i="8" s="1"/>
  <c r="E280" i="8" s="1"/>
  <c r="E281" i="8" s="1"/>
  <c r="E282" i="8" s="1"/>
  <c r="E283" i="8" s="1"/>
  <c r="E284" i="8" s="1"/>
  <c r="E285" i="8" s="1"/>
  <c r="E286" i="8" s="1"/>
  <c r="E287" i="8" s="1"/>
  <c r="E288" i="8" s="1"/>
  <c r="E289" i="8" s="1"/>
  <c r="E290" i="8" s="1"/>
  <c r="E291" i="8" s="1"/>
  <c r="E292" i="8" s="1"/>
  <c r="E293" i="8" s="1"/>
  <c r="E294" i="8" s="1"/>
  <c r="E295" i="8" s="1"/>
  <c r="E296" i="8" s="1"/>
  <c r="E297" i="8" s="1"/>
  <c r="E298" i="8" s="1"/>
  <c r="E299" i="8" s="1"/>
  <c r="E300" i="8" s="1"/>
  <c r="E301" i="8" s="1"/>
  <c r="E302" i="8" s="1"/>
  <c r="E303" i="8" s="1"/>
  <c r="E304" i="8" s="1"/>
  <c r="E305" i="8" s="1"/>
  <c r="E306" i="8" s="1"/>
  <c r="E307" i="8" s="1"/>
  <c r="E308" i="8" s="1"/>
  <c r="E309" i="8" s="1"/>
  <c r="E310" i="8" s="1"/>
  <c r="E311" i="8" s="1"/>
  <c r="E312" i="8" s="1"/>
  <c r="E313" i="8" s="1"/>
  <c r="E314" i="8" s="1"/>
  <c r="E315" i="8" s="1"/>
  <c r="E316" i="8" s="1"/>
  <c r="E317" i="8" s="1"/>
  <c r="E318" i="8" s="1"/>
  <c r="E319" i="8" s="1"/>
  <c r="E320" i="8" s="1"/>
  <c r="E321" i="8" s="1"/>
  <c r="E322" i="8" s="1"/>
  <c r="E323" i="8" s="1"/>
  <c r="E324" i="8" s="1"/>
  <c r="E325" i="8" s="1"/>
  <c r="E326" i="8" s="1"/>
  <c r="E327" i="8" s="1"/>
  <c r="E328" i="8" s="1"/>
  <c r="E329" i="8" s="1"/>
  <c r="E330" i="8" s="1"/>
  <c r="E331" i="8" s="1"/>
  <c r="E332" i="8" s="1"/>
  <c r="E333" i="8" s="1"/>
  <c r="E334" i="8" s="1"/>
  <c r="E335" i="8" s="1"/>
  <c r="E336" i="8" s="1"/>
  <c r="E337" i="8" s="1"/>
  <c r="E338" i="8" s="1"/>
  <c r="E339" i="8" s="1"/>
  <c r="E340" i="8" s="1"/>
  <c r="E341" i="8" s="1"/>
  <c r="E342" i="8" s="1"/>
  <c r="E343" i="8" s="1"/>
  <c r="E344" i="8" s="1"/>
  <c r="E345" i="8" s="1"/>
  <c r="E346" i="8" s="1"/>
  <c r="E347" i="8" s="1"/>
  <c r="E348" i="8" s="1"/>
  <c r="E349" i="8" s="1"/>
  <c r="E350" i="8" s="1"/>
  <c r="E351" i="8" s="1"/>
  <c r="E352" i="8" s="1"/>
  <c r="E353" i="8" s="1"/>
  <c r="E354" i="8" s="1"/>
  <c r="E355" i="8" s="1"/>
  <c r="E356" i="8" s="1"/>
  <c r="E357" i="8" s="1"/>
  <c r="E358" i="8" s="1"/>
  <c r="E359" i="8" s="1"/>
  <c r="E360" i="8" s="1"/>
  <c r="E361" i="8" s="1"/>
  <c r="E362" i="8" s="1"/>
  <c r="E363" i="8" s="1"/>
  <c r="E364" i="8" s="1"/>
  <c r="E365" i="8" s="1"/>
  <c r="E366" i="8" s="1"/>
  <c r="E367" i="8" s="1"/>
  <c r="E368" i="8" s="1"/>
  <c r="E369" i="8" s="1"/>
  <c r="E370" i="8" s="1"/>
  <c r="E371" i="8" s="1"/>
  <c r="E372" i="8" s="1"/>
  <c r="E373" i="8" s="1"/>
  <c r="E374" i="8" s="1"/>
  <c r="E375" i="8" s="1"/>
  <c r="E376" i="8" s="1"/>
  <c r="E377" i="8" s="1"/>
  <c r="E378" i="8" s="1"/>
  <c r="E379" i="8" s="1"/>
  <c r="E380" i="8" s="1"/>
  <c r="E381" i="8" s="1"/>
  <c r="E382" i="8" s="1"/>
  <c r="E383" i="8" s="1"/>
  <c r="E384" i="8" s="1"/>
  <c r="E385" i="8" s="1"/>
  <c r="E386" i="8" s="1"/>
  <c r="E387" i="8" s="1"/>
  <c r="E388" i="8" s="1"/>
  <c r="E389" i="8" s="1"/>
  <c r="E390" i="8" s="1"/>
  <c r="E391" i="8" s="1"/>
  <c r="E392" i="8" s="1"/>
  <c r="E393" i="8" s="1"/>
  <c r="E394" i="8" s="1"/>
  <c r="E395" i="8" s="1"/>
  <c r="E396" i="8" s="1"/>
  <c r="E397" i="8" s="1"/>
  <c r="E398" i="8" s="1"/>
  <c r="E399" i="8" s="1"/>
  <c r="E400" i="8" s="1"/>
  <c r="E401" i="8" s="1"/>
  <c r="E402" i="8" s="1"/>
  <c r="E403" i="8" s="1"/>
  <c r="E404" i="8" s="1"/>
  <c r="E405" i="8" s="1"/>
  <c r="E406" i="8" s="1"/>
  <c r="E407" i="8" s="1"/>
  <c r="E408" i="8" s="1"/>
  <c r="E409" i="8" s="1"/>
  <c r="E410" i="8" s="1"/>
  <c r="E411" i="8" s="1"/>
  <c r="E412" i="8" s="1"/>
  <c r="E413" i="8" s="1"/>
  <c r="E414" i="8" s="1"/>
  <c r="E415" i="8" s="1"/>
  <c r="E416" i="8" s="1"/>
  <c r="E417" i="8" s="1"/>
  <c r="E418" i="8" s="1"/>
  <c r="E419" i="8" s="1"/>
  <c r="E420" i="8" s="1"/>
  <c r="E421" i="8" s="1"/>
  <c r="E422" i="8" s="1"/>
  <c r="E423" i="8" s="1"/>
  <c r="E424" i="8" s="1"/>
  <c r="E425" i="8" s="1"/>
  <c r="E426" i="8" s="1"/>
  <c r="E427" i="8" s="1"/>
  <c r="E428" i="8" s="1"/>
  <c r="E429" i="8" s="1"/>
  <c r="E430" i="8" s="1"/>
  <c r="E431" i="8" s="1"/>
  <c r="E432" i="8" s="1"/>
  <c r="E433" i="8" s="1"/>
  <c r="E434" i="8" s="1"/>
  <c r="E435" i="8" s="1"/>
  <c r="E436" i="8" s="1"/>
  <c r="E437" i="8" s="1"/>
  <c r="E438" i="8" s="1"/>
  <c r="E439" i="8" s="1"/>
  <c r="E440" i="8" s="1"/>
  <c r="E441" i="8" s="1"/>
  <c r="E442" i="8" s="1"/>
  <c r="E443" i="8" s="1"/>
  <c r="E444" i="8" s="1"/>
  <c r="E445" i="8" s="1"/>
  <c r="E446" i="8" s="1"/>
  <c r="E447" i="8" s="1"/>
  <c r="E448" i="8" s="1"/>
  <c r="E449" i="8" s="1"/>
  <c r="E450" i="8" s="1"/>
  <c r="E451" i="8" s="1"/>
  <c r="E452" i="8" s="1"/>
  <c r="E453" i="8" s="1"/>
  <c r="E454" i="8" s="1"/>
  <c r="E455" i="8" s="1"/>
  <c r="E456" i="8" s="1"/>
  <c r="E457" i="8" s="1"/>
  <c r="E458" i="8" s="1"/>
  <c r="E459" i="8" s="1"/>
  <c r="E460" i="8" s="1"/>
  <c r="E461" i="8" s="1"/>
  <c r="E462" i="8" s="1"/>
  <c r="E463" i="8" s="1"/>
  <c r="E464" i="8" s="1"/>
  <c r="E465" i="8" s="1"/>
  <c r="E466" i="8" s="1"/>
  <c r="E467" i="8" s="1"/>
  <c r="E468" i="8" s="1"/>
  <c r="E469" i="8" s="1"/>
  <c r="E470" i="8" s="1"/>
  <c r="E471" i="8" s="1"/>
  <c r="E472" i="8" s="1"/>
  <c r="E473" i="8" s="1"/>
  <c r="E474" i="8" s="1"/>
  <c r="E475" i="8" s="1"/>
  <c r="E476" i="8" s="1"/>
  <c r="E477" i="8" s="1"/>
  <c r="E478" i="8" s="1"/>
  <c r="E479" i="8" s="1"/>
  <c r="E480" i="8" s="1"/>
  <c r="E481" i="8" s="1"/>
  <c r="E482" i="8" s="1"/>
  <c r="E483" i="8" s="1"/>
  <c r="E484" i="8" s="1"/>
  <c r="E485" i="8" s="1"/>
  <c r="E486" i="8" s="1"/>
  <c r="E487" i="8" s="1"/>
  <c r="E488" i="8" s="1"/>
  <c r="E489" i="8" s="1"/>
  <c r="E490" i="8" s="1"/>
  <c r="E491" i="8" s="1"/>
  <c r="E492" i="8" s="1"/>
  <c r="E493" i="8" s="1"/>
  <c r="E494" i="8" s="1"/>
  <c r="E495" i="8" s="1"/>
  <c r="E496" i="8" s="1"/>
  <c r="E497" i="8" s="1"/>
  <c r="E498" i="8" s="1"/>
  <c r="E499" i="8" s="1"/>
  <c r="E500" i="8" s="1"/>
  <c r="E501" i="8" s="1"/>
  <c r="E502" i="8" s="1"/>
  <c r="E503" i="8" s="1"/>
  <c r="E504" i="8" s="1"/>
  <c r="E505" i="8" s="1"/>
  <c r="E506" i="8" s="1"/>
  <c r="E507" i="8" s="1"/>
  <c r="E508" i="8" s="1"/>
  <c r="E509" i="8" s="1"/>
  <c r="E510" i="8" s="1"/>
  <c r="E511" i="8" s="1"/>
  <c r="E512" i="8" s="1"/>
  <c r="E513" i="8" s="1"/>
  <c r="E514" i="8" s="1"/>
  <c r="E515" i="8" s="1"/>
  <c r="E516" i="8" s="1"/>
  <c r="E517" i="8" s="1"/>
  <c r="E518" i="8" s="1"/>
  <c r="E519" i="8" s="1"/>
  <c r="E520" i="8" s="1"/>
  <c r="E521" i="8" s="1"/>
  <c r="E522" i="8" s="1"/>
  <c r="E523" i="8" s="1"/>
  <c r="E524" i="8" s="1"/>
  <c r="E525" i="8" s="1"/>
  <c r="E526" i="8" s="1"/>
  <c r="E527" i="8" s="1"/>
  <c r="E528" i="8" s="1"/>
  <c r="E529" i="8" s="1"/>
  <c r="E530" i="8" s="1"/>
  <c r="E531" i="8" s="1"/>
  <c r="E532" i="8" s="1"/>
  <c r="E533" i="8" s="1"/>
  <c r="E534" i="8" s="1"/>
  <c r="E535" i="8" s="1"/>
  <c r="E536" i="8" s="1"/>
  <c r="E537" i="8" s="1"/>
  <c r="E538" i="8" s="1"/>
  <c r="E539" i="8" s="1"/>
  <c r="E540" i="8" s="1"/>
  <c r="E541" i="8" s="1"/>
  <c r="E542" i="8" s="1"/>
  <c r="E543" i="8" s="1"/>
  <c r="E544" i="8" s="1"/>
  <c r="E545" i="8" s="1"/>
  <c r="E546" i="8" s="1"/>
  <c r="E547" i="8" s="1"/>
  <c r="E548" i="8" s="1"/>
  <c r="E549" i="8" s="1"/>
  <c r="E550" i="8" s="1"/>
  <c r="E551" i="8" s="1"/>
  <c r="E552" i="8" s="1"/>
  <c r="E553" i="8" s="1"/>
  <c r="E554" i="8" s="1"/>
  <c r="E555" i="8" s="1"/>
  <c r="E556" i="8" s="1"/>
  <c r="E557" i="8" s="1"/>
  <c r="E558" i="8" s="1"/>
  <c r="E559" i="8" s="1"/>
  <c r="E560" i="8" s="1"/>
  <c r="E561" i="8" s="1"/>
  <c r="E562" i="8" s="1"/>
  <c r="E563" i="8" s="1"/>
  <c r="E564" i="8" s="1"/>
  <c r="E565" i="8" s="1"/>
  <c r="E566" i="8" s="1"/>
  <c r="E567" i="8" s="1"/>
  <c r="E568" i="8" s="1"/>
  <c r="E569" i="8" s="1"/>
  <c r="E570" i="8" s="1"/>
  <c r="E571" i="8" s="1"/>
  <c r="E572" i="8" s="1"/>
  <c r="E573" i="8" s="1"/>
  <c r="E574" i="8" s="1"/>
  <c r="E575" i="8" s="1"/>
  <c r="E576" i="8" s="1"/>
  <c r="E577" i="8" s="1"/>
  <c r="E578" i="8" s="1"/>
  <c r="E579" i="8" s="1"/>
  <c r="E580" i="8" s="1"/>
  <c r="E581" i="8" s="1"/>
  <c r="E582" i="8" s="1"/>
  <c r="E583" i="8" s="1"/>
  <c r="E584" i="8" s="1"/>
  <c r="E585" i="8" s="1"/>
  <c r="E586" i="8" s="1"/>
  <c r="E587" i="8" s="1"/>
  <c r="E588" i="8" s="1"/>
  <c r="E589" i="8" s="1"/>
  <c r="E590" i="8" s="1"/>
  <c r="E591" i="8" s="1"/>
  <c r="E592" i="8" s="1"/>
  <c r="E593" i="8" s="1"/>
  <c r="E594" i="8" s="1"/>
  <c r="E595" i="8" s="1"/>
  <c r="E596" i="8" s="1"/>
  <c r="E597" i="8" s="1"/>
  <c r="E598" i="8" s="1"/>
  <c r="E599" i="8" s="1"/>
  <c r="E600" i="8" s="1"/>
  <c r="E601" i="8" s="1"/>
  <c r="E602" i="8" s="1"/>
  <c r="E603" i="8" s="1"/>
  <c r="E604" i="8" s="1"/>
  <c r="E605" i="8" s="1"/>
  <c r="E606" i="8" s="1"/>
  <c r="E607" i="8" s="1"/>
  <c r="E608" i="8" s="1"/>
  <c r="E609" i="8" s="1"/>
  <c r="E610" i="8" s="1"/>
  <c r="E611" i="8" s="1"/>
  <c r="E612" i="8" s="1"/>
  <c r="E613" i="8" s="1"/>
  <c r="E614" i="8" s="1"/>
  <c r="E615" i="8" s="1"/>
  <c r="E616" i="8" s="1"/>
  <c r="E617" i="8" s="1"/>
  <c r="E618" i="8" s="1"/>
  <c r="E619" i="8" s="1"/>
  <c r="E620" i="8" s="1"/>
  <c r="E621" i="8" s="1"/>
  <c r="E622" i="8" s="1"/>
  <c r="E623" i="8" s="1"/>
  <c r="E624" i="8" s="1"/>
  <c r="E625" i="8" s="1"/>
  <c r="E626" i="8" s="1"/>
  <c r="E627" i="8" s="1"/>
  <c r="E628" i="8" s="1"/>
  <c r="E629" i="8" s="1"/>
  <c r="E630" i="8" s="1"/>
  <c r="E631" i="8" s="1"/>
  <c r="E632" i="8" s="1"/>
  <c r="E633" i="8" s="1"/>
  <c r="E634" i="8" s="1"/>
  <c r="E635" i="8" s="1"/>
  <c r="E636" i="8" s="1"/>
  <c r="E637" i="8" s="1"/>
  <c r="E638" i="8" s="1"/>
  <c r="E639" i="8" s="1"/>
  <c r="E640" i="8" s="1"/>
  <c r="E641" i="8" s="1"/>
  <c r="E642" i="8" s="1"/>
  <c r="E643" i="8" s="1"/>
  <c r="E644" i="8" s="1"/>
  <c r="E645" i="8" s="1"/>
  <c r="E646" i="8" s="1"/>
  <c r="E647" i="8" s="1"/>
  <c r="E648" i="8" s="1"/>
  <c r="E649" i="8" s="1"/>
  <c r="E650" i="8" s="1"/>
  <c r="E651" i="8" s="1"/>
  <c r="E652" i="8" s="1"/>
  <c r="E653" i="8" s="1"/>
  <c r="E654" i="8" s="1"/>
  <c r="E655" i="8" s="1"/>
  <c r="E656" i="8" s="1"/>
  <c r="E657" i="8" s="1"/>
  <c r="E658" i="8" s="1"/>
  <c r="E659" i="8" s="1"/>
  <c r="E660" i="8" s="1"/>
  <c r="E661" i="8" s="1"/>
  <c r="E662" i="8" s="1"/>
  <c r="E663" i="8" s="1"/>
  <c r="E664" i="8" s="1"/>
  <c r="E665" i="8" s="1"/>
  <c r="E666" i="8" s="1"/>
  <c r="E667" i="8" s="1"/>
  <c r="E668" i="8" s="1"/>
  <c r="E669" i="8" s="1"/>
  <c r="E670" i="8" s="1"/>
  <c r="E671" i="8" s="1"/>
  <c r="E672" i="8" s="1"/>
  <c r="E673" i="8" s="1"/>
  <c r="E674" i="8" s="1"/>
  <c r="E675" i="8" s="1"/>
  <c r="E676" i="8" s="1"/>
  <c r="E677" i="8" s="1"/>
  <c r="E678" i="8" s="1"/>
  <c r="E679" i="8" s="1"/>
  <c r="E680" i="8" s="1"/>
  <c r="E681" i="8" s="1"/>
  <c r="E682" i="8" s="1"/>
  <c r="E683" i="8" s="1"/>
  <c r="E684" i="8" s="1"/>
  <c r="E685" i="8" s="1"/>
  <c r="E686" i="8" s="1"/>
  <c r="E687" i="8" s="1"/>
  <c r="E688" i="8" s="1"/>
  <c r="E689" i="8" s="1"/>
  <c r="E690" i="8" s="1"/>
  <c r="E691" i="8" s="1"/>
  <c r="E692" i="8" s="1"/>
  <c r="E693" i="8" s="1"/>
  <c r="E694" i="8" s="1"/>
  <c r="E695" i="8" s="1"/>
  <c r="E696" i="8" s="1"/>
  <c r="E697" i="8" s="1"/>
  <c r="E698" i="8" s="1"/>
  <c r="E699" i="8" s="1"/>
  <c r="E700" i="8" s="1"/>
  <c r="E701" i="8" s="1"/>
  <c r="E702" i="8" s="1"/>
  <c r="E703" i="8" s="1"/>
  <c r="E704" i="8" s="1"/>
  <c r="E705" i="8" s="1"/>
  <c r="E706" i="8" s="1"/>
  <c r="E707" i="8" s="1"/>
  <c r="E708" i="8" s="1"/>
  <c r="E709" i="8" s="1"/>
  <c r="E710" i="8" s="1"/>
  <c r="E711" i="8" s="1"/>
  <c r="E712" i="8" s="1"/>
  <c r="E713" i="8" s="1"/>
  <c r="E714" i="8" s="1"/>
  <c r="E715" i="8" s="1"/>
  <c r="E716" i="8" s="1"/>
  <c r="E717" i="8" s="1"/>
  <c r="E718" i="8" s="1"/>
  <c r="E719" i="8" s="1"/>
  <c r="E720" i="8" s="1"/>
  <c r="E721" i="8" s="1"/>
  <c r="E722" i="8" s="1"/>
  <c r="E723" i="8" s="1"/>
  <c r="E724" i="8" s="1"/>
  <c r="E725" i="8" s="1"/>
  <c r="E726" i="8" s="1"/>
  <c r="E727" i="8" s="1"/>
  <c r="E728" i="8" s="1"/>
  <c r="E729" i="8" s="1"/>
  <c r="E730" i="8" s="1"/>
  <c r="E731" i="8" s="1"/>
  <c r="E732" i="8" s="1"/>
  <c r="E733" i="8" s="1"/>
  <c r="E734" i="8" s="1"/>
  <c r="E735" i="8" s="1"/>
  <c r="E736" i="8" s="1"/>
  <c r="E737" i="8" s="1"/>
  <c r="E738" i="8" s="1"/>
  <c r="E739" i="8" s="1"/>
  <c r="E740" i="8" s="1"/>
  <c r="E741" i="8" s="1"/>
  <c r="E742" i="8" s="1"/>
  <c r="E743" i="8" s="1"/>
  <c r="E744" i="8" s="1"/>
  <c r="E745" i="8" s="1"/>
  <c r="E746" i="8" s="1"/>
  <c r="E747" i="8" s="1"/>
  <c r="E748" i="8" s="1"/>
  <c r="E749" i="8" s="1"/>
  <c r="E750" i="8" s="1"/>
  <c r="E751" i="8" s="1"/>
  <c r="E752" i="8" s="1"/>
  <c r="E753" i="8" s="1"/>
  <c r="E754" i="8" s="1"/>
  <c r="E755" i="8" s="1"/>
  <c r="E756" i="8" s="1"/>
  <c r="E757" i="8" s="1"/>
  <c r="E758" i="8" s="1"/>
  <c r="E759" i="8" s="1"/>
  <c r="E760" i="8" s="1"/>
  <c r="E761" i="8" s="1"/>
  <c r="E762" i="8" s="1"/>
  <c r="E763" i="8" s="1"/>
  <c r="E764" i="8" s="1"/>
  <c r="E765" i="8" s="1"/>
  <c r="E766" i="8" s="1"/>
  <c r="E767" i="8" s="1"/>
  <c r="E768" i="8" s="1"/>
  <c r="E769" i="8" s="1"/>
  <c r="E770" i="8" s="1"/>
  <c r="E771" i="8" s="1"/>
  <c r="E772" i="8" s="1"/>
  <c r="E773" i="8" s="1"/>
  <c r="E774" i="8" s="1"/>
  <c r="E775" i="8" s="1"/>
  <c r="E776" i="8" s="1"/>
  <c r="E777" i="8" s="1"/>
  <c r="E778" i="8" s="1"/>
  <c r="E779" i="8" s="1"/>
  <c r="E780" i="8" s="1"/>
  <c r="E781" i="8" s="1"/>
  <c r="E782" i="8" s="1"/>
  <c r="E783" i="8" s="1"/>
  <c r="E784" i="8" s="1"/>
  <c r="E785" i="8" s="1"/>
  <c r="E786" i="8" s="1"/>
  <c r="E787" i="8" s="1"/>
  <c r="E788" i="8" s="1"/>
  <c r="E789" i="8" s="1"/>
  <c r="E790" i="8" s="1"/>
  <c r="E791" i="8" s="1"/>
  <c r="E792" i="8" s="1"/>
  <c r="E793" i="8" s="1"/>
  <c r="E794" i="8" s="1"/>
  <c r="E795" i="8" s="1"/>
  <c r="E796" i="8" s="1"/>
  <c r="E797" i="8" s="1"/>
  <c r="E798" i="8" s="1"/>
  <c r="E799" i="8" s="1"/>
  <c r="E800" i="8" s="1"/>
  <c r="E801" i="8" s="1"/>
  <c r="E802" i="8" s="1"/>
  <c r="E803" i="8" s="1"/>
  <c r="E804" i="8" s="1"/>
  <c r="E805" i="8" s="1"/>
  <c r="E806" i="8" s="1"/>
  <c r="E807" i="8" s="1"/>
  <c r="E808" i="8" s="1"/>
  <c r="E809" i="8" s="1"/>
  <c r="E810" i="8" s="1"/>
  <c r="E811" i="8" s="1"/>
  <c r="E812" i="8" s="1"/>
  <c r="E813" i="8" s="1"/>
  <c r="E814" i="8" s="1"/>
  <c r="E815" i="8" s="1"/>
  <c r="E816" i="8" s="1"/>
  <c r="E817" i="8" s="1"/>
  <c r="E818" i="8" s="1"/>
  <c r="E819" i="8" s="1"/>
  <c r="E820" i="8" s="1"/>
  <c r="E821" i="8" s="1"/>
  <c r="E822" i="8" s="1"/>
  <c r="E823" i="8" s="1"/>
  <c r="E824" i="8" s="1"/>
  <c r="E825" i="8" s="1"/>
  <c r="E826" i="8" s="1"/>
  <c r="E827" i="8" s="1"/>
  <c r="E828" i="8" s="1"/>
  <c r="E829" i="8" s="1"/>
  <c r="E830" i="8" s="1"/>
  <c r="E831" i="8" s="1"/>
  <c r="E832" i="8" s="1"/>
  <c r="E833" i="8" s="1"/>
  <c r="E834" i="8" s="1"/>
  <c r="E835" i="8" s="1"/>
  <c r="E836" i="8" s="1"/>
  <c r="E837" i="8" s="1"/>
  <c r="E838" i="8" s="1"/>
  <c r="E839" i="8" s="1"/>
  <c r="E840" i="8" s="1"/>
  <c r="E841" i="8" s="1"/>
  <c r="E842" i="8" s="1"/>
  <c r="E843" i="8" s="1"/>
  <c r="E844" i="8" s="1"/>
  <c r="E845" i="8" s="1"/>
  <c r="E846" i="8" s="1"/>
  <c r="E847" i="8" s="1"/>
  <c r="E848" i="8" s="1"/>
  <c r="E849" i="8" s="1"/>
  <c r="E850" i="8" s="1"/>
  <c r="E851" i="8" s="1"/>
  <c r="E852" i="8" s="1"/>
  <c r="E853" i="8" s="1"/>
  <c r="E854" i="8" s="1"/>
  <c r="E855" i="8" s="1"/>
  <c r="E856" i="8" s="1"/>
  <c r="E857" i="8" s="1"/>
  <c r="E858" i="8" s="1"/>
  <c r="E859" i="8" s="1"/>
  <c r="E860" i="8" s="1"/>
  <c r="E861" i="8" s="1"/>
  <c r="E862" i="8" s="1"/>
  <c r="E863" i="8" s="1"/>
  <c r="E864" i="8" s="1"/>
  <c r="E865" i="8" s="1"/>
  <c r="E866" i="8" s="1"/>
  <c r="E867" i="8" s="1"/>
  <c r="E868" i="8" s="1"/>
  <c r="E869" i="8" s="1"/>
  <c r="E870" i="8" s="1"/>
  <c r="E871" i="8" s="1"/>
  <c r="E872" i="8" s="1"/>
  <c r="E873" i="8" s="1"/>
  <c r="E874" i="8" s="1"/>
  <c r="E875" i="8" s="1"/>
  <c r="E876" i="8" s="1"/>
  <c r="E877" i="8" s="1"/>
  <c r="E878" i="8" s="1"/>
  <c r="E879" i="8" s="1"/>
  <c r="E880" i="8" s="1"/>
  <c r="E881" i="8" s="1"/>
  <c r="E882" i="8" s="1"/>
  <c r="E883" i="8" s="1"/>
  <c r="E884" i="8" s="1"/>
  <c r="E885" i="8" s="1"/>
  <c r="E886" i="8" s="1"/>
  <c r="E887" i="8" s="1"/>
  <c r="E888" i="8" s="1"/>
  <c r="E889" i="8" s="1"/>
  <c r="E890" i="8" s="1"/>
  <c r="E891" i="8" s="1"/>
  <c r="E892" i="8" s="1"/>
  <c r="E893" i="8" s="1"/>
  <c r="E894" i="8" s="1"/>
  <c r="E895" i="8" s="1"/>
  <c r="E896" i="8" s="1"/>
  <c r="E897" i="8" s="1"/>
  <c r="E898" i="8" s="1"/>
  <c r="E899" i="8" s="1"/>
  <c r="E900" i="8" s="1"/>
  <c r="E901" i="8" s="1"/>
  <c r="E902" i="8" s="1"/>
  <c r="E903" i="8" s="1"/>
  <c r="E904" i="8" s="1"/>
  <c r="E905" i="8" s="1"/>
  <c r="E906" i="8" s="1"/>
  <c r="E907" i="8" s="1"/>
  <c r="E908" i="8" s="1"/>
  <c r="E909" i="8" s="1"/>
  <c r="E910" i="8" s="1"/>
  <c r="E911" i="8" s="1"/>
  <c r="E912" i="8" s="1"/>
  <c r="E913" i="8" s="1"/>
  <c r="E914" i="8" s="1"/>
  <c r="E915" i="8" s="1"/>
  <c r="E916" i="8" s="1"/>
  <c r="E917" i="8" s="1"/>
  <c r="E918" i="8" s="1"/>
  <c r="E919" i="8" s="1"/>
  <c r="E920" i="8" s="1"/>
  <c r="E921" i="8" s="1"/>
  <c r="E922" i="8" s="1"/>
  <c r="E923" i="8" s="1"/>
  <c r="E924" i="8" s="1"/>
  <c r="E925" i="8" s="1"/>
  <c r="E926" i="8" s="1"/>
  <c r="E927" i="8" s="1"/>
  <c r="E928" i="8" s="1"/>
  <c r="E929" i="8" s="1"/>
  <c r="E930" i="8" s="1"/>
  <c r="E931" i="8" s="1"/>
  <c r="E932" i="8" s="1"/>
  <c r="E933" i="8" s="1"/>
  <c r="E934" i="8" s="1"/>
  <c r="E935" i="8" s="1"/>
  <c r="E936" i="8" s="1"/>
  <c r="E937" i="8" s="1"/>
  <c r="E938" i="8" s="1"/>
  <c r="E939" i="8" s="1"/>
  <c r="E940" i="8" s="1"/>
  <c r="E941" i="8" s="1"/>
  <c r="E942" i="8" s="1"/>
  <c r="E943" i="8" s="1"/>
  <c r="E944" i="8" s="1"/>
  <c r="E945" i="8" s="1"/>
  <c r="E946" i="8" s="1"/>
  <c r="E947" i="8" s="1"/>
  <c r="E948" i="8" s="1"/>
  <c r="E949" i="8" s="1"/>
  <c r="E950" i="8" s="1"/>
  <c r="E951" i="8" s="1"/>
  <c r="E952" i="8" s="1"/>
  <c r="E953" i="8" s="1"/>
  <c r="E954" i="8" s="1"/>
  <c r="E955" i="8" s="1"/>
  <c r="E956" i="8" s="1"/>
  <c r="E957" i="8" s="1"/>
  <c r="E958" i="8" s="1"/>
  <c r="E959" i="8" s="1"/>
  <c r="E960" i="8" s="1"/>
  <c r="E961" i="8" s="1"/>
  <c r="E962" i="8" s="1"/>
  <c r="E963" i="8" s="1"/>
  <c r="E964" i="8" s="1"/>
  <c r="E965" i="8" s="1"/>
  <c r="E966" i="8" s="1"/>
  <c r="E967" i="8" s="1"/>
  <c r="E968" i="8" s="1"/>
  <c r="E969" i="8" s="1"/>
  <c r="E970" i="8" s="1"/>
  <c r="E971" i="8" s="1"/>
  <c r="E972" i="8" s="1"/>
  <c r="E973" i="8" s="1"/>
  <c r="E974" i="8" s="1"/>
  <c r="E975" i="8" s="1"/>
  <c r="E976" i="8" s="1"/>
  <c r="E977" i="8" s="1"/>
  <c r="E978" i="8" s="1"/>
  <c r="E979" i="8" s="1"/>
  <c r="E980" i="8" s="1"/>
  <c r="E981" i="8" s="1"/>
  <c r="E982" i="8" s="1"/>
  <c r="E983" i="8" s="1"/>
  <c r="E984" i="8" s="1"/>
  <c r="E985" i="8" s="1"/>
  <c r="E986" i="8" s="1"/>
  <c r="E987" i="8" s="1"/>
  <c r="E988" i="8" s="1"/>
  <c r="E989" i="8" s="1"/>
  <c r="E990" i="8" s="1"/>
  <c r="E991" i="8" s="1"/>
  <c r="E992" i="8" s="1"/>
  <c r="E993" i="8" s="1"/>
  <c r="E994" i="8" s="1"/>
  <c r="E995" i="8" s="1"/>
  <c r="E996" i="8" s="1"/>
  <c r="E997" i="8" s="1"/>
  <c r="E998" i="8" s="1"/>
  <c r="E999" i="8" s="1"/>
  <c r="E1000" i="8" s="1"/>
  <c r="E1001" i="8" s="1"/>
  <c r="E1002" i="8" s="1"/>
  <c r="E1003" i="8" s="1"/>
  <c r="E1004" i="8" s="1"/>
  <c r="E1005" i="8" s="1"/>
  <c r="E1006" i="8" s="1"/>
  <c r="E1007" i="8" s="1"/>
  <c r="E1008" i="8" s="1"/>
  <c r="E1009" i="8" s="1"/>
  <c r="E1010" i="8" s="1"/>
  <c r="E1011" i="8" s="1"/>
  <c r="E1012" i="8" s="1"/>
  <c r="E1013" i="8" s="1"/>
  <c r="E1014" i="8" s="1"/>
  <c r="E1015" i="8" s="1"/>
  <c r="E1016" i="8" s="1"/>
  <c r="E1017" i="8" s="1"/>
  <c r="E1018" i="8" s="1"/>
  <c r="E1019" i="8" s="1"/>
  <c r="E1020" i="8" s="1"/>
  <c r="E1021" i="8" s="1"/>
  <c r="E1022" i="8" s="1"/>
  <c r="E1023" i="8" s="1"/>
  <c r="E1024" i="8" s="1"/>
  <c r="E1025" i="8" s="1"/>
  <c r="E1026" i="8" s="1"/>
  <c r="E1027" i="8" s="1"/>
  <c r="E1028" i="8" s="1"/>
  <c r="E1029" i="8" s="1"/>
  <c r="E1030" i="8" s="1"/>
  <c r="E1031" i="8" s="1"/>
  <c r="E1032" i="8" s="1"/>
  <c r="E1033" i="8" s="1"/>
  <c r="E1034" i="8" s="1"/>
  <c r="E1035" i="8" s="1"/>
  <c r="E1036" i="8" s="1"/>
  <c r="E1037" i="8" s="1"/>
  <c r="E1038" i="8" s="1"/>
  <c r="E1039" i="8" s="1"/>
  <c r="E1040" i="8" s="1"/>
  <c r="E1041" i="8" s="1"/>
  <c r="E1042" i="8" s="1"/>
  <c r="E1043" i="8" s="1"/>
  <c r="E1044" i="8" s="1"/>
  <c r="E1045" i="8" s="1"/>
  <c r="E1046" i="8" s="1"/>
  <c r="E1047" i="8" s="1"/>
  <c r="E1048" i="8" s="1"/>
  <c r="E1049" i="8" s="1"/>
  <c r="E1050" i="8" s="1"/>
  <c r="E1051" i="8" s="1"/>
  <c r="E1052" i="8" s="1"/>
  <c r="E1053" i="8" s="1"/>
  <c r="E1054" i="8" s="1"/>
  <c r="E1055" i="8" s="1"/>
  <c r="E1056" i="8" s="1"/>
  <c r="E1057" i="8" s="1"/>
  <c r="E1058" i="8" s="1"/>
  <c r="E1059" i="8" s="1"/>
  <c r="E1060" i="8" s="1"/>
  <c r="E1061" i="8" s="1"/>
  <c r="E1062" i="8" s="1"/>
  <c r="E1063" i="8" s="1"/>
  <c r="E1064" i="8" s="1"/>
  <c r="E1065" i="8" s="1"/>
  <c r="E1066" i="8" s="1"/>
  <c r="E1067" i="8" s="1"/>
  <c r="E1068" i="8" s="1"/>
  <c r="E1069" i="8" s="1"/>
  <c r="E1070" i="8" s="1"/>
  <c r="E1071" i="8" s="1"/>
  <c r="E1072" i="8" s="1"/>
  <c r="E1073" i="8" s="1"/>
  <c r="E1074" i="8" s="1"/>
  <c r="E1075" i="8" s="1"/>
  <c r="E1076" i="8" s="1"/>
  <c r="E1077" i="8" s="1"/>
  <c r="E1078" i="8" s="1"/>
  <c r="E1079" i="8" s="1"/>
  <c r="E1080" i="8" s="1"/>
  <c r="E1081" i="8" s="1"/>
  <c r="E1082" i="8" s="1"/>
  <c r="E1083" i="8" s="1"/>
  <c r="E1084" i="8" s="1"/>
  <c r="E1085" i="8" s="1"/>
  <c r="E1086" i="8" s="1"/>
  <c r="E1087" i="8" s="1"/>
  <c r="E1088" i="8" s="1"/>
  <c r="E1089" i="8" s="1"/>
  <c r="E1090" i="8" s="1"/>
  <c r="E1091" i="8" s="1"/>
  <c r="E1092" i="8" s="1"/>
  <c r="E1093" i="8" s="1"/>
  <c r="E1094" i="8" s="1"/>
  <c r="E1095" i="8" s="1"/>
  <c r="E1096" i="8" s="1"/>
  <c r="E1097" i="8" s="1"/>
  <c r="E1098" i="8" s="1"/>
  <c r="E1099" i="8" s="1"/>
  <c r="E1100" i="8" s="1"/>
  <c r="E1101" i="8" s="1"/>
  <c r="E1102" i="8" s="1"/>
  <c r="E1103" i="8" s="1"/>
  <c r="E1104" i="8" s="1"/>
  <c r="E1105" i="8" s="1"/>
  <c r="E1106" i="8" s="1"/>
  <c r="E1107" i="8" s="1"/>
  <c r="E1108" i="8" s="1"/>
  <c r="E1109" i="8" s="1"/>
  <c r="E1110" i="8" s="1"/>
  <c r="E1111" i="8" s="1"/>
  <c r="E1112" i="8" s="1"/>
  <c r="E1113" i="8" s="1"/>
  <c r="E1114" i="8" s="1"/>
  <c r="E1115" i="8" s="1"/>
  <c r="E1116" i="8" s="1"/>
  <c r="E1117" i="8" s="1"/>
  <c r="E1118" i="8" s="1"/>
  <c r="E1119" i="8" s="1"/>
  <c r="E1120" i="8" s="1"/>
  <c r="E1121" i="8" s="1"/>
  <c r="E1122" i="8" s="1"/>
  <c r="E1123" i="8" s="1"/>
  <c r="E1124" i="8" s="1"/>
  <c r="E1125" i="8" s="1"/>
  <c r="E1126" i="8" s="1"/>
  <c r="E1127" i="8" s="1"/>
  <c r="E1128" i="8" s="1"/>
  <c r="E1129" i="8" s="1"/>
  <c r="E1130" i="8" s="1"/>
  <c r="E1131" i="8" s="1"/>
  <c r="E1132" i="8" s="1"/>
  <c r="E1133" i="8" s="1"/>
  <c r="E1134" i="8" s="1"/>
  <c r="E1135" i="8" s="1"/>
  <c r="E1136" i="8" s="1"/>
  <c r="E1137" i="8" s="1"/>
  <c r="E1138" i="8" s="1"/>
  <c r="E1139" i="8" s="1"/>
  <c r="E1140" i="8" s="1"/>
  <c r="E1141" i="8" s="1"/>
  <c r="E1142" i="8" s="1"/>
  <c r="E1143" i="8" s="1"/>
  <c r="E1144" i="8" s="1"/>
  <c r="E1145" i="8" s="1"/>
  <c r="E1146" i="8" s="1"/>
  <c r="E1147" i="8" s="1"/>
  <c r="E1148" i="8" s="1"/>
  <c r="E1149" i="8" s="1"/>
  <c r="E1150" i="8" s="1"/>
  <c r="E1151" i="8" s="1"/>
  <c r="E1152" i="8" s="1"/>
  <c r="E1153" i="8" s="1"/>
  <c r="E1154" i="8" s="1"/>
  <c r="E1155" i="8" s="1"/>
  <c r="E1156" i="8" s="1"/>
  <c r="E1157" i="8" s="1"/>
  <c r="E1158" i="8" s="1"/>
  <c r="E1159" i="8" s="1"/>
  <c r="E1160" i="8" s="1"/>
  <c r="E1161" i="8" s="1"/>
  <c r="E1162" i="8" s="1"/>
  <c r="E1163" i="8" s="1"/>
  <c r="E1164" i="8" s="1"/>
  <c r="E1165" i="8" s="1"/>
  <c r="E1166" i="8" s="1"/>
  <c r="E1167" i="8" s="1"/>
  <c r="E1168" i="8" s="1"/>
  <c r="E1169" i="8" s="1"/>
  <c r="E1170" i="8" s="1"/>
  <c r="E1171" i="8" s="1"/>
  <c r="E1172" i="8" s="1"/>
  <c r="E1173" i="8" s="1"/>
  <c r="E1174" i="8" s="1"/>
  <c r="E1175" i="8" s="1"/>
  <c r="E1176" i="8" s="1"/>
  <c r="E1177" i="8" s="1"/>
  <c r="E1178" i="8" s="1"/>
  <c r="E1179" i="8" s="1"/>
  <c r="E1180" i="8" s="1"/>
  <c r="E1181" i="8" s="1"/>
  <c r="E1182" i="8" s="1"/>
  <c r="E1183" i="8" s="1"/>
  <c r="E1184" i="8" s="1"/>
  <c r="E1185" i="8" s="1"/>
  <c r="E1186" i="8" s="1"/>
  <c r="E1187" i="8" s="1"/>
  <c r="E1188" i="8" s="1"/>
  <c r="E1189" i="8" s="1"/>
  <c r="E1190" i="8" s="1"/>
  <c r="E1191" i="8" s="1"/>
  <c r="E1192" i="8" s="1"/>
  <c r="E1193" i="8" s="1"/>
  <c r="E1194" i="8" s="1"/>
  <c r="E1195" i="8" s="1"/>
  <c r="E1196" i="8" s="1"/>
  <c r="E1197" i="8" s="1"/>
  <c r="E1198" i="8" s="1"/>
  <c r="E1199" i="8" s="1"/>
  <c r="E1200" i="8" s="1"/>
  <c r="E1201" i="8" s="1"/>
  <c r="E1202" i="8" s="1"/>
  <c r="E1203" i="8" s="1"/>
  <c r="E1204" i="8" s="1"/>
  <c r="E1205" i="8" s="1"/>
  <c r="E1206" i="8" s="1"/>
  <c r="E1207" i="8" s="1"/>
  <c r="E1208" i="8" s="1"/>
  <c r="E1209" i="8" s="1"/>
  <c r="E1210" i="8" s="1"/>
  <c r="E1211" i="8" s="1"/>
  <c r="E1212" i="8" s="1"/>
  <c r="E1213" i="8" s="1"/>
  <c r="E1214" i="8" s="1"/>
  <c r="E1215" i="8" s="1"/>
  <c r="E1216" i="8" s="1"/>
  <c r="E1217" i="8" s="1"/>
  <c r="E1218" i="8" s="1"/>
  <c r="E1219" i="8" s="1"/>
  <c r="E1220" i="8" s="1"/>
  <c r="E1221" i="8" s="1"/>
  <c r="E1222" i="8" s="1"/>
  <c r="E1223" i="8" s="1"/>
  <c r="E1224" i="8" s="1"/>
  <c r="E1225" i="8" s="1"/>
  <c r="E1226" i="8" s="1"/>
  <c r="E1227" i="8" s="1"/>
  <c r="E1228" i="8" s="1"/>
  <c r="E1229" i="8" s="1"/>
  <c r="E1230" i="8" s="1"/>
  <c r="E1231" i="8" s="1"/>
  <c r="E1232" i="8" s="1"/>
  <c r="E1233" i="8" s="1"/>
  <c r="E1234" i="8" s="1"/>
  <c r="E1235" i="8" s="1"/>
  <c r="E1236" i="8" s="1"/>
  <c r="E1237" i="8" s="1"/>
  <c r="E1238" i="8" s="1"/>
  <c r="E1239" i="8" s="1"/>
  <c r="E1240" i="8" s="1"/>
  <c r="E1241" i="8" s="1"/>
  <c r="E1242" i="8" s="1"/>
  <c r="E1243" i="8" s="1"/>
  <c r="E1244" i="8" s="1"/>
  <c r="E1245" i="8" s="1"/>
  <c r="E1246" i="8" s="1"/>
  <c r="E1247" i="8" s="1"/>
  <c r="E1248" i="8" s="1"/>
  <c r="E1249" i="8" s="1"/>
  <c r="E1250" i="8" s="1"/>
  <c r="E1251" i="8" s="1"/>
  <c r="E1252" i="8" s="1"/>
  <c r="E1253" i="8" s="1"/>
  <c r="E1254" i="8" s="1"/>
  <c r="E1255" i="8" s="1"/>
  <c r="E1256" i="8" s="1"/>
  <c r="E1257" i="8" s="1"/>
  <c r="E1258" i="8" s="1"/>
  <c r="E1259" i="8" s="1"/>
  <c r="E1260" i="8" s="1"/>
  <c r="E1261" i="8" s="1"/>
  <c r="E1262" i="8" s="1"/>
  <c r="E1263" i="8" s="1"/>
  <c r="E1264" i="8" s="1"/>
  <c r="E1265" i="8" s="1"/>
  <c r="E1266" i="8" s="1"/>
  <c r="E1267" i="8" s="1"/>
  <c r="E1268" i="8" s="1"/>
  <c r="E1269" i="8" s="1"/>
  <c r="E1270" i="8" s="1"/>
  <c r="E1271" i="8" s="1"/>
  <c r="E1272" i="8" s="1"/>
  <c r="E1273" i="8" s="1"/>
  <c r="E1274" i="8" s="1"/>
  <c r="E1275" i="8" s="1"/>
  <c r="E1276" i="8" s="1"/>
  <c r="E1277" i="8" s="1"/>
  <c r="E1278" i="8" s="1"/>
  <c r="E1279" i="8" s="1"/>
  <c r="E1280" i="8" s="1"/>
  <c r="E1281" i="8" s="1"/>
  <c r="E1282" i="8" s="1"/>
  <c r="E1283" i="8" s="1"/>
  <c r="E1284" i="8" s="1"/>
  <c r="E1285" i="8" s="1"/>
  <c r="E1286" i="8" s="1"/>
  <c r="E1287" i="8" s="1"/>
  <c r="E1288" i="8" s="1"/>
  <c r="E1289" i="8" s="1"/>
  <c r="E1290" i="8" s="1"/>
  <c r="E1291" i="8" s="1"/>
  <c r="E1292" i="8" s="1"/>
  <c r="E1293" i="8" s="1"/>
  <c r="E1294" i="8" s="1"/>
  <c r="E1295" i="8" s="1"/>
  <c r="E1296" i="8" s="1"/>
  <c r="E1297" i="8" s="1"/>
  <c r="E1298" i="8" s="1"/>
  <c r="E1299" i="8" s="1"/>
  <c r="E1300" i="8" s="1"/>
  <c r="E1301" i="8" s="1"/>
  <c r="E1302" i="8" s="1"/>
  <c r="E1303" i="8" s="1"/>
  <c r="E1304" i="8" s="1"/>
  <c r="E1305" i="8" s="1"/>
  <c r="E1306" i="8" s="1"/>
  <c r="E1307" i="8" s="1"/>
  <c r="E1308" i="8" s="1"/>
  <c r="E1309" i="8" s="1"/>
  <c r="E1310" i="8" s="1"/>
  <c r="E1311" i="8" s="1"/>
  <c r="E1312" i="8" s="1"/>
  <c r="E1313" i="8" s="1"/>
  <c r="E1314" i="8" s="1"/>
  <c r="E1315" i="8" s="1"/>
  <c r="E1316" i="8" s="1"/>
  <c r="E1317" i="8" s="1"/>
  <c r="E1318" i="8" s="1"/>
  <c r="E1319" i="8" s="1"/>
  <c r="E1320" i="8" s="1"/>
  <c r="E1321" i="8" s="1"/>
  <c r="E1322" i="8" s="1"/>
  <c r="E1323" i="8" s="1"/>
  <c r="E1324" i="8" s="1"/>
  <c r="E1325" i="8" s="1"/>
  <c r="E1326" i="8" s="1"/>
  <c r="E1327" i="8" s="1"/>
  <c r="E1328" i="8" s="1"/>
  <c r="E1329" i="8" s="1"/>
  <c r="E1330" i="8" s="1"/>
  <c r="E1331" i="8" s="1"/>
  <c r="E1332" i="8" s="1"/>
  <c r="E1333" i="8" s="1"/>
  <c r="E1334" i="8" s="1"/>
  <c r="E1335" i="8" s="1"/>
  <c r="E1336" i="8" s="1"/>
  <c r="E1337" i="8" s="1"/>
  <c r="E1338" i="8" s="1"/>
  <c r="E1339" i="8" s="1"/>
  <c r="E1340" i="8" s="1"/>
  <c r="E1341" i="8" s="1"/>
  <c r="E1342" i="8" s="1"/>
  <c r="E1343" i="8" s="1"/>
  <c r="E1344" i="8" s="1"/>
  <c r="E1345" i="8" s="1"/>
  <c r="E1346" i="8" s="1"/>
  <c r="E1347" i="8" s="1"/>
  <c r="E1348" i="8" s="1"/>
  <c r="E1349" i="8" s="1"/>
  <c r="E1350" i="8" s="1"/>
  <c r="E1351" i="8" s="1"/>
  <c r="E1352" i="8" s="1"/>
  <c r="E1353" i="8" s="1"/>
  <c r="E1354" i="8" s="1"/>
  <c r="E1355" i="8" s="1"/>
  <c r="E1356" i="8" s="1"/>
  <c r="E1357" i="8" s="1"/>
  <c r="E1358" i="8" s="1"/>
  <c r="E1359" i="8" s="1"/>
  <c r="E1360" i="8" s="1"/>
  <c r="E1361" i="8" s="1"/>
  <c r="E1362" i="8" s="1"/>
  <c r="E1363" i="8" s="1"/>
  <c r="E1364" i="8" s="1"/>
  <c r="E1365" i="8" s="1"/>
  <c r="E1366" i="8" s="1"/>
  <c r="E1367" i="8" s="1"/>
  <c r="E1368" i="8" s="1"/>
  <c r="E1369" i="8" s="1"/>
  <c r="E1370" i="8" s="1"/>
  <c r="E1371" i="8" s="1"/>
  <c r="E1372" i="8" s="1"/>
  <c r="E1373" i="8" s="1"/>
  <c r="E1374" i="8" s="1"/>
  <c r="E1375" i="8" s="1"/>
  <c r="E1376" i="8" s="1"/>
  <c r="E1377" i="8" s="1"/>
  <c r="E1378" i="8" s="1"/>
  <c r="E1379" i="8" s="1"/>
  <c r="E1380" i="8" s="1"/>
  <c r="E1381" i="8" s="1"/>
  <c r="E1382" i="8" s="1"/>
  <c r="E1383" i="8" s="1"/>
  <c r="E1384" i="8" s="1"/>
  <c r="E1385" i="8" s="1"/>
  <c r="E1386" i="8" s="1"/>
  <c r="E1387" i="8" s="1"/>
  <c r="E1388" i="8" s="1"/>
  <c r="E1389" i="8" s="1"/>
  <c r="E1390" i="8" s="1"/>
  <c r="E1391" i="8" s="1"/>
  <c r="E1392" i="8" s="1"/>
  <c r="E1393" i="8" s="1"/>
  <c r="E1394" i="8" s="1"/>
  <c r="E1395" i="8" s="1"/>
  <c r="E1396" i="8" s="1"/>
  <c r="E1397" i="8" s="1"/>
  <c r="E1398" i="8" s="1"/>
  <c r="E1399" i="8" s="1"/>
  <c r="E1400" i="8" s="1"/>
  <c r="E1401" i="8" s="1"/>
  <c r="E1402" i="8" s="1"/>
  <c r="E1403" i="8" s="1"/>
  <c r="E1404" i="8" s="1"/>
  <c r="E1405" i="8" s="1"/>
  <c r="E1406" i="8" s="1"/>
  <c r="E1407" i="8" s="1"/>
  <c r="E1408" i="8" s="1"/>
  <c r="E1409" i="8" s="1"/>
  <c r="E1410" i="8" s="1"/>
  <c r="E1411" i="8" s="1"/>
  <c r="E1412" i="8" s="1"/>
  <c r="E1413" i="8" s="1"/>
  <c r="E1414" i="8" s="1"/>
  <c r="E1415" i="8" s="1"/>
  <c r="E1416" i="8" s="1"/>
  <c r="E1417" i="8" s="1"/>
  <c r="E1418" i="8" s="1"/>
  <c r="E1419" i="8" s="1"/>
  <c r="E1420" i="8" s="1"/>
  <c r="E1421" i="8" s="1"/>
  <c r="E1422" i="8" s="1"/>
  <c r="E1423" i="8" s="1"/>
  <c r="E1424" i="8" s="1"/>
  <c r="E1425" i="8" s="1"/>
  <c r="E1426" i="8" s="1"/>
  <c r="E1427" i="8" s="1"/>
  <c r="E1428" i="8" s="1"/>
  <c r="E1429" i="8" s="1"/>
  <c r="E1430" i="8" s="1"/>
  <c r="E1431" i="8" s="1"/>
  <c r="E1432" i="8" s="1"/>
  <c r="E1433" i="8" s="1"/>
  <c r="E1434" i="8" s="1"/>
  <c r="E1435" i="8" s="1"/>
  <c r="E1436" i="8" s="1"/>
  <c r="E1437" i="8" s="1"/>
  <c r="E1438" i="8" s="1"/>
  <c r="E1439" i="8" s="1"/>
  <c r="E1440" i="8" s="1"/>
  <c r="E1441" i="8" s="1"/>
  <c r="E1442" i="8" s="1"/>
  <c r="E1443" i="8" s="1"/>
  <c r="E1444" i="8" s="1"/>
  <c r="E1445" i="8" s="1"/>
  <c r="E1446" i="8" s="1"/>
  <c r="E1447" i="8" s="1"/>
  <c r="E1448" i="8" s="1"/>
  <c r="E1449" i="8" s="1"/>
  <c r="E1450" i="8" s="1"/>
  <c r="E1451" i="8" s="1"/>
  <c r="E1452" i="8" s="1"/>
  <c r="E1453" i="8" s="1"/>
  <c r="E1454" i="8" s="1"/>
  <c r="E1455" i="8" s="1"/>
  <c r="E1456" i="8" s="1"/>
  <c r="E1457" i="8" s="1"/>
  <c r="E1458" i="8" s="1"/>
  <c r="E1459" i="8" s="1"/>
  <c r="E1460" i="8" s="1"/>
  <c r="E1461" i="8" s="1"/>
  <c r="E1462" i="8" s="1"/>
  <c r="E1463" i="8" s="1"/>
  <c r="S227" i="3"/>
  <c r="T227" i="3" s="1"/>
  <c r="M227" i="3"/>
  <c r="R227" i="3" s="1"/>
  <c r="M123" i="2"/>
  <c r="R123" i="2" s="1"/>
  <c r="S123" i="2" s="1"/>
  <c r="T123" i="2" s="1"/>
  <c r="M216" i="3"/>
  <c r="R216" i="3" s="1"/>
  <c r="S216" i="3"/>
  <c r="T216" i="3" s="1"/>
  <c r="M483" i="2"/>
  <c r="R483" i="2" s="1"/>
  <c r="S483" i="2" s="1"/>
  <c r="T483" i="2" s="1"/>
  <c r="M215" i="2"/>
  <c r="R215" i="2" s="1"/>
  <c r="S215" i="2" s="1"/>
  <c r="T215" i="2" s="1"/>
  <c r="M312" i="2"/>
  <c r="R312" i="2" s="1"/>
  <c r="S312" i="2" s="1"/>
  <c r="T312" i="2" s="1"/>
  <c r="M698" i="2"/>
  <c r="R698" i="2" s="1"/>
  <c r="S698" i="2" s="1"/>
  <c r="T698" i="2" s="1"/>
  <c r="G1085" i="8"/>
  <c r="S20" i="3"/>
  <c r="T20" i="3" s="1"/>
  <c r="M20" i="3"/>
  <c r="R20" i="3" s="1"/>
  <c r="M480" i="2"/>
  <c r="R480" i="2" s="1"/>
  <c r="S480" i="2" s="1"/>
  <c r="T480" i="2" s="1"/>
  <c r="M131" i="2"/>
  <c r="R131" i="2" s="1"/>
  <c r="S131" i="2" s="1"/>
  <c r="T131" i="2" s="1"/>
  <c r="S26" i="3"/>
  <c r="T26" i="3" s="1"/>
  <c r="M26" i="3"/>
  <c r="R26" i="3" s="1"/>
  <c r="M1160" i="2"/>
  <c r="M771" i="3"/>
  <c r="R771" i="3" s="1"/>
  <c r="S771" i="3" s="1"/>
  <c r="T771" i="3" s="1"/>
  <c r="M22" i="3"/>
  <c r="R22" i="3" s="1"/>
  <c r="S22" i="3" s="1"/>
  <c r="T22" i="3" s="1"/>
  <c r="M257" i="3"/>
  <c r="R257" i="3" s="1"/>
  <c r="S257" i="3"/>
  <c r="T257" i="3" s="1"/>
  <c r="M224" i="3"/>
  <c r="R224" i="3" s="1"/>
  <c r="S224" i="3"/>
  <c r="T224" i="3" s="1"/>
  <c r="M1048" i="2"/>
  <c r="R1048" i="2" s="1"/>
  <c r="S1048" i="2" s="1"/>
  <c r="T1048" i="2" s="1"/>
  <c r="M333" i="3"/>
  <c r="R333" i="3" s="1"/>
  <c r="S333" i="3" s="1"/>
  <c r="T333" i="3" s="1"/>
  <c r="S545" i="3"/>
  <c r="T545" i="3" s="1"/>
  <c r="M545" i="3"/>
  <c r="R545" i="3" s="1"/>
  <c r="M1217" i="2"/>
  <c r="R1217" i="2" s="1"/>
  <c r="S1217" i="2"/>
  <c r="T1217" i="2" s="1"/>
  <c r="M491" i="3"/>
  <c r="R491" i="3" s="1"/>
  <c r="S491" i="3"/>
  <c r="T491" i="3" s="1"/>
  <c r="S324" i="3"/>
  <c r="T324" i="3" s="1"/>
  <c r="M324" i="3"/>
  <c r="R324" i="3" s="1"/>
  <c r="M1223" i="2"/>
  <c r="R1223" i="2" s="1"/>
  <c r="S1223" i="2"/>
  <c r="T1223" i="2" s="1"/>
  <c r="M692" i="2"/>
  <c r="R692" i="2" s="1"/>
  <c r="S692" i="2" s="1"/>
  <c r="T692" i="2" s="1"/>
  <c r="S270" i="3"/>
  <c r="T270" i="3" s="1"/>
  <c r="M270" i="3"/>
  <c r="R270" i="3" s="1"/>
  <c r="M747" i="2"/>
  <c r="R747" i="2" s="1"/>
  <c r="S747" i="2"/>
  <c r="T747" i="2" s="1"/>
  <c r="S628" i="3"/>
  <c r="T628" i="3" s="1"/>
  <c r="M628" i="3"/>
  <c r="R628" i="3" s="1"/>
  <c r="S201" i="3"/>
  <c r="T201" i="3" s="1"/>
  <c r="M201" i="3"/>
  <c r="R201" i="3" s="1"/>
  <c r="G1217" i="8"/>
  <c r="G1015" i="8"/>
  <c r="S217" i="3"/>
  <c r="T217" i="3" s="1"/>
  <c r="M217" i="3"/>
  <c r="R217" i="3" s="1"/>
  <c r="M317" i="3"/>
  <c r="R317" i="3" s="1"/>
  <c r="S317" i="3" s="1"/>
  <c r="T317" i="3" s="1"/>
  <c r="M201" i="2"/>
  <c r="R201" i="2" s="1"/>
  <c r="S201" i="2"/>
  <c r="T201" i="2" s="1"/>
  <c r="M522" i="2"/>
  <c r="R522" i="2" s="1"/>
  <c r="S522" i="2"/>
  <c r="T522" i="2" s="1"/>
  <c r="M643" i="2"/>
  <c r="R643" i="2" s="1"/>
  <c r="S643" i="2" s="1"/>
  <c r="T643" i="2" s="1"/>
  <c r="U302" i="2"/>
  <c r="G518" i="8"/>
  <c r="S158" i="3"/>
  <c r="T158" i="3" s="1"/>
  <c r="M158" i="3"/>
  <c r="R158" i="3" s="1"/>
  <c r="M111" i="2"/>
  <c r="R111" i="2" s="1"/>
  <c r="S111" i="2" s="1"/>
  <c r="T111" i="2" s="1"/>
  <c r="M705" i="2"/>
  <c r="R705" i="2" s="1"/>
  <c r="S705" i="2"/>
  <c r="T705" i="2" s="1"/>
  <c r="S454" i="2"/>
  <c r="T454" i="2" s="1"/>
  <c r="M454" i="2"/>
  <c r="R454" i="2" s="1"/>
  <c r="G764" i="8"/>
  <c r="S172" i="2"/>
  <c r="T172" i="2" s="1"/>
  <c r="M172" i="2"/>
  <c r="R172" i="2" s="1"/>
  <c r="M332" i="3"/>
  <c r="R332" i="3" s="1"/>
  <c r="S332" i="3" s="1"/>
  <c r="T332" i="3" s="1"/>
  <c r="M519" i="3"/>
  <c r="R519" i="3" s="1"/>
  <c r="S519" i="3"/>
  <c r="T519" i="3" s="1"/>
  <c r="M255" i="3"/>
  <c r="R255" i="3" s="1"/>
  <c r="S255" i="3"/>
  <c r="T255" i="3" s="1"/>
  <c r="M294" i="3"/>
  <c r="R294" i="3" s="1"/>
  <c r="S294" i="3" s="1"/>
  <c r="T294" i="3" s="1"/>
  <c r="M575" i="3"/>
  <c r="R575" i="3" s="1"/>
  <c r="S575" i="3"/>
  <c r="T575" i="3" s="1"/>
  <c r="T156" i="3"/>
  <c r="M670" i="2"/>
  <c r="R670" i="2" s="1"/>
  <c r="S670" i="2" s="1"/>
  <c r="T670" i="2" s="1"/>
  <c r="S198" i="3"/>
  <c r="T198" i="3" s="1"/>
  <c r="M198" i="3"/>
  <c r="R198" i="3" s="1"/>
  <c r="M921" i="2"/>
  <c r="R921" i="2" s="1"/>
  <c r="S921" i="2" s="1"/>
  <c r="T921" i="2" s="1"/>
  <c r="M225" i="3"/>
  <c r="R225" i="3" s="1"/>
  <c r="S225" i="3"/>
  <c r="T225" i="3" s="1"/>
  <c r="S791" i="2"/>
  <c r="T791" i="2" s="1"/>
  <c r="M791" i="2"/>
  <c r="R791" i="2" s="1"/>
  <c r="S346" i="2"/>
  <c r="T346" i="2" s="1"/>
  <c r="M346" i="2"/>
  <c r="R346" i="2" s="1"/>
  <c r="M711" i="3"/>
  <c r="R711" i="3" s="1"/>
  <c r="S711" i="3"/>
  <c r="T711" i="3" s="1"/>
  <c r="S419" i="3"/>
  <c r="T419" i="3" s="1"/>
  <c r="M419" i="3"/>
  <c r="R419" i="3" s="1"/>
  <c r="M631" i="2"/>
  <c r="R631" i="2" s="1"/>
  <c r="S631" i="2" s="1"/>
  <c r="T631" i="2" s="1"/>
  <c r="S683" i="2"/>
  <c r="T683" i="2" s="1"/>
  <c r="G662" i="8"/>
  <c r="G43" i="8"/>
  <c r="S693" i="2"/>
  <c r="T693" i="2" s="1"/>
  <c r="M693" i="2"/>
  <c r="R693" i="2" s="1"/>
  <c r="M200" i="2"/>
  <c r="R200" i="2" s="1"/>
  <c r="S200" i="2" s="1"/>
  <c r="T200" i="2" s="1"/>
  <c r="M571" i="2"/>
  <c r="R571" i="2" s="1"/>
  <c r="S571" i="2" s="1"/>
  <c r="T571" i="2" s="1"/>
  <c r="M476" i="3"/>
  <c r="R476" i="3" s="1"/>
  <c r="S476" i="3" s="1"/>
  <c r="T476" i="3" s="1"/>
  <c r="S246" i="3"/>
  <c r="T246" i="3" s="1"/>
  <c r="M246" i="3"/>
  <c r="R246" i="3" s="1"/>
  <c r="M451" i="3"/>
  <c r="R451" i="3" s="1"/>
  <c r="S451" i="3" s="1"/>
  <c r="T451" i="3" s="1"/>
  <c r="T188" i="3"/>
  <c r="M1159" i="2"/>
  <c r="R1159" i="2" s="1"/>
  <c r="S1159" i="2" s="1"/>
  <c r="T1159" i="2" s="1"/>
  <c r="M319" i="3"/>
  <c r="R319" i="3" s="1"/>
  <c r="S319" i="3" s="1"/>
  <c r="T319" i="3" s="1"/>
  <c r="V849" i="2"/>
  <c r="U13" i="3"/>
  <c r="S96" i="2"/>
  <c r="T96" i="2" s="1"/>
  <c r="M96" i="2"/>
  <c r="R96" i="2" s="1"/>
  <c r="S1023" i="2"/>
  <c r="T1023" i="2" s="1"/>
  <c r="M1023" i="2"/>
  <c r="R1023" i="2" s="1"/>
  <c r="S147" i="3"/>
  <c r="T147" i="3" s="1"/>
  <c r="M147" i="3"/>
  <c r="R147" i="3" s="1"/>
  <c r="V469" i="2"/>
  <c r="M37" i="3"/>
  <c r="R37" i="3" s="1"/>
  <c r="S37" i="3" s="1"/>
  <c r="T37" i="3" s="1"/>
  <c r="S725" i="3"/>
  <c r="T725" i="3" s="1"/>
  <c r="M725" i="3"/>
  <c r="R725" i="3" s="1"/>
  <c r="G230" i="8"/>
  <c r="S702" i="2"/>
  <c r="T702" i="2" s="1"/>
  <c r="S430" i="2"/>
  <c r="T430" i="2" s="1"/>
  <c r="M430" i="2"/>
  <c r="R430" i="2" s="1"/>
  <c r="M53" i="3"/>
  <c r="R53" i="3" s="1"/>
  <c r="S53" i="3"/>
  <c r="T53" i="3" s="1"/>
  <c r="S47" i="2"/>
  <c r="T47" i="2" s="1"/>
  <c r="M47" i="2"/>
  <c r="R47" i="2" s="1"/>
  <c r="L398" i="5"/>
  <c r="Q397" i="5"/>
  <c r="S569" i="3"/>
  <c r="T569" i="3" s="1"/>
  <c r="M569" i="3"/>
  <c r="R569" i="3" s="1"/>
  <c r="M499" i="3"/>
  <c r="R499" i="3" s="1"/>
  <c r="S499" i="3" s="1"/>
  <c r="T499" i="3" s="1"/>
  <c r="U1073" i="2"/>
  <c r="S309" i="3"/>
  <c r="T309" i="3" s="1"/>
  <c r="M309" i="3"/>
  <c r="R309" i="3" s="1"/>
  <c r="S789" i="3"/>
  <c r="T789" i="3" s="1"/>
  <c r="M789" i="3"/>
  <c r="R789" i="3" s="1"/>
  <c r="G807" i="8"/>
  <c r="G1000" i="8"/>
  <c r="S10" i="3"/>
  <c r="T10" i="3" s="1"/>
  <c r="M10" i="3"/>
  <c r="R10" i="3" s="1"/>
  <c r="S377" i="3"/>
  <c r="T377" i="3" s="1"/>
  <c r="M377" i="3"/>
  <c r="R377" i="3" s="1"/>
  <c r="M478" i="2"/>
  <c r="R478" i="2" s="1"/>
  <c r="S478" i="2" s="1"/>
  <c r="T478" i="2" s="1"/>
  <c r="M117" i="2"/>
  <c r="R117" i="2" s="1"/>
  <c r="S117" i="2" s="1"/>
  <c r="T117" i="2" s="1"/>
  <c r="M454" i="3"/>
  <c r="R454" i="3" s="1"/>
  <c r="S454" i="3" s="1"/>
  <c r="T454" i="3" s="1"/>
  <c r="M411" i="2"/>
  <c r="R411" i="2" s="1"/>
  <c r="S411" i="2" s="1"/>
  <c r="T411" i="2" s="1"/>
  <c r="G20" i="8"/>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 r="H1377" i="8" s="1"/>
  <c r="H1378" i="8" s="1"/>
  <c r="H1379" i="8" s="1"/>
  <c r="H1380" i="8" s="1"/>
  <c r="H1381" i="8" s="1"/>
  <c r="H1382" i="8" s="1"/>
  <c r="H1383" i="8" s="1"/>
  <c r="H1384" i="8" s="1"/>
  <c r="H1385" i="8" s="1"/>
  <c r="H1386" i="8" s="1"/>
  <c r="H1387" i="8" s="1"/>
  <c r="H1388" i="8" s="1"/>
  <c r="H1389" i="8" s="1"/>
  <c r="H1390" i="8" s="1"/>
  <c r="H1391" i="8" s="1"/>
  <c r="H1392" i="8" s="1"/>
  <c r="H1393" i="8" s="1"/>
  <c r="H1394" i="8" s="1"/>
  <c r="H1395" i="8" s="1"/>
  <c r="H1396" i="8" s="1"/>
  <c r="H1397" i="8" s="1"/>
  <c r="H1398" i="8" s="1"/>
  <c r="H1399" i="8" s="1"/>
  <c r="H1400" i="8" s="1"/>
  <c r="H1401" i="8" s="1"/>
  <c r="H1402" i="8" s="1"/>
  <c r="H1403" i="8" s="1"/>
  <c r="H1404" i="8" s="1"/>
  <c r="H1405" i="8" s="1"/>
  <c r="H1406" i="8" s="1"/>
  <c r="H1407" i="8" s="1"/>
  <c r="H1408" i="8" s="1"/>
  <c r="H1409" i="8" s="1"/>
  <c r="H1410" i="8" s="1"/>
  <c r="H1411" i="8" s="1"/>
  <c r="H1412" i="8" s="1"/>
  <c r="H1413" i="8" s="1"/>
  <c r="H1414" i="8" s="1"/>
  <c r="H1415" i="8" s="1"/>
  <c r="H1416" i="8" s="1"/>
  <c r="H1417" i="8" s="1"/>
  <c r="H1418" i="8" s="1"/>
  <c r="H1419" i="8" s="1"/>
  <c r="H1420" i="8" s="1"/>
  <c r="H1421" i="8" s="1"/>
  <c r="H1422" i="8" s="1"/>
  <c r="H1423" i="8" s="1"/>
  <c r="H1424" i="8" s="1"/>
  <c r="H1425" i="8" s="1"/>
  <c r="H1426" i="8" s="1"/>
  <c r="H1427" i="8" s="1"/>
  <c r="H1428" i="8" s="1"/>
  <c r="H1429" i="8" s="1"/>
  <c r="H1430" i="8" s="1"/>
  <c r="H1431" i="8" s="1"/>
  <c r="H1432" i="8" s="1"/>
  <c r="H1433" i="8" s="1"/>
  <c r="H1434" i="8" s="1"/>
  <c r="H1435" i="8" s="1"/>
  <c r="H1436" i="8" s="1"/>
  <c r="H1437" i="8" s="1"/>
  <c r="H1438" i="8" s="1"/>
  <c r="H1439" i="8" s="1"/>
  <c r="H1440" i="8" s="1"/>
  <c r="H1441" i="8" s="1"/>
  <c r="H1442" i="8" s="1"/>
  <c r="H1443" i="8" s="1"/>
  <c r="H1444" i="8" s="1"/>
  <c r="H1445" i="8" s="1"/>
  <c r="H1446" i="8" s="1"/>
  <c r="H1447" i="8" s="1"/>
  <c r="H1448" i="8" s="1"/>
  <c r="H1449" i="8" s="1"/>
  <c r="H1450" i="8" s="1"/>
  <c r="H1451" i="8" s="1"/>
  <c r="H1452" i="8" s="1"/>
  <c r="H1453" i="8" s="1"/>
  <c r="H1454" i="8" s="1"/>
  <c r="H1455" i="8" s="1"/>
  <c r="H1456" i="8" s="1"/>
  <c r="H1457" i="8" s="1"/>
  <c r="H1458" i="8" s="1"/>
  <c r="H1459" i="8" s="1"/>
  <c r="H1460" i="8" s="1"/>
  <c r="H1461" i="8" s="1"/>
  <c r="H1462" i="8" s="1"/>
  <c r="H1463" i="8" s="1"/>
  <c r="M1019" i="2"/>
  <c r="R1019" i="2" s="1"/>
  <c r="S1019" i="2" s="1"/>
  <c r="T1019" i="2" s="1"/>
  <c r="S594" i="3"/>
  <c r="T594" i="3" s="1"/>
  <c r="M594" i="3"/>
  <c r="R594" i="3" s="1"/>
  <c r="S183" i="2"/>
  <c r="T183" i="2" s="1"/>
  <c r="M183" i="2"/>
  <c r="R183" i="2" s="1"/>
  <c r="M428" i="2"/>
  <c r="R428" i="2" s="1"/>
  <c r="S428" i="2"/>
  <c r="T428" i="2" s="1"/>
  <c r="R205" i="2"/>
  <c r="S205" i="2" s="1"/>
  <c r="T205" i="2" s="1"/>
  <c r="M168" i="2"/>
  <c r="R168" i="2" s="1"/>
  <c r="S168" i="2"/>
  <c r="T168" i="2" s="1"/>
  <c r="S259" i="2"/>
  <c r="T259" i="2" s="1"/>
  <c r="M1157" i="2"/>
  <c r="R1157" i="2" s="1"/>
  <c r="S1157" i="2" s="1"/>
  <c r="T1157" i="2" s="1"/>
  <c r="V359" i="2"/>
  <c r="S415" i="2"/>
  <c r="T415" i="2" s="1"/>
  <c r="M1073" i="2"/>
  <c r="R1073" i="2" s="1"/>
  <c r="S1073" i="2"/>
  <c r="T1073" i="2" s="1"/>
  <c r="S453" i="3"/>
  <c r="T453" i="3" s="1"/>
  <c r="M453" i="3"/>
  <c r="R453" i="3" s="1"/>
  <c r="G989" i="8"/>
  <c r="S593" i="3"/>
  <c r="T593" i="3" s="1"/>
  <c r="M593" i="3"/>
  <c r="R593" i="3" s="1"/>
  <c r="S178" i="3"/>
  <c r="T178" i="3" s="1"/>
  <c r="M178" i="3"/>
  <c r="R178" i="3" s="1"/>
  <c r="M306" i="3"/>
  <c r="R306" i="3" s="1"/>
  <c r="S306" i="3" s="1"/>
  <c r="T306" i="3" s="1"/>
  <c r="S694" i="3"/>
  <c r="T694" i="3" s="1"/>
  <c r="U694" i="3" s="1"/>
  <c r="M694" i="3"/>
  <c r="R694" i="3" s="1"/>
  <c r="M448" i="3"/>
  <c r="R448" i="3" s="1"/>
  <c r="S448" i="3" s="1"/>
  <c r="T448" i="3" s="1"/>
  <c r="M602" i="3"/>
  <c r="R602" i="3" s="1"/>
  <c r="S602" i="3" s="1"/>
  <c r="T602" i="3" s="1"/>
  <c r="S136" i="3"/>
  <c r="T136" i="3" s="1"/>
  <c r="M136" i="3"/>
  <c r="R136" i="3" s="1"/>
  <c r="M938" i="2"/>
  <c r="R938" i="2" s="1"/>
  <c r="S938" i="2"/>
  <c r="T938" i="2" s="1"/>
  <c r="S611" i="2"/>
  <c r="T611" i="2" s="1"/>
  <c r="M611" i="2"/>
  <c r="R611" i="2" s="1"/>
  <c r="M155" i="3"/>
  <c r="R155" i="3" s="1"/>
  <c r="S155" i="3"/>
  <c r="T155" i="3" s="1"/>
  <c r="G296" i="8"/>
  <c r="M800" i="3"/>
  <c r="R800" i="3" s="1"/>
  <c r="S800" i="3" s="1"/>
  <c r="T800" i="3" s="1"/>
  <c r="M56" i="3"/>
  <c r="R56" i="3" s="1"/>
  <c r="S56" i="3" s="1"/>
  <c r="T56" i="3" s="1"/>
  <c r="S452" i="2"/>
  <c r="T452" i="2" s="1"/>
  <c r="M452" i="2"/>
  <c r="R452" i="2" s="1"/>
  <c r="M408" i="2"/>
  <c r="R408" i="2" s="1"/>
  <c r="S408" i="2" s="1"/>
  <c r="T408" i="2" s="1"/>
  <c r="P1238" i="2"/>
  <c r="M497" i="2"/>
  <c r="R497" i="2" s="1"/>
  <c r="S497" i="2" s="1"/>
  <c r="T497" i="2" s="1"/>
  <c r="G57" i="8"/>
  <c r="S485" i="2"/>
  <c r="T485" i="2" s="1"/>
  <c r="M485" i="2"/>
  <c r="R485" i="2" s="1"/>
  <c r="S175" i="3"/>
  <c r="T175" i="3" s="1"/>
  <c r="M175" i="3"/>
  <c r="R175" i="3" s="1"/>
  <c r="S396" i="3"/>
  <c r="T396" i="3" s="1"/>
  <c r="M396" i="3"/>
  <c r="R396" i="3" s="1"/>
  <c r="M62" i="3"/>
  <c r="R62" i="3" s="1"/>
  <c r="S62" i="3"/>
  <c r="T62" i="3" s="1"/>
  <c r="M769" i="3"/>
  <c r="R769" i="3" s="1"/>
  <c r="S769" i="3" s="1"/>
  <c r="T769" i="3" s="1"/>
  <c r="S173" i="3"/>
  <c r="T173" i="3" s="1"/>
  <c r="M173" i="3"/>
  <c r="R173" i="3" s="1"/>
  <c r="G685" i="8"/>
  <c r="S395" i="3"/>
  <c r="T395" i="3" s="1"/>
  <c r="M395" i="3"/>
  <c r="R395" i="3" s="1"/>
  <c r="S356" i="3"/>
  <c r="T356" i="3" s="1"/>
  <c r="M356" i="3"/>
  <c r="R356" i="3" s="1"/>
  <c r="M298" i="2"/>
  <c r="R298" i="2" s="1"/>
  <c r="S298" i="2"/>
  <c r="T298" i="2" s="1"/>
  <c r="M107" i="2"/>
  <c r="R107" i="2" s="1"/>
  <c r="S107" i="2" s="1"/>
  <c r="T107" i="2" s="1"/>
  <c r="M934" i="2"/>
  <c r="R934" i="2" s="1"/>
  <c r="S934" i="2" s="1"/>
  <c r="T934" i="2" s="1"/>
  <c r="S159" i="2"/>
  <c r="T159" i="2" s="1"/>
  <c r="M159" i="2"/>
  <c r="R159" i="2" s="1"/>
  <c r="M1005" i="2"/>
  <c r="R1005" i="2" s="1"/>
  <c r="S1005" i="2" s="1"/>
  <c r="T1005" i="2" s="1"/>
  <c r="S182" i="2"/>
  <c r="T182" i="2" s="1"/>
  <c r="M182" i="2"/>
  <c r="R182" i="2" s="1"/>
  <c r="M45" i="2"/>
  <c r="R45" i="2" s="1"/>
  <c r="S45" i="2" s="1"/>
  <c r="T45" i="2" s="1"/>
  <c r="G491" i="8"/>
  <c r="M305" i="2"/>
  <c r="R305" i="2" s="1"/>
  <c r="S305" i="2" s="1"/>
  <c r="T305" i="2" s="1"/>
  <c r="M792" i="2"/>
  <c r="R792" i="2" s="1"/>
  <c r="S792" i="2" s="1"/>
  <c r="T792" i="2" s="1"/>
  <c r="G85" i="8"/>
  <c r="M562" i="2"/>
  <c r="R562" i="2" s="1"/>
  <c r="S562" i="2" s="1"/>
  <c r="T562" i="2" s="1"/>
  <c r="G584" i="8"/>
  <c r="M380" i="2"/>
  <c r="R380" i="2" s="1"/>
  <c r="S380" i="2" s="1"/>
  <c r="T380" i="2" s="1"/>
  <c r="S304" i="2"/>
  <c r="T304" i="2" s="1"/>
  <c r="S367" i="3"/>
  <c r="T367" i="3" s="1"/>
  <c r="M367" i="3"/>
  <c r="R367" i="3" s="1"/>
  <c r="M489" i="3"/>
  <c r="R489" i="3" s="1"/>
  <c r="S489" i="3"/>
  <c r="T489" i="3" s="1"/>
  <c r="G1196" i="8"/>
  <c r="M447" i="3"/>
  <c r="R447" i="3" s="1"/>
  <c r="S447" i="3" s="1"/>
  <c r="T447" i="3" s="1"/>
  <c r="S157" i="3"/>
  <c r="T157" i="3" s="1"/>
  <c r="M157" i="3"/>
  <c r="R157" i="3" s="1"/>
  <c r="U25" i="3"/>
  <c r="D892" i="3"/>
  <c r="S415" i="3"/>
  <c r="T415" i="3" s="1"/>
  <c r="M415" i="3"/>
  <c r="R415" i="3" s="1"/>
  <c r="G1376" i="8"/>
  <c r="M275" i="3"/>
  <c r="R275" i="3" s="1"/>
  <c r="S275" i="3"/>
  <c r="T275" i="3" s="1"/>
  <c r="S418" i="3"/>
  <c r="T418" i="3" s="1"/>
  <c r="M418" i="3"/>
  <c r="R418" i="3" s="1"/>
  <c r="S411" i="3"/>
  <c r="T411" i="3" s="1"/>
  <c r="M411" i="3"/>
  <c r="R411" i="3" s="1"/>
  <c r="S618" i="3"/>
  <c r="T618" i="3" s="1"/>
  <c r="M618" i="3"/>
  <c r="R618" i="3" s="1"/>
  <c r="G371" i="8"/>
  <c r="M588" i="2"/>
  <c r="R588" i="2" s="1"/>
  <c r="S588" i="2"/>
  <c r="T588" i="2" s="1"/>
  <c r="S609" i="3"/>
  <c r="T609" i="3" s="1"/>
  <c r="M609" i="3"/>
  <c r="R609" i="3" s="1"/>
  <c r="M558" i="3"/>
  <c r="R558" i="3" s="1"/>
  <c r="S558" i="3"/>
  <c r="T558" i="3" s="1"/>
  <c r="G671" i="8"/>
  <c r="M543" i="3"/>
  <c r="R543" i="3" s="1"/>
  <c r="S543" i="3"/>
  <c r="T543" i="3" s="1"/>
  <c r="M809" i="3"/>
  <c r="R809" i="3" s="1"/>
  <c r="S809" i="3" s="1"/>
  <c r="T809" i="3" s="1"/>
  <c r="S729" i="2"/>
  <c r="T729" i="2" s="1"/>
  <c r="M729" i="2"/>
  <c r="R729" i="2" s="1"/>
  <c r="S1075" i="2"/>
  <c r="T1075" i="2" s="1"/>
  <c r="M1075" i="2"/>
  <c r="R1075" i="2" s="1"/>
  <c r="M726" i="2"/>
  <c r="R726" i="2" s="1"/>
  <c r="S726" i="2"/>
  <c r="T726" i="2" s="1"/>
  <c r="M394" i="3"/>
  <c r="R394" i="3" s="1"/>
  <c r="S394" i="3"/>
  <c r="T394" i="3" s="1"/>
  <c r="M115" i="2"/>
  <c r="R115" i="2" s="1"/>
  <c r="S115" i="2" s="1"/>
  <c r="T115" i="2" s="1"/>
  <c r="M1096" i="2"/>
  <c r="R1096" i="2" s="1"/>
  <c r="S1096" i="2"/>
  <c r="T1096" i="2" s="1"/>
  <c r="S177" i="3"/>
  <c r="T177" i="3" s="1"/>
  <c r="M177" i="3"/>
  <c r="R177" i="3" s="1"/>
  <c r="M463" i="2"/>
  <c r="R463" i="2" s="1"/>
  <c r="S463" i="2" s="1"/>
  <c r="T463" i="2" s="1"/>
  <c r="S718" i="2"/>
  <c r="T718" i="2" s="1"/>
  <c r="M718" i="2"/>
  <c r="R718" i="2" s="1"/>
  <c r="M34" i="3"/>
  <c r="R34" i="3" s="1"/>
  <c r="S34" i="3"/>
  <c r="T34" i="3" s="1"/>
  <c r="M364" i="3"/>
  <c r="R364" i="3" s="1"/>
  <c r="S364" i="3"/>
  <c r="T364" i="3" s="1"/>
  <c r="S524" i="2"/>
  <c r="T524" i="2" s="1"/>
  <c r="M524" i="2"/>
  <c r="R524" i="2" s="1"/>
  <c r="M912" i="2"/>
  <c r="R912" i="2" s="1"/>
  <c r="S912" i="2"/>
  <c r="T912" i="2" s="1"/>
  <c r="G616" i="8"/>
  <c r="S94" i="2"/>
  <c r="T94" i="2" s="1"/>
  <c r="M94" i="2"/>
  <c r="R94" i="2" s="1"/>
  <c r="M656" i="3"/>
  <c r="R656" i="3" s="1"/>
  <c r="S656" i="3" s="1"/>
  <c r="T656" i="3" s="1"/>
  <c r="S187" i="3"/>
  <c r="T187" i="3" s="1"/>
  <c r="M187" i="3"/>
  <c r="R187" i="3" s="1"/>
  <c r="M1045" i="2"/>
  <c r="R1045" i="2" s="1"/>
  <c r="S1045" i="2" s="1"/>
  <c r="T1045" i="2" s="1"/>
  <c r="M391" i="3"/>
  <c r="R391" i="3" s="1"/>
  <c r="S391" i="3"/>
  <c r="T391" i="3" s="1"/>
  <c r="M260" i="3"/>
  <c r="R260" i="3" s="1"/>
  <c r="S260" i="3"/>
  <c r="T260" i="3" s="1"/>
  <c r="M384" i="3"/>
  <c r="R384" i="3" s="1"/>
  <c r="S384" i="3"/>
  <c r="T384" i="3" s="1"/>
  <c r="M25" i="3"/>
  <c r="R25" i="3" s="1"/>
  <c r="S25" i="3" s="1"/>
  <c r="M71" i="3"/>
  <c r="R71" i="3" s="1"/>
  <c r="S71" i="3" s="1"/>
  <c r="T71" i="3" s="1"/>
  <c r="G841" i="8"/>
  <c r="M813" i="2"/>
  <c r="R813" i="2" s="1"/>
  <c r="S813" i="2" s="1"/>
  <c r="T813" i="2" s="1"/>
  <c r="M833" i="2"/>
  <c r="R833" i="2" s="1"/>
  <c r="S833" i="2" s="1"/>
  <c r="T833" i="2" s="1"/>
  <c r="M716" i="2"/>
  <c r="R716" i="2" s="1"/>
  <c r="S716" i="2"/>
  <c r="T716" i="2" s="1"/>
  <c r="M52" i="3"/>
  <c r="R52" i="3" s="1"/>
  <c r="S52" i="3"/>
  <c r="T52" i="3" s="1"/>
  <c r="M703" i="2"/>
  <c r="R703" i="2" s="1"/>
  <c r="S703" i="2"/>
  <c r="T703" i="2" s="1"/>
  <c r="M441" i="2"/>
  <c r="R441" i="2" s="1"/>
  <c r="S441" i="2" s="1"/>
  <c r="T441" i="2" s="1"/>
  <c r="S325" i="2"/>
  <c r="T325" i="2" s="1"/>
  <c r="M325" i="2"/>
  <c r="R325" i="2" s="1"/>
  <c r="S702" i="3"/>
  <c r="T702" i="3" s="1"/>
  <c r="M702" i="3"/>
  <c r="R702" i="3" s="1"/>
  <c r="G1301" i="8"/>
  <c r="S172" i="3"/>
  <c r="T172" i="3" s="1"/>
  <c r="M172" i="3"/>
  <c r="R172" i="3" s="1"/>
  <c r="G1214" i="8"/>
  <c r="M113" i="2"/>
  <c r="R113" i="2" s="1"/>
  <c r="S113" i="2" s="1"/>
  <c r="T113" i="2" s="1"/>
  <c r="V39" i="2"/>
  <c r="T710" i="3"/>
  <c r="M552" i="3"/>
  <c r="R552" i="3" s="1"/>
  <c r="S552" i="3"/>
  <c r="T552" i="3" s="1"/>
  <c r="T717" i="3"/>
  <c r="S305" i="3"/>
  <c r="T305" i="3" s="1"/>
  <c r="M305" i="3"/>
  <c r="R305" i="3" s="1"/>
  <c r="M780" i="3"/>
  <c r="R780" i="3" s="1"/>
  <c r="S780" i="3" s="1"/>
  <c r="T780" i="3" s="1"/>
  <c r="T701" i="3"/>
  <c r="G1144" i="8"/>
  <c r="M206" i="3"/>
  <c r="R206" i="3" s="1"/>
  <c r="S206" i="3"/>
  <c r="T206" i="3" s="1"/>
  <c r="M903" i="2"/>
  <c r="R903" i="2" s="1"/>
  <c r="S903" i="2"/>
  <c r="T903" i="2" s="1"/>
  <c r="S669" i="3"/>
  <c r="T669" i="3" s="1"/>
  <c r="M669" i="3"/>
  <c r="R669" i="3" s="1"/>
  <c r="M298" i="3"/>
  <c r="R298" i="3" s="1"/>
  <c r="S298" i="3" s="1"/>
  <c r="T298" i="3" s="1"/>
  <c r="M476" i="2"/>
  <c r="R476" i="2" s="1"/>
  <c r="S476" i="2" s="1"/>
  <c r="T476" i="2" s="1"/>
  <c r="S550" i="2"/>
  <c r="T550" i="2" s="1"/>
  <c r="M550" i="2"/>
  <c r="R550" i="2" s="1"/>
  <c r="G1071" i="8"/>
  <c r="T512" i="3"/>
  <c r="M125" i="2"/>
  <c r="R125" i="2" s="1"/>
  <c r="S125" i="2" s="1"/>
  <c r="T125" i="2" s="1"/>
  <c r="M797" i="2"/>
  <c r="R797" i="2" s="1"/>
  <c r="S797" i="2"/>
  <c r="T797" i="2" s="1"/>
  <c r="M58" i="2"/>
  <c r="R58" i="2" s="1"/>
  <c r="S58" i="2"/>
  <c r="T58" i="2" s="1"/>
  <c r="M1068" i="2"/>
  <c r="R1068" i="2" s="1"/>
  <c r="S1068" i="2" s="1"/>
  <c r="T1068" i="2" s="1"/>
  <c r="M56" i="2"/>
  <c r="R56" i="2" s="1"/>
  <c r="S56" i="2" s="1"/>
  <c r="T56" i="2" s="1"/>
  <c r="M779" i="2"/>
  <c r="R779" i="2" s="1"/>
  <c r="S779" i="2" s="1"/>
  <c r="T779" i="2" s="1"/>
  <c r="S369" i="2"/>
  <c r="T369" i="2" s="1"/>
  <c r="M369" i="2"/>
  <c r="R369" i="2" s="1"/>
  <c r="G751" i="8"/>
  <c r="S392" i="2"/>
  <c r="T392" i="2" s="1"/>
  <c r="M392" i="2"/>
  <c r="R392" i="2" s="1"/>
  <c r="S528" i="2"/>
  <c r="T528" i="2" s="1"/>
  <c r="M528" i="2"/>
  <c r="R528" i="2" s="1"/>
  <c r="M39" i="2"/>
  <c r="R39" i="2" s="1"/>
  <c r="S39" i="2" s="1"/>
  <c r="M440" i="3"/>
  <c r="R440" i="3" s="1"/>
  <c r="S440" i="3" s="1"/>
  <c r="T440" i="3" s="1"/>
  <c r="M360" i="2"/>
  <c r="R360" i="2" s="1"/>
  <c r="S360" i="2"/>
  <c r="T360" i="2" s="1"/>
  <c r="M262" i="2"/>
  <c r="R262" i="2" s="1"/>
  <c r="S262" i="2" s="1"/>
  <c r="T262" i="2" s="1"/>
  <c r="M186" i="3"/>
  <c r="R186" i="3" s="1"/>
  <c r="S186" i="3"/>
  <c r="T186" i="3" s="1"/>
  <c r="M134" i="3"/>
  <c r="R134" i="3" s="1"/>
  <c r="S134" i="3"/>
  <c r="T134" i="3" s="1"/>
  <c r="M60" i="2"/>
  <c r="R60" i="2" s="1"/>
  <c r="S60" i="2" s="1"/>
  <c r="T60" i="2" s="1"/>
  <c r="Q2217" i="5" l="1"/>
  <c r="K2218" i="5"/>
  <c r="N2217" i="5"/>
  <c r="C2218" i="5"/>
  <c r="I2217" i="5"/>
  <c r="F2217" i="5"/>
  <c r="E892" i="3"/>
  <c r="F892" i="3" s="1"/>
  <c r="I892" i="3" s="1"/>
  <c r="T25" i="3"/>
  <c r="T39" i="2"/>
  <c r="U891" i="3"/>
  <c r="AA24" i="10"/>
  <c r="AA25" i="10" s="1"/>
  <c r="AB11" i="10"/>
  <c r="S51" i="10"/>
  <c r="N400" i="5"/>
  <c r="K401" i="5"/>
  <c r="S45" i="10"/>
  <c r="R167" i="2"/>
  <c r="S167" i="2" s="1"/>
  <c r="T167" i="2" s="1"/>
  <c r="K1238" i="2"/>
  <c r="R45" i="10"/>
  <c r="R55" i="10" s="1"/>
  <c r="R49" i="10"/>
  <c r="R51" i="10"/>
  <c r="R50" i="10"/>
  <c r="I894" i="3"/>
  <c r="F396" i="5"/>
  <c r="I396" i="5"/>
  <c r="C397" i="5"/>
  <c r="M1238" i="2"/>
  <c r="F895" i="3"/>
  <c r="I895" i="3" s="1"/>
  <c r="L399" i="5"/>
  <c r="Q398" i="5"/>
  <c r="R1227" i="2"/>
  <c r="S1227" i="2" s="1"/>
  <c r="T1227" i="2" s="1"/>
  <c r="W51" i="10"/>
  <c r="O892" i="3"/>
  <c r="N892" i="3"/>
  <c r="M892" i="3"/>
  <c r="L892" i="3"/>
  <c r="K892" i="3"/>
  <c r="J892" i="3"/>
  <c r="H892" i="3"/>
  <c r="G892" i="3"/>
  <c r="N2218" i="5" l="1"/>
  <c r="Q2218" i="5"/>
  <c r="K2219" i="5"/>
  <c r="F2218" i="5"/>
  <c r="I2218" i="5"/>
  <c r="C2219" i="5"/>
  <c r="D2128" i="8"/>
  <c r="G2128" i="8" s="1"/>
  <c r="D2469" i="8"/>
  <c r="G2469" i="8" s="1"/>
  <c r="D3061" i="8"/>
  <c r="G3061" i="8" s="1"/>
  <c r="D1688" i="8"/>
  <c r="G1688" i="8" s="1"/>
  <c r="D3291" i="8"/>
  <c r="G3291" i="8" s="1"/>
  <c r="D3206" i="8"/>
  <c r="G3206" i="8" s="1"/>
  <c r="D3422" i="8"/>
  <c r="G3422" i="8" s="1"/>
  <c r="D1522" i="8"/>
  <c r="G1522" i="8" s="1"/>
  <c r="D3363" i="8"/>
  <c r="G3363" i="8" s="1"/>
  <c r="D3560" i="8"/>
  <c r="G3560" i="8" s="1"/>
  <c r="D3104" i="8"/>
  <c r="G3104" i="8" s="1"/>
  <c r="D3283" i="8"/>
  <c r="G3283" i="8" s="1"/>
  <c r="D3673" i="8"/>
  <c r="G3673" i="8" s="1"/>
  <c r="D2731" i="8"/>
  <c r="G2731" i="8" s="1"/>
  <c r="D2337" i="8"/>
  <c r="G2337" i="8" s="1"/>
  <c r="D1892" i="8"/>
  <c r="G1892" i="8" s="1"/>
  <c r="D2027" i="8"/>
  <c r="G2027" i="8" s="1"/>
  <c r="D2784" i="8"/>
  <c r="G2784" i="8" s="1"/>
  <c r="D2111" i="8"/>
  <c r="G2111" i="8" s="1"/>
  <c r="D2526" i="8"/>
  <c r="G2526" i="8" s="1"/>
  <c r="D3426" i="8"/>
  <c r="G3426" i="8" s="1"/>
  <c r="D2457" i="8"/>
  <c r="G2457" i="8" s="1"/>
  <c r="D1478" i="8"/>
  <c r="G1478" i="8" s="1"/>
  <c r="D3328" i="8"/>
  <c r="G3328" i="8" s="1"/>
  <c r="D3274" i="8"/>
  <c r="G3274" i="8" s="1"/>
  <c r="D2724" i="8"/>
  <c r="G2724" i="8" s="1"/>
  <c r="D2299" i="8"/>
  <c r="G2299" i="8" s="1"/>
  <c r="D1808" i="8"/>
  <c r="G1808" i="8" s="1"/>
  <c r="D2470" i="8"/>
  <c r="G2470" i="8" s="1"/>
  <c r="D3510" i="8"/>
  <c r="G3510" i="8" s="1"/>
  <c r="D2200" i="8"/>
  <c r="G2200" i="8" s="1"/>
  <c r="D2548" i="8"/>
  <c r="G2548" i="8" s="1"/>
  <c r="D2857" i="8"/>
  <c r="G2857" i="8" s="1"/>
  <c r="D2284" i="8"/>
  <c r="G2284" i="8" s="1"/>
  <c r="D3280" i="8"/>
  <c r="G3280" i="8" s="1"/>
  <c r="D3340" i="8"/>
  <c r="G3340" i="8" s="1"/>
  <c r="D1560" i="8"/>
  <c r="G1560" i="8" s="1"/>
  <c r="D3160" i="8"/>
  <c r="G3160" i="8" s="1"/>
  <c r="D2261" i="8"/>
  <c r="G2261" i="8" s="1"/>
  <c r="D2591" i="8"/>
  <c r="G2591" i="8" s="1"/>
  <c r="D1927" i="8"/>
  <c r="G1927" i="8" s="1"/>
  <c r="D3125" i="8"/>
  <c r="G3125" i="8" s="1"/>
  <c r="D2575" i="8"/>
  <c r="G2575" i="8" s="1"/>
  <c r="D2127" i="8"/>
  <c r="G2127" i="8" s="1"/>
  <c r="D2011" i="8"/>
  <c r="G2011" i="8" s="1"/>
  <c r="D2120" i="8"/>
  <c r="G2120" i="8" s="1"/>
  <c r="D3701" i="8"/>
  <c r="G3701" i="8" s="1"/>
  <c r="D3359" i="8"/>
  <c r="G3359" i="8" s="1"/>
  <c r="D3195" i="8"/>
  <c r="G3195" i="8" s="1"/>
  <c r="D2916" i="8"/>
  <c r="G2916" i="8" s="1"/>
  <c r="D2664" i="8"/>
  <c r="G2664" i="8" s="1"/>
  <c r="D1667" i="8"/>
  <c r="G1667" i="8" s="1"/>
  <c r="D2970" i="8"/>
  <c r="G2970" i="8" s="1"/>
  <c r="D2825" i="8"/>
  <c r="G2825" i="8" s="1"/>
  <c r="D2588" i="8"/>
  <c r="G2588" i="8" s="1"/>
  <c r="D1883" i="8"/>
  <c r="G1883" i="8" s="1"/>
  <c r="D3102" i="8"/>
  <c r="G3102" i="8" s="1"/>
  <c r="D2478" i="8"/>
  <c r="G2478" i="8" s="1"/>
  <c r="D3454" i="8"/>
  <c r="G3454" i="8" s="1"/>
  <c r="D3415" i="8"/>
  <c r="G3415" i="8" s="1"/>
  <c r="D3020" i="8"/>
  <c r="G3020" i="8" s="1"/>
  <c r="D3610" i="8"/>
  <c r="G3610" i="8" s="1"/>
  <c r="D3479" i="8"/>
  <c r="G3479" i="8" s="1"/>
  <c r="D3493" i="8"/>
  <c r="G3493" i="8" s="1"/>
  <c r="D2293" i="8"/>
  <c r="G2293" i="8" s="1"/>
  <c r="D1803" i="8"/>
  <c r="G1803" i="8" s="1"/>
  <c r="D2044" i="8"/>
  <c r="G2044" i="8" s="1"/>
  <c r="D2748" i="8"/>
  <c r="G2748" i="8" s="1"/>
  <c r="D2262" i="8"/>
  <c r="G2262" i="8" s="1"/>
  <c r="D1557" i="8"/>
  <c r="G1557" i="8" s="1"/>
  <c r="D3045" i="8"/>
  <c r="G3045" i="8" s="1"/>
  <c r="D3026" i="8"/>
  <c r="G3026" i="8" s="1"/>
  <c r="D3323" i="8"/>
  <c r="G3323" i="8" s="1"/>
  <c r="D2165" i="8"/>
  <c r="G2165" i="8" s="1"/>
  <c r="D1773" i="8"/>
  <c r="G1773" i="8" s="1"/>
  <c r="D1855" i="8"/>
  <c r="G1855" i="8" s="1"/>
  <c r="D2385" i="8"/>
  <c r="G2385" i="8" s="1"/>
  <c r="D1881" i="8"/>
  <c r="G1881" i="8" s="1"/>
  <c r="D1673" i="8"/>
  <c r="G1673" i="8" s="1"/>
  <c r="D2965" i="8"/>
  <c r="G2965" i="8" s="1"/>
  <c r="D2620" i="8"/>
  <c r="G2620" i="8" s="1"/>
  <c r="D2098" i="8"/>
  <c r="G2098" i="8" s="1"/>
  <c r="D3224" i="8"/>
  <c r="G3224" i="8" s="1"/>
  <c r="D3660" i="8"/>
  <c r="G3660" i="8" s="1"/>
  <c r="D3309" i="8"/>
  <c r="G3309" i="8" s="1"/>
  <c r="D2523" i="8"/>
  <c r="G2523" i="8" s="1"/>
  <c r="D2051" i="8"/>
  <c r="G2051" i="8" s="1"/>
  <c r="D2854" i="8"/>
  <c r="G2854" i="8" s="1"/>
  <c r="D3215" i="8"/>
  <c r="G3215" i="8" s="1"/>
  <c r="D2396" i="8"/>
  <c r="G2396" i="8" s="1"/>
  <c r="D2089" i="8"/>
  <c r="G2089" i="8" s="1"/>
  <c r="D3143" i="8"/>
  <c r="G3143" i="8" s="1"/>
  <c r="D2483" i="8"/>
  <c r="G2483" i="8" s="1"/>
  <c r="D2139" i="8"/>
  <c r="G2139" i="8" s="1"/>
  <c r="D2985" i="8"/>
  <c r="G2985" i="8" s="1"/>
  <c r="D3617" i="8"/>
  <c r="G3617" i="8" s="1"/>
  <c r="D2872" i="8"/>
  <c r="G2872" i="8" s="1"/>
  <c r="D2362" i="8"/>
  <c r="G2362" i="8" s="1"/>
  <c r="D2766" i="8"/>
  <c r="G2766" i="8" s="1"/>
  <c r="D2146" i="8"/>
  <c r="G2146" i="8" s="1"/>
  <c r="D1860" i="8"/>
  <c r="G1860" i="8" s="1"/>
  <c r="D3407" i="8"/>
  <c r="G3407" i="8" s="1"/>
  <c r="D2488" i="8"/>
  <c r="G2488" i="8" s="1"/>
  <c r="D1525" i="8"/>
  <c r="G1525" i="8" s="1"/>
  <c r="D2410" i="8"/>
  <c r="G2410" i="8" s="1"/>
  <c r="D2806" i="8"/>
  <c r="G2806" i="8" s="1"/>
  <c r="D1689" i="8"/>
  <c r="G1689" i="8" s="1"/>
  <c r="D3392" i="8"/>
  <c r="G3392" i="8" s="1"/>
  <c r="D3554" i="8"/>
  <c r="G3554" i="8" s="1"/>
  <c r="D3219" i="8"/>
  <c r="G3219" i="8" s="1"/>
  <c r="D3385" i="8"/>
  <c r="G3385" i="8" s="1"/>
  <c r="D2637" i="8"/>
  <c r="G2637" i="8" s="1"/>
  <c r="D1682" i="8"/>
  <c r="G1682" i="8" s="1"/>
  <c r="D1623" i="8"/>
  <c r="G1623" i="8" s="1"/>
  <c r="D3097" i="8"/>
  <c r="G3097" i="8" s="1"/>
  <c r="D1900" i="8"/>
  <c r="G1900" i="8" s="1"/>
  <c r="D1501" i="8"/>
  <c r="G1501" i="8" s="1"/>
  <c r="D3037" i="8"/>
  <c r="G3037" i="8" s="1"/>
  <c r="D3103" i="8"/>
  <c r="G3103" i="8" s="1"/>
  <c r="D3380" i="8"/>
  <c r="G3380" i="8" s="1"/>
  <c r="D3495" i="8"/>
  <c r="G3495" i="8" s="1"/>
  <c r="D2531" i="8"/>
  <c r="G2531" i="8" s="1"/>
  <c r="D1514" i="8"/>
  <c r="G1514" i="8" s="1"/>
  <c r="D2906" i="8"/>
  <c r="G2906" i="8" s="1"/>
  <c r="D2888" i="8"/>
  <c r="G2888" i="8" s="1"/>
  <c r="D2662" i="8"/>
  <c r="G2662" i="8" s="1"/>
  <c r="D1826" i="8"/>
  <c r="G1826" i="8" s="1"/>
  <c r="D3185" i="8"/>
  <c r="G3185" i="8" s="1"/>
  <c r="D2605" i="8"/>
  <c r="G2605" i="8" s="1"/>
  <c r="D2039" i="8"/>
  <c r="G2039" i="8" s="1"/>
  <c r="D2607" i="8"/>
  <c r="G2607" i="8" s="1"/>
  <c r="D1642" i="8"/>
  <c r="G1642" i="8" s="1"/>
  <c r="D1796" i="8"/>
  <c r="G1796" i="8" s="1"/>
  <c r="D3543" i="8"/>
  <c r="G3543" i="8" s="1"/>
  <c r="D3676" i="8"/>
  <c r="G3676" i="8" s="1"/>
  <c r="D3014" i="8"/>
  <c r="G3014" i="8" s="1"/>
  <c r="D2451" i="8"/>
  <c r="G2451" i="8" s="1"/>
  <c r="D1925" i="8"/>
  <c r="G1925" i="8" s="1"/>
  <c r="D2417" i="8"/>
  <c r="G2417" i="8" s="1"/>
  <c r="D3668" i="8"/>
  <c r="G3668" i="8" s="1"/>
  <c r="D2643" i="8"/>
  <c r="G2643" i="8" s="1"/>
  <c r="D2340" i="8"/>
  <c r="G2340" i="8" s="1"/>
  <c r="D3666" i="8"/>
  <c r="G3666" i="8" s="1"/>
  <c r="D2878" i="8"/>
  <c r="G2878" i="8" s="1"/>
  <c r="D2026" i="8"/>
  <c r="G2026" i="8" s="1"/>
  <c r="D3551" i="8"/>
  <c r="G3551" i="8" s="1"/>
  <c r="D3564" i="8"/>
  <c r="G3564" i="8" s="1"/>
  <c r="D2951" i="8"/>
  <c r="G2951" i="8" s="1"/>
  <c r="D2398" i="8"/>
  <c r="G2398" i="8" s="1"/>
  <c r="D2210" i="8"/>
  <c r="G2210" i="8" s="1"/>
  <c r="D2358" i="8"/>
  <c r="G2358" i="8" s="1"/>
  <c r="D1833" i="8"/>
  <c r="G1833" i="8" s="1"/>
  <c r="D3276" i="8"/>
  <c r="G3276" i="8" s="1"/>
  <c r="D2695" i="8"/>
  <c r="G2695" i="8" s="1"/>
  <c r="D2274" i="8"/>
  <c r="G2274" i="8" s="1"/>
  <c r="D2301" i="8"/>
  <c r="G2301" i="8" s="1"/>
  <c r="D3439" i="8"/>
  <c r="G3439" i="8" s="1"/>
  <c r="D2843" i="8"/>
  <c r="G2843" i="8" s="1"/>
  <c r="D2206" i="8"/>
  <c r="G2206" i="8" s="1"/>
  <c r="D2062" i="8"/>
  <c r="G2062" i="8" s="1"/>
  <c r="D2909" i="8"/>
  <c r="G2909" i="8" s="1"/>
  <c r="D1781" i="8"/>
  <c r="G1781" i="8" s="1"/>
  <c r="D3374" i="8"/>
  <c r="G3374" i="8" s="1"/>
  <c r="D3012" i="8"/>
  <c r="G3012" i="8" s="1"/>
  <c r="D2143" i="8"/>
  <c r="G2143" i="8" s="1"/>
  <c r="D3021" i="8"/>
  <c r="G3021" i="8" s="1"/>
  <c r="D2125" i="8"/>
  <c r="G2125" i="8" s="1"/>
  <c r="D3182" i="8"/>
  <c r="G3182" i="8" s="1"/>
  <c r="D2281" i="8"/>
  <c r="G2281" i="8" s="1"/>
  <c r="D1606" i="8"/>
  <c r="G1606" i="8" s="1"/>
  <c r="D2938" i="8"/>
  <c r="G2938" i="8" s="1"/>
  <c r="D2760" i="8"/>
  <c r="G2760" i="8" s="1"/>
  <c r="D1692" i="8"/>
  <c r="G1692" i="8" s="1"/>
  <c r="D1562" i="8"/>
  <c r="G1562" i="8" s="1"/>
  <c r="D2950" i="8"/>
  <c r="G2950" i="8" s="1"/>
  <c r="D1574" i="8"/>
  <c r="G1574" i="8" s="1"/>
  <c r="D1721" i="8"/>
  <c r="G1721" i="8" s="1"/>
  <c r="D3333" i="8"/>
  <c r="G3333" i="8" s="1"/>
  <c r="D2612" i="8"/>
  <c r="G2612" i="8" s="1"/>
  <c r="D2750" i="8"/>
  <c r="G2750" i="8" s="1"/>
  <c r="D2822" i="8"/>
  <c r="G2822" i="8" s="1"/>
  <c r="D3341" i="8"/>
  <c r="G3341" i="8" s="1"/>
  <c r="D3624" i="8"/>
  <c r="G3624" i="8" s="1"/>
  <c r="D2057" i="8"/>
  <c r="G2057" i="8" s="1"/>
  <c r="D3265" i="8"/>
  <c r="G3265" i="8" s="1"/>
  <c r="D2327" i="8"/>
  <c r="G2327" i="8" s="1"/>
  <c r="D2161" i="8"/>
  <c r="G2161" i="8" s="1"/>
  <c r="D2015" i="8"/>
  <c r="G2015" i="8" s="1"/>
  <c r="D2786" i="8"/>
  <c r="G2786" i="8" s="1"/>
  <c r="D3081" i="8"/>
  <c r="G3081" i="8" s="1"/>
  <c r="D2564" i="8"/>
  <c r="G2564" i="8" s="1"/>
  <c r="D2778" i="8"/>
  <c r="G2778" i="8" s="1"/>
  <c r="D2754" i="8"/>
  <c r="G2754" i="8" s="1"/>
  <c r="D3051" i="8"/>
  <c r="G3051" i="8" s="1"/>
  <c r="D2316" i="8"/>
  <c r="G2316" i="8" s="1"/>
  <c r="D2604" i="8"/>
  <c r="G2604" i="8" s="1"/>
  <c r="D3357" i="8"/>
  <c r="G3357" i="8" s="1"/>
  <c r="D2946" i="8"/>
  <c r="G2946" i="8" s="1"/>
  <c r="D3588" i="8"/>
  <c r="G3588" i="8" s="1"/>
  <c r="D3558" i="8"/>
  <c r="G3558" i="8" s="1"/>
  <c r="D3108" i="8"/>
  <c r="G3108" i="8" s="1"/>
  <c r="D3659" i="8"/>
  <c r="G3659" i="8" s="1"/>
  <c r="D2728" i="8"/>
  <c r="G2728" i="8" s="1"/>
  <c r="D3249" i="8"/>
  <c r="G3249" i="8" s="1"/>
  <c r="D3580" i="8"/>
  <c r="G3580" i="8" s="1"/>
  <c r="D1891" i="8"/>
  <c r="G1891" i="8" s="1"/>
  <c r="D2712" i="8"/>
  <c r="G2712" i="8" s="1"/>
  <c r="D1546" i="8"/>
  <c r="G1546" i="8" s="1"/>
  <c r="D2233" i="8"/>
  <c r="G2233" i="8" s="1"/>
  <c r="D1756" i="8"/>
  <c r="G1756" i="8" s="1"/>
  <c r="D1558" i="8"/>
  <c r="G1558" i="8" s="1"/>
  <c r="D3157" i="8"/>
  <c r="G3157" i="8" s="1"/>
  <c r="D3656" i="8"/>
  <c r="G3656" i="8" s="1"/>
  <c r="D3159" i="8"/>
  <c r="G3159" i="8" s="1"/>
  <c r="D3548" i="8"/>
  <c r="G3548" i="8" s="1"/>
  <c r="D2678" i="8"/>
  <c r="G2678" i="8" s="1"/>
  <c r="D1942" i="8"/>
  <c r="G1942" i="8" s="1"/>
  <c r="D2774" i="8"/>
  <c r="G2774" i="8" s="1"/>
  <c r="D2462" i="8"/>
  <c r="G2462" i="8" s="1"/>
  <c r="D2628" i="8"/>
  <c r="G2628" i="8" s="1"/>
  <c r="D1830" i="8"/>
  <c r="G1830" i="8" s="1"/>
  <c r="D2812" i="8"/>
  <c r="G2812" i="8" s="1"/>
  <c r="D3485" i="8"/>
  <c r="G3485" i="8" s="1"/>
  <c r="D1556" i="8"/>
  <c r="G1556" i="8" s="1"/>
  <c r="D1700" i="8"/>
  <c r="G1700" i="8" s="1"/>
  <c r="D2191" i="8"/>
  <c r="G2191" i="8" s="1"/>
  <c r="D3607" i="8"/>
  <c r="G3607" i="8" s="1"/>
  <c r="D3255" i="8"/>
  <c r="G3255" i="8" s="1"/>
  <c r="D3453" i="8"/>
  <c r="G3453" i="8" s="1"/>
  <c r="D2912" i="8"/>
  <c r="G2912" i="8" s="1"/>
  <c r="D3082" i="8"/>
  <c r="G3082" i="8" s="1"/>
  <c r="D2005" i="8"/>
  <c r="G2005" i="8" s="1"/>
  <c r="D3164" i="8"/>
  <c r="G3164" i="8" s="1"/>
  <c r="D2305" i="8"/>
  <c r="G2305" i="8" s="1"/>
  <c r="D2090" i="8"/>
  <c r="G2090" i="8" s="1"/>
  <c r="D2617" i="8"/>
  <c r="G2617" i="8" s="1"/>
  <c r="D1509" i="8"/>
  <c r="G1509" i="8" s="1"/>
  <c r="D2988" i="8"/>
  <c r="G2988" i="8" s="1"/>
  <c r="D2651" i="8"/>
  <c r="G2651" i="8" s="1"/>
  <c r="D3084" i="8"/>
  <c r="G3084" i="8" s="1"/>
  <c r="D3052" i="8"/>
  <c r="G3052" i="8" s="1"/>
  <c r="D3301" i="8"/>
  <c r="G3301" i="8" s="1"/>
  <c r="D3544" i="8"/>
  <c r="G3544" i="8" s="1"/>
  <c r="D1473" i="8"/>
  <c r="G1473" i="8" s="1"/>
  <c r="D2937" i="8"/>
  <c r="G2937" i="8" s="1"/>
  <c r="D2486" i="8"/>
  <c r="G2486" i="8" s="1"/>
  <c r="D2033" i="8"/>
  <c r="G2033" i="8" s="1"/>
  <c r="D2517" i="8"/>
  <c r="G2517" i="8" s="1"/>
  <c r="D3425" i="8"/>
  <c r="G3425" i="8" s="1"/>
  <c r="D2624" i="8"/>
  <c r="G2624" i="8" s="1"/>
  <c r="D2195" i="8"/>
  <c r="G2195" i="8" s="1"/>
  <c r="D2814" i="8"/>
  <c r="G2814" i="8" s="1"/>
  <c r="D3532" i="8"/>
  <c r="G3532" i="8" s="1"/>
  <c r="D3674" i="8"/>
  <c r="G3674" i="8" s="1"/>
  <c r="D3345" i="8"/>
  <c r="G3345" i="8" s="1"/>
  <c r="D2849" i="8"/>
  <c r="G2849" i="8" s="1"/>
  <c r="D3605" i="8"/>
  <c r="G3605" i="8" s="1"/>
  <c r="D2807" i="8"/>
  <c r="G2807" i="8" s="1"/>
  <c r="D2514" i="8"/>
  <c r="G2514" i="8" s="1"/>
  <c r="D3326" i="8"/>
  <c r="G3326" i="8" s="1"/>
  <c r="D2528" i="8"/>
  <c r="G2528" i="8" s="1"/>
  <c r="D3423" i="8"/>
  <c r="G3423" i="8" s="1"/>
  <c r="D2991" i="8"/>
  <c r="G2991" i="8" s="1"/>
  <c r="D3212" i="8"/>
  <c r="G3212" i="8" s="1"/>
  <c r="D1714" i="8"/>
  <c r="G1714" i="8" s="1"/>
  <c r="D1581" i="8"/>
  <c r="G1581" i="8" s="1"/>
  <c r="D3343" i="8"/>
  <c r="G3343" i="8" s="1"/>
  <c r="D1804" i="8"/>
  <c r="G1804" i="8" s="1"/>
  <c r="D2321" i="8"/>
  <c r="G2321" i="8" s="1"/>
  <c r="D2441" i="8"/>
  <c r="G2441" i="8" s="1"/>
  <c r="D2344" i="8"/>
  <c r="G2344" i="8" s="1"/>
  <c r="D1647" i="8"/>
  <c r="G1647" i="8" s="1"/>
  <c r="D2833" i="8"/>
  <c r="G2833" i="8" s="1"/>
  <c r="D1593" i="8"/>
  <c r="G1593" i="8" s="1"/>
  <c r="D3391" i="8"/>
  <c r="G3391" i="8" s="1"/>
  <c r="D1600" i="8"/>
  <c r="G1600" i="8" s="1"/>
  <c r="D1679" i="8"/>
  <c r="G1679" i="8" s="1"/>
  <c r="D2456" i="8"/>
  <c r="G2456" i="8" s="1"/>
  <c r="D3162" i="8"/>
  <c r="G3162" i="8" s="1"/>
  <c r="D3292" i="8"/>
  <c r="G3292" i="8" s="1"/>
  <c r="D2653" i="8"/>
  <c r="G2653" i="8" s="1"/>
  <c r="D1547" i="8"/>
  <c r="G1547" i="8" s="1"/>
  <c r="D1828" i="8"/>
  <c r="G1828" i="8" s="1"/>
  <c r="D3370" i="8"/>
  <c r="G3370" i="8" s="1"/>
  <c r="D3645" i="8"/>
  <c r="G3645" i="8" s="1"/>
  <c r="D3546" i="8"/>
  <c r="G3546" i="8" s="1"/>
  <c r="D1805" i="8"/>
  <c r="G1805" i="8" s="1"/>
  <c r="D2286" i="8"/>
  <c r="G2286" i="8" s="1"/>
  <c r="D1605" i="8"/>
  <c r="G1605" i="8" s="1"/>
  <c r="D1835" i="8"/>
  <c r="G1835" i="8" s="1"/>
  <c r="D3240" i="8"/>
  <c r="G3240" i="8" s="1"/>
  <c r="D2157" i="8"/>
  <c r="G2157" i="8" s="1"/>
  <c r="D3358" i="8"/>
  <c r="G3358" i="8" s="1"/>
  <c r="D1889" i="8"/>
  <c r="G1889" i="8" s="1"/>
  <c r="D2681" i="8"/>
  <c r="G2681" i="8" s="1"/>
  <c r="D2242" i="8"/>
  <c r="G2242" i="8" s="1"/>
  <c r="D1618" i="8"/>
  <c r="G1618" i="8" s="1"/>
  <c r="D2348" i="8"/>
  <c r="G2348" i="8" s="1"/>
  <c r="D1871" i="8"/>
  <c r="G1871" i="8" s="1"/>
  <c r="D3646" i="8"/>
  <c r="G3646" i="8" s="1"/>
  <c r="D2241" i="8"/>
  <c r="G2241" i="8" s="1"/>
  <c r="D3491" i="8"/>
  <c r="G3491" i="8" s="1"/>
  <c r="D3643" i="8"/>
  <c r="G3643" i="8" s="1"/>
  <c r="D2450" i="8"/>
  <c r="G2450" i="8" s="1"/>
  <c r="D2223" i="8"/>
  <c r="G2223" i="8" s="1"/>
  <c r="D2836" i="8"/>
  <c r="G2836" i="8" s="1"/>
  <c r="D3545" i="8"/>
  <c r="G3545" i="8" s="1"/>
  <c r="D1484" i="8"/>
  <c r="G1484" i="8" s="1"/>
  <c r="D3538" i="8"/>
  <c r="G3538" i="8" s="1"/>
  <c r="D3615" i="8"/>
  <c r="G3615" i="8" s="1"/>
  <c r="D2721" i="8"/>
  <c r="G2721" i="8" s="1"/>
  <c r="D1720" i="8"/>
  <c r="G1720" i="8" s="1"/>
  <c r="D2914" i="8"/>
  <c r="G2914" i="8" s="1"/>
  <c r="D1852" i="8"/>
  <c r="G1852" i="8" s="1"/>
  <c r="D1843" i="8"/>
  <c r="G1843" i="8" s="1"/>
  <c r="D3412" i="8"/>
  <c r="G3412" i="8" s="1"/>
  <c r="D2625" i="8"/>
  <c r="G2625" i="8" s="1"/>
  <c r="D2600" i="8"/>
  <c r="G2600" i="8" s="1"/>
  <c r="D2582" i="8"/>
  <c r="G2582" i="8" s="1"/>
  <c r="D3226" i="8"/>
  <c r="G3226" i="8" s="1"/>
  <c r="D3579" i="8"/>
  <c r="G3579" i="8" s="1"/>
  <c r="D2645" i="8"/>
  <c r="G2645" i="8" s="1"/>
  <c r="D3064" i="8"/>
  <c r="G3064" i="8" s="1"/>
  <c r="D2859" i="8"/>
  <c r="G2859" i="8" s="1"/>
  <c r="D1732" i="8"/>
  <c r="G1732" i="8" s="1"/>
  <c r="D2787" i="8"/>
  <c r="G2787" i="8" s="1"/>
  <c r="D3260" i="8"/>
  <c r="G3260" i="8" s="1"/>
  <c r="D1518" i="8"/>
  <c r="G1518" i="8" s="1"/>
  <c r="D1776" i="8"/>
  <c r="G1776" i="8" s="1"/>
  <c r="D2100" i="8"/>
  <c r="G2100" i="8" s="1"/>
  <c r="D1995" i="8"/>
  <c r="G1995" i="8" s="1"/>
  <c r="D2851" i="8"/>
  <c r="G2851" i="8" s="1"/>
  <c r="D3270" i="8"/>
  <c r="G3270" i="8" s="1"/>
  <c r="D2865" i="8"/>
  <c r="G2865" i="8" s="1"/>
  <c r="D3119" i="8"/>
  <c r="G3119" i="8" s="1"/>
  <c r="D1778" i="8"/>
  <c r="G1778" i="8" s="1"/>
  <c r="D1909" i="8"/>
  <c r="G1909" i="8" s="1"/>
  <c r="D2948" i="8"/>
  <c r="G2948" i="8" s="1"/>
  <c r="D2487" i="8"/>
  <c r="G2487" i="8" s="1"/>
  <c r="D2350" i="8"/>
  <c r="G2350" i="8" s="1"/>
  <c r="D2671" i="8"/>
  <c r="G2671" i="8" s="1"/>
  <c r="D1953" i="8"/>
  <c r="G1953" i="8" s="1"/>
  <c r="D2780" i="8"/>
  <c r="G2780" i="8" s="1"/>
  <c r="D3246" i="8"/>
  <c r="G3246" i="8" s="1"/>
  <c r="D3035" i="8"/>
  <c r="G3035" i="8" s="1"/>
  <c r="D3313" i="8"/>
  <c r="G3313" i="8" s="1"/>
  <c r="D3581" i="8"/>
  <c r="G3581" i="8" s="1"/>
  <c r="D2001" i="8"/>
  <c r="G2001" i="8" s="1"/>
  <c r="D1541" i="8"/>
  <c r="G1541" i="8" s="1"/>
  <c r="D3360" i="8"/>
  <c r="G3360" i="8" s="1"/>
  <c r="D2900" i="8"/>
  <c r="G2900" i="8" s="1"/>
  <c r="D3175" i="8"/>
  <c r="G3175" i="8" s="1"/>
  <c r="D2567" i="8"/>
  <c r="G2567" i="8" s="1"/>
  <c r="D2186" i="8"/>
  <c r="G2186" i="8" s="1"/>
  <c r="D3070" i="8"/>
  <c r="G3070" i="8" s="1"/>
  <c r="D1632" i="8"/>
  <c r="G1632" i="8" s="1"/>
  <c r="D2267" i="8"/>
  <c r="G2267" i="8" s="1"/>
  <c r="D3186" i="8"/>
  <c r="G3186" i="8" s="1"/>
  <c r="D3575" i="8"/>
  <c r="G3575" i="8" s="1"/>
  <c r="D2427" i="8"/>
  <c r="G2427" i="8" s="1"/>
  <c r="D2769" i="8"/>
  <c r="G2769" i="8" s="1"/>
  <c r="D1944" i="8"/>
  <c r="G1944" i="8" s="1"/>
  <c r="D2752" i="8"/>
  <c r="G2752" i="8" s="1"/>
  <c r="D2642" i="8"/>
  <c r="G2642" i="8" s="1"/>
  <c r="D1858" i="8"/>
  <c r="G1858" i="8" s="1"/>
  <c r="D2845" i="8"/>
  <c r="G2845" i="8" s="1"/>
  <c r="D3464" i="8"/>
  <c r="G3464" i="8" s="1"/>
  <c r="D2045" i="8"/>
  <c r="G2045" i="8" s="1"/>
  <c r="D2145" i="8"/>
  <c r="G2145" i="8" s="1"/>
  <c r="D3687" i="8"/>
  <c r="G3687" i="8" s="1"/>
  <c r="D2543" i="8"/>
  <c r="G2543" i="8" s="1"/>
  <c r="D3268" i="8"/>
  <c r="G3268" i="8" s="1"/>
  <c r="D2084" i="8"/>
  <c r="G2084" i="8" s="1"/>
  <c r="D1658" i="8"/>
  <c r="G1658" i="8" s="1"/>
  <c r="D3445" i="8"/>
  <c r="G3445" i="8" s="1"/>
  <c r="D3531" i="8"/>
  <c r="G3531" i="8" s="1"/>
  <c r="D1711" i="8"/>
  <c r="G1711" i="8" s="1"/>
  <c r="D1798" i="8"/>
  <c r="G1798" i="8" s="1"/>
  <c r="C2404" i="8"/>
  <c r="C3518" i="8"/>
  <c r="C3665" i="8"/>
  <c r="C2628" i="8"/>
  <c r="C2484" i="8"/>
  <c r="C2998" i="8"/>
  <c r="C3148" i="8"/>
  <c r="L400" i="5"/>
  <c r="Q399" i="5"/>
  <c r="C3590" i="8"/>
  <c r="C2656" i="8"/>
  <c r="C2813" i="8"/>
  <c r="C3048" i="8"/>
  <c r="C3684" i="8"/>
  <c r="C2398" i="8"/>
  <c r="C2726" i="8"/>
  <c r="C2984" i="8"/>
  <c r="C3441" i="8"/>
  <c r="C2678" i="8"/>
  <c r="C2727" i="8"/>
  <c r="C2463" i="8"/>
  <c r="C2684" i="8"/>
  <c r="C2880" i="8"/>
  <c r="C3384" i="8"/>
  <c r="C3435" i="8"/>
  <c r="C3355" i="8"/>
  <c r="T891" i="3"/>
  <c r="U892" i="3"/>
  <c r="C2049" i="8"/>
  <c r="C2490" i="8"/>
  <c r="C2622" i="8"/>
  <c r="C2706" i="8"/>
  <c r="C2903" i="8"/>
  <c r="C3633" i="8"/>
  <c r="C3550" i="8"/>
  <c r="C1896" i="8"/>
  <c r="C2551" i="8"/>
  <c r="C2147" i="8"/>
  <c r="C2545" i="8"/>
  <c r="C3068" i="8"/>
  <c r="C2814" i="8"/>
  <c r="C3203" i="8"/>
  <c r="C3190" i="8"/>
  <c r="C3594" i="8"/>
  <c r="C2034" i="8"/>
  <c r="C2009" i="8"/>
  <c r="C2093" i="8"/>
  <c r="C2510" i="8"/>
  <c r="C2465" i="8"/>
  <c r="C2734" i="8"/>
  <c r="C2919" i="8"/>
  <c r="C2794" i="8"/>
  <c r="C3484" i="8"/>
  <c r="O895" i="3"/>
  <c r="J895" i="3"/>
  <c r="D3508" i="8" s="1"/>
  <c r="G3508" i="8" s="1"/>
  <c r="M895" i="3"/>
  <c r="L895" i="3"/>
  <c r="K895" i="3"/>
  <c r="H895" i="3"/>
  <c r="G895" i="3"/>
  <c r="C2633" i="8" s="1"/>
  <c r="N895" i="3"/>
  <c r="AC11" i="10"/>
  <c r="AB24" i="10"/>
  <c r="AB25" i="10" s="1"/>
  <c r="C3503" i="8"/>
  <c r="C2041" i="8"/>
  <c r="C2005" i="8"/>
  <c r="C2388" i="8"/>
  <c r="C2530" i="8"/>
  <c r="C2369" i="8"/>
  <c r="C2784" i="8"/>
  <c r="C3287" i="8"/>
  <c r="C3519" i="8"/>
  <c r="C3392" i="8"/>
  <c r="C2329" i="8"/>
  <c r="C2137" i="8"/>
  <c r="C2596" i="8"/>
  <c r="C2710" i="8"/>
  <c r="C2802" i="8"/>
  <c r="C2983" i="8"/>
  <c r="C3434" i="8"/>
  <c r="C3689" i="8"/>
  <c r="C3331" i="8"/>
  <c r="I397" i="5"/>
  <c r="F397" i="5"/>
  <c r="C398" i="5"/>
  <c r="C3171" i="8"/>
  <c r="C3208" i="8"/>
  <c r="C1634" i="8"/>
  <c r="C3368" i="8"/>
  <c r="C2528" i="8"/>
  <c r="C3382" i="8"/>
  <c r="C3257" i="8"/>
  <c r="C3179" i="8"/>
  <c r="C3122" i="8"/>
  <c r="C3536" i="8"/>
  <c r="C1529" i="8"/>
  <c r="C3402" i="8"/>
  <c r="C3124" i="8"/>
  <c r="C3192" i="8"/>
  <c r="C1478" i="8"/>
  <c r="C3640" i="8"/>
  <c r="C3379" i="8"/>
  <c r="C3286" i="8"/>
  <c r="C3244" i="8"/>
  <c r="C1625" i="8"/>
  <c r="C1699" i="8"/>
  <c r="C1886" i="8"/>
  <c r="C2021" i="8"/>
  <c r="C2057" i="8"/>
  <c r="C2216" i="8"/>
  <c r="C2338" i="8"/>
  <c r="C2757" i="8"/>
  <c r="C2661" i="8"/>
  <c r="C2834" i="8"/>
  <c r="C3050" i="8"/>
  <c r="C3127" i="8"/>
  <c r="C3154" i="8"/>
  <c r="C3387" i="8"/>
  <c r="C3636" i="8"/>
  <c r="C3130" i="8"/>
  <c r="C2874" i="8"/>
  <c r="C2787" i="8"/>
  <c r="C2664" i="8"/>
  <c r="C3063" i="8"/>
  <c r="C2927" i="8"/>
  <c r="C3204" i="8"/>
  <c r="C3704" i="8"/>
  <c r="C3658" i="8"/>
  <c r="C2457" i="8"/>
  <c r="C2365" i="8"/>
  <c r="C2690" i="8"/>
  <c r="C3210" i="8"/>
  <c r="C3231" i="8"/>
  <c r="C2949" i="8"/>
  <c r="C3641" i="8"/>
  <c r="C3701" i="8"/>
  <c r="C2042" i="8"/>
  <c r="C2310" i="8"/>
  <c r="C2289" i="8"/>
  <c r="C2823" i="8"/>
  <c r="C2387" i="8"/>
  <c r="C2991" i="8"/>
  <c r="C2708" i="8"/>
  <c r="C2800" i="8"/>
  <c r="C2971" i="8"/>
  <c r="C3343" i="8"/>
  <c r="C3612" i="8"/>
  <c r="C3711" i="8"/>
  <c r="C2416" i="8"/>
  <c r="C2412" i="8"/>
  <c r="C2645" i="8"/>
  <c r="C2565" i="8"/>
  <c r="C2811" i="8"/>
  <c r="C2928" i="8"/>
  <c r="C2829" i="8"/>
  <c r="C2976" i="8"/>
  <c r="C3211" i="8"/>
  <c r="C3406" i="8"/>
  <c r="C3470" i="8"/>
  <c r="C1820" i="8"/>
  <c r="C1728" i="8"/>
  <c r="C1773" i="8"/>
  <c r="C1663" i="8"/>
  <c r="C2085" i="8"/>
  <c r="C1851" i="8"/>
  <c r="C2138" i="8"/>
  <c r="C2571" i="8"/>
  <c r="C2246" i="8"/>
  <c r="C2073" i="8"/>
  <c r="C2438" i="8"/>
  <c r="C2673" i="8"/>
  <c r="C2779" i="8"/>
  <c r="C2762" i="8"/>
  <c r="C2916" i="8"/>
  <c r="C2844" i="8"/>
  <c r="C2956" i="8"/>
  <c r="C2851" i="8"/>
  <c r="C2981" i="8"/>
  <c r="C3628" i="8"/>
  <c r="C3678" i="8"/>
  <c r="C3666" i="8"/>
  <c r="C1477" i="8"/>
  <c r="C1978" i="8"/>
  <c r="C2309" i="8"/>
  <c r="C2346" i="8"/>
  <c r="C2480" i="8"/>
  <c r="C2194" i="8"/>
  <c r="C2272" i="8"/>
  <c r="C2282" i="8"/>
  <c r="C2503" i="8"/>
  <c r="C2428" i="8"/>
  <c r="C2557" i="8"/>
  <c r="C2679" i="8"/>
  <c r="C2609" i="8"/>
  <c r="C2906" i="8"/>
  <c r="C2934" i="8"/>
  <c r="C3027" i="8"/>
  <c r="C2783" i="8"/>
  <c r="C2945" i="8"/>
  <c r="C3421" i="8"/>
  <c r="C3259" i="8"/>
  <c r="C3598" i="8"/>
  <c r="C3595" i="8"/>
  <c r="C3293" i="8"/>
  <c r="C1631" i="8"/>
  <c r="K894" i="3"/>
  <c r="O894" i="3"/>
  <c r="G894" i="3"/>
  <c r="C2117" i="8" s="1"/>
  <c r="H894" i="3"/>
  <c r="N894" i="3"/>
  <c r="M894" i="3"/>
  <c r="J894" i="3"/>
  <c r="D1490" i="8" s="1"/>
  <c r="G1490" i="8" s="1"/>
  <c r="L894" i="3"/>
  <c r="S1238" i="2"/>
  <c r="S55" i="10"/>
  <c r="K402" i="5"/>
  <c r="N401" i="5"/>
  <c r="R1238" i="2"/>
  <c r="Q1239" i="2" s="1"/>
  <c r="F2219" i="5" l="1"/>
  <c r="I2219" i="5"/>
  <c r="C2220" i="5"/>
  <c r="N2219" i="5"/>
  <c r="Q2219" i="5"/>
  <c r="K2220" i="5"/>
  <c r="C3540" i="8"/>
  <c r="C2613" i="8"/>
  <c r="C2335" i="8"/>
  <c r="C3234" i="8"/>
  <c r="C2705" i="8"/>
  <c r="C3449" i="8"/>
  <c r="C2846" i="8"/>
  <c r="C3560" i="8"/>
  <c r="C2826" i="8"/>
  <c r="C2159" i="8"/>
  <c r="C1861" i="8"/>
  <c r="C3455" i="8"/>
  <c r="C3261" i="8"/>
  <c r="C3303" i="8"/>
  <c r="C3377" i="8"/>
  <c r="C3128" i="8"/>
  <c r="C1667" i="8"/>
  <c r="C3414" i="8"/>
  <c r="C2797" i="8"/>
  <c r="C2462" i="8"/>
  <c r="C3029" i="8"/>
  <c r="C2665" i="8"/>
  <c r="C2193" i="8"/>
  <c r="C2410" i="8"/>
  <c r="C3322" i="8"/>
  <c r="C2347" i="8"/>
  <c r="C1991" i="8"/>
  <c r="C3442" i="8"/>
  <c r="C2692" i="8"/>
  <c r="C2132" i="8"/>
  <c r="C3617" i="8"/>
  <c r="C2707" i="8"/>
  <c r="C2300" i="8"/>
  <c r="C3596" i="8"/>
  <c r="C2685" i="8"/>
  <c r="C2288" i="8"/>
  <c r="C3639" i="8"/>
  <c r="C2879" i="8"/>
  <c r="C3376" i="8"/>
  <c r="C2818" i="8"/>
  <c r="C2397" i="8"/>
  <c r="C2909" i="8"/>
  <c r="C2473" i="8"/>
  <c r="C3112" i="8"/>
  <c r="C2475" i="8"/>
  <c r="D3271" i="8"/>
  <c r="G3271" i="8" s="1"/>
  <c r="D2959" i="8"/>
  <c r="G2959" i="8" s="1"/>
  <c r="D2322" i="8"/>
  <c r="G2322" i="8" s="1"/>
  <c r="D3409" i="8"/>
  <c r="G3409" i="8" s="1"/>
  <c r="D3034" i="8"/>
  <c r="G3034" i="8" s="1"/>
  <c r="D3540" i="8"/>
  <c r="G3540" i="8" s="1"/>
  <c r="D3115" i="8"/>
  <c r="G3115" i="8" s="1"/>
  <c r="D3140" i="8"/>
  <c r="G3140" i="8" s="1"/>
  <c r="D2837" i="8"/>
  <c r="G2837" i="8" s="1"/>
  <c r="D2218" i="8"/>
  <c r="G2218" i="8" s="1"/>
  <c r="D2415" i="8"/>
  <c r="G2415" i="8" s="1"/>
  <c r="D2455" i="8"/>
  <c r="G2455" i="8" s="1"/>
  <c r="D2740" i="8"/>
  <c r="G2740" i="8" s="1"/>
  <c r="D2722" i="8"/>
  <c r="G2722" i="8" s="1"/>
  <c r="D3000" i="8"/>
  <c r="G3000" i="8" s="1"/>
  <c r="D2663" i="8"/>
  <c r="G2663" i="8" s="1"/>
  <c r="D1653" i="8"/>
  <c r="G1653" i="8" s="1"/>
  <c r="D3273" i="8"/>
  <c r="G3273" i="8" s="1"/>
  <c r="D2283" i="8"/>
  <c r="G2283" i="8" s="1"/>
  <c r="D2152" i="8"/>
  <c r="G2152" i="8" s="1"/>
  <c r="D2287" i="8"/>
  <c r="G2287" i="8" s="1"/>
  <c r="D2978" i="8"/>
  <c r="G2978" i="8" s="1"/>
  <c r="D2449" i="8"/>
  <c r="G2449" i="8" s="1"/>
  <c r="D2006" i="8"/>
  <c r="G2006" i="8" s="1"/>
  <c r="D3089" i="8"/>
  <c r="G3089" i="8" s="1"/>
  <c r="D3065" i="8"/>
  <c r="G3065" i="8" s="1"/>
  <c r="D1949" i="8"/>
  <c r="G1949" i="8" s="1"/>
  <c r="D1800" i="8"/>
  <c r="G1800" i="8" s="1"/>
  <c r="D3414" i="8"/>
  <c r="G3414" i="8" s="1"/>
  <c r="D1563" i="8"/>
  <c r="G1563" i="8" s="1"/>
  <c r="D1614" i="8"/>
  <c r="G1614" i="8" s="1"/>
  <c r="D3191" i="8"/>
  <c r="G3191" i="8" s="1"/>
  <c r="D2816" i="8"/>
  <c r="G2816" i="8" s="1"/>
  <c r="D2078" i="8"/>
  <c r="G2078" i="8" s="1"/>
  <c r="D1929" i="8"/>
  <c r="G1929" i="8" s="1"/>
  <c r="D2983" i="8"/>
  <c r="G2983" i="8" s="1"/>
  <c r="D2212" i="8"/>
  <c r="G2212" i="8" s="1"/>
  <c r="D1831" i="8"/>
  <c r="G1831" i="8" s="1"/>
  <c r="D1602" i="8"/>
  <c r="G1602" i="8" s="1"/>
  <c r="D3576" i="8"/>
  <c r="G3576" i="8" s="1"/>
  <c r="D1901" i="8"/>
  <c r="G1901" i="8" s="1"/>
  <c r="D1591" i="8"/>
  <c r="G1591" i="8" s="1"/>
  <c r="D3079" i="8"/>
  <c r="G3079" i="8" s="1"/>
  <c r="D3523" i="8"/>
  <c r="G3523" i="8" s="1"/>
  <c r="D2680" i="8"/>
  <c r="G2680" i="8" s="1"/>
  <c r="D1933" i="8"/>
  <c r="G1933" i="8" s="1"/>
  <c r="D1713" i="8"/>
  <c r="G1713" i="8" s="1"/>
  <c r="D2714" i="8"/>
  <c r="G2714" i="8" s="1"/>
  <c r="D1637" i="8"/>
  <c r="G1637" i="8" s="1"/>
  <c r="D3188" i="8"/>
  <c r="G3188" i="8" s="1"/>
  <c r="D3431" i="8"/>
  <c r="G3431" i="8" s="1"/>
  <c r="D2465" i="8"/>
  <c r="G2465" i="8" s="1"/>
  <c r="D3225" i="8"/>
  <c r="G3225" i="8" s="1"/>
  <c r="D1471" i="8"/>
  <c r="G1471" i="8" s="1"/>
  <c r="D3334" i="8"/>
  <c r="G3334" i="8" s="1"/>
  <c r="D2497" i="8"/>
  <c r="G2497" i="8" s="1"/>
  <c r="D2956" i="8"/>
  <c r="G2956" i="8" s="1"/>
  <c r="D1640" i="8"/>
  <c r="G1640" i="8" s="1"/>
  <c r="D1954" i="8"/>
  <c r="G1954" i="8" s="1"/>
  <c r="D3184" i="8"/>
  <c r="G3184" i="8" s="1"/>
  <c r="D2776" i="8"/>
  <c r="G2776" i="8" s="1"/>
  <c r="D3351" i="8"/>
  <c r="G3351" i="8" s="1"/>
  <c r="D2823" i="8"/>
  <c r="G2823" i="8" s="1"/>
  <c r="D2063" i="8"/>
  <c r="G2063" i="8" s="1"/>
  <c r="D1749" i="8"/>
  <c r="G1749" i="8" s="1"/>
  <c r="D3618" i="8"/>
  <c r="G3618" i="8" s="1"/>
  <c r="D2022" i="8"/>
  <c r="G2022" i="8" s="1"/>
  <c r="D1573" i="8"/>
  <c r="G1573" i="8" s="1"/>
  <c r="D2222" i="8"/>
  <c r="G2222" i="8" s="1"/>
  <c r="D3626" i="8"/>
  <c r="G3626" i="8" s="1"/>
  <c r="D1709" i="8"/>
  <c r="G1709" i="8" s="1"/>
  <c r="D3466" i="8"/>
  <c r="G3466" i="8" s="1"/>
  <c r="D2805" i="8"/>
  <c r="G2805" i="8" s="1"/>
  <c r="D3366" i="8"/>
  <c r="G3366" i="8" s="1"/>
  <c r="D3158" i="8"/>
  <c r="G3158" i="8" s="1"/>
  <c r="D3096" i="8"/>
  <c r="G3096" i="8" s="1"/>
  <c r="D2464" i="8"/>
  <c r="G2464" i="8" s="1"/>
  <c r="D3418" i="8"/>
  <c r="G3418" i="8" s="1"/>
  <c r="D2928" i="8"/>
  <c r="G2928" i="8" s="1"/>
  <c r="D2631" i="8"/>
  <c r="G2631" i="8" s="1"/>
  <c r="D2290" i="8"/>
  <c r="G2290" i="8" s="1"/>
  <c r="D2922" i="8"/>
  <c r="G2922" i="8" s="1"/>
  <c r="D1684" i="8"/>
  <c r="G1684" i="8" s="1"/>
  <c r="D3170" i="8"/>
  <c r="G3170" i="8" s="1"/>
  <c r="D1829" i="8"/>
  <c r="G1829" i="8" s="1"/>
  <c r="D3146" i="8"/>
  <c r="G3146" i="8" s="1"/>
  <c r="D2278" i="8"/>
  <c r="G2278" i="8" s="1"/>
  <c r="D2331" i="8"/>
  <c r="G2331" i="8" s="1"/>
  <c r="D1783" i="8"/>
  <c r="G1783" i="8" s="1"/>
  <c r="D3349" i="8"/>
  <c r="G3349" i="8" s="1"/>
  <c r="D1785" i="8"/>
  <c r="G1785" i="8" s="1"/>
  <c r="D2004" i="8"/>
  <c r="G2004" i="8" s="1"/>
  <c r="D2672" i="8"/>
  <c r="G2672" i="8" s="1"/>
  <c r="D3190" i="8"/>
  <c r="G3190" i="8" s="1"/>
  <c r="D2596" i="8"/>
  <c r="G2596" i="8" s="1"/>
  <c r="D2700" i="8"/>
  <c r="G2700" i="8" s="1"/>
  <c r="D3429" i="8"/>
  <c r="G3429" i="8" s="1"/>
  <c r="D3120" i="8"/>
  <c r="G3120" i="8" s="1"/>
  <c r="D3677" i="8"/>
  <c r="G3677" i="8" s="1"/>
  <c r="D1521" i="8"/>
  <c r="G1521" i="8" s="1"/>
  <c r="D2248" i="8"/>
  <c r="G2248" i="8" s="1"/>
  <c r="D2181" i="8"/>
  <c r="G2181" i="8" s="1"/>
  <c r="C2623" i="8"/>
  <c r="C3239" i="8"/>
  <c r="C2714" i="8"/>
  <c r="C2123" i="8"/>
  <c r="C3302" i="8"/>
  <c r="C2877" i="8"/>
  <c r="C3229" i="8"/>
  <c r="C2683" i="8"/>
  <c r="C3140" i="8"/>
  <c r="C2724" i="8"/>
  <c r="C2348" i="8"/>
  <c r="C1647" i="8"/>
  <c r="C3620" i="8"/>
  <c r="C3558" i="8"/>
  <c r="C1809" i="8"/>
  <c r="C3345" i="8"/>
  <c r="C3572" i="8"/>
  <c r="C3557" i="8"/>
  <c r="C3599" i="8"/>
  <c r="C2667" i="8"/>
  <c r="C2124" i="8"/>
  <c r="C3301" i="8"/>
  <c r="C2593" i="8"/>
  <c r="C1927" i="8"/>
  <c r="C3258" i="8"/>
  <c r="C3020" i="8"/>
  <c r="C2525" i="8"/>
  <c r="C1986" i="8"/>
  <c r="C3308" i="8"/>
  <c r="C2957" i="8"/>
  <c r="C2476" i="8"/>
  <c r="C3613" i="8"/>
  <c r="C2760" i="8"/>
  <c r="C2036" i="8"/>
  <c r="C3606" i="8"/>
  <c r="C2720" i="8"/>
  <c r="C2014" i="8"/>
  <c r="C3690" i="8"/>
  <c r="C2751" i="8"/>
  <c r="C1498" i="8"/>
  <c r="C3002" i="8"/>
  <c r="C3417" i="8"/>
  <c r="C3034" i="8"/>
  <c r="C2433" i="8"/>
  <c r="C3217" i="8"/>
  <c r="C2695" i="8"/>
  <c r="D3123" i="8"/>
  <c r="G3123" i="8" s="1"/>
  <c r="D1799" i="8"/>
  <c r="G1799" i="8" s="1"/>
  <c r="D2302" i="8"/>
  <c r="G2302" i="8" s="1"/>
  <c r="D3369" i="8"/>
  <c r="G3369" i="8" s="1"/>
  <c r="D2781" i="8"/>
  <c r="G2781" i="8" s="1"/>
  <c r="D2895" i="8"/>
  <c r="G2895" i="8" s="1"/>
  <c r="D2585" i="8"/>
  <c r="G2585" i="8" s="1"/>
  <c r="D2422" i="8"/>
  <c r="G2422" i="8" s="1"/>
  <c r="D2295" i="8"/>
  <c r="G2295" i="8" s="1"/>
  <c r="D2793" i="8"/>
  <c r="G2793" i="8" s="1"/>
  <c r="D2162" i="8"/>
  <c r="G2162" i="8" s="1"/>
  <c r="D3434" i="8"/>
  <c r="G3434" i="8" s="1"/>
  <c r="D3047" i="8"/>
  <c r="G3047" i="8" s="1"/>
  <c r="D1504" i="8"/>
  <c r="G1504" i="8" s="1"/>
  <c r="D1879" i="8"/>
  <c r="G1879" i="8" s="1"/>
  <c r="D1762" i="8"/>
  <c r="G1762" i="8" s="1"/>
  <c r="D1985" i="8"/>
  <c r="G1985" i="8" s="1"/>
  <c r="D3379" i="8"/>
  <c r="G3379" i="8" s="1"/>
  <c r="D3017" i="8"/>
  <c r="G3017" i="8" s="1"/>
  <c r="D1586" i="8"/>
  <c r="G1586" i="8" s="1"/>
  <c r="D2440" i="8"/>
  <c r="G2440" i="8" s="1"/>
  <c r="D2403" i="8"/>
  <c r="G2403" i="8" s="1"/>
  <c r="D2404" i="8"/>
  <c r="G2404" i="8" s="1"/>
  <c r="D3068" i="8"/>
  <c r="G3068" i="8" s="1"/>
  <c r="D1894" i="8"/>
  <c r="G1894" i="8" s="1"/>
  <c r="D2338" i="8"/>
  <c r="G2338" i="8" s="1"/>
  <c r="D1790" i="8"/>
  <c r="G1790" i="8" s="1"/>
  <c r="D1510" i="8"/>
  <c r="G1510" i="8" s="1"/>
  <c r="D2844" i="8"/>
  <c r="G2844" i="8" s="1"/>
  <c r="D1988" i="8"/>
  <c r="G1988" i="8" s="1"/>
  <c r="D1681" i="8"/>
  <c r="G1681" i="8" s="1"/>
  <c r="D3050" i="8"/>
  <c r="G3050" i="8" s="1"/>
  <c r="D3567" i="8"/>
  <c r="G3567" i="8" s="1"/>
  <c r="D2519" i="8"/>
  <c r="G2519" i="8" s="1"/>
  <c r="D2201" i="8"/>
  <c r="G2201" i="8" s="1"/>
  <c r="D3521" i="8"/>
  <c r="G3521" i="8" s="1"/>
  <c r="D2667" i="8"/>
  <c r="G2667" i="8" s="1"/>
  <c r="D2259" i="8"/>
  <c r="G2259" i="8" s="1"/>
  <c r="D2310" i="8"/>
  <c r="G2310" i="8" s="1"/>
  <c r="D2967" i="8"/>
  <c r="G2967" i="8" s="1"/>
  <c r="D2073" i="8"/>
  <c r="G2073" i="8" s="1"/>
  <c r="D1838" i="8"/>
  <c r="G1838" i="8" s="1"/>
  <c r="D2207" i="8"/>
  <c r="G2207" i="8" s="1"/>
  <c r="D2927" i="8"/>
  <c r="G2927" i="8" s="1"/>
  <c r="D3593" i="8"/>
  <c r="G3593" i="8" s="1"/>
  <c r="D2481" i="8"/>
  <c r="G2481" i="8" s="1"/>
  <c r="D2414" i="8"/>
  <c r="G2414" i="8" s="1"/>
  <c r="D3151" i="8"/>
  <c r="G3151" i="8" s="1"/>
  <c r="D3436" i="8"/>
  <c r="G3436" i="8" s="1"/>
  <c r="D1690" i="8"/>
  <c r="G1690" i="8" s="1"/>
  <c r="D1569" i="8"/>
  <c r="G1569" i="8" s="1"/>
  <c r="D3252" i="8"/>
  <c r="G3252" i="8" s="1"/>
  <c r="D3533" i="8"/>
  <c r="G3533" i="8" s="1"/>
  <c r="D1706" i="8"/>
  <c r="G1706" i="8" s="1"/>
  <c r="D1565" i="8"/>
  <c r="G1565" i="8" s="1"/>
  <c r="D3324" i="8"/>
  <c r="G3324" i="8" s="1"/>
  <c r="D3632" i="8"/>
  <c r="G3632" i="8" s="1"/>
  <c r="D3535" i="8"/>
  <c r="G3535" i="8" s="1"/>
  <c r="D1677" i="8"/>
  <c r="G1677" i="8" s="1"/>
  <c r="D1767" i="8"/>
  <c r="G1767" i="8" s="1"/>
  <c r="D2080" i="8"/>
  <c r="G2080" i="8" s="1"/>
  <c r="D3312" i="8"/>
  <c r="G3312" i="8" s="1"/>
  <c r="D2935" i="8"/>
  <c r="G2935" i="8" s="1"/>
  <c r="D2704" i="8"/>
  <c r="G2704" i="8" s="1"/>
  <c r="D2142" i="8"/>
  <c r="G2142" i="8" s="1"/>
  <c r="D2884" i="8"/>
  <c r="G2884" i="8" s="1"/>
  <c r="D2552" i="8"/>
  <c r="G2552" i="8" s="1"/>
  <c r="D1968" i="8"/>
  <c r="G1968" i="8" s="1"/>
  <c r="D1875" i="8"/>
  <c r="G1875" i="8" s="1"/>
  <c r="D3085" i="8"/>
  <c r="G3085" i="8" s="1"/>
  <c r="D1739" i="8"/>
  <c r="G1739" i="8" s="1"/>
  <c r="D2244" i="8"/>
  <c r="G2244" i="8" s="1"/>
  <c r="D2401" i="8"/>
  <c r="G2401" i="8" s="1"/>
  <c r="D3314" i="8"/>
  <c r="G3314" i="8" s="1"/>
  <c r="D1724" i="8"/>
  <c r="G1724" i="8" s="1"/>
  <c r="D2272" i="8"/>
  <c r="G2272" i="8" s="1"/>
  <c r="D3442" i="8"/>
  <c r="G3442" i="8" s="1"/>
  <c r="D3517" i="8"/>
  <c r="G3517" i="8" s="1"/>
  <c r="D1937" i="8"/>
  <c r="G1937" i="8" s="1"/>
  <c r="D3106" i="8"/>
  <c r="G3106" i="8" s="1"/>
  <c r="D3002" i="8"/>
  <c r="G3002" i="8" s="1"/>
  <c r="D3633" i="8"/>
  <c r="G3633" i="8" s="1"/>
  <c r="D2365" i="8"/>
  <c r="G2365" i="8" s="1"/>
  <c r="D1716" i="8"/>
  <c r="G1716" i="8" s="1"/>
  <c r="D2868" i="8"/>
  <c r="G2868" i="8" s="1"/>
  <c r="D3572" i="8"/>
  <c r="G3572" i="8" s="1"/>
  <c r="D3011" i="8"/>
  <c r="G3011" i="8" s="1"/>
  <c r="D2892" i="8"/>
  <c r="G2892" i="8" s="1"/>
  <c r="D2154" i="8"/>
  <c r="G2154" i="8" s="1"/>
  <c r="D3257" i="8"/>
  <c r="G3257" i="8" s="1"/>
  <c r="D1641" i="8"/>
  <c r="G1641" i="8" s="1"/>
  <c r="D1912" i="8"/>
  <c r="G1912" i="8" s="1"/>
  <c r="D1754" i="8"/>
  <c r="G1754" i="8" s="1"/>
  <c r="D3299" i="8"/>
  <c r="G3299" i="8" s="1"/>
  <c r="D1982" i="8"/>
  <c r="G1982" i="8" s="1"/>
  <c r="D1862" i="8"/>
  <c r="G1862" i="8" s="1"/>
  <c r="D2086" i="8"/>
  <c r="G2086" i="8" s="1"/>
  <c r="D3683" i="8"/>
  <c r="G3683" i="8" s="1"/>
  <c r="D3487" i="8"/>
  <c r="G3487" i="8" s="1"/>
  <c r="D3573" i="8"/>
  <c r="G3573" i="8" s="1"/>
  <c r="D2147" i="8"/>
  <c r="G2147" i="8" s="1"/>
  <c r="D2346" i="8"/>
  <c r="G2346" i="8" s="1"/>
  <c r="C2827" i="8"/>
  <c r="C2186" i="8"/>
  <c r="C3133" i="8"/>
  <c r="C3340" i="8"/>
  <c r="C1881" i="8"/>
  <c r="C2648" i="8"/>
  <c r="C3567" i="8"/>
  <c r="C3169" i="8"/>
  <c r="C2607" i="8"/>
  <c r="C2577" i="8"/>
  <c r="C2924" i="8"/>
  <c r="C2592" i="8"/>
  <c r="C3044" i="8"/>
  <c r="C2570" i="8"/>
  <c r="C2905" i="8"/>
  <c r="C2718" i="8"/>
  <c r="C1973" i="8"/>
  <c r="C1675" i="8"/>
  <c r="C3703" i="8"/>
  <c r="C3381" i="8"/>
  <c r="C3367" i="8"/>
  <c r="C1541" i="8"/>
  <c r="C3205" i="8"/>
  <c r="C1525" i="8"/>
  <c r="C3607" i="8"/>
  <c r="C2639" i="8"/>
  <c r="C2035" i="8"/>
  <c r="C2942" i="8"/>
  <c r="C2524" i="8"/>
  <c r="C2078" i="8"/>
  <c r="C2872" i="8"/>
  <c r="C2533" i="8"/>
  <c r="C2008" i="8"/>
  <c r="C3010" i="8"/>
  <c r="C2520" i="8"/>
  <c r="C1963" i="8"/>
  <c r="C3280" i="8"/>
  <c r="C2897" i="8"/>
  <c r="C2316" i="8"/>
  <c r="C3224" i="8"/>
  <c r="C2824" i="8"/>
  <c r="C2298" i="8"/>
  <c r="C3681" i="8"/>
  <c r="C2640" i="8"/>
  <c r="C3669" i="8"/>
  <c r="C2721" i="8"/>
  <c r="L401" i="5"/>
  <c r="Q400" i="5"/>
  <c r="C2898" i="8"/>
  <c r="C2139" i="8"/>
  <c r="C2990" i="8"/>
  <c r="C2496" i="8"/>
  <c r="D2747" i="8"/>
  <c r="G2747" i="8" s="1"/>
  <c r="D3025" i="8"/>
  <c r="G3025" i="8" s="1"/>
  <c r="D1727" i="8"/>
  <c r="G1727" i="8" s="1"/>
  <c r="D1797" i="8"/>
  <c r="G1797" i="8" s="1"/>
  <c r="D3665" i="8"/>
  <c r="G3665" i="8" s="1"/>
  <c r="D2926" i="8"/>
  <c r="G2926" i="8" s="1"/>
  <c r="D3242" i="8"/>
  <c r="G3242" i="8" s="1"/>
  <c r="D2570" i="8"/>
  <c r="G2570" i="8" s="1"/>
  <c r="D1750" i="8"/>
  <c r="G1750" i="8" s="1"/>
  <c r="D2839" i="8"/>
  <c r="G2839" i="8" s="1"/>
  <c r="D2182" i="8"/>
  <c r="G2182" i="8" s="1"/>
  <c r="D2753" i="8"/>
  <c r="G2753" i="8" s="1"/>
  <c r="D3329" i="8"/>
  <c r="G3329" i="8" s="1"/>
  <c r="D3180" i="8"/>
  <c r="G3180" i="8" s="1"/>
  <c r="D2345" i="8"/>
  <c r="G2345" i="8" s="1"/>
  <c r="D2803" i="8"/>
  <c r="G2803" i="8" s="1"/>
  <c r="D2246" i="8"/>
  <c r="G2246" i="8" s="1"/>
  <c r="D2677" i="8"/>
  <c r="G2677" i="8" s="1"/>
  <c r="D3258" i="8"/>
  <c r="G3258" i="8" s="1"/>
  <c r="D3520" i="8"/>
  <c r="G3520" i="8" s="1"/>
  <c r="D2998" i="8"/>
  <c r="G2998" i="8" s="1"/>
  <c r="D1564" i="8"/>
  <c r="G1564" i="8" s="1"/>
  <c r="D2601" i="8"/>
  <c r="G2601" i="8" s="1"/>
  <c r="D1921" i="8"/>
  <c r="G1921" i="8" s="1"/>
  <c r="D3705" i="8"/>
  <c r="G3705" i="8" s="1"/>
  <c r="D3513" i="8"/>
  <c r="G3513" i="8" s="1"/>
  <c r="D2374" i="8"/>
  <c r="G2374" i="8" s="1"/>
  <c r="D2442" i="8"/>
  <c r="G2442" i="8" s="1"/>
  <c r="D3373" i="8"/>
  <c r="G3373" i="8" s="1"/>
  <c r="D1771" i="8"/>
  <c r="G1771" i="8" s="1"/>
  <c r="D1746" i="8"/>
  <c r="G1746" i="8" s="1"/>
  <c r="D2949" i="8"/>
  <c r="G2949" i="8" s="1"/>
  <c r="D2324" i="8"/>
  <c r="G2324" i="8" s="1"/>
  <c r="D2122" i="8"/>
  <c r="G2122" i="8" s="1"/>
  <c r="D2373" i="8"/>
  <c r="G2373" i="8" s="1"/>
  <c r="D2850" i="8"/>
  <c r="G2850" i="8" s="1"/>
  <c r="D2832" i="8"/>
  <c r="G2832" i="8" s="1"/>
  <c r="D2148" i="8"/>
  <c r="G2148" i="8" s="1"/>
  <c r="D3320" i="8"/>
  <c r="G3320" i="8" s="1"/>
  <c r="D3684" i="8"/>
  <c r="G3684" i="8" s="1"/>
  <c r="D1697" i="8"/>
  <c r="G1697" i="8" s="1"/>
  <c r="D1935" i="8"/>
  <c r="G1935" i="8" s="1"/>
  <c r="D1802" i="8"/>
  <c r="G1802" i="8" s="1"/>
  <c r="D3452" i="8"/>
  <c r="G3452" i="8" s="1"/>
  <c r="D2335" i="8"/>
  <c r="G2335" i="8" s="1"/>
  <c r="D2370" i="8"/>
  <c r="G2370" i="8" s="1"/>
  <c r="D1811" i="8"/>
  <c r="G1811" i="8" s="1"/>
  <c r="D1539" i="8"/>
  <c r="G1539" i="8" s="1"/>
  <c r="D3682" i="8"/>
  <c r="G3682" i="8" s="1"/>
  <c r="D1825" i="8"/>
  <c r="G1825" i="8" s="1"/>
  <c r="D3038" i="8"/>
  <c r="G3038" i="8" s="1"/>
  <c r="D3090" i="8"/>
  <c r="G3090" i="8" s="1"/>
  <c r="D3138" i="8"/>
  <c r="G3138" i="8" s="1"/>
  <c r="D2099" i="8"/>
  <c r="G2099" i="8" s="1"/>
  <c r="D3077" i="8"/>
  <c r="G3077" i="8" s="1"/>
  <c r="D3101" i="8"/>
  <c r="G3101" i="8" s="1"/>
  <c r="D2969" i="8"/>
  <c r="G2969" i="8" s="1"/>
  <c r="D3130" i="8"/>
  <c r="G3130" i="8" s="1"/>
  <c r="D2071" i="8"/>
  <c r="G2071" i="8" s="1"/>
  <c r="D2618" i="8"/>
  <c r="G2618" i="8" s="1"/>
  <c r="D2862" i="8"/>
  <c r="G2862" i="8" s="1"/>
  <c r="D3043" i="8"/>
  <c r="G3043" i="8" s="1"/>
  <c r="D2426" i="8"/>
  <c r="G2426" i="8" s="1"/>
  <c r="D2197" i="8"/>
  <c r="G2197" i="8" s="1"/>
  <c r="D3631" i="8"/>
  <c r="G3631" i="8" s="1"/>
  <c r="D2187" i="8"/>
  <c r="G2187" i="8" s="1"/>
  <c r="D1842" i="8"/>
  <c r="G1842" i="8" s="1"/>
  <c r="D1827" i="8"/>
  <c r="G1827" i="8" s="1"/>
  <c r="D2869" i="8"/>
  <c r="G2869" i="8" s="1"/>
  <c r="D3672" i="8"/>
  <c r="G3672" i="8" s="1"/>
  <c r="D1481" i="8"/>
  <c r="G1481" i="8" s="1"/>
  <c r="D2471" i="8"/>
  <c r="G2471" i="8" s="1"/>
  <c r="D3060" i="8"/>
  <c r="G3060" i="8" s="1"/>
  <c r="D3525" i="8"/>
  <c r="G3525" i="8" s="1"/>
  <c r="D1857" i="8"/>
  <c r="G1857" i="8" s="1"/>
  <c r="D3057" i="8"/>
  <c r="G3057" i="8" s="1"/>
  <c r="D3173" i="8"/>
  <c r="G3173" i="8" s="1"/>
  <c r="D3469" i="8"/>
  <c r="G3469" i="8" s="1"/>
  <c r="D1685" i="8"/>
  <c r="G1685" i="8" s="1"/>
  <c r="D2710" i="8"/>
  <c r="G2710" i="8" s="1"/>
  <c r="D3306" i="8"/>
  <c r="G3306" i="8" s="1"/>
  <c r="D3461" i="8"/>
  <c r="G3461" i="8" s="1"/>
  <c r="D1734" i="8"/>
  <c r="G1734" i="8" s="1"/>
  <c r="D1918" i="8"/>
  <c r="G1918" i="8" s="1"/>
  <c r="D2214" i="8"/>
  <c r="G2214" i="8" s="1"/>
  <c r="D3496" i="8"/>
  <c r="G3496" i="8" s="1"/>
  <c r="D2452" i="8"/>
  <c r="G2452" i="8" s="1"/>
  <c r="D2185" i="8"/>
  <c r="G2185" i="8" s="1"/>
  <c r="D1913" i="8"/>
  <c r="G1913" i="8" s="1"/>
  <c r="D3200" i="8"/>
  <c r="G3200" i="8" s="1"/>
  <c r="D1759" i="8"/>
  <c r="G1759" i="8" s="1"/>
  <c r="D3126" i="8"/>
  <c r="G3126" i="8" s="1"/>
  <c r="D1705" i="8"/>
  <c r="G1705" i="8" s="1"/>
  <c r="D3193" i="8"/>
  <c r="G3193" i="8" s="1"/>
  <c r="D1941" i="8"/>
  <c r="G1941" i="8" s="1"/>
  <c r="D1742" i="8"/>
  <c r="G1742" i="8" s="1"/>
  <c r="D1764" i="8"/>
  <c r="G1764" i="8" s="1"/>
  <c r="D1680" i="8"/>
  <c r="G1680" i="8" s="1"/>
  <c r="D3275" i="8"/>
  <c r="G3275" i="8" s="1"/>
  <c r="D3269" i="8"/>
  <c r="G3269" i="8" s="1"/>
  <c r="D3381" i="8"/>
  <c r="G3381" i="8" s="1"/>
  <c r="D1822" i="8"/>
  <c r="G1822" i="8" s="1"/>
  <c r="C3696" i="8"/>
  <c r="K403" i="5"/>
  <c r="N402" i="5"/>
  <c r="C2385" i="8"/>
  <c r="C3563" i="8"/>
  <c r="C2838" i="8"/>
  <c r="C2110" i="8"/>
  <c r="C2588" i="8"/>
  <c r="C2950" i="8"/>
  <c r="C3134" i="8"/>
  <c r="C2547" i="8"/>
  <c r="C3102" i="8"/>
  <c r="C2413" i="8"/>
  <c r="C2054" i="8"/>
  <c r="C1649" i="8"/>
  <c r="C3707" i="8"/>
  <c r="C3282" i="8"/>
  <c r="C1632" i="8"/>
  <c r="C3073" i="8"/>
  <c r="C3157" i="8"/>
  <c r="C3094" i="8"/>
  <c r="C3051" i="8"/>
  <c r="C2687" i="8"/>
  <c r="C2220" i="8"/>
  <c r="C2980" i="8"/>
  <c r="C2284" i="8"/>
  <c r="C1903" i="8"/>
  <c r="C2974" i="8"/>
  <c r="C2509" i="8"/>
  <c r="C1947" i="8"/>
  <c r="C2772" i="8"/>
  <c r="C2443" i="8"/>
  <c r="C1981" i="8"/>
  <c r="C3588" i="8"/>
  <c r="C2722" i="8"/>
  <c r="C2499" i="8"/>
  <c r="C3336" i="8"/>
  <c r="C2647" i="8"/>
  <c r="C2374" i="8"/>
  <c r="C3623" i="8"/>
  <c r="C2556" i="8"/>
  <c r="C3699" i="8"/>
  <c r="C2766" i="8"/>
  <c r="C3609" i="8"/>
  <c r="C2958" i="8"/>
  <c r="C2332" i="8"/>
  <c r="C2886" i="8"/>
  <c r="C2451" i="8"/>
  <c r="D2782" i="8"/>
  <c r="G2782" i="8" s="1"/>
  <c r="D1665" i="8"/>
  <c r="G1665" i="8" s="1"/>
  <c r="D2368" i="8"/>
  <c r="G2368" i="8" s="1"/>
  <c r="D2435" i="8"/>
  <c r="G2435" i="8" s="1"/>
  <c r="D1948" i="8"/>
  <c r="G1948" i="8" s="1"/>
  <c r="D2757" i="8"/>
  <c r="G2757" i="8" s="1"/>
  <c r="D1466" i="8"/>
  <c r="G1466" i="8" s="1"/>
  <c r="D3386" i="8"/>
  <c r="G3386" i="8" s="1"/>
  <c r="D2059" i="8"/>
  <c r="G2059" i="8" s="1"/>
  <c r="D2307" i="8"/>
  <c r="G2307" i="8" s="1"/>
  <c r="D2480" i="8"/>
  <c r="G2480" i="8" s="1"/>
  <c r="D2503" i="8"/>
  <c r="G2503" i="8" s="1"/>
  <c r="D2759" i="8"/>
  <c r="G2759" i="8" s="1"/>
  <c r="D2149" i="8"/>
  <c r="G2149" i="8" s="1"/>
  <c r="D2263" i="8"/>
  <c r="G2263" i="8" s="1"/>
  <c r="D1567" i="8"/>
  <c r="G1567" i="8" s="1"/>
  <c r="D3433" i="8"/>
  <c r="G3433" i="8" s="1"/>
  <c r="D2636" i="8"/>
  <c r="G2636" i="8" s="1"/>
  <c r="D1636" i="8"/>
  <c r="G1636" i="8" s="1"/>
  <c r="D1674" i="8"/>
  <c r="G1674" i="8" s="1"/>
  <c r="D3630" i="8"/>
  <c r="G3630" i="8" s="1"/>
  <c r="D3063" i="8"/>
  <c r="G3063" i="8" s="1"/>
  <c r="D3055" i="8"/>
  <c r="G3055" i="8" s="1"/>
  <c r="D2037" i="8"/>
  <c r="G2037" i="8" s="1"/>
  <c r="D3318" i="8"/>
  <c r="G3318" i="8" s="1"/>
  <c r="D2203" i="8"/>
  <c r="G2203" i="8" s="1"/>
  <c r="D1940" i="8"/>
  <c r="G1940" i="8" s="1"/>
  <c r="D3183" i="8"/>
  <c r="G3183" i="8" s="1"/>
  <c r="D3621" i="8"/>
  <c r="G3621" i="8" s="1"/>
  <c r="D2253" i="8"/>
  <c r="G2253" i="8" s="1"/>
  <c r="D1895" i="8"/>
  <c r="G1895" i="8" s="1"/>
  <c r="D3529" i="8"/>
  <c r="G3529" i="8" s="1"/>
  <c r="D2761" i="8"/>
  <c r="G2761" i="8" s="1"/>
  <c r="D2353" i="8"/>
  <c r="G2353" i="8" s="1"/>
  <c r="D2047" i="8"/>
  <c r="G2047" i="8" s="1"/>
  <c r="D3609" i="8"/>
  <c r="G3609" i="8" s="1"/>
  <c r="D2999" i="8"/>
  <c r="G2999" i="8" s="1"/>
  <c r="D2376" i="8"/>
  <c r="G2376" i="8" s="1"/>
  <c r="D2885" i="8"/>
  <c r="G2885" i="8" s="1"/>
  <c r="D3348" i="8"/>
  <c r="G3348" i="8" s="1"/>
  <c r="D2273" i="8"/>
  <c r="G2273" i="8" s="1"/>
  <c r="D1920" i="8"/>
  <c r="G1920" i="8" s="1"/>
  <c r="D1745" i="8"/>
  <c r="G1745" i="8" s="1"/>
  <c r="D2842" i="8"/>
  <c r="G2842" i="8" s="1"/>
  <c r="D2770" i="8"/>
  <c r="G2770" i="8" s="1"/>
  <c r="D3015" i="8"/>
  <c r="G3015" i="8" s="1"/>
  <c r="D2381" i="8"/>
  <c r="G2381" i="8" s="1"/>
  <c r="D2276" i="8"/>
  <c r="G2276" i="8" s="1"/>
  <c r="D2650" i="8"/>
  <c r="G2650" i="8" s="1"/>
  <c r="D1654" i="8"/>
  <c r="G1654" i="8" s="1"/>
  <c r="D2232" i="8"/>
  <c r="G2232" i="8" s="1"/>
  <c r="D2016" i="8"/>
  <c r="G2016" i="8" s="1"/>
  <c r="D3604" i="8"/>
  <c r="G3604" i="8" s="1"/>
  <c r="D1964" i="8"/>
  <c r="G1964" i="8" s="1"/>
  <c r="D1531" i="8"/>
  <c r="G1531" i="8" s="1"/>
  <c r="D2058" i="8"/>
  <c r="G2058" i="8" s="1"/>
  <c r="D3653" i="8"/>
  <c r="G3653" i="8" s="1"/>
  <c r="D2277" i="8"/>
  <c r="G2277" i="8" s="1"/>
  <c r="D1698" i="8"/>
  <c r="G1698" i="8" s="1"/>
  <c r="D1866" i="8"/>
  <c r="G1866" i="8" s="1"/>
  <c r="D3611" i="8"/>
  <c r="G3611" i="8" s="1"/>
  <c r="D3205" i="8"/>
  <c r="G3205" i="8" s="1"/>
  <c r="D3364" i="8"/>
  <c r="G3364" i="8" s="1"/>
  <c r="D2521" i="8"/>
  <c r="G2521" i="8" s="1"/>
  <c r="D2976" i="8"/>
  <c r="G2976" i="8" s="1"/>
  <c r="D1508" i="8"/>
  <c r="G1508" i="8" s="1"/>
  <c r="D2501" i="8"/>
  <c r="G2501" i="8" s="1"/>
  <c r="D2108" i="8"/>
  <c r="G2108" i="8" s="1"/>
  <c r="D2315" i="8"/>
  <c r="G2315" i="8" s="1"/>
  <c r="D3512" i="8"/>
  <c r="G3512" i="8" s="1"/>
  <c r="D1956" i="8"/>
  <c r="G1956" i="8" s="1"/>
  <c r="D3527" i="8"/>
  <c r="G3527" i="8" s="1"/>
  <c r="D1967" i="8"/>
  <c r="G1967" i="8" s="1"/>
  <c r="D3300" i="8"/>
  <c r="G3300" i="8" s="1"/>
  <c r="D1584" i="8"/>
  <c r="G1584" i="8" s="1"/>
  <c r="D1810" i="8"/>
  <c r="G1810" i="8" s="1"/>
  <c r="D3457" i="8"/>
  <c r="G3457" i="8" s="1"/>
  <c r="D3171" i="8"/>
  <c r="G3171" i="8" s="1"/>
  <c r="D1869" i="8"/>
  <c r="G1869" i="8" s="1"/>
  <c r="D2320" i="8"/>
  <c r="G2320" i="8" s="1"/>
  <c r="D3647" i="8"/>
  <c r="G3647" i="8" s="1"/>
  <c r="D2902" i="8"/>
  <c r="G2902" i="8" s="1"/>
  <c r="D2252" i="8"/>
  <c r="G2252" i="8" s="1"/>
  <c r="D1952" i="8"/>
  <c r="G1952" i="8" s="1"/>
  <c r="D2944" i="8"/>
  <c r="G2944" i="8" s="1"/>
  <c r="D3395" i="8"/>
  <c r="G3395" i="8" s="1"/>
  <c r="D3072" i="8"/>
  <c r="G3072" i="8" s="1"/>
  <c r="D2622" i="8"/>
  <c r="G2622" i="8" s="1"/>
  <c r="D2196" i="8"/>
  <c r="G2196" i="8" s="1"/>
  <c r="D3192" i="8"/>
  <c r="G3192" i="8" s="1"/>
  <c r="D2129" i="8"/>
  <c r="G2129" i="8" s="1"/>
  <c r="D1669" i="8"/>
  <c r="G1669" i="8" s="1"/>
  <c r="D1536" i="8"/>
  <c r="G1536" i="8" s="1"/>
  <c r="D3013" i="8"/>
  <c r="G3013" i="8" s="1"/>
  <c r="D2405" i="8"/>
  <c r="G2405" i="8" s="1"/>
  <c r="D2467" i="8"/>
  <c r="G2467" i="8" s="1"/>
  <c r="D1775" i="8"/>
  <c r="G1775" i="8" s="1"/>
  <c r="D3135" i="8"/>
  <c r="G3135" i="8" s="1"/>
  <c r="D3460" i="8"/>
  <c r="G3460" i="8" s="1"/>
  <c r="D3590" i="8"/>
  <c r="G3590" i="8" s="1"/>
  <c r="D2092" i="8"/>
  <c r="G2092" i="8" s="1"/>
  <c r="D2420" i="8"/>
  <c r="G2420" i="8" s="1"/>
  <c r="C2790" i="8"/>
  <c r="C1705" i="8"/>
  <c r="C2709" i="8"/>
  <c r="C3316" i="8"/>
  <c r="C2325" i="8"/>
  <c r="C2680" i="8"/>
  <c r="C3216" i="8"/>
  <c r="C2249" i="8"/>
  <c r="C2799" i="8"/>
  <c r="C2739" i="8"/>
  <c r="C3643" i="8"/>
  <c r="C2883" i="8"/>
  <c r="C3058" i="8"/>
  <c r="C1999" i="8"/>
  <c r="C3072" i="8"/>
  <c r="C2493" i="8"/>
  <c r="C1874" i="8"/>
  <c r="C3335" i="8"/>
  <c r="C2466" i="8"/>
  <c r="C1852" i="8"/>
  <c r="C3136" i="8"/>
  <c r="C2604" i="8"/>
  <c r="C3575" i="8"/>
  <c r="C2658" i="8"/>
  <c r="C3709" i="8"/>
  <c r="C2841" i="8"/>
  <c r="C2046" i="8"/>
  <c r="C3028" i="8"/>
  <c r="C2411" i="8"/>
  <c r="D3556" i="8"/>
  <c r="G3556" i="8" s="1"/>
  <c r="D2847" i="8"/>
  <c r="G2847" i="8" s="1"/>
  <c r="D3066" i="8"/>
  <c r="G3066" i="8" s="1"/>
  <c r="D1465" i="8"/>
  <c r="G1465" i="8" s="1"/>
  <c r="D2742" i="8"/>
  <c r="G2742" i="8" s="1"/>
  <c r="D1474" i="8"/>
  <c r="G1474" i="8" s="1"/>
  <c r="D2482" i="8"/>
  <c r="G2482" i="8" s="1"/>
  <c r="D3636" i="8"/>
  <c r="G3636" i="8" s="1"/>
  <c r="D2544" i="8"/>
  <c r="G2544" i="8" s="1"/>
  <c r="D2138" i="8"/>
  <c r="G2138" i="8" s="1"/>
  <c r="D2285" i="8"/>
  <c r="G2285" i="8" s="1"/>
  <c r="D2867" i="8"/>
  <c r="G2867" i="8" s="1"/>
  <c r="D2881" i="8"/>
  <c r="G2881" i="8" s="1"/>
  <c r="D1671" i="8"/>
  <c r="G1671" i="8" s="1"/>
  <c r="D2751" i="8"/>
  <c r="G2751" i="8" s="1"/>
  <c r="D2547" i="8"/>
  <c r="G2547" i="8" s="1"/>
  <c r="D1819" i="8"/>
  <c r="G1819" i="8" s="1"/>
  <c r="D2351" i="8"/>
  <c r="G2351" i="8" s="1"/>
  <c r="D1888" i="8"/>
  <c r="G1888" i="8" s="1"/>
  <c r="D2077" i="8"/>
  <c r="G2077" i="8" s="1"/>
  <c r="D3376" i="8"/>
  <c r="G3376" i="8" s="1"/>
  <c r="D3592" i="8"/>
  <c r="G3592" i="8" s="1"/>
  <c r="D2555" i="8"/>
  <c r="G2555" i="8" s="1"/>
  <c r="D2934" i="8"/>
  <c r="G2934" i="8" s="1"/>
  <c r="D3078" i="8"/>
  <c r="G3078" i="8" s="1"/>
  <c r="D2886" i="8"/>
  <c r="G2886" i="8" s="1"/>
  <c r="D2439" i="8"/>
  <c r="G2439" i="8" s="1"/>
  <c r="D2266" i="8"/>
  <c r="G2266" i="8" s="1"/>
  <c r="D3432" i="8"/>
  <c r="G3432" i="8" s="1"/>
  <c r="D2901" i="8"/>
  <c r="G2901" i="8" s="1"/>
  <c r="D2174" i="8"/>
  <c r="G2174" i="8" s="1"/>
  <c r="D3154" i="8"/>
  <c r="G3154" i="8" s="1"/>
  <c r="D2623" i="8"/>
  <c r="G2623" i="8" s="1"/>
  <c r="D3058" i="8"/>
  <c r="G3058" i="8" s="1"/>
  <c r="D2525" i="8"/>
  <c r="G2525" i="8" s="1"/>
  <c r="D3539" i="8"/>
  <c r="G3539" i="8" s="1"/>
  <c r="D1609" i="8"/>
  <c r="G1609" i="8" s="1"/>
  <c r="D3041" i="8"/>
  <c r="G3041" i="8" s="1"/>
  <c r="D3675" i="8"/>
  <c r="G3675" i="8" s="1"/>
  <c r="D1528" i="8"/>
  <c r="G1528" i="8" s="1"/>
  <c r="D2741" i="8"/>
  <c r="G2741" i="8" s="1"/>
  <c r="D2336" i="8"/>
  <c r="G2336" i="8" s="1"/>
  <c r="D2238" i="8"/>
  <c r="G2238" i="8" s="1"/>
  <c r="D3663" i="8"/>
  <c r="G3663" i="8" s="1"/>
  <c r="D1693" i="8"/>
  <c r="G1693" i="8" s="1"/>
  <c r="D1872" i="8"/>
  <c r="G1872" i="8" s="1"/>
  <c r="D2848" i="8"/>
  <c r="G2848" i="8" s="1"/>
  <c r="D2701" i="8"/>
  <c r="G2701" i="8" s="1"/>
  <c r="D3308" i="8"/>
  <c r="G3308" i="8" s="1"/>
  <c r="D2326" i="8"/>
  <c r="G2326" i="8" s="1"/>
  <c r="D1815" i="8"/>
  <c r="G1815" i="8" s="1"/>
  <c r="D1589" i="8"/>
  <c r="G1589" i="8" s="1"/>
  <c r="D3304" i="8"/>
  <c r="G3304" i="8" s="1"/>
  <c r="D2494" i="8"/>
  <c r="G2494" i="8" s="1"/>
  <c r="D2188" i="8"/>
  <c r="G2188" i="8" s="1"/>
  <c r="D1807" i="8"/>
  <c r="G1807" i="8" s="1"/>
  <c r="D3169" i="8"/>
  <c r="G3169" i="8" s="1"/>
  <c r="D2282" i="8"/>
  <c r="G2282" i="8" s="1"/>
  <c r="D2364" i="8"/>
  <c r="G2364" i="8" s="1"/>
  <c r="D1965" i="8"/>
  <c r="G1965" i="8" s="1"/>
  <c r="D1740" i="8"/>
  <c r="G1740" i="8" s="1"/>
  <c r="D3652" i="8"/>
  <c r="G3652" i="8" s="1"/>
  <c r="D1580" i="8"/>
  <c r="G1580" i="8" s="1"/>
  <c r="D3440" i="8"/>
  <c r="G3440" i="8" s="1"/>
  <c r="D3692" i="8"/>
  <c r="G3692" i="8" s="1"/>
  <c r="D2718" i="8"/>
  <c r="G2718" i="8" s="1"/>
  <c r="D3133" i="8"/>
  <c r="G3133" i="8" s="1"/>
  <c r="D2800" i="8"/>
  <c r="G2800" i="8" s="1"/>
  <c r="D2393" i="8"/>
  <c r="G2393" i="8" s="1"/>
  <c r="D3144" i="8"/>
  <c r="G3144" i="8" s="1"/>
  <c r="D2504" i="8"/>
  <c r="G2504" i="8" s="1"/>
  <c r="D2135" i="8"/>
  <c r="G2135" i="8" s="1"/>
  <c r="D2074" i="8"/>
  <c r="G2074" i="8" s="1"/>
  <c r="D1660" i="8"/>
  <c r="G1660" i="8" s="1"/>
  <c r="D2114" i="8"/>
  <c r="G2114" i="8" s="1"/>
  <c r="D1672" i="8"/>
  <c r="G1672" i="8" s="1"/>
  <c r="D3606" i="8"/>
  <c r="G3606" i="8" s="1"/>
  <c r="D3355" i="8"/>
  <c r="G3355" i="8" s="1"/>
  <c r="D2133" i="8"/>
  <c r="G2133" i="8" s="1"/>
  <c r="D1712" i="8"/>
  <c r="G1712" i="8" s="1"/>
  <c r="D3448" i="8"/>
  <c r="G3448" i="8" s="1"/>
  <c r="D1664" i="8"/>
  <c r="G1664" i="8" s="1"/>
  <c r="D2577" i="8"/>
  <c r="G2577" i="8" s="1"/>
  <c r="D2380" i="8"/>
  <c r="G2380" i="8" s="1"/>
  <c r="D1990" i="8"/>
  <c r="G1990" i="8" s="1"/>
  <c r="D3704" i="8"/>
  <c r="G3704" i="8" s="1"/>
  <c r="D1516" i="8"/>
  <c r="G1516" i="8" s="1"/>
  <c r="D2961" i="8"/>
  <c r="G2961" i="8" s="1"/>
  <c r="D2921" i="8"/>
  <c r="G2921" i="8" s="1"/>
  <c r="D3297" i="8"/>
  <c r="G3297" i="8" s="1"/>
  <c r="D2360" i="8"/>
  <c r="G2360" i="8" s="1"/>
  <c r="D2258" i="8"/>
  <c r="G2258" i="8" s="1"/>
  <c r="D2228" i="8"/>
  <c r="G2228" i="8" s="1"/>
  <c r="D3503" i="8"/>
  <c r="G3503" i="8" s="1"/>
  <c r="D2831" i="8"/>
  <c r="G2831" i="8" s="1"/>
  <c r="D3032" i="8"/>
  <c r="G3032" i="8" s="1"/>
  <c r="D1939" i="8"/>
  <c r="G1939" i="8" s="1"/>
  <c r="D3179" i="8"/>
  <c r="G3179" i="8" s="1"/>
  <c r="D1659" i="8"/>
  <c r="G1659" i="8" s="1"/>
  <c r="D3583" i="8"/>
  <c r="G3583" i="8" s="1"/>
  <c r="D2691" i="8"/>
  <c r="G2691" i="8" s="1"/>
  <c r="D2473" i="8"/>
  <c r="G2473" i="8" s="1"/>
  <c r="C2386" i="8"/>
  <c r="C3043" i="8"/>
  <c r="C3294" i="8"/>
  <c r="C1574" i="8"/>
  <c r="C2198" i="8"/>
  <c r="C3085" i="8"/>
  <c r="C2608" i="8"/>
  <c r="T1239" i="2"/>
  <c r="T1238" i="2"/>
  <c r="C3279" i="8"/>
  <c r="C2901" i="8"/>
  <c r="C2384" i="8"/>
  <c r="C2372" i="8"/>
  <c r="C3222" i="8"/>
  <c r="C2064" i="8"/>
  <c r="C1847" i="8"/>
  <c r="C2471" i="8"/>
  <c r="C2887" i="8"/>
  <c r="C3570" i="8"/>
  <c r="C2523" i="8"/>
  <c r="C3695" i="8"/>
  <c r="C3091" i="8"/>
  <c r="D2245" i="8"/>
  <c r="G2245" i="8" s="1"/>
  <c r="D3019" i="8"/>
  <c r="G3019" i="8" s="1"/>
  <c r="D1502" i="8"/>
  <c r="G1502" i="8" s="1"/>
  <c r="D2707" i="8"/>
  <c r="G2707" i="8" s="1"/>
  <c r="D2984" i="8"/>
  <c r="G2984" i="8" s="1"/>
  <c r="D2925" i="8"/>
  <c r="G2925" i="8" s="1"/>
  <c r="D2226" i="8"/>
  <c r="G2226" i="8" s="1"/>
  <c r="D1987" i="8"/>
  <c r="G1987" i="8" s="1"/>
  <c r="D3697" i="8"/>
  <c r="G3697" i="8" s="1"/>
  <c r="D1923" i="8"/>
  <c r="G1923" i="8" s="1"/>
  <c r="D1793" i="8"/>
  <c r="G1793" i="8" s="1"/>
  <c r="D1619" i="8"/>
  <c r="G1619" i="8" s="1"/>
  <c r="D2383" i="8"/>
  <c r="G2383" i="8" s="1"/>
  <c r="D3536" i="8"/>
  <c r="G3536" i="8" s="1"/>
  <c r="D2674" i="8"/>
  <c r="G2674" i="8" s="1"/>
  <c r="D3505" i="8"/>
  <c r="G3505" i="8" s="1"/>
  <c r="D2725" i="8"/>
  <c r="G2725" i="8" s="1"/>
  <c r="D2898" i="8"/>
  <c r="G2898" i="8" s="1"/>
  <c r="D2655" i="8"/>
  <c r="G2655" i="8" s="1"/>
  <c r="D1701" i="8"/>
  <c r="G1701" i="8" s="1"/>
  <c r="D3368" i="8"/>
  <c r="G3368" i="8" s="1"/>
  <c r="D3248" i="8"/>
  <c r="G3248" i="8" s="1"/>
  <c r="D2966" i="8"/>
  <c r="G2966" i="8" s="1"/>
  <c r="D1908" i="8"/>
  <c r="G1908" i="8" s="1"/>
  <c r="D1991" i="8"/>
  <c r="G1991" i="8" s="1"/>
  <c r="D2931" i="8"/>
  <c r="G2931" i="8" s="1"/>
  <c r="D1575" i="8"/>
  <c r="G1575" i="8" s="1"/>
  <c r="D1544" i="8"/>
  <c r="G1544" i="8" s="1"/>
  <c r="D3419" i="8"/>
  <c r="G3419" i="8" s="1"/>
  <c r="D2581" i="8"/>
  <c r="G2581" i="8" s="1"/>
  <c r="D3389" i="8"/>
  <c r="G3389" i="8" s="1"/>
  <c r="D1656" i="8"/>
  <c r="G1656" i="8" s="1"/>
  <c r="D1566" i="8"/>
  <c r="G1566" i="8" s="1"/>
  <c r="D2117" i="8"/>
  <c r="G2117" i="8" s="1"/>
  <c r="D1520" i="8"/>
  <c r="G1520" i="8" s="1"/>
  <c r="D3074" i="8"/>
  <c r="G3074" i="8" s="1"/>
  <c r="D2907" i="8"/>
  <c r="G2907" i="8" s="1"/>
  <c r="D2319" i="8"/>
  <c r="G2319" i="8" s="1"/>
  <c r="D2298" i="8"/>
  <c r="G2298" i="8" s="1"/>
  <c r="D3679" i="8"/>
  <c r="G3679" i="8" s="1"/>
  <c r="D2853" i="8"/>
  <c r="G2853" i="8" s="1"/>
  <c r="D2558" i="8"/>
  <c r="G2558" i="8" s="1"/>
  <c r="D2176" i="8"/>
  <c r="G2176" i="8" s="1"/>
  <c r="D2792" i="8"/>
  <c r="G2792" i="8" s="1"/>
  <c r="D2685" i="8"/>
  <c r="G2685" i="8" s="1"/>
  <c r="D2968" i="8"/>
  <c r="G2968" i="8" s="1"/>
  <c r="D2419" i="8"/>
  <c r="G2419" i="8" s="1"/>
  <c r="D2240" i="8"/>
  <c r="G2240" i="8" s="1"/>
  <c r="D3147" i="8"/>
  <c r="G3147" i="8" s="1"/>
  <c r="D2354" i="8"/>
  <c r="G2354" i="8" s="1"/>
  <c r="D2646" i="8"/>
  <c r="G2646" i="8" s="1"/>
  <c r="D3005" i="8"/>
  <c r="G3005" i="8" s="1"/>
  <c r="D3598" i="8"/>
  <c r="G3598" i="8" s="1"/>
  <c r="D2391" i="8"/>
  <c r="G2391" i="8" s="1"/>
  <c r="D1980" i="8"/>
  <c r="G1980" i="8" s="1"/>
  <c r="D2863" i="8"/>
  <c r="G2863" i="8" s="1"/>
  <c r="D3541" i="8"/>
  <c r="G3541" i="8" s="1"/>
  <c r="D2974" i="8"/>
  <c r="G2974" i="8" s="1"/>
  <c r="D2686" i="8"/>
  <c r="G2686" i="8" s="1"/>
  <c r="D2169" i="8"/>
  <c r="G2169" i="8" s="1"/>
  <c r="D2796" i="8"/>
  <c r="G2796" i="8" s="1"/>
  <c r="D2507" i="8"/>
  <c r="G2507" i="8" s="1"/>
  <c r="D2132" i="8"/>
  <c r="G2132" i="8" s="1"/>
  <c r="D3511" i="8"/>
  <c r="G3511" i="8" s="1"/>
  <c r="D2756" i="8"/>
  <c r="G2756" i="8" s="1"/>
  <c r="D2797" i="8"/>
  <c r="G2797" i="8" s="1"/>
  <c r="D2193" i="8"/>
  <c r="G2193" i="8" s="1"/>
  <c r="D2444" i="8"/>
  <c r="G2444" i="8" s="1"/>
  <c r="D2795" i="8"/>
  <c r="G2795" i="8" s="1"/>
  <c r="D3655" i="8"/>
  <c r="G3655" i="8" s="1"/>
  <c r="D3004" i="8"/>
  <c r="G3004" i="8" s="1"/>
  <c r="D2510" i="8"/>
  <c r="G2510" i="8" s="1"/>
  <c r="D3473" i="8"/>
  <c r="G3473" i="8" s="1"/>
  <c r="D1529" i="8"/>
  <c r="G1529" i="8" s="1"/>
  <c r="D1801" i="8"/>
  <c r="G1801" i="8" s="1"/>
  <c r="D2512" i="8"/>
  <c r="G2512" i="8" s="1"/>
  <c r="D3482" i="8"/>
  <c r="G3482" i="8" s="1"/>
  <c r="D3073" i="8"/>
  <c r="G3073" i="8" s="1"/>
  <c r="D2883" i="8"/>
  <c r="G2883" i="8" s="1"/>
  <c r="D2498" i="8"/>
  <c r="G2498" i="8" s="1"/>
  <c r="D3571" i="8"/>
  <c r="G3571" i="8" s="1"/>
  <c r="D3010" i="8"/>
  <c r="G3010" i="8" s="1"/>
  <c r="D2378" i="8"/>
  <c r="G2378" i="8" s="1"/>
  <c r="D2744" i="8"/>
  <c r="G2744" i="8" s="1"/>
  <c r="D3577" i="8"/>
  <c r="G3577" i="8" s="1"/>
  <c r="D2424" i="8"/>
  <c r="G2424" i="8" s="1"/>
  <c r="D3509" i="8"/>
  <c r="G3509" i="8" s="1"/>
  <c r="D3437" i="8"/>
  <c r="G3437" i="8" s="1"/>
  <c r="D2560" i="8"/>
  <c r="G2560" i="8" s="1"/>
  <c r="C3317" i="8"/>
  <c r="C3359" i="8"/>
  <c r="C3404" i="8"/>
  <c r="C3191" i="8"/>
  <c r="C3514" i="8"/>
  <c r="C3082" i="8"/>
  <c r="C3528" i="8"/>
  <c r="C3523" i="8"/>
  <c r="C3361" i="8"/>
  <c r="C3478" i="8"/>
  <c r="C3452" i="8"/>
  <c r="C2051" i="8"/>
  <c r="C3535" i="8"/>
  <c r="C3415" i="8"/>
  <c r="C3538" i="8"/>
  <c r="C3383" i="8"/>
  <c r="C3324" i="8"/>
  <c r="C3278" i="8"/>
  <c r="C3165" i="8"/>
  <c r="C1652" i="8"/>
  <c r="C3178" i="8"/>
  <c r="C3375" i="8"/>
  <c r="C3569" i="8"/>
  <c r="C3291" i="8"/>
  <c r="C3507" i="8"/>
  <c r="C3515" i="8"/>
  <c r="C3338" i="8"/>
  <c r="C3411" i="8"/>
  <c r="C3440" i="8"/>
  <c r="C3500" i="8"/>
  <c r="C3241" i="8"/>
  <c r="C3305" i="8"/>
  <c r="C3373" i="8"/>
  <c r="C1883" i="8"/>
  <c r="C3150" i="8"/>
  <c r="C3431" i="8"/>
  <c r="C1620" i="8"/>
  <c r="C3439" i="8"/>
  <c r="C3240" i="8"/>
  <c r="C3125" i="8"/>
  <c r="C2549" i="8"/>
  <c r="C3374" i="8"/>
  <c r="C3472" i="8"/>
  <c r="C3097" i="8"/>
  <c r="C3272" i="8"/>
  <c r="C1638" i="8"/>
  <c r="C2536" i="8"/>
  <c r="C3451" i="8"/>
  <c r="C3158" i="8"/>
  <c r="C3332" i="8"/>
  <c r="C3531" i="8"/>
  <c r="C2267" i="8"/>
  <c r="C3418" i="8"/>
  <c r="C2599" i="8"/>
  <c r="C3277" i="8"/>
  <c r="C2492" i="8"/>
  <c r="C3265" i="8"/>
  <c r="C2741" i="8"/>
  <c r="C2979" i="8"/>
  <c r="C2848" i="8"/>
  <c r="C2327" i="8"/>
  <c r="C3491" i="8"/>
  <c r="C3634" i="8"/>
  <c r="C2616" i="8"/>
  <c r="C2882" i="8"/>
  <c r="C2657" i="8"/>
  <c r="C2394" i="8"/>
  <c r="C2544" i="8"/>
  <c r="C3184" i="8"/>
  <c r="C3008" i="8"/>
  <c r="C2951" i="8"/>
  <c r="C2366" i="8"/>
  <c r="C2810" i="8"/>
  <c r="C2562" i="8"/>
  <c r="D2107" i="8"/>
  <c r="G2107" i="8" s="1"/>
  <c r="D3688" i="8"/>
  <c r="G3688" i="8" s="1"/>
  <c r="C2806" i="8"/>
  <c r="C3527" i="8"/>
  <c r="C2148" i="8"/>
  <c r="C2995" i="8"/>
  <c r="C2265" i="8"/>
  <c r="C1494" i="8"/>
  <c r="C3680" i="8"/>
  <c r="C3100" i="8"/>
  <c r="C3292" i="8"/>
  <c r="C3223" i="8"/>
  <c r="C3177" i="8"/>
  <c r="C3398" i="8"/>
  <c r="C3351" i="8"/>
  <c r="C2554" i="8"/>
  <c r="C1501" i="8"/>
  <c r="C3064" i="8"/>
  <c r="C2415" i="8"/>
  <c r="C2007" i="8"/>
  <c r="C2853" i="8"/>
  <c r="C2317" i="8"/>
  <c r="C3465" i="8"/>
  <c r="C2850" i="8"/>
  <c r="C2514" i="8"/>
  <c r="C1980" i="8"/>
  <c r="C2986" i="8"/>
  <c r="C2497" i="8"/>
  <c r="C1940" i="8"/>
  <c r="C2952" i="8"/>
  <c r="C2461" i="8"/>
  <c r="C2215" i="8"/>
  <c r="C3253" i="8"/>
  <c r="C2625" i="8"/>
  <c r="C3428" i="8"/>
  <c r="C3083" i="8"/>
  <c r="C3476" i="8"/>
  <c r="C2615" i="8"/>
  <c r="C2245" i="8"/>
  <c r="C2805" i="8"/>
  <c r="C2450" i="8"/>
  <c r="D2306" i="8"/>
  <c r="G2306" i="8" s="1"/>
  <c r="D1469" i="8"/>
  <c r="G1469" i="8" s="1"/>
  <c r="D2899" i="8"/>
  <c r="G2899" i="8" s="1"/>
  <c r="D1733" i="8"/>
  <c r="G1733" i="8" s="1"/>
  <c r="D2392" i="8"/>
  <c r="G2392" i="8" s="1"/>
  <c r="D2824" i="8"/>
  <c r="G2824" i="8" s="1"/>
  <c r="D2989" i="8"/>
  <c r="G2989" i="8" s="1"/>
  <c r="D2777" i="8"/>
  <c r="G2777" i="8" s="1"/>
  <c r="D3337" i="8"/>
  <c r="G3337" i="8" s="1"/>
  <c r="D2010" i="8"/>
  <c r="G2010" i="8" s="1"/>
  <c r="D2576" i="8"/>
  <c r="G2576" i="8" s="1"/>
  <c r="D2626" i="8"/>
  <c r="G2626" i="8" s="1"/>
  <c r="D3040" i="8"/>
  <c r="G3040" i="8" s="1"/>
  <c r="D2341" i="8"/>
  <c r="G2341" i="8" s="1"/>
  <c r="D1663" i="8"/>
  <c r="G1663" i="8" s="1"/>
  <c r="D2388" i="8"/>
  <c r="G2388" i="8" s="1"/>
  <c r="D1699" i="8"/>
  <c r="G1699" i="8" s="1"/>
  <c r="D1971" i="8"/>
  <c r="G1971" i="8" s="1"/>
  <c r="D2459" i="8"/>
  <c r="G2459" i="8" s="1"/>
  <c r="D2791" i="8"/>
  <c r="G2791" i="8" s="1"/>
  <c r="D2361" i="8"/>
  <c r="G2361" i="8" s="1"/>
  <c r="D2476" i="8"/>
  <c r="G2476" i="8" s="1"/>
  <c r="D2308" i="8"/>
  <c r="G2308" i="8" s="1"/>
  <c r="D1794" i="8"/>
  <c r="G1794" i="8" s="1"/>
  <c r="D3122" i="8"/>
  <c r="G3122" i="8" s="1"/>
  <c r="D1519" i="8"/>
  <c r="G1519" i="8" s="1"/>
  <c r="D2131" i="8"/>
  <c r="G2131" i="8" s="1"/>
  <c r="D3654" i="8"/>
  <c r="G3654" i="8" s="1"/>
  <c r="D3703" i="8"/>
  <c r="G3703" i="8" s="1"/>
  <c r="D1592" i="8"/>
  <c r="G1592" i="8" s="1"/>
  <c r="D2173" i="8"/>
  <c r="G2173" i="8" s="1"/>
  <c r="D3470" i="8"/>
  <c r="G3470" i="8" s="1"/>
  <c r="D1676" i="8"/>
  <c r="G1676" i="8" s="1"/>
  <c r="D1694" i="8"/>
  <c r="G1694" i="8" s="1"/>
  <c r="D2303" i="8"/>
  <c r="G2303" i="8" s="1"/>
  <c r="D3599" i="8"/>
  <c r="G3599" i="8" s="1"/>
  <c r="D2768" i="8"/>
  <c r="G2768" i="8" s="1"/>
  <c r="D2007" i="8"/>
  <c r="G2007" i="8" s="1"/>
  <c r="D3614" i="8"/>
  <c r="G3614" i="8" s="1"/>
  <c r="D3298" i="8"/>
  <c r="G3298" i="8" s="1"/>
  <c r="D1723" i="8"/>
  <c r="G1723" i="8" s="1"/>
  <c r="D2546" i="8"/>
  <c r="G2546" i="8" s="1"/>
  <c r="D3507" i="8"/>
  <c r="G3507" i="8" s="1"/>
  <c r="D3211" i="8"/>
  <c r="G3211" i="8" s="1"/>
  <c r="D2264" i="8"/>
  <c r="G2264" i="8" s="1"/>
  <c r="D2550" i="8"/>
  <c r="G2550" i="8" s="1"/>
  <c r="D1769" i="8"/>
  <c r="G1769" i="8" s="1"/>
  <c r="D3608" i="8"/>
  <c r="G3608" i="8" s="1"/>
  <c r="D3699" i="8"/>
  <c r="G3699" i="8" s="1"/>
  <c r="D1715" i="8"/>
  <c r="G1715" i="8" s="1"/>
  <c r="D2947" i="8"/>
  <c r="G2947" i="8" s="1"/>
  <c r="D2705" i="8"/>
  <c r="G2705" i="8" s="1"/>
  <c r="D3597" i="8"/>
  <c r="G3597" i="8" s="1"/>
  <c r="D1911" i="8"/>
  <c r="G1911" i="8" s="1"/>
  <c r="D3316" i="8"/>
  <c r="G3316" i="8" s="1"/>
  <c r="D2613" i="8"/>
  <c r="G2613" i="8" s="1"/>
  <c r="D3620" i="8"/>
  <c r="G3620" i="8" s="1"/>
  <c r="D2170" i="8"/>
  <c r="G2170" i="8" s="1"/>
  <c r="D2656" i="8"/>
  <c r="G2656" i="8" s="1"/>
  <c r="D3150" i="8"/>
  <c r="G3150" i="8" s="1"/>
  <c r="D3049" i="8"/>
  <c r="G3049" i="8" s="1"/>
  <c r="D3497" i="8"/>
  <c r="G3497" i="8" s="1"/>
  <c r="D2764" i="8"/>
  <c r="G2764" i="8" s="1"/>
  <c r="D2072" i="8"/>
  <c r="G2072" i="8" s="1"/>
  <c r="D3613" i="8"/>
  <c r="G3613" i="8" s="1"/>
  <c r="D1905" i="8"/>
  <c r="G1905" i="8" s="1"/>
  <c r="D1974" i="8"/>
  <c r="G1974" i="8" s="1"/>
  <c r="D2224" i="8"/>
  <c r="G2224" i="8" s="1"/>
  <c r="D1545" i="8"/>
  <c r="G1545" i="8" s="1"/>
  <c r="D3216" i="8"/>
  <c r="G3216" i="8" s="1"/>
  <c r="D1537" i="8"/>
  <c r="G1537" i="8" s="1"/>
  <c r="D3030" i="8"/>
  <c r="G3030" i="8" s="1"/>
  <c r="D2879" i="8"/>
  <c r="G2879" i="8" s="1"/>
  <c r="D3516" i="8"/>
  <c r="G3516" i="8" s="1"/>
  <c r="D1542" i="8"/>
  <c r="G1542" i="8" s="1"/>
  <c r="D2569" i="8"/>
  <c r="G2569" i="8" s="1"/>
  <c r="D3124" i="8"/>
  <c r="G3124" i="8" s="1"/>
  <c r="D1884" i="8"/>
  <c r="G1884" i="8" s="1"/>
  <c r="D2553" i="8"/>
  <c r="G2553" i="8" s="1"/>
  <c r="D2608" i="8"/>
  <c r="G2608" i="8" s="1"/>
  <c r="D3691" i="8"/>
  <c r="G3691" i="8" s="1"/>
  <c r="D1631" i="8"/>
  <c r="G1631" i="8" s="1"/>
  <c r="D1934" i="8"/>
  <c r="G1934" i="8" s="1"/>
  <c r="D1638" i="8"/>
  <c r="G1638" i="8" s="1"/>
  <c r="D3165" i="8"/>
  <c r="G3165" i="8" s="1"/>
  <c r="D3561" i="8"/>
  <c r="G3561" i="8" s="1"/>
  <c r="D2070" i="8"/>
  <c r="G2070" i="8" s="1"/>
  <c r="D2091" i="8"/>
  <c r="G2091" i="8" s="1"/>
  <c r="D2840" i="8"/>
  <c r="G2840" i="8" s="1"/>
  <c r="D3528" i="8"/>
  <c r="G3528" i="8" s="1"/>
  <c r="D1649" i="8"/>
  <c r="G1649" i="8" s="1"/>
  <c r="D2981" i="8"/>
  <c r="G2981" i="8" s="1"/>
  <c r="D2818" i="8"/>
  <c r="G2818" i="8" s="1"/>
  <c r="D3031" i="8"/>
  <c r="G3031" i="8" s="1"/>
  <c r="D1752" i="8"/>
  <c r="G1752" i="8" s="1"/>
  <c r="D3459" i="8"/>
  <c r="G3459" i="8" s="1"/>
  <c r="D1550" i="8"/>
  <c r="G1550" i="8" s="1"/>
  <c r="D3574" i="8"/>
  <c r="G3574" i="8" s="1"/>
  <c r="D1630" i="8"/>
  <c r="G1630" i="8" s="1"/>
  <c r="D3264" i="8"/>
  <c r="G3264" i="8" s="1"/>
  <c r="D2896" i="8"/>
  <c r="G2896" i="8" s="1"/>
  <c r="C3568" i="8"/>
  <c r="C3141" i="8"/>
  <c r="C2243" i="8"/>
  <c r="C2262" i="8"/>
  <c r="C3621" i="8"/>
  <c r="C2277" i="8"/>
  <c r="C3393" i="8"/>
  <c r="C3067" i="8"/>
  <c r="C2737" i="8"/>
  <c r="C3551" i="8"/>
  <c r="C2393" i="8"/>
  <c r="C3615" i="8"/>
  <c r="C2999" i="8"/>
  <c r="C1600" i="8"/>
  <c r="C3333" i="8"/>
  <c r="C2954" i="8"/>
  <c r="C2303" i="8"/>
  <c r="D2830" i="8"/>
  <c r="G2830" i="8" s="1"/>
  <c r="D2115" i="8"/>
  <c r="G2115" i="8" s="1"/>
  <c r="C2753" i="8"/>
  <c r="C3108" i="8"/>
  <c r="C2965" i="8"/>
  <c r="C2456" i="8"/>
  <c r="C3644" i="8"/>
  <c r="C2323" i="8"/>
  <c r="C3499" i="8"/>
  <c r="C1962" i="8"/>
  <c r="C3153" i="8"/>
  <c r="C3479" i="8"/>
  <c r="C2959" i="8"/>
  <c r="C2302" i="8"/>
  <c r="C2486" i="8"/>
  <c r="C1958" i="8"/>
  <c r="C2422" i="8"/>
  <c r="C2654" i="8"/>
  <c r="C2566" i="8"/>
  <c r="D2189" i="8"/>
  <c r="G2189" i="8" s="1"/>
  <c r="D1893" i="8"/>
  <c r="G1893" i="8" s="1"/>
  <c r="D1848" i="8"/>
  <c r="G1848" i="8" s="1"/>
  <c r="D2743" i="8"/>
  <c r="G2743" i="8" s="1"/>
  <c r="D2684" i="8"/>
  <c r="G2684" i="8" s="1"/>
  <c r="D2436" i="8"/>
  <c r="G2436" i="8" s="1"/>
  <c r="D3388" i="8"/>
  <c r="G3388" i="8" s="1"/>
  <c r="D2329" i="8"/>
  <c r="G2329" i="8" s="1"/>
  <c r="D2093" i="8"/>
  <c r="G2093" i="8" s="1"/>
  <c r="D2574" i="8"/>
  <c r="G2574" i="8" s="1"/>
  <c r="D1585" i="8"/>
  <c r="G1585" i="8" s="1"/>
  <c r="D2606" i="8"/>
  <c r="G2606" i="8" s="1"/>
  <c r="D2466" i="8"/>
  <c r="G2466" i="8" s="1"/>
  <c r="D2889" i="8"/>
  <c r="G2889" i="8" s="1"/>
  <c r="D2762" i="8"/>
  <c r="G2762" i="8" s="1"/>
  <c r="D2726" i="8"/>
  <c r="G2726" i="8" s="1"/>
  <c r="D2406" i="8"/>
  <c r="G2406" i="8" s="1"/>
  <c r="D2019" i="8"/>
  <c r="G2019" i="8" s="1"/>
  <c r="D1916" i="8"/>
  <c r="G1916" i="8" s="1"/>
  <c r="D2871" i="8"/>
  <c r="G2871" i="8" s="1"/>
  <c r="D3022" i="8"/>
  <c r="G3022" i="8" s="1"/>
  <c r="D2594" i="8"/>
  <c r="G2594" i="8" s="1"/>
  <c r="D3463" i="8"/>
  <c r="G3463" i="8" s="1"/>
  <c r="D2087" i="8"/>
  <c r="G2087" i="8" s="1"/>
  <c r="D1598" i="8"/>
  <c r="G1598" i="8" s="1"/>
  <c r="D1503" i="8"/>
  <c r="G1503" i="8" s="1"/>
  <c r="D3371" i="8"/>
  <c r="G3371" i="8" s="1"/>
  <c r="D1969" i="8"/>
  <c r="G1969" i="8" s="1"/>
  <c r="D1599" i="8"/>
  <c r="G1599" i="8" s="1"/>
  <c r="D3018" i="8"/>
  <c r="G3018" i="8" s="1"/>
  <c r="D2332" i="8"/>
  <c r="G2332" i="8" s="1"/>
  <c r="D2088" i="8"/>
  <c r="G2088" i="8" s="1"/>
  <c r="D3372" i="8"/>
  <c r="G3372" i="8" s="1"/>
  <c r="D1959" i="8"/>
  <c r="G1959" i="8" s="1"/>
  <c r="D3354" i="8"/>
  <c r="G3354" i="8" s="1"/>
  <c r="D2463" i="8"/>
  <c r="G2463" i="8" s="1"/>
  <c r="D3616" i="8"/>
  <c r="G3616" i="8" s="1"/>
  <c r="D2491" i="8"/>
  <c r="G2491" i="8" s="1"/>
  <c r="D1951" i="8"/>
  <c r="G1951" i="8" s="1"/>
  <c r="D1571" i="8"/>
  <c r="G1571" i="8" s="1"/>
  <c r="D2652" i="8"/>
  <c r="G2652" i="8" s="1"/>
  <c r="D3353" i="8"/>
  <c r="G3353" i="8" s="1"/>
  <c r="D2982" i="8"/>
  <c r="G2982" i="8" s="1"/>
  <c r="D2231" i="8"/>
  <c r="G2231" i="8" s="1"/>
  <c r="D2423" i="8"/>
  <c r="G2423" i="8" s="1"/>
  <c r="D3245" i="8"/>
  <c r="G3245" i="8" s="1"/>
  <c r="D1818" i="8"/>
  <c r="G1818" i="8" s="1"/>
  <c r="D1726" i="8"/>
  <c r="G1726" i="8" s="1"/>
  <c r="D1687" i="8"/>
  <c r="G1687" i="8" s="1"/>
  <c r="D3117" i="8"/>
  <c r="G3117" i="8" s="1"/>
  <c r="D3294" i="8"/>
  <c r="G3294" i="8" s="1"/>
  <c r="D1836" i="8"/>
  <c r="G1836" i="8" s="1"/>
  <c r="D1646" i="8"/>
  <c r="G1646" i="8" s="1"/>
  <c r="D1612" i="8"/>
  <c r="G1612" i="8" s="1"/>
  <c r="D3129" i="8"/>
  <c r="G3129" i="8" s="1"/>
  <c r="D2021" i="8"/>
  <c r="G2021" i="8" s="1"/>
  <c r="D1577" i="8"/>
  <c r="G1577" i="8" s="1"/>
  <c r="D2330" i="8"/>
  <c r="G2330" i="8" s="1"/>
  <c r="D3197" i="8"/>
  <c r="G3197" i="8" s="1"/>
  <c r="D3266" i="8"/>
  <c r="G3266" i="8" s="1"/>
  <c r="D2603" i="8"/>
  <c r="G2603" i="8" s="1"/>
  <c r="D2492" i="8"/>
  <c r="G2492" i="8" s="1"/>
  <c r="D3634" i="8"/>
  <c r="G3634" i="8" s="1"/>
  <c r="D2213" i="8"/>
  <c r="G2213" i="8" s="1"/>
  <c r="D2610" i="8"/>
  <c r="G2610" i="8" s="1"/>
  <c r="D1966" i="8"/>
  <c r="G1966" i="8" s="1"/>
  <c r="D1844" i="8"/>
  <c r="G1844" i="8" s="1"/>
  <c r="D3033" i="8"/>
  <c r="G3033" i="8" s="1"/>
  <c r="D1551" i="8"/>
  <c r="G1551" i="8" s="1"/>
  <c r="D2475" i="8"/>
  <c r="G2475" i="8" s="1"/>
  <c r="D3589" i="8"/>
  <c r="G3589" i="8" s="1"/>
  <c r="D2962" i="8"/>
  <c r="G2962" i="8" s="1"/>
  <c r="D1780" i="8"/>
  <c r="G1780" i="8" s="1"/>
  <c r="D1494" i="8"/>
  <c r="G1494" i="8" s="1"/>
  <c r="D3228" i="8"/>
  <c r="G3228" i="8" s="1"/>
  <c r="D1590" i="8"/>
  <c r="G1590" i="8" s="1"/>
  <c r="D3518" i="8"/>
  <c r="G3518" i="8" s="1"/>
  <c r="D3476" i="8"/>
  <c r="G3476" i="8" s="1"/>
  <c r="D3091" i="8"/>
  <c r="G3091" i="8" s="1"/>
  <c r="D1997" i="8"/>
  <c r="G1997" i="8" s="1"/>
  <c r="D2116" i="8"/>
  <c r="G2116" i="8" s="1"/>
  <c r="D1517" i="8"/>
  <c r="G1517" i="8" s="1"/>
  <c r="D1845" i="8"/>
  <c r="G1845" i="8" s="1"/>
  <c r="D3134" i="8"/>
  <c r="G3134" i="8" s="1"/>
  <c r="D2957" i="8"/>
  <c r="G2957" i="8" s="1"/>
  <c r="D2654" i="8"/>
  <c r="G2654" i="8" s="1"/>
  <c r="D1917" i="8"/>
  <c r="G1917" i="8" s="1"/>
  <c r="D3570" i="8"/>
  <c r="G3570" i="8" s="1"/>
  <c r="D1468" i="8"/>
  <c r="G1468" i="8" s="1"/>
  <c r="D1837" i="8"/>
  <c r="G1837" i="8" s="1"/>
  <c r="D2513" i="8"/>
  <c r="G2513" i="8" s="1"/>
  <c r="D3272" i="8"/>
  <c r="G3272" i="8" s="1"/>
  <c r="D2030" i="8"/>
  <c r="G2030" i="8" s="1"/>
  <c r="D1899" i="8"/>
  <c r="G1899" i="8" s="1"/>
  <c r="D1467" i="8"/>
  <c r="G1467" i="8" s="1"/>
  <c r="D2861" i="8"/>
  <c r="G2861" i="8" s="1"/>
  <c r="D3284" i="8"/>
  <c r="G3284" i="8" s="1"/>
  <c r="D3042" i="8"/>
  <c r="G3042" i="8" s="1"/>
  <c r="D2994" i="8"/>
  <c r="G2994" i="8" s="1"/>
  <c r="C3036" i="8"/>
  <c r="C3647" i="8"/>
  <c r="C3066" i="8"/>
  <c r="C3655" i="8"/>
  <c r="C3093" i="8"/>
  <c r="C3260" i="8"/>
  <c r="C2478" i="8"/>
  <c r="C3593" i="8"/>
  <c r="C2606" i="8"/>
  <c r="C2660" i="8"/>
  <c r="C3243" i="8"/>
  <c r="C3089" i="8"/>
  <c r="C2170" i="8"/>
  <c r="C3209" i="8"/>
  <c r="C2895" i="8"/>
  <c r="C2487" i="8"/>
  <c r="D3585" i="8"/>
  <c r="G3585" i="8" s="1"/>
  <c r="D3594" i="8"/>
  <c r="G3594" i="8" s="1"/>
  <c r="C2454" i="8"/>
  <c r="C3120" i="8"/>
  <c r="C2350" i="8"/>
  <c r="C3284" i="8"/>
  <c r="C3080" i="8"/>
  <c r="C1984" i="8"/>
  <c r="D3305" i="8"/>
  <c r="G3305" i="8" s="1"/>
  <c r="D3247" i="8"/>
  <c r="G3247" i="8" s="1"/>
  <c r="D3361" i="8"/>
  <c r="G3361" i="8" s="1"/>
  <c r="D3289" i="8"/>
  <c r="G3289" i="8" s="1"/>
  <c r="C2240" i="8"/>
  <c r="C2281" i="8"/>
  <c r="C3601" i="8"/>
  <c r="C2969" i="8"/>
  <c r="D1678" i="8"/>
  <c r="G1678" i="8" s="1"/>
  <c r="D3393" i="8"/>
  <c r="G3393" i="8" s="1"/>
  <c r="D1643" i="8"/>
  <c r="G1643" i="8" s="1"/>
  <c r="C1873" i="8"/>
  <c r="C3247" i="8"/>
  <c r="C2671" i="8"/>
  <c r="C1967" i="8"/>
  <c r="C2353" i="8"/>
  <c r="C2223" i="8"/>
  <c r="C1471" i="8"/>
  <c r="C2279" i="8"/>
  <c r="C2328" i="8"/>
  <c r="C3356" i="8"/>
  <c r="C1519" i="8"/>
  <c r="C2515" i="8"/>
  <c r="C2572" i="8"/>
  <c r="C3693" i="8"/>
  <c r="C2936" i="8"/>
  <c r="C2750" i="8"/>
  <c r="C3281" i="8"/>
  <c r="C3189" i="8"/>
  <c r="C2582" i="8"/>
  <c r="C3509" i="8"/>
  <c r="D1795" i="8"/>
  <c r="G1795" i="8" s="1"/>
  <c r="C2460" i="8"/>
  <c r="C2373" i="8"/>
  <c r="C2746" i="8"/>
  <c r="C2885" i="8"/>
  <c r="C3433" i="8"/>
  <c r="C3425" i="8"/>
  <c r="C2495" i="8"/>
  <c r="C2091" i="8"/>
  <c r="C2129" i="8"/>
  <c r="C3114" i="8"/>
  <c r="C3380" i="8"/>
  <c r="C3326" i="8"/>
  <c r="C3256" i="8"/>
  <c r="C3271" i="8"/>
  <c r="C3096" i="8"/>
  <c r="C2961" i="8"/>
  <c r="C2585" i="8"/>
  <c r="C3391" i="8"/>
  <c r="C2889" i="8"/>
  <c r="C2339" i="8"/>
  <c r="C1760" i="8"/>
  <c r="C3648" i="8"/>
  <c r="C3006" i="8"/>
  <c r="C2357" i="8"/>
  <c r="C3276" i="8"/>
  <c r="C3045" i="8"/>
  <c r="C2920" i="8"/>
  <c r="C1965" i="8"/>
  <c r="C2864" i="8"/>
  <c r="C2469" i="8"/>
  <c r="C1976" i="8"/>
  <c r="C2842" i="8"/>
  <c r="C2447" i="8"/>
  <c r="C1953" i="8"/>
  <c r="C3246" i="8"/>
  <c r="C2742" i="8"/>
  <c r="C3350" i="8"/>
  <c r="C2758" i="8"/>
  <c r="C3539" i="8"/>
  <c r="C3001" i="8"/>
  <c r="C3199" i="8"/>
  <c r="C2875" i="8"/>
  <c r="D3534" i="8"/>
  <c r="G3534" i="8" s="1"/>
  <c r="D2679" i="8"/>
  <c r="G2679" i="8" s="1"/>
  <c r="D1475" i="8"/>
  <c r="G1475" i="8" s="1"/>
  <c r="D3110" i="8"/>
  <c r="G3110" i="8" s="1"/>
  <c r="D1998" i="8"/>
  <c r="G1998" i="8" s="1"/>
  <c r="D2428" i="8"/>
  <c r="G2428" i="8" s="1"/>
  <c r="D1601" i="8"/>
  <c r="G1601" i="8" s="1"/>
  <c r="D3506" i="8"/>
  <c r="G3506" i="8" s="1"/>
  <c r="D1651" i="8"/>
  <c r="G1651" i="8" s="1"/>
  <c r="D2609" i="8"/>
  <c r="G2609" i="8" s="1"/>
  <c r="D2788" i="8"/>
  <c r="G2788" i="8" s="1"/>
  <c r="D2312" i="8"/>
  <c r="G2312" i="8" s="1"/>
  <c r="D2817" i="8"/>
  <c r="G2817" i="8" s="1"/>
  <c r="D1583" i="8"/>
  <c r="G1583" i="8" s="1"/>
  <c r="D2955" i="8"/>
  <c r="G2955" i="8" s="1"/>
  <c r="D2178" i="8"/>
  <c r="G2178" i="8" s="1"/>
  <c r="D1500" i="8"/>
  <c r="G1500" i="8" s="1"/>
  <c r="D1877" i="8"/>
  <c r="G1877" i="8" s="1"/>
  <c r="D3223" i="8"/>
  <c r="G3223" i="8" s="1"/>
  <c r="D2518" i="8"/>
  <c r="G2518" i="8" s="1"/>
  <c r="D3213" i="8"/>
  <c r="G3213" i="8" s="1"/>
  <c r="D3139" i="8"/>
  <c r="G3139" i="8" s="1"/>
  <c r="D2665" i="8"/>
  <c r="G2665" i="8" s="1"/>
  <c r="D2735" i="8"/>
  <c r="G2735" i="8" s="1"/>
  <c r="D2309" i="8"/>
  <c r="G2309" i="8" s="1"/>
  <c r="D2660" i="8"/>
  <c r="G2660" i="8" s="1"/>
  <c r="D2234" i="8"/>
  <c r="G2234" i="8" s="1"/>
  <c r="D2028" i="8"/>
  <c r="G2028" i="8" s="1"/>
  <c r="D2479" i="8"/>
  <c r="G2479" i="8" s="1"/>
  <c r="D2352" i="8"/>
  <c r="G2352" i="8" s="1"/>
  <c r="D2192" i="8"/>
  <c r="G2192" i="8" s="1"/>
  <c r="D3462" i="8"/>
  <c r="G3462" i="8" s="1"/>
  <c r="D2930" i="8"/>
  <c r="G2930" i="8" s="1"/>
  <c r="D2846" i="8"/>
  <c r="G2846" i="8" s="1"/>
  <c r="D2190" i="8"/>
  <c r="G2190" i="8" s="1"/>
  <c r="D1809" i="8"/>
  <c r="G1809" i="8" s="1"/>
  <c r="D2602" i="8"/>
  <c r="G2602" i="8" s="1"/>
  <c r="D2858" i="8"/>
  <c r="G2858" i="8" s="1"/>
  <c r="D2939" i="8"/>
  <c r="G2939" i="8" s="1"/>
  <c r="D3398" i="8"/>
  <c r="G3398" i="8" s="1"/>
  <c r="D2527" i="8"/>
  <c r="G2527" i="8" s="1"/>
  <c r="D2458" i="8"/>
  <c r="G2458" i="8" s="1"/>
  <c r="D3667" i="8"/>
  <c r="G3667" i="8" s="1"/>
  <c r="D3377" i="8"/>
  <c r="G3377" i="8" s="1"/>
  <c r="D2615" i="8"/>
  <c r="G2615" i="8" s="1"/>
  <c r="D2887" i="8"/>
  <c r="G2887" i="8" s="1"/>
  <c r="D2425" i="8"/>
  <c r="G2425" i="8" s="1"/>
  <c r="D3053" i="8"/>
  <c r="G3053" i="8" s="1"/>
  <c r="D2763" i="8"/>
  <c r="G2763" i="8" s="1"/>
  <c r="D2083" i="8"/>
  <c r="G2083" i="8" s="1"/>
  <c r="D2247" i="8"/>
  <c r="G2247" i="8" s="1"/>
  <c r="D2635" i="8"/>
  <c r="G2635" i="8" s="1"/>
  <c r="D3350" i="8"/>
  <c r="G3350" i="8" s="1"/>
  <c r="D1885" i="8"/>
  <c r="G1885" i="8" s="1"/>
  <c r="D1820" i="8"/>
  <c r="G1820" i="8" s="1"/>
  <c r="D2929" i="8"/>
  <c r="G2929" i="8" s="1"/>
  <c r="D3239" i="8"/>
  <c r="G3239" i="8" s="1"/>
  <c r="D2454" i="8"/>
  <c r="G2454" i="8" s="1"/>
  <c r="D1816" i="8"/>
  <c r="G1816" i="8" s="1"/>
  <c r="D1488" i="8"/>
  <c r="G1488" i="8" s="1"/>
  <c r="D3490" i="8"/>
  <c r="G3490" i="8" s="1"/>
  <c r="D2429" i="8"/>
  <c r="G2429" i="8" s="1"/>
  <c r="D3220" i="8"/>
  <c r="G3220" i="8" s="1"/>
  <c r="D3262" i="8"/>
  <c r="G3262" i="8" s="1"/>
  <c r="D2828" i="8"/>
  <c r="G2828" i="8" s="1"/>
  <c r="D2699" i="8"/>
  <c r="G2699" i="8" s="1"/>
  <c r="D2964" i="8"/>
  <c r="G2964" i="8" s="1"/>
  <c r="D2402" i="8"/>
  <c r="G2402" i="8" s="1"/>
  <c r="D2160" i="8"/>
  <c r="G2160" i="8" s="1"/>
  <c r="D3137" i="8"/>
  <c r="G3137" i="8" s="1"/>
  <c r="D2334" i="8"/>
  <c r="G2334" i="8" s="1"/>
  <c r="D1621" i="8"/>
  <c r="G1621" i="8" s="1"/>
  <c r="D3638" i="8"/>
  <c r="G3638" i="8" s="1"/>
  <c r="D1526" i="8"/>
  <c r="G1526" i="8" s="1"/>
  <c r="D2249" i="8"/>
  <c r="G2249" i="8" s="1"/>
  <c r="D1817" i="8"/>
  <c r="G1817" i="8" s="1"/>
  <c r="D3156" i="8"/>
  <c r="G3156" i="8" s="1"/>
  <c r="D1976" i="8"/>
  <c r="G1976" i="8" s="1"/>
  <c r="D1725" i="8"/>
  <c r="G1725" i="8" s="1"/>
  <c r="D2595" i="8"/>
  <c r="G2595" i="8" s="1"/>
  <c r="D3657" i="8"/>
  <c r="G3657" i="8" s="1"/>
  <c r="D2432" i="8"/>
  <c r="G2432" i="8" s="1"/>
  <c r="D2209" i="8"/>
  <c r="G2209" i="8" s="1"/>
  <c r="D2014" i="8"/>
  <c r="G2014" i="8" s="1"/>
  <c r="D1910" i="8"/>
  <c r="G1910" i="8" s="1"/>
  <c r="D3076" i="8"/>
  <c r="G3076" i="8" s="1"/>
  <c r="D3706" i="8"/>
  <c r="G3706" i="8" s="1"/>
  <c r="D2995" i="8"/>
  <c r="G2995" i="8" s="1"/>
  <c r="D2580" i="8"/>
  <c r="G2580" i="8" s="1"/>
  <c r="D3474" i="8"/>
  <c r="G3474" i="8" s="1"/>
  <c r="D2225" i="8"/>
  <c r="G2225" i="8" s="1"/>
  <c r="D1859" i="8"/>
  <c r="G1859" i="8" s="1"/>
  <c r="D2945" i="8"/>
  <c r="G2945" i="8" s="1"/>
  <c r="D3702" i="8"/>
  <c r="G3702" i="8" s="1"/>
  <c r="D2516" i="8"/>
  <c r="G2516" i="8" s="1"/>
  <c r="D2342" i="8"/>
  <c r="G2342" i="8" s="1"/>
  <c r="D2032" i="8"/>
  <c r="G2032" i="8" s="1"/>
  <c r="D3438" i="8"/>
  <c r="G3438" i="8" s="1"/>
  <c r="D3584" i="8"/>
  <c r="G3584" i="8" s="1"/>
  <c r="D3168" i="8"/>
  <c r="G3168" i="8" s="1"/>
  <c r="D3281" i="8"/>
  <c r="G3281" i="8" s="1"/>
  <c r="D2723" i="8"/>
  <c r="G2723" i="8" s="1"/>
  <c r="C3474" i="8"/>
  <c r="C2253" i="8"/>
  <c r="C2861" i="8"/>
  <c r="C2801" i="8"/>
  <c r="C2694" i="8"/>
  <c r="C2109" i="8"/>
  <c r="C2435" i="8"/>
  <c r="C1674" i="8"/>
  <c r="C2764" i="8"/>
  <c r="C2975" i="8"/>
  <c r="C1968" i="8"/>
  <c r="C2088" i="8"/>
  <c r="C2896" i="8"/>
  <c r="C2396" i="8"/>
  <c r="C2345" i="8"/>
  <c r="C2618" i="8"/>
  <c r="C2908" i="8"/>
  <c r="C3054" i="8"/>
  <c r="C1887" i="8"/>
  <c r="C2172" i="8"/>
  <c r="C2855" i="8"/>
  <c r="C3041" i="8"/>
  <c r="C1563" i="8"/>
  <c r="C1528" i="8"/>
  <c r="C3438" i="8"/>
  <c r="C1979" i="8"/>
  <c r="C3021" i="8"/>
  <c r="C3017" i="8"/>
  <c r="C2023" i="8"/>
  <c r="C3047" i="8"/>
  <c r="C3600" i="8"/>
  <c r="C1472" i="8"/>
  <c r="C2532" i="8"/>
  <c r="C1859" i="8"/>
  <c r="C3288" i="8"/>
  <c r="C2204" i="8"/>
  <c r="D2048" i="8"/>
  <c r="G2048" i="8" s="1"/>
  <c r="D2317" i="8"/>
  <c r="G2317" i="8" s="1"/>
  <c r="D2996" i="8"/>
  <c r="G2996" i="8" s="1"/>
  <c r="C3005" i="8"/>
  <c r="C2167" i="8"/>
  <c r="C2029" i="8"/>
  <c r="C2363" i="8"/>
  <c r="C2605" i="8"/>
  <c r="C2873" i="8"/>
  <c r="C3604" i="8"/>
  <c r="C2586" i="8"/>
  <c r="C2893" i="8"/>
  <c r="C2955" i="8"/>
  <c r="C2858" i="8"/>
  <c r="C2890" i="8"/>
  <c r="C3035" i="8"/>
  <c r="C3321" i="8"/>
  <c r="C3396" i="8"/>
  <c r="C1624" i="8"/>
  <c r="C2860" i="8"/>
  <c r="C3471" i="8"/>
  <c r="C1983" i="8"/>
  <c r="C2963" i="8"/>
  <c r="C3236" i="8"/>
  <c r="C1924" i="8"/>
  <c r="C2421" i="8"/>
  <c r="C2856" i="8"/>
  <c r="C1935" i="8"/>
  <c r="C3074" i="8"/>
  <c r="C3581" i="8"/>
  <c r="C3077" i="8"/>
  <c r="D1534" i="8"/>
  <c r="G1534" i="8" s="1"/>
  <c r="C2985" i="8"/>
  <c r="C2099" i="8"/>
  <c r="C3015" i="8"/>
  <c r="C2431" i="8"/>
  <c r="C3656" i="8"/>
  <c r="C3283" i="8"/>
  <c r="C2542" i="8"/>
  <c r="C3176" i="8"/>
  <c r="C2836" i="8"/>
  <c r="C2932" i="8"/>
  <c r="C2597" i="8"/>
  <c r="C1831" i="8"/>
  <c r="C1727" i="8"/>
  <c r="C1753" i="8"/>
  <c r="C1867" i="8"/>
  <c r="C1576" i="8"/>
  <c r="C1580" i="8"/>
  <c r="C1725" i="8"/>
  <c r="C1480" i="8"/>
  <c r="C1555" i="8"/>
  <c r="C1587" i="8"/>
  <c r="C1590" i="8"/>
  <c r="C1577" i="8"/>
  <c r="C1481" i="8"/>
  <c r="C3346" i="8"/>
  <c r="C3164" i="8"/>
  <c r="C3486" i="8"/>
  <c r="C3365" i="8"/>
  <c r="C3459" i="8"/>
  <c r="C3405" i="8"/>
  <c r="C3562" i="8"/>
  <c r="C3334" i="8"/>
  <c r="C3090" i="8"/>
  <c r="C1755" i="8"/>
  <c r="C2233" i="8"/>
  <c r="C2197" i="8"/>
  <c r="C1704" i="8"/>
  <c r="C1946" i="8"/>
  <c r="C3237" i="8"/>
  <c r="C1694" i="8"/>
  <c r="C3285" i="8"/>
  <c r="C3226" i="8"/>
  <c r="C3571" i="8"/>
  <c r="C1938" i="8"/>
  <c r="C1856" i="8"/>
  <c r="C1915" i="8"/>
  <c r="C1731" i="8"/>
  <c r="C1784" i="8"/>
  <c r="C1553" i="8"/>
  <c r="C1914" i="8"/>
  <c r="C1677" i="8"/>
  <c r="C1734" i="8"/>
  <c r="C1475" i="8"/>
  <c r="C1573" i="8"/>
  <c r="C1567" i="8"/>
  <c r="C1533" i="8"/>
  <c r="C1741" i="8"/>
  <c r="C3195" i="8"/>
  <c r="C3255" i="8"/>
  <c r="C2521" i="8"/>
  <c r="C3354" i="8"/>
  <c r="C2039" i="8"/>
  <c r="C3149" i="8"/>
  <c r="C3485" i="8"/>
  <c r="C3552" i="8"/>
  <c r="C3160" i="8"/>
  <c r="C2082" i="8"/>
  <c r="C1628" i="8"/>
  <c r="C1706" i="8"/>
  <c r="C1709" i="8"/>
  <c r="C1834" i="8"/>
  <c r="C1888" i="8"/>
  <c r="C1523" i="8"/>
  <c r="C1680" i="8"/>
  <c r="C3227" i="8"/>
  <c r="C1505" i="8"/>
  <c r="C1792" i="8"/>
  <c r="C3219" i="8"/>
  <c r="C1961" i="8"/>
  <c r="C1690" i="8"/>
  <c r="C2307" i="8"/>
  <c r="C2440" i="8"/>
  <c r="C2164" i="8"/>
  <c r="C2263" i="8"/>
  <c r="C2235" i="8"/>
  <c r="C2150" i="8"/>
  <c r="C2368" i="8"/>
  <c r="C2145" i="8"/>
  <c r="C2322" i="8"/>
  <c r="C2247" i="8"/>
  <c r="C2270" i="8"/>
  <c r="C1803" i="8"/>
  <c r="C1829" i="8"/>
  <c r="C1930" i="8"/>
  <c r="C2028" i="8"/>
  <c r="C2210" i="8"/>
  <c r="C1929" i="8"/>
  <c r="C2113" i="8"/>
  <c r="C1932" i="8"/>
  <c r="C1745" i="8"/>
  <c r="C1517" i="8"/>
  <c r="C1651" i="8"/>
  <c r="C1544" i="8"/>
  <c r="C3443" i="8"/>
  <c r="C1742" i="8"/>
  <c r="C3541" i="8"/>
  <c r="C2043" i="8"/>
  <c r="C1701" i="8"/>
  <c r="C1748" i="8"/>
  <c r="C1920" i="8"/>
  <c r="C2104" i="8"/>
  <c r="C2062" i="8"/>
  <c r="C2352" i="8"/>
  <c r="C1998" i="8"/>
  <c r="C1733" i="8"/>
  <c r="C1684" i="8"/>
  <c r="C1723" i="8"/>
  <c r="C1862" i="8"/>
  <c r="C1687" i="8"/>
  <c r="C2098" i="8"/>
  <c r="C1495" i="8"/>
  <c r="C1779" i="8"/>
  <c r="C1593" i="8"/>
  <c r="C1697" i="8"/>
  <c r="C1772" i="8"/>
  <c r="C1756" i="8"/>
  <c r="C1526" i="8"/>
  <c r="C1654" i="8"/>
  <c r="C1503" i="8"/>
  <c r="C3461" i="8"/>
  <c r="C3488" i="8"/>
  <c r="C3342" i="8"/>
  <c r="C1703" i="8"/>
  <c r="C3201" i="8"/>
  <c r="C1815" i="8"/>
  <c r="C2157" i="8"/>
  <c r="C1665" i="8"/>
  <c r="C1570" i="8"/>
  <c r="C2793" i="8"/>
  <c r="C2301" i="8"/>
  <c r="C2518" i="8"/>
  <c r="C2340" i="8"/>
  <c r="C2427" i="8"/>
  <c r="C2392" i="8"/>
  <c r="C2187" i="8"/>
  <c r="C2283" i="8"/>
  <c r="C2401" i="8"/>
  <c r="C2120" i="8"/>
  <c r="C2190" i="8"/>
  <c r="C2203" i="8"/>
  <c r="C2106" i="8"/>
  <c r="C2276" i="8"/>
  <c r="C2101" i="8"/>
  <c r="C2304" i="8"/>
  <c r="C2025" i="8"/>
  <c r="C2094" i="8"/>
  <c r="C2297" i="8"/>
  <c r="C2242" i="8"/>
  <c r="C2359" i="8"/>
  <c r="C2018" i="8"/>
  <c r="C2135" i="8"/>
  <c r="C1898" i="8"/>
  <c r="C2076" i="8"/>
  <c r="C1662" i="8"/>
  <c r="C1975" i="8"/>
  <c r="C2351" i="8"/>
  <c r="C2165" i="8"/>
  <c r="C2278" i="8"/>
  <c r="C2390" i="8"/>
  <c r="C2752" i="8"/>
  <c r="C2168" i="8"/>
  <c r="C2181" i="8"/>
  <c r="C2084" i="8"/>
  <c r="C2239" i="8"/>
  <c r="C2079" i="8"/>
  <c r="C2266" i="8"/>
  <c r="C1996" i="8"/>
  <c r="C2067" i="8"/>
  <c r="C2219" i="8"/>
  <c r="C2192" i="8"/>
  <c r="C2291" i="8"/>
  <c r="C1985" i="8"/>
  <c r="C2125" i="8"/>
  <c r="C1876" i="8"/>
  <c r="C2069" i="8"/>
  <c r="C2037" i="8"/>
  <c r="C1817" i="8"/>
  <c r="C1923" i="8"/>
  <c r="C1839" i="8"/>
  <c r="C1921" i="8"/>
  <c r="C1679" i="8"/>
  <c r="C1849" i="8"/>
  <c r="C1899" i="8"/>
  <c r="C1906" i="8"/>
  <c r="C1726" i="8"/>
  <c r="C1715" i="8"/>
  <c r="C2010" i="8"/>
  <c r="C2188" i="8"/>
  <c r="C2070" i="8"/>
  <c r="C2032" i="8"/>
  <c r="C1769" i="8"/>
  <c r="C1782" i="8"/>
  <c r="C1826" i="8"/>
  <c r="C1836" i="8"/>
  <c r="C1848" i="8"/>
  <c r="C1622" i="8"/>
  <c r="C1602" i="8"/>
  <c r="C1639" i="8"/>
  <c r="C1596" i="8"/>
  <c r="C1470" i="8"/>
  <c r="C1500" i="8"/>
  <c r="C3468" i="8"/>
  <c r="C3436" i="8"/>
  <c r="C3207" i="8"/>
  <c r="C1464" i="8"/>
  <c r="C3059" i="8"/>
  <c r="C2519" i="8"/>
  <c r="C3410" i="8"/>
  <c r="C3145" i="8"/>
  <c r="C1774" i="8"/>
  <c r="C1754" i="8"/>
  <c r="C3549" i="8"/>
  <c r="C3251" i="8"/>
  <c r="C3712" i="8"/>
  <c r="C3385" i="8"/>
  <c r="C3330" i="8"/>
  <c r="C3155" i="8"/>
  <c r="C2876" i="8"/>
  <c r="C2767" i="8"/>
  <c r="C3049" i="8"/>
  <c r="C2634" i="8"/>
  <c r="C2807" i="8"/>
  <c r="C2424" i="8"/>
  <c r="C2196" i="8"/>
  <c r="C1992" i="8"/>
  <c r="C1950" i="8"/>
  <c r="C2047" i="8"/>
  <c r="C2072" i="8"/>
  <c r="C1925" i="8"/>
  <c r="C2017" i="8"/>
  <c r="C1997" i="8"/>
  <c r="C1833" i="8"/>
  <c r="C1987" i="8"/>
  <c r="C1766" i="8"/>
  <c r="C1671" i="8"/>
  <c r="C1560" i="8"/>
  <c r="C1549" i="8"/>
  <c r="C1487" i="8"/>
  <c r="C3492" i="8"/>
  <c r="C3013" i="8"/>
  <c r="C3300" i="8"/>
  <c r="C1724" i="8"/>
  <c r="C3198" i="8"/>
  <c r="C3566" i="8"/>
  <c r="C3409" i="8"/>
  <c r="C1688" i="8"/>
  <c r="C3416" i="8"/>
  <c r="C3661" i="8"/>
  <c r="C3113" i="8"/>
  <c r="C2862" i="8"/>
  <c r="C2702" i="8"/>
  <c r="C2768" i="8"/>
  <c r="C2200" i="8"/>
  <c r="C1819" i="8"/>
  <c r="C1722" i="8"/>
  <c r="C1841" i="8"/>
  <c r="C1608" i="8"/>
  <c r="C1664" i="8"/>
  <c r="C1579" i="8"/>
  <c r="C1537" i="8"/>
  <c r="C1601" i="8"/>
  <c r="C1582" i="8"/>
  <c r="C1509" i="8"/>
  <c r="C1543" i="8"/>
  <c r="C1614" i="8"/>
  <c r="C3347" i="8"/>
  <c r="C3173" i="8"/>
  <c r="C3312" i="8"/>
  <c r="C2977" i="8"/>
  <c r="C3437" i="8"/>
  <c r="C3206" i="8"/>
  <c r="C3110" i="8"/>
  <c r="C3366" i="8"/>
  <c r="C3121" i="8"/>
  <c r="C3494" i="8"/>
  <c r="C1860" i="8"/>
  <c r="C1511" i="8"/>
  <c r="C3304" i="8"/>
  <c r="C1637" i="8"/>
  <c r="C3605" i="8"/>
  <c r="C3232" i="8"/>
  <c r="C3266" i="8"/>
  <c r="C2988" i="8"/>
  <c r="C2756" i="8"/>
  <c r="C2420" i="8"/>
  <c r="C2331" i="8"/>
  <c r="C2066" i="8"/>
  <c r="C1738" i="8"/>
  <c r="C1801" i="8"/>
  <c r="C1922" i="8"/>
  <c r="C1805" i="8"/>
  <c r="C1767" i="8"/>
  <c r="C1814" i="8"/>
  <c r="C1700" i="8"/>
  <c r="C1835" i="8"/>
  <c r="C1585" i="8"/>
  <c r="C1641" i="8"/>
  <c r="C1556" i="8"/>
  <c r="C1515" i="8"/>
  <c r="C1578" i="8"/>
  <c r="C1559" i="8"/>
  <c r="C1584" i="8"/>
  <c r="C1623" i="8"/>
  <c r="C1474" i="8"/>
  <c r="C3327" i="8"/>
  <c r="C1781" i="8"/>
  <c r="C1612" i="8"/>
  <c r="C1466" i="8"/>
  <c r="C3537" i="8"/>
  <c r="C3582" i="8"/>
  <c r="C2938" i="8"/>
  <c r="C3070" i="8"/>
  <c r="C2662" i="8"/>
  <c r="C2439" i="8"/>
  <c r="C2296" i="8"/>
  <c r="C2230" i="8"/>
  <c r="C1787" i="8"/>
  <c r="C1911" i="8"/>
  <c r="C1786" i="8"/>
  <c r="C1758" i="8"/>
  <c r="C1804" i="8"/>
  <c r="C1678" i="8"/>
  <c r="C1818" i="8"/>
  <c r="C1562" i="8"/>
  <c r="C1636" i="8"/>
  <c r="C1542" i="8"/>
  <c r="C1493" i="8"/>
  <c r="C1564" i="8"/>
  <c r="C1536" i="8"/>
  <c r="C1492" i="8"/>
  <c r="C1476" i="8"/>
  <c r="C1518" i="8"/>
  <c r="C1739" i="8"/>
  <c r="C3144" i="8"/>
  <c r="C3573" i="8"/>
  <c r="C3079" i="8"/>
  <c r="C3314" i="8"/>
  <c r="C1507" i="8"/>
  <c r="C3508" i="8"/>
  <c r="C3422" i="8"/>
  <c r="C3543" i="8"/>
  <c r="C3182" i="8"/>
  <c r="C2900" i="8"/>
  <c r="C2626" i="8"/>
  <c r="C2425" i="8"/>
  <c r="C2441" i="8"/>
  <c r="C2561" i="8"/>
  <c r="C1957" i="8"/>
  <c r="C1902" i="8"/>
  <c r="C1942" i="8"/>
  <c r="C1910" i="8"/>
  <c r="C1672" i="8"/>
  <c r="C1764" i="8"/>
  <c r="C1893" i="8"/>
  <c r="C1763" i="8"/>
  <c r="C1736" i="8"/>
  <c r="C1799" i="8"/>
  <c r="C1656" i="8"/>
  <c r="C1813" i="8"/>
  <c r="C1530" i="8"/>
  <c r="C1532" i="8"/>
  <c r="C3181" i="8"/>
  <c r="C2943" i="8"/>
  <c r="C3589" i="8"/>
  <c r="C2820" i="8"/>
  <c r="C2902" i="8"/>
  <c r="C2781" i="8"/>
  <c r="C2641" i="8"/>
  <c r="C2254" i="8"/>
  <c r="C1650" i="8"/>
  <c r="C1720" i="8"/>
  <c r="C1878" i="8"/>
  <c r="C1933" i="8"/>
  <c r="C1714" i="8"/>
  <c r="C1785" i="8"/>
  <c r="C1643" i="8"/>
  <c r="C1808" i="8"/>
  <c r="C1486" i="8"/>
  <c r="C1589" i="8"/>
  <c r="C1823" i="8"/>
  <c r="C1606" i="8"/>
  <c r="C1510" i="8"/>
  <c r="C1605" i="8"/>
  <c r="C1609" i="8"/>
  <c r="C1554" i="8"/>
  <c r="C1586" i="8"/>
  <c r="C1729" i="8"/>
  <c r="C1618" i="8"/>
  <c r="C3529" i="8"/>
  <c r="C3188" i="8"/>
  <c r="C3132" i="8"/>
  <c r="C1527" i="8"/>
  <c r="C3495" i="8"/>
  <c r="C3517" i="8"/>
  <c r="C3352" i="8"/>
  <c r="C3463" i="8"/>
  <c r="C3329" i="8"/>
  <c r="C2989" i="8"/>
  <c r="C2857" i="8"/>
  <c r="C2578" i="8"/>
  <c r="C2444" i="8"/>
  <c r="C2638" i="8"/>
  <c r="C2107" i="8"/>
  <c r="C2286" i="8"/>
  <c r="C2178" i="8"/>
  <c r="C2319" i="8"/>
  <c r="C2485" i="8"/>
  <c r="C2217" i="8"/>
  <c r="C1970" i="8"/>
  <c r="C2458" i="8"/>
  <c r="C2207" i="8"/>
  <c r="C2044" i="8"/>
  <c r="C2271" i="8"/>
  <c r="C2252" i="8"/>
  <c r="C2153" i="8"/>
  <c r="C2060" i="8"/>
  <c r="C2100" i="8"/>
  <c r="C2166" i="8"/>
  <c r="C1912" i="8"/>
  <c r="C1994" i="8"/>
  <c r="C1885" i="8"/>
  <c r="C2280" i="8"/>
  <c r="C2122" i="8"/>
  <c r="C2224" i="8"/>
  <c r="C2001" i="8"/>
  <c r="C1676" i="8"/>
  <c r="C1791" i="8"/>
  <c r="C1877" i="8"/>
  <c r="C1670" i="8"/>
  <c r="C1762" i="8"/>
  <c r="C1889" i="8"/>
  <c r="C1793" i="8"/>
  <c r="C1783" i="8"/>
  <c r="C1761" i="8"/>
  <c r="C1747" i="8"/>
  <c r="C2251" i="8"/>
  <c r="C2152" i="8"/>
  <c r="C2156" i="8"/>
  <c r="C2313" i="8"/>
  <c r="C2417" i="8"/>
  <c r="C2199" i="8"/>
  <c r="C1948" i="8"/>
  <c r="C2432" i="8"/>
  <c r="C2185" i="8"/>
  <c r="C2627" i="8"/>
  <c r="C2257" i="8"/>
  <c r="C2229" i="8"/>
  <c r="C2087" i="8"/>
  <c r="C2000" i="8"/>
  <c r="C2086" i="8"/>
  <c r="C2149" i="8"/>
  <c r="C1890" i="8"/>
  <c r="C1971" i="8"/>
  <c r="C2285" i="8"/>
  <c r="C2256" i="8"/>
  <c r="C2026" i="8"/>
  <c r="C2121" i="8"/>
  <c r="C1941" i="8"/>
  <c r="C2143" i="8"/>
  <c r="C1768" i="8"/>
  <c r="C1870" i="8"/>
  <c r="C1648" i="8"/>
  <c r="C1740" i="8"/>
  <c r="C1842" i="8"/>
  <c r="C3577" i="8"/>
  <c r="C3408" i="8"/>
  <c r="C3152" i="8"/>
  <c r="C3263" i="8"/>
  <c r="C3555" i="8"/>
  <c r="C1506" i="8"/>
  <c r="C3697" i="8"/>
  <c r="C3674" i="8"/>
  <c r="C3646" i="8"/>
  <c r="C3659" i="8"/>
  <c r="C2330" i="8"/>
  <c r="C2355" i="8"/>
  <c r="C2244" i="8"/>
  <c r="C2075" i="8"/>
  <c r="C2248" i="8"/>
  <c r="C2583" i="8"/>
  <c r="C2118" i="8"/>
  <c r="C1936" i="8"/>
  <c r="C1891" i="8"/>
  <c r="C1917" i="8"/>
  <c r="C2004" i="8"/>
  <c r="C2261" i="8"/>
  <c r="C1850" i="8"/>
  <c r="C2033" i="8"/>
  <c r="C2012" i="8"/>
  <c r="C1919" i="8"/>
  <c r="C2011" i="8"/>
  <c r="C1751" i="8"/>
  <c r="C1858" i="8"/>
  <c r="C1864" i="8"/>
  <c r="C2022" i="8"/>
  <c r="C1776" i="8"/>
  <c r="C1875" i="8"/>
  <c r="C1713" i="8"/>
  <c r="C1686" i="8"/>
  <c r="C1626" i="8"/>
  <c r="C1538" i="8"/>
  <c r="C1524" i="8"/>
  <c r="C1615" i="8"/>
  <c r="C1655" i="8"/>
  <c r="C1535" i="8"/>
  <c r="C2024" i="8"/>
  <c r="C2182" i="8"/>
  <c r="C2231" i="8"/>
  <c r="C2324" i="8"/>
  <c r="C2342" i="8"/>
  <c r="C2221" i="8"/>
  <c r="C2053" i="8"/>
  <c r="C2225" i="8"/>
  <c r="C2555" i="8"/>
  <c r="C2096" i="8"/>
  <c r="C1909" i="8"/>
  <c r="C1869" i="8"/>
  <c r="C1895" i="8"/>
  <c r="C1990" i="8"/>
  <c r="C2126" i="8"/>
  <c r="C1828" i="8"/>
  <c r="C2003" i="8"/>
  <c r="C1993" i="8"/>
  <c r="C1897" i="8"/>
  <c r="C2006" i="8"/>
  <c r="C1707" i="8"/>
  <c r="C1845" i="8"/>
  <c r="C1777" i="8"/>
  <c r="C1892" i="8"/>
  <c r="C1749" i="8"/>
  <c r="C1794" i="8"/>
  <c r="C2522" i="8"/>
  <c r="C1642" i="8"/>
  <c r="C1603" i="8"/>
  <c r="C1866" i="8"/>
  <c r="C1502" i="8"/>
  <c r="C3498" i="8"/>
  <c r="C3060" i="8"/>
  <c r="C2933" i="8"/>
  <c r="C2774" i="8"/>
  <c r="C2637" i="8"/>
  <c r="C2723" i="8"/>
  <c r="C2529" i="8"/>
  <c r="C2780" i="8"/>
  <c r="C2268" i="8"/>
  <c r="C2211" i="8"/>
  <c r="C1949" i="8"/>
  <c r="C2158" i="8"/>
  <c r="C1871" i="8"/>
  <c r="C2103" i="8"/>
  <c r="C1552" i="8"/>
  <c r="C1853" i="8"/>
  <c r="C1516" i="8"/>
  <c r="C3586" i="8"/>
  <c r="C3156" i="8"/>
  <c r="C3457" i="8"/>
  <c r="C3117" i="8"/>
  <c r="C3214" i="8"/>
  <c r="C3667" i="8"/>
  <c r="C3038" i="8"/>
  <c r="C2754" i="8"/>
  <c r="C3161" i="8"/>
  <c r="C2735" i="8"/>
  <c r="C2696" i="8"/>
  <c r="C2763" i="8"/>
  <c r="C2649" i="8"/>
  <c r="C2177" i="8"/>
  <c r="C2202" i="8"/>
  <c r="C2238" i="8"/>
  <c r="C2063" i="8"/>
  <c r="C1865" i="8"/>
  <c r="C1789" i="8"/>
  <c r="C1905" i="8"/>
  <c r="C1711" i="8"/>
  <c r="C1702" i="8"/>
  <c r="C3460" i="8"/>
  <c r="C3445" i="8"/>
  <c r="C3026" i="8"/>
  <c r="C1599" i="8"/>
  <c r="C3564" i="8"/>
  <c r="C2997" i="8"/>
  <c r="C2576" i="8"/>
  <c r="C2133" i="8"/>
  <c r="C2065" i="8"/>
  <c r="C1759" i="8"/>
  <c r="C1683" i="8"/>
  <c r="C1521" i="8"/>
  <c r="C3645" i="8"/>
  <c r="C3016" i="8"/>
  <c r="C2732" i="8"/>
  <c r="C3105" i="8"/>
  <c r="C2730" i="8"/>
  <c r="C2674" i="8"/>
  <c r="C2621" i="8"/>
  <c r="C2594" i="8"/>
  <c r="C2155" i="8"/>
  <c r="C2180" i="8"/>
  <c r="C2136" i="8"/>
  <c r="C2050" i="8"/>
  <c r="C1821" i="8"/>
  <c r="C1775" i="8"/>
  <c r="C1797" i="8"/>
  <c r="C1668" i="8"/>
  <c r="C1545" i="8"/>
  <c r="C3242" i="8"/>
  <c r="C1508" i="8"/>
  <c r="C1730" i="8"/>
  <c r="C3454" i="8"/>
  <c r="C3167" i="8"/>
  <c r="C3554" i="8"/>
  <c r="C3233" i="8"/>
  <c r="C3099" i="8"/>
  <c r="C2698" i="8"/>
  <c r="C2563" i="8"/>
  <c r="C2228" i="8"/>
  <c r="C2275" i="8"/>
  <c r="C2038" i="8"/>
  <c r="C1757" i="8"/>
  <c r="C1661" i="8"/>
  <c r="C3115" i="8"/>
  <c r="C3363" i="8"/>
  <c r="C3532" i="8"/>
  <c r="C3218" i="8"/>
  <c r="C3019" i="8"/>
  <c r="C2973" i="8"/>
  <c r="C2676" i="8"/>
  <c r="C2550" i="8"/>
  <c r="C2558" i="8"/>
  <c r="C2205" i="8"/>
  <c r="C2436" i="8"/>
  <c r="C2206" i="8"/>
  <c r="C2052" i="8"/>
  <c r="C2179" i="8"/>
  <c r="C1737" i="8"/>
  <c r="C1735" i="8"/>
  <c r="C1669" i="8"/>
  <c r="C1610" i="8"/>
  <c r="C1557" i="8"/>
  <c r="C1800" i="8"/>
  <c r="C3592" i="8"/>
  <c r="C3131" i="8"/>
  <c r="C1816" i="8"/>
  <c r="C3464" i="8"/>
  <c r="C3118" i="8"/>
  <c r="C1660" i="8"/>
  <c r="C3104" i="8"/>
  <c r="C3673" i="8"/>
  <c r="C3469" i="8"/>
  <c r="C3004" i="8"/>
  <c r="C2944" i="8"/>
  <c r="C2636" i="8"/>
  <c r="C2526" i="8"/>
  <c r="C2568" i="8"/>
  <c r="C2183" i="8"/>
  <c r="C1926" i="8"/>
  <c r="C2184" i="8"/>
  <c r="C2040" i="8"/>
  <c r="C1988" i="8"/>
  <c r="C2027" i="8"/>
  <c r="C1798" i="8"/>
  <c r="C1588" i="8"/>
  <c r="C1743" i="8"/>
  <c r="C1483" i="8"/>
  <c r="C3341" i="8"/>
  <c r="C1807" i="8"/>
  <c r="C2788" i="8"/>
  <c r="C3200" i="8"/>
  <c r="C3299" i="8"/>
  <c r="C3585" i="8"/>
  <c r="C3662" i="8"/>
  <c r="C3386" i="8"/>
  <c r="C2970" i="8"/>
  <c r="C2921" i="8"/>
  <c r="C2614" i="8"/>
  <c r="C2507" i="8"/>
  <c r="C2548" i="8"/>
  <c r="C2161" i="8"/>
  <c r="C2508" i="8"/>
  <c r="C2162" i="8"/>
  <c r="C1939" i="8"/>
  <c r="C1974" i="8"/>
  <c r="C1884" i="8"/>
  <c r="C1770" i="8"/>
  <c r="C1565" i="8"/>
  <c r="C1695" i="8"/>
  <c r="C1531" i="8"/>
  <c r="C1514" i="8"/>
  <c r="C3163" i="8"/>
  <c r="C3129" i="8"/>
  <c r="C1485" i="8"/>
  <c r="C3290" i="8"/>
  <c r="C3318" i="8"/>
  <c r="C3651" i="8"/>
  <c r="C3462" i="8"/>
  <c r="C2946" i="8"/>
  <c r="C2791" i="8"/>
  <c r="C3092" i="8"/>
  <c r="C2378" i="8"/>
  <c r="C2505" i="8"/>
  <c r="C2130" i="8"/>
  <c r="C2414" i="8"/>
  <c r="C2140" i="8"/>
  <c r="C1868" i="8"/>
  <c r="C1951" i="8"/>
  <c r="C1901" i="8"/>
  <c r="C1840" i="8"/>
  <c r="C1551" i="8"/>
  <c r="C1568" i="8"/>
  <c r="C1489" i="8"/>
  <c r="C1490" i="8"/>
  <c r="C3228" i="8"/>
  <c r="C3194" i="8"/>
  <c r="C3502" i="8"/>
  <c r="C3587" i="8"/>
  <c r="C1522" i="8"/>
  <c r="C2537" i="8"/>
  <c r="C3306" i="8"/>
  <c r="C3168" i="8"/>
  <c r="C3561" i="8"/>
  <c r="C3413" i="8"/>
  <c r="C2923" i="8"/>
  <c r="C2769" i="8"/>
  <c r="C3042" i="8"/>
  <c r="C2356" i="8"/>
  <c r="C2482" i="8"/>
  <c r="C2108" i="8"/>
  <c r="C2377" i="8"/>
  <c r="C1830" i="8"/>
  <c r="C1846" i="8"/>
  <c r="C1928" i="8"/>
  <c r="C1863" i="8"/>
  <c r="C1765" i="8"/>
  <c r="C1597" i="8"/>
  <c r="C1752" i="8"/>
  <c r="C1572" i="8"/>
  <c r="C3024" i="8"/>
  <c r="C3348" i="8"/>
  <c r="C1484" i="8"/>
  <c r="C3432" i="8"/>
  <c r="C1512" i="8"/>
  <c r="C3501" i="8"/>
  <c r="C3221" i="8"/>
  <c r="C3389" i="8"/>
  <c r="C2358" i="8"/>
  <c r="C2031" i="8"/>
  <c r="C1689" i="8"/>
  <c r="C3489" i="8"/>
  <c r="C1566" i="8"/>
  <c r="C2655" i="8"/>
  <c r="C1691" i="8"/>
  <c r="C3025" i="8"/>
  <c r="C2077" i="8"/>
  <c r="C3419" i="8"/>
  <c r="C3579" i="8"/>
  <c r="C3526" i="8"/>
  <c r="C3267" i="8"/>
  <c r="C2941" i="8"/>
  <c r="C2747" i="8"/>
  <c r="C2782" i="8"/>
  <c r="C2334" i="8"/>
  <c r="C2573" i="8"/>
  <c r="C2467" i="8"/>
  <c r="C2399" i="8"/>
  <c r="C2030" i="8"/>
  <c r="C1824" i="8"/>
  <c r="C2382" i="8"/>
  <c r="C1857" i="8"/>
  <c r="C1708" i="8"/>
  <c r="C1583" i="8"/>
  <c r="C1717" i="8"/>
  <c r="C1653" i="8"/>
  <c r="C1630" i="8"/>
  <c r="C3075" i="8"/>
  <c r="C2090" i="8"/>
  <c r="C1594" i="8"/>
  <c r="C3584" i="8"/>
  <c r="C1771" i="8"/>
  <c r="C3496" i="8"/>
  <c r="C2213" i="8"/>
  <c r="C1467" i="8"/>
  <c r="C3716" i="8"/>
  <c r="C2370" i="8"/>
  <c r="C3578" i="8"/>
  <c r="C3583" i="8"/>
  <c r="C3390" i="8"/>
  <c r="C3262" i="8"/>
  <c r="C2904" i="8"/>
  <c r="C2987" i="8"/>
  <c r="C2729" i="8"/>
  <c r="C2312" i="8"/>
  <c r="C2500" i="8"/>
  <c r="C2364" i="8"/>
  <c r="C2305" i="8"/>
  <c r="C2020" i="8"/>
  <c r="C1780" i="8"/>
  <c r="C2074" i="8"/>
  <c r="C1844" i="8"/>
  <c r="C1693" i="8"/>
  <c r="C1546" i="8"/>
  <c r="C1666" i="8"/>
  <c r="C1496" i="8"/>
  <c r="C1499" i="8"/>
  <c r="C3371" i="8"/>
  <c r="C3320" i="8"/>
  <c r="C1681" i="8"/>
  <c r="C1712" i="8"/>
  <c r="C2175" i="8"/>
  <c r="C3159" i="8"/>
  <c r="C3212" i="8"/>
  <c r="C3631" i="8"/>
  <c r="C3196" i="8"/>
  <c r="C2470" i="8"/>
  <c r="C1916" i="8"/>
  <c r="C1644" i="8"/>
  <c r="C1473" i="8"/>
  <c r="C2538" i="8"/>
  <c r="C1718" i="8"/>
  <c r="C3111" i="8"/>
  <c r="C2019" i="8"/>
  <c r="C1719" i="8"/>
  <c r="C3513" i="8"/>
  <c r="C3675" i="8"/>
  <c r="C3677" i="8"/>
  <c r="C3137" i="8"/>
  <c r="C2881" i="8"/>
  <c r="C2839" i="8"/>
  <c r="C2697" i="8"/>
  <c r="C2511" i="8"/>
  <c r="C2477" i="8"/>
  <c r="C2134" i="8"/>
  <c r="C2287" i="8"/>
  <c r="C2015" i="8"/>
  <c r="C2013" i="8"/>
  <c r="C2061" i="8"/>
  <c r="C1795" i="8"/>
  <c r="C2089" i="8"/>
  <c r="C1604" i="8"/>
  <c r="C1658" i="8"/>
  <c r="C3506" i="8"/>
  <c r="C2996" i="8"/>
  <c r="C2333" i="8"/>
  <c r="C1558" i="8"/>
  <c r="C1822" i="8"/>
  <c r="C2127" i="8"/>
  <c r="C1491" i="8"/>
  <c r="C2871" i="8"/>
  <c r="C2111" i="8"/>
  <c r="C3653" i="8"/>
  <c r="C3483" i="8"/>
  <c r="C3119" i="8"/>
  <c r="C2863" i="8"/>
  <c r="C2817" i="8"/>
  <c r="C2675" i="8"/>
  <c r="C2488" i="8"/>
  <c r="C2455" i="8"/>
  <c r="C2112" i="8"/>
  <c r="C2258" i="8"/>
  <c r="C1982" i="8"/>
  <c r="C1934" i="8"/>
  <c r="C2055" i="8"/>
  <c r="C1692" i="8"/>
  <c r="C1617" i="8"/>
  <c r="C1696" i="8"/>
  <c r="C1581" i="8"/>
  <c r="C1595" i="8"/>
  <c r="C2816" i="8"/>
  <c r="C3544" i="8"/>
  <c r="C3328" i="8"/>
  <c r="C1854" i="8"/>
  <c r="C2795" i="8"/>
  <c r="C2163" i="8"/>
  <c r="C1635" i="8"/>
  <c r="C1469" i="8"/>
  <c r="C1520" i="8"/>
  <c r="C2825" i="8"/>
  <c r="C2360" i="8"/>
  <c r="C1607" i="8"/>
  <c r="C2703" i="8"/>
  <c r="C1698" i="8"/>
  <c r="C1540" i="8"/>
  <c r="C3652" i="8"/>
  <c r="C3378" i="8"/>
  <c r="C3053" i="8"/>
  <c r="C3106" i="8"/>
  <c r="C3062" i="8"/>
  <c r="C2770" i="8"/>
  <c r="C2448" i="8"/>
  <c r="C2336" i="8"/>
  <c r="C2068" i="8"/>
  <c r="C2141" i="8"/>
  <c r="C1977" i="8"/>
  <c r="C1894" i="8"/>
  <c r="C2083" i="8"/>
  <c r="C1591" i="8"/>
  <c r="C1571" i="8"/>
  <c r="C1682" i="8"/>
  <c r="C1513" i="8"/>
  <c r="C1646" i="8"/>
  <c r="C3143" i="8"/>
  <c r="C3516" i="8"/>
  <c r="C1900" i="8"/>
  <c r="C3548" i="8"/>
  <c r="C2273" i="8"/>
  <c r="C2119" i="8"/>
  <c r="C1954" i="8"/>
  <c r="C1872" i="8"/>
  <c r="C1569" i="8"/>
  <c r="C1548" i="8"/>
  <c r="C1504" i="8"/>
  <c r="C1468" i="8"/>
  <c r="C3046" i="8"/>
  <c r="C3037" i="8"/>
  <c r="C1547" i="8"/>
  <c r="C2048" i="8"/>
  <c r="C1673" i="8"/>
  <c r="C3275" i="8"/>
  <c r="C3545" i="8"/>
  <c r="C3230" i="8"/>
  <c r="C3624" i="8"/>
  <c r="C2847" i="8"/>
  <c r="C2677" i="8"/>
  <c r="C2567" i="8"/>
  <c r="C2227" i="8"/>
  <c r="C2114" i="8"/>
  <c r="C1732" i="8"/>
  <c r="C1640" i="8"/>
  <c r="C3030" i="8"/>
  <c r="C2430" i="8"/>
  <c r="C1778" i="8"/>
  <c r="C3481" i="8"/>
  <c r="C3339" i="8"/>
  <c r="C2516" i="8"/>
  <c r="C2354" i="8"/>
  <c r="C1621" i="8"/>
  <c r="C3412" i="8"/>
  <c r="C1627" i="8"/>
  <c r="C3630" i="8"/>
  <c r="C3490" i="8"/>
  <c r="C2878" i="8"/>
  <c r="C3078" i="8"/>
  <c r="C2736" i="8"/>
  <c r="C2759" i="8"/>
  <c r="C2483" i="8"/>
  <c r="C2314" i="8"/>
  <c r="C1904" i="8"/>
  <c r="C1629" i="8"/>
  <c r="C3447" i="8"/>
  <c r="C2201" i="8"/>
  <c r="C1592" i="8"/>
  <c r="C1479" i="8"/>
  <c r="C1633" i="8"/>
  <c r="C2917" i="8"/>
  <c r="C2452" i="8"/>
  <c r="C1913" i="8"/>
  <c r="C3032" i="8"/>
  <c r="C2894" i="8"/>
  <c r="C1721" i="8"/>
  <c r="C3565" i="8"/>
  <c r="C2504" i="8"/>
  <c r="C1744" i="8"/>
  <c r="C3608" i="8"/>
  <c r="C3505" i="8"/>
  <c r="C2869" i="8"/>
  <c r="C3003" i="8"/>
  <c r="C2699" i="8"/>
  <c r="C2743" i="8"/>
  <c r="C2474" i="8"/>
  <c r="C2292" i="8"/>
  <c r="C2250" i="8"/>
  <c r="C2097" i="8"/>
  <c r="C1931" i="8"/>
  <c r="C1907" i="8"/>
  <c r="C1879" i="8"/>
  <c r="C1482" i="8"/>
  <c r="C3397" i="8"/>
  <c r="C3052" i="8"/>
  <c r="C2560" i="8"/>
  <c r="C2531" i="8"/>
  <c r="C1710" i="8"/>
  <c r="C3602" i="8"/>
  <c r="C2105" i="8"/>
  <c r="C2569" i="8"/>
  <c r="C1488" i="8"/>
  <c r="C3249" i="8"/>
  <c r="C3618" i="8"/>
  <c r="C3109" i="8"/>
  <c r="C3000" i="8"/>
  <c r="C2849" i="8"/>
  <c r="C2681" i="8"/>
  <c r="C2494" i="8"/>
  <c r="C2539" i="8"/>
  <c r="C2481" i="8"/>
  <c r="C2343" i="8"/>
  <c r="C2341" i="8"/>
  <c r="C1995" i="8"/>
  <c r="C2045" i="8"/>
  <c r="C2081" i="8"/>
  <c r="C2016" i="8"/>
  <c r="C1598" i="8"/>
  <c r="C2395" i="8"/>
  <c r="C1561" i="8"/>
  <c r="C1550" i="8"/>
  <c r="C3530" i="8"/>
  <c r="C3430" i="8"/>
  <c r="C3453" i="8"/>
  <c r="C2589" i="8"/>
  <c r="C3482" i="8"/>
  <c r="C1619" i="8"/>
  <c r="C3151" i="8"/>
  <c r="C3510" i="8"/>
  <c r="C3186" i="8"/>
  <c r="C3520" i="8"/>
  <c r="C3135" i="8"/>
  <c r="C2966" i="8"/>
  <c r="C2796" i="8"/>
  <c r="C2659" i="8"/>
  <c r="C2728" i="8"/>
  <c r="C2534" i="8"/>
  <c r="C2375" i="8"/>
  <c r="C2294" i="8"/>
  <c r="C2234" i="8"/>
  <c r="C1972" i="8"/>
  <c r="C2315" i="8"/>
  <c r="C1964" i="8"/>
  <c r="C1908" i="8"/>
  <c r="C1575" i="8"/>
  <c r="C1969" i="8"/>
  <c r="C1534" i="8"/>
  <c r="F910" i="3"/>
  <c r="C1539" i="8"/>
  <c r="C3559" i="8"/>
  <c r="C3088" i="8"/>
  <c r="C1788" i="8"/>
  <c r="C3369" i="8"/>
  <c r="C2859" i="8"/>
  <c r="C2429" i="8"/>
  <c r="C1806" i="8"/>
  <c r="C3170" i="8"/>
  <c r="C2540" i="8"/>
  <c r="C2610" i="8"/>
  <c r="C3685" i="8"/>
  <c r="C2731" i="8"/>
  <c r="C3193" i="8"/>
  <c r="C2717" i="8"/>
  <c r="C2362" i="8"/>
  <c r="C1645" i="8"/>
  <c r="C3007" i="8"/>
  <c r="C1855" i="8"/>
  <c r="C3138" i="8"/>
  <c r="C2786" i="8"/>
  <c r="C2854" i="8"/>
  <c r="C2629" i="8"/>
  <c r="C1832" i="8"/>
  <c r="C3076" i="8"/>
  <c r="C3298" i="8"/>
  <c r="C3444" i="8"/>
  <c r="C3524" i="8"/>
  <c r="C3103" i="8"/>
  <c r="C3450" i="8"/>
  <c r="C399" i="5"/>
  <c r="F398" i="5"/>
  <c r="I398" i="5"/>
  <c r="C3009" i="8"/>
  <c r="C2306" i="8"/>
  <c r="C3715" i="8"/>
  <c r="C2968" i="8"/>
  <c r="C2308" i="8"/>
  <c r="C1827" i="8"/>
  <c r="C3616" i="8"/>
  <c r="C2891" i="8"/>
  <c r="C2169" i="8"/>
  <c r="C3394" i="8"/>
  <c r="C2926" i="8"/>
  <c r="C2513" i="8"/>
  <c r="C1937" i="8"/>
  <c r="C2937" i="8"/>
  <c r="C2218" i="8"/>
  <c r="C1837" i="8"/>
  <c r="C2914" i="8"/>
  <c r="C2669" i="8"/>
  <c r="C2116" i="8"/>
  <c r="C2915" i="8"/>
  <c r="C2575" i="8"/>
  <c r="C3238" i="8"/>
  <c r="C2601" i="8"/>
  <c r="C3337" i="8"/>
  <c r="C2653" i="8"/>
  <c r="C3710" i="8"/>
  <c r="C2953" i="8"/>
  <c r="C2326" i="8"/>
  <c r="D2522" i="8"/>
  <c r="G2522" i="8" s="1"/>
  <c r="D2255" i="8"/>
  <c r="G2255" i="8" s="1"/>
  <c r="D2328" i="8"/>
  <c r="G2328" i="8" s="1"/>
  <c r="D2343" i="8"/>
  <c r="G2343" i="8" s="1"/>
  <c r="D3519" i="8"/>
  <c r="G3519" i="8" s="1"/>
  <c r="D1707" i="8"/>
  <c r="G1707" i="8" s="1"/>
  <c r="D2024" i="8"/>
  <c r="G2024" i="8" s="1"/>
  <c r="D3430" i="8"/>
  <c r="G3430" i="8" s="1"/>
  <c r="D2495" i="8"/>
  <c r="G2495" i="8" s="1"/>
  <c r="D3155" i="8"/>
  <c r="G3155" i="8" s="1"/>
  <c r="D2153" i="8"/>
  <c r="G2153" i="8" s="1"/>
  <c r="D2408" i="8"/>
  <c r="G2408" i="8" s="1"/>
  <c r="D2101" i="8"/>
  <c r="G2101" i="8" s="1"/>
  <c r="D1535" i="8"/>
  <c r="G1535" i="8" s="1"/>
  <c r="D1898" i="8"/>
  <c r="G1898" i="8" s="1"/>
  <c r="D1487" i="8"/>
  <c r="G1487" i="8" s="1"/>
  <c r="D2720" i="8"/>
  <c r="G2720" i="8" s="1"/>
  <c r="D2590" i="8"/>
  <c r="G2590" i="8" s="1"/>
  <c r="D2126" i="8"/>
  <c r="G2126" i="8" s="1"/>
  <c r="D3279" i="8"/>
  <c r="G3279" i="8" s="1"/>
  <c r="D1540" i="8"/>
  <c r="G1540" i="8" s="1"/>
  <c r="D1695" i="8"/>
  <c r="G1695" i="8" s="1"/>
  <c r="D3449" i="8"/>
  <c r="G3449" i="8" s="1"/>
  <c r="D1897" i="8"/>
  <c r="G1897" i="8" s="1"/>
  <c r="D3227" i="8"/>
  <c r="G3227" i="8" s="1"/>
  <c r="D3563" i="8"/>
  <c r="G3563" i="8" s="1"/>
  <c r="D2639" i="8"/>
  <c r="G2639" i="8" s="1"/>
  <c r="D2568" i="8"/>
  <c r="G2568" i="8" s="1"/>
  <c r="D3230" i="8"/>
  <c r="G3230" i="8" s="1"/>
  <c r="D3105" i="8"/>
  <c r="G3105" i="8" s="1"/>
  <c r="D2515" i="8"/>
  <c r="G2515" i="8" s="1"/>
  <c r="D3229" i="8"/>
  <c r="G3229" i="8" s="1"/>
  <c r="D2943" i="8"/>
  <c r="G2943" i="8" s="1"/>
  <c r="D1634" i="8"/>
  <c r="G1634" i="8" s="1"/>
  <c r="D2972" i="8"/>
  <c r="G2972" i="8" s="1"/>
  <c r="D3709" i="8"/>
  <c r="G3709" i="8" s="1"/>
  <c r="D2096" i="8"/>
  <c r="G2096" i="8" s="1"/>
  <c r="D1847" i="8"/>
  <c r="G1847" i="8" s="1"/>
  <c r="D3346" i="8"/>
  <c r="G3346" i="8" s="1"/>
  <c r="D2538" i="8"/>
  <c r="G2538" i="8" s="1"/>
  <c r="D2917" i="8"/>
  <c r="G2917" i="8" s="1"/>
  <c r="D2649" i="8"/>
  <c r="G2649" i="8" s="1"/>
  <c r="D2489" i="8"/>
  <c r="G2489" i="8" s="1"/>
  <c r="D1476" i="8"/>
  <c r="G1476" i="8" s="1"/>
  <c r="D1627" i="8"/>
  <c r="G1627" i="8" s="1"/>
  <c r="D1523" i="8"/>
  <c r="G1523" i="8" s="1"/>
  <c r="D3128" i="8"/>
  <c r="G3128" i="8" s="1"/>
  <c r="D3559" i="8"/>
  <c r="G3559" i="8" s="1"/>
  <c r="D3629" i="8"/>
  <c r="G3629" i="8" s="1"/>
  <c r="D2557" i="8"/>
  <c r="G2557" i="8" s="1"/>
  <c r="D2217" i="8"/>
  <c r="G2217" i="8" s="1"/>
  <c r="D2562" i="8"/>
  <c r="G2562" i="8" s="1"/>
  <c r="D3243" i="8"/>
  <c r="G3243" i="8" s="1"/>
  <c r="D2389" i="8"/>
  <c r="G2389" i="8" s="1"/>
  <c r="D2236" i="8"/>
  <c r="G2236" i="8" s="1"/>
  <c r="D2279" i="8"/>
  <c r="G2279" i="8" s="1"/>
  <c r="D3029" i="8"/>
  <c r="G3029" i="8" s="1"/>
  <c r="D3176" i="8"/>
  <c r="G3176" i="8" s="1"/>
  <c r="D2549" i="8"/>
  <c r="G2549" i="8" s="1"/>
  <c r="D2067" i="8"/>
  <c r="G2067" i="8" s="1"/>
  <c r="D3686" i="8"/>
  <c r="G3686" i="8" s="1"/>
  <c r="D1915" i="8"/>
  <c r="G1915" i="8" s="1"/>
  <c r="D1628" i="8"/>
  <c r="G1628" i="8" s="1"/>
  <c r="D2066" i="8"/>
  <c r="G2066" i="8" s="1"/>
  <c r="D3602" i="8"/>
  <c r="G3602" i="8" s="1"/>
  <c r="D2347" i="8"/>
  <c r="G2347" i="8" s="1"/>
  <c r="D3189" i="8"/>
  <c r="G3189" i="8" s="1"/>
  <c r="D3080" i="8"/>
  <c r="G3080" i="8" s="1"/>
  <c r="D2611" i="8"/>
  <c r="G2611" i="8" s="1"/>
  <c r="D3390" i="8"/>
  <c r="G3390" i="8" s="1"/>
  <c r="D2621" i="8"/>
  <c r="G2621" i="8" s="1"/>
  <c r="D2257" i="8"/>
  <c r="G2257" i="8" s="1"/>
  <c r="D3537" i="8"/>
  <c r="G3537" i="8" s="1"/>
  <c r="D2716" i="8"/>
  <c r="G2716" i="8" s="1"/>
  <c r="D2711" i="8"/>
  <c r="G2711" i="8" s="1"/>
  <c r="D2215" i="8"/>
  <c r="G2215" i="8" s="1"/>
  <c r="D3500" i="8"/>
  <c r="G3500" i="8" s="1"/>
  <c r="D2394" i="8"/>
  <c r="G2394" i="8" s="1"/>
  <c r="D2180" i="8"/>
  <c r="G2180" i="8" s="1"/>
  <c r="D1728" i="8"/>
  <c r="G1728" i="8" s="1"/>
  <c r="D3451" i="8"/>
  <c r="G3451" i="8" s="1"/>
  <c r="D3127" i="8"/>
  <c r="G3127" i="8" s="1"/>
  <c r="D2860" i="8"/>
  <c r="G2860" i="8" s="1"/>
  <c r="D2443" i="8"/>
  <c r="G2443" i="8" s="1"/>
  <c r="D2571" i="8"/>
  <c r="G2571" i="8" s="1"/>
  <c r="D2904" i="8"/>
  <c r="G2904" i="8" s="1"/>
  <c r="D2367" i="8"/>
  <c r="G2367" i="8" s="1"/>
  <c r="D1548" i="8"/>
  <c r="G1548" i="8" s="1"/>
  <c r="D3152" i="8"/>
  <c r="G3152" i="8" s="1"/>
  <c r="D3549" i="8"/>
  <c r="G3549" i="8" s="1"/>
  <c r="D2692" i="8"/>
  <c r="G2692" i="8" s="1"/>
  <c r="D2363" i="8"/>
  <c r="G2363" i="8" s="1"/>
  <c r="D2118" i="8"/>
  <c r="G2118" i="8" s="1"/>
  <c r="D3417" i="8"/>
  <c r="G3417" i="8" s="1"/>
  <c r="D3504" i="8"/>
  <c r="G3504" i="8" s="1"/>
  <c r="D2755" i="8"/>
  <c r="G2755" i="8" s="1"/>
  <c r="D2490" i="8"/>
  <c r="G2490" i="8" s="1"/>
  <c r="D3231" i="8"/>
  <c r="G3231" i="8" s="1"/>
  <c r="D3118" i="8"/>
  <c r="G3118" i="8" s="1"/>
  <c r="D1479" i="8"/>
  <c r="G1479" i="8" s="1"/>
  <c r="D1670" i="8"/>
  <c r="G1670" i="8" s="1"/>
  <c r="D2144" i="8"/>
  <c r="G2144" i="8" s="1"/>
  <c r="C2600" i="8"/>
  <c r="C2472" i="8"/>
  <c r="C2189" i="8"/>
  <c r="C2479" i="8"/>
  <c r="C3095" i="8"/>
  <c r="C3401" i="8"/>
  <c r="C2059" i="8"/>
  <c r="C2670" i="8"/>
  <c r="C3668" i="8"/>
  <c r="C2865" i="8"/>
  <c r="C2453" i="8"/>
  <c r="C2947" i="8"/>
  <c r="C2580" i="8"/>
  <c r="C2587" i="8"/>
  <c r="C2423" i="8"/>
  <c r="C2559" i="8"/>
  <c r="C3081" i="8"/>
  <c r="C2579" i="8"/>
  <c r="C3420" i="8"/>
  <c r="C3142" i="8"/>
  <c r="C3349" i="8"/>
  <c r="C2092" i="8"/>
  <c r="C3493" i="8"/>
  <c r="C2391" i="8"/>
  <c r="C1960" i="8"/>
  <c r="C1945" i="8"/>
  <c r="C2775" i="8"/>
  <c r="C3694" i="8"/>
  <c r="D3202" i="8"/>
  <c r="G3202" i="8" s="1"/>
  <c r="D2251" i="8"/>
  <c r="G2251" i="8" s="1"/>
  <c r="C3477" i="8"/>
  <c r="C2822" i="8"/>
  <c r="C2913" i="8"/>
  <c r="C3023" i="8"/>
  <c r="C2389" i="8"/>
  <c r="C1989" i="8"/>
  <c r="C3399" i="8"/>
  <c r="C2691" i="8"/>
  <c r="C1825" i="8"/>
  <c r="C3637" i="8"/>
  <c r="C2672" i="8"/>
  <c r="C3172" i="8"/>
  <c r="C3012" i="8"/>
  <c r="C2449" i="8"/>
  <c r="C3702" i="8"/>
  <c r="C2778" i="8"/>
  <c r="C3101" i="8"/>
  <c r="C2978" i="8"/>
  <c r="C2405" i="8"/>
  <c r="C3315" i="8"/>
  <c r="C2459" i="8"/>
  <c r="C2056" i="8"/>
  <c r="C3213" i="8"/>
  <c r="C3269" i="8"/>
  <c r="C3187" i="8"/>
  <c r="C1613" i="8"/>
  <c r="C2815" i="8"/>
  <c r="C3480" i="8"/>
  <c r="C2918" i="8"/>
  <c r="C2590" i="8"/>
  <c r="C3670" i="8"/>
  <c r="C3011" i="8"/>
  <c r="C2371" i="8"/>
  <c r="C1746" i="8"/>
  <c r="C3654" i="8"/>
  <c r="C3055" i="8"/>
  <c r="C2222" i="8"/>
  <c r="C3360" i="8"/>
  <c r="C2831" i="8"/>
  <c r="C2295" i="8"/>
  <c r="C1716" i="8"/>
  <c r="C3197" i="8"/>
  <c r="C2464" i="8"/>
  <c r="T892" i="3"/>
  <c r="U893" i="3"/>
  <c r="C3040" i="8"/>
  <c r="C2442" i="8"/>
  <c r="C1943" i="8"/>
  <c r="C3061" i="8"/>
  <c r="C2713" i="8"/>
  <c r="C3175" i="8"/>
  <c r="C2400" i="8"/>
  <c r="C3497" i="8"/>
  <c r="C2719" i="8"/>
  <c r="C3687" i="8"/>
  <c r="C2830" i="8"/>
  <c r="D1735" i="8"/>
  <c r="G1735" i="8" s="1"/>
  <c r="D2137" i="8"/>
  <c r="G2137" i="8" s="1"/>
  <c r="D2375" i="8"/>
  <c r="G2375" i="8" s="1"/>
  <c r="D2997" i="8"/>
  <c r="G2997" i="8" s="1"/>
  <c r="D1719" i="8"/>
  <c r="G1719" i="8" s="1"/>
  <c r="D2897" i="8"/>
  <c r="G2897" i="8" s="1"/>
  <c r="D1841" i="8"/>
  <c r="G1841" i="8" s="1"/>
  <c r="D2703" i="8"/>
  <c r="G2703" i="8" s="1"/>
  <c r="D2632" i="8"/>
  <c r="G2632" i="8" s="1"/>
  <c r="D2732" i="8"/>
  <c r="G2732" i="8" s="1"/>
  <c r="D3222" i="8"/>
  <c r="G3222" i="8" s="1"/>
  <c r="D1696" i="8"/>
  <c r="G1696" i="8" s="1"/>
  <c r="D2085" i="8"/>
  <c r="G2085" i="8" s="1"/>
  <c r="D2268" i="8"/>
  <c r="G2268" i="8" s="1"/>
  <c r="D3382" i="8"/>
  <c r="G3382" i="8" s="1"/>
  <c r="D2216" i="8"/>
  <c r="G2216" i="8" s="1"/>
  <c r="D2877" i="8"/>
  <c r="G2877" i="8" s="1"/>
  <c r="D1868" i="8"/>
  <c r="G1868" i="8" s="1"/>
  <c r="D1703" i="8"/>
  <c r="G1703" i="8" s="1"/>
  <c r="D2809" i="8"/>
  <c r="G2809" i="8" s="1"/>
  <c r="D2184" i="8"/>
  <c r="G2184" i="8" s="1"/>
  <c r="D2708" i="8"/>
  <c r="G2708" i="8" s="1"/>
  <c r="D2229" i="8"/>
  <c r="G2229" i="8" s="1"/>
  <c r="D1984" i="8"/>
  <c r="G1984" i="8" s="1"/>
  <c r="D1576" i="8"/>
  <c r="G1576" i="8" s="1"/>
  <c r="D2953" i="8"/>
  <c r="G2953" i="8" s="1"/>
  <c r="D1608" i="8"/>
  <c r="G1608" i="8" s="1"/>
  <c r="D3458" i="8"/>
  <c r="G3458" i="8" s="1"/>
  <c r="D3293" i="8"/>
  <c r="G3293" i="8" s="1"/>
  <c r="D3640" i="8"/>
  <c r="G3640" i="8" s="1"/>
  <c r="D1686" i="8"/>
  <c r="G1686" i="8" s="1"/>
  <c r="D3278" i="8"/>
  <c r="G3278" i="8" s="1"/>
  <c r="D2882" i="8"/>
  <c r="G2882" i="8" s="1"/>
  <c r="D1784" i="8"/>
  <c r="G1784" i="8" s="1"/>
  <c r="D2709" i="8"/>
  <c r="G2709" i="8" s="1"/>
  <c r="D1708" i="8"/>
  <c r="G1708" i="8" s="1"/>
  <c r="D1493" i="8"/>
  <c r="G1493" i="8" s="1"/>
  <c r="D2038" i="8"/>
  <c r="G2038" i="8" s="1"/>
  <c r="D1532" i="8"/>
  <c r="G1532" i="8" s="1"/>
  <c r="D3009" i="8"/>
  <c r="G3009" i="8" s="1"/>
  <c r="D2971" i="8"/>
  <c r="G2971" i="8" s="1"/>
  <c r="D1559" i="8"/>
  <c r="G1559" i="8" s="1"/>
  <c r="D2431" i="8"/>
  <c r="G2431" i="8" s="1"/>
  <c r="D2915" i="8"/>
  <c r="G2915" i="8" s="1"/>
  <c r="D3552" i="8"/>
  <c r="G3552" i="8" s="1"/>
  <c r="D2020" i="8"/>
  <c r="G2020" i="8" s="1"/>
  <c r="D1922" i="8"/>
  <c r="G1922" i="8" s="1"/>
  <c r="D2541" i="8"/>
  <c r="G2541" i="8" s="1"/>
  <c r="D3408" i="8"/>
  <c r="G3408" i="8" s="1"/>
  <c r="D2799" i="8"/>
  <c r="G2799" i="8" s="1"/>
  <c r="D2932" i="8"/>
  <c r="G2932" i="8" s="1"/>
  <c r="D3112" i="8"/>
  <c r="G3112" i="8" s="1"/>
  <c r="D2121" i="8"/>
  <c r="G2121" i="8" s="1"/>
  <c r="D3094" i="8"/>
  <c r="G3094" i="8" s="1"/>
  <c r="D2905" i="8"/>
  <c r="G2905" i="8" s="1"/>
  <c r="D2690" i="8"/>
  <c r="G2690" i="8" s="1"/>
  <c r="D2237" i="8"/>
  <c r="G2237" i="8" s="1"/>
  <c r="D2874" i="8"/>
  <c r="G2874" i="8" s="1"/>
  <c r="D1840" i="8"/>
  <c r="G1840" i="8" s="1"/>
  <c r="D3586" i="8"/>
  <c r="G3586" i="8" s="1"/>
  <c r="D2587" i="8"/>
  <c r="G2587" i="8" s="1"/>
  <c r="D2785" i="8"/>
  <c r="G2785" i="8" s="1"/>
  <c r="D2472" i="8"/>
  <c r="G2472" i="8" s="1"/>
  <c r="D1882" i="8"/>
  <c r="G1882" i="8" s="1"/>
  <c r="D1789" i="8"/>
  <c r="G1789" i="8" s="1"/>
  <c r="D3207" i="8"/>
  <c r="G3207" i="8" s="1"/>
  <c r="D1975" i="8"/>
  <c r="G1975" i="8" s="1"/>
  <c r="D1555" i="8"/>
  <c r="G1555" i="8" s="1"/>
  <c r="D1587" i="8"/>
  <c r="G1587" i="8" s="1"/>
  <c r="D3628" i="8"/>
  <c r="G3628" i="8" s="1"/>
  <c r="D3198" i="8"/>
  <c r="G3198" i="8" s="1"/>
  <c r="D3591" i="8"/>
  <c r="G3591" i="8" s="1"/>
  <c r="D2661" i="8"/>
  <c r="G2661" i="8" s="1"/>
  <c r="D3174" i="8"/>
  <c r="G3174" i="8" s="1"/>
  <c r="D1774" i="8"/>
  <c r="G1774" i="8" s="1"/>
  <c r="D2297" i="8"/>
  <c r="G2297" i="8" s="1"/>
  <c r="D2545" i="8"/>
  <c r="G2545" i="8" s="1"/>
  <c r="D3698" i="8"/>
  <c r="G3698" i="8" s="1"/>
  <c r="D3375" i="8"/>
  <c r="G3375" i="8" s="1"/>
  <c r="D2573" i="8"/>
  <c r="G2573" i="8" s="1"/>
  <c r="D2081" i="8"/>
  <c r="G2081" i="8" s="1"/>
  <c r="D2933" i="8"/>
  <c r="G2933" i="8" s="1"/>
  <c r="D1928" i="8"/>
  <c r="G1928" i="8" s="1"/>
  <c r="D1931" i="8"/>
  <c r="G1931" i="8" s="1"/>
  <c r="D3237" i="8"/>
  <c r="G3237" i="8" s="1"/>
  <c r="D2903" i="8"/>
  <c r="G2903" i="8" s="1"/>
  <c r="D3339" i="8"/>
  <c r="G3339" i="8" s="1"/>
  <c r="D2034" i="8"/>
  <c r="G2034" i="8" s="1"/>
  <c r="D1702" i="8"/>
  <c r="G1702" i="8" s="1"/>
  <c r="D2239" i="8"/>
  <c r="G2239" i="8" s="1"/>
  <c r="D3404" i="8"/>
  <c r="G3404" i="8" s="1"/>
  <c r="D1491" i="8"/>
  <c r="G1491" i="8" s="1"/>
  <c r="D3036" i="8"/>
  <c r="G3036" i="8" s="1"/>
  <c r="D2554" i="8"/>
  <c r="G2554" i="8" s="1"/>
  <c r="D3475" i="8"/>
  <c r="G3475" i="8" s="1"/>
  <c r="D1738" i="8"/>
  <c r="G1738" i="8" s="1"/>
  <c r="D3367" i="8"/>
  <c r="G3367" i="8" s="1"/>
  <c r="D2908" i="8"/>
  <c r="G2908" i="8" s="1"/>
  <c r="D3027" i="8"/>
  <c r="G3027" i="8" s="1"/>
  <c r="D1736" i="8"/>
  <c r="G1736" i="8" s="1"/>
  <c r="D3218" i="8"/>
  <c r="G3218" i="8" s="1"/>
  <c r="D2658" i="8"/>
  <c r="G2658" i="8" s="1"/>
  <c r="D3315" i="8"/>
  <c r="G3315" i="8" s="1"/>
  <c r="C3424" i="8"/>
  <c r="C3395" i="8"/>
  <c r="C3202" i="8"/>
  <c r="C1659" i="8"/>
  <c r="C3458" i="8"/>
  <c r="C2832" i="8"/>
  <c r="C2584" i="8"/>
  <c r="C3638" i="8"/>
  <c r="C2598" i="8"/>
  <c r="C2191" i="8"/>
  <c r="C1810" i="8"/>
  <c r="C3657" i="8"/>
  <c r="C2740" i="8"/>
  <c r="C2349" i="8"/>
  <c r="C3671" i="8"/>
  <c r="C2930" i="8"/>
  <c r="C2260" i="8"/>
  <c r="C3268" i="8"/>
  <c r="C2922" i="8"/>
  <c r="C2468" i="8"/>
  <c r="P891" i="3"/>
  <c r="V891" i="3" s="1"/>
  <c r="R891" i="3"/>
  <c r="Q891" i="3"/>
  <c r="S891" i="3"/>
  <c r="C2899" i="8"/>
  <c r="C2446" i="8"/>
  <c r="C1880" i="8"/>
  <c r="C2798" i="8"/>
  <c r="C2381" i="8"/>
  <c r="C3183" i="8"/>
  <c r="C2535" i="8"/>
  <c r="C3087" i="8"/>
  <c r="C2833" i="8"/>
  <c r="C3672" i="8"/>
  <c r="C2611" i="8"/>
  <c r="D1814" i="8"/>
  <c r="G1814" i="8" s="1"/>
  <c r="D3209" i="8"/>
  <c r="G3209" i="8" s="1"/>
  <c r="D2875" i="8"/>
  <c r="G2875" i="8" s="1"/>
  <c r="D2064" i="8"/>
  <c r="G2064" i="8" s="1"/>
  <c r="D2485" i="8"/>
  <c r="G2485" i="8" s="1"/>
  <c r="D1832" i="8"/>
  <c r="G1832" i="8" s="1"/>
  <c r="D3028" i="8"/>
  <c r="G3028" i="8" s="1"/>
  <c r="D1960" i="8"/>
  <c r="G1960" i="8" s="1"/>
  <c r="D2076" i="8"/>
  <c r="G2076" i="8" s="1"/>
  <c r="D3322" i="8"/>
  <c r="G3322" i="8" s="1"/>
  <c r="D3149" i="8"/>
  <c r="G3149" i="8" s="1"/>
  <c r="D2779" i="8"/>
  <c r="G2779" i="8" s="1"/>
  <c r="D2772" i="8"/>
  <c r="G2772" i="8" s="1"/>
  <c r="D2737" i="8"/>
  <c r="G2737" i="8" s="1"/>
  <c r="D3401" i="8"/>
  <c r="G3401" i="8" s="1"/>
  <c r="D1617" i="8"/>
  <c r="G1617" i="8" s="1"/>
  <c r="D1846" i="8"/>
  <c r="G1846" i="8" s="1"/>
  <c r="D2372" i="8"/>
  <c r="G2372" i="8" s="1"/>
  <c r="D1919" i="8"/>
  <c r="G1919" i="8" s="1"/>
  <c r="D1648" i="8"/>
  <c r="G1648" i="8" s="1"/>
  <c r="D2876" i="8"/>
  <c r="G2876" i="8" s="1"/>
  <c r="D3566" i="8"/>
  <c r="G3566" i="8" s="1"/>
  <c r="D2920" i="8"/>
  <c r="G2920" i="8" s="1"/>
  <c r="D2177" i="8"/>
  <c r="G2177" i="8" s="1"/>
  <c r="D2183" i="8"/>
  <c r="G2183" i="8" s="1"/>
  <c r="D3378" i="8"/>
  <c r="G3378" i="8" s="1"/>
  <c r="D1763" i="8"/>
  <c r="G1763" i="8" s="1"/>
  <c r="D2511" i="8"/>
  <c r="G2511" i="8" s="1"/>
  <c r="D3396" i="8"/>
  <c r="G3396" i="8" s="1"/>
  <c r="D3131" i="8"/>
  <c r="G3131" i="8" s="1"/>
  <c r="D3161" i="8"/>
  <c r="G3161" i="8" s="1"/>
  <c r="D2530" i="8"/>
  <c r="G2530" i="8" s="1"/>
  <c r="D3707" i="8"/>
  <c r="G3707" i="8" s="1"/>
  <c r="D2172" i="8"/>
  <c r="G2172" i="8" s="1"/>
  <c r="D1538" i="8"/>
  <c r="G1538" i="8" s="1"/>
  <c r="D1515" i="8"/>
  <c r="G1515" i="8" s="1"/>
  <c r="D3447" i="8"/>
  <c r="G3447" i="8" s="1"/>
  <c r="D2619" i="8"/>
  <c r="G2619" i="8" s="1"/>
  <c r="D2102" i="8"/>
  <c r="G2102" i="8" s="1"/>
  <c r="D3344" i="8"/>
  <c r="G3344" i="8" s="1"/>
  <c r="D2801" i="8"/>
  <c r="G2801" i="8" s="1"/>
  <c r="D1856" i="8"/>
  <c r="G1856" i="8" s="1"/>
  <c r="D2804" i="8"/>
  <c r="G2804" i="8" s="1"/>
  <c r="D2366" i="8"/>
  <c r="G2366" i="8" s="1"/>
  <c r="D3465" i="8"/>
  <c r="G3465" i="8" s="1"/>
  <c r="D2502" i="8"/>
  <c r="G2502" i="8" s="1"/>
  <c r="D2448" i="8"/>
  <c r="G2448" i="8" s="1"/>
  <c r="D2003" i="8"/>
  <c r="G2003" i="8" s="1"/>
  <c r="D3582" i="8"/>
  <c r="G3582" i="8" s="1"/>
  <c r="D3402" i="8"/>
  <c r="G3402" i="8" s="1"/>
  <c r="D2134" i="8"/>
  <c r="G2134" i="8" s="1"/>
  <c r="D1717" i="8"/>
  <c r="G1717" i="8" s="1"/>
  <c r="D2987" i="8"/>
  <c r="G2987" i="8" s="1"/>
  <c r="D3208" i="8"/>
  <c r="G3208" i="8" s="1"/>
  <c r="D2065" i="8"/>
  <c r="G2065" i="8" s="1"/>
  <c r="D1588" i="8"/>
  <c r="G1588" i="8" s="1"/>
  <c r="D2973" i="8"/>
  <c r="G2973" i="8" s="1"/>
  <c r="D3254" i="8"/>
  <c r="G3254" i="8" s="1"/>
  <c r="D1834" i="8"/>
  <c r="G1834" i="8" s="1"/>
  <c r="D1607" i="8"/>
  <c r="G1607" i="8" s="1"/>
  <c r="D3547" i="8"/>
  <c r="G3547" i="8" s="1"/>
  <c r="D3625" i="8"/>
  <c r="G3625" i="8" s="1"/>
  <c r="D2936" i="8"/>
  <c r="G2936" i="8" s="1"/>
  <c r="D2773" i="8"/>
  <c r="G2773" i="8" s="1"/>
  <c r="D1961" i="8"/>
  <c r="G1961" i="8" s="1"/>
  <c r="D1610" i="8"/>
  <c r="G1610" i="8" s="1"/>
  <c r="D2542" i="8"/>
  <c r="G2542" i="8" s="1"/>
  <c r="D2140" i="8"/>
  <c r="G2140" i="8" s="1"/>
  <c r="D1489" i="8"/>
  <c r="G1489" i="8" s="1"/>
  <c r="D3435" i="8"/>
  <c r="G3435" i="8" s="1"/>
  <c r="D1499" i="8"/>
  <c r="G1499" i="8" s="1"/>
  <c r="D1978" i="8"/>
  <c r="G1978" i="8" s="1"/>
  <c r="D1477" i="8"/>
  <c r="G1477" i="8" s="1"/>
  <c r="D3048" i="8"/>
  <c r="G3048" i="8" s="1"/>
  <c r="D1737" i="8"/>
  <c r="G1737" i="8" s="1"/>
  <c r="D2924" i="8"/>
  <c r="G2924" i="8" s="1"/>
  <c r="D3526" i="8"/>
  <c r="G3526" i="8" s="1"/>
  <c r="D2873" i="8"/>
  <c r="G2873" i="8" s="1"/>
  <c r="D1947" i="8"/>
  <c r="G1947" i="8" s="1"/>
  <c r="D1486" i="8"/>
  <c r="G1486" i="8" s="1"/>
  <c r="D3001" i="8"/>
  <c r="G3001" i="8" s="1"/>
  <c r="D3700" i="8"/>
  <c r="G3700" i="8" s="1"/>
  <c r="D2166" i="8"/>
  <c r="G2166" i="8" s="1"/>
  <c r="D1823" i="8"/>
  <c r="G1823" i="8" s="1"/>
  <c r="D1981" i="8"/>
  <c r="G1981" i="8" s="1"/>
  <c r="D3467" i="8"/>
  <c r="G3467" i="8" s="1"/>
  <c r="D3259" i="8"/>
  <c r="G3259" i="8" s="1"/>
  <c r="D2438" i="8"/>
  <c r="G2438" i="8" s="1"/>
  <c r="D1963" i="8"/>
  <c r="G1963" i="8" s="1"/>
  <c r="D2104" i="8"/>
  <c r="G2104" i="8" s="1"/>
  <c r="D2460" i="8"/>
  <c r="G2460" i="8" s="1"/>
  <c r="D2204" i="8"/>
  <c r="G2204" i="8" s="1"/>
  <c r="D1876" i="8"/>
  <c r="G1876" i="8" s="1"/>
  <c r="D3336" i="8"/>
  <c r="G3336" i="8" s="1"/>
  <c r="D3295" i="8"/>
  <c r="G3295" i="8" s="1"/>
  <c r="D1924" i="8"/>
  <c r="G1924" i="8" s="1"/>
  <c r="D2453" i="8"/>
  <c r="G2453" i="8" s="1"/>
  <c r="D2371" i="8"/>
  <c r="G2371" i="8" s="1"/>
  <c r="D3603" i="8"/>
  <c r="G3603" i="8" s="1"/>
  <c r="D1812" i="8"/>
  <c r="G1812" i="8" s="1"/>
  <c r="D2599" i="8"/>
  <c r="G2599" i="8" s="1"/>
  <c r="D1938" i="8"/>
  <c r="G1938" i="8" s="1"/>
  <c r="D2043" i="8"/>
  <c r="G2043" i="8" s="1"/>
  <c r="C2434" i="8"/>
  <c r="C1944" i="8"/>
  <c r="C3574" i="8"/>
  <c r="C2789" i="8"/>
  <c r="C3622" i="8"/>
  <c r="C2870" i="8"/>
  <c r="C2209" i="8"/>
  <c r="C3713" i="8"/>
  <c r="C2686" i="8"/>
  <c r="C3679" i="8"/>
  <c r="C3084" i="8"/>
  <c r="C3289" i="8"/>
  <c r="C2935" i="8"/>
  <c r="C2383" i="8"/>
  <c r="C1812" i="8"/>
  <c r="C3429" i="8"/>
  <c r="C3254" i="8"/>
  <c r="C3180" i="8"/>
  <c r="C3166" i="8"/>
  <c r="C3556" i="8"/>
  <c r="C3235" i="8"/>
  <c r="C1959" i="8"/>
  <c r="C3071" i="8"/>
  <c r="C2437" i="8"/>
  <c r="C3676" i="8"/>
  <c r="C2602" i="8"/>
  <c r="C2236" i="8"/>
  <c r="C1790" i="8"/>
  <c r="C3456" i="8"/>
  <c r="C2777" i="8"/>
  <c r="C2080" i="8"/>
  <c r="C3626" i="8"/>
  <c r="C2982" i="8"/>
  <c r="C2344" i="8"/>
  <c r="C3576" i="8"/>
  <c r="C3039" i="8"/>
  <c r="C2704" i="8"/>
  <c r="C3220" i="8"/>
  <c r="C3033" i="8"/>
  <c r="C2682" i="8"/>
  <c r="C2498" i="8"/>
  <c r="C3225" i="8"/>
  <c r="C2612" i="8"/>
  <c r="C2892" i="8"/>
  <c r="C2506" i="8"/>
  <c r="C2994" i="8"/>
  <c r="C2652" i="8"/>
  <c r="C3388" i="8"/>
  <c r="C2804" i="8"/>
  <c r="D2633" i="8"/>
  <c r="G2633" i="8" s="1"/>
  <c r="D1993" i="8"/>
  <c r="G1993" i="8" s="1"/>
  <c r="D1962" i="8"/>
  <c r="G1962" i="8" s="1"/>
  <c r="D1594" i="8"/>
  <c r="G1594" i="8" s="1"/>
  <c r="D1957" i="8"/>
  <c r="G1957" i="8" s="1"/>
  <c r="D2738" i="8"/>
  <c r="G2738" i="8" s="1"/>
  <c r="D2670" i="8"/>
  <c r="G2670" i="8" s="1"/>
  <c r="D2579" i="8"/>
  <c r="G2579" i="8" s="1"/>
  <c r="D2000" i="8"/>
  <c r="G2000" i="8" s="1"/>
  <c r="D1977" i="8"/>
  <c r="G1977" i="8" s="1"/>
  <c r="D3622" i="8"/>
  <c r="G3622" i="8" s="1"/>
  <c r="D3142" i="8"/>
  <c r="G3142" i="8" s="1"/>
  <c r="D1902" i="8"/>
  <c r="G1902" i="8" s="1"/>
  <c r="D1887" i="8"/>
  <c r="G1887" i="8" s="1"/>
  <c r="D3256" i="8"/>
  <c r="G3256" i="8" s="1"/>
  <c r="D3356" i="8"/>
  <c r="G3356" i="8" s="1"/>
  <c r="D1945" i="8"/>
  <c r="G1945" i="8" s="1"/>
  <c r="D1880" i="8"/>
  <c r="G1880" i="8" s="1"/>
  <c r="D2023" i="8"/>
  <c r="G2023" i="8" s="1"/>
  <c r="D2986" i="8"/>
  <c r="G2986" i="8" s="1"/>
  <c r="D1896" i="8"/>
  <c r="G1896" i="8" s="1"/>
  <c r="D2583" i="8"/>
  <c r="G2583" i="8" s="1"/>
  <c r="D3483" i="8"/>
  <c r="G3483" i="8" s="1"/>
  <c r="D2820" i="8"/>
  <c r="G2820" i="8" s="1"/>
  <c r="D2349" i="8"/>
  <c r="G2349" i="8" s="1"/>
  <c r="D3107" i="8"/>
  <c r="G3107" i="8" s="1"/>
  <c r="D2313" i="8"/>
  <c r="G2313" i="8" s="1"/>
  <c r="D1839" i="8"/>
  <c r="G1839" i="8" s="1"/>
  <c r="D3627" i="8"/>
  <c r="G3627" i="8" s="1"/>
  <c r="D3595" i="8"/>
  <c r="G3595" i="8" s="1"/>
  <c r="D2211" i="8"/>
  <c r="G2211" i="8" s="1"/>
  <c r="D3253" i="8"/>
  <c r="G3253" i="8" s="1"/>
  <c r="D3384" i="8"/>
  <c r="G3384" i="8" s="1"/>
  <c r="D2739" i="8"/>
  <c r="G2739" i="8" s="1"/>
  <c r="D2254" i="8"/>
  <c r="G2254" i="8" s="1"/>
  <c r="D2395" i="8"/>
  <c r="G2395" i="8" s="1"/>
  <c r="D2697" i="8"/>
  <c r="G2697" i="8" s="1"/>
  <c r="D2913" i="8"/>
  <c r="G2913" i="8" s="1"/>
  <c r="D3062" i="8"/>
  <c r="G3062" i="8" s="1"/>
  <c r="D3488" i="8"/>
  <c r="G3488" i="8" s="1"/>
  <c r="D2123" i="8"/>
  <c r="G2123" i="8" s="1"/>
  <c r="D2647" i="8"/>
  <c r="G2647" i="8" s="1"/>
  <c r="D1851" i="8"/>
  <c r="G1851" i="8" s="1"/>
  <c r="D1652" i="8"/>
  <c r="G1652" i="8" s="1"/>
  <c r="D3317" i="8"/>
  <c r="G3317" i="8" s="1"/>
  <c r="D3443" i="8"/>
  <c r="G3443" i="8" s="1"/>
  <c r="D3387" i="8"/>
  <c r="G3387" i="8" s="1"/>
  <c r="D2468" i="8"/>
  <c r="G2468" i="8" s="1"/>
  <c r="D3446" i="8"/>
  <c r="G3446" i="8" s="1"/>
  <c r="D1806" i="8"/>
  <c r="G1806" i="8" s="1"/>
  <c r="D1741" i="8"/>
  <c r="G1741" i="8" s="1"/>
  <c r="D1495" i="8"/>
  <c r="G1495" i="8" s="1"/>
  <c r="D2696" i="8"/>
  <c r="G2696" i="8" s="1"/>
  <c r="D2767" i="8"/>
  <c r="G2767" i="8" s="1"/>
  <c r="D1878" i="8"/>
  <c r="G1878" i="8" s="1"/>
  <c r="D1655" i="8"/>
  <c r="G1655" i="8" s="1"/>
  <c r="D2880" i="8"/>
  <c r="G2880" i="8" s="1"/>
  <c r="D3054" i="8"/>
  <c r="G3054" i="8" s="1"/>
  <c r="D2167" i="8"/>
  <c r="G2167" i="8" s="1"/>
  <c r="D2136" i="8"/>
  <c r="G2136" i="8" s="1"/>
  <c r="D2834" i="8"/>
  <c r="G2834" i="8" s="1"/>
  <c r="D2829" i="8"/>
  <c r="G2829" i="8" s="1"/>
  <c r="D2040" i="8"/>
  <c r="G2040" i="8" s="1"/>
  <c r="D3194" i="8"/>
  <c r="G3194" i="8" s="1"/>
  <c r="D2749" i="8"/>
  <c r="G2749" i="8" s="1"/>
  <c r="D3484" i="8"/>
  <c r="G3484" i="8" s="1"/>
  <c r="D3046" i="8"/>
  <c r="G3046" i="8" s="1"/>
  <c r="D2676" i="8"/>
  <c r="G2676" i="8" s="1"/>
  <c r="D2171" i="8"/>
  <c r="G2171" i="8" s="1"/>
  <c r="D3501" i="8"/>
  <c r="G3501" i="8" s="1"/>
  <c r="D2159" i="8"/>
  <c r="G2159" i="8" s="1"/>
  <c r="D2221" i="8"/>
  <c r="G2221" i="8" s="1"/>
  <c r="D1470" i="8"/>
  <c r="G1470" i="8" s="1"/>
  <c r="D3288" i="8"/>
  <c r="G3288" i="8" s="1"/>
  <c r="D2013" i="8"/>
  <c r="G2013" i="8" s="1"/>
  <c r="D1611" i="8"/>
  <c r="G1611" i="8" s="1"/>
  <c r="D2399" i="8"/>
  <c r="G2399" i="8" s="1"/>
  <c r="D3713" i="8"/>
  <c r="G3713" i="8" s="1"/>
  <c r="D1497" i="8"/>
  <c r="G1497" i="8" s="1"/>
  <c r="D1629" i="8"/>
  <c r="G1629" i="8" s="1"/>
  <c r="D2815" i="8"/>
  <c r="G2815" i="8" s="1"/>
  <c r="D3650" i="8"/>
  <c r="G3650" i="8" s="1"/>
  <c r="D2434" i="8"/>
  <c r="G2434" i="8" s="1"/>
  <c r="D2119" i="8"/>
  <c r="G2119" i="8" s="1"/>
  <c r="D1757" i="8"/>
  <c r="G1757" i="8" s="1"/>
  <c r="D3515" i="8"/>
  <c r="G3515" i="8" s="1"/>
  <c r="D3553" i="8"/>
  <c r="G3553" i="8" s="1"/>
  <c r="D3420" i="8"/>
  <c r="G3420" i="8" s="1"/>
  <c r="D2461" i="8"/>
  <c r="G2461" i="8" s="1"/>
  <c r="D2589" i="8"/>
  <c r="G2589" i="8" s="1"/>
  <c r="D2923" i="8"/>
  <c r="G2923" i="8" s="1"/>
  <c r="D1864" i="8"/>
  <c r="G1864" i="8" s="1"/>
  <c r="D1853" i="8"/>
  <c r="G1853" i="8" s="1"/>
  <c r="D2584" i="8"/>
  <c r="G2584" i="8" s="1"/>
  <c r="D3181" i="8"/>
  <c r="G3181" i="8" s="1"/>
  <c r="D2075" i="8"/>
  <c r="G2075" i="8" s="1"/>
  <c r="D2291" i="8"/>
  <c r="G2291" i="8" s="1"/>
  <c r="D2841" i="8"/>
  <c r="G2841" i="8" s="1"/>
  <c r="D3410" i="8"/>
  <c r="G3410" i="8" s="1"/>
  <c r="D1613" i="8"/>
  <c r="G1613" i="8" s="1"/>
  <c r="D3114" i="8"/>
  <c r="G3114" i="8" s="1"/>
  <c r="D1906" i="8"/>
  <c r="G1906" i="8" s="1"/>
  <c r="D1854" i="8"/>
  <c r="G1854" i="8" s="1"/>
  <c r="D3648" i="8"/>
  <c r="G3648" i="8" s="1"/>
  <c r="D2156" i="8"/>
  <c r="G2156" i="8" s="1"/>
  <c r="D2112" i="8"/>
  <c r="G2112" i="8" s="1"/>
  <c r="D1890" i="8"/>
  <c r="G1890" i="8" s="1"/>
  <c r="D3712" i="8"/>
  <c r="G3712" i="8" s="1"/>
  <c r="D2648" i="8"/>
  <c r="G2648" i="8" s="1"/>
  <c r="D2529" i="8"/>
  <c r="G2529" i="8" s="1"/>
  <c r="D1930" i="8"/>
  <c r="G1930" i="8" s="1"/>
  <c r="D3669" i="8"/>
  <c r="G3669" i="8" s="1"/>
  <c r="D1595" i="8"/>
  <c r="G1595" i="8" s="1"/>
  <c r="D2012" i="8"/>
  <c r="G2012" i="8" s="1"/>
  <c r="D2168" i="8"/>
  <c r="G2168" i="8" s="1"/>
  <c r="D3233" i="8"/>
  <c r="G3233" i="8" s="1"/>
  <c r="D1751" i="8"/>
  <c r="G1751" i="8" s="1"/>
  <c r="D3565" i="8"/>
  <c r="G3565" i="8" s="1"/>
  <c r="D3075" i="8"/>
  <c r="G3075" i="8" s="1"/>
  <c r="D3044" i="8"/>
  <c r="G3044" i="8" s="1"/>
  <c r="D2819" i="8"/>
  <c r="G2819" i="8" s="1"/>
  <c r="D2802" i="8"/>
  <c r="G2802" i="8" s="1"/>
  <c r="D2094" i="8"/>
  <c r="G2094" i="8" s="1"/>
  <c r="D1472" i="8"/>
  <c r="G1472" i="8" s="1"/>
  <c r="D2597" i="8"/>
  <c r="G2597" i="8" s="1"/>
  <c r="D2409" i="8"/>
  <c r="G2409" i="8" s="1"/>
  <c r="D2068" i="8"/>
  <c r="G2068" i="8" s="1"/>
  <c r="D3199" i="8"/>
  <c r="G3199" i="8" s="1"/>
  <c r="D2036" i="8"/>
  <c r="G2036" i="8" s="1"/>
  <c r="D2050" i="8"/>
  <c r="G2050" i="8" s="1"/>
  <c r="D2958" i="8"/>
  <c r="G2958" i="8" s="1"/>
  <c r="D3530" i="8"/>
  <c r="G3530" i="8" s="1"/>
  <c r="D3486" i="8"/>
  <c r="G3486" i="8" s="1"/>
  <c r="D2556" i="8"/>
  <c r="G2556" i="8" s="1"/>
  <c r="D2561" i="8"/>
  <c r="G2561" i="8" s="1"/>
  <c r="D3695" i="8"/>
  <c r="G3695" i="8" s="1"/>
  <c r="D2113" i="8"/>
  <c r="G2113" i="8" s="1"/>
  <c r="D2164" i="8"/>
  <c r="G2164" i="8" s="1"/>
  <c r="D3296" i="8"/>
  <c r="G3296" i="8" s="1"/>
  <c r="D3196" i="8"/>
  <c r="G3196" i="8" s="1"/>
  <c r="D3335" i="8"/>
  <c r="G3335" i="8" s="1"/>
  <c r="D2614" i="8"/>
  <c r="G2614" i="8" s="1"/>
  <c r="D2054" i="8"/>
  <c r="G2054" i="8" s="1"/>
  <c r="D1867" i="8"/>
  <c r="G1867" i="8" s="1"/>
  <c r="D2539" i="8"/>
  <c r="G2539" i="8" s="1"/>
  <c r="D3083" i="8"/>
  <c r="G3083" i="8" s="1"/>
  <c r="D2598" i="8"/>
  <c r="G2598" i="8" s="1"/>
  <c r="D1821" i="8"/>
  <c r="G1821" i="8" s="1"/>
  <c r="D3550" i="8"/>
  <c r="G3550" i="8" s="1"/>
  <c r="D3424" i="8"/>
  <c r="G3424" i="8" s="1"/>
  <c r="D3405" i="8"/>
  <c r="G3405" i="8" s="1"/>
  <c r="D1635" i="8"/>
  <c r="G1635" i="8" s="1"/>
  <c r="D2110" i="8"/>
  <c r="G2110" i="8" s="1"/>
  <c r="C1685" i="8"/>
  <c r="D1748" i="8"/>
  <c r="G1748" i="8" s="1"/>
  <c r="D2199" i="8"/>
  <c r="G2199" i="8" s="1"/>
  <c r="D2509" i="8"/>
  <c r="G2509" i="8" s="1"/>
  <c r="D3708" i="8"/>
  <c r="G3708" i="8" s="1"/>
  <c r="D2524" i="8"/>
  <c r="G2524" i="8" s="1"/>
  <c r="D2870" i="8"/>
  <c r="G2870" i="8" s="1"/>
  <c r="D3338" i="8"/>
  <c r="G3338" i="8" s="1"/>
  <c r="D2559" i="8"/>
  <c r="G2559" i="8" s="1"/>
  <c r="D1464" i="8"/>
  <c r="G1464" i="8" s="1"/>
  <c r="H1464" i="8" s="1"/>
  <c r="H1465" i="8" s="1"/>
  <c r="H1466" i="8" s="1"/>
  <c r="H1467" i="8" s="1"/>
  <c r="D3092" i="8"/>
  <c r="G3092" i="8" s="1"/>
  <c r="D3681" i="8"/>
  <c r="G3681" i="8" s="1"/>
  <c r="D1666" i="8"/>
  <c r="G1666" i="8" s="1"/>
  <c r="D1603" i="8"/>
  <c r="G1603" i="8" s="1"/>
  <c r="D3499" i="8"/>
  <c r="G3499" i="8" s="1"/>
  <c r="D2941" i="8"/>
  <c r="G2941" i="8" s="1"/>
  <c r="D1650" i="8"/>
  <c r="G1650" i="8" s="1"/>
  <c r="D2616" i="8"/>
  <c r="G2616" i="8" s="1"/>
  <c r="D3600" i="8"/>
  <c r="G3600" i="8" s="1"/>
  <c r="D2056" i="8"/>
  <c r="G2056" i="8" s="1"/>
  <c r="D1718" i="8"/>
  <c r="G1718" i="8" s="1"/>
  <c r="D2911" i="8"/>
  <c r="G2911" i="8" s="1"/>
  <c r="D2794" i="8"/>
  <c r="G2794" i="8" s="1"/>
  <c r="D3204" i="8"/>
  <c r="G3204" i="8" s="1"/>
  <c r="D1791" i="8"/>
  <c r="G1791" i="8" s="1"/>
  <c r="D2386" i="8"/>
  <c r="G2386" i="8" s="1"/>
  <c r="D2061" i="8"/>
  <c r="G2061" i="8" s="1"/>
  <c r="D3569" i="8"/>
  <c r="G3569" i="8" s="1"/>
  <c r="D2810" i="8"/>
  <c r="G2810" i="8" s="1"/>
  <c r="D2798" i="8"/>
  <c r="G2798" i="8" s="1"/>
  <c r="D2130" i="8"/>
  <c r="G2130" i="8" s="1"/>
  <c r="D2387" i="8"/>
  <c r="G2387" i="8" s="1"/>
  <c r="D2668" i="8"/>
  <c r="G2668" i="8" s="1"/>
  <c r="D3136" i="8"/>
  <c r="G3136" i="8" s="1"/>
  <c r="D2418" i="8"/>
  <c r="G2418" i="8" s="1"/>
  <c r="D2049" i="8"/>
  <c r="G2049" i="8" s="1"/>
  <c r="D2808" i="8"/>
  <c r="G2808" i="8" s="1"/>
  <c r="D1633" i="8"/>
  <c r="G1633" i="8" s="1"/>
  <c r="D3287" i="8"/>
  <c r="G3287" i="8" s="1"/>
  <c r="D2447" i="8"/>
  <c r="G2447" i="8" s="1"/>
  <c r="D3642" i="8"/>
  <c r="G3642" i="8" s="1"/>
  <c r="D1999" i="8"/>
  <c r="G1999" i="8" s="1"/>
  <c r="D1782" i="8"/>
  <c r="G1782" i="8" s="1"/>
  <c r="D2790" i="8"/>
  <c r="G2790" i="8" s="1"/>
  <c r="D3522" i="8"/>
  <c r="G3522" i="8" s="1"/>
  <c r="D1704" i="8"/>
  <c r="G1704" i="8" s="1"/>
  <c r="D1874" i="8"/>
  <c r="G1874" i="8" s="1"/>
  <c r="D3555" i="8"/>
  <c r="G3555" i="8" s="1"/>
  <c r="D3671" i="8"/>
  <c r="G3671" i="8" s="1"/>
  <c r="D1777" i="8"/>
  <c r="G1777" i="8" s="1"/>
  <c r="D2477" i="8"/>
  <c r="G2477" i="8" s="1"/>
  <c r="D2746" i="8"/>
  <c r="G2746" i="8" s="1"/>
  <c r="D3587" i="8"/>
  <c r="G3587" i="8" s="1"/>
  <c r="D3111" i="8"/>
  <c r="G3111" i="8" s="1"/>
  <c r="D2687" i="8"/>
  <c r="G2687" i="8" s="1"/>
  <c r="D2390" i="8"/>
  <c r="G2390" i="8" s="1"/>
  <c r="D2864" i="8"/>
  <c r="G2864" i="8" s="1"/>
  <c r="D2540" i="8"/>
  <c r="G2540" i="8" s="1"/>
  <c r="D2682" i="8"/>
  <c r="G2682" i="8" s="1"/>
  <c r="D2018" i="8"/>
  <c r="G2018" i="8" s="1"/>
  <c r="D3332" i="8"/>
  <c r="G3332" i="8" s="1"/>
  <c r="D2641" i="8"/>
  <c r="G2641" i="8" s="1"/>
  <c r="D1530" i="8"/>
  <c r="G1530" i="8" s="1"/>
  <c r="D2693" i="8"/>
  <c r="G2693" i="8" s="1"/>
  <c r="D3116" i="8"/>
  <c r="G3116" i="8" s="1"/>
  <c r="D2053" i="8"/>
  <c r="G2053" i="8" s="1"/>
  <c r="D1950" i="8"/>
  <c r="G1950" i="8" s="1"/>
  <c r="D2202" i="8"/>
  <c r="G2202" i="8" s="1"/>
  <c r="D3689" i="8"/>
  <c r="G3689" i="8" s="1"/>
  <c r="D3331" i="8"/>
  <c r="G3331" i="8" s="1"/>
  <c r="D3311" i="8"/>
  <c r="G3311" i="8" s="1"/>
  <c r="D2565" i="8"/>
  <c r="G2565" i="8" s="1"/>
  <c r="D2437" i="8"/>
  <c r="G2437" i="8" s="1"/>
  <c r="D2789" i="8"/>
  <c r="G2789" i="8" s="1"/>
  <c r="D2124" i="8"/>
  <c r="G2124" i="8" s="1"/>
  <c r="D3444" i="8"/>
  <c r="G3444" i="8" s="1"/>
  <c r="D2325" i="8"/>
  <c r="G2325" i="8" s="1"/>
  <c r="D3450" i="8"/>
  <c r="G3450" i="8" s="1"/>
  <c r="D3492" i="8"/>
  <c r="G3492" i="8" s="1"/>
  <c r="D3214" i="8"/>
  <c r="G3214" i="8" s="1"/>
  <c r="D2052" i="8"/>
  <c r="G2052" i="8" s="1"/>
  <c r="D1932" i="8"/>
  <c r="G1932" i="8" s="1"/>
  <c r="C2866" i="8"/>
  <c r="C2407" i="8"/>
  <c r="C3663" i="8"/>
  <c r="C2668" i="8"/>
  <c r="C1811" i="8"/>
  <c r="C2403" i="8"/>
  <c r="C2819" i="8"/>
  <c r="C2299" i="8"/>
  <c r="C3307" i="8"/>
  <c r="C3139" i="8"/>
  <c r="C2402" i="8"/>
  <c r="C3629" i="8"/>
  <c r="C1796" i="8"/>
  <c r="C3372" i="8"/>
  <c r="C3664" i="8"/>
  <c r="C3682" i="8"/>
  <c r="C3370" i="8"/>
  <c r="C3423" i="8"/>
  <c r="C2992" i="8"/>
  <c r="C2320" i="8"/>
  <c r="C3635" i="8"/>
  <c r="C2765" i="8"/>
  <c r="C2115" i="8"/>
  <c r="AD11" i="10"/>
  <c r="AC24" i="10"/>
  <c r="AC25" i="10" s="1"/>
  <c r="C3512" i="8"/>
  <c r="C2738" i="8"/>
  <c r="C2154" i="8"/>
  <c r="C3625" i="8"/>
  <c r="C2716" i="8"/>
  <c r="C2318" i="8"/>
  <c r="C3649" i="8"/>
  <c r="C2907" i="8"/>
  <c r="C2237" i="8"/>
  <c r="C3627" i="8"/>
  <c r="C2884" i="8"/>
  <c r="C2214" i="8"/>
  <c r="C1952" i="8"/>
  <c r="C2964" i="8"/>
  <c r="C2619" i="8"/>
  <c r="C3098" i="8"/>
  <c r="C2574" i="8"/>
  <c r="C3031" i="8"/>
  <c r="C2426" i="8"/>
  <c r="C3323" i="8"/>
  <c r="C2631" i="8"/>
  <c r="D2659" i="8"/>
  <c r="G2659" i="8" s="1"/>
  <c r="D3310" i="8"/>
  <c r="G3310" i="8" s="1"/>
  <c r="D3612" i="8"/>
  <c r="G3612" i="8" s="1"/>
  <c r="D1524" i="8"/>
  <c r="G1524" i="8" s="1"/>
  <c r="D1691" i="8"/>
  <c r="G1691" i="8" s="1"/>
  <c r="D2484" i="8"/>
  <c r="G2484" i="8" s="1"/>
  <c r="D2292" i="8"/>
  <c r="G2292" i="8" s="1"/>
  <c r="D3637" i="8"/>
  <c r="G3637" i="8" s="1"/>
  <c r="D2669" i="8"/>
  <c r="G2669" i="8" s="1"/>
  <c r="D2413" i="8"/>
  <c r="G2413" i="8" s="1"/>
  <c r="D1824" i="8"/>
  <c r="G1824" i="8" s="1"/>
  <c r="D3263" i="8"/>
  <c r="G3263" i="8" s="1"/>
  <c r="D2644" i="8"/>
  <c r="G2644" i="8" s="1"/>
  <c r="D2827" i="8"/>
  <c r="G2827" i="8" s="1"/>
  <c r="D3086" i="8"/>
  <c r="G3086" i="8" s="1"/>
  <c r="D1513" i="8"/>
  <c r="G1513" i="8" s="1"/>
  <c r="D3172" i="8"/>
  <c r="G3172" i="8" s="1"/>
  <c r="D2163" i="8"/>
  <c r="G2163" i="8" s="1"/>
  <c r="D3400" i="8"/>
  <c r="G3400" i="8" s="1"/>
  <c r="D2260" i="8"/>
  <c r="G2260" i="8" s="1"/>
  <c r="D1973" i="8"/>
  <c r="G1973" i="8" s="1"/>
  <c r="D2430" i="8"/>
  <c r="G2430" i="8" s="1"/>
  <c r="D2150" i="8"/>
  <c r="G2150" i="8" s="1"/>
  <c r="D2009" i="8"/>
  <c r="G2009" i="8" s="1"/>
  <c r="D2975" i="8"/>
  <c r="G2975" i="8" s="1"/>
  <c r="D3716" i="8"/>
  <c r="G3716" i="8" s="1"/>
  <c r="D2002" i="8"/>
  <c r="G2002" i="8" s="1"/>
  <c r="D2158" i="8"/>
  <c r="G2158" i="8" s="1"/>
  <c r="D1512" i="8"/>
  <c r="G1512" i="8" s="1"/>
  <c r="D1779" i="8"/>
  <c r="G1779" i="8" s="1"/>
  <c r="D2563" i="8"/>
  <c r="G2563" i="8" s="1"/>
  <c r="D1578" i="8"/>
  <c r="G1578" i="8" s="1"/>
  <c r="D3167" i="8"/>
  <c r="G3167" i="8" s="1"/>
  <c r="D1970" i="8"/>
  <c r="G1970" i="8" s="1"/>
  <c r="D1747" i="8"/>
  <c r="G1747" i="8" s="1"/>
  <c r="D3290" i="8"/>
  <c r="G3290" i="8" s="1"/>
  <c r="D3383" i="8"/>
  <c r="G3383" i="8" s="1"/>
  <c r="D2230" i="8"/>
  <c r="G2230" i="8" s="1"/>
  <c r="D3406" i="8"/>
  <c r="G3406" i="8" s="1"/>
  <c r="D3471" i="8"/>
  <c r="G3471" i="8" s="1"/>
  <c r="D1620" i="8"/>
  <c r="G1620" i="8" s="1"/>
  <c r="D3365" i="8"/>
  <c r="G3365" i="8" s="1"/>
  <c r="D1946" i="8"/>
  <c r="G1946" i="8" s="1"/>
  <c r="D3163" i="8"/>
  <c r="G3163" i="8" s="1"/>
  <c r="D2811" i="8"/>
  <c r="G2811" i="8" s="1"/>
  <c r="D2289" i="8"/>
  <c r="G2289" i="8" s="1"/>
  <c r="D2008" i="8"/>
  <c r="G2008" i="8" s="1"/>
  <c r="D1533" i="8"/>
  <c r="G1533" i="8" s="1"/>
  <c r="D2910" i="8"/>
  <c r="G2910" i="8" s="1"/>
  <c r="D1552" i="8"/>
  <c r="G1552" i="8" s="1"/>
  <c r="D2035" i="8"/>
  <c r="G2035" i="8" s="1"/>
  <c r="D2866" i="8"/>
  <c r="G2866" i="8" s="1"/>
  <c r="D2729" i="8"/>
  <c r="G2729" i="8" s="1"/>
  <c r="D3087" i="8"/>
  <c r="G3087" i="8" s="1"/>
  <c r="D2572" i="8"/>
  <c r="G2572" i="8" s="1"/>
  <c r="D2730" i="8"/>
  <c r="G2730" i="8" s="1"/>
  <c r="D2702" i="8"/>
  <c r="G2702" i="8" s="1"/>
  <c r="D3403" i="8"/>
  <c r="G3403" i="8" s="1"/>
  <c r="D2323" i="8"/>
  <c r="G2323" i="8" s="1"/>
  <c r="D3039" i="8"/>
  <c r="G3039" i="8" s="1"/>
  <c r="D3221" i="8"/>
  <c r="G3221" i="8" s="1"/>
  <c r="D2979" i="8"/>
  <c r="G2979" i="8" s="1"/>
  <c r="D2416" i="8"/>
  <c r="G2416" i="8" s="1"/>
  <c r="D2357" i="8"/>
  <c r="G2357" i="8" s="1"/>
  <c r="D2069" i="8"/>
  <c r="G2069" i="8" s="1"/>
  <c r="D3244" i="8"/>
  <c r="G3244" i="8" s="1"/>
  <c r="D2106" i="8"/>
  <c r="G2106" i="8" s="1"/>
  <c r="D2141" i="8"/>
  <c r="G2141" i="8" s="1"/>
  <c r="D3071" i="8"/>
  <c r="G3071" i="8" s="1"/>
  <c r="D3088" i="8"/>
  <c r="G3088" i="8" s="1"/>
  <c r="D1622" i="8"/>
  <c r="G1622" i="8" s="1"/>
  <c r="D2919" i="8"/>
  <c r="G2919" i="8" s="1"/>
  <c r="D3100" i="8"/>
  <c r="G3100" i="8" s="1"/>
  <c r="D3099" i="8"/>
  <c r="G3099" i="8" s="1"/>
  <c r="D1597" i="8"/>
  <c r="G1597" i="8" s="1"/>
  <c r="D3568" i="8"/>
  <c r="G3568" i="8" s="1"/>
  <c r="D2821" i="8"/>
  <c r="G2821" i="8" s="1"/>
  <c r="D3685" i="8"/>
  <c r="G3685" i="8" s="1"/>
  <c r="D3481" i="8"/>
  <c r="G3481" i="8" s="1"/>
  <c r="D3023" i="8"/>
  <c r="G3023" i="8" s="1"/>
  <c r="D2505" i="8"/>
  <c r="G2505" i="8" s="1"/>
  <c r="D3302" i="8"/>
  <c r="G3302" i="8" s="1"/>
  <c r="D1675" i="8"/>
  <c r="G1675" i="8" s="1"/>
  <c r="D1758" i="8"/>
  <c r="G1758" i="8" s="1"/>
  <c r="D1873" i="8"/>
  <c r="G1873" i="8" s="1"/>
  <c r="D3714" i="8"/>
  <c r="G3714" i="8" s="1"/>
  <c r="D2673" i="8"/>
  <c r="G2673" i="8" s="1"/>
  <c r="D2194" i="8"/>
  <c r="G2194" i="8" s="1"/>
  <c r="D1753" i="8"/>
  <c r="G1753" i="8" s="1"/>
  <c r="D3489" i="8"/>
  <c r="G3489" i="8" s="1"/>
  <c r="D3153" i="8"/>
  <c r="G3153" i="8" s="1"/>
  <c r="D2533" i="8"/>
  <c r="G2533" i="8" s="1"/>
  <c r="D3416" i="8"/>
  <c r="G3416" i="8" s="1"/>
  <c r="D2960" i="8"/>
  <c r="G2960" i="8" s="1"/>
  <c r="D3601" i="8"/>
  <c r="G3601" i="8" s="1"/>
  <c r="D1482" i="8"/>
  <c r="G1482" i="8" s="1"/>
  <c r="D2179" i="8"/>
  <c r="G2179" i="8" s="1"/>
  <c r="D3145" i="8"/>
  <c r="G3145" i="8" s="1"/>
  <c r="D3658" i="8"/>
  <c r="G3658" i="8" s="1"/>
  <c r="D3352" i="8"/>
  <c r="G3352" i="8" s="1"/>
  <c r="D1722" i="8"/>
  <c r="G1722" i="8" s="1"/>
  <c r="D1849" i="8"/>
  <c r="G1849" i="8" s="1"/>
  <c r="D2758" i="8"/>
  <c r="G2758" i="8" s="1"/>
  <c r="C2632" i="8"/>
  <c r="C3591" i="8"/>
  <c r="C2418" i="8"/>
  <c r="C3619" i="8"/>
  <c r="C2663" i="8"/>
  <c r="C2541" i="8"/>
  <c r="C3311" i="8"/>
  <c r="C2361" i="8"/>
  <c r="C3357" i="8"/>
  <c r="C2809" i="8"/>
  <c r="C3245" i="8"/>
  <c r="C2867" i="8"/>
  <c r="C3252" i="8"/>
  <c r="C3688" i="8"/>
  <c r="C2733" i="8"/>
  <c r="C2142" i="8"/>
  <c r="C2828" i="8"/>
  <c r="C2264" i="8"/>
  <c r="C3297" i="8"/>
  <c r="C3403" i="8"/>
  <c r="C3614" i="8"/>
  <c r="C3700" i="8"/>
  <c r="C2773" i="8"/>
  <c r="C2002" i="8"/>
  <c r="C1750" i="8"/>
  <c r="C2931" i="8"/>
  <c r="C2552" i="8"/>
  <c r="C2144" i="8"/>
  <c r="C3364" i="8"/>
  <c r="C2564" i="8"/>
  <c r="C3448" i="8"/>
  <c r="C2755" i="8"/>
  <c r="C2226" i="8"/>
  <c r="C3525" i="8"/>
  <c r="C2744" i="8"/>
  <c r="C3553" i="8"/>
  <c r="C2711" i="8"/>
  <c r="C3597" i="8"/>
  <c r="C2646" i="8"/>
  <c r="C2337" i="8"/>
  <c r="C1657" i="8"/>
  <c r="C3319" i="8"/>
  <c r="C3270" i="8"/>
  <c r="C1611" i="8"/>
  <c r="C3107" i="8"/>
  <c r="C3542" i="8"/>
  <c r="C3264" i="8"/>
  <c r="C3692" i="8"/>
  <c r="C3056" i="8"/>
  <c r="C2517" i="8"/>
  <c r="C3400" i="8"/>
  <c r="C2688" i="8"/>
  <c r="C2311" i="8"/>
  <c r="C3580" i="8"/>
  <c r="C3358" i="8"/>
  <c r="C2595" i="8"/>
  <c r="C2527" i="8"/>
  <c r="C3691" i="8"/>
  <c r="C2771" i="8"/>
  <c r="C2058" i="8"/>
  <c r="C3705" i="8"/>
  <c r="C2948" i="8"/>
  <c r="C2255" i="8"/>
  <c r="C3683" i="8"/>
  <c r="C2925" i="8"/>
  <c r="C2232" i="8"/>
  <c r="C1956" i="8"/>
  <c r="C2840" i="8"/>
  <c r="C2419" i="8"/>
  <c r="C2960" i="8"/>
  <c r="C2376" i="8"/>
  <c r="C2803" i="8"/>
  <c r="C2408" i="8"/>
  <c r="C3473" i="8"/>
  <c r="C2701" i="8"/>
  <c r="D3148" i="8"/>
  <c r="G3148" i="8" s="1"/>
  <c r="D3514" i="8"/>
  <c r="G3514" i="8" s="1"/>
  <c r="D3277" i="8"/>
  <c r="G3277" i="8" s="1"/>
  <c r="D3267" i="8"/>
  <c r="G3267" i="8" s="1"/>
  <c r="D3121" i="8"/>
  <c r="G3121" i="8" s="1"/>
  <c r="D2025" i="8"/>
  <c r="G2025" i="8" s="1"/>
  <c r="D3502" i="8"/>
  <c r="G3502" i="8" s="1"/>
  <c r="D2715" i="8"/>
  <c r="G2715" i="8" s="1"/>
  <c r="D1861" i="8"/>
  <c r="G1861" i="8" s="1"/>
  <c r="D2304" i="8"/>
  <c r="G2304" i="8" s="1"/>
  <c r="D2688" i="8"/>
  <c r="G2688" i="8" s="1"/>
  <c r="D1730" i="8"/>
  <c r="G1730" i="8" s="1"/>
  <c r="D2977" i="8"/>
  <c r="G2977" i="8" s="1"/>
  <c r="D2535" i="8"/>
  <c r="G2535" i="8" s="1"/>
  <c r="D2771" i="8"/>
  <c r="G2771" i="8" s="1"/>
  <c r="D1505" i="8"/>
  <c r="G1505" i="8" s="1"/>
  <c r="D3644" i="8"/>
  <c r="G3644" i="8" s="1"/>
  <c r="D2733" i="8"/>
  <c r="G2733" i="8" s="1"/>
  <c r="D1979" i="8"/>
  <c r="G1979" i="8" s="1"/>
  <c r="D3210" i="8"/>
  <c r="G3210" i="8" s="1"/>
  <c r="D1760" i="8"/>
  <c r="G1760" i="8" s="1"/>
  <c r="D1955" i="8"/>
  <c r="G1955" i="8" s="1"/>
  <c r="D2734" i="8"/>
  <c r="G2734" i="8" s="1"/>
  <c r="D2421" i="8"/>
  <c r="G2421" i="8" s="1"/>
  <c r="D2280" i="8"/>
  <c r="G2280" i="8" s="1"/>
  <c r="D3480" i="8"/>
  <c r="G3480" i="8" s="1"/>
  <c r="D2727" i="8"/>
  <c r="G2727" i="8" s="1"/>
  <c r="D1626" i="8"/>
  <c r="G1626" i="8" s="1"/>
  <c r="D3455" i="8"/>
  <c r="G3455" i="8" s="1"/>
  <c r="D2097" i="8"/>
  <c r="G2097" i="8" s="1"/>
  <c r="D1731" i="8"/>
  <c r="G1731" i="8" s="1"/>
  <c r="D1624" i="8"/>
  <c r="G1624" i="8" s="1"/>
  <c r="D3494" i="8"/>
  <c r="G3494" i="8" s="1"/>
  <c r="D2537" i="8"/>
  <c r="G2537" i="8" s="1"/>
  <c r="D1989" i="8"/>
  <c r="G1989" i="8" s="1"/>
  <c r="D3056" i="8"/>
  <c r="G3056" i="8" s="1"/>
  <c r="D3639" i="8"/>
  <c r="G3639" i="8" s="1"/>
  <c r="D2666" i="8"/>
  <c r="G2666" i="8" s="1"/>
  <c r="D2566" i="8"/>
  <c r="G2566" i="8" s="1"/>
  <c r="D1498" i="8"/>
  <c r="G1498" i="8" s="1"/>
  <c r="D2227" i="8"/>
  <c r="G2227" i="8" s="1"/>
  <c r="D1943" i="8"/>
  <c r="G1943" i="8" s="1"/>
  <c r="D1549" i="8"/>
  <c r="G1549" i="8" s="1"/>
  <c r="D3397" i="8"/>
  <c r="G3397" i="8" s="1"/>
  <c r="D3623" i="8"/>
  <c r="G3623" i="8" s="1"/>
  <c r="D3069" i="8"/>
  <c r="G3069" i="8" s="1"/>
  <c r="D2500" i="8"/>
  <c r="G2500" i="8" s="1"/>
  <c r="D2220" i="8"/>
  <c r="G2220" i="8" s="1"/>
  <c r="D3678" i="8"/>
  <c r="G3678" i="8" s="1"/>
  <c r="D2339" i="8"/>
  <c r="G2339" i="8" s="1"/>
  <c r="D1496" i="8"/>
  <c r="G1496" i="8" s="1"/>
  <c r="D2384" i="8"/>
  <c r="G2384" i="8" s="1"/>
  <c r="D1485" i="8"/>
  <c r="G1485" i="8" s="1"/>
  <c r="D2838" i="8"/>
  <c r="G2838" i="8" s="1"/>
  <c r="D1710" i="8"/>
  <c r="G1710" i="8" s="1"/>
  <c r="D2155" i="8"/>
  <c r="G2155" i="8" s="1"/>
  <c r="D3394" i="8"/>
  <c r="G3394" i="8" s="1"/>
  <c r="D3235" i="8"/>
  <c r="G3235" i="8" s="1"/>
  <c r="D2082" i="8"/>
  <c r="G2082" i="8" s="1"/>
  <c r="D1492" i="8"/>
  <c r="G1492" i="8" s="1"/>
  <c r="D1904" i="8"/>
  <c r="G1904" i="8" s="1"/>
  <c r="D3680" i="8"/>
  <c r="G3680" i="8" s="1"/>
  <c r="D3399" i="8"/>
  <c r="G3399" i="8" s="1"/>
  <c r="D2826" i="8"/>
  <c r="G2826" i="8" s="1"/>
  <c r="D2532" i="8"/>
  <c r="G2532" i="8" s="1"/>
  <c r="D3330" i="8"/>
  <c r="G3330" i="8" s="1"/>
  <c r="D2706" i="8"/>
  <c r="G2706" i="8" s="1"/>
  <c r="D2578" i="8"/>
  <c r="G2578" i="8" s="1"/>
  <c r="D2041" i="8"/>
  <c r="G2041" i="8" s="1"/>
  <c r="D3715" i="8"/>
  <c r="G3715" i="8" s="1"/>
  <c r="D1863" i="8"/>
  <c r="G1863" i="8" s="1"/>
  <c r="D1615" i="8"/>
  <c r="G1615" i="8" s="1"/>
  <c r="D2638" i="8"/>
  <c r="G2638" i="8" s="1"/>
  <c r="D3641" i="8"/>
  <c r="G3641" i="8" s="1"/>
  <c r="D1743" i="8"/>
  <c r="G1743" i="8" s="1"/>
  <c r="D2042" i="8"/>
  <c r="G2042" i="8" s="1"/>
  <c r="D2103" i="8"/>
  <c r="G2103" i="8" s="1"/>
  <c r="D3234" i="8"/>
  <c r="G3234" i="8" s="1"/>
  <c r="D1870" i="8"/>
  <c r="G1870" i="8" s="1"/>
  <c r="D2379" i="8"/>
  <c r="G2379" i="8" s="1"/>
  <c r="D3178" i="8"/>
  <c r="G3178" i="8" s="1"/>
  <c r="D3472" i="8"/>
  <c r="G3472" i="8" s="1"/>
  <c r="D2250" i="8"/>
  <c r="G2250" i="8" s="1"/>
  <c r="D2151" i="8"/>
  <c r="G2151" i="8" s="1"/>
  <c r="D1761" i="8"/>
  <c r="G1761" i="8" s="1"/>
  <c r="D3166" i="8"/>
  <c r="G3166" i="8" s="1"/>
  <c r="D3006" i="8"/>
  <c r="G3006" i="8" s="1"/>
  <c r="D2765" i="8"/>
  <c r="G2765" i="8" s="1"/>
  <c r="D2536" i="8"/>
  <c r="G2536" i="8" s="1"/>
  <c r="D3670" i="8"/>
  <c r="G3670" i="8" s="1"/>
  <c r="D2060" i="8"/>
  <c r="G2060" i="8" s="1"/>
  <c r="D1766" i="8"/>
  <c r="G1766" i="8" s="1"/>
  <c r="D2355" i="8"/>
  <c r="G2355" i="8" s="1"/>
  <c r="D3651" i="8"/>
  <c r="G3651" i="8" s="1"/>
  <c r="D3109" i="8"/>
  <c r="G3109" i="8" s="1"/>
  <c r="D2445" i="8"/>
  <c r="G2445" i="8" s="1"/>
  <c r="D1662" i="8"/>
  <c r="G1662" i="8" s="1"/>
  <c r="D2675" i="8"/>
  <c r="G2675" i="8" s="1"/>
  <c r="D3286" i="8"/>
  <c r="G3286" i="8" s="1"/>
  <c r="D1507" i="8"/>
  <c r="G1507" i="8" s="1"/>
  <c r="D2855" i="8"/>
  <c r="G2855" i="8" s="1"/>
  <c r="D2412" i="8"/>
  <c r="G2412" i="8" s="1"/>
  <c r="C3466" i="8"/>
  <c r="C3248" i="8"/>
  <c r="C2837" i="8"/>
  <c r="C2635" i="8"/>
  <c r="C3511" i="8"/>
  <c r="C3714" i="8"/>
  <c r="C3362" i="8"/>
  <c r="C3086" i="8"/>
  <c r="C3522" i="8"/>
  <c r="C2666" i="8"/>
  <c r="C2911" i="8"/>
  <c r="C2546" i="8"/>
  <c r="C1497" i="8"/>
  <c r="C2843" i="8"/>
  <c r="C2967" i="8"/>
  <c r="C3018" i="8"/>
  <c r="C1966" i="8"/>
  <c r="C2650" i="8"/>
  <c r="C3467" i="8"/>
  <c r="C1838" i="8"/>
  <c r="C3475" i="8"/>
  <c r="C3650" i="8"/>
  <c r="C2160" i="8"/>
  <c r="C2406" i="8"/>
  <c r="C2993" i="8"/>
  <c r="C3547" i="8"/>
  <c r="C2212" i="8"/>
  <c r="C2962" i="8"/>
  <c r="C3546" i="8"/>
  <c r="C2512" i="8"/>
  <c r="C1843" i="8"/>
  <c r="C3310" i="8"/>
  <c r="C3116" i="8"/>
  <c r="C3487" i="8"/>
  <c r="C2620" i="8"/>
  <c r="C3521" i="8"/>
  <c r="C2748" i="8"/>
  <c r="C2176" i="8"/>
  <c r="C1616" i="8"/>
  <c r="C3274" i="8"/>
  <c r="C2643" i="8"/>
  <c r="C2171" i="8"/>
  <c r="C3407" i="8"/>
  <c r="C2715" i="8"/>
  <c r="C2071" i="8"/>
  <c r="C3708" i="8"/>
  <c r="C2792" i="8"/>
  <c r="C2651" i="8"/>
  <c r="C3686" i="8"/>
  <c r="C2785" i="8"/>
  <c r="C2379" i="8"/>
  <c r="C3174" i="8"/>
  <c r="C3057" i="8"/>
  <c r="C2274" i="8"/>
  <c r="C2845" i="8"/>
  <c r="C2380" i="8"/>
  <c r="C2910" i="8"/>
  <c r="C2501" i="8"/>
  <c r="C3065" i="8"/>
  <c r="C2808" i="8"/>
  <c r="D3661" i="8"/>
  <c r="G3661" i="8" s="1"/>
  <c r="D1657" i="8"/>
  <c r="G1657" i="8" s="1"/>
  <c r="D3319" i="8"/>
  <c r="G3319" i="8" s="1"/>
  <c r="D3694" i="8"/>
  <c r="G3694" i="8" s="1"/>
  <c r="D1972" i="8"/>
  <c r="G1972" i="8" s="1"/>
  <c r="D3132" i="8"/>
  <c r="G3132" i="8" s="1"/>
  <c r="D3478" i="8"/>
  <c r="G3478" i="8" s="1"/>
  <c r="D2356" i="8"/>
  <c r="G2356" i="8" s="1"/>
  <c r="D2296" i="8"/>
  <c r="G2296" i="8" s="1"/>
  <c r="D1936" i="8"/>
  <c r="G1936" i="8" s="1"/>
  <c r="D3321" i="8"/>
  <c r="G3321" i="8" s="1"/>
  <c r="D2256" i="8"/>
  <c r="G2256" i="8" s="1"/>
  <c r="D3413" i="8"/>
  <c r="G3413" i="8" s="1"/>
  <c r="D2852" i="8"/>
  <c r="G2852" i="8" s="1"/>
  <c r="D1570" i="8"/>
  <c r="G1570" i="8" s="1"/>
  <c r="D1483" i="8"/>
  <c r="G1483" i="8" s="1"/>
  <c r="D3427" i="8"/>
  <c r="G3427" i="8" s="1"/>
  <c r="D3362" i="8"/>
  <c r="G3362" i="8" s="1"/>
  <c r="D1511" i="8"/>
  <c r="G1511" i="8" s="1"/>
  <c r="D2031" i="8"/>
  <c r="G2031" i="8" s="1"/>
  <c r="D2992" i="8"/>
  <c r="G2992" i="8" s="1"/>
  <c r="D3557" i="8"/>
  <c r="G3557" i="8" s="1"/>
  <c r="D1983" i="8"/>
  <c r="G1983" i="8" s="1"/>
  <c r="D3217" i="8"/>
  <c r="G3217" i="8" s="1"/>
  <c r="D2634" i="8"/>
  <c r="G2634" i="8" s="1"/>
  <c r="D3690" i="8"/>
  <c r="G3690" i="8" s="1"/>
  <c r="D2993" i="8"/>
  <c r="G2993" i="8" s="1"/>
  <c r="D2300" i="8"/>
  <c r="G2300" i="8" s="1"/>
  <c r="D3203" i="8"/>
  <c r="G3203" i="8" s="1"/>
  <c r="D2534" i="8"/>
  <c r="G2534" i="8" s="1"/>
  <c r="D2508" i="8"/>
  <c r="G2508" i="8" s="1"/>
  <c r="D1865" i="8"/>
  <c r="G1865" i="8" s="1"/>
  <c r="D2719" i="8"/>
  <c r="G2719" i="8" s="1"/>
  <c r="D3008" i="8"/>
  <c r="G3008" i="8" s="1"/>
  <c r="D2446" i="8"/>
  <c r="G2446" i="8" s="1"/>
  <c r="D2954" i="8"/>
  <c r="G2954" i="8" s="1"/>
  <c r="D3282" i="8"/>
  <c r="G3282" i="8" s="1"/>
  <c r="D2017" i="8"/>
  <c r="G2017" i="8" s="1"/>
  <c r="D2593" i="8"/>
  <c r="G2593" i="8" s="1"/>
  <c r="D3710" i="8"/>
  <c r="G3710" i="8" s="1"/>
  <c r="D2717" i="8"/>
  <c r="G2717" i="8" s="1"/>
  <c r="D2433" i="8"/>
  <c r="G2433" i="8" s="1"/>
  <c r="D1903" i="8"/>
  <c r="G1903" i="8" s="1"/>
  <c r="D3562" i="8"/>
  <c r="G3562" i="8" s="1"/>
  <c r="D1645" i="8"/>
  <c r="G1645" i="8" s="1"/>
  <c r="D2055" i="8"/>
  <c r="G2055" i="8" s="1"/>
  <c r="D2942" i="8"/>
  <c r="G2942" i="8" s="1"/>
  <c r="D2630" i="8"/>
  <c r="G2630" i="8" s="1"/>
  <c r="D3250" i="8"/>
  <c r="G3250" i="8" s="1"/>
  <c r="D2269" i="8"/>
  <c r="G2269" i="8" s="1"/>
  <c r="D2046" i="8"/>
  <c r="G2046" i="8" s="1"/>
  <c r="D1553" i="8"/>
  <c r="G1553" i="8" s="1"/>
  <c r="D3303" i="8"/>
  <c r="G3303" i="8" s="1"/>
  <c r="D3696" i="8"/>
  <c r="G3696" i="8" s="1"/>
  <c r="D1886" i="8"/>
  <c r="G1886" i="8" s="1"/>
  <c r="D1788" i="8"/>
  <c r="G1788" i="8" s="1"/>
  <c r="D3456" i="8"/>
  <c r="G3456" i="8" s="1"/>
  <c r="D3662" i="8"/>
  <c r="G3662" i="8" s="1"/>
  <c r="D2499" i="8"/>
  <c r="G2499" i="8" s="1"/>
  <c r="D1958" i="8"/>
  <c r="G1958" i="8" s="1"/>
  <c r="D1813" i="8"/>
  <c r="G1813" i="8" s="1"/>
  <c r="D3421" i="8"/>
  <c r="G3421" i="8" s="1"/>
  <c r="D2640" i="8"/>
  <c r="G2640" i="8" s="1"/>
  <c r="D1996" i="8"/>
  <c r="G1996" i="8" s="1"/>
  <c r="D3003" i="8"/>
  <c r="G3003" i="8" s="1"/>
  <c r="D3325" i="8"/>
  <c r="G3325" i="8" s="1"/>
  <c r="D2243" i="8"/>
  <c r="G2243" i="8" s="1"/>
  <c r="D2314" i="8"/>
  <c r="G2314" i="8" s="1"/>
  <c r="D2520" i="8"/>
  <c r="G2520" i="8" s="1"/>
  <c r="D3596" i="8"/>
  <c r="G3596" i="8" s="1"/>
  <c r="D2952" i="8"/>
  <c r="G2952" i="8" s="1"/>
  <c r="D2109" i="8"/>
  <c r="G2109" i="8" s="1"/>
  <c r="D1661" i="8"/>
  <c r="G1661" i="8" s="1"/>
  <c r="D3232" i="8"/>
  <c r="G3232" i="8" s="1"/>
  <c r="D2333" i="8"/>
  <c r="G2333" i="8" s="1"/>
  <c r="D2205" i="8"/>
  <c r="G2205" i="8" s="1"/>
  <c r="D3016" i="8"/>
  <c r="G3016" i="8" s="1"/>
  <c r="D3619" i="8"/>
  <c r="G3619" i="8" s="1"/>
  <c r="D1907" i="8"/>
  <c r="G1907" i="8" s="1"/>
  <c r="D1543" i="8"/>
  <c r="G1543" i="8" s="1"/>
  <c r="D1579" i="8"/>
  <c r="G1579" i="8" s="1"/>
  <c r="D2918" i="8"/>
  <c r="G2918" i="8" s="1"/>
  <c r="D2736" i="8"/>
  <c r="G2736" i="8" s="1"/>
  <c r="D3113" i="8"/>
  <c r="G3113" i="8" s="1"/>
  <c r="D2271" i="8"/>
  <c r="G2271" i="8" s="1"/>
  <c r="D3411" i="8"/>
  <c r="G3411" i="8" s="1"/>
  <c r="D1596" i="8"/>
  <c r="G1596" i="8" s="1"/>
  <c r="D1755" i="8"/>
  <c r="G1755" i="8" s="1"/>
  <c r="D2698" i="8"/>
  <c r="G2698" i="8" s="1"/>
  <c r="D3307" i="8"/>
  <c r="G3307" i="8" s="1"/>
  <c r="D2294" i="8"/>
  <c r="G2294" i="8" s="1"/>
  <c r="D2235" i="8"/>
  <c r="G2235" i="8" s="1"/>
  <c r="D1604" i="8"/>
  <c r="G1604" i="8" s="1"/>
  <c r="D3711" i="8"/>
  <c r="G3711" i="8" s="1"/>
  <c r="D3468" i="8"/>
  <c r="G3468" i="8" s="1"/>
  <c r="D2506" i="8"/>
  <c r="G2506" i="8" s="1"/>
  <c r="D2175" i="8"/>
  <c r="G2175" i="8" s="1"/>
  <c r="D2105" i="8"/>
  <c r="G2105" i="8" s="1"/>
  <c r="D2474" i="8"/>
  <c r="G2474" i="8" s="1"/>
  <c r="D3251" i="8"/>
  <c r="G3251" i="8" s="1"/>
  <c r="D1527" i="8"/>
  <c r="G1527" i="8" s="1"/>
  <c r="D3059" i="8"/>
  <c r="G3059" i="8" s="1"/>
  <c r="D2963" i="8"/>
  <c r="G2963" i="8" s="1"/>
  <c r="C2095" i="8"/>
  <c r="C2321" i="8"/>
  <c r="C2712" i="8"/>
  <c r="C2868" i="8"/>
  <c r="C3069" i="8"/>
  <c r="C3313" i="8"/>
  <c r="C3426" i="8"/>
  <c r="C2912" i="8"/>
  <c r="C2102" i="8"/>
  <c r="C3632" i="8"/>
  <c r="C2195" i="8"/>
  <c r="C2445" i="8"/>
  <c r="C2776" i="8"/>
  <c r="C2290" i="8"/>
  <c r="C2939" i="8"/>
  <c r="C2269" i="8"/>
  <c r="C2367" i="8"/>
  <c r="C3533" i="8"/>
  <c r="C2725" i="8"/>
  <c r="C2642" i="8"/>
  <c r="C2491" i="8"/>
  <c r="C2821" i="8"/>
  <c r="C3353" i="8"/>
  <c r="C2761" i="8"/>
  <c r="C2131" i="8"/>
  <c r="C2409" i="8"/>
  <c r="C2749" i="8"/>
  <c r="C3295" i="8"/>
  <c r="C3611" i="8"/>
  <c r="C2693" i="8"/>
  <c r="C2812" i="8"/>
  <c r="C3325" i="8"/>
  <c r="C1465" i="8"/>
  <c r="C3446" i="8"/>
  <c r="C3660" i="8"/>
  <c r="C2241" i="8"/>
  <c r="C3344" i="8"/>
  <c r="C2745" i="8"/>
  <c r="C2208" i="8"/>
  <c r="C3146" i="8"/>
  <c r="C3022" i="8"/>
  <c r="C2489" i="8"/>
  <c r="C1955" i="8"/>
  <c r="C3147" i="8"/>
  <c r="C2502" i="8"/>
  <c r="C3309" i="8"/>
  <c r="C2543" i="8"/>
  <c r="C2128" i="8"/>
  <c r="C3504" i="8"/>
  <c r="C2591" i="8"/>
  <c r="C3162" i="8"/>
  <c r="C2929" i="8"/>
  <c r="C3642" i="8"/>
  <c r="C2689" i="8"/>
  <c r="C2146" i="8"/>
  <c r="C1882" i="8"/>
  <c r="C3126" i="8"/>
  <c r="C3215" i="8"/>
  <c r="C3296" i="8"/>
  <c r="C3250" i="8"/>
  <c r="C3123" i="8"/>
  <c r="C3185" i="8"/>
  <c r="C3698" i="8"/>
  <c r="C2624" i="8"/>
  <c r="C2259" i="8"/>
  <c r="C3427" i="8"/>
  <c r="C2617" i="8"/>
  <c r="C2700" i="8"/>
  <c r="C1802" i="8"/>
  <c r="C3273" i="8"/>
  <c r="C2581" i="8"/>
  <c r="C1918" i="8"/>
  <c r="C3534" i="8"/>
  <c r="C2644" i="8"/>
  <c r="C2293" i="8"/>
  <c r="C3610" i="8"/>
  <c r="C2888" i="8"/>
  <c r="C2173" i="8"/>
  <c r="C3603" i="8"/>
  <c r="C2852" i="8"/>
  <c r="C2151" i="8"/>
  <c r="C3706" i="8"/>
  <c r="C2835" i="8"/>
  <c r="C2174" i="8"/>
  <c r="C2940" i="8"/>
  <c r="C2603" i="8"/>
  <c r="C3014" i="8"/>
  <c r="C2553" i="8"/>
  <c r="C2972" i="8"/>
  <c r="C2630" i="8"/>
  <c r="D2586" i="8"/>
  <c r="G2586" i="8" s="1"/>
  <c r="D2079" i="8"/>
  <c r="G2079" i="8" s="1"/>
  <c r="D3578" i="8"/>
  <c r="G3578" i="8" s="1"/>
  <c r="D3664" i="8"/>
  <c r="G3664" i="8" s="1"/>
  <c r="D1582" i="8"/>
  <c r="G1582" i="8" s="1"/>
  <c r="D2219" i="8"/>
  <c r="G2219" i="8" s="1"/>
  <c r="D1992" i="8"/>
  <c r="G1992" i="8" s="1"/>
  <c r="D1683" i="8"/>
  <c r="G1683" i="8" s="1"/>
  <c r="D1639" i="8"/>
  <c r="G1639" i="8" s="1"/>
  <c r="D2813" i="8"/>
  <c r="G2813" i="8" s="1"/>
  <c r="D2775" i="8"/>
  <c r="G2775" i="8" s="1"/>
  <c r="D1994" i="8"/>
  <c r="G1994" i="8" s="1"/>
  <c r="D1480" i="8"/>
  <c r="G1480" i="8" s="1"/>
  <c r="D2893" i="8"/>
  <c r="G2893" i="8" s="1"/>
  <c r="D2208" i="8"/>
  <c r="G2208" i="8" s="1"/>
  <c r="D1792" i="8"/>
  <c r="G1792" i="8" s="1"/>
  <c r="D3095" i="8"/>
  <c r="G3095" i="8" s="1"/>
  <c r="D3177" i="8"/>
  <c r="G3177" i="8" s="1"/>
  <c r="D2657" i="8"/>
  <c r="G2657" i="8" s="1"/>
  <c r="D3524" i="8"/>
  <c r="G3524" i="8" s="1"/>
  <c r="D1787" i="8"/>
  <c r="G1787" i="8" s="1"/>
  <c r="D1561" i="8"/>
  <c r="G1561" i="8" s="1"/>
  <c r="D1554" i="8"/>
  <c r="G1554" i="8" s="1"/>
  <c r="D2265" i="8"/>
  <c r="G2265" i="8" s="1"/>
  <c r="D3428" i="8"/>
  <c r="G3428" i="8" s="1"/>
  <c r="D3542" i="8"/>
  <c r="G3542" i="8" s="1"/>
  <c r="D2551" i="8"/>
  <c r="G2551" i="8" s="1"/>
  <c r="D2694" i="8"/>
  <c r="G2694" i="8" s="1"/>
  <c r="D2783" i="8"/>
  <c r="G2783" i="8" s="1"/>
  <c r="D2198" i="8"/>
  <c r="G2198" i="8" s="1"/>
  <c r="D3187" i="8"/>
  <c r="G3187" i="8" s="1"/>
  <c r="D2369" i="8"/>
  <c r="G2369" i="8" s="1"/>
  <c r="D2940" i="8"/>
  <c r="G2940" i="8" s="1"/>
  <c r="D1572" i="8"/>
  <c r="G1572" i="8" s="1"/>
  <c r="D3098" i="8"/>
  <c r="G3098" i="8" s="1"/>
  <c r="D3477" i="8"/>
  <c r="G3477" i="8" s="1"/>
  <c r="D1744" i="8"/>
  <c r="G1744" i="8" s="1"/>
  <c r="D2627" i="8"/>
  <c r="G2627" i="8" s="1"/>
  <c r="D1772" i="8"/>
  <c r="G1772" i="8" s="1"/>
  <c r="D3261" i="8"/>
  <c r="G3261" i="8" s="1"/>
  <c r="D2592" i="8"/>
  <c r="G2592" i="8" s="1"/>
  <c r="D2990" i="8"/>
  <c r="G2990" i="8" s="1"/>
  <c r="D2407" i="8"/>
  <c r="G2407" i="8" s="1"/>
  <c r="D2890" i="8"/>
  <c r="G2890" i="8" s="1"/>
  <c r="D1668" i="8"/>
  <c r="G1668" i="8" s="1"/>
  <c r="D1914" i="8"/>
  <c r="G1914" i="8" s="1"/>
  <c r="D1568" i="8"/>
  <c r="G1568" i="8" s="1"/>
  <c r="D3498" i="8"/>
  <c r="G3498" i="8" s="1"/>
  <c r="D3093" i="8"/>
  <c r="G3093" i="8" s="1"/>
  <c r="D2835" i="8"/>
  <c r="G2835" i="8" s="1"/>
  <c r="D2496" i="8"/>
  <c r="G2496" i="8" s="1"/>
  <c r="D2029" i="8"/>
  <c r="G2029" i="8" s="1"/>
  <c r="D3241" i="8"/>
  <c r="G3241" i="8" s="1"/>
  <c r="D3347" i="8"/>
  <c r="G3347" i="8" s="1"/>
  <c r="D2713" i="8"/>
  <c r="G2713" i="8" s="1"/>
  <c r="D1986" i="8"/>
  <c r="G1986" i="8" s="1"/>
  <c r="D3441" i="8"/>
  <c r="G3441" i="8" s="1"/>
  <c r="D1506" i="8"/>
  <c r="G1506" i="8" s="1"/>
  <c r="D2894" i="8"/>
  <c r="G2894" i="8" s="1"/>
  <c r="D2377" i="8"/>
  <c r="G2377" i="8" s="1"/>
  <c r="D2311" i="8"/>
  <c r="G2311" i="8" s="1"/>
  <c r="D1616" i="8"/>
  <c r="G1616" i="8" s="1"/>
  <c r="D2095" i="8"/>
  <c r="G2095" i="8" s="1"/>
  <c r="D1770" i="8"/>
  <c r="G1770" i="8" s="1"/>
  <c r="D1625" i="8"/>
  <c r="G1625" i="8" s="1"/>
  <c r="D3201" i="8"/>
  <c r="G3201" i="8" s="1"/>
  <c r="D1644" i="8"/>
  <c r="G1644" i="8" s="1"/>
  <c r="D3141" i="8"/>
  <c r="G3141" i="8" s="1"/>
  <c r="D3238" i="8"/>
  <c r="G3238" i="8" s="1"/>
  <c r="D2980" i="8"/>
  <c r="G2980" i="8" s="1"/>
  <c r="D2891" i="8"/>
  <c r="G2891" i="8" s="1"/>
  <c r="D2400" i="8"/>
  <c r="G2400" i="8" s="1"/>
  <c r="D2318" i="8"/>
  <c r="G2318" i="8" s="1"/>
  <c r="D3024" i="8"/>
  <c r="G3024" i="8" s="1"/>
  <c r="D2382" i="8"/>
  <c r="G2382" i="8" s="1"/>
  <c r="D2397" i="8"/>
  <c r="G2397" i="8" s="1"/>
  <c r="D1850" i="8"/>
  <c r="G1850" i="8" s="1"/>
  <c r="D3327" i="8"/>
  <c r="G3327" i="8" s="1"/>
  <c r="D2411" i="8"/>
  <c r="G2411" i="8" s="1"/>
  <c r="D2359" i="8"/>
  <c r="G2359" i="8" s="1"/>
  <c r="D1729" i="8"/>
  <c r="G1729" i="8" s="1"/>
  <c r="D3236" i="8"/>
  <c r="G3236" i="8" s="1"/>
  <c r="D1926" i="8"/>
  <c r="G1926" i="8" s="1"/>
  <c r="D2856" i="8"/>
  <c r="G2856" i="8" s="1"/>
  <c r="D2683" i="8"/>
  <c r="G2683" i="8" s="1"/>
  <c r="D3635" i="8"/>
  <c r="G3635" i="8" s="1"/>
  <c r="D1768" i="8"/>
  <c r="G1768" i="8" s="1"/>
  <c r="D1786" i="8"/>
  <c r="G1786" i="8" s="1"/>
  <c r="D2270" i="8"/>
  <c r="G2270" i="8" s="1"/>
  <c r="D3693" i="8"/>
  <c r="G3693" i="8" s="1"/>
  <c r="D3007" i="8"/>
  <c r="G3007" i="8" s="1"/>
  <c r="D2689" i="8"/>
  <c r="G2689" i="8" s="1"/>
  <c r="D2288" i="8"/>
  <c r="G2288" i="8" s="1"/>
  <c r="D3649" i="8"/>
  <c r="G3649" i="8" s="1"/>
  <c r="D2745" i="8"/>
  <c r="G2745" i="8" s="1"/>
  <c r="D3342" i="8"/>
  <c r="G3342" i="8" s="1"/>
  <c r="D2493" i="8"/>
  <c r="G2493" i="8" s="1"/>
  <c r="D2629" i="8"/>
  <c r="G2629" i="8" s="1"/>
  <c r="D3067" i="8"/>
  <c r="G3067" i="8" s="1"/>
  <c r="D3285" i="8"/>
  <c r="G3285" i="8" s="1"/>
  <c r="D2275" i="8"/>
  <c r="G2275" i="8" s="1"/>
  <c r="D1765" i="8"/>
  <c r="G1765" i="8" s="1"/>
  <c r="Q2220" i="5" l="1"/>
  <c r="K2221" i="5"/>
  <c r="N2220" i="5"/>
  <c r="F2220" i="5"/>
  <c r="I2220" i="5"/>
  <c r="C2221" i="5"/>
  <c r="T893" i="3"/>
  <c r="U894" i="3"/>
  <c r="I399" i="5"/>
  <c r="C400" i="5"/>
  <c r="F399" i="5"/>
  <c r="N403" i="5"/>
  <c r="K404" i="5"/>
  <c r="L402" i="5"/>
  <c r="Q401" i="5"/>
  <c r="E1464" i="8"/>
  <c r="E1465" i="8" s="1"/>
  <c r="E1466" i="8" s="1"/>
  <c r="E1467" i="8" s="1"/>
  <c r="E1468" i="8" s="1"/>
  <c r="E1469" i="8" s="1"/>
  <c r="E1470" i="8" s="1"/>
  <c r="E1471" i="8" s="1"/>
  <c r="E1472" i="8" s="1"/>
  <c r="E1473" i="8" s="1"/>
  <c r="E1474" i="8" s="1"/>
  <c r="E1475" i="8" s="1"/>
  <c r="E1476" i="8" s="1"/>
  <c r="E1477" i="8" s="1"/>
  <c r="E1478" i="8" s="1"/>
  <c r="E1479" i="8" s="1"/>
  <c r="E1480" i="8" s="1"/>
  <c r="E1481" i="8" s="1"/>
  <c r="E1482" i="8" s="1"/>
  <c r="E1483" i="8" s="1"/>
  <c r="E1484" i="8" s="1"/>
  <c r="E1485" i="8" s="1"/>
  <c r="E1486" i="8" s="1"/>
  <c r="E1487" i="8" s="1"/>
  <c r="E1488" i="8" s="1"/>
  <c r="E1489" i="8" s="1"/>
  <c r="E1490" i="8" s="1"/>
  <c r="E1491" i="8" s="1"/>
  <c r="E1492" i="8" s="1"/>
  <c r="E1493" i="8" s="1"/>
  <c r="E1494" i="8" s="1"/>
  <c r="E1495" i="8" s="1"/>
  <c r="E1496" i="8" s="1"/>
  <c r="E1497" i="8" s="1"/>
  <c r="E1498" i="8" s="1"/>
  <c r="E1499" i="8" s="1"/>
  <c r="E1500" i="8" s="1"/>
  <c r="E1501" i="8" s="1"/>
  <c r="E1502" i="8" s="1"/>
  <c r="E1503" i="8" s="1"/>
  <c r="E1504" i="8" s="1"/>
  <c r="E1505" i="8" s="1"/>
  <c r="E1506" i="8" s="1"/>
  <c r="E1507" i="8" s="1"/>
  <c r="E1508" i="8" s="1"/>
  <c r="E1509" i="8" s="1"/>
  <c r="E1510" i="8" s="1"/>
  <c r="E1511" i="8" s="1"/>
  <c r="E1512" i="8" s="1"/>
  <c r="E1513" i="8" s="1"/>
  <c r="E1514" i="8" s="1"/>
  <c r="E1515" i="8" s="1"/>
  <c r="E1516" i="8" s="1"/>
  <c r="E1517" i="8" s="1"/>
  <c r="E1518" i="8" s="1"/>
  <c r="E1519" i="8" s="1"/>
  <c r="E1520" i="8" s="1"/>
  <c r="E1521" i="8" s="1"/>
  <c r="E1522" i="8" s="1"/>
  <c r="E1523" i="8" s="1"/>
  <c r="E1524" i="8" s="1"/>
  <c r="E1525" i="8" s="1"/>
  <c r="E1526" i="8" s="1"/>
  <c r="E1527" i="8" s="1"/>
  <c r="E1528" i="8" s="1"/>
  <c r="E1529" i="8" s="1"/>
  <c r="E1530" i="8" s="1"/>
  <c r="E1531" i="8" s="1"/>
  <c r="E1532" i="8" s="1"/>
  <c r="E1533" i="8" s="1"/>
  <c r="E1534" i="8" s="1"/>
  <c r="E1535" i="8" s="1"/>
  <c r="E1536" i="8" s="1"/>
  <c r="E1537" i="8" s="1"/>
  <c r="E1538" i="8" s="1"/>
  <c r="E1539" i="8" s="1"/>
  <c r="E1540" i="8" s="1"/>
  <c r="E1541" i="8" s="1"/>
  <c r="E1542" i="8" s="1"/>
  <c r="E1543" i="8" s="1"/>
  <c r="E1544" i="8" s="1"/>
  <c r="E1545" i="8" s="1"/>
  <c r="E1546" i="8" s="1"/>
  <c r="E1547" i="8" s="1"/>
  <c r="E1548" i="8" s="1"/>
  <c r="E1549" i="8" s="1"/>
  <c r="E1550" i="8" s="1"/>
  <c r="E1551" i="8" s="1"/>
  <c r="E1552" i="8" s="1"/>
  <c r="E1553" i="8" s="1"/>
  <c r="E1554" i="8" s="1"/>
  <c r="E1555" i="8" s="1"/>
  <c r="E1556" i="8" s="1"/>
  <c r="E1557" i="8" s="1"/>
  <c r="E1558" i="8" s="1"/>
  <c r="E1559" i="8" s="1"/>
  <c r="E1560" i="8" s="1"/>
  <c r="E1561" i="8" s="1"/>
  <c r="E1562" i="8" s="1"/>
  <c r="E1563" i="8" s="1"/>
  <c r="E1564" i="8" s="1"/>
  <c r="E1565" i="8" s="1"/>
  <c r="E1566" i="8" s="1"/>
  <c r="E1567" i="8" s="1"/>
  <c r="E1568" i="8" s="1"/>
  <c r="E1569" i="8" s="1"/>
  <c r="E1570" i="8" s="1"/>
  <c r="E1571" i="8" s="1"/>
  <c r="E1572" i="8" s="1"/>
  <c r="E1573" i="8" s="1"/>
  <c r="E1574" i="8" s="1"/>
  <c r="E1575" i="8" s="1"/>
  <c r="E1576" i="8" s="1"/>
  <c r="E1577" i="8" s="1"/>
  <c r="E1578" i="8" s="1"/>
  <c r="E1579" i="8" s="1"/>
  <c r="E1580" i="8" s="1"/>
  <c r="E1581" i="8" s="1"/>
  <c r="E1582" i="8" s="1"/>
  <c r="E1583" i="8" s="1"/>
  <c r="E1584" i="8" s="1"/>
  <c r="E1585" i="8" s="1"/>
  <c r="E1586" i="8" s="1"/>
  <c r="E1587" i="8" s="1"/>
  <c r="E1588" i="8" s="1"/>
  <c r="E1589" i="8" s="1"/>
  <c r="E1590" i="8" s="1"/>
  <c r="E1591" i="8" s="1"/>
  <c r="E1592" i="8" s="1"/>
  <c r="E1593" i="8" s="1"/>
  <c r="E1594" i="8" s="1"/>
  <c r="E1595" i="8" s="1"/>
  <c r="E1596" i="8" s="1"/>
  <c r="E1597" i="8" s="1"/>
  <c r="E1598" i="8" s="1"/>
  <c r="E1599" i="8" s="1"/>
  <c r="E1600" i="8" s="1"/>
  <c r="E1601" i="8" s="1"/>
  <c r="E1602" i="8" s="1"/>
  <c r="E1603" i="8" s="1"/>
  <c r="E1604" i="8" s="1"/>
  <c r="E1605" i="8" s="1"/>
  <c r="E1606" i="8" s="1"/>
  <c r="E1607" i="8" s="1"/>
  <c r="E1608" i="8" s="1"/>
  <c r="E1609" i="8" s="1"/>
  <c r="E1610" i="8" s="1"/>
  <c r="E1611" i="8" s="1"/>
  <c r="E1612" i="8" s="1"/>
  <c r="E1613" i="8" s="1"/>
  <c r="E1614" i="8" s="1"/>
  <c r="E1615" i="8" s="1"/>
  <c r="E1616" i="8" s="1"/>
  <c r="E1617" i="8" s="1"/>
  <c r="E1618" i="8" s="1"/>
  <c r="E1619" i="8" s="1"/>
  <c r="E1620" i="8" s="1"/>
  <c r="E1621" i="8" s="1"/>
  <c r="E1622" i="8" s="1"/>
  <c r="E1623" i="8" s="1"/>
  <c r="E1624" i="8" s="1"/>
  <c r="E1625" i="8" s="1"/>
  <c r="E1626" i="8" s="1"/>
  <c r="E1627" i="8" s="1"/>
  <c r="E1628" i="8" s="1"/>
  <c r="E1629" i="8" s="1"/>
  <c r="E1630" i="8" s="1"/>
  <c r="E1631" i="8" s="1"/>
  <c r="E1632" i="8" s="1"/>
  <c r="E1633" i="8" s="1"/>
  <c r="E1634" i="8" s="1"/>
  <c r="E1635" i="8" s="1"/>
  <c r="E1636" i="8" s="1"/>
  <c r="E1637" i="8" s="1"/>
  <c r="E1638" i="8" s="1"/>
  <c r="E1639" i="8" s="1"/>
  <c r="E1640" i="8" s="1"/>
  <c r="E1641" i="8" s="1"/>
  <c r="E1642" i="8" s="1"/>
  <c r="E1643" i="8" s="1"/>
  <c r="E1644" i="8" s="1"/>
  <c r="E1645" i="8" s="1"/>
  <c r="E1646" i="8" s="1"/>
  <c r="E1647" i="8" s="1"/>
  <c r="E1648" i="8" s="1"/>
  <c r="E1649" i="8" s="1"/>
  <c r="E1650" i="8" s="1"/>
  <c r="E1651" i="8" s="1"/>
  <c r="E1652" i="8" s="1"/>
  <c r="E1653" i="8" s="1"/>
  <c r="E1654" i="8" s="1"/>
  <c r="E1655" i="8" s="1"/>
  <c r="E1656" i="8" s="1"/>
  <c r="E1657" i="8" s="1"/>
  <c r="E1658" i="8" s="1"/>
  <c r="E1659" i="8" s="1"/>
  <c r="E1660" i="8" s="1"/>
  <c r="E1661" i="8" s="1"/>
  <c r="E1662" i="8" s="1"/>
  <c r="E1663" i="8" s="1"/>
  <c r="E1664" i="8" s="1"/>
  <c r="E1665" i="8" s="1"/>
  <c r="E1666" i="8" s="1"/>
  <c r="E1667" i="8" s="1"/>
  <c r="E1668" i="8" s="1"/>
  <c r="E1669" i="8" s="1"/>
  <c r="E1670" i="8" s="1"/>
  <c r="E1671" i="8" s="1"/>
  <c r="E1672" i="8" s="1"/>
  <c r="E1673" i="8" s="1"/>
  <c r="E1674" i="8" s="1"/>
  <c r="E1675" i="8" s="1"/>
  <c r="E1676" i="8" s="1"/>
  <c r="E1677" i="8" s="1"/>
  <c r="E1678" i="8" s="1"/>
  <c r="E1679" i="8" s="1"/>
  <c r="E1680" i="8" s="1"/>
  <c r="E1681" i="8" s="1"/>
  <c r="E1682" i="8" s="1"/>
  <c r="E1683" i="8" s="1"/>
  <c r="E1684" i="8" s="1"/>
  <c r="E1685" i="8" s="1"/>
  <c r="E1686" i="8" s="1"/>
  <c r="E1687" i="8" s="1"/>
  <c r="E1688" i="8" s="1"/>
  <c r="E1689" i="8" s="1"/>
  <c r="E1690" i="8" s="1"/>
  <c r="E1691" i="8" s="1"/>
  <c r="E1692" i="8" s="1"/>
  <c r="E1693" i="8" s="1"/>
  <c r="E1694" i="8" s="1"/>
  <c r="E1695" i="8" s="1"/>
  <c r="E1696" i="8" s="1"/>
  <c r="E1697" i="8" s="1"/>
  <c r="E1698" i="8" s="1"/>
  <c r="E1699" i="8" s="1"/>
  <c r="E1700" i="8" s="1"/>
  <c r="E1701" i="8" s="1"/>
  <c r="E1702" i="8" s="1"/>
  <c r="E1703" i="8" s="1"/>
  <c r="E1704" i="8" s="1"/>
  <c r="E1705" i="8" s="1"/>
  <c r="E1706" i="8" s="1"/>
  <c r="E1707" i="8" s="1"/>
  <c r="E1708" i="8" s="1"/>
  <c r="E1709" i="8" s="1"/>
  <c r="E1710" i="8" s="1"/>
  <c r="E1711" i="8" s="1"/>
  <c r="E1712" i="8" s="1"/>
  <c r="E1713" i="8" s="1"/>
  <c r="E1714" i="8" s="1"/>
  <c r="E1715" i="8" s="1"/>
  <c r="E1716" i="8" s="1"/>
  <c r="E1717" i="8" s="1"/>
  <c r="E1718" i="8" s="1"/>
  <c r="E1719" i="8" s="1"/>
  <c r="E1720" i="8" s="1"/>
  <c r="E1721" i="8" s="1"/>
  <c r="E1722" i="8" s="1"/>
  <c r="E1723" i="8" s="1"/>
  <c r="E1724" i="8" s="1"/>
  <c r="E1725" i="8" s="1"/>
  <c r="E1726" i="8" s="1"/>
  <c r="E1727" i="8" s="1"/>
  <c r="E1728" i="8" s="1"/>
  <c r="E1729" i="8" s="1"/>
  <c r="E1730" i="8" s="1"/>
  <c r="E1731" i="8" s="1"/>
  <c r="E1732" i="8" s="1"/>
  <c r="E1733" i="8" s="1"/>
  <c r="E1734" i="8" s="1"/>
  <c r="E1735" i="8" s="1"/>
  <c r="E1736" i="8" s="1"/>
  <c r="E1737" i="8" s="1"/>
  <c r="E1738" i="8" s="1"/>
  <c r="E1739" i="8" s="1"/>
  <c r="E1740" i="8" s="1"/>
  <c r="E1741" i="8" s="1"/>
  <c r="E1742" i="8" s="1"/>
  <c r="E1743" i="8" s="1"/>
  <c r="E1744" i="8" s="1"/>
  <c r="E1745" i="8" s="1"/>
  <c r="E1746" i="8" s="1"/>
  <c r="E1747" i="8" s="1"/>
  <c r="E1748" i="8" s="1"/>
  <c r="E1749" i="8" s="1"/>
  <c r="E1750" i="8" s="1"/>
  <c r="E1751" i="8" s="1"/>
  <c r="E1752" i="8" s="1"/>
  <c r="E1753" i="8" s="1"/>
  <c r="E1754" i="8" s="1"/>
  <c r="E1755" i="8" s="1"/>
  <c r="E1756" i="8" s="1"/>
  <c r="E1757" i="8" s="1"/>
  <c r="E1758" i="8" s="1"/>
  <c r="E1759" i="8" s="1"/>
  <c r="E1760" i="8" s="1"/>
  <c r="E1761" i="8" s="1"/>
  <c r="E1762" i="8" s="1"/>
  <c r="E1763" i="8" s="1"/>
  <c r="E1764" i="8" s="1"/>
  <c r="E1765" i="8" s="1"/>
  <c r="E1766" i="8" s="1"/>
  <c r="E1767" i="8" s="1"/>
  <c r="E1768" i="8" s="1"/>
  <c r="E1769" i="8" s="1"/>
  <c r="E1770" i="8" s="1"/>
  <c r="E1771" i="8" s="1"/>
  <c r="E1772" i="8" s="1"/>
  <c r="E1773" i="8" s="1"/>
  <c r="E1774" i="8" s="1"/>
  <c r="E1775" i="8" s="1"/>
  <c r="E1776" i="8" s="1"/>
  <c r="E1777" i="8" s="1"/>
  <c r="E1778" i="8" s="1"/>
  <c r="E1779" i="8" s="1"/>
  <c r="E1780" i="8" s="1"/>
  <c r="E1781" i="8" s="1"/>
  <c r="E1782" i="8" s="1"/>
  <c r="E1783" i="8" s="1"/>
  <c r="E1784" i="8" s="1"/>
  <c r="E1785" i="8" s="1"/>
  <c r="E1786" i="8" s="1"/>
  <c r="E1787" i="8" s="1"/>
  <c r="E1788" i="8" s="1"/>
  <c r="E1789" i="8" s="1"/>
  <c r="E1790" i="8" s="1"/>
  <c r="E1791" i="8" s="1"/>
  <c r="E1792" i="8" s="1"/>
  <c r="E1793" i="8" s="1"/>
  <c r="E1794" i="8" s="1"/>
  <c r="E1795" i="8" s="1"/>
  <c r="E1796" i="8" s="1"/>
  <c r="E1797" i="8" s="1"/>
  <c r="E1798" i="8" s="1"/>
  <c r="E1799" i="8" s="1"/>
  <c r="E1800" i="8" s="1"/>
  <c r="E1801" i="8" s="1"/>
  <c r="E1802" i="8" s="1"/>
  <c r="E1803" i="8" s="1"/>
  <c r="E1804" i="8" s="1"/>
  <c r="E1805" i="8" s="1"/>
  <c r="E1806" i="8" s="1"/>
  <c r="E1807" i="8" s="1"/>
  <c r="E1808" i="8" s="1"/>
  <c r="E1809" i="8" s="1"/>
  <c r="E1810" i="8" s="1"/>
  <c r="E1811" i="8" s="1"/>
  <c r="E1812" i="8" s="1"/>
  <c r="E1813" i="8" s="1"/>
  <c r="E1814" i="8" s="1"/>
  <c r="E1815" i="8" s="1"/>
  <c r="E1816" i="8" s="1"/>
  <c r="E1817" i="8" s="1"/>
  <c r="E1818" i="8" s="1"/>
  <c r="E1819" i="8" s="1"/>
  <c r="E1820" i="8" s="1"/>
  <c r="E1821" i="8" s="1"/>
  <c r="E1822" i="8" s="1"/>
  <c r="E1823" i="8" s="1"/>
  <c r="E1824" i="8" s="1"/>
  <c r="E1825" i="8" s="1"/>
  <c r="E1826" i="8" s="1"/>
  <c r="E1827" i="8" s="1"/>
  <c r="E1828" i="8" s="1"/>
  <c r="E1829" i="8" s="1"/>
  <c r="E1830" i="8" s="1"/>
  <c r="E1831" i="8" s="1"/>
  <c r="E1832" i="8" s="1"/>
  <c r="E1833" i="8" s="1"/>
  <c r="E1834" i="8" s="1"/>
  <c r="E1835" i="8" s="1"/>
  <c r="E1836" i="8" s="1"/>
  <c r="E1837" i="8" s="1"/>
  <c r="E1838" i="8" s="1"/>
  <c r="E1839" i="8" s="1"/>
  <c r="E1840" i="8" s="1"/>
  <c r="E1841" i="8" s="1"/>
  <c r="E1842" i="8" s="1"/>
  <c r="E1843" i="8" s="1"/>
  <c r="E1844" i="8" s="1"/>
  <c r="E1845" i="8" s="1"/>
  <c r="E1846" i="8" s="1"/>
  <c r="E1847" i="8" s="1"/>
  <c r="E1848" i="8" s="1"/>
  <c r="E1849" i="8" s="1"/>
  <c r="E1850" i="8" s="1"/>
  <c r="E1851" i="8" s="1"/>
  <c r="E1852" i="8" s="1"/>
  <c r="E1853" i="8" s="1"/>
  <c r="E1854" i="8" s="1"/>
  <c r="E1855" i="8" s="1"/>
  <c r="E1856" i="8" s="1"/>
  <c r="E1857" i="8" s="1"/>
  <c r="E1858" i="8" s="1"/>
  <c r="E1859" i="8" s="1"/>
  <c r="E1860" i="8" s="1"/>
  <c r="E1861" i="8" s="1"/>
  <c r="E1862" i="8" s="1"/>
  <c r="E1863" i="8" s="1"/>
  <c r="E1864" i="8" s="1"/>
  <c r="E1865" i="8" s="1"/>
  <c r="E1866" i="8" s="1"/>
  <c r="E1867" i="8" s="1"/>
  <c r="E1868" i="8" s="1"/>
  <c r="E1869" i="8" s="1"/>
  <c r="E1870" i="8" s="1"/>
  <c r="E1871" i="8" s="1"/>
  <c r="E1872" i="8" s="1"/>
  <c r="E1873" i="8" s="1"/>
  <c r="E1874" i="8" s="1"/>
  <c r="E1875" i="8" s="1"/>
  <c r="E1876" i="8" s="1"/>
  <c r="E1877" i="8" s="1"/>
  <c r="E1878" i="8" s="1"/>
  <c r="E1879" i="8" s="1"/>
  <c r="E1880" i="8" s="1"/>
  <c r="E1881" i="8" s="1"/>
  <c r="E1882" i="8" s="1"/>
  <c r="E1883" i="8" s="1"/>
  <c r="E1884" i="8" s="1"/>
  <c r="E1885" i="8" s="1"/>
  <c r="E1886" i="8" s="1"/>
  <c r="E1887" i="8" s="1"/>
  <c r="E1888" i="8" s="1"/>
  <c r="E1889" i="8" s="1"/>
  <c r="E1890" i="8" s="1"/>
  <c r="E1891" i="8" s="1"/>
  <c r="E1892" i="8" s="1"/>
  <c r="E1893" i="8" s="1"/>
  <c r="E1894" i="8" s="1"/>
  <c r="E1895" i="8" s="1"/>
  <c r="E1896" i="8" s="1"/>
  <c r="E1897" i="8" s="1"/>
  <c r="E1898" i="8" s="1"/>
  <c r="E1899" i="8" s="1"/>
  <c r="E1900" i="8" s="1"/>
  <c r="E1901" i="8" s="1"/>
  <c r="E1902" i="8" s="1"/>
  <c r="E1903" i="8" s="1"/>
  <c r="E1904" i="8" s="1"/>
  <c r="E1905" i="8" s="1"/>
  <c r="E1906" i="8" s="1"/>
  <c r="E1907" i="8" s="1"/>
  <c r="E1908" i="8" s="1"/>
  <c r="E1909" i="8" s="1"/>
  <c r="E1910" i="8" s="1"/>
  <c r="E1911" i="8" s="1"/>
  <c r="E1912" i="8" s="1"/>
  <c r="E1913" i="8" s="1"/>
  <c r="E1914" i="8" s="1"/>
  <c r="E1915" i="8" s="1"/>
  <c r="E1916" i="8" s="1"/>
  <c r="E1917" i="8" s="1"/>
  <c r="E1918" i="8" s="1"/>
  <c r="E1919" i="8" s="1"/>
  <c r="E1920" i="8" s="1"/>
  <c r="E1921" i="8" s="1"/>
  <c r="E1922" i="8" s="1"/>
  <c r="E1923" i="8" s="1"/>
  <c r="E1924" i="8" s="1"/>
  <c r="E1925" i="8" s="1"/>
  <c r="E1926" i="8" s="1"/>
  <c r="E1927" i="8" s="1"/>
  <c r="E1928" i="8" s="1"/>
  <c r="E1929" i="8" s="1"/>
  <c r="E1930" i="8" s="1"/>
  <c r="E1931" i="8" s="1"/>
  <c r="E1932" i="8" s="1"/>
  <c r="E1933" i="8" s="1"/>
  <c r="E1934" i="8" s="1"/>
  <c r="E1935" i="8" s="1"/>
  <c r="E1936" i="8" s="1"/>
  <c r="E1937" i="8" s="1"/>
  <c r="E1938" i="8" s="1"/>
  <c r="E1939" i="8" s="1"/>
  <c r="E1940" i="8" s="1"/>
  <c r="E1941" i="8" s="1"/>
  <c r="E1942" i="8" s="1"/>
  <c r="E1943" i="8" s="1"/>
  <c r="E1944" i="8" s="1"/>
  <c r="E1945" i="8" s="1"/>
  <c r="E1946" i="8" s="1"/>
  <c r="E1947" i="8" s="1"/>
  <c r="E1948" i="8" s="1"/>
  <c r="E1949" i="8" s="1"/>
  <c r="E1950" i="8" s="1"/>
  <c r="E1951" i="8" s="1"/>
  <c r="E1952" i="8" s="1"/>
  <c r="E1953" i="8" s="1"/>
  <c r="E1954" i="8" s="1"/>
  <c r="E1955" i="8" s="1"/>
  <c r="E1956" i="8" s="1"/>
  <c r="E1957" i="8" s="1"/>
  <c r="E1958" i="8" s="1"/>
  <c r="E1959" i="8" s="1"/>
  <c r="E1960" i="8" s="1"/>
  <c r="E1961" i="8" s="1"/>
  <c r="E1962" i="8" s="1"/>
  <c r="E1963" i="8" s="1"/>
  <c r="E1964" i="8" s="1"/>
  <c r="E1965" i="8" s="1"/>
  <c r="E1966" i="8" s="1"/>
  <c r="E1967" i="8" s="1"/>
  <c r="E1968" i="8" s="1"/>
  <c r="E1969" i="8" s="1"/>
  <c r="E1970" i="8" s="1"/>
  <c r="E1971" i="8" s="1"/>
  <c r="E1972" i="8" s="1"/>
  <c r="E1973" i="8" s="1"/>
  <c r="E1974" i="8" s="1"/>
  <c r="E1975" i="8" s="1"/>
  <c r="E1976" i="8" s="1"/>
  <c r="E1977" i="8" s="1"/>
  <c r="E1978" i="8" s="1"/>
  <c r="E1979" i="8" s="1"/>
  <c r="E1980" i="8" s="1"/>
  <c r="E1981" i="8" s="1"/>
  <c r="E1982" i="8" s="1"/>
  <c r="E1983" i="8" s="1"/>
  <c r="E1984" i="8" s="1"/>
  <c r="E1985" i="8" s="1"/>
  <c r="E1986" i="8" s="1"/>
  <c r="E1987" i="8" s="1"/>
  <c r="E1988" i="8" s="1"/>
  <c r="E1989" i="8" s="1"/>
  <c r="E1990" i="8" s="1"/>
  <c r="E1991" i="8" s="1"/>
  <c r="E1992" i="8" s="1"/>
  <c r="E1993" i="8" s="1"/>
  <c r="E1994" i="8" s="1"/>
  <c r="E1995" i="8" s="1"/>
  <c r="E1996" i="8" s="1"/>
  <c r="E1997" i="8" s="1"/>
  <c r="E1998" i="8" s="1"/>
  <c r="E1999" i="8" s="1"/>
  <c r="E2000" i="8" s="1"/>
  <c r="E2001" i="8" s="1"/>
  <c r="E2002" i="8" s="1"/>
  <c r="E2003" i="8" s="1"/>
  <c r="E2004" i="8" s="1"/>
  <c r="E2005" i="8" s="1"/>
  <c r="E2006" i="8" s="1"/>
  <c r="E2007" i="8" s="1"/>
  <c r="E2008" i="8" s="1"/>
  <c r="E2009" i="8" s="1"/>
  <c r="E2010" i="8" s="1"/>
  <c r="E2011" i="8" s="1"/>
  <c r="E2012" i="8" s="1"/>
  <c r="E2013" i="8" s="1"/>
  <c r="E2014" i="8" s="1"/>
  <c r="E2015" i="8" s="1"/>
  <c r="E2016" i="8" s="1"/>
  <c r="E2017" i="8" s="1"/>
  <c r="E2018" i="8" s="1"/>
  <c r="E2019" i="8" s="1"/>
  <c r="E2020" i="8" s="1"/>
  <c r="E2021" i="8" s="1"/>
  <c r="E2022" i="8" s="1"/>
  <c r="E2023" i="8" s="1"/>
  <c r="E2024" i="8" s="1"/>
  <c r="E2025" i="8" s="1"/>
  <c r="E2026" i="8" s="1"/>
  <c r="E2027" i="8" s="1"/>
  <c r="E2028" i="8" s="1"/>
  <c r="E2029" i="8" s="1"/>
  <c r="E2030" i="8" s="1"/>
  <c r="E2031" i="8" s="1"/>
  <c r="E2032" i="8" s="1"/>
  <c r="E2033" i="8" s="1"/>
  <c r="E2034" i="8" s="1"/>
  <c r="E2035" i="8" s="1"/>
  <c r="E2036" i="8" s="1"/>
  <c r="E2037" i="8" s="1"/>
  <c r="E2038" i="8" s="1"/>
  <c r="E2039" i="8" s="1"/>
  <c r="E2040" i="8" s="1"/>
  <c r="E2041" i="8" s="1"/>
  <c r="E2042" i="8" s="1"/>
  <c r="E2043" i="8" s="1"/>
  <c r="E2044" i="8" s="1"/>
  <c r="E2045" i="8" s="1"/>
  <c r="E2046" i="8" s="1"/>
  <c r="E2047" i="8" s="1"/>
  <c r="E2048" i="8" s="1"/>
  <c r="E2049" i="8" s="1"/>
  <c r="E2050" i="8" s="1"/>
  <c r="E2051" i="8" s="1"/>
  <c r="E2052" i="8" s="1"/>
  <c r="E2053" i="8" s="1"/>
  <c r="E2054" i="8" s="1"/>
  <c r="E2055" i="8" s="1"/>
  <c r="E2056" i="8" s="1"/>
  <c r="E2057" i="8" s="1"/>
  <c r="E2058" i="8" s="1"/>
  <c r="E2059" i="8" s="1"/>
  <c r="E2060" i="8" s="1"/>
  <c r="E2061" i="8" s="1"/>
  <c r="E2062" i="8" s="1"/>
  <c r="E2063" i="8" s="1"/>
  <c r="E2064" i="8" s="1"/>
  <c r="E2065" i="8" s="1"/>
  <c r="E2066" i="8" s="1"/>
  <c r="E2067" i="8" s="1"/>
  <c r="E2068" i="8" s="1"/>
  <c r="E2069" i="8" s="1"/>
  <c r="E2070" i="8" s="1"/>
  <c r="E2071" i="8" s="1"/>
  <c r="E2072" i="8" s="1"/>
  <c r="E2073" i="8" s="1"/>
  <c r="E2074" i="8" s="1"/>
  <c r="E2075" i="8" s="1"/>
  <c r="E2076" i="8" s="1"/>
  <c r="E2077" i="8" s="1"/>
  <c r="E2078" i="8" s="1"/>
  <c r="E2079" i="8" s="1"/>
  <c r="E2080" i="8" s="1"/>
  <c r="E2081" i="8" s="1"/>
  <c r="E2082" i="8" s="1"/>
  <c r="E2083" i="8" s="1"/>
  <c r="E2084" i="8" s="1"/>
  <c r="E2085" i="8" s="1"/>
  <c r="E2086" i="8" s="1"/>
  <c r="E2087" i="8" s="1"/>
  <c r="E2088" i="8" s="1"/>
  <c r="E2089" i="8" s="1"/>
  <c r="E2090" i="8" s="1"/>
  <c r="E2091" i="8" s="1"/>
  <c r="E2092" i="8" s="1"/>
  <c r="E2093" i="8" s="1"/>
  <c r="E2094" i="8" s="1"/>
  <c r="E2095" i="8" s="1"/>
  <c r="E2096" i="8" s="1"/>
  <c r="E2097" i="8" s="1"/>
  <c r="E2098" i="8" s="1"/>
  <c r="E2099" i="8" s="1"/>
  <c r="E2100" i="8" s="1"/>
  <c r="E2101" i="8" s="1"/>
  <c r="E2102" i="8" s="1"/>
  <c r="E2103" i="8" s="1"/>
  <c r="E2104" i="8" s="1"/>
  <c r="E2105" i="8" s="1"/>
  <c r="E2106" i="8" s="1"/>
  <c r="E2107" i="8" s="1"/>
  <c r="E2108" i="8" s="1"/>
  <c r="E2109" i="8" s="1"/>
  <c r="E2110" i="8" s="1"/>
  <c r="E2111" i="8" s="1"/>
  <c r="E2112" i="8" s="1"/>
  <c r="E2113" i="8" s="1"/>
  <c r="E2114" i="8" s="1"/>
  <c r="E2115" i="8" s="1"/>
  <c r="E2116" i="8" s="1"/>
  <c r="E2117" i="8" s="1"/>
  <c r="E2118" i="8" s="1"/>
  <c r="E2119" i="8" s="1"/>
  <c r="E2120" i="8" s="1"/>
  <c r="E2121" i="8" s="1"/>
  <c r="E2122" i="8" s="1"/>
  <c r="E2123" i="8" s="1"/>
  <c r="E2124" i="8" s="1"/>
  <c r="E2125" i="8" s="1"/>
  <c r="E2126" i="8" s="1"/>
  <c r="E2127" i="8" s="1"/>
  <c r="E2128" i="8" s="1"/>
  <c r="E2129" i="8" s="1"/>
  <c r="E2130" i="8" s="1"/>
  <c r="E2131" i="8" s="1"/>
  <c r="E2132" i="8" s="1"/>
  <c r="E2133" i="8" s="1"/>
  <c r="E2134" i="8" s="1"/>
  <c r="E2135" i="8" s="1"/>
  <c r="E2136" i="8" s="1"/>
  <c r="E2137" i="8" s="1"/>
  <c r="E2138" i="8" s="1"/>
  <c r="E2139" i="8" s="1"/>
  <c r="E2140" i="8" s="1"/>
  <c r="E2141" i="8" s="1"/>
  <c r="E2142" i="8" s="1"/>
  <c r="E2143" i="8" s="1"/>
  <c r="E2144" i="8" s="1"/>
  <c r="E2145" i="8" s="1"/>
  <c r="E2146" i="8" s="1"/>
  <c r="E2147" i="8" s="1"/>
  <c r="E2148" i="8" s="1"/>
  <c r="E2149" i="8" s="1"/>
  <c r="E2150" i="8" s="1"/>
  <c r="E2151" i="8" s="1"/>
  <c r="E2152" i="8" s="1"/>
  <c r="E2153" i="8" s="1"/>
  <c r="E2154" i="8" s="1"/>
  <c r="E2155" i="8" s="1"/>
  <c r="E2156" i="8" s="1"/>
  <c r="E2157" i="8" s="1"/>
  <c r="E2158" i="8" s="1"/>
  <c r="E2159" i="8" s="1"/>
  <c r="E2160" i="8" s="1"/>
  <c r="E2161" i="8" s="1"/>
  <c r="E2162" i="8" s="1"/>
  <c r="E2163" i="8" s="1"/>
  <c r="E2164" i="8" s="1"/>
  <c r="E2165" i="8" s="1"/>
  <c r="E2166" i="8" s="1"/>
  <c r="E2167" i="8" s="1"/>
  <c r="E2168" i="8" s="1"/>
  <c r="E2169" i="8" s="1"/>
  <c r="E2170" i="8" s="1"/>
  <c r="E2171" i="8" s="1"/>
  <c r="E2172" i="8" s="1"/>
  <c r="E2173" i="8" s="1"/>
  <c r="E2174" i="8" s="1"/>
  <c r="E2175" i="8" s="1"/>
  <c r="E2176" i="8" s="1"/>
  <c r="E2177" i="8" s="1"/>
  <c r="E2178" i="8" s="1"/>
  <c r="E2179" i="8" s="1"/>
  <c r="E2180" i="8" s="1"/>
  <c r="E2181" i="8" s="1"/>
  <c r="E2182" i="8" s="1"/>
  <c r="E2183" i="8" s="1"/>
  <c r="E2184" i="8" s="1"/>
  <c r="E2185" i="8" s="1"/>
  <c r="E2186" i="8" s="1"/>
  <c r="E2187" i="8" s="1"/>
  <c r="E2188" i="8" s="1"/>
  <c r="E2189" i="8" s="1"/>
  <c r="E2190" i="8" s="1"/>
  <c r="E2191" i="8" s="1"/>
  <c r="E2192" i="8" s="1"/>
  <c r="E2193" i="8" s="1"/>
  <c r="E2194" i="8" s="1"/>
  <c r="E2195" i="8" s="1"/>
  <c r="E2196" i="8" s="1"/>
  <c r="E2197" i="8" s="1"/>
  <c r="E2198" i="8" s="1"/>
  <c r="E2199" i="8" s="1"/>
  <c r="E2200" i="8" s="1"/>
  <c r="E2201" i="8" s="1"/>
  <c r="E2202" i="8" s="1"/>
  <c r="E2203" i="8" s="1"/>
  <c r="E2204" i="8" s="1"/>
  <c r="E2205" i="8" s="1"/>
  <c r="E2206" i="8" s="1"/>
  <c r="E2207" i="8" s="1"/>
  <c r="E2208" i="8" s="1"/>
  <c r="E2209" i="8" s="1"/>
  <c r="E2210" i="8" s="1"/>
  <c r="E2211" i="8" s="1"/>
  <c r="E2212" i="8" s="1"/>
  <c r="E2213" i="8" s="1"/>
  <c r="E2214" i="8" s="1"/>
  <c r="E2215" i="8" s="1"/>
  <c r="E2216" i="8" s="1"/>
  <c r="E2217" i="8" s="1"/>
  <c r="E2218" i="8" s="1"/>
  <c r="E2219" i="8" s="1"/>
  <c r="E2220" i="8" s="1"/>
  <c r="E2221" i="8" s="1"/>
  <c r="E2222" i="8" s="1"/>
  <c r="E2223" i="8" s="1"/>
  <c r="E2224" i="8" s="1"/>
  <c r="E2225" i="8" s="1"/>
  <c r="E2226" i="8" s="1"/>
  <c r="E2227" i="8" s="1"/>
  <c r="E2228" i="8" s="1"/>
  <c r="E2229" i="8" s="1"/>
  <c r="E2230" i="8" s="1"/>
  <c r="E2231" i="8" s="1"/>
  <c r="E2232" i="8" s="1"/>
  <c r="E2233" i="8" s="1"/>
  <c r="E2234" i="8" s="1"/>
  <c r="E2235" i="8" s="1"/>
  <c r="E2236" i="8" s="1"/>
  <c r="E2237" i="8" s="1"/>
  <c r="E2238" i="8" s="1"/>
  <c r="E2239" i="8" s="1"/>
  <c r="E2240" i="8" s="1"/>
  <c r="E2241" i="8" s="1"/>
  <c r="E2242" i="8" s="1"/>
  <c r="E2243" i="8" s="1"/>
  <c r="E2244" i="8" s="1"/>
  <c r="E2245" i="8" s="1"/>
  <c r="E2246" i="8" s="1"/>
  <c r="E2247" i="8" s="1"/>
  <c r="E2248" i="8" s="1"/>
  <c r="E2249" i="8" s="1"/>
  <c r="E2250" i="8" s="1"/>
  <c r="E2251" i="8" s="1"/>
  <c r="E2252" i="8" s="1"/>
  <c r="E2253" i="8" s="1"/>
  <c r="E2254" i="8" s="1"/>
  <c r="E2255" i="8" s="1"/>
  <c r="E2256" i="8" s="1"/>
  <c r="E2257" i="8" s="1"/>
  <c r="E2258" i="8" s="1"/>
  <c r="E2259" i="8" s="1"/>
  <c r="E2260" i="8" s="1"/>
  <c r="E2261" i="8" s="1"/>
  <c r="E2262" i="8" s="1"/>
  <c r="E2263" i="8" s="1"/>
  <c r="E2264" i="8" s="1"/>
  <c r="E2265" i="8" s="1"/>
  <c r="E2266" i="8" s="1"/>
  <c r="E2267" i="8" s="1"/>
  <c r="E2268" i="8" s="1"/>
  <c r="E2269" i="8" s="1"/>
  <c r="E2270" i="8" s="1"/>
  <c r="E2271" i="8" s="1"/>
  <c r="E2272" i="8" s="1"/>
  <c r="E2273" i="8" s="1"/>
  <c r="E2274" i="8" s="1"/>
  <c r="E2275" i="8" s="1"/>
  <c r="E2276" i="8" s="1"/>
  <c r="E2277" i="8" s="1"/>
  <c r="E2278" i="8" s="1"/>
  <c r="E2279" i="8" s="1"/>
  <c r="E2280" i="8" s="1"/>
  <c r="E2281" i="8" s="1"/>
  <c r="E2282" i="8" s="1"/>
  <c r="E2283" i="8" s="1"/>
  <c r="E2284" i="8" s="1"/>
  <c r="E2285" i="8" s="1"/>
  <c r="E2286" i="8" s="1"/>
  <c r="E2287" i="8" s="1"/>
  <c r="E2288" i="8" s="1"/>
  <c r="E2289" i="8" s="1"/>
  <c r="E2290" i="8" s="1"/>
  <c r="E2291" i="8" s="1"/>
  <c r="E2292" i="8" s="1"/>
  <c r="E2293" i="8" s="1"/>
  <c r="E2294" i="8" s="1"/>
  <c r="E2295" i="8" s="1"/>
  <c r="E2296" i="8" s="1"/>
  <c r="E2297" i="8" s="1"/>
  <c r="E2298" i="8" s="1"/>
  <c r="E2299" i="8" s="1"/>
  <c r="E2300" i="8" s="1"/>
  <c r="E2301" i="8" s="1"/>
  <c r="E2302" i="8" s="1"/>
  <c r="E2303" i="8" s="1"/>
  <c r="E2304" i="8" s="1"/>
  <c r="E2305" i="8" s="1"/>
  <c r="E2306" i="8" s="1"/>
  <c r="E2307" i="8" s="1"/>
  <c r="E2308" i="8" s="1"/>
  <c r="E2309" i="8" s="1"/>
  <c r="E2310" i="8" s="1"/>
  <c r="E2311" i="8" s="1"/>
  <c r="E2312" i="8" s="1"/>
  <c r="E2313" i="8" s="1"/>
  <c r="E2314" i="8" s="1"/>
  <c r="E2315" i="8" s="1"/>
  <c r="E2316" i="8" s="1"/>
  <c r="E2317" i="8" s="1"/>
  <c r="E2318" i="8" s="1"/>
  <c r="E2319" i="8" s="1"/>
  <c r="E2320" i="8" s="1"/>
  <c r="E2321" i="8" s="1"/>
  <c r="E2322" i="8" s="1"/>
  <c r="E2323" i="8" s="1"/>
  <c r="E2324" i="8" s="1"/>
  <c r="E2325" i="8" s="1"/>
  <c r="E2326" i="8" s="1"/>
  <c r="E2327" i="8" s="1"/>
  <c r="E2328" i="8" s="1"/>
  <c r="E2329" i="8" s="1"/>
  <c r="E2330" i="8" s="1"/>
  <c r="E2331" i="8" s="1"/>
  <c r="E2332" i="8" s="1"/>
  <c r="E2333" i="8" s="1"/>
  <c r="E2334" i="8" s="1"/>
  <c r="E2335" i="8" s="1"/>
  <c r="E2336" i="8" s="1"/>
  <c r="E2337" i="8" s="1"/>
  <c r="E2338" i="8" s="1"/>
  <c r="E2339" i="8" s="1"/>
  <c r="E2340" i="8" s="1"/>
  <c r="E2341" i="8" s="1"/>
  <c r="E2342" i="8" s="1"/>
  <c r="E2343" i="8" s="1"/>
  <c r="E2344" i="8" s="1"/>
  <c r="E2345" i="8" s="1"/>
  <c r="E2346" i="8" s="1"/>
  <c r="E2347" i="8" s="1"/>
  <c r="E2348" i="8" s="1"/>
  <c r="E2349" i="8" s="1"/>
  <c r="E2350" i="8" s="1"/>
  <c r="E2351" i="8" s="1"/>
  <c r="E2352" i="8" s="1"/>
  <c r="E2353" i="8" s="1"/>
  <c r="E2354" i="8" s="1"/>
  <c r="E2355" i="8" s="1"/>
  <c r="E2356" i="8" s="1"/>
  <c r="E2357" i="8" s="1"/>
  <c r="E2358" i="8" s="1"/>
  <c r="E2359" i="8" s="1"/>
  <c r="E2360" i="8" s="1"/>
  <c r="E2361" i="8" s="1"/>
  <c r="E2362" i="8" s="1"/>
  <c r="E2363" i="8" s="1"/>
  <c r="E2364" i="8" s="1"/>
  <c r="E2365" i="8" s="1"/>
  <c r="E2366" i="8" s="1"/>
  <c r="E2367" i="8" s="1"/>
  <c r="E2368" i="8" s="1"/>
  <c r="E2369" i="8" s="1"/>
  <c r="E2370" i="8" s="1"/>
  <c r="E2371" i="8" s="1"/>
  <c r="E2372" i="8" s="1"/>
  <c r="E2373" i="8" s="1"/>
  <c r="E2374" i="8" s="1"/>
  <c r="E2375" i="8" s="1"/>
  <c r="E2376" i="8" s="1"/>
  <c r="E2377" i="8" s="1"/>
  <c r="E2378" i="8" s="1"/>
  <c r="E2379" i="8" s="1"/>
  <c r="E2380" i="8" s="1"/>
  <c r="E2381" i="8" s="1"/>
  <c r="E2382" i="8" s="1"/>
  <c r="E2383" i="8" s="1"/>
  <c r="E2384" i="8" s="1"/>
  <c r="E2385" i="8" s="1"/>
  <c r="E2386" i="8" s="1"/>
  <c r="E2387" i="8" s="1"/>
  <c r="E2388" i="8" s="1"/>
  <c r="E2389" i="8" s="1"/>
  <c r="E2390" i="8" s="1"/>
  <c r="E2391" i="8" s="1"/>
  <c r="E2392" i="8" s="1"/>
  <c r="E2393" i="8" s="1"/>
  <c r="E2394" i="8" s="1"/>
  <c r="E2395" i="8" s="1"/>
  <c r="E2396" i="8" s="1"/>
  <c r="E2397" i="8" s="1"/>
  <c r="E2398" i="8" s="1"/>
  <c r="E2399" i="8" s="1"/>
  <c r="E2400" i="8" s="1"/>
  <c r="E2401" i="8" s="1"/>
  <c r="E2402" i="8" s="1"/>
  <c r="E2403" i="8" s="1"/>
  <c r="E2404" i="8" s="1"/>
  <c r="E2405" i="8" s="1"/>
  <c r="E2406" i="8" s="1"/>
  <c r="E2407" i="8" s="1"/>
  <c r="E2408" i="8" s="1"/>
  <c r="E2409" i="8" s="1"/>
  <c r="E2410" i="8" s="1"/>
  <c r="E2411" i="8" s="1"/>
  <c r="E2412" i="8" s="1"/>
  <c r="E2413" i="8" s="1"/>
  <c r="E2414" i="8" s="1"/>
  <c r="E2415" i="8" s="1"/>
  <c r="E2416" i="8" s="1"/>
  <c r="E2417" i="8" s="1"/>
  <c r="E2418" i="8" s="1"/>
  <c r="E2419" i="8" s="1"/>
  <c r="E2420" i="8" s="1"/>
  <c r="E2421" i="8" s="1"/>
  <c r="E2422" i="8" s="1"/>
  <c r="E2423" i="8" s="1"/>
  <c r="E2424" i="8" s="1"/>
  <c r="E2425" i="8" s="1"/>
  <c r="E2426" i="8" s="1"/>
  <c r="E2427" i="8" s="1"/>
  <c r="E2428" i="8" s="1"/>
  <c r="E2429" i="8" s="1"/>
  <c r="E2430" i="8" s="1"/>
  <c r="E2431" i="8" s="1"/>
  <c r="E2432" i="8" s="1"/>
  <c r="E2433" i="8" s="1"/>
  <c r="E2434" i="8" s="1"/>
  <c r="E2435" i="8" s="1"/>
  <c r="E2436" i="8" s="1"/>
  <c r="E2437" i="8" s="1"/>
  <c r="E2438" i="8" s="1"/>
  <c r="E2439" i="8" s="1"/>
  <c r="E2440" i="8" s="1"/>
  <c r="E2441" i="8" s="1"/>
  <c r="E2442" i="8" s="1"/>
  <c r="E2443" i="8" s="1"/>
  <c r="E2444" i="8" s="1"/>
  <c r="E2445" i="8" s="1"/>
  <c r="E2446" i="8" s="1"/>
  <c r="E2447" i="8" s="1"/>
  <c r="E2448" i="8" s="1"/>
  <c r="E2449" i="8" s="1"/>
  <c r="E2450" i="8" s="1"/>
  <c r="E2451" i="8" s="1"/>
  <c r="E2452" i="8" s="1"/>
  <c r="E2453" i="8" s="1"/>
  <c r="E2454" i="8" s="1"/>
  <c r="E2455" i="8" s="1"/>
  <c r="E2456" i="8" s="1"/>
  <c r="E2457" i="8" s="1"/>
  <c r="E2458" i="8" s="1"/>
  <c r="E2459" i="8" s="1"/>
  <c r="E2460" i="8" s="1"/>
  <c r="E2461" i="8" s="1"/>
  <c r="E2462" i="8" s="1"/>
  <c r="E2463" i="8" s="1"/>
  <c r="E2464" i="8" s="1"/>
  <c r="E2465" i="8" s="1"/>
  <c r="E2466" i="8" s="1"/>
  <c r="E2467" i="8" s="1"/>
  <c r="E2468" i="8" s="1"/>
  <c r="E2469" i="8" s="1"/>
  <c r="E2470" i="8" s="1"/>
  <c r="E2471" i="8" s="1"/>
  <c r="E2472" i="8" s="1"/>
  <c r="E2473" i="8" s="1"/>
  <c r="E2474" i="8" s="1"/>
  <c r="E2475" i="8" s="1"/>
  <c r="E2476" i="8" s="1"/>
  <c r="E2477" i="8" s="1"/>
  <c r="E2478" i="8" s="1"/>
  <c r="E2479" i="8" s="1"/>
  <c r="E2480" i="8" s="1"/>
  <c r="E2481" i="8" s="1"/>
  <c r="E2482" i="8" s="1"/>
  <c r="E2483" i="8" s="1"/>
  <c r="E2484" i="8" s="1"/>
  <c r="E2485" i="8" s="1"/>
  <c r="E2486" i="8" s="1"/>
  <c r="E2487" i="8" s="1"/>
  <c r="E2488" i="8" s="1"/>
  <c r="E2489" i="8" s="1"/>
  <c r="E2490" i="8" s="1"/>
  <c r="E2491" i="8" s="1"/>
  <c r="E2492" i="8" s="1"/>
  <c r="E2493" i="8" s="1"/>
  <c r="E2494" i="8" s="1"/>
  <c r="E2495" i="8" s="1"/>
  <c r="E2496" i="8" s="1"/>
  <c r="E2497" i="8" s="1"/>
  <c r="E2498" i="8" s="1"/>
  <c r="E2499" i="8" s="1"/>
  <c r="E2500" i="8" s="1"/>
  <c r="E2501" i="8" s="1"/>
  <c r="E2502" i="8" s="1"/>
  <c r="E2503" i="8" s="1"/>
  <c r="E2504" i="8" s="1"/>
  <c r="E2505" i="8" s="1"/>
  <c r="E2506" i="8" s="1"/>
  <c r="E2507" i="8" s="1"/>
  <c r="E2508" i="8" s="1"/>
  <c r="E2509" i="8" s="1"/>
  <c r="E2510" i="8" s="1"/>
  <c r="E2511" i="8" s="1"/>
  <c r="E2512" i="8" s="1"/>
  <c r="E2513" i="8" s="1"/>
  <c r="E2514" i="8" s="1"/>
  <c r="E2515" i="8" s="1"/>
  <c r="E2516" i="8" s="1"/>
  <c r="E2517" i="8" s="1"/>
  <c r="E2518" i="8" s="1"/>
  <c r="E2519" i="8" s="1"/>
  <c r="E2520" i="8" s="1"/>
  <c r="E2521" i="8" s="1"/>
  <c r="E2522" i="8" s="1"/>
  <c r="E2523" i="8" s="1"/>
  <c r="E2524" i="8" s="1"/>
  <c r="E2525" i="8" s="1"/>
  <c r="E2526" i="8" s="1"/>
  <c r="E2527" i="8" s="1"/>
  <c r="E2528" i="8" s="1"/>
  <c r="E2529" i="8" s="1"/>
  <c r="E2530" i="8" s="1"/>
  <c r="E2531" i="8" s="1"/>
  <c r="E2532" i="8" s="1"/>
  <c r="E2533" i="8" s="1"/>
  <c r="E2534" i="8" s="1"/>
  <c r="E2535" i="8" s="1"/>
  <c r="E2536" i="8" s="1"/>
  <c r="E2537" i="8" s="1"/>
  <c r="E2538" i="8" s="1"/>
  <c r="E2539" i="8" s="1"/>
  <c r="E2540" i="8" s="1"/>
  <c r="E2541" i="8" s="1"/>
  <c r="E2542" i="8" s="1"/>
  <c r="E2543" i="8" s="1"/>
  <c r="E2544" i="8" s="1"/>
  <c r="E2545" i="8" s="1"/>
  <c r="E2546" i="8" s="1"/>
  <c r="E2547" i="8" s="1"/>
  <c r="E2548" i="8" s="1"/>
  <c r="E2549" i="8" s="1"/>
  <c r="E2550" i="8" s="1"/>
  <c r="E2551" i="8" s="1"/>
  <c r="E2552" i="8" s="1"/>
  <c r="E2553" i="8" s="1"/>
  <c r="E2554" i="8" s="1"/>
  <c r="E2555" i="8" s="1"/>
  <c r="E2556" i="8" s="1"/>
  <c r="E2557" i="8" s="1"/>
  <c r="E2558" i="8" s="1"/>
  <c r="E2559" i="8" s="1"/>
  <c r="E2560" i="8" s="1"/>
  <c r="E2561" i="8" s="1"/>
  <c r="E2562" i="8" s="1"/>
  <c r="E2563" i="8" s="1"/>
  <c r="E2564" i="8" s="1"/>
  <c r="E2565" i="8" s="1"/>
  <c r="E2566" i="8" s="1"/>
  <c r="E2567" i="8" s="1"/>
  <c r="E2568" i="8" s="1"/>
  <c r="E2569" i="8" s="1"/>
  <c r="E2570" i="8" s="1"/>
  <c r="E2571" i="8" s="1"/>
  <c r="E2572" i="8" s="1"/>
  <c r="E2573" i="8" s="1"/>
  <c r="E2574" i="8" s="1"/>
  <c r="E2575" i="8" s="1"/>
  <c r="E2576" i="8" s="1"/>
  <c r="E2577" i="8" s="1"/>
  <c r="E2578" i="8" s="1"/>
  <c r="E2579" i="8" s="1"/>
  <c r="E2580" i="8" s="1"/>
  <c r="E2581" i="8" s="1"/>
  <c r="E2582" i="8" s="1"/>
  <c r="E2583" i="8" s="1"/>
  <c r="E2584" i="8" s="1"/>
  <c r="E2585" i="8" s="1"/>
  <c r="E2586" i="8" s="1"/>
  <c r="E2587" i="8" s="1"/>
  <c r="E2588" i="8" s="1"/>
  <c r="E2589" i="8" s="1"/>
  <c r="E2590" i="8" s="1"/>
  <c r="E2591" i="8" s="1"/>
  <c r="E2592" i="8" s="1"/>
  <c r="E2593" i="8" s="1"/>
  <c r="E2594" i="8" s="1"/>
  <c r="E2595" i="8" s="1"/>
  <c r="E2596" i="8" s="1"/>
  <c r="E2597" i="8" s="1"/>
  <c r="E2598" i="8" s="1"/>
  <c r="E2599" i="8" s="1"/>
  <c r="E2600" i="8" s="1"/>
  <c r="E2601" i="8" s="1"/>
  <c r="E2602" i="8" s="1"/>
  <c r="E2603" i="8" s="1"/>
  <c r="E2604" i="8" s="1"/>
  <c r="E2605" i="8" s="1"/>
  <c r="E2606" i="8" s="1"/>
  <c r="E2607" i="8" s="1"/>
  <c r="E2608" i="8" s="1"/>
  <c r="E2609" i="8" s="1"/>
  <c r="E2610" i="8" s="1"/>
  <c r="E2611" i="8" s="1"/>
  <c r="E2612" i="8" s="1"/>
  <c r="E2613" i="8" s="1"/>
  <c r="E2614" i="8" s="1"/>
  <c r="E2615" i="8" s="1"/>
  <c r="E2616" i="8" s="1"/>
  <c r="E2617" i="8" s="1"/>
  <c r="E2618" i="8" s="1"/>
  <c r="E2619" i="8" s="1"/>
  <c r="E2620" i="8" s="1"/>
  <c r="E2621" i="8" s="1"/>
  <c r="E2622" i="8" s="1"/>
  <c r="E2623" i="8" s="1"/>
  <c r="E2624" i="8" s="1"/>
  <c r="E2625" i="8" s="1"/>
  <c r="E2626" i="8" s="1"/>
  <c r="E2627" i="8" s="1"/>
  <c r="E2628" i="8" s="1"/>
  <c r="E2629" i="8" s="1"/>
  <c r="E2630" i="8" s="1"/>
  <c r="E2631" i="8" s="1"/>
  <c r="E2632" i="8" s="1"/>
  <c r="E2633" i="8" s="1"/>
  <c r="E2634" i="8" s="1"/>
  <c r="E2635" i="8" s="1"/>
  <c r="E2636" i="8" s="1"/>
  <c r="E2637" i="8" s="1"/>
  <c r="E2638" i="8" s="1"/>
  <c r="E2639" i="8" s="1"/>
  <c r="E2640" i="8" s="1"/>
  <c r="E2641" i="8" s="1"/>
  <c r="E2642" i="8" s="1"/>
  <c r="E2643" i="8" s="1"/>
  <c r="E2644" i="8" s="1"/>
  <c r="E2645" i="8" s="1"/>
  <c r="E2646" i="8" s="1"/>
  <c r="E2647" i="8" s="1"/>
  <c r="E2648" i="8" s="1"/>
  <c r="E2649" i="8" s="1"/>
  <c r="E2650" i="8" s="1"/>
  <c r="E2651" i="8" s="1"/>
  <c r="E2652" i="8" s="1"/>
  <c r="E2653" i="8" s="1"/>
  <c r="E2654" i="8" s="1"/>
  <c r="E2655" i="8" s="1"/>
  <c r="E2656" i="8" s="1"/>
  <c r="E2657" i="8" s="1"/>
  <c r="E2658" i="8" s="1"/>
  <c r="E2659" i="8" s="1"/>
  <c r="E2660" i="8" s="1"/>
  <c r="E2661" i="8" s="1"/>
  <c r="E2662" i="8" s="1"/>
  <c r="E2663" i="8" s="1"/>
  <c r="E2664" i="8" s="1"/>
  <c r="E2665" i="8" s="1"/>
  <c r="E2666" i="8" s="1"/>
  <c r="E2667" i="8" s="1"/>
  <c r="E2668" i="8" s="1"/>
  <c r="E2669" i="8" s="1"/>
  <c r="E2670" i="8" s="1"/>
  <c r="E2671" i="8" s="1"/>
  <c r="E2672" i="8" s="1"/>
  <c r="E2673" i="8" s="1"/>
  <c r="E2674" i="8" s="1"/>
  <c r="E2675" i="8" s="1"/>
  <c r="E2676" i="8" s="1"/>
  <c r="E2677" i="8" s="1"/>
  <c r="E2678" i="8" s="1"/>
  <c r="E2679" i="8" s="1"/>
  <c r="E2680" i="8" s="1"/>
  <c r="E2681" i="8" s="1"/>
  <c r="E2682" i="8" s="1"/>
  <c r="E2683" i="8" s="1"/>
  <c r="E2684" i="8" s="1"/>
  <c r="E2685" i="8" s="1"/>
  <c r="E2686" i="8" s="1"/>
  <c r="E2687" i="8" s="1"/>
  <c r="E2688" i="8" s="1"/>
  <c r="E2689" i="8" s="1"/>
  <c r="E2690" i="8" s="1"/>
  <c r="E2691" i="8" s="1"/>
  <c r="E2692" i="8" s="1"/>
  <c r="E2693" i="8" s="1"/>
  <c r="E2694" i="8" s="1"/>
  <c r="E2695" i="8" s="1"/>
  <c r="E2696" i="8" s="1"/>
  <c r="E2697" i="8" s="1"/>
  <c r="E2698" i="8" s="1"/>
  <c r="E2699" i="8" s="1"/>
  <c r="E2700" i="8" s="1"/>
  <c r="E2701" i="8" s="1"/>
  <c r="E2702" i="8" s="1"/>
  <c r="E2703" i="8" s="1"/>
  <c r="E2704" i="8" s="1"/>
  <c r="E2705" i="8" s="1"/>
  <c r="E2706" i="8" s="1"/>
  <c r="E2707" i="8" s="1"/>
  <c r="E2708" i="8" s="1"/>
  <c r="E2709" i="8" s="1"/>
  <c r="E2710" i="8" s="1"/>
  <c r="E2711" i="8" s="1"/>
  <c r="E2712" i="8" s="1"/>
  <c r="E2713" i="8" s="1"/>
  <c r="E2714" i="8" s="1"/>
  <c r="E2715" i="8" s="1"/>
  <c r="E2716" i="8" s="1"/>
  <c r="E2717" i="8" s="1"/>
  <c r="E2718" i="8" s="1"/>
  <c r="E2719" i="8" s="1"/>
  <c r="E2720" i="8" s="1"/>
  <c r="E2721" i="8" s="1"/>
  <c r="E2722" i="8" s="1"/>
  <c r="E2723" i="8" s="1"/>
  <c r="E2724" i="8" s="1"/>
  <c r="E2725" i="8" s="1"/>
  <c r="E2726" i="8" s="1"/>
  <c r="E2727" i="8" s="1"/>
  <c r="E2728" i="8" s="1"/>
  <c r="E2729" i="8" s="1"/>
  <c r="E2730" i="8" s="1"/>
  <c r="E2731" i="8" s="1"/>
  <c r="E2732" i="8" s="1"/>
  <c r="E2733" i="8" s="1"/>
  <c r="E2734" i="8" s="1"/>
  <c r="E2735" i="8" s="1"/>
  <c r="E2736" i="8" s="1"/>
  <c r="E2737" i="8" s="1"/>
  <c r="E2738" i="8" s="1"/>
  <c r="E2739" i="8" s="1"/>
  <c r="E2740" i="8" s="1"/>
  <c r="E2741" i="8" s="1"/>
  <c r="E2742" i="8" s="1"/>
  <c r="E2743" i="8" s="1"/>
  <c r="E2744" i="8" s="1"/>
  <c r="E2745" i="8" s="1"/>
  <c r="E2746" i="8" s="1"/>
  <c r="E2747" i="8" s="1"/>
  <c r="E2748" i="8" s="1"/>
  <c r="E2749" i="8" s="1"/>
  <c r="E2750" i="8" s="1"/>
  <c r="E2751" i="8" s="1"/>
  <c r="E2752" i="8" s="1"/>
  <c r="E2753" i="8" s="1"/>
  <c r="E2754" i="8" s="1"/>
  <c r="E2755" i="8" s="1"/>
  <c r="E2756" i="8" s="1"/>
  <c r="E2757" i="8" s="1"/>
  <c r="E2758" i="8" s="1"/>
  <c r="E2759" i="8" s="1"/>
  <c r="E2760" i="8" s="1"/>
  <c r="E2761" i="8" s="1"/>
  <c r="E2762" i="8" s="1"/>
  <c r="E2763" i="8" s="1"/>
  <c r="E2764" i="8" s="1"/>
  <c r="E2765" i="8" s="1"/>
  <c r="E2766" i="8" s="1"/>
  <c r="E2767" i="8" s="1"/>
  <c r="E2768" i="8" s="1"/>
  <c r="E2769" i="8" s="1"/>
  <c r="E2770" i="8" s="1"/>
  <c r="E2771" i="8" s="1"/>
  <c r="E2772" i="8" s="1"/>
  <c r="E2773" i="8" s="1"/>
  <c r="E2774" i="8" s="1"/>
  <c r="E2775" i="8" s="1"/>
  <c r="E2776" i="8" s="1"/>
  <c r="E2777" i="8" s="1"/>
  <c r="E2778" i="8" s="1"/>
  <c r="E2779" i="8" s="1"/>
  <c r="E2780" i="8" s="1"/>
  <c r="E2781" i="8" s="1"/>
  <c r="E2782" i="8" s="1"/>
  <c r="E2783" i="8" s="1"/>
  <c r="E2784" i="8" s="1"/>
  <c r="E2785" i="8" s="1"/>
  <c r="E2786" i="8" s="1"/>
  <c r="E2787" i="8" s="1"/>
  <c r="E2788" i="8" s="1"/>
  <c r="E2789" i="8" s="1"/>
  <c r="E2790" i="8" s="1"/>
  <c r="E2791" i="8" s="1"/>
  <c r="E2792" i="8" s="1"/>
  <c r="E2793" i="8" s="1"/>
  <c r="E2794" i="8" s="1"/>
  <c r="E2795" i="8" s="1"/>
  <c r="E2796" i="8" s="1"/>
  <c r="E2797" i="8" s="1"/>
  <c r="E2798" i="8" s="1"/>
  <c r="E2799" i="8" s="1"/>
  <c r="E2800" i="8" s="1"/>
  <c r="E2801" i="8" s="1"/>
  <c r="E2802" i="8" s="1"/>
  <c r="E2803" i="8" s="1"/>
  <c r="E2804" i="8" s="1"/>
  <c r="E2805" i="8" s="1"/>
  <c r="E2806" i="8" s="1"/>
  <c r="E2807" i="8" s="1"/>
  <c r="E2808" i="8" s="1"/>
  <c r="E2809" i="8" s="1"/>
  <c r="E2810" i="8" s="1"/>
  <c r="E2811" i="8" s="1"/>
  <c r="E2812" i="8" s="1"/>
  <c r="E2813" i="8" s="1"/>
  <c r="E2814" i="8" s="1"/>
  <c r="E2815" i="8" s="1"/>
  <c r="E2816" i="8" s="1"/>
  <c r="E2817" i="8" s="1"/>
  <c r="E2818" i="8" s="1"/>
  <c r="E2819" i="8" s="1"/>
  <c r="E2820" i="8" s="1"/>
  <c r="E2821" i="8" s="1"/>
  <c r="E2822" i="8" s="1"/>
  <c r="E2823" i="8" s="1"/>
  <c r="E2824" i="8" s="1"/>
  <c r="E2825" i="8" s="1"/>
  <c r="E2826" i="8" s="1"/>
  <c r="E2827" i="8" s="1"/>
  <c r="E2828" i="8" s="1"/>
  <c r="E2829" i="8" s="1"/>
  <c r="E2830" i="8" s="1"/>
  <c r="E2831" i="8" s="1"/>
  <c r="E2832" i="8" s="1"/>
  <c r="E2833" i="8" s="1"/>
  <c r="E2834" i="8" s="1"/>
  <c r="E2835" i="8" s="1"/>
  <c r="E2836" i="8" s="1"/>
  <c r="E2837" i="8" s="1"/>
  <c r="E2838" i="8" s="1"/>
  <c r="E2839" i="8" s="1"/>
  <c r="E2840" i="8" s="1"/>
  <c r="E2841" i="8" s="1"/>
  <c r="E2842" i="8" s="1"/>
  <c r="E2843" i="8" s="1"/>
  <c r="E2844" i="8" s="1"/>
  <c r="E2845" i="8" s="1"/>
  <c r="E2846" i="8" s="1"/>
  <c r="E2847" i="8" s="1"/>
  <c r="E2848" i="8" s="1"/>
  <c r="E2849" i="8" s="1"/>
  <c r="E2850" i="8" s="1"/>
  <c r="E2851" i="8" s="1"/>
  <c r="E2852" i="8" s="1"/>
  <c r="E2853" i="8" s="1"/>
  <c r="E2854" i="8" s="1"/>
  <c r="E2855" i="8" s="1"/>
  <c r="E2856" i="8" s="1"/>
  <c r="E2857" i="8" s="1"/>
  <c r="E2858" i="8" s="1"/>
  <c r="E2859" i="8" s="1"/>
  <c r="E2860" i="8" s="1"/>
  <c r="E2861" i="8" s="1"/>
  <c r="E2862" i="8" s="1"/>
  <c r="E2863" i="8" s="1"/>
  <c r="E2864" i="8" s="1"/>
  <c r="E2865" i="8" s="1"/>
  <c r="E2866" i="8" s="1"/>
  <c r="E2867" i="8" s="1"/>
  <c r="E2868" i="8" s="1"/>
  <c r="E2869" i="8" s="1"/>
  <c r="E2870" i="8" s="1"/>
  <c r="E2871" i="8" s="1"/>
  <c r="E2872" i="8" s="1"/>
  <c r="E2873" i="8" s="1"/>
  <c r="E2874" i="8" s="1"/>
  <c r="E2875" i="8" s="1"/>
  <c r="E2876" i="8" s="1"/>
  <c r="E2877" i="8" s="1"/>
  <c r="E2878" i="8" s="1"/>
  <c r="E2879" i="8" s="1"/>
  <c r="E2880" i="8" s="1"/>
  <c r="E2881" i="8" s="1"/>
  <c r="E2882" i="8" s="1"/>
  <c r="E2883" i="8" s="1"/>
  <c r="E2884" i="8" s="1"/>
  <c r="E2885" i="8" s="1"/>
  <c r="E2886" i="8" s="1"/>
  <c r="E2887" i="8" s="1"/>
  <c r="E2888" i="8" s="1"/>
  <c r="E2889" i="8" s="1"/>
  <c r="E2890" i="8" s="1"/>
  <c r="E2891" i="8" s="1"/>
  <c r="E2892" i="8" s="1"/>
  <c r="E2893" i="8" s="1"/>
  <c r="E2894" i="8" s="1"/>
  <c r="E2895" i="8" s="1"/>
  <c r="E2896" i="8" s="1"/>
  <c r="E2897" i="8" s="1"/>
  <c r="E2898" i="8" s="1"/>
  <c r="E2899" i="8" s="1"/>
  <c r="E2900" i="8" s="1"/>
  <c r="E2901" i="8" s="1"/>
  <c r="E2902" i="8" s="1"/>
  <c r="E2903" i="8" s="1"/>
  <c r="E2904" i="8" s="1"/>
  <c r="E2905" i="8" s="1"/>
  <c r="E2906" i="8" s="1"/>
  <c r="E2907" i="8" s="1"/>
  <c r="E2908" i="8" s="1"/>
  <c r="E2909" i="8" s="1"/>
  <c r="E2910" i="8" s="1"/>
  <c r="E2911" i="8" s="1"/>
  <c r="E2912" i="8" s="1"/>
  <c r="E2913" i="8" s="1"/>
  <c r="E2914" i="8" s="1"/>
  <c r="E2915" i="8" s="1"/>
  <c r="E2916" i="8" s="1"/>
  <c r="E2917" i="8" s="1"/>
  <c r="E2918" i="8" s="1"/>
  <c r="E2919" i="8" s="1"/>
  <c r="E2920" i="8" s="1"/>
  <c r="E2921" i="8" s="1"/>
  <c r="E2922" i="8" s="1"/>
  <c r="E2923" i="8" s="1"/>
  <c r="E2924" i="8" s="1"/>
  <c r="E2925" i="8" s="1"/>
  <c r="E2926" i="8" s="1"/>
  <c r="E2927" i="8" s="1"/>
  <c r="E2928" i="8" s="1"/>
  <c r="E2929" i="8" s="1"/>
  <c r="E2930" i="8" s="1"/>
  <c r="E2931" i="8" s="1"/>
  <c r="E2932" i="8" s="1"/>
  <c r="E2933" i="8" s="1"/>
  <c r="E2934" i="8" s="1"/>
  <c r="E2935" i="8" s="1"/>
  <c r="E2936" i="8" s="1"/>
  <c r="E2937" i="8" s="1"/>
  <c r="E2938" i="8" s="1"/>
  <c r="E2939" i="8" s="1"/>
  <c r="E2940" i="8" s="1"/>
  <c r="E2941" i="8" s="1"/>
  <c r="E2942" i="8" s="1"/>
  <c r="E2943" i="8" s="1"/>
  <c r="E2944" i="8" s="1"/>
  <c r="E2945" i="8" s="1"/>
  <c r="E2946" i="8" s="1"/>
  <c r="E2947" i="8" s="1"/>
  <c r="E2948" i="8" s="1"/>
  <c r="E2949" i="8" s="1"/>
  <c r="E2950" i="8" s="1"/>
  <c r="E2951" i="8" s="1"/>
  <c r="E2952" i="8" s="1"/>
  <c r="E2953" i="8" s="1"/>
  <c r="E2954" i="8" s="1"/>
  <c r="E2955" i="8" s="1"/>
  <c r="E2956" i="8" s="1"/>
  <c r="E2957" i="8" s="1"/>
  <c r="E2958" i="8" s="1"/>
  <c r="E2959" i="8" s="1"/>
  <c r="E2960" i="8" s="1"/>
  <c r="E2961" i="8" s="1"/>
  <c r="E2962" i="8" s="1"/>
  <c r="E2963" i="8" s="1"/>
  <c r="E2964" i="8" s="1"/>
  <c r="E2965" i="8" s="1"/>
  <c r="E2966" i="8" s="1"/>
  <c r="E2967" i="8" s="1"/>
  <c r="E2968" i="8" s="1"/>
  <c r="E2969" i="8" s="1"/>
  <c r="E2970" i="8" s="1"/>
  <c r="E2971" i="8" s="1"/>
  <c r="E2972" i="8" s="1"/>
  <c r="E2973" i="8" s="1"/>
  <c r="E2974" i="8" s="1"/>
  <c r="E2975" i="8" s="1"/>
  <c r="E2976" i="8" s="1"/>
  <c r="E2977" i="8" s="1"/>
  <c r="E2978" i="8" s="1"/>
  <c r="E2979" i="8" s="1"/>
  <c r="E2980" i="8" s="1"/>
  <c r="E2981" i="8" s="1"/>
  <c r="E2982" i="8" s="1"/>
  <c r="E2983" i="8" s="1"/>
  <c r="E2984" i="8" s="1"/>
  <c r="E2985" i="8" s="1"/>
  <c r="E2986" i="8" s="1"/>
  <c r="E2987" i="8" s="1"/>
  <c r="E2988" i="8" s="1"/>
  <c r="E2989" i="8" s="1"/>
  <c r="E2990" i="8" s="1"/>
  <c r="E2991" i="8" s="1"/>
  <c r="E2992" i="8" s="1"/>
  <c r="E2993" i="8" s="1"/>
  <c r="E2994" i="8" s="1"/>
  <c r="E2995" i="8" s="1"/>
  <c r="E2996" i="8" s="1"/>
  <c r="E2997" i="8" s="1"/>
  <c r="E2998" i="8" s="1"/>
  <c r="E2999" i="8" s="1"/>
  <c r="E3000" i="8" s="1"/>
  <c r="E3001" i="8" s="1"/>
  <c r="E3002" i="8" s="1"/>
  <c r="E3003" i="8" s="1"/>
  <c r="E3004" i="8" s="1"/>
  <c r="E3005" i="8" s="1"/>
  <c r="E3006" i="8" s="1"/>
  <c r="E3007" i="8" s="1"/>
  <c r="E3008" i="8" s="1"/>
  <c r="E3009" i="8" s="1"/>
  <c r="E3010" i="8" s="1"/>
  <c r="E3011" i="8" s="1"/>
  <c r="E3012" i="8" s="1"/>
  <c r="E3013" i="8" s="1"/>
  <c r="E3014" i="8" s="1"/>
  <c r="E3015" i="8" s="1"/>
  <c r="E3016" i="8" s="1"/>
  <c r="E3017" i="8" s="1"/>
  <c r="E3018" i="8" s="1"/>
  <c r="E3019" i="8" s="1"/>
  <c r="E3020" i="8" s="1"/>
  <c r="E3021" i="8" s="1"/>
  <c r="E3022" i="8" s="1"/>
  <c r="E3023" i="8" s="1"/>
  <c r="E3024" i="8" s="1"/>
  <c r="E3025" i="8" s="1"/>
  <c r="E3026" i="8" s="1"/>
  <c r="E3027" i="8" s="1"/>
  <c r="E3028" i="8" s="1"/>
  <c r="E3029" i="8" s="1"/>
  <c r="E3030" i="8" s="1"/>
  <c r="E3031" i="8" s="1"/>
  <c r="E3032" i="8" s="1"/>
  <c r="E3033" i="8" s="1"/>
  <c r="E3034" i="8" s="1"/>
  <c r="E3035" i="8" s="1"/>
  <c r="E3036" i="8" s="1"/>
  <c r="E3037" i="8" s="1"/>
  <c r="E3038" i="8" s="1"/>
  <c r="E3039" i="8" s="1"/>
  <c r="E3040" i="8" s="1"/>
  <c r="E3041" i="8" s="1"/>
  <c r="E3042" i="8" s="1"/>
  <c r="E3043" i="8" s="1"/>
  <c r="E3044" i="8" s="1"/>
  <c r="E3045" i="8" s="1"/>
  <c r="E3046" i="8" s="1"/>
  <c r="E3047" i="8" s="1"/>
  <c r="E3048" i="8" s="1"/>
  <c r="E3049" i="8" s="1"/>
  <c r="E3050" i="8" s="1"/>
  <c r="E3051" i="8" s="1"/>
  <c r="E3052" i="8" s="1"/>
  <c r="E3053" i="8" s="1"/>
  <c r="E3054" i="8" s="1"/>
  <c r="E3055" i="8" s="1"/>
  <c r="E3056" i="8" s="1"/>
  <c r="E3057" i="8" s="1"/>
  <c r="E3058" i="8" s="1"/>
  <c r="E3059" i="8" s="1"/>
  <c r="E3060" i="8" s="1"/>
  <c r="E3061" i="8" s="1"/>
  <c r="E3062" i="8" s="1"/>
  <c r="E3063" i="8" s="1"/>
  <c r="E3064" i="8" s="1"/>
  <c r="E3065" i="8" s="1"/>
  <c r="E3066" i="8" s="1"/>
  <c r="E3067" i="8" s="1"/>
  <c r="E3068" i="8" s="1"/>
  <c r="E3069" i="8" s="1"/>
  <c r="E3070" i="8" s="1"/>
  <c r="E3071" i="8" s="1"/>
  <c r="E3072" i="8" s="1"/>
  <c r="E3073" i="8" s="1"/>
  <c r="E3074" i="8" s="1"/>
  <c r="E3075" i="8" s="1"/>
  <c r="E3076" i="8" s="1"/>
  <c r="E3077" i="8" s="1"/>
  <c r="E3078" i="8" s="1"/>
  <c r="E3079" i="8" s="1"/>
  <c r="E3080" i="8" s="1"/>
  <c r="E3081" i="8" s="1"/>
  <c r="E3082" i="8" s="1"/>
  <c r="E3083" i="8" s="1"/>
  <c r="E3084" i="8" s="1"/>
  <c r="E3085" i="8" s="1"/>
  <c r="E3086" i="8" s="1"/>
  <c r="E3087" i="8" s="1"/>
  <c r="E3088" i="8" s="1"/>
  <c r="E3089" i="8" s="1"/>
  <c r="E3090" i="8" s="1"/>
  <c r="E3091" i="8" s="1"/>
  <c r="E3092" i="8" s="1"/>
  <c r="E3093" i="8" s="1"/>
  <c r="E3094" i="8" s="1"/>
  <c r="E3095" i="8" s="1"/>
  <c r="E3096" i="8" s="1"/>
  <c r="E3097" i="8" s="1"/>
  <c r="E3098" i="8" s="1"/>
  <c r="E3099" i="8" s="1"/>
  <c r="E3100" i="8" s="1"/>
  <c r="E3101" i="8" s="1"/>
  <c r="E3102" i="8" s="1"/>
  <c r="E3103" i="8" s="1"/>
  <c r="E3104" i="8" s="1"/>
  <c r="E3105" i="8" s="1"/>
  <c r="E3106" i="8" s="1"/>
  <c r="E3107" i="8" s="1"/>
  <c r="E3108" i="8" s="1"/>
  <c r="E3109" i="8" s="1"/>
  <c r="E3110" i="8" s="1"/>
  <c r="E3111" i="8" s="1"/>
  <c r="E3112" i="8" s="1"/>
  <c r="E3113" i="8" s="1"/>
  <c r="E3114" i="8" s="1"/>
  <c r="E3115" i="8" s="1"/>
  <c r="E3116" i="8" s="1"/>
  <c r="E3117" i="8" s="1"/>
  <c r="E3118" i="8" s="1"/>
  <c r="E3119" i="8" s="1"/>
  <c r="E3120" i="8" s="1"/>
  <c r="E3121" i="8" s="1"/>
  <c r="E3122" i="8" s="1"/>
  <c r="E3123" i="8" s="1"/>
  <c r="E3124" i="8" s="1"/>
  <c r="E3125" i="8" s="1"/>
  <c r="E3126" i="8" s="1"/>
  <c r="E3127" i="8" s="1"/>
  <c r="E3128" i="8" s="1"/>
  <c r="E3129" i="8" s="1"/>
  <c r="E3130" i="8" s="1"/>
  <c r="E3131" i="8" s="1"/>
  <c r="E3132" i="8" s="1"/>
  <c r="E3133" i="8" s="1"/>
  <c r="E3134" i="8" s="1"/>
  <c r="E3135" i="8" s="1"/>
  <c r="E3136" i="8" s="1"/>
  <c r="E3137" i="8" s="1"/>
  <c r="E3138" i="8" s="1"/>
  <c r="E3139" i="8" s="1"/>
  <c r="E3140" i="8" s="1"/>
  <c r="E3141" i="8" s="1"/>
  <c r="E3142" i="8" s="1"/>
  <c r="E3143" i="8" s="1"/>
  <c r="E3144" i="8" s="1"/>
  <c r="E3145" i="8" s="1"/>
  <c r="E3146" i="8" s="1"/>
  <c r="E3147" i="8" s="1"/>
  <c r="E3148" i="8" s="1"/>
  <c r="E3149" i="8" s="1"/>
  <c r="E3150" i="8" s="1"/>
  <c r="E3151" i="8" s="1"/>
  <c r="E3152" i="8" s="1"/>
  <c r="E3153" i="8" s="1"/>
  <c r="E3154" i="8" s="1"/>
  <c r="E3155" i="8" s="1"/>
  <c r="E3156" i="8" s="1"/>
  <c r="E3157" i="8" s="1"/>
  <c r="E3158" i="8" s="1"/>
  <c r="E3159" i="8" s="1"/>
  <c r="E3160" i="8" s="1"/>
  <c r="E3161" i="8" s="1"/>
  <c r="E3162" i="8" s="1"/>
  <c r="E3163" i="8" s="1"/>
  <c r="E3164" i="8" s="1"/>
  <c r="E3165" i="8" s="1"/>
  <c r="E3166" i="8" s="1"/>
  <c r="E3167" i="8" s="1"/>
  <c r="E3168" i="8" s="1"/>
  <c r="E3169" i="8" s="1"/>
  <c r="E3170" i="8" s="1"/>
  <c r="E3171" i="8" s="1"/>
  <c r="E3172" i="8" s="1"/>
  <c r="E3173" i="8" s="1"/>
  <c r="E3174" i="8" s="1"/>
  <c r="E3175" i="8" s="1"/>
  <c r="E3176" i="8" s="1"/>
  <c r="E3177" i="8" s="1"/>
  <c r="E3178" i="8" s="1"/>
  <c r="E3179" i="8" s="1"/>
  <c r="E3180" i="8" s="1"/>
  <c r="E3181" i="8" s="1"/>
  <c r="E3182" i="8" s="1"/>
  <c r="E3183" i="8" s="1"/>
  <c r="E3184" i="8" s="1"/>
  <c r="E3185" i="8" s="1"/>
  <c r="E3186" i="8" s="1"/>
  <c r="E3187" i="8" s="1"/>
  <c r="E3188" i="8" s="1"/>
  <c r="E3189" i="8" s="1"/>
  <c r="E3190" i="8" s="1"/>
  <c r="E3191" i="8" s="1"/>
  <c r="E3192" i="8" s="1"/>
  <c r="E3193" i="8" s="1"/>
  <c r="E3194" i="8" s="1"/>
  <c r="E3195" i="8" s="1"/>
  <c r="E3196" i="8" s="1"/>
  <c r="E3197" i="8" s="1"/>
  <c r="E3198" i="8" s="1"/>
  <c r="E3199" i="8" s="1"/>
  <c r="E3200" i="8" s="1"/>
  <c r="E3201" i="8" s="1"/>
  <c r="E3202" i="8" s="1"/>
  <c r="E3203" i="8" s="1"/>
  <c r="E3204" i="8" s="1"/>
  <c r="E3205" i="8" s="1"/>
  <c r="E3206" i="8" s="1"/>
  <c r="E3207" i="8" s="1"/>
  <c r="E3208" i="8" s="1"/>
  <c r="E3209" i="8" s="1"/>
  <c r="E3210" i="8" s="1"/>
  <c r="E3211" i="8" s="1"/>
  <c r="E3212" i="8" s="1"/>
  <c r="E3213" i="8" s="1"/>
  <c r="E3214" i="8" s="1"/>
  <c r="E3215" i="8" s="1"/>
  <c r="E3216" i="8" s="1"/>
  <c r="E3217" i="8" s="1"/>
  <c r="E3218" i="8" s="1"/>
  <c r="E3219" i="8" s="1"/>
  <c r="E3220" i="8" s="1"/>
  <c r="E3221" i="8" s="1"/>
  <c r="E3222" i="8" s="1"/>
  <c r="E3223" i="8" s="1"/>
  <c r="E3224" i="8" s="1"/>
  <c r="E3225" i="8" s="1"/>
  <c r="E3226" i="8" s="1"/>
  <c r="E3227" i="8" s="1"/>
  <c r="E3228" i="8" s="1"/>
  <c r="E3229" i="8" s="1"/>
  <c r="E3230" i="8" s="1"/>
  <c r="E3231" i="8" s="1"/>
  <c r="E3232" i="8" s="1"/>
  <c r="E3233" i="8" s="1"/>
  <c r="E3234" i="8" s="1"/>
  <c r="E3235" i="8" s="1"/>
  <c r="E3236" i="8" s="1"/>
  <c r="E3237" i="8" s="1"/>
  <c r="E3238" i="8" s="1"/>
  <c r="E3239" i="8" s="1"/>
  <c r="E3240" i="8" s="1"/>
  <c r="E3241" i="8" s="1"/>
  <c r="E3242" i="8" s="1"/>
  <c r="E3243" i="8" s="1"/>
  <c r="E3244" i="8" s="1"/>
  <c r="E3245" i="8" s="1"/>
  <c r="E3246" i="8" s="1"/>
  <c r="E3247" i="8" s="1"/>
  <c r="E3248" i="8" s="1"/>
  <c r="E3249" i="8" s="1"/>
  <c r="E3250" i="8" s="1"/>
  <c r="E3251" i="8" s="1"/>
  <c r="E3252" i="8" s="1"/>
  <c r="E3253" i="8" s="1"/>
  <c r="E3254" i="8" s="1"/>
  <c r="E3255" i="8" s="1"/>
  <c r="E3256" i="8" s="1"/>
  <c r="E3257" i="8" s="1"/>
  <c r="E3258" i="8" s="1"/>
  <c r="E3259" i="8" s="1"/>
  <c r="E3260" i="8" s="1"/>
  <c r="E3261" i="8" s="1"/>
  <c r="E3262" i="8" s="1"/>
  <c r="E3263" i="8" s="1"/>
  <c r="E3264" i="8" s="1"/>
  <c r="E3265" i="8" s="1"/>
  <c r="E3266" i="8" s="1"/>
  <c r="E3267" i="8" s="1"/>
  <c r="E3268" i="8" s="1"/>
  <c r="E3269" i="8" s="1"/>
  <c r="E3270" i="8" s="1"/>
  <c r="E3271" i="8" s="1"/>
  <c r="E3272" i="8" s="1"/>
  <c r="E3273" i="8" s="1"/>
  <c r="E3274" i="8" s="1"/>
  <c r="E3275" i="8" s="1"/>
  <c r="E3276" i="8" s="1"/>
  <c r="E3277" i="8" s="1"/>
  <c r="E3278" i="8" s="1"/>
  <c r="E3279" i="8" s="1"/>
  <c r="E3280" i="8" s="1"/>
  <c r="E3281" i="8" s="1"/>
  <c r="E3282" i="8" s="1"/>
  <c r="E3283" i="8" s="1"/>
  <c r="E3284" i="8" s="1"/>
  <c r="E3285" i="8" s="1"/>
  <c r="E3286" i="8" s="1"/>
  <c r="E3287" i="8" s="1"/>
  <c r="E3288" i="8" s="1"/>
  <c r="E3289" i="8" s="1"/>
  <c r="E3290" i="8" s="1"/>
  <c r="E3291" i="8" s="1"/>
  <c r="E3292" i="8" s="1"/>
  <c r="E3293" i="8" s="1"/>
  <c r="E3294" i="8" s="1"/>
  <c r="E3295" i="8" s="1"/>
  <c r="E3296" i="8" s="1"/>
  <c r="E3297" i="8" s="1"/>
  <c r="E3298" i="8" s="1"/>
  <c r="E3299" i="8" s="1"/>
  <c r="E3300" i="8" s="1"/>
  <c r="E3301" i="8" s="1"/>
  <c r="E3302" i="8" s="1"/>
  <c r="E3303" i="8" s="1"/>
  <c r="E3304" i="8" s="1"/>
  <c r="E3305" i="8" s="1"/>
  <c r="E3306" i="8" s="1"/>
  <c r="E3307" i="8" s="1"/>
  <c r="E3308" i="8" s="1"/>
  <c r="E3309" i="8" s="1"/>
  <c r="E3310" i="8" s="1"/>
  <c r="E3311" i="8" s="1"/>
  <c r="E3312" i="8" s="1"/>
  <c r="E3313" i="8" s="1"/>
  <c r="E3314" i="8" s="1"/>
  <c r="E3315" i="8" s="1"/>
  <c r="E3316" i="8" s="1"/>
  <c r="E3317" i="8" s="1"/>
  <c r="E3318" i="8" s="1"/>
  <c r="E3319" i="8" s="1"/>
  <c r="E3320" i="8" s="1"/>
  <c r="E3321" i="8" s="1"/>
  <c r="E3322" i="8" s="1"/>
  <c r="E3323" i="8" s="1"/>
  <c r="E3324" i="8" s="1"/>
  <c r="E3325" i="8" s="1"/>
  <c r="E3326" i="8" s="1"/>
  <c r="E3327" i="8" s="1"/>
  <c r="E3328" i="8" s="1"/>
  <c r="E3329" i="8" s="1"/>
  <c r="E3330" i="8" s="1"/>
  <c r="E3331" i="8" s="1"/>
  <c r="E3332" i="8" s="1"/>
  <c r="E3333" i="8" s="1"/>
  <c r="E3334" i="8" s="1"/>
  <c r="E3335" i="8" s="1"/>
  <c r="E3336" i="8" s="1"/>
  <c r="E3337" i="8" s="1"/>
  <c r="E3338" i="8" s="1"/>
  <c r="E3339" i="8" s="1"/>
  <c r="E3340" i="8" s="1"/>
  <c r="E3341" i="8" s="1"/>
  <c r="E3342" i="8" s="1"/>
  <c r="E3343" i="8" s="1"/>
  <c r="E3344" i="8" s="1"/>
  <c r="E3345" i="8" s="1"/>
  <c r="E3346" i="8" s="1"/>
  <c r="E3347" i="8" s="1"/>
  <c r="E3348" i="8" s="1"/>
  <c r="E3349" i="8" s="1"/>
  <c r="E3350" i="8" s="1"/>
  <c r="E3351" i="8" s="1"/>
  <c r="E3352" i="8" s="1"/>
  <c r="E3353" i="8" s="1"/>
  <c r="E3354" i="8" s="1"/>
  <c r="E3355" i="8" s="1"/>
  <c r="E3356" i="8" s="1"/>
  <c r="E3357" i="8" s="1"/>
  <c r="E3358" i="8" s="1"/>
  <c r="E3359" i="8" s="1"/>
  <c r="E3360" i="8" s="1"/>
  <c r="E3361" i="8" s="1"/>
  <c r="E3362" i="8" s="1"/>
  <c r="E3363" i="8" s="1"/>
  <c r="E3364" i="8" s="1"/>
  <c r="E3365" i="8" s="1"/>
  <c r="E3366" i="8" s="1"/>
  <c r="E3367" i="8" s="1"/>
  <c r="E3368" i="8" s="1"/>
  <c r="E3369" i="8" s="1"/>
  <c r="E3370" i="8" s="1"/>
  <c r="E3371" i="8" s="1"/>
  <c r="E3372" i="8" s="1"/>
  <c r="E3373" i="8" s="1"/>
  <c r="E3374" i="8" s="1"/>
  <c r="E3375" i="8" s="1"/>
  <c r="E3376" i="8" s="1"/>
  <c r="E3377" i="8" s="1"/>
  <c r="E3378" i="8" s="1"/>
  <c r="E3379" i="8" s="1"/>
  <c r="E3380" i="8" s="1"/>
  <c r="E3381" i="8" s="1"/>
  <c r="E3382" i="8" s="1"/>
  <c r="E3383" i="8" s="1"/>
  <c r="E3384" i="8" s="1"/>
  <c r="E3385" i="8" s="1"/>
  <c r="E3386" i="8" s="1"/>
  <c r="E3387" i="8" s="1"/>
  <c r="E3388" i="8" s="1"/>
  <c r="E3389" i="8" s="1"/>
  <c r="E3390" i="8" s="1"/>
  <c r="E3391" i="8" s="1"/>
  <c r="E3392" i="8" s="1"/>
  <c r="E3393" i="8" s="1"/>
  <c r="E3394" i="8" s="1"/>
  <c r="E3395" i="8" s="1"/>
  <c r="E3396" i="8" s="1"/>
  <c r="E3397" i="8" s="1"/>
  <c r="E3398" i="8" s="1"/>
  <c r="E3399" i="8" s="1"/>
  <c r="E3400" i="8" s="1"/>
  <c r="E3401" i="8" s="1"/>
  <c r="E3402" i="8" s="1"/>
  <c r="E3403" i="8" s="1"/>
  <c r="E3404" i="8" s="1"/>
  <c r="E3405" i="8" s="1"/>
  <c r="E3406" i="8" s="1"/>
  <c r="E3407" i="8" s="1"/>
  <c r="E3408" i="8" s="1"/>
  <c r="E3409" i="8" s="1"/>
  <c r="E3410" i="8" s="1"/>
  <c r="E3411" i="8" s="1"/>
  <c r="E3412" i="8" s="1"/>
  <c r="E3413" i="8" s="1"/>
  <c r="E3414" i="8" s="1"/>
  <c r="E3415" i="8" s="1"/>
  <c r="E3416" i="8" s="1"/>
  <c r="E3417" i="8" s="1"/>
  <c r="E3418" i="8" s="1"/>
  <c r="E3419" i="8" s="1"/>
  <c r="E3420" i="8" s="1"/>
  <c r="E3421" i="8" s="1"/>
  <c r="E3422" i="8" s="1"/>
  <c r="E3423" i="8" s="1"/>
  <c r="E3424" i="8" s="1"/>
  <c r="E3425" i="8" s="1"/>
  <c r="E3426" i="8" s="1"/>
  <c r="E3427" i="8" s="1"/>
  <c r="E3428" i="8" s="1"/>
  <c r="E3429" i="8" s="1"/>
  <c r="E3430" i="8" s="1"/>
  <c r="E3431" i="8" s="1"/>
  <c r="E3432" i="8" s="1"/>
  <c r="E3433" i="8" s="1"/>
  <c r="E3434" i="8" s="1"/>
  <c r="E3435" i="8" s="1"/>
  <c r="E3436" i="8" s="1"/>
  <c r="E3437" i="8" s="1"/>
  <c r="E3438" i="8" s="1"/>
  <c r="E3439" i="8" s="1"/>
  <c r="E3440" i="8" s="1"/>
  <c r="E3441" i="8" s="1"/>
  <c r="E3442" i="8" s="1"/>
  <c r="E3443" i="8" s="1"/>
  <c r="E3444" i="8" s="1"/>
  <c r="E3445" i="8" s="1"/>
  <c r="E3446" i="8" s="1"/>
  <c r="E3447" i="8" s="1"/>
  <c r="E3448" i="8" s="1"/>
  <c r="E3449" i="8" s="1"/>
  <c r="E3450" i="8" s="1"/>
  <c r="E3451" i="8" s="1"/>
  <c r="E3452" i="8" s="1"/>
  <c r="E3453" i="8" s="1"/>
  <c r="E3454" i="8" s="1"/>
  <c r="E3455" i="8" s="1"/>
  <c r="E3456" i="8" s="1"/>
  <c r="E3457" i="8" s="1"/>
  <c r="E3458" i="8" s="1"/>
  <c r="E3459" i="8" s="1"/>
  <c r="E3460" i="8" s="1"/>
  <c r="E3461" i="8" s="1"/>
  <c r="E3462" i="8" s="1"/>
  <c r="E3463" i="8" s="1"/>
  <c r="E3464" i="8" s="1"/>
  <c r="E3465" i="8" s="1"/>
  <c r="E3466" i="8" s="1"/>
  <c r="E3467" i="8" s="1"/>
  <c r="E3468" i="8" s="1"/>
  <c r="E3469" i="8" s="1"/>
  <c r="E3470" i="8" s="1"/>
  <c r="E3471" i="8" s="1"/>
  <c r="E3472" i="8" s="1"/>
  <c r="E3473" i="8" s="1"/>
  <c r="E3474" i="8" s="1"/>
  <c r="E3475" i="8" s="1"/>
  <c r="E3476" i="8" s="1"/>
  <c r="E3477" i="8" s="1"/>
  <c r="E3478" i="8" s="1"/>
  <c r="E3479" i="8" s="1"/>
  <c r="E3480" i="8" s="1"/>
  <c r="E3481" i="8" s="1"/>
  <c r="E3482" i="8" s="1"/>
  <c r="E3483" i="8" s="1"/>
  <c r="E3484" i="8" s="1"/>
  <c r="E3485" i="8" s="1"/>
  <c r="E3486" i="8" s="1"/>
  <c r="E3487" i="8" s="1"/>
  <c r="E3488" i="8" s="1"/>
  <c r="E3489" i="8" s="1"/>
  <c r="E3490" i="8" s="1"/>
  <c r="E3491" i="8" s="1"/>
  <c r="E3492" i="8" s="1"/>
  <c r="E3493" i="8" s="1"/>
  <c r="E3494" i="8" s="1"/>
  <c r="E3495" i="8" s="1"/>
  <c r="E3496" i="8" s="1"/>
  <c r="E3497" i="8" s="1"/>
  <c r="E3498" i="8" s="1"/>
  <c r="E3499" i="8" s="1"/>
  <c r="E3500" i="8" s="1"/>
  <c r="E3501" i="8" s="1"/>
  <c r="E3502" i="8" s="1"/>
  <c r="E3503" i="8" s="1"/>
  <c r="E3504" i="8" s="1"/>
  <c r="E3505" i="8" s="1"/>
  <c r="E3506" i="8" s="1"/>
  <c r="E3507" i="8" s="1"/>
  <c r="E3508" i="8" s="1"/>
  <c r="E3509" i="8" s="1"/>
  <c r="E3510" i="8" s="1"/>
  <c r="E3511" i="8" s="1"/>
  <c r="E3512" i="8" s="1"/>
  <c r="E3513" i="8" s="1"/>
  <c r="E3514" i="8" s="1"/>
  <c r="E3515" i="8" s="1"/>
  <c r="E3516" i="8" s="1"/>
  <c r="E3517" i="8" s="1"/>
  <c r="E3518" i="8" s="1"/>
  <c r="E3519" i="8" s="1"/>
  <c r="E3520" i="8" s="1"/>
  <c r="E3521" i="8" s="1"/>
  <c r="E3522" i="8" s="1"/>
  <c r="E3523" i="8" s="1"/>
  <c r="E3524" i="8" s="1"/>
  <c r="E3525" i="8" s="1"/>
  <c r="E3526" i="8" s="1"/>
  <c r="E3527" i="8" s="1"/>
  <c r="E3528" i="8" s="1"/>
  <c r="E3529" i="8" s="1"/>
  <c r="E3530" i="8" s="1"/>
  <c r="E3531" i="8" s="1"/>
  <c r="E3532" i="8" s="1"/>
  <c r="E3533" i="8" s="1"/>
  <c r="E3534" i="8" s="1"/>
  <c r="E3535" i="8" s="1"/>
  <c r="E3536" i="8" s="1"/>
  <c r="E3537" i="8" s="1"/>
  <c r="E3538" i="8" s="1"/>
  <c r="E3539" i="8" s="1"/>
  <c r="E3540" i="8" s="1"/>
  <c r="E3541" i="8" s="1"/>
  <c r="E3542" i="8" s="1"/>
  <c r="E3543" i="8" s="1"/>
  <c r="E3544" i="8" s="1"/>
  <c r="E3545" i="8" s="1"/>
  <c r="E3546" i="8" s="1"/>
  <c r="E3547" i="8" s="1"/>
  <c r="E3548" i="8" s="1"/>
  <c r="E3549" i="8" s="1"/>
  <c r="E3550" i="8" s="1"/>
  <c r="E3551" i="8" s="1"/>
  <c r="E3552" i="8" s="1"/>
  <c r="E3553" i="8" s="1"/>
  <c r="E3554" i="8" s="1"/>
  <c r="E3555" i="8" s="1"/>
  <c r="E3556" i="8" s="1"/>
  <c r="E3557" i="8" s="1"/>
  <c r="E3558" i="8" s="1"/>
  <c r="E3559" i="8" s="1"/>
  <c r="E3560" i="8" s="1"/>
  <c r="E3561" i="8" s="1"/>
  <c r="E3562" i="8" s="1"/>
  <c r="E3563" i="8" s="1"/>
  <c r="E3564" i="8" s="1"/>
  <c r="E3565" i="8" s="1"/>
  <c r="E3566" i="8" s="1"/>
  <c r="E3567" i="8" s="1"/>
  <c r="E3568" i="8" s="1"/>
  <c r="E3569" i="8" s="1"/>
  <c r="E3570" i="8" s="1"/>
  <c r="E3571" i="8" s="1"/>
  <c r="E3572" i="8" s="1"/>
  <c r="E3573" i="8" s="1"/>
  <c r="E3574" i="8" s="1"/>
  <c r="E3575" i="8" s="1"/>
  <c r="E3576" i="8" s="1"/>
  <c r="E3577" i="8" s="1"/>
  <c r="E3578" i="8" s="1"/>
  <c r="E3579" i="8" s="1"/>
  <c r="E3580" i="8" s="1"/>
  <c r="E3581" i="8" s="1"/>
  <c r="E3582" i="8" s="1"/>
  <c r="E3583" i="8" s="1"/>
  <c r="E3584" i="8" s="1"/>
  <c r="E3585" i="8" s="1"/>
  <c r="E3586" i="8" s="1"/>
  <c r="E3587" i="8" s="1"/>
  <c r="E3588" i="8" s="1"/>
  <c r="E3589" i="8" s="1"/>
  <c r="E3590" i="8" s="1"/>
  <c r="E3591" i="8" s="1"/>
  <c r="E3592" i="8" s="1"/>
  <c r="E3593" i="8" s="1"/>
  <c r="E3594" i="8" s="1"/>
  <c r="E3595" i="8" s="1"/>
  <c r="E3596" i="8" s="1"/>
  <c r="E3597" i="8" s="1"/>
  <c r="E3598" i="8" s="1"/>
  <c r="E3599" i="8" s="1"/>
  <c r="E3600" i="8" s="1"/>
  <c r="E3601" i="8" s="1"/>
  <c r="E3602" i="8" s="1"/>
  <c r="E3603" i="8" s="1"/>
  <c r="E3604" i="8" s="1"/>
  <c r="E3605" i="8" s="1"/>
  <c r="E3606" i="8" s="1"/>
  <c r="E3607" i="8" s="1"/>
  <c r="E3608" i="8" s="1"/>
  <c r="E3609" i="8" s="1"/>
  <c r="E3610" i="8" s="1"/>
  <c r="E3611" i="8" s="1"/>
  <c r="E3612" i="8" s="1"/>
  <c r="E3613" i="8" s="1"/>
  <c r="E3614" i="8" s="1"/>
  <c r="E3615" i="8" s="1"/>
  <c r="E3616" i="8" s="1"/>
  <c r="E3617" i="8" s="1"/>
  <c r="E3618" i="8" s="1"/>
  <c r="E3619" i="8" s="1"/>
  <c r="E3620" i="8" s="1"/>
  <c r="E3621" i="8" s="1"/>
  <c r="E3622" i="8" s="1"/>
  <c r="E3623" i="8" s="1"/>
  <c r="E3624" i="8" s="1"/>
  <c r="E3625" i="8" s="1"/>
  <c r="E3626" i="8" s="1"/>
  <c r="E3627" i="8" s="1"/>
  <c r="E3628" i="8" s="1"/>
  <c r="E3629" i="8" s="1"/>
  <c r="E3630" i="8" s="1"/>
  <c r="E3631" i="8" s="1"/>
  <c r="E3632" i="8" s="1"/>
  <c r="E3633" i="8" s="1"/>
  <c r="E3634" i="8" s="1"/>
  <c r="E3635" i="8" s="1"/>
  <c r="E3636" i="8" s="1"/>
  <c r="E3637" i="8" s="1"/>
  <c r="E3638" i="8" s="1"/>
  <c r="E3639" i="8" s="1"/>
  <c r="E3640" i="8" s="1"/>
  <c r="E3641" i="8" s="1"/>
  <c r="E3642" i="8" s="1"/>
  <c r="E3643" i="8" s="1"/>
  <c r="E3644" i="8" s="1"/>
  <c r="E3645" i="8" s="1"/>
  <c r="E3646" i="8" s="1"/>
  <c r="E3647" i="8" s="1"/>
  <c r="E3648" i="8" s="1"/>
  <c r="E3649" i="8" s="1"/>
  <c r="E3650" i="8" s="1"/>
  <c r="E3651" i="8" s="1"/>
  <c r="E3652" i="8" s="1"/>
  <c r="E3653" i="8" s="1"/>
  <c r="E3654" i="8" s="1"/>
  <c r="E3655" i="8" s="1"/>
  <c r="E3656" i="8" s="1"/>
  <c r="E3657" i="8" s="1"/>
  <c r="E3658" i="8" s="1"/>
  <c r="E3659" i="8" s="1"/>
  <c r="E3660" i="8" s="1"/>
  <c r="E3661" i="8" s="1"/>
  <c r="E3662" i="8" s="1"/>
  <c r="E3663" i="8" s="1"/>
  <c r="E3664" i="8" s="1"/>
  <c r="E3665" i="8" s="1"/>
  <c r="E3666" i="8" s="1"/>
  <c r="E3667" i="8" s="1"/>
  <c r="E3668" i="8" s="1"/>
  <c r="E3669" i="8" s="1"/>
  <c r="E3670" i="8" s="1"/>
  <c r="E3671" i="8" s="1"/>
  <c r="E3672" i="8" s="1"/>
  <c r="E3673" i="8" s="1"/>
  <c r="E3674" i="8" s="1"/>
  <c r="E3675" i="8" s="1"/>
  <c r="E3676" i="8" s="1"/>
  <c r="E3677" i="8" s="1"/>
  <c r="E3678" i="8" s="1"/>
  <c r="E3679" i="8" s="1"/>
  <c r="E3680" i="8" s="1"/>
  <c r="E3681" i="8" s="1"/>
  <c r="E3682" i="8" s="1"/>
  <c r="E3683" i="8" s="1"/>
  <c r="E3684" i="8" s="1"/>
  <c r="E3685" i="8" s="1"/>
  <c r="E3686" i="8" s="1"/>
  <c r="E3687" i="8" s="1"/>
  <c r="E3688" i="8" s="1"/>
  <c r="E3689" i="8" s="1"/>
  <c r="E3690" i="8" s="1"/>
  <c r="E3691" i="8" s="1"/>
  <c r="E3692" i="8" s="1"/>
  <c r="E3693" i="8" s="1"/>
  <c r="E3694" i="8" s="1"/>
  <c r="E3695" i="8" s="1"/>
  <c r="E3696" i="8" s="1"/>
  <c r="E3697" i="8" s="1"/>
  <c r="E3698" i="8" s="1"/>
  <c r="E3699" i="8" s="1"/>
  <c r="E3700" i="8" s="1"/>
  <c r="E3701" i="8" s="1"/>
  <c r="E3702" i="8" s="1"/>
  <c r="E3703" i="8" s="1"/>
  <c r="E3704" i="8" s="1"/>
  <c r="E3705" i="8" s="1"/>
  <c r="E3706" i="8" s="1"/>
  <c r="E3707" i="8" s="1"/>
  <c r="E3708" i="8" s="1"/>
  <c r="E3709" i="8" s="1"/>
  <c r="E3710" i="8" s="1"/>
  <c r="E3711" i="8" s="1"/>
  <c r="E3712" i="8" s="1"/>
  <c r="E3713" i="8" s="1"/>
  <c r="E3714" i="8" s="1"/>
  <c r="E3715" i="8" s="1"/>
  <c r="E3716" i="8" s="1"/>
  <c r="AE11" i="10"/>
  <c r="AD24" i="10"/>
  <c r="AD25" i="10" s="1"/>
  <c r="P892" i="3"/>
  <c r="V892" i="3" s="1"/>
  <c r="R892" i="3"/>
  <c r="S892" i="3"/>
  <c r="Q892" i="3"/>
  <c r="H1468" i="8"/>
  <c r="H1469" i="8" s="1"/>
  <c r="H1470" i="8" s="1"/>
  <c r="H1471" i="8" s="1"/>
  <c r="H1472" i="8" s="1"/>
  <c r="H1473" i="8" s="1"/>
  <c r="H1474" i="8" s="1"/>
  <c r="H1475" i="8" s="1"/>
  <c r="H1476" i="8" s="1"/>
  <c r="H1477" i="8" s="1"/>
  <c r="H1478" i="8" s="1"/>
  <c r="H1479" i="8" s="1"/>
  <c r="H1480" i="8" s="1"/>
  <c r="H1481" i="8" s="1"/>
  <c r="H1482" i="8" s="1"/>
  <c r="H1483" i="8" s="1"/>
  <c r="H1484" i="8" s="1"/>
  <c r="H1485" i="8" s="1"/>
  <c r="H1486" i="8" s="1"/>
  <c r="H1487" i="8" s="1"/>
  <c r="H1488" i="8" s="1"/>
  <c r="H1489" i="8" s="1"/>
  <c r="H1490" i="8" s="1"/>
  <c r="H1491" i="8" s="1"/>
  <c r="H1492" i="8" s="1"/>
  <c r="H1493" i="8" s="1"/>
  <c r="H1494" i="8" s="1"/>
  <c r="H1495" i="8" s="1"/>
  <c r="H1496" i="8" s="1"/>
  <c r="H1497" i="8" s="1"/>
  <c r="H1498" i="8" s="1"/>
  <c r="H1499" i="8" s="1"/>
  <c r="H1500" i="8" s="1"/>
  <c r="H1501" i="8" s="1"/>
  <c r="H1502" i="8" s="1"/>
  <c r="H1503" i="8" s="1"/>
  <c r="H1504" i="8" s="1"/>
  <c r="H1505" i="8" s="1"/>
  <c r="H1506" i="8" s="1"/>
  <c r="H1507" i="8" s="1"/>
  <c r="H1508" i="8" s="1"/>
  <c r="H1509" i="8" s="1"/>
  <c r="H1510" i="8" s="1"/>
  <c r="H1511" i="8" s="1"/>
  <c r="H1512" i="8" s="1"/>
  <c r="H1513" i="8" s="1"/>
  <c r="H1514" i="8" s="1"/>
  <c r="H1515" i="8" s="1"/>
  <c r="H1516" i="8" s="1"/>
  <c r="H1517" i="8" s="1"/>
  <c r="H1518" i="8" s="1"/>
  <c r="H1519" i="8" s="1"/>
  <c r="H1520" i="8" s="1"/>
  <c r="H1521" i="8" s="1"/>
  <c r="H1522" i="8" s="1"/>
  <c r="H1523" i="8" s="1"/>
  <c r="H1524" i="8" s="1"/>
  <c r="H1525" i="8" s="1"/>
  <c r="H1526" i="8" s="1"/>
  <c r="H1527" i="8" s="1"/>
  <c r="H1528" i="8" s="1"/>
  <c r="H1529" i="8" s="1"/>
  <c r="H1530" i="8" s="1"/>
  <c r="H1531" i="8" s="1"/>
  <c r="H1532" i="8" s="1"/>
  <c r="H1533" i="8" s="1"/>
  <c r="H1534" i="8" s="1"/>
  <c r="H1535" i="8" s="1"/>
  <c r="H1536" i="8" s="1"/>
  <c r="H1537" i="8" s="1"/>
  <c r="H1538" i="8" s="1"/>
  <c r="H1539" i="8" s="1"/>
  <c r="H1540" i="8" s="1"/>
  <c r="H1541" i="8" s="1"/>
  <c r="H1542" i="8" s="1"/>
  <c r="H1543" i="8" s="1"/>
  <c r="H1544" i="8" s="1"/>
  <c r="H1545" i="8" s="1"/>
  <c r="H1546" i="8" s="1"/>
  <c r="H1547" i="8" s="1"/>
  <c r="H1548" i="8" s="1"/>
  <c r="H1549" i="8" s="1"/>
  <c r="H1550" i="8" s="1"/>
  <c r="H1551" i="8" s="1"/>
  <c r="H1552" i="8" s="1"/>
  <c r="H1553" i="8" s="1"/>
  <c r="H1554" i="8" s="1"/>
  <c r="H1555" i="8" s="1"/>
  <c r="H1556" i="8" s="1"/>
  <c r="H1557" i="8" s="1"/>
  <c r="H1558" i="8" s="1"/>
  <c r="H1559" i="8" s="1"/>
  <c r="H1560" i="8" s="1"/>
  <c r="H1561" i="8" s="1"/>
  <c r="H1562" i="8" s="1"/>
  <c r="H1563" i="8" s="1"/>
  <c r="H1564" i="8" s="1"/>
  <c r="H1565" i="8" s="1"/>
  <c r="H1566" i="8" s="1"/>
  <c r="H1567" i="8" s="1"/>
  <c r="H1568" i="8" s="1"/>
  <c r="H1569" i="8" s="1"/>
  <c r="H1570" i="8" s="1"/>
  <c r="H1571" i="8" s="1"/>
  <c r="H1572" i="8" s="1"/>
  <c r="H1573" i="8" s="1"/>
  <c r="H1574" i="8" s="1"/>
  <c r="H1575" i="8" s="1"/>
  <c r="H1576" i="8" s="1"/>
  <c r="H1577" i="8" s="1"/>
  <c r="H1578" i="8" s="1"/>
  <c r="H1579" i="8" s="1"/>
  <c r="H1580" i="8" s="1"/>
  <c r="H1581" i="8" s="1"/>
  <c r="H1582" i="8" s="1"/>
  <c r="H1583" i="8" s="1"/>
  <c r="H1584" i="8" s="1"/>
  <c r="H1585" i="8" s="1"/>
  <c r="H1586" i="8" s="1"/>
  <c r="H1587" i="8" s="1"/>
  <c r="H1588" i="8" s="1"/>
  <c r="H1589" i="8" s="1"/>
  <c r="H1590" i="8" s="1"/>
  <c r="H1591" i="8" s="1"/>
  <c r="H1592" i="8" s="1"/>
  <c r="H1593" i="8" s="1"/>
  <c r="H1594" i="8" s="1"/>
  <c r="H1595" i="8" s="1"/>
  <c r="H1596" i="8" s="1"/>
  <c r="H1597" i="8" s="1"/>
  <c r="H1598" i="8" s="1"/>
  <c r="H1599" i="8" s="1"/>
  <c r="H1600" i="8" s="1"/>
  <c r="H1601" i="8" s="1"/>
  <c r="H1602" i="8" s="1"/>
  <c r="H1603" i="8" s="1"/>
  <c r="H1604" i="8" s="1"/>
  <c r="H1605" i="8" s="1"/>
  <c r="H1606" i="8" s="1"/>
  <c r="H1607" i="8" s="1"/>
  <c r="H1608" i="8" s="1"/>
  <c r="H1609" i="8" s="1"/>
  <c r="H1610" i="8" s="1"/>
  <c r="H1611" i="8" s="1"/>
  <c r="H1612" i="8" s="1"/>
  <c r="H1613" i="8" s="1"/>
  <c r="H1614" i="8" s="1"/>
  <c r="H1615" i="8" s="1"/>
  <c r="H1616" i="8" s="1"/>
  <c r="H1617" i="8" s="1"/>
  <c r="H1618" i="8" s="1"/>
  <c r="H1619" i="8" s="1"/>
  <c r="H1620" i="8" s="1"/>
  <c r="H1621" i="8" s="1"/>
  <c r="H1622" i="8" s="1"/>
  <c r="H1623" i="8" s="1"/>
  <c r="H1624" i="8" s="1"/>
  <c r="H1625" i="8" s="1"/>
  <c r="H1626" i="8" s="1"/>
  <c r="H1627" i="8" s="1"/>
  <c r="H1628" i="8" s="1"/>
  <c r="H1629" i="8" s="1"/>
  <c r="H1630" i="8" s="1"/>
  <c r="H1631" i="8" s="1"/>
  <c r="H1632" i="8" s="1"/>
  <c r="H1633" i="8" s="1"/>
  <c r="H1634" i="8" s="1"/>
  <c r="H1635" i="8" s="1"/>
  <c r="H1636" i="8" s="1"/>
  <c r="H1637" i="8" s="1"/>
  <c r="H1638" i="8" s="1"/>
  <c r="H1639" i="8" s="1"/>
  <c r="H1640" i="8" s="1"/>
  <c r="H1641" i="8" s="1"/>
  <c r="H1642" i="8" s="1"/>
  <c r="H1643" i="8" s="1"/>
  <c r="H1644" i="8" s="1"/>
  <c r="H1645" i="8" s="1"/>
  <c r="H1646" i="8" s="1"/>
  <c r="H1647" i="8" s="1"/>
  <c r="K2222" i="5" l="1"/>
  <c r="N2221" i="5"/>
  <c r="Q2221" i="5"/>
  <c r="F2221" i="5"/>
  <c r="I2221" i="5"/>
  <c r="C2222" i="5"/>
  <c r="K405" i="5"/>
  <c r="N404" i="5"/>
  <c r="L403" i="5"/>
  <c r="Q402" i="5"/>
  <c r="AF11" i="10"/>
  <c r="AE24" i="10"/>
  <c r="AE25" i="10" s="1"/>
  <c r="F400" i="5"/>
  <c r="C401" i="5"/>
  <c r="I400" i="5"/>
  <c r="T894" i="3"/>
  <c r="U895" i="3"/>
  <c r="H1648" i="8"/>
  <c r="H1649" i="8" s="1"/>
  <c r="H1650" i="8" s="1"/>
  <c r="H1651" i="8" s="1"/>
  <c r="H1652" i="8" s="1"/>
  <c r="H1653" i="8" s="1"/>
  <c r="H1654" i="8" s="1"/>
  <c r="H1655" i="8" s="1"/>
  <c r="H1656" i="8" s="1"/>
  <c r="H1657" i="8" s="1"/>
  <c r="H1658" i="8" s="1"/>
  <c r="H1659" i="8" s="1"/>
  <c r="H1660" i="8" s="1"/>
  <c r="H1661" i="8" s="1"/>
  <c r="H1662" i="8" s="1"/>
  <c r="H1663" i="8" s="1"/>
  <c r="H1664" i="8" s="1"/>
  <c r="H1665" i="8" s="1"/>
  <c r="H1666" i="8" s="1"/>
  <c r="H1667" i="8" s="1"/>
  <c r="H1668" i="8" s="1"/>
  <c r="H1669" i="8" s="1"/>
  <c r="H1670" i="8" s="1"/>
  <c r="H1671" i="8" s="1"/>
  <c r="H1672" i="8" s="1"/>
  <c r="H1673" i="8" s="1"/>
  <c r="H1674" i="8" s="1"/>
  <c r="H1675" i="8" s="1"/>
  <c r="H1676" i="8" s="1"/>
  <c r="H1677" i="8" s="1"/>
  <c r="H1678" i="8" s="1"/>
  <c r="H1679" i="8" s="1"/>
  <c r="H1680" i="8" s="1"/>
  <c r="H1681" i="8" s="1"/>
  <c r="H1682" i="8" s="1"/>
  <c r="H1683" i="8" s="1"/>
  <c r="H1684" i="8" s="1"/>
  <c r="H1685" i="8" s="1"/>
  <c r="H1686" i="8" s="1"/>
  <c r="H1687" i="8" s="1"/>
  <c r="H1688" i="8" s="1"/>
  <c r="H1689" i="8" s="1"/>
  <c r="H1690" i="8" s="1"/>
  <c r="H1691" i="8" s="1"/>
  <c r="H1692" i="8" s="1"/>
  <c r="H1693" i="8" s="1"/>
  <c r="H1694" i="8" s="1"/>
  <c r="H1695" i="8" s="1"/>
  <c r="H1696" i="8" s="1"/>
  <c r="H1697" i="8" s="1"/>
  <c r="H1698" i="8" s="1"/>
  <c r="H1699" i="8" s="1"/>
  <c r="H1700" i="8" s="1"/>
  <c r="H1701" i="8" s="1"/>
  <c r="H1702" i="8" s="1"/>
  <c r="H1703" i="8" s="1"/>
  <c r="H1704" i="8" s="1"/>
  <c r="H1705" i="8" s="1"/>
  <c r="H1706" i="8" s="1"/>
  <c r="H1707" i="8" s="1"/>
  <c r="H1708" i="8" s="1"/>
  <c r="H1709" i="8" s="1"/>
  <c r="H1710" i="8" s="1"/>
  <c r="H1711" i="8" s="1"/>
  <c r="H1712" i="8" s="1"/>
  <c r="H1713" i="8" s="1"/>
  <c r="H1714" i="8" s="1"/>
  <c r="H1715" i="8" s="1"/>
  <c r="H1716" i="8" s="1"/>
  <c r="H1717" i="8" s="1"/>
  <c r="H1718" i="8" s="1"/>
  <c r="H1719" i="8" s="1"/>
  <c r="H1720" i="8" s="1"/>
  <c r="H1721" i="8" s="1"/>
  <c r="H1722" i="8" s="1"/>
  <c r="H1723" i="8" s="1"/>
  <c r="H1724" i="8" s="1"/>
  <c r="H1725" i="8" s="1"/>
  <c r="H1726" i="8" s="1"/>
  <c r="H1727" i="8" s="1"/>
  <c r="H1728" i="8" s="1"/>
  <c r="H1729" i="8" s="1"/>
  <c r="H1730" i="8" s="1"/>
  <c r="H1731" i="8" s="1"/>
  <c r="H1732" i="8" s="1"/>
  <c r="H1733" i="8" s="1"/>
  <c r="H1734" i="8" s="1"/>
  <c r="H1735" i="8" s="1"/>
  <c r="H1736" i="8" s="1"/>
  <c r="H1737" i="8" s="1"/>
  <c r="H1738" i="8" s="1"/>
  <c r="H1739" i="8" s="1"/>
  <c r="H1740" i="8" s="1"/>
  <c r="H1741" i="8" s="1"/>
  <c r="H1742" i="8" s="1"/>
  <c r="H1743" i="8" s="1"/>
  <c r="H1744" i="8" s="1"/>
  <c r="H1745" i="8" s="1"/>
  <c r="H1746" i="8" s="1"/>
  <c r="H1747" i="8" s="1"/>
  <c r="H1748" i="8" s="1"/>
  <c r="H1749" i="8" s="1"/>
  <c r="H1750" i="8" s="1"/>
  <c r="H1751" i="8" s="1"/>
  <c r="H1752" i="8" s="1"/>
  <c r="H1753" i="8" s="1"/>
  <c r="H1754" i="8" s="1"/>
  <c r="H1755" i="8" s="1"/>
  <c r="H1756" i="8" s="1"/>
  <c r="H1757" i="8" s="1"/>
  <c r="H1758" i="8" s="1"/>
  <c r="H1759" i="8" s="1"/>
  <c r="H1760" i="8" s="1"/>
  <c r="H1761" i="8" s="1"/>
  <c r="H1762" i="8" s="1"/>
  <c r="H1763" i="8" s="1"/>
  <c r="H1764" i="8" s="1"/>
  <c r="H1765" i="8" s="1"/>
  <c r="H1766" i="8" s="1"/>
  <c r="H1767" i="8" s="1"/>
  <c r="H1768" i="8" s="1"/>
  <c r="H1769" i="8" s="1"/>
  <c r="H1770" i="8" s="1"/>
  <c r="H1771" i="8" s="1"/>
  <c r="H1772" i="8" s="1"/>
  <c r="H1773" i="8" s="1"/>
  <c r="H1774" i="8" s="1"/>
  <c r="H1775" i="8" s="1"/>
  <c r="H1776" i="8" s="1"/>
  <c r="H1777" i="8" s="1"/>
  <c r="H1778" i="8" s="1"/>
  <c r="H1779" i="8" s="1"/>
  <c r="H1780" i="8" s="1"/>
  <c r="H1781" i="8" s="1"/>
  <c r="H1782" i="8" s="1"/>
  <c r="H1783" i="8" s="1"/>
  <c r="H1784" i="8" s="1"/>
  <c r="H1785" i="8" s="1"/>
  <c r="H1786" i="8" s="1"/>
  <c r="H1787" i="8" s="1"/>
  <c r="H1788" i="8" s="1"/>
  <c r="H1789" i="8" s="1"/>
  <c r="H1790" i="8" s="1"/>
  <c r="H1791" i="8" s="1"/>
  <c r="H1792" i="8" s="1"/>
  <c r="H1793" i="8" s="1"/>
  <c r="H1794" i="8" s="1"/>
  <c r="H1795" i="8" s="1"/>
  <c r="H1796" i="8" s="1"/>
  <c r="H1797" i="8" s="1"/>
  <c r="H1798" i="8" s="1"/>
  <c r="H1799" i="8" s="1"/>
  <c r="H1800" i="8" s="1"/>
  <c r="H1801" i="8" s="1"/>
  <c r="H1802" i="8" s="1"/>
  <c r="H1803" i="8" s="1"/>
  <c r="H1804" i="8" s="1"/>
  <c r="H1805" i="8" s="1"/>
  <c r="H1806" i="8" s="1"/>
  <c r="H1807" i="8" s="1"/>
  <c r="H1808" i="8" s="1"/>
  <c r="H1809" i="8" s="1"/>
  <c r="H1810" i="8" s="1"/>
  <c r="H1811" i="8" s="1"/>
  <c r="H1812" i="8" s="1"/>
  <c r="H1813" i="8" s="1"/>
  <c r="H1814" i="8" s="1"/>
  <c r="H1815" i="8" s="1"/>
  <c r="H1816" i="8" s="1"/>
  <c r="H1817" i="8" s="1"/>
  <c r="H1818" i="8" s="1"/>
  <c r="H1819" i="8" s="1"/>
  <c r="H1820" i="8" s="1"/>
  <c r="H1821" i="8" s="1"/>
  <c r="H1822" i="8" s="1"/>
  <c r="H1823" i="8" s="1"/>
  <c r="H1824" i="8" s="1"/>
  <c r="H1825" i="8" s="1"/>
  <c r="H1826" i="8" s="1"/>
  <c r="H1827" i="8" s="1"/>
  <c r="H1828" i="8" s="1"/>
  <c r="H1829" i="8" s="1"/>
  <c r="H1830" i="8" s="1"/>
  <c r="H1831" i="8" s="1"/>
  <c r="H1832" i="8" s="1"/>
  <c r="H1833" i="8" s="1"/>
  <c r="H1834" i="8" s="1"/>
  <c r="H1835" i="8" s="1"/>
  <c r="H1836" i="8" s="1"/>
  <c r="H1837" i="8" s="1"/>
  <c r="H1838" i="8" s="1"/>
  <c r="H1839" i="8" s="1"/>
  <c r="H1840" i="8" s="1"/>
  <c r="H1841" i="8" s="1"/>
  <c r="H1842" i="8" s="1"/>
  <c r="H1843" i="8" s="1"/>
  <c r="H1844" i="8" s="1"/>
  <c r="H1845" i="8" s="1"/>
  <c r="H1846" i="8" s="1"/>
  <c r="H1847" i="8" s="1"/>
  <c r="H1848" i="8" s="1"/>
  <c r="H1849" i="8" s="1"/>
  <c r="H1850" i="8" s="1"/>
  <c r="H1851" i="8" s="1"/>
  <c r="H1852" i="8" s="1"/>
  <c r="H1853" i="8" s="1"/>
  <c r="H1854" i="8" s="1"/>
  <c r="H1855" i="8" s="1"/>
  <c r="H1856" i="8" s="1"/>
  <c r="H1857" i="8" s="1"/>
  <c r="H1858" i="8" s="1"/>
  <c r="H1859" i="8" s="1"/>
  <c r="H1860" i="8" s="1"/>
  <c r="H1861" i="8" s="1"/>
  <c r="H1862" i="8" s="1"/>
  <c r="H1863" i="8" s="1"/>
  <c r="H1864" i="8" s="1"/>
  <c r="H1865" i="8" s="1"/>
  <c r="H1866" i="8" s="1"/>
  <c r="H1867" i="8" s="1"/>
  <c r="H1868" i="8" s="1"/>
  <c r="H1869" i="8" s="1"/>
  <c r="H1870" i="8" s="1"/>
  <c r="H1871" i="8" s="1"/>
  <c r="H1872" i="8" s="1"/>
  <c r="H1873" i="8" s="1"/>
  <c r="H1874" i="8" s="1"/>
  <c r="H1875" i="8" s="1"/>
  <c r="H1876" i="8" s="1"/>
  <c r="H1877" i="8" s="1"/>
  <c r="H1878" i="8" s="1"/>
  <c r="H1879" i="8" s="1"/>
  <c r="H1880" i="8" s="1"/>
  <c r="H1881" i="8" s="1"/>
  <c r="H1882" i="8" s="1"/>
  <c r="H1883" i="8" s="1"/>
  <c r="H1884" i="8" s="1"/>
  <c r="H1885" i="8" s="1"/>
  <c r="H1886" i="8" s="1"/>
  <c r="H1887" i="8" s="1"/>
  <c r="H1888" i="8" s="1"/>
  <c r="H1889" i="8" s="1"/>
  <c r="H1890" i="8" s="1"/>
  <c r="H1891" i="8" s="1"/>
  <c r="H1892" i="8" s="1"/>
  <c r="H1893" i="8" s="1"/>
  <c r="H1894" i="8" s="1"/>
  <c r="H1895" i="8" s="1"/>
  <c r="H1896" i="8" s="1"/>
  <c r="H1897" i="8" s="1"/>
  <c r="H1898" i="8" s="1"/>
  <c r="H1899" i="8" s="1"/>
  <c r="H1900" i="8" s="1"/>
  <c r="H1901" i="8" s="1"/>
  <c r="H1902" i="8" s="1"/>
  <c r="H1903" i="8" s="1"/>
  <c r="H1904" i="8" s="1"/>
  <c r="H1905" i="8" s="1"/>
  <c r="H1906" i="8" s="1"/>
  <c r="H1907" i="8" s="1"/>
  <c r="H1908" i="8" s="1"/>
  <c r="H1909" i="8" s="1"/>
  <c r="H1910" i="8" s="1"/>
  <c r="H1911" i="8" s="1"/>
  <c r="H1912" i="8" s="1"/>
  <c r="H1913" i="8" s="1"/>
  <c r="H1914" i="8" s="1"/>
  <c r="H1915" i="8" s="1"/>
  <c r="H1916" i="8" s="1"/>
  <c r="H1917" i="8" s="1"/>
  <c r="H1918" i="8" s="1"/>
  <c r="H1919" i="8" s="1"/>
  <c r="H1920" i="8" s="1"/>
  <c r="H1921" i="8" s="1"/>
  <c r="H1922" i="8" s="1"/>
  <c r="H1923" i="8" s="1"/>
  <c r="H1924" i="8" s="1"/>
  <c r="H1925" i="8" s="1"/>
  <c r="H1926" i="8" s="1"/>
  <c r="H1927" i="8" s="1"/>
  <c r="H1928" i="8" s="1"/>
  <c r="H1929" i="8" s="1"/>
  <c r="H1930" i="8" s="1"/>
  <c r="H1931" i="8" s="1"/>
  <c r="H1932" i="8" s="1"/>
  <c r="H1933" i="8" s="1"/>
  <c r="H1934" i="8" s="1"/>
  <c r="H1935" i="8" s="1"/>
  <c r="H1936" i="8" s="1"/>
  <c r="H1937" i="8" s="1"/>
  <c r="H1938" i="8" s="1"/>
  <c r="H1939" i="8" s="1"/>
  <c r="H1940" i="8" s="1"/>
  <c r="H1941" i="8" s="1"/>
  <c r="H1942" i="8" s="1"/>
  <c r="H1943" i="8" s="1"/>
  <c r="H1944" i="8" s="1"/>
  <c r="H1945" i="8" s="1"/>
  <c r="H1946" i="8" s="1"/>
  <c r="H1947" i="8" s="1"/>
  <c r="H1948" i="8" s="1"/>
  <c r="H1949" i="8" s="1"/>
  <c r="H1950" i="8" s="1"/>
  <c r="H1951" i="8" s="1"/>
  <c r="H1952" i="8" s="1"/>
  <c r="H1953" i="8" s="1"/>
  <c r="H1954" i="8" s="1"/>
  <c r="H1955" i="8" s="1"/>
  <c r="H1956" i="8" s="1"/>
  <c r="H1957" i="8" s="1"/>
  <c r="H1958" i="8" s="1"/>
  <c r="H1959" i="8" s="1"/>
  <c r="H1960" i="8" s="1"/>
  <c r="H1961" i="8" s="1"/>
  <c r="H1962" i="8" s="1"/>
  <c r="H1963" i="8" s="1"/>
  <c r="H1964" i="8" s="1"/>
  <c r="H1965" i="8" s="1"/>
  <c r="H1966" i="8" s="1"/>
  <c r="H1967" i="8" s="1"/>
  <c r="H1968" i="8" s="1"/>
  <c r="H1969" i="8" s="1"/>
  <c r="H1970" i="8" s="1"/>
  <c r="H1971" i="8" s="1"/>
  <c r="H1972" i="8" s="1"/>
  <c r="H1973" i="8" s="1"/>
  <c r="H1974" i="8" s="1"/>
  <c r="H1975" i="8" s="1"/>
  <c r="H1976" i="8" s="1"/>
  <c r="H1977" i="8" s="1"/>
  <c r="H1978" i="8" s="1"/>
  <c r="H1979" i="8" s="1"/>
  <c r="H1980" i="8" s="1"/>
  <c r="H1981" i="8" s="1"/>
  <c r="H1982" i="8" s="1"/>
  <c r="H1983" i="8" s="1"/>
  <c r="H1984" i="8" s="1"/>
  <c r="H1985" i="8" s="1"/>
  <c r="H1986" i="8" s="1"/>
  <c r="H1987" i="8" s="1"/>
  <c r="H1988" i="8" s="1"/>
  <c r="H1989" i="8" s="1"/>
  <c r="H1990" i="8" s="1"/>
  <c r="H1991" i="8" s="1"/>
  <c r="H1992" i="8" s="1"/>
  <c r="H1993" i="8" s="1"/>
  <c r="H1994" i="8" s="1"/>
  <c r="H1995" i="8" s="1"/>
  <c r="H1996" i="8" s="1"/>
  <c r="H1997" i="8" s="1"/>
  <c r="H1998" i="8" s="1"/>
  <c r="H1999" i="8" s="1"/>
  <c r="H2000" i="8" s="1"/>
  <c r="H2001" i="8" s="1"/>
  <c r="H2002" i="8" s="1"/>
  <c r="H2003" i="8" s="1"/>
  <c r="H2004" i="8" s="1"/>
  <c r="H2005" i="8" s="1"/>
  <c r="H2006" i="8" s="1"/>
  <c r="H2007" i="8" s="1"/>
  <c r="H2008" i="8" s="1"/>
  <c r="H2009" i="8" s="1"/>
  <c r="H2010" i="8" s="1"/>
  <c r="H2011" i="8" s="1"/>
  <c r="H2012" i="8" s="1"/>
  <c r="H2013" i="8" s="1"/>
  <c r="H2014" i="8" s="1"/>
  <c r="H2015" i="8" s="1"/>
  <c r="H2016" i="8" s="1"/>
  <c r="H2017" i="8" s="1"/>
  <c r="H2018" i="8" s="1"/>
  <c r="H2019" i="8" s="1"/>
  <c r="H2020" i="8" s="1"/>
  <c r="H2021" i="8" s="1"/>
  <c r="H2022" i="8" s="1"/>
  <c r="H2023" i="8" s="1"/>
  <c r="H2024" i="8" s="1"/>
  <c r="H2025" i="8" s="1"/>
  <c r="H2026" i="8" s="1"/>
  <c r="H2027" i="8" s="1"/>
  <c r="H2028" i="8" s="1"/>
  <c r="H2029" i="8" s="1"/>
  <c r="H2030" i="8" s="1"/>
  <c r="H2031" i="8" s="1"/>
  <c r="H2032" i="8" s="1"/>
  <c r="H2033" i="8" s="1"/>
  <c r="H2034" i="8" s="1"/>
  <c r="H2035" i="8" s="1"/>
  <c r="H2036" i="8" s="1"/>
  <c r="H2037" i="8" s="1"/>
  <c r="H2038" i="8" s="1"/>
  <c r="H2039" i="8" s="1"/>
  <c r="H2040" i="8" s="1"/>
  <c r="H2041" i="8" s="1"/>
  <c r="H2042" i="8" s="1"/>
  <c r="H2043" i="8" s="1"/>
  <c r="H2044" i="8" s="1"/>
  <c r="H2045" i="8" s="1"/>
  <c r="H2046" i="8" s="1"/>
  <c r="H2047" i="8" s="1"/>
  <c r="H2048" i="8" s="1"/>
  <c r="H2049" i="8" s="1"/>
  <c r="H2050" i="8" s="1"/>
  <c r="H2051" i="8" s="1"/>
  <c r="H2052" i="8" s="1"/>
  <c r="H2053" i="8" s="1"/>
  <c r="H2054" i="8" s="1"/>
  <c r="H2055" i="8" s="1"/>
  <c r="H2056" i="8" s="1"/>
  <c r="H2057" i="8" s="1"/>
  <c r="H2058" i="8" s="1"/>
  <c r="H2059" i="8" s="1"/>
  <c r="H2060" i="8" s="1"/>
  <c r="H2061" i="8" s="1"/>
  <c r="H2062" i="8" s="1"/>
  <c r="H2063" i="8" s="1"/>
  <c r="H2064" i="8" s="1"/>
  <c r="H2065" i="8" s="1"/>
  <c r="H2066" i="8" s="1"/>
  <c r="H2067" i="8" s="1"/>
  <c r="H2068" i="8" s="1"/>
  <c r="H2069" i="8" s="1"/>
  <c r="H2070" i="8" s="1"/>
  <c r="H2071" i="8" s="1"/>
  <c r="H2072" i="8" s="1"/>
  <c r="H2073" i="8" s="1"/>
  <c r="H2074" i="8" s="1"/>
  <c r="H2075" i="8" s="1"/>
  <c r="H2076" i="8" s="1"/>
  <c r="H2077" i="8" s="1"/>
  <c r="H2078" i="8" s="1"/>
  <c r="H2079" i="8" s="1"/>
  <c r="H2080" i="8" s="1"/>
  <c r="H2081" i="8" s="1"/>
  <c r="H2082" i="8" s="1"/>
  <c r="H2083" i="8" s="1"/>
  <c r="H2084" i="8" s="1"/>
  <c r="H2085" i="8" s="1"/>
  <c r="H2086" i="8" s="1"/>
  <c r="H2087" i="8" s="1"/>
  <c r="H2088" i="8" s="1"/>
  <c r="H2089" i="8" s="1"/>
  <c r="H2090" i="8" s="1"/>
  <c r="H2091" i="8" s="1"/>
  <c r="H2092" i="8" s="1"/>
  <c r="H2093" i="8" s="1"/>
  <c r="H2094" i="8" s="1"/>
  <c r="H2095" i="8" s="1"/>
  <c r="H2096" i="8" s="1"/>
  <c r="H2097" i="8" s="1"/>
  <c r="H2098" i="8" s="1"/>
  <c r="H2099" i="8" s="1"/>
  <c r="H2100" i="8" s="1"/>
  <c r="H2101" i="8" s="1"/>
  <c r="H2102" i="8" s="1"/>
  <c r="H2103" i="8" s="1"/>
  <c r="H2104" i="8" s="1"/>
  <c r="H2105" i="8" s="1"/>
  <c r="H2106" i="8" s="1"/>
  <c r="H2107" i="8" s="1"/>
  <c r="H2108" i="8" s="1"/>
  <c r="H2109" i="8" s="1"/>
  <c r="H2110" i="8" s="1"/>
  <c r="H2111" i="8" s="1"/>
  <c r="H2112" i="8" s="1"/>
  <c r="H2113" i="8" s="1"/>
  <c r="H2114" i="8" s="1"/>
  <c r="H2115" i="8" s="1"/>
  <c r="H2116" i="8" s="1"/>
  <c r="H2117" i="8" s="1"/>
  <c r="H2118" i="8" s="1"/>
  <c r="H2119" i="8" s="1"/>
  <c r="H2120" i="8" s="1"/>
  <c r="H2121" i="8" s="1"/>
  <c r="H2122" i="8" s="1"/>
  <c r="H2123" i="8" s="1"/>
  <c r="H2124" i="8" s="1"/>
  <c r="H2125" i="8" s="1"/>
  <c r="H2126" i="8" s="1"/>
  <c r="H2127" i="8" s="1"/>
  <c r="H2128" i="8" s="1"/>
  <c r="H2129" i="8" s="1"/>
  <c r="H2130" i="8" s="1"/>
  <c r="H2131" i="8" s="1"/>
  <c r="H2132" i="8" s="1"/>
  <c r="H2133" i="8" s="1"/>
  <c r="H2134" i="8" s="1"/>
  <c r="H2135" i="8" s="1"/>
  <c r="H2136" i="8" s="1"/>
  <c r="H2137" i="8" s="1"/>
  <c r="H2138" i="8" s="1"/>
  <c r="H2139" i="8" s="1"/>
  <c r="H2140" i="8" s="1"/>
  <c r="H2141" i="8" s="1"/>
  <c r="H2142" i="8" s="1"/>
  <c r="H2143" i="8" s="1"/>
  <c r="H2144" i="8" s="1"/>
  <c r="H2145" i="8" s="1"/>
  <c r="H2146" i="8" s="1"/>
  <c r="H2147" i="8" s="1"/>
  <c r="H2148" i="8" s="1"/>
  <c r="H2149" i="8" s="1"/>
  <c r="H2150" i="8" s="1"/>
  <c r="H2151" i="8" s="1"/>
  <c r="H2152" i="8" s="1"/>
  <c r="H2153" i="8" s="1"/>
  <c r="H2154" i="8" s="1"/>
  <c r="H2155" i="8" s="1"/>
  <c r="H2156" i="8" s="1"/>
  <c r="H2157" i="8" s="1"/>
  <c r="H2158" i="8" s="1"/>
  <c r="H2159" i="8" s="1"/>
  <c r="H2160" i="8" s="1"/>
  <c r="H2161" i="8" s="1"/>
  <c r="H2162" i="8" s="1"/>
  <c r="H2163" i="8" s="1"/>
  <c r="H2164" i="8" s="1"/>
  <c r="H2165" i="8" s="1"/>
  <c r="H2166" i="8" s="1"/>
  <c r="H2167" i="8" s="1"/>
  <c r="H2168" i="8" s="1"/>
  <c r="H2169" i="8" s="1"/>
  <c r="H2170" i="8" s="1"/>
  <c r="H2171" i="8" s="1"/>
  <c r="H2172" i="8" s="1"/>
  <c r="H2173" i="8" s="1"/>
  <c r="H2174" i="8" s="1"/>
  <c r="H2175" i="8" s="1"/>
  <c r="H2176" i="8" s="1"/>
  <c r="H2177" i="8" s="1"/>
  <c r="H2178" i="8" s="1"/>
  <c r="H2179" i="8" s="1"/>
  <c r="H2180" i="8" s="1"/>
  <c r="H2181" i="8" s="1"/>
  <c r="H2182" i="8" s="1"/>
  <c r="H2183" i="8" s="1"/>
  <c r="H2184" i="8" s="1"/>
  <c r="H2185" i="8" s="1"/>
  <c r="H2186" i="8" s="1"/>
  <c r="H2187" i="8" s="1"/>
  <c r="H2188" i="8" s="1"/>
  <c r="H2189" i="8" s="1"/>
  <c r="H2190" i="8" s="1"/>
  <c r="H2191" i="8" s="1"/>
  <c r="H2192" i="8" s="1"/>
  <c r="H2193" i="8" s="1"/>
  <c r="H2194" i="8" s="1"/>
  <c r="H2195" i="8" s="1"/>
  <c r="H2196" i="8" s="1"/>
  <c r="H2197" i="8" s="1"/>
  <c r="H2198" i="8" s="1"/>
  <c r="H2199" i="8" s="1"/>
  <c r="H2200" i="8" s="1"/>
  <c r="H2201" i="8" s="1"/>
  <c r="H2202" i="8" s="1"/>
  <c r="H2203" i="8" s="1"/>
  <c r="H2204" i="8" s="1"/>
  <c r="H2205" i="8" s="1"/>
  <c r="H2206" i="8" s="1"/>
  <c r="H2207" i="8" s="1"/>
  <c r="H2208" i="8" s="1"/>
  <c r="H2209" i="8" s="1"/>
  <c r="H2210" i="8" s="1"/>
  <c r="H2211" i="8" s="1"/>
  <c r="H2212" i="8" s="1"/>
  <c r="H2213" i="8" s="1"/>
  <c r="H2214" i="8" s="1"/>
  <c r="H2215" i="8" s="1"/>
  <c r="H2216" i="8" s="1"/>
  <c r="H2217" i="8" s="1"/>
  <c r="H2218" i="8" s="1"/>
  <c r="H2219" i="8" s="1"/>
  <c r="H2220" i="8" s="1"/>
  <c r="H2221" i="8" s="1"/>
  <c r="H2222" i="8" s="1"/>
  <c r="H2223" i="8" s="1"/>
  <c r="H2224" i="8" s="1"/>
  <c r="H2225" i="8" s="1"/>
  <c r="H2226" i="8" s="1"/>
  <c r="H2227" i="8" s="1"/>
  <c r="H2228" i="8" s="1"/>
  <c r="H2229" i="8" s="1"/>
  <c r="H2230" i="8" s="1"/>
  <c r="H2231" i="8" s="1"/>
  <c r="H2232" i="8" s="1"/>
  <c r="H2233" i="8" s="1"/>
  <c r="H2234" i="8" s="1"/>
  <c r="H2235" i="8" s="1"/>
  <c r="H2236" i="8" s="1"/>
  <c r="H2237" i="8" s="1"/>
  <c r="H2238" i="8" s="1"/>
  <c r="H2239" i="8" s="1"/>
  <c r="H2240" i="8" s="1"/>
  <c r="H2241" i="8" s="1"/>
  <c r="H2242" i="8" s="1"/>
  <c r="H2243" i="8" s="1"/>
  <c r="H2244" i="8" s="1"/>
  <c r="H2245" i="8" s="1"/>
  <c r="H2246" i="8" s="1"/>
  <c r="H2247" i="8" s="1"/>
  <c r="H2248" i="8" s="1"/>
  <c r="H2249" i="8" s="1"/>
  <c r="H2250" i="8" s="1"/>
  <c r="H2251" i="8" s="1"/>
  <c r="H2252" i="8" s="1"/>
  <c r="H2253" i="8" s="1"/>
  <c r="H2254" i="8" s="1"/>
  <c r="H2255" i="8" s="1"/>
  <c r="H2256" i="8" s="1"/>
  <c r="H2257" i="8" s="1"/>
  <c r="H2258" i="8" s="1"/>
  <c r="H2259" i="8" s="1"/>
  <c r="H2260" i="8" s="1"/>
  <c r="H2261" i="8" s="1"/>
  <c r="H2262" i="8" s="1"/>
  <c r="H2263" i="8" s="1"/>
  <c r="H2264" i="8" s="1"/>
  <c r="H2265" i="8" s="1"/>
  <c r="H2266" i="8" s="1"/>
  <c r="H2267" i="8" s="1"/>
  <c r="H2268" i="8" s="1"/>
  <c r="H2269" i="8" s="1"/>
  <c r="H2270" i="8" s="1"/>
  <c r="H2271" i="8" s="1"/>
  <c r="H2272" i="8" s="1"/>
  <c r="H2273" i="8" s="1"/>
  <c r="H2274" i="8" s="1"/>
  <c r="H2275" i="8" s="1"/>
  <c r="H2276" i="8" s="1"/>
  <c r="H2277" i="8" s="1"/>
  <c r="H2278" i="8" s="1"/>
  <c r="H2279" i="8" s="1"/>
  <c r="H2280" i="8" s="1"/>
  <c r="H2281" i="8" s="1"/>
  <c r="H2282" i="8" s="1"/>
  <c r="H2283" i="8" s="1"/>
  <c r="H2284" i="8" s="1"/>
  <c r="H2285" i="8" s="1"/>
  <c r="H2286" i="8" s="1"/>
  <c r="H2287" i="8" s="1"/>
  <c r="H2288" i="8" s="1"/>
  <c r="H2289" i="8" s="1"/>
  <c r="H2290" i="8" s="1"/>
  <c r="H2291" i="8" s="1"/>
  <c r="H2292" i="8" s="1"/>
  <c r="H2293" i="8" s="1"/>
  <c r="H2294" i="8" s="1"/>
  <c r="H2295" i="8" s="1"/>
  <c r="H2296" i="8" s="1"/>
  <c r="H2297" i="8" s="1"/>
  <c r="H2298" i="8" s="1"/>
  <c r="H2299" i="8" s="1"/>
  <c r="H2300" i="8" s="1"/>
  <c r="H2301" i="8" s="1"/>
  <c r="H2302" i="8" s="1"/>
  <c r="H2303" i="8" s="1"/>
  <c r="H2304" i="8" s="1"/>
  <c r="H2305" i="8" s="1"/>
  <c r="H2306" i="8" s="1"/>
  <c r="H2307" i="8" s="1"/>
  <c r="H2308" i="8" s="1"/>
  <c r="H2309" i="8" s="1"/>
  <c r="H2310" i="8" s="1"/>
  <c r="H2311" i="8" s="1"/>
  <c r="H2312" i="8" s="1"/>
  <c r="H2313" i="8" s="1"/>
  <c r="H2314" i="8" s="1"/>
  <c r="H2315" i="8" s="1"/>
  <c r="H2316" i="8" s="1"/>
  <c r="H2317" i="8" s="1"/>
  <c r="H2318" i="8" s="1"/>
  <c r="H2319" i="8" s="1"/>
  <c r="H2320" i="8" s="1"/>
  <c r="H2321" i="8" s="1"/>
  <c r="H2322" i="8" s="1"/>
  <c r="H2323" i="8" s="1"/>
  <c r="H2324" i="8" s="1"/>
  <c r="H2325" i="8" s="1"/>
  <c r="H2326" i="8" s="1"/>
  <c r="H2327" i="8" s="1"/>
  <c r="H2328" i="8" s="1"/>
  <c r="H2329" i="8" s="1"/>
  <c r="H2330" i="8" s="1"/>
  <c r="H2331" i="8" s="1"/>
  <c r="H2332" i="8" s="1"/>
  <c r="H2333" i="8" s="1"/>
  <c r="H2334" i="8" s="1"/>
  <c r="H2335" i="8" s="1"/>
  <c r="H2336" i="8" s="1"/>
  <c r="H2337" i="8" s="1"/>
  <c r="H2338" i="8" s="1"/>
  <c r="H2339" i="8" s="1"/>
  <c r="H2340" i="8" s="1"/>
  <c r="H2341" i="8" s="1"/>
  <c r="H2342" i="8" s="1"/>
  <c r="H2343" i="8" s="1"/>
  <c r="H2344" i="8" s="1"/>
  <c r="H2345" i="8" s="1"/>
  <c r="H2346" i="8" s="1"/>
  <c r="H2347" i="8" s="1"/>
  <c r="H2348" i="8" s="1"/>
  <c r="H2349" i="8" s="1"/>
  <c r="H2350" i="8" s="1"/>
  <c r="H2351" i="8" s="1"/>
  <c r="H2352" i="8" s="1"/>
  <c r="H2353" i="8" s="1"/>
  <c r="H2354" i="8" s="1"/>
  <c r="H2355" i="8" s="1"/>
  <c r="H2356" i="8" s="1"/>
  <c r="H2357" i="8" s="1"/>
  <c r="H2358" i="8" s="1"/>
  <c r="H2359" i="8" s="1"/>
  <c r="H2360" i="8" s="1"/>
  <c r="H2361" i="8" s="1"/>
  <c r="H2362" i="8" s="1"/>
  <c r="H2363" i="8" s="1"/>
  <c r="H2364" i="8" s="1"/>
  <c r="H2365" i="8" s="1"/>
  <c r="H2366" i="8" s="1"/>
  <c r="H2367" i="8" s="1"/>
  <c r="H2368" i="8" s="1"/>
  <c r="H2369" i="8" s="1"/>
  <c r="H2370" i="8" s="1"/>
  <c r="H2371" i="8" s="1"/>
  <c r="H2372" i="8" s="1"/>
  <c r="H2373" i="8" s="1"/>
  <c r="H2374" i="8" s="1"/>
  <c r="H2375" i="8" s="1"/>
  <c r="H2376" i="8" s="1"/>
  <c r="H2377" i="8" s="1"/>
  <c r="H2378" i="8" s="1"/>
  <c r="H2379" i="8" s="1"/>
  <c r="H2380" i="8" s="1"/>
  <c r="H2381" i="8" s="1"/>
  <c r="H2382" i="8" s="1"/>
  <c r="H2383" i="8" s="1"/>
  <c r="H2384" i="8" s="1"/>
  <c r="H2385" i="8" s="1"/>
  <c r="H2386" i="8" s="1"/>
  <c r="H2387" i="8" s="1"/>
  <c r="H2388" i="8" s="1"/>
  <c r="H2389" i="8" s="1"/>
  <c r="H2390" i="8" s="1"/>
  <c r="H2391" i="8" s="1"/>
  <c r="H2392" i="8" s="1"/>
  <c r="H2393" i="8" s="1"/>
  <c r="H2394" i="8" s="1"/>
  <c r="H2395" i="8" s="1"/>
  <c r="H2396" i="8" s="1"/>
  <c r="H2397" i="8" s="1"/>
  <c r="H2398" i="8" s="1"/>
  <c r="H2399" i="8" s="1"/>
  <c r="H2400" i="8" s="1"/>
  <c r="H2401" i="8" s="1"/>
  <c r="H2402" i="8" s="1"/>
  <c r="H2403" i="8" s="1"/>
  <c r="H2404" i="8" s="1"/>
  <c r="H2405" i="8" s="1"/>
  <c r="H2406" i="8" s="1"/>
  <c r="H2407" i="8" s="1"/>
  <c r="H2408" i="8" s="1"/>
  <c r="H2409" i="8" s="1"/>
  <c r="H2410" i="8" s="1"/>
  <c r="H2411" i="8" s="1"/>
  <c r="H2412" i="8" s="1"/>
  <c r="H2413" i="8" s="1"/>
  <c r="H2414" i="8" s="1"/>
  <c r="H2415" i="8" s="1"/>
  <c r="H2416" i="8" s="1"/>
  <c r="H2417" i="8" s="1"/>
  <c r="H2418" i="8" s="1"/>
  <c r="H2419" i="8" s="1"/>
  <c r="H2420" i="8" s="1"/>
  <c r="H2421" i="8" s="1"/>
  <c r="H2422" i="8" s="1"/>
  <c r="H2423" i="8" s="1"/>
  <c r="H2424" i="8" s="1"/>
  <c r="H2425" i="8" s="1"/>
  <c r="H2426" i="8" s="1"/>
  <c r="H2427" i="8" s="1"/>
  <c r="H2428" i="8" s="1"/>
  <c r="H2429" i="8" s="1"/>
  <c r="H2430" i="8" s="1"/>
  <c r="H2431" i="8" s="1"/>
  <c r="H2432" i="8" s="1"/>
  <c r="H2433" i="8" s="1"/>
  <c r="H2434" i="8" s="1"/>
  <c r="H2435" i="8" s="1"/>
  <c r="H2436" i="8" s="1"/>
  <c r="H2437" i="8" s="1"/>
  <c r="H2438" i="8" s="1"/>
  <c r="H2439" i="8" s="1"/>
  <c r="H2440" i="8" s="1"/>
  <c r="H2441" i="8" s="1"/>
  <c r="H2442" i="8" s="1"/>
  <c r="H2443" i="8" s="1"/>
  <c r="H2444" i="8" s="1"/>
  <c r="H2445" i="8" s="1"/>
  <c r="H2446" i="8" s="1"/>
  <c r="H2447" i="8" s="1"/>
  <c r="H2448" i="8" s="1"/>
  <c r="H2449" i="8" s="1"/>
  <c r="H2450" i="8" s="1"/>
  <c r="H2451" i="8" s="1"/>
  <c r="H2452" i="8" s="1"/>
  <c r="H2453" i="8" s="1"/>
  <c r="H2454" i="8" s="1"/>
  <c r="H2455" i="8" s="1"/>
  <c r="H2456" i="8" s="1"/>
  <c r="H2457" i="8" s="1"/>
  <c r="H2458" i="8" s="1"/>
  <c r="H2459" i="8" s="1"/>
  <c r="H2460" i="8" s="1"/>
  <c r="H2461" i="8" s="1"/>
  <c r="H2462" i="8" s="1"/>
  <c r="H2463" i="8" s="1"/>
  <c r="H2464" i="8" s="1"/>
  <c r="H2465" i="8" s="1"/>
  <c r="H2466" i="8" s="1"/>
  <c r="H2467" i="8" s="1"/>
  <c r="H2468" i="8" s="1"/>
  <c r="H2469" i="8" s="1"/>
  <c r="H2470" i="8" s="1"/>
  <c r="H2471" i="8" s="1"/>
  <c r="H2472" i="8" s="1"/>
  <c r="H2473" i="8" s="1"/>
  <c r="H2474" i="8" s="1"/>
  <c r="H2475" i="8" s="1"/>
  <c r="H2476" i="8" s="1"/>
  <c r="H2477" i="8" s="1"/>
  <c r="H2478" i="8" s="1"/>
  <c r="H2479" i="8" s="1"/>
  <c r="H2480" i="8" s="1"/>
  <c r="H2481" i="8" s="1"/>
  <c r="H2482" i="8" s="1"/>
  <c r="H2483" i="8" s="1"/>
  <c r="H2484" i="8" s="1"/>
  <c r="H2485" i="8" s="1"/>
  <c r="H2486" i="8" s="1"/>
  <c r="H2487" i="8" s="1"/>
  <c r="H2488" i="8" s="1"/>
  <c r="H2489" i="8" s="1"/>
  <c r="H2490" i="8" s="1"/>
  <c r="H2491" i="8" s="1"/>
  <c r="H2492" i="8" s="1"/>
  <c r="H2493" i="8" s="1"/>
  <c r="H2494" i="8" s="1"/>
  <c r="H2495" i="8" s="1"/>
  <c r="H2496" i="8" s="1"/>
  <c r="H2497" i="8" s="1"/>
  <c r="H2498" i="8" s="1"/>
  <c r="H2499" i="8" s="1"/>
  <c r="H2500" i="8" s="1"/>
  <c r="H2501" i="8" s="1"/>
  <c r="H2502" i="8" s="1"/>
  <c r="H2503" i="8" s="1"/>
  <c r="H2504" i="8" s="1"/>
  <c r="H2505" i="8" s="1"/>
  <c r="H2506" i="8" s="1"/>
  <c r="H2507" i="8" s="1"/>
  <c r="H2508" i="8" s="1"/>
  <c r="H2509" i="8" s="1"/>
  <c r="H2510" i="8" s="1"/>
  <c r="H2511" i="8" s="1"/>
  <c r="H2512" i="8" s="1"/>
  <c r="H2513" i="8" s="1"/>
  <c r="H2514" i="8" s="1"/>
  <c r="H2515" i="8" s="1"/>
  <c r="H2516" i="8" s="1"/>
  <c r="H2517" i="8" s="1"/>
  <c r="H2518" i="8" s="1"/>
  <c r="H2519" i="8" s="1"/>
  <c r="H2520" i="8" s="1"/>
  <c r="H2521" i="8" s="1"/>
  <c r="H2522" i="8" s="1"/>
  <c r="H2523" i="8" s="1"/>
  <c r="H2524" i="8" s="1"/>
  <c r="H2525" i="8" s="1"/>
  <c r="H2526" i="8" s="1"/>
  <c r="H2527" i="8" s="1"/>
  <c r="H2528" i="8" s="1"/>
  <c r="H2529" i="8" s="1"/>
  <c r="H2530" i="8" s="1"/>
  <c r="H2531" i="8" s="1"/>
  <c r="H2532" i="8" s="1"/>
  <c r="H2533" i="8" s="1"/>
  <c r="H2534" i="8" s="1"/>
  <c r="H2535" i="8" s="1"/>
  <c r="H2536" i="8" s="1"/>
  <c r="H2537" i="8" s="1"/>
  <c r="H2538" i="8" s="1"/>
  <c r="H2539" i="8" s="1"/>
  <c r="H2540" i="8" s="1"/>
  <c r="H2541" i="8" s="1"/>
  <c r="H2542" i="8" s="1"/>
  <c r="H2543" i="8" s="1"/>
  <c r="H2544" i="8" s="1"/>
  <c r="H2545" i="8" s="1"/>
  <c r="H2546" i="8" s="1"/>
  <c r="H2547" i="8" s="1"/>
  <c r="H2548" i="8" s="1"/>
  <c r="H2549" i="8" s="1"/>
  <c r="H2550" i="8" s="1"/>
  <c r="H2551" i="8" s="1"/>
  <c r="H2552" i="8" s="1"/>
  <c r="H2553" i="8" s="1"/>
  <c r="H2554" i="8" s="1"/>
  <c r="H2555" i="8" s="1"/>
  <c r="H2556" i="8" s="1"/>
  <c r="H2557" i="8" s="1"/>
  <c r="H2558" i="8" s="1"/>
  <c r="H2559" i="8" s="1"/>
  <c r="H2560" i="8" s="1"/>
  <c r="H2561" i="8" s="1"/>
  <c r="H2562" i="8" s="1"/>
  <c r="H2563" i="8" s="1"/>
  <c r="H2564" i="8" s="1"/>
  <c r="H2565" i="8" s="1"/>
  <c r="H2566" i="8" s="1"/>
  <c r="H2567" i="8" s="1"/>
  <c r="H2568" i="8" s="1"/>
  <c r="H2569" i="8" s="1"/>
  <c r="H2570" i="8" s="1"/>
  <c r="H2571" i="8" s="1"/>
  <c r="H2572" i="8" s="1"/>
  <c r="H2573" i="8" s="1"/>
  <c r="H2574" i="8" s="1"/>
  <c r="H2575" i="8" s="1"/>
  <c r="H2576" i="8" s="1"/>
  <c r="H2577" i="8" s="1"/>
  <c r="H2578" i="8" s="1"/>
  <c r="H2579" i="8" s="1"/>
  <c r="H2580" i="8" s="1"/>
  <c r="H2581" i="8" s="1"/>
  <c r="H2582" i="8" s="1"/>
  <c r="H2583" i="8" s="1"/>
  <c r="H2584" i="8" s="1"/>
  <c r="H2585" i="8" s="1"/>
  <c r="H2586" i="8" s="1"/>
  <c r="H2587" i="8" s="1"/>
  <c r="H2588" i="8" s="1"/>
  <c r="H2589" i="8" s="1"/>
  <c r="H2590" i="8" s="1"/>
  <c r="H2591" i="8" s="1"/>
  <c r="H2592" i="8" s="1"/>
  <c r="H2593" i="8" s="1"/>
  <c r="H2594" i="8" s="1"/>
  <c r="H2595" i="8" s="1"/>
  <c r="H2596" i="8" s="1"/>
  <c r="H2597" i="8" s="1"/>
  <c r="H2598" i="8" s="1"/>
  <c r="H2599" i="8" s="1"/>
  <c r="H2600" i="8" s="1"/>
  <c r="H2601" i="8" s="1"/>
  <c r="H2602" i="8" s="1"/>
  <c r="H2603" i="8" s="1"/>
  <c r="H2604" i="8" s="1"/>
  <c r="H2605" i="8" s="1"/>
  <c r="H2606" i="8" s="1"/>
  <c r="H2607" i="8" s="1"/>
  <c r="H2608" i="8" s="1"/>
  <c r="H2609" i="8" s="1"/>
  <c r="H2610" i="8" s="1"/>
  <c r="H2611" i="8" s="1"/>
  <c r="H2612" i="8" s="1"/>
  <c r="H2613" i="8" s="1"/>
  <c r="H2614" i="8" s="1"/>
  <c r="H2615" i="8" s="1"/>
  <c r="H2616" i="8" s="1"/>
  <c r="H2617" i="8" s="1"/>
  <c r="H2618" i="8" s="1"/>
  <c r="H2619" i="8" s="1"/>
  <c r="H2620" i="8" s="1"/>
  <c r="H2621" i="8" s="1"/>
  <c r="H2622" i="8" s="1"/>
  <c r="H2623" i="8" s="1"/>
  <c r="H2624" i="8" s="1"/>
  <c r="H2625" i="8" s="1"/>
  <c r="H2626" i="8" s="1"/>
  <c r="H2627" i="8" s="1"/>
  <c r="H2628" i="8" s="1"/>
  <c r="H2629" i="8" s="1"/>
  <c r="H2630" i="8" s="1"/>
  <c r="H2631" i="8" s="1"/>
  <c r="H2632" i="8" s="1"/>
  <c r="H2633" i="8" s="1"/>
  <c r="H2634" i="8" s="1"/>
  <c r="H2635" i="8" s="1"/>
  <c r="H2636" i="8" s="1"/>
  <c r="H2637" i="8" s="1"/>
  <c r="H2638" i="8" s="1"/>
  <c r="H2639" i="8" s="1"/>
  <c r="H2640" i="8" s="1"/>
  <c r="H2641" i="8" s="1"/>
  <c r="H2642" i="8" s="1"/>
  <c r="H2643" i="8" s="1"/>
  <c r="H2644" i="8" s="1"/>
  <c r="H2645" i="8" s="1"/>
  <c r="H2646" i="8" s="1"/>
  <c r="H2647" i="8" s="1"/>
  <c r="H2648" i="8" s="1"/>
  <c r="H2649" i="8" s="1"/>
  <c r="H2650" i="8" s="1"/>
  <c r="H2651" i="8" s="1"/>
  <c r="H2652" i="8" s="1"/>
  <c r="H2653" i="8" s="1"/>
  <c r="H2654" i="8" s="1"/>
  <c r="H2655" i="8" s="1"/>
  <c r="H2656" i="8" s="1"/>
  <c r="H2657" i="8" s="1"/>
  <c r="H2658" i="8" s="1"/>
  <c r="H2659" i="8" s="1"/>
  <c r="H2660" i="8" s="1"/>
  <c r="H2661" i="8" s="1"/>
  <c r="H2662" i="8" s="1"/>
  <c r="H2663" i="8" s="1"/>
  <c r="H2664" i="8" s="1"/>
  <c r="H2665" i="8" s="1"/>
  <c r="H2666" i="8" s="1"/>
  <c r="H2667" i="8" s="1"/>
  <c r="H2668" i="8" s="1"/>
  <c r="H2669" i="8" s="1"/>
  <c r="H2670" i="8" s="1"/>
  <c r="H2671" i="8" s="1"/>
  <c r="H2672" i="8" s="1"/>
  <c r="H2673" i="8" s="1"/>
  <c r="H2674" i="8" s="1"/>
  <c r="H2675" i="8" s="1"/>
  <c r="H2676" i="8" s="1"/>
  <c r="H2677" i="8" s="1"/>
  <c r="H2678" i="8" s="1"/>
  <c r="H2679" i="8" s="1"/>
  <c r="H2680" i="8" s="1"/>
  <c r="H2681" i="8" s="1"/>
  <c r="H2682" i="8" s="1"/>
  <c r="H2683" i="8" s="1"/>
  <c r="H2684" i="8" s="1"/>
  <c r="H2685" i="8" s="1"/>
  <c r="H2686" i="8" s="1"/>
  <c r="H2687" i="8" s="1"/>
  <c r="H2688" i="8" s="1"/>
  <c r="H2689" i="8" s="1"/>
  <c r="H2690" i="8" s="1"/>
  <c r="H2691" i="8" s="1"/>
  <c r="H2692" i="8" s="1"/>
  <c r="H2693" i="8" s="1"/>
  <c r="H2694" i="8" s="1"/>
  <c r="H2695" i="8" s="1"/>
  <c r="H2696" i="8" s="1"/>
  <c r="H2697" i="8" s="1"/>
  <c r="H2698" i="8" s="1"/>
  <c r="H2699" i="8" s="1"/>
  <c r="H2700" i="8" s="1"/>
  <c r="H2701" i="8" s="1"/>
  <c r="H2702" i="8" s="1"/>
  <c r="H2703" i="8" s="1"/>
  <c r="H2704" i="8" s="1"/>
  <c r="H2705" i="8" s="1"/>
  <c r="H2706" i="8" s="1"/>
  <c r="H2707" i="8" s="1"/>
  <c r="H2708" i="8" s="1"/>
  <c r="H2709" i="8" s="1"/>
  <c r="H2710" i="8" s="1"/>
  <c r="H2711" i="8" s="1"/>
  <c r="H2712" i="8" s="1"/>
  <c r="H2713" i="8" s="1"/>
  <c r="H2714" i="8" s="1"/>
  <c r="H2715" i="8" s="1"/>
  <c r="H2716" i="8" s="1"/>
  <c r="H2717" i="8" s="1"/>
  <c r="H2718" i="8" s="1"/>
  <c r="H2719" i="8" s="1"/>
  <c r="H2720" i="8" s="1"/>
  <c r="H2721" i="8" s="1"/>
  <c r="H2722" i="8" s="1"/>
  <c r="H2723" i="8" s="1"/>
  <c r="H2724" i="8" s="1"/>
  <c r="H2725" i="8" s="1"/>
  <c r="H2726" i="8" s="1"/>
  <c r="H2727" i="8" s="1"/>
  <c r="H2728" i="8" s="1"/>
  <c r="H2729" i="8" s="1"/>
  <c r="H2730" i="8" s="1"/>
  <c r="H2731" i="8" s="1"/>
  <c r="H2732" i="8" s="1"/>
  <c r="H2733" i="8" s="1"/>
  <c r="H2734" i="8" s="1"/>
  <c r="H2735" i="8" s="1"/>
  <c r="H2736" i="8" s="1"/>
  <c r="H2737" i="8" s="1"/>
  <c r="H2738" i="8" s="1"/>
  <c r="H2739" i="8" s="1"/>
  <c r="H2740" i="8" s="1"/>
  <c r="H2741" i="8" s="1"/>
  <c r="H2742" i="8" s="1"/>
  <c r="H2743" i="8" s="1"/>
  <c r="H2744" i="8" s="1"/>
  <c r="H2745" i="8" s="1"/>
  <c r="H2746" i="8" s="1"/>
  <c r="H2747" i="8" s="1"/>
  <c r="H2748" i="8" s="1"/>
  <c r="H2749" i="8" s="1"/>
  <c r="H2750" i="8" s="1"/>
  <c r="H2751" i="8" s="1"/>
  <c r="H2752" i="8" s="1"/>
  <c r="H2753" i="8" s="1"/>
  <c r="H2754" i="8" s="1"/>
  <c r="H2755" i="8" s="1"/>
  <c r="H2756" i="8" s="1"/>
  <c r="H2757" i="8" s="1"/>
  <c r="H2758" i="8" s="1"/>
  <c r="H2759" i="8" s="1"/>
  <c r="H2760" i="8" s="1"/>
  <c r="H2761" i="8" s="1"/>
  <c r="H2762" i="8" s="1"/>
  <c r="H2763" i="8" s="1"/>
  <c r="H2764" i="8" s="1"/>
  <c r="H2765" i="8" s="1"/>
  <c r="H2766" i="8" s="1"/>
  <c r="H2767" i="8" s="1"/>
  <c r="H2768" i="8" s="1"/>
  <c r="H2769" i="8" s="1"/>
  <c r="H2770" i="8" s="1"/>
  <c r="H2771" i="8" s="1"/>
  <c r="H2772" i="8" s="1"/>
  <c r="H2773" i="8" s="1"/>
  <c r="H2774" i="8" s="1"/>
  <c r="H2775" i="8" s="1"/>
  <c r="H2776" i="8" s="1"/>
  <c r="H2777" i="8" s="1"/>
  <c r="H2778" i="8" s="1"/>
  <c r="H2779" i="8" s="1"/>
  <c r="H2780" i="8" s="1"/>
  <c r="H2781" i="8" s="1"/>
  <c r="H2782" i="8" s="1"/>
  <c r="H2783" i="8" s="1"/>
  <c r="H2784" i="8" s="1"/>
  <c r="H2785" i="8" s="1"/>
  <c r="H2786" i="8" s="1"/>
  <c r="H2787" i="8" s="1"/>
  <c r="H2788" i="8" s="1"/>
  <c r="H2789" i="8" s="1"/>
  <c r="H2790" i="8" s="1"/>
  <c r="H2791" i="8" s="1"/>
  <c r="H2792" i="8" s="1"/>
  <c r="H2793" i="8" s="1"/>
  <c r="H2794" i="8" s="1"/>
  <c r="H2795" i="8" s="1"/>
  <c r="H2796" i="8" s="1"/>
  <c r="H2797" i="8" s="1"/>
  <c r="H2798" i="8" s="1"/>
  <c r="H2799" i="8" s="1"/>
  <c r="H2800" i="8" s="1"/>
  <c r="H2801" i="8" s="1"/>
  <c r="H2802" i="8" s="1"/>
  <c r="H2803" i="8" s="1"/>
  <c r="H2804" i="8" s="1"/>
  <c r="H2805" i="8" s="1"/>
  <c r="H2806" i="8" s="1"/>
  <c r="H2807" i="8" s="1"/>
  <c r="H2808" i="8" s="1"/>
  <c r="H2809" i="8" s="1"/>
  <c r="H2810" i="8" s="1"/>
  <c r="H2811" i="8" s="1"/>
  <c r="H2812" i="8" s="1"/>
  <c r="H2813" i="8" s="1"/>
  <c r="H2814" i="8" s="1"/>
  <c r="H2815" i="8" s="1"/>
  <c r="H2816" i="8" s="1"/>
  <c r="H2817" i="8" s="1"/>
  <c r="H2818" i="8" s="1"/>
  <c r="H2819" i="8" s="1"/>
  <c r="H2820" i="8" s="1"/>
  <c r="H2821" i="8" s="1"/>
  <c r="H2822" i="8" s="1"/>
  <c r="H2823" i="8" s="1"/>
  <c r="H2824" i="8" s="1"/>
  <c r="H2825" i="8" s="1"/>
  <c r="H2826" i="8" s="1"/>
  <c r="H2827" i="8" s="1"/>
  <c r="H2828" i="8" s="1"/>
  <c r="H2829" i="8" s="1"/>
  <c r="H2830" i="8" s="1"/>
  <c r="H2831" i="8" s="1"/>
  <c r="H2832" i="8" s="1"/>
  <c r="H2833" i="8" s="1"/>
  <c r="H2834" i="8" s="1"/>
  <c r="H2835" i="8" s="1"/>
  <c r="H2836" i="8" s="1"/>
  <c r="H2837" i="8" s="1"/>
  <c r="H2838" i="8" s="1"/>
  <c r="H2839" i="8" s="1"/>
  <c r="H2840" i="8" s="1"/>
  <c r="H2841" i="8" s="1"/>
  <c r="H2842" i="8" s="1"/>
  <c r="H2843" i="8" s="1"/>
  <c r="H2844" i="8" s="1"/>
  <c r="H2845" i="8" s="1"/>
  <c r="H2846" i="8" s="1"/>
  <c r="H2847" i="8" s="1"/>
  <c r="H2848" i="8" s="1"/>
  <c r="H2849" i="8" s="1"/>
  <c r="H2850" i="8" s="1"/>
  <c r="H2851" i="8" s="1"/>
  <c r="H2852" i="8" s="1"/>
  <c r="H2853" i="8" s="1"/>
  <c r="H2854" i="8" s="1"/>
  <c r="H2855" i="8" s="1"/>
  <c r="H2856" i="8" s="1"/>
  <c r="H2857" i="8" s="1"/>
  <c r="H2858" i="8" s="1"/>
  <c r="H2859" i="8" s="1"/>
  <c r="H2860" i="8" s="1"/>
  <c r="H2861" i="8" s="1"/>
  <c r="H2862" i="8" s="1"/>
  <c r="H2863" i="8" s="1"/>
  <c r="H2864" i="8" s="1"/>
  <c r="H2865" i="8" s="1"/>
  <c r="H2866" i="8" s="1"/>
  <c r="H2867" i="8" s="1"/>
  <c r="H2868" i="8" s="1"/>
  <c r="H2869" i="8" s="1"/>
  <c r="H2870" i="8" s="1"/>
  <c r="H2871" i="8" s="1"/>
  <c r="H2872" i="8" s="1"/>
  <c r="H2873" i="8" s="1"/>
  <c r="H2874" i="8" s="1"/>
  <c r="H2875" i="8" s="1"/>
  <c r="H2876" i="8" s="1"/>
  <c r="H2877" i="8" s="1"/>
  <c r="H2878" i="8" s="1"/>
  <c r="H2879" i="8" s="1"/>
  <c r="H2880" i="8" s="1"/>
  <c r="H2881" i="8" s="1"/>
  <c r="H2882" i="8" s="1"/>
  <c r="H2883" i="8" s="1"/>
  <c r="H2884" i="8" s="1"/>
  <c r="H2885" i="8" s="1"/>
  <c r="H2886" i="8" s="1"/>
  <c r="H2887" i="8" s="1"/>
  <c r="H2888" i="8" s="1"/>
  <c r="H2889" i="8" s="1"/>
  <c r="H2890" i="8" s="1"/>
  <c r="H2891" i="8" s="1"/>
  <c r="H2892" i="8" s="1"/>
  <c r="H2893" i="8" s="1"/>
  <c r="H2894" i="8" s="1"/>
  <c r="H2895" i="8" s="1"/>
  <c r="H2896" i="8" s="1"/>
  <c r="H2897" i="8" s="1"/>
  <c r="H2898" i="8" s="1"/>
  <c r="H2899" i="8" s="1"/>
  <c r="H2900" i="8" s="1"/>
  <c r="H2901" i="8" s="1"/>
  <c r="H2902" i="8" s="1"/>
  <c r="H2903" i="8" s="1"/>
  <c r="H2904" i="8" s="1"/>
  <c r="H2905" i="8" s="1"/>
  <c r="H2906" i="8" s="1"/>
  <c r="H2907" i="8" s="1"/>
  <c r="H2908" i="8" s="1"/>
  <c r="H2909" i="8" s="1"/>
  <c r="H2910" i="8" s="1"/>
  <c r="H2911" i="8" s="1"/>
  <c r="H2912" i="8" s="1"/>
  <c r="H2913" i="8" s="1"/>
  <c r="H2914" i="8" s="1"/>
  <c r="H2915" i="8" s="1"/>
  <c r="H2916" i="8" s="1"/>
  <c r="H2917" i="8" s="1"/>
  <c r="H2918" i="8" s="1"/>
  <c r="H2919" i="8" s="1"/>
  <c r="H2920" i="8" s="1"/>
  <c r="H2921" i="8" s="1"/>
  <c r="H2922" i="8" s="1"/>
  <c r="H2923" i="8" s="1"/>
  <c r="H2924" i="8" s="1"/>
  <c r="H2925" i="8" s="1"/>
  <c r="H2926" i="8" s="1"/>
  <c r="H2927" i="8" s="1"/>
  <c r="H2928" i="8" s="1"/>
  <c r="H2929" i="8" s="1"/>
  <c r="H2930" i="8" s="1"/>
  <c r="H2931" i="8" s="1"/>
  <c r="H2932" i="8" s="1"/>
  <c r="H2933" i="8" s="1"/>
  <c r="H2934" i="8" s="1"/>
  <c r="H2935" i="8" s="1"/>
  <c r="H2936" i="8" s="1"/>
  <c r="H2937" i="8" s="1"/>
  <c r="H2938" i="8" s="1"/>
  <c r="H2939" i="8" s="1"/>
  <c r="H2940" i="8" s="1"/>
  <c r="H2941" i="8" s="1"/>
  <c r="H2942" i="8" s="1"/>
  <c r="H2943" i="8" s="1"/>
  <c r="H2944" i="8" s="1"/>
  <c r="H2945" i="8" s="1"/>
  <c r="H2946" i="8" s="1"/>
  <c r="H2947" i="8" s="1"/>
  <c r="H2948" i="8" s="1"/>
  <c r="H2949" i="8" s="1"/>
  <c r="H2950" i="8" s="1"/>
  <c r="H2951" i="8" s="1"/>
  <c r="H2952" i="8" s="1"/>
  <c r="H2953" i="8" s="1"/>
  <c r="H2954" i="8" s="1"/>
  <c r="H2955" i="8" s="1"/>
  <c r="H2956" i="8" s="1"/>
  <c r="H2957" i="8" s="1"/>
  <c r="H2958" i="8" s="1"/>
  <c r="H2959" i="8" s="1"/>
  <c r="H2960" i="8" s="1"/>
  <c r="H2961" i="8" s="1"/>
  <c r="H2962" i="8" s="1"/>
  <c r="H2963" i="8" s="1"/>
  <c r="H2964" i="8" s="1"/>
  <c r="H2965" i="8" s="1"/>
  <c r="H2966" i="8" s="1"/>
  <c r="H2967" i="8" s="1"/>
  <c r="H2968" i="8" s="1"/>
  <c r="H2969" i="8" s="1"/>
  <c r="H2970" i="8" s="1"/>
  <c r="H2971" i="8" s="1"/>
  <c r="H2972" i="8" s="1"/>
  <c r="H2973" i="8" s="1"/>
  <c r="H2974" i="8" s="1"/>
  <c r="H2975" i="8" s="1"/>
  <c r="H2976" i="8" s="1"/>
  <c r="H2977" i="8" s="1"/>
  <c r="H2978" i="8" s="1"/>
  <c r="H2979" i="8" s="1"/>
  <c r="H2980" i="8" s="1"/>
  <c r="H2981" i="8" s="1"/>
  <c r="H2982" i="8" s="1"/>
  <c r="H2983" i="8" s="1"/>
  <c r="H2984" i="8" s="1"/>
  <c r="H2985" i="8" s="1"/>
  <c r="H2986" i="8" s="1"/>
  <c r="H2987" i="8" s="1"/>
  <c r="H2988" i="8" s="1"/>
  <c r="H2989" i="8" s="1"/>
  <c r="H2990" i="8" s="1"/>
  <c r="H2991" i="8" s="1"/>
  <c r="H2992" i="8" s="1"/>
  <c r="H2993" i="8" s="1"/>
  <c r="H2994" i="8" s="1"/>
  <c r="H2995" i="8" s="1"/>
  <c r="H2996" i="8" s="1"/>
  <c r="H2997" i="8" s="1"/>
  <c r="H2998" i="8" s="1"/>
  <c r="H2999" i="8" s="1"/>
  <c r="H3000" i="8" s="1"/>
  <c r="H3001" i="8" s="1"/>
  <c r="H3002" i="8" s="1"/>
  <c r="H3003" i="8" s="1"/>
  <c r="H3004" i="8" s="1"/>
  <c r="H3005" i="8" s="1"/>
  <c r="H3006" i="8" s="1"/>
  <c r="H3007" i="8" s="1"/>
  <c r="H3008" i="8" s="1"/>
  <c r="H3009" i="8" s="1"/>
  <c r="H3010" i="8" s="1"/>
  <c r="H3011" i="8" s="1"/>
  <c r="H3012" i="8" s="1"/>
  <c r="H3013" i="8" s="1"/>
  <c r="H3014" i="8" s="1"/>
  <c r="H3015" i="8" s="1"/>
  <c r="H3016" i="8" s="1"/>
  <c r="H3017" i="8" s="1"/>
  <c r="H3018" i="8" s="1"/>
  <c r="H3019" i="8" s="1"/>
  <c r="H3020" i="8" s="1"/>
  <c r="H3021" i="8" s="1"/>
  <c r="H3022" i="8" s="1"/>
  <c r="H3023" i="8" s="1"/>
  <c r="H3024" i="8" s="1"/>
  <c r="H3025" i="8" s="1"/>
  <c r="H3026" i="8" s="1"/>
  <c r="H3027" i="8" s="1"/>
  <c r="H3028" i="8" s="1"/>
  <c r="H3029" i="8" s="1"/>
  <c r="H3030" i="8" s="1"/>
  <c r="H3031" i="8" s="1"/>
  <c r="H3032" i="8" s="1"/>
  <c r="H3033" i="8" s="1"/>
  <c r="H3034" i="8" s="1"/>
  <c r="H3035" i="8" s="1"/>
  <c r="H3036" i="8" s="1"/>
  <c r="H3037" i="8" s="1"/>
  <c r="H3038" i="8" s="1"/>
  <c r="H3039" i="8" s="1"/>
  <c r="H3040" i="8" s="1"/>
  <c r="H3041" i="8" s="1"/>
  <c r="H3042" i="8" s="1"/>
  <c r="H3043" i="8" s="1"/>
  <c r="H3044" i="8" s="1"/>
  <c r="H3045" i="8" s="1"/>
  <c r="H3046" i="8" s="1"/>
  <c r="H3047" i="8" s="1"/>
  <c r="H3048" i="8" s="1"/>
  <c r="H3049" i="8" s="1"/>
  <c r="H3050" i="8" s="1"/>
  <c r="H3051" i="8" s="1"/>
  <c r="H3052" i="8" s="1"/>
  <c r="H3053" i="8" s="1"/>
  <c r="H3054" i="8" s="1"/>
  <c r="H3055" i="8" s="1"/>
  <c r="H3056" i="8" s="1"/>
  <c r="H3057" i="8" s="1"/>
  <c r="H3058" i="8" s="1"/>
  <c r="H3059" i="8" s="1"/>
  <c r="H3060" i="8" s="1"/>
  <c r="H3061" i="8" s="1"/>
  <c r="H3062" i="8" s="1"/>
  <c r="H3063" i="8" s="1"/>
  <c r="H3064" i="8" s="1"/>
  <c r="H3065" i="8" s="1"/>
  <c r="H3066" i="8" s="1"/>
  <c r="H3067" i="8" s="1"/>
  <c r="H3068" i="8" s="1"/>
  <c r="H3069" i="8" s="1"/>
  <c r="H3070" i="8" s="1"/>
  <c r="H3071" i="8" s="1"/>
  <c r="H3072" i="8" s="1"/>
  <c r="H3073" i="8" s="1"/>
  <c r="H3074" i="8" s="1"/>
  <c r="H3075" i="8" s="1"/>
  <c r="H3076" i="8" s="1"/>
  <c r="H3077" i="8" s="1"/>
  <c r="H3078" i="8" s="1"/>
  <c r="H3079" i="8" s="1"/>
  <c r="H3080" i="8" s="1"/>
  <c r="H3081" i="8" s="1"/>
  <c r="H3082" i="8" s="1"/>
  <c r="H3083" i="8" s="1"/>
  <c r="H3084" i="8" s="1"/>
  <c r="H3085" i="8" s="1"/>
  <c r="H3086" i="8" s="1"/>
  <c r="H3087" i="8" s="1"/>
  <c r="H3088" i="8" s="1"/>
  <c r="H3089" i="8" s="1"/>
  <c r="H3090" i="8" s="1"/>
  <c r="H3091" i="8" s="1"/>
  <c r="H3092" i="8" s="1"/>
  <c r="H3093" i="8" s="1"/>
  <c r="H3094" i="8" s="1"/>
  <c r="H3095" i="8" s="1"/>
  <c r="H3096" i="8" s="1"/>
  <c r="H3097" i="8" s="1"/>
  <c r="H3098" i="8" s="1"/>
  <c r="H3099" i="8" s="1"/>
  <c r="H3100" i="8" s="1"/>
  <c r="H3101" i="8" s="1"/>
  <c r="H3102" i="8" s="1"/>
  <c r="H3103" i="8" s="1"/>
  <c r="H3104" i="8" s="1"/>
  <c r="H3105" i="8" s="1"/>
  <c r="H3106" i="8" s="1"/>
  <c r="H3107" i="8" s="1"/>
  <c r="H3108" i="8" s="1"/>
  <c r="H3109" i="8" s="1"/>
  <c r="H3110" i="8" s="1"/>
  <c r="H3111" i="8" s="1"/>
  <c r="H3112" i="8" s="1"/>
  <c r="H3113" i="8" s="1"/>
  <c r="H3114" i="8" s="1"/>
  <c r="H3115" i="8" s="1"/>
  <c r="H3116" i="8" s="1"/>
  <c r="H3117" i="8" s="1"/>
  <c r="H3118" i="8" s="1"/>
  <c r="H3119" i="8" s="1"/>
  <c r="H3120" i="8" s="1"/>
  <c r="H3121" i="8" s="1"/>
  <c r="H3122" i="8" s="1"/>
  <c r="H3123" i="8" s="1"/>
  <c r="H3124" i="8" s="1"/>
  <c r="H3125" i="8" s="1"/>
  <c r="H3126" i="8" s="1"/>
  <c r="H3127" i="8" s="1"/>
  <c r="H3128" i="8" s="1"/>
  <c r="H3129" i="8" s="1"/>
  <c r="H3130" i="8" s="1"/>
  <c r="H3131" i="8" s="1"/>
  <c r="H3132" i="8" s="1"/>
  <c r="H3133" i="8" s="1"/>
  <c r="H3134" i="8" s="1"/>
  <c r="H3135" i="8" s="1"/>
  <c r="H3136" i="8" s="1"/>
  <c r="H3137" i="8" s="1"/>
  <c r="H3138" i="8" s="1"/>
  <c r="H3139" i="8" s="1"/>
  <c r="H3140" i="8" s="1"/>
  <c r="H3141" i="8" s="1"/>
  <c r="H3142" i="8" s="1"/>
  <c r="H3143" i="8" s="1"/>
  <c r="H3144" i="8" s="1"/>
  <c r="H3145" i="8" s="1"/>
  <c r="H3146" i="8" s="1"/>
  <c r="H3147" i="8" s="1"/>
  <c r="H3148" i="8" s="1"/>
  <c r="H3149" i="8" s="1"/>
  <c r="H3150" i="8" s="1"/>
  <c r="H3151" i="8" s="1"/>
  <c r="H3152" i="8" s="1"/>
  <c r="H3153" i="8" s="1"/>
  <c r="H3154" i="8" s="1"/>
  <c r="H3155" i="8" s="1"/>
  <c r="H3156" i="8" s="1"/>
  <c r="H3157" i="8" s="1"/>
  <c r="H3158" i="8" s="1"/>
  <c r="H3159" i="8" s="1"/>
  <c r="H3160" i="8" s="1"/>
  <c r="H3161" i="8" s="1"/>
  <c r="H3162" i="8" s="1"/>
  <c r="H3163" i="8" s="1"/>
  <c r="H3164" i="8" s="1"/>
  <c r="H3165" i="8" s="1"/>
  <c r="H3166" i="8" s="1"/>
  <c r="H3167" i="8" s="1"/>
  <c r="H3168" i="8" s="1"/>
  <c r="H3169" i="8" s="1"/>
  <c r="H3170" i="8" s="1"/>
  <c r="H3171" i="8" s="1"/>
  <c r="H3172" i="8" s="1"/>
  <c r="H3173" i="8" s="1"/>
  <c r="H3174" i="8" s="1"/>
  <c r="H3175" i="8" s="1"/>
  <c r="H3176" i="8" s="1"/>
  <c r="H3177" i="8" s="1"/>
  <c r="H3178" i="8" s="1"/>
  <c r="H3179" i="8" s="1"/>
  <c r="H3180" i="8" s="1"/>
  <c r="H3181" i="8" s="1"/>
  <c r="H3182" i="8" s="1"/>
  <c r="H3183" i="8" s="1"/>
  <c r="H3184" i="8" s="1"/>
  <c r="H3185" i="8" s="1"/>
  <c r="H3186" i="8" s="1"/>
  <c r="H3187" i="8" s="1"/>
  <c r="H3188" i="8" s="1"/>
  <c r="H3189" i="8" s="1"/>
  <c r="H3190" i="8" s="1"/>
  <c r="H3191" i="8" s="1"/>
  <c r="H3192" i="8" s="1"/>
  <c r="H3193" i="8" s="1"/>
  <c r="H3194" i="8" s="1"/>
  <c r="H3195" i="8" s="1"/>
  <c r="H3196" i="8" s="1"/>
  <c r="H3197" i="8" s="1"/>
  <c r="H3198" i="8" s="1"/>
  <c r="H3199" i="8" s="1"/>
  <c r="H3200" i="8" s="1"/>
  <c r="H3201" i="8" s="1"/>
  <c r="H3202" i="8" s="1"/>
  <c r="H3203" i="8" s="1"/>
  <c r="H3204" i="8" s="1"/>
  <c r="H3205" i="8" s="1"/>
  <c r="H3206" i="8" s="1"/>
  <c r="H3207" i="8" s="1"/>
  <c r="H3208" i="8" s="1"/>
  <c r="H3209" i="8" s="1"/>
  <c r="H3210" i="8" s="1"/>
  <c r="H3211" i="8" s="1"/>
  <c r="H3212" i="8" s="1"/>
  <c r="H3213" i="8" s="1"/>
  <c r="H3214" i="8" s="1"/>
  <c r="H3215" i="8" s="1"/>
  <c r="H3216" i="8" s="1"/>
  <c r="H3217" i="8" s="1"/>
  <c r="H3218" i="8" s="1"/>
  <c r="H3219" i="8" s="1"/>
  <c r="H3220" i="8" s="1"/>
  <c r="H3221" i="8" s="1"/>
  <c r="H3222" i="8" s="1"/>
  <c r="H3223" i="8" s="1"/>
  <c r="H3224" i="8" s="1"/>
  <c r="H3225" i="8" s="1"/>
  <c r="H3226" i="8" s="1"/>
  <c r="H3227" i="8" s="1"/>
  <c r="H3228" i="8" s="1"/>
  <c r="H3229" i="8" s="1"/>
  <c r="H3230" i="8" s="1"/>
  <c r="H3231" i="8" s="1"/>
  <c r="H3232" i="8" s="1"/>
  <c r="H3233" i="8" s="1"/>
  <c r="H3234" i="8" s="1"/>
  <c r="H3235" i="8" s="1"/>
  <c r="H3236" i="8" s="1"/>
  <c r="H3237" i="8" s="1"/>
  <c r="H3238" i="8" s="1"/>
  <c r="H3239" i="8" s="1"/>
  <c r="H3240" i="8" s="1"/>
  <c r="H3241" i="8" s="1"/>
  <c r="H3242" i="8" s="1"/>
  <c r="H3243" i="8" s="1"/>
  <c r="H3244" i="8" s="1"/>
  <c r="H3245" i="8" s="1"/>
  <c r="H3246" i="8" s="1"/>
  <c r="H3247" i="8" s="1"/>
  <c r="H3248" i="8" s="1"/>
  <c r="H3249" i="8" s="1"/>
  <c r="H3250" i="8" s="1"/>
  <c r="H3251" i="8" s="1"/>
  <c r="H3252" i="8" s="1"/>
  <c r="H3253" i="8" s="1"/>
  <c r="H3254" i="8" s="1"/>
  <c r="H3255" i="8" s="1"/>
  <c r="H3256" i="8" s="1"/>
  <c r="H3257" i="8" s="1"/>
  <c r="H3258" i="8" s="1"/>
  <c r="H3259" i="8" s="1"/>
  <c r="H3260" i="8" s="1"/>
  <c r="H3261" i="8" s="1"/>
  <c r="H3262" i="8" s="1"/>
  <c r="H3263" i="8" s="1"/>
  <c r="H3264" i="8" s="1"/>
  <c r="H3265" i="8" s="1"/>
  <c r="H3266" i="8" s="1"/>
  <c r="H3267" i="8" s="1"/>
  <c r="H3268" i="8" s="1"/>
  <c r="H3269" i="8" s="1"/>
  <c r="H3270" i="8" s="1"/>
  <c r="H3271" i="8" s="1"/>
  <c r="H3272" i="8" s="1"/>
  <c r="H3273" i="8" s="1"/>
  <c r="H3274" i="8" s="1"/>
  <c r="H3275" i="8" s="1"/>
  <c r="H3276" i="8" s="1"/>
  <c r="H3277" i="8" s="1"/>
  <c r="H3278" i="8" s="1"/>
  <c r="H3279" i="8" s="1"/>
  <c r="H3280" i="8" s="1"/>
  <c r="H3281" i="8" s="1"/>
  <c r="H3282" i="8" s="1"/>
  <c r="H3283" i="8" s="1"/>
  <c r="H3284" i="8" s="1"/>
  <c r="H3285" i="8" s="1"/>
  <c r="H3286" i="8" s="1"/>
  <c r="H3287" i="8" s="1"/>
  <c r="H3288" i="8" s="1"/>
  <c r="H3289" i="8" s="1"/>
  <c r="H3290" i="8" s="1"/>
  <c r="H3291" i="8" s="1"/>
  <c r="H3292" i="8" s="1"/>
  <c r="H3293" i="8" s="1"/>
  <c r="H3294" i="8" s="1"/>
  <c r="H3295" i="8" s="1"/>
  <c r="H3296" i="8" s="1"/>
  <c r="H3297" i="8" s="1"/>
  <c r="H3298" i="8" s="1"/>
  <c r="H3299" i="8" s="1"/>
  <c r="H3300" i="8" s="1"/>
  <c r="H3301" i="8" s="1"/>
  <c r="H3302" i="8" s="1"/>
  <c r="H3303" i="8" s="1"/>
  <c r="H3304" i="8" s="1"/>
  <c r="H3305" i="8" s="1"/>
  <c r="H3306" i="8" s="1"/>
  <c r="H3307" i="8" s="1"/>
  <c r="H3308" i="8" s="1"/>
  <c r="H3309" i="8" s="1"/>
  <c r="H3310" i="8" s="1"/>
  <c r="H3311" i="8" s="1"/>
  <c r="H3312" i="8" s="1"/>
  <c r="H3313" i="8" s="1"/>
  <c r="H3314" i="8" s="1"/>
  <c r="H3315" i="8" s="1"/>
  <c r="H3316" i="8" s="1"/>
  <c r="H3317" i="8" s="1"/>
  <c r="H3318" i="8" s="1"/>
  <c r="H3319" i="8" s="1"/>
  <c r="H3320" i="8" s="1"/>
  <c r="H3321" i="8" s="1"/>
  <c r="H3322" i="8" s="1"/>
  <c r="H3323" i="8" s="1"/>
  <c r="H3324" i="8" s="1"/>
  <c r="H3325" i="8" s="1"/>
  <c r="H3326" i="8" s="1"/>
  <c r="H3327" i="8" s="1"/>
  <c r="H3328" i="8" s="1"/>
  <c r="H3329" i="8" s="1"/>
  <c r="H3330" i="8" s="1"/>
  <c r="H3331" i="8" s="1"/>
  <c r="H3332" i="8" s="1"/>
  <c r="H3333" i="8" s="1"/>
  <c r="H3334" i="8" s="1"/>
  <c r="H3335" i="8" s="1"/>
  <c r="H3336" i="8" s="1"/>
  <c r="H3337" i="8" s="1"/>
  <c r="H3338" i="8" s="1"/>
  <c r="H3339" i="8" s="1"/>
  <c r="H3340" i="8" s="1"/>
  <c r="H3341" i="8" s="1"/>
  <c r="H3342" i="8" s="1"/>
  <c r="H3343" i="8" s="1"/>
  <c r="H3344" i="8" s="1"/>
  <c r="H3345" i="8" s="1"/>
  <c r="H3346" i="8" s="1"/>
  <c r="H3347" i="8" s="1"/>
  <c r="H3348" i="8" s="1"/>
  <c r="H3349" i="8" s="1"/>
  <c r="H3350" i="8" s="1"/>
  <c r="H3351" i="8" s="1"/>
  <c r="H3352" i="8" s="1"/>
  <c r="H3353" i="8" s="1"/>
  <c r="H3354" i="8" s="1"/>
  <c r="H3355" i="8" s="1"/>
  <c r="H3356" i="8" s="1"/>
  <c r="H3357" i="8" s="1"/>
  <c r="H3358" i="8" s="1"/>
  <c r="H3359" i="8" s="1"/>
  <c r="H3360" i="8" s="1"/>
  <c r="H3361" i="8" s="1"/>
  <c r="H3362" i="8" s="1"/>
  <c r="H3363" i="8" s="1"/>
  <c r="H3364" i="8" s="1"/>
  <c r="H3365" i="8" s="1"/>
  <c r="H3366" i="8" s="1"/>
  <c r="H3367" i="8" s="1"/>
  <c r="H3368" i="8" s="1"/>
  <c r="H3369" i="8" s="1"/>
  <c r="H3370" i="8" s="1"/>
  <c r="H3371" i="8" s="1"/>
  <c r="H3372" i="8" s="1"/>
  <c r="H3373" i="8" s="1"/>
  <c r="H3374" i="8" s="1"/>
  <c r="H3375" i="8" s="1"/>
  <c r="H3376" i="8" s="1"/>
  <c r="H3377" i="8" s="1"/>
  <c r="H3378" i="8" s="1"/>
  <c r="H3379" i="8" s="1"/>
  <c r="H3380" i="8" s="1"/>
  <c r="H3381" i="8" s="1"/>
  <c r="H3382" i="8" s="1"/>
  <c r="H3383" i="8" s="1"/>
  <c r="H3384" i="8" s="1"/>
  <c r="H3385" i="8" s="1"/>
  <c r="H3386" i="8" s="1"/>
  <c r="H3387" i="8" s="1"/>
  <c r="H3388" i="8" s="1"/>
  <c r="H3389" i="8" s="1"/>
  <c r="H3390" i="8" s="1"/>
  <c r="H3391" i="8" s="1"/>
  <c r="H3392" i="8" s="1"/>
  <c r="H3393" i="8" s="1"/>
  <c r="H3394" i="8" s="1"/>
  <c r="H3395" i="8" s="1"/>
  <c r="H3396" i="8" s="1"/>
  <c r="H3397" i="8" s="1"/>
  <c r="H3398" i="8" s="1"/>
  <c r="H3399" i="8" s="1"/>
  <c r="H3400" i="8" s="1"/>
  <c r="H3401" i="8" s="1"/>
  <c r="H3402" i="8" s="1"/>
  <c r="H3403" i="8" s="1"/>
  <c r="H3404" i="8" s="1"/>
  <c r="H3405" i="8" s="1"/>
  <c r="H3406" i="8" s="1"/>
  <c r="H3407" i="8" s="1"/>
  <c r="H3408" i="8" s="1"/>
  <c r="H3409" i="8" s="1"/>
  <c r="H3410" i="8" s="1"/>
  <c r="H3411" i="8" s="1"/>
  <c r="H3412" i="8" s="1"/>
  <c r="H3413" i="8" s="1"/>
  <c r="H3414" i="8" s="1"/>
  <c r="H3415" i="8" s="1"/>
  <c r="H3416" i="8" s="1"/>
  <c r="H3417" i="8" s="1"/>
  <c r="H3418" i="8" s="1"/>
  <c r="H3419" i="8" s="1"/>
  <c r="H3420" i="8" s="1"/>
  <c r="H3421" i="8" s="1"/>
  <c r="H3422" i="8" s="1"/>
  <c r="H3423" i="8" s="1"/>
  <c r="H3424" i="8" s="1"/>
  <c r="H3425" i="8" s="1"/>
  <c r="H3426" i="8" s="1"/>
  <c r="H3427" i="8" s="1"/>
  <c r="H3428" i="8" s="1"/>
  <c r="H3429" i="8" s="1"/>
  <c r="H3430" i="8" s="1"/>
  <c r="H3431" i="8" s="1"/>
  <c r="H3432" i="8" s="1"/>
  <c r="H3433" i="8" s="1"/>
  <c r="H3434" i="8" s="1"/>
  <c r="H3435" i="8" s="1"/>
  <c r="H3436" i="8" s="1"/>
  <c r="H3437" i="8" s="1"/>
  <c r="H3438" i="8" s="1"/>
  <c r="H3439" i="8" s="1"/>
  <c r="H3440" i="8" s="1"/>
  <c r="H3441" i="8" s="1"/>
  <c r="H3442" i="8" s="1"/>
  <c r="H3443" i="8" s="1"/>
  <c r="H3444" i="8" s="1"/>
  <c r="H3445" i="8" s="1"/>
  <c r="H3446" i="8" s="1"/>
  <c r="H3447" i="8" s="1"/>
  <c r="H3448" i="8" s="1"/>
  <c r="H3449" i="8" s="1"/>
  <c r="H3450" i="8" s="1"/>
  <c r="H3451" i="8" s="1"/>
  <c r="H3452" i="8" s="1"/>
  <c r="H3453" i="8" s="1"/>
  <c r="H3454" i="8" s="1"/>
  <c r="H3455" i="8" s="1"/>
  <c r="H3456" i="8" s="1"/>
  <c r="H3457" i="8" s="1"/>
  <c r="H3458" i="8" s="1"/>
  <c r="H3459" i="8" s="1"/>
  <c r="H3460" i="8" s="1"/>
  <c r="H3461" i="8" s="1"/>
  <c r="H3462" i="8" s="1"/>
  <c r="H3463" i="8" s="1"/>
  <c r="H3464" i="8" s="1"/>
  <c r="H3465" i="8" s="1"/>
  <c r="H3466" i="8" s="1"/>
  <c r="H3467" i="8" s="1"/>
  <c r="H3468" i="8" s="1"/>
  <c r="H3469" i="8" s="1"/>
  <c r="H3470" i="8" s="1"/>
  <c r="H3471" i="8" s="1"/>
  <c r="H3472" i="8" s="1"/>
  <c r="H3473" i="8" s="1"/>
  <c r="H3474" i="8" s="1"/>
  <c r="H3475" i="8" s="1"/>
  <c r="H3476" i="8" s="1"/>
  <c r="H3477" i="8" s="1"/>
  <c r="H3478" i="8" s="1"/>
  <c r="H3479" i="8" s="1"/>
  <c r="H3480" i="8" s="1"/>
  <c r="H3481" i="8" s="1"/>
  <c r="H3482" i="8" s="1"/>
  <c r="H3483" i="8" s="1"/>
  <c r="H3484" i="8" s="1"/>
  <c r="H3485" i="8" s="1"/>
  <c r="H3486" i="8" s="1"/>
  <c r="H3487" i="8" s="1"/>
  <c r="H3488" i="8" s="1"/>
  <c r="H3489" i="8" s="1"/>
  <c r="H3490" i="8" s="1"/>
  <c r="H3491" i="8" s="1"/>
  <c r="H3492" i="8" s="1"/>
  <c r="H3493" i="8" s="1"/>
  <c r="H3494" i="8" s="1"/>
  <c r="H3495" i="8" s="1"/>
  <c r="H3496" i="8" s="1"/>
  <c r="H3497" i="8" s="1"/>
  <c r="H3498" i="8" s="1"/>
  <c r="H3499" i="8" s="1"/>
  <c r="H3500" i="8" s="1"/>
  <c r="H3501" i="8" s="1"/>
  <c r="H3502" i="8" s="1"/>
  <c r="H3503" i="8" s="1"/>
  <c r="H3504" i="8" s="1"/>
  <c r="H3505" i="8" s="1"/>
  <c r="H3506" i="8" s="1"/>
  <c r="H3507" i="8" s="1"/>
  <c r="H3508" i="8" s="1"/>
  <c r="H3509" i="8" s="1"/>
  <c r="H3510" i="8" s="1"/>
  <c r="H3511" i="8" s="1"/>
  <c r="H3512" i="8" s="1"/>
  <c r="H3513" i="8" s="1"/>
  <c r="H3514" i="8" s="1"/>
  <c r="H3515" i="8" s="1"/>
  <c r="H3516" i="8" s="1"/>
  <c r="H3517" i="8" s="1"/>
  <c r="H3518" i="8" s="1"/>
  <c r="H3519" i="8" s="1"/>
  <c r="H3520" i="8" s="1"/>
  <c r="H3521" i="8" s="1"/>
  <c r="H3522" i="8" s="1"/>
  <c r="H3523" i="8" s="1"/>
  <c r="H3524" i="8" s="1"/>
  <c r="H3525" i="8" s="1"/>
  <c r="H3526" i="8" s="1"/>
  <c r="H3527" i="8" s="1"/>
  <c r="H3528" i="8" s="1"/>
  <c r="H3529" i="8" s="1"/>
  <c r="H3530" i="8" s="1"/>
  <c r="H3531" i="8" s="1"/>
  <c r="H3532" i="8" s="1"/>
  <c r="H3533" i="8" s="1"/>
  <c r="H3534" i="8" s="1"/>
  <c r="H3535" i="8" s="1"/>
  <c r="H3536" i="8" s="1"/>
  <c r="H3537" i="8" s="1"/>
  <c r="H3538" i="8" s="1"/>
  <c r="H3539" i="8" s="1"/>
  <c r="H3540" i="8" s="1"/>
  <c r="H3541" i="8" s="1"/>
  <c r="H3542" i="8" s="1"/>
  <c r="H3543" i="8" s="1"/>
  <c r="H3544" i="8" s="1"/>
  <c r="H3545" i="8" s="1"/>
  <c r="H3546" i="8" s="1"/>
  <c r="H3547" i="8" s="1"/>
  <c r="H3548" i="8" s="1"/>
  <c r="H3549" i="8" s="1"/>
  <c r="H3550" i="8" s="1"/>
  <c r="H3551" i="8" s="1"/>
  <c r="H3552" i="8" s="1"/>
  <c r="H3553" i="8" s="1"/>
  <c r="H3554" i="8" s="1"/>
  <c r="H3555" i="8" s="1"/>
  <c r="H3556" i="8" s="1"/>
  <c r="H3557" i="8" s="1"/>
  <c r="H3558" i="8" s="1"/>
  <c r="H3559" i="8" s="1"/>
  <c r="H3560" i="8" s="1"/>
  <c r="H3561" i="8" s="1"/>
  <c r="H3562" i="8" s="1"/>
  <c r="H3563" i="8" s="1"/>
  <c r="H3564" i="8" s="1"/>
  <c r="H3565" i="8" s="1"/>
  <c r="H3566" i="8" s="1"/>
  <c r="H3567" i="8" s="1"/>
  <c r="H3568" i="8" s="1"/>
  <c r="H3569" i="8" s="1"/>
  <c r="H3570" i="8" s="1"/>
  <c r="H3571" i="8" s="1"/>
  <c r="H3572" i="8" s="1"/>
  <c r="H3573" i="8" s="1"/>
  <c r="H3574" i="8" s="1"/>
  <c r="H3575" i="8" s="1"/>
  <c r="H3576" i="8" s="1"/>
  <c r="H3577" i="8" s="1"/>
  <c r="H3578" i="8" s="1"/>
  <c r="H3579" i="8" s="1"/>
  <c r="H3580" i="8" s="1"/>
  <c r="H3581" i="8" s="1"/>
  <c r="H3582" i="8" s="1"/>
  <c r="H3583" i="8" s="1"/>
  <c r="H3584" i="8" s="1"/>
  <c r="H3585" i="8" s="1"/>
  <c r="H3586" i="8" s="1"/>
  <c r="H3587" i="8" s="1"/>
  <c r="H3588" i="8" s="1"/>
  <c r="H3589" i="8" s="1"/>
  <c r="H3590" i="8" s="1"/>
  <c r="H3591" i="8" s="1"/>
  <c r="H3592" i="8" s="1"/>
  <c r="H3593" i="8" s="1"/>
  <c r="H3594" i="8" s="1"/>
  <c r="H3595" i="8" s="1"/>
  <c r="H3596" i="8" s="1"/>
  <c r="H3597" i="8" s="1"/>
  <c r="H3598" i="8" s="1"/>
  <c r="H3599" i="8" s="1"/>
  <c r="H3600" i="8" s="1"/>
  <c r="H3601" i="8" s="1"/>
  <c r="H3602" i="8" s="1"/>
  <c r="H3603" i="8" s="1"/>
  <c r="H3604" i="8" s="1"/>
  <c r="H3605" i="8" s="1"/>
  <c r="H3606" i="8" s="1"/>
  <c r="H3607" i="8" s="1"/>
  <c r="H3608" i="8" s="1"/>
  <c r="H3609" i="8" s="1"/>
  <c r="H3610" i="8" s="1"/>
  <c r="H3611" i="8" s="1"/>
  <c r="H3612" i="8" s="1"/>
  <c r="H3613" i="8" s="1"/>
  <c r="H3614" i="8" s="1"/>
  <c r="H3615" i="8" s="1"/>
  <c r="H3616" i="8" s="1"/>
  <c r="H3617" i="8" s="1"/>
  <c r="H3618" i="8" s="1"/>
  <c r="H3619" i="8" s="1"/>
  <c r="H3620" i="8" s="1"/>
  <c r="H3621" i="8" s="1"/>
  <c r="H3622" i="8" s="1"/>
  <c r="H3623" i="8" s="1"/>
  <c r="H3624" i="8" s="1"/>
  <c r="H3625" i="8" s="1"/>
  <c r="H3626" i="8" s="1"/>
  <c r="H3627" i="8" s="1"/>
  <c r="H3628" i="8" s="1"/>
  <c r="H3629" i="8" s="1"/>
  <c r="H3630" i="8" s="1"/>
  <c r="H3631" i="8" s="1"/>
  <c r="H3632" i="8" s="1"/>
  <c r="H3633" i="8" s="1"/>
  <c r="H3634" i="8" s="1"/>
  <c r="H3635" i="8" s="1"/>
  <c r="H3636" i="8" s="1"/>
  <c r="H3637" i="8" s="1"/>
  <c r="H3638" i="8" s="1"/>
  <c r="H3639" i="8" s="1"/>
  <c r="H3640" i="8" s="1"/>
  <c r="H3641" i="8" s="1"/>
  <c r="H3642" i="8" s="1"/>
  <c r="H3643" i="8" s="1"/>
  <c r="H3644" i="8" s="1"/>
  <c r="H3645" i="8" s="1"/>
  <c r="H3646" i="8" s="1"/>
  <c r="H3647" i="8" s="1"/>
  <c r="H3648" i="8" s="1"/>
  <c r="H3649" i="8" s="1"/>
  <c r="H3650" i="8" s="1"/>
  <c r="H3651" i="8" s="1"/>
  <c r="H3652" i="8" s="1"/>
  <c r="H3653" i="8" s="1"/>
  <c r="H3654" i="8" s="1"/>
  <c r="H3655" i="8" s="1"/>
  <c r="H3656" i="8" s="1"/>
  <c r="H3657" i="8" s="1"/>
  <c r="H3658" i="8" s="1"/>
  <c r="H3659" i="8" s="1"/>
  <c r="H3660" i="8" s="1"/>
  <c r="H3661" i="8" s="1"/>
  <c r="H3662" i="8" s="1"/>
  <c r="H3663" i="8" s="1"/>
  <c r="H3664" i="8" s="1"/>
  <c r="H3665" i="8" s="1"/>
  <c r="H3666" i="8" s="1"/>
  <c r="H3667" i="8" s="1"/>
  <c r="H3668" i="8" s="1"/>
  <c r="H3669" i="8" s="1"/>
  <c r="H3670" i="8" s="1"/>
  <c r="H3671" i="8" s="1"/>
  <c r="H3672" i="8" s="1"/>
  <c r="H3673" i="8" s="1"/>
  <c r="H3674" i="8" s="1"/>
  <c r="H3675" i="8" s="1"/>
  <c r="H3676" i="8" s="1"/>
  <c r="H3677" i="8" s="1"/>
  <c r="H3678" i="8" s="1"/>
  <c r="H3679" i="8" s="1"/>
  <c r="H3680" i="8" s="1"/>
  <c r="H3681" i="8" s="1"/>
  <c r="H3682" i="8" s="1"/>
  <c r="H3683" i="8" s="1"/>
  <c r="H3684" i="8" s="1"/>
  <c r="H3685" i="8" s="1"/>
  <c r="H3686" i="8" s="1"/>
  <c r="H3687" i="8" s="1"/>
  <c r="H3688" i="8" s="1"/>
  <c r="H3689" i="8" s="1"/>
  <c r="H3690" i="8" s="1"/>
  <c r="H3691" i="8" s="1"/>
  <c r="H3692" i="8" s="1"/>
  <c r="H3693" i="8" s="1"/>
  <c r="H3694" i="8" s="1"/>
  <c r="H3695" i="8" s="1"/>
  <c r="H3696" i="8" s="1"/>
  <c r="H3697" i="8" s="1"/>
  <c r="H3698" i="8" s="1"/>
  <c r="H3699" i="8" s="1"/>
  <c r="H3700" i="8" s="1"/>
  <c r="H3701" i="8" s="1"/>
  <c r="H3702" i="8" s="1"/>
  <c r="H3703" i="8" s="1"/>
  <c r="H3704" i="8" s="1"/>
  <c r="H3705" i="8" s="1"/>
  <c r="H3706" i="8" s="1"/>
  <c r="H3707" i="8" s="1"/>
  <c r="H3708" i="8" s="1"/>
  <c r="H3709" i="8" s="1"/>
  <c r="H3710" i="8" s="1"/>
  <c r="H3711" i="8" s="1"/>
  <c r="H3712" i="8" s="1"/>
  <c r="H3713" i="8" s="1"/>
  <c r="H3714" i="8" s="1"/>
  <c r="H3715" i="8" s="1"/>
  <c r="H3716" i="8" s="1"/>
  <c r="I1647" i="8"/>
  <c r="R893" i="3"/>
  <c r="Q893" i="3"/>
  <c r="S893" i="3"/>
  <c r="P893" i="3"/>
  <c r="V893" i="3" s="1"/>
  <c r="C2223" i="5" l="1"/>
  <c r="I2222" i="5"/>
  <c r="F2222" i="5"/>
  <c r="Q2222" i="5"/>
  <c r="K2223" i="5"/>
  <c r="N2222" i="5"/>
  <c r="C402" i="5"/>
  <c r="I401" i="5"/>
  <c r="F401" i="5"/>
  <c r="S894" i="3"/>
  <c r="V894" i="3" s="1"/>
  <c r="R894" i="3"/>
  <c r="P894" i="3"/>
  <c r="Q894" i="3"/>
  <c r="T895" i="3"/>
  <c r="U896" i="3"/>
  <c r="L404" i="5"/>
  <c r="Q403" i="5"/>
  <c r="AG11" i="10"/>
  <c r="AF24" i="10"/>
  <c r="AF25" i="10" s="1"/>
  <c r="N405" i="5"/>
  <c r="K406" i="5"/>
  <c r="N2223" i="5" l="1"/>
  <c r="K2224" i="5"/>
  <c r="Q2223" i="5"/>
  <c r="F2223" i="5"/>
  <c r="I2223" i="5"/>
  <c r="C2224" i="5"/>
  <c r="M886" i="3"/>
  <c r="R895" i="3"/>
  <c r="Q895" i="3"/>
  <c r="P895" i="3"/>
  <c r="S895" i="3"/>
  <c r="V895" i="3" s="1"/>
  <c r="L405" i="5"/>
  <c r="Q404" i="5"/>
  <c r="K407" i="5"/>
  <c r="N406" i="5"/>
  <c r="AH11" i="10"/>
  <c r="AG24" i="10"/>
  <c r="AG25" i="10" s="1"/>
  <c r="U897" i="3"/>
  <c r="T896" i="3"/>
  <c r="F402" i="5"/>
  <c r="I402" i="5"/>
  <c r="C403" i="5"/>
  <c r="F2224" i="5" l="1"/>
  <c r="C2225" i="5"/>
  <c r="I2224" i="5"/>
  <c r="N2224" i="5"/>
  <c r="Q2224" i="5"/>
  <c r="K2225" i="5"/>
  <c r="T897" i="3"/>
  <c r="U898" i="3"/>
  <c r="I403" i="5"/>
  <c r="F403" i="5"/>
  <c r="C404" i="5"/>
  <c r="R896" i="3"/>
  <c r="S896" i="3"/>
  <c r="Q896" i="3"/>
  <c r="P896" i="3"/>
  <c r="V896" i="3" s="1"/>
  <c r="K408" i="5"/>
  <c r="N407" i="5"/>
  <c r="AI11" i="10"/>
  <c r="AH24" i="10"/>
  <c r="AH25" i="10" s="1"/>
  <c r="L406" i="5"/>
  <c r="Q405" i="5"/>
  <c r="Q2225" i="5" l="1"/>
  <c r="K2226" i="5"/>
  <c r="N2225" i="5"/>
  <c r="F2225" i="5"/>
  <c r="C2226" i="5"/>
  <c r="I2225" i="5"/>
  <c r="K409" i="5"/>
  <c r="N408" i="5"/>
  <c r="I404" i="5"/>
  <c r="F404" i="5"/>
  <c r="C405" i="5"/>
  <c r="L407" i="5"/>
  <c r="Q406" i="5"/>
  <c r="AJ11" i="10"/>
  <c r="AI24" i="10"/>
  <c r="AI25" i="10" s="1"/>
  <c r="T898" i="3"/>
  <c r="U899" i="3"/>
  <c r="Q897" i="3"/>
  <c r="S897" i="3"/>
  <c r="P897" i="3"/>
  <c r="R897" i="3"/>
  <c r="V897" i="3" s="1"/>
  <c r="F2226" i="5" l="1"/>
  <c r="I2226" i="5"/>
  <c r="C2227" i="5"/>
  <c r="K2227" i="5"/>
  <c r="N2226" i="5"/>
  <c r="Q2226" i="5"/>
  <c r="I405" i="5"/>
  <c r="F405" i="5"/>
  <c r="C406" i="5"/>
  <c r="T899" i="3"/>
  <c r="U900" i="3"/>
  <c r="S898" i="3"/>
  <c r="R898" i="3"/>
  <c r="Q898" i="3"/>
  <c r="P898" i="3"/>
  <c r="V898" i="3" s="1"/>
  <c r="AK11" i="10"/>
  <c r="AJ24" i="10"/>
  <c r="AJ25" i="10" s="1"/>
  <c r="L408" i="5"/>
  <c r="Q407" i="5"/>
  <c r="K410" i="5"/>
  <c r="N409" i="5"/>
  <c r="Q2227" i="5" l="1"/>
  <c r="K2228" i="5"/>
  <c r="N2227" i="5"/>
  <c r="I2227" i="5"/>
  <c r="C2228" i="5"/>
  <c r="F2227" i="5"/>
  <c r="K411" i="5"/>
  <c r="N410" i="5"/>
  <c r="C407" i="5"/>
  <c r="I406" i="5"/>
  <c r="F406" i="5"/>
  <c r="AL11" i="10"/>
  <c r="AK24" i="10"/>
  <c r="AK25" i="10" s="1"/>
  <c r="T900" i="3"/>
  <c r="U901" i="3"/>
  <c r="S899" i="3"/>
  <c r="Q899" i="3"/>
  <c r="P899" i="3"/>
  <c r="V899" i="3" s="1"/>
  <c r="R899" i="3"/>
  <c r="L409" i="5"/>
  <c r="Q408" i="5"/>
  <c r="I2228" i="5" l="1"/>
  <c r="C2229" i="5"/>
  <c r="F2228" i="5"/>
  <c r="N2228" i="5"/>
  <c r="Q2228" i="5"/>
  <c r="K2229" i="5"/>
  <c r="I407" i="5"/>
  <c r="F407" i="5"/>
  <c r="C408" i="5"/>
  <c r="T901" i="3"/>
  <c r="U902" i="3"/>
  <c r="L410" i="5"/>
  <c r="Q409" i="5"/>
  <c r="Q900" i="3"/>
  <c r="P900" i="3"/>
  <c r="R900" i="3"/>
  <c r="S900" i="3"/>
  <c r="V900" i="3" s="1"/>
  <c r="AM11" i="10"/>
  <c r="AL24" i="10"/>
  <c r="AL25" i="10" s="1"/>
  <c r="N411" i="5"/>
  <c r="K412" i="5"/>
  <c r="N2229" i="5" l="1"/>
  <c r="Q2229" i="5"/>
  <c r="K2230" i="5"/>
  <c r="F2229" i="5"/>
  <c r="C2230" i="5"/>
  <c r="I2229" i="5"/>
  <c r="U903" i="3"/>
  <c r="T902" i="3"/>
  <c r="K413" i="5"/>
  <c r="N412" i="5"/>
  <c r="AM24" i="10"/>
  <c r="AM25" i="10" s="1"/>
  <c r="AN11" i="10"/>
  <c r="R901" i="3"/>
  <c r="Q901" i="3"/>
  <c r="S901" i="3"/>
  <c r="P901" i="3"/>
  <c r="V901" i="3" s="1"/>
  <c r="L411" i="5"/>
  <c r="Q410" i="5"/>
  <c r="I408" i="5"/>
  <c r="F408" i="5"/>
  <c r="C409" i="5"/>
  <c r="I2230" i="5" l="1"/>
  <c r="F2230" i="5"/>
  <c r="C2231" i="5"/>
  <c r="K2231" i="5"/>
  <c r="N2230" i="5"/>
  <c r="Q2230" i="5"/>
  <c r="C410" i="5"/>
  <c r="F409" i="5"/>
  <c r="I409" i="5"/>
  <c r="L412" i="5"/>
  <c r="Q411" i="5"/>
  <c r="AN24" i="10"/>
  <c r="AN25" i="10" s="1"/>
  <c r="AO11" i="10"/>
  <c r="K414" i="5"/>
  <c r="N413" i="5"/>
  <c r="R902" i="3"/>
  <c r="S902" i="3"/>
  <c r="P902" i="3"/>
  <c r="V902" i="3" s="1"/>
  <c r="Q902" i="3"/>
  <c r="T903" i="3"/>
  <c r="U904" i="3"/>
  <c r="F2231" i="5" l="1"/>
  <c r="I2231" i="5"/>
  <c r="C2232" i="5"/>
  <c r="K2232" i="5"/>
  <c r="Q2231" i="5"/>
  <c r="N2231" i="5"/>
  <c r="U905" i="3"/>
  <c r="T904" i="3"/>
  <c r="AO24" i="10"/>
  <c r="AO25" i="10" s="1"/>
  <c r="AP11" i="10"/>
  <c r="P903" i="3"/>
  <c r="V903" i="3" s="1"/>
  <c r="S903" i="3"/>
  <c r="R903" i="3"/>
  <c r="Q903" i="3"/>
  <c r="N414" i="5"/>
  <c r="K415" i="5"/>
  <c r="L413" i="5"/>
  <c r="Q412" i="5"/>
  <c r="I410" i="5"/>
  <c r="C411" i="5"/>
  <c r="F410" i="5"/>
  <c r="Q2232" i="5" l="1"/>
  <c r="N2232" i="5"/>
  <c r="K2233" i="5"/>
  <c r="F2232" i="5"/>
  <c r="I2232" i="5"/>
  <c r="C2233" i="5"/>
  <c r="I411" i="5"/>
  <c r="C412" i="5"/>
  <c r="F411" i="5"/>
  <c r="L414" i="5"/>
  <c r="Q413" i="5"/>
  <c r="AP24" i="10"/>
  <c r="AP25" i="10" s="1"/>
  <c r="AQ11" i="10"/>
  <c r="S904" i="3"/>
  <c r="Q904" i="3"/>
  <c r="P904" i="3"/>
  <c r="V904" i="3" s="1"/>
  <c r="R904" i="3"/>
  <c r="K416" i="5"/>
  <c r="N415" i="5"/>
  <c r="U906" i="3"/>
  <c r="T905" i="3"/>
  <c r="F2233" i="5" l="1"/>
  <c r="I2233" i="5"/>
  <c r="C2234" i="5"/>
  <c r="K2234" i="5"/>
  <c r="N2233" i="5"/>
  <c r="Q2233" i="5"/>
  <c r="R905" i="3"/>
  <c r="Q905" i="3"/>
  <c r="P905" i="3"/>
  <c r="V905" i="3" s="1"/>
  <c r="S905" i="3"/>
  <c r="N416" i="5"/>
  <c r="K417" i="5"/>
  <c r="T906" i="3"/>
  <c r="T907" i="3"/>
  <c r="I412" i="5"/>
  <c r="C413" i="5"/>
  <c r="F412" i="5"/>
  <c r="AQ24" i="10"/>
  <c r="AQ25" i="10" s="1"/>
  <c r="AR11" i="10"/>
  <c r="L415" i="5"/>
  <c r="Q414" i="5"/>
  <c r="N2234" i="5" l="1"/>
  <c r="Q2234" i="5"/>
  <c r="K2235" i="5"/>
  <c r="F2234" i="5"/>
  <c r="I2234" i="5"/>
  <c r="C2235" i="5"/>
  <c r="R907" i="3"/>
  <c r="Q907" i="3"/>
  <c r="P907" i="3"/>
  <c r="S907" i="3"/>
  <c r="AR24" i="10"/>
  <c r="AR25" i="10" s="1"/>
  <c r="AS11" i="10"/>
  <c r="L416" i="5"/>
  <c r="Q415" i="5"/>
  <c r="K418" i="5"/>
  <c r="N417" i="5"/>
  <c r="F413" i="5"/>
  <c r="I413" i="5"/>
  <c r="C414" i="5"/>
  <c r="P906" i="3"/>
  <c r="R906" i="3"/>
  <c r="Q906" i="3"/>
  <c r="V906" i="3" s="1"/>
  <c r="S906" i="3"/>
  <c r="F2235" i="5" l="1"/>
  <c r="I2235" i="5"/>
  <c r="C2236" i="5"/>
  <c r="N2235" i="5"/>
  <c r="K2236" i="5"/>
  <c r="Q2235" i="5"/>
  <c r="I414" i="5"/>
  <c r="C415" i="5"/>
  <c r="F414" i="5"/>
  <c r="L417" i="5"/>
  <c r="Q416" i="5"/>
  <c r="K419" i="5"/>
  <c r="N418" i="5"/>
  <c r="AS24" i="10"/>
  <c r="AS25" i="10" s="1"/>
  <c r="AT11" i="10"/>
  <c r="Q2236" i="5" l="1"/>
  <c r="N2236" i="5"/>
  <c r="K2237" i="5"/>
  <c r="F2236" i="5"/>
  <c r="I2236" i="5"/>
  <c r="C2237" i="5"/>
  <c r="K420" i="5"/>
  <c r="N419" i="5"/>
  <c r="I415" i="5"/>
  <c r="C416" i="5"/>
  <c r="F415" i="5"/>
  <c r="AT24" i="10"/>
  <c r="AT25" i="10" s="1"/>
  <c r="AU11" i="10"/>
  <c r="L418" i="5"/>
  <c r="Q417" i="5"/>
  <c r="I2237" i="5" l="1"/>
  <c r="C2238" i="5"/>
  <c r="F2237" i="5"/>
  <c r="K2238" i="5"/>
  <c r="Q2237" i="5"/>
  <c r="N2237" i="5"/>
  <c r="I416" i="5"/>
  <c r="F416" i="5"/>
  <c r="C417" i="5"/>
  <c r="L419" i="5"/>
  <c r="Q418" i="5"/>
  <c r="AU24" i="10"/>
  <c r="AU25" i="10" s="1"/>
  <c r="AV11" i="10"/>
  <c r="K421" i="5"/>
  <c r="N420" i="5"/>
  <c r="K2239" i="5" l="1"/>
  <c r="N2238" i="5"/>
  <c r="Q2238" i="5"/>
  <c r="C2239" i="5"/>
  <c r="F2238" i="5"/>
  <c r="I2238" i="5"/>
  <c r="K422" i="5"/>
  <c r="N421" i="5"/>
  <c r="L420" i="5"/>
  <c r="Q419" i="5"/>
  <c r="AV24" i="10"/>
  <c r="AV25" i="10" s="1"/>
  <c r="AW11" i="10"/>
  <c r="C418" i="5"/>
  <c r="I417" i="5"/>
  <c r="F417" i="5"/>
  <c r="I2239" i="5" l="1"/>
  <c r="C2240" i="5"/>
  <c r="F2239" i="5"/>
  <c r="Q2239" i="5"/>
  <c r="N2239" i="5"/>
  <c r="K2240" i="5"/>
  <c r="I418" i="5"/>
  <c r="C419" i="5"/>
  <c r="F418" i="5"/>
  <c r="L421" i="5"/>
  <c r="Q420" i="5"/>
  <c r="AW24" i="10"/>
  <c r="AW25" i="10" s="1"/>
  <c r="AX11" i="10"/>
  <c r="N422" i="5"/>
  <c r="K423" i="5"/>
  <c r="N2240" i="5" l="1"/>
  <c r="K2241" i="5"/>
  <c r="Q2240" i="5"/>
  <c r="I2240" i="5"/>
  <c r="C2241" i="5"/>
  <c r="F2240" i="5"/>
  <c r="L422" i="5"/>
  <c r="Q421" i="5"/>
  <c r="N423" i="5"/>
  <c r="K424" i="5"/>
  <c r="AY11" i="10"/>
  <c r="AX24" i="10"/>
  <c r="AX25" i="10" s="1"/>
  <c r="I419" i="5"/>
  <c r="C420" i="5"/>
  <c r="F419" i="5"/>
  <c r="F2241" i="5" l="1"/>
  <c r="I2241" i="5"/>
  <c r="C2242" i="5"/>
  <c r="N2241" i="5"/>
  <c r="K2242" i="5"/>
  <c r="Q2241" i="5"/>
  <c r="N424" i="5"/>
  <c r="K425" i="5"/>
  <c r="C421" i="5"/>
  <c r="F420" i="5"/>
  <c r="I420" i="5"/>
  <c r="AZ11" i="10"/>
  <c r="AY24" i="10"/>
  <c r="AY25" i="10" s="1"/>
  <c r="L423" i="5"/>
  <c r="Q422" i="5"/>
  <c r="N2242" i="5" l="1"/>
  <c r="Q2242" i="5"/>
  <c r="K2243" i="5"/>
  <c r="C2243" i="5"/>
  <c r="I2242" i="5"/>
  <c r="F2242" i="5"/>
  <c r="C422" i="5"/>
  <c r="I421" i="5"/>
  <c r="F421" i="5"/>
  <c r="L424" i="5"/>
  <c r="Q423" i="5"/>
  <c r="BA11" i="10"/>
  <c r="AZ24" i="10"/>
  <c r="AZ25" i="10" s="1"/>
  <c r="N425" i="5"/>
  <c r="K426" i="5"/>
  <c r="F2243" i="5" l="1"/>
  <c r="C2244" i="5"/>
  <c r="I2243" i="5"/>
  <c r="Q2243" i="5"/>
  <c r="K2244" i="5"/>
  <c r="N2243" i="5"/>
  <c r="L425" i="5"/>
  <c r="Q424" i="5"/>
  <c r="N426" i="5"/>
  <c r="K427" i="5"/>
  <c r="BB11" i="10"/>
  <c r="BA24" i="10"/>
  <c r="BA25" i="10" s="1"/>
  <c r="I422" i="5"/>
  <c r="C423" i="5"/>
  <c r="F422" i="5"/>
  <c r="N2244" i="5" l="1"/>
  <c r="K2245" i="5"/>
  <c r="Q2244" i="5"/>
  <c r="I2244" i="5"/>
  <c r="C2245" i="5"/>
  <c r="F2244" i="5"/>
  <c r="K428" i="5"/>
  <c r="N427" i="5"/>
  <c r="F423" i="5"/>
  <c r="C424" i="5"/>
  <c r="I423" i="5"/>
  <c r="BC11" i="10"/>
  <c r="BB24" i="10"/>
  <c r="BB25" i="10" s="1"/>
  <c r="L426" i="5"/>
  <c r="Q425" i="5"/>
  <c r="C2246" i="5" l="1"/>
  <c r="F2245" i="5"/>
  <c r="I2245" i="5"/>
  <c r="K2246" i="5"/>
  <c r="N2245" i="5"/>
  <c r="Q2245" i="5"/>
  <c r="F424" i="5"/>
  <c r="C425" i="5"/>
  <c r="I424" i="5"/>
  <c r="L427" i="5"/>
  <c r="Q426" i="5"/>
  <c r="BD11" i="10"/>
  <c r="BC24" i="10"/>
  <c r="BC25" i="10" s="1"/>
  <c r="N428" i="5"/>
  <c r="K429" i="5"/>
  <c r="N2246" i="5" l="1"/>
  <c r="Q2246" i="5"/>
  <c r="K2247" i="5"/>
  <c r="F2246" i="5"/>
  <c r="I2246" i="5"/>
  <c r="C2247" i="5"/>
  <c r="L428" i="5"/>
  <c r="Q427" i="5"/>
  <c r="K430" i="5"/>
  <c r="N429" i="5"/>
  <c r="BE11" i="10"/>
  <c r="BD24" i="10"/>
  <c r="BD25" i="10" s="1"/>
  <c r="C426" i="5"/>
  <c r="I425" i="5"/>
  <c r="F425" i="5"/>
  <c r="F2247" i="5" l="1"/>
  <c r="C2248" i="5"/>
  <c r="I2247" i="5"/>
  <c r="Q2247" i="5"/>
  <c r="N2247" i="5"/>
  <c r="K2248" i="5"/>
  <c r="N430" i="5"/>
  <c r="K431" i="5"/>
  <c r="C427" i="5"/>
  <c r="I426" i="5"/>
  <c r="F426" i="5"/>
  <c r="BF11" i="10"/>
  <c r="BE24" i="10"/>
  <c r="BE25" i="10" s="1"/>
  <c r="L429" i="5"/>
  <c r="Q428" i="5"/>
  <c r="K2249" i="5" l="1"/>
  <c r="Q2248" i="5"/>
  <c r="N2248" i="5"/>
  <c r="F2248" i="5"/>
  <c r="I2248" i="5"/>
  <c r="C2249" i="5"/>
  <c r="I427" i="5"/>
  <c r="F427" i="5"/>
  <c r="C428" i="5"/>
  <c r="L430" i="5"/>
  <c r="Q429" i="5"/>
  <c r="BG11" i="10"/>
  <c r="BF24" i="10"/>
  <c r="BF25" i="10" s="1"/>
  <c r="N431" i="5"/>
  <c r="K432" i="5"/>
  <c r="I2249" i="5" l="1"/>
  <c r="F2249" i="5"/>
  <c r="C2250" i="5"/>
  <c r="K2250" i="5"/>
  <c r="N2249" i="5"/>
  <c r="Q2249" i="5"/>
  <c r="K433" i="5"/>
  <c r="N432" i="5"/>
  <c r="BH11" i="10"/>
  <c r="BG24" i="10"/>
  <c r="BG25" i="10" s="1"/>
  <c r="C429" i="5"/>
  <c r="I428" i="5"/>
  <c r="F428" i="5"/>
  <c r="L431" i="5"/>
  <c r="Q430" i="5"/>
  <c r="Q2250" i="5" l="1"/>
  <c r="N2250" i="5"/>
  <c r="K2251" i="5"/>
  <c r="C2251" i="5"/>
  <c r="I2250" i="5"/>
  <c r="F2250" i="5"/>
  <c r="L432" i="5"/>
  <c r="Q431" i="5"/>
  <c r="C430" i="5"/>
  <c r="I429" i="5"/>
  <c r="F429" i="5"/>
  <c r="BI11" i="10"/>
  <c r="BH24" i="10"/>
  <c r="BH25" i="10" s="1"/>
  <c r="N433" i="5"/>
  <c r="K434" i="5"/>
  <c r="F2251" i="5" l="1"/>
  <c r="I2251" i="5"/>
  <c r="C2252" i="5"/>
  <c r="Q2251" i="5"/>
  <c r="N2251" i="5"/>
  <c r="K2252" i="5"/>
  <c r="I430" i="5"/>
  <c r="C431" i="5"/>
  <c r="F430" i="5"/>
  <c r="N434" i="5"/>
  <c r="K435" i="5"/>
  <c r="BI24" i="10"/>
  <c r="BI25" i="10" s="1"/>
  <c r="BJ11" i="10"/>
  <c r="L433" i="5"/>
  <c r="Q432" i="5"/>
  <c r="N2252" i="5" l="1"/>
  <c r="K2253" i="5"/>
  <c r="Q2252" i="5"/>
  <c r="F2252" i="5"/>
  <c r="C2253" i="5"/>
  <c r="I2252" i="5"/>
  <c r="L434" i="5"/>
  <c r="Q433" i="5"/>
  <c r="BJ24" i="10"/>
  <c r="BJ25" i="10" s="1"/>
  <c r="BK11" i="10"/>
  <c r="N435" i="5"/>
  <c r="K436" i="5"/>
  <c r="C432" i="5"/>
  <c r="F431" i="5"/>
  <c r="I431" i="5"/>
  <c r="F2253" i="5" l="1"/>
  <c r="I2253" i="5"/>
  <c r="C2254" i="5"/>
  <c r="K2254" i="5"/>
  <c r="N2253" i="5"/>
  <c r="Q2253" i="5"/>
  <c r="F432" i="5"/>
  <c r="C433" i="5"/>
  <c r="I432" i="5"/>
  <c r="BK24" i="10"/>
  <c r="BK25" i="10" s="1"/>
  <c r="BL11" i="10"/>
  <c r="N436" i="5"/>
  <c r="K437" i="5"/>
  <c r="L435" i="5"/>
  <c r="Q434" i="5"/>
  <c r="K2255" i="5" l="1"/>
  <c r="N2254" i="5"/>
  <c r="Q2254" i="5"/>
  <c r="F2254" i="5"/>
  <c r="I2254" i="5"/>
  <c r="C2255" i="5"/>
  <c r="L436" i="5"/>
  <c r="Q435" i="5"/>
  <c r="BL24" i="10"/>
  <c r="BL25" i="10" s="1"/>
  <c r="BM11" i="10"/>
  <c r="K438" i="5"/>
  <c r="N437" i="5"/>
  <c r="C434" i="5"/>
  <c r="I433" i="5"/>
  <c r="F433" i="5"/>
  <c r="I2255" i="5" l="1"/>
  <c r="C2256" i="5"/>
  <c r="F2255" i="5"/>
  <c r="Q2255" i="5"/>
  <c r="K2256" i="5"/>
  <c r="N2255" i="5"/>
  <c r="F434" i="5"/>
  <c r="C435" i="5"/>
  <c r="I434" i="5"/>
  <c r="K439" i="5"/>
  <c r="N438" i="5"/>
  <c r="BM24" i="10"/>
  <c r="BM25" i="10" s="1"/>
  <c r="BN11" i="10"/>
  <c r="L437" i="5"/>
  <c r="Q436" i="5"/>
  <c r="N2256" i="5" l="1"/>
  <c r="Q2256" i="5"/>
  <c r="K2257" i="5"/>
  <c r="F2256" i="5"/>
  <c r="I2256" i="5"/>
  <c r="C2257" i="5"/>
  <c r="K440" i="5"/>
  <c r="N439" i="5"/>
  <c r="L438" i="5"/>
  <c r="Q437" i="5"/>
  <c r="BN24" i="10"/>
  <c r="BN25" i="10" s="1"/>
  <c r="BO11" i="10"/>
  <c r="F435" i="5"/>
  <c r="C436" i="5"/>
  <c r="I435" i="5"/>
  <c r="C2258" i="5" l="1"/>
  <c r="I2257" i="5"/>
  <c r="F2257" i="5"/>
  <c r="N2257" i="5"/>
  <c r="Q2257" i="5"/>
  <c r="K2258" i="5"/>
  <c r="L439" i="5"/>
  <c r="Q438" i="5"/>
  <c r="C437" i="5"/>
  <c r="F436" i="5"/>
  <c r="I436" i="5"/>
  <c r="BO24" i="10"/>
  <c r="BO25" i="10" s="1"/>
  <c r="BP11" i="10"/>
  <c r="K441" i="5"/>
  <c r="N440" i="5"/>
  <c r="Q2258" i="5" l="1"/>
  <c r="N2258" i="5"/>
  <c r="K2259" i="5"/>
  <c r="I2258" i="5"/>
  <c r="F2258" i="5"/>
  <c r="C2259" i="5"/>
  <c r="I437" i="5"/>
  <c r="C438" i="5"/>
  <c r="F437" i="5"/>
  <c r="K442" i="5"/>
  <c r="N441" i="5"/>
  <c r="BP24" i="10"/>
  <c r="BP25" i="10" s="1"/>
  <c r="BQ11" i="10"/>
  <c r="L440" i="5"/>
  <c r="Q439" i="5"/>
  <c r="F2259" i="5" l="1"/>
  <c r="I2259" i="5"/>
  <c r="C2260" i="5"/>
  <c r="K2260" i="5"/>
  <c r="N2259" i="5"/>
  <c r="Q2259" i="5"/>
  <c r="K443" i="5"/>
  <c r="N442" i="5"/>
  <c r="BQ24" i="10"/>
  <c r="BQ25" i="10" s="1"/>
  <c r="BR11" i="10"/>
  <c r="L441" i="5"/>
  <c r="Q440" i="5"/>
  <c r="I438" i="5"/>
  <c r="F438" i="5"/>
  <c r="C439" i="5"/>
  <c r="I2260" i="5" l="1"/>
  <c r="C2261" i="5"/>
  <c r="F2260" i="5"/>
  <c r="Q2260" i="5"/>
  <c r="N2260" i="5"/>
  <c r="K2261" i="5"/>
  <c r="C440" i="5"/>
  <c r="F439" i="5"/>
  <c r="I439" i="5"/>
  <c r="K444" i="5"/>
  <c r="N443" i="5"/>
  <c r="L442" i="5"/>
  <c r="Q441" i="5"/>
  <c r="BR24" i="10"/>
  <c r="BR25" i="10" s="1"/>
  <c r="BS11" i="10"/>
  <c r="K2262" i="5" l="1"/>
  <c r="Q2261" i="5"/>
  <c r="N2261" i="5"/>
  <c r="C2262" i="5"/>
  <c r="F2261" i="5"/>
  <c r="I2261" i="5"/>
  <c r="L443" i="5"/>
  <c r="Q442" i="5"/>
  <c r="BS24" i="10"/>
  <c r="BS25" i="10" s="1"/>
  <c r="BT11" i="10"/>
  <c r="N444" i="5"/>
  <c r="K445" i="5"/>
  <c r="I440" i="5"/>
  <c r="F440" i="5"/>
  <c r="C441" i="5"/>
  <c r="I2262" i="5" l="1"/>
  <c r="F2262" i="5"/>
  <c r="C2263" i="5"/>
  <c r="N2262" i="5"/>
  <c r="Q2262" i="5"/>
  <c r="K2263" i="5"/>
  <c r="N445" i="5"/>
  <c r="K446" i="5"/>
  <c r="BU11" i="10"/>
  <c r="BT24" i="10"/>
  <c r="BT25" i="10" s="1"/>
  <c r="I441" i="5"/>
  <c r="F441" i="5"/>
  <c r="C442" i="5"/>
  <c r="L444" i="5"/>
  <c r="Q443" i="5"/>
  <c r="N2263" i="5" l="1"/>
  <c r="K2264" i="5"/>
  <c r="Q2263" i="5"/>
  <c r="F2263" i="5"/>
  <c r="I2263" i="5"/>
  <c r="C2264" i="5"/>
  <c r="BV11" i="10"/>
  <c r="BU24" i="10"/>
  <c r="BU25" i="10" s="1"/>
  <c r="L445" i="5"/>
  <c r="Q444" i="5"/>
  <c r="K447" i="5"/>
  <c r="N446" i="5"/>
  <c r="C443" i="5"/>
  <c r="F442" i="5"/>
  <c r="I442" i="5"/>
  <c r="F2264" i="5" l="1"/>
  <c r="C2265" i="5"/>
  <c r="I2264" i="5"/>
  <c r="N2264" i="5"/>
  <c r="Q2264" i="5"/>
  <c r="K2265" i="5"/>
  <c r="N447" i="5"/>
  <c r="K448" i="5"/>
  <c r="I443" i="5"/>
  <c r="C444" i="5"/>
  <c r="F443" i="5"/>
  <c r="L446" i="5"/>
  <c r="Q445" i="5"/>
  <c r="BW11" i="10"/>
  <c r="BV24" i="10"/>
  <c r="BV25" i="10" s="1"/>
  <c r="N2265" i="5" l="1"/>
  <c r="Q2265" i="5"/>
  <c r="K2266" i="5"/>
  <c r="F2265" i="5"/>
  <c r="I2265" i="5"/>
  <c r="C2266" i="5"/>
  <c r="BX11" i="10"/>
  <c r="BW24" i="10"/>
  <c r="BW25" i="10" s="1"/>
  <c r="L447" i="5"/>
  <c r="Q446" i="5"/>
  <c r="C445" i="5"/>
  <c r="I444" i="5"/>
  <c r="F444" i="5"/>
  <c r="N448" i="5"/>
  <c r="K449" i="5"/>
  <c r="C2267" i="5" l="1"/>
  <c r="F2266" i="5"/>
  <c r="I2266" i="5"/>
  <c r="K2267" i="5"/>
  <c r="N2266" i="5"/>
  <c r="Q2266" i="5"/>
  <c r="K450" i="5"/>
  <c r="N449" i="5"/>
  <c r="L448" i="5"/>
  <c r="Q447" i="5"/>
  <c r="C446" i="5"/>
  <c r="I445" i="5"/>
  <c r="F445" i="5"/>
  <c r="BY11" i="10"/>
  <c r="BX24" i="10"/>
  <c r="BX25" i="10" s="1"/>
  <c r="N2267" i="5" l="1"/>
  <c r="Q2267" i="5"/>
  <c r="K2268" i="5"/>
  <c r="I2267" i="5"/>
  <c r="F2267" i="5"/>
  <c r="C2268" i="5"/>
  <c r="BZ11" i="10"/>
  <c r="BY24" i="10"/>
  <c r="BY25" i="10" s="1"/>
  <c r="L449" i="5"/>
  <c r="Q448" i="5"/>
  <c r="F446" i="5"/>
  <c r="C447" i="5"/>
  <c r="I446" i="5"/>
  <c r="N450" i="5"/>
  <c r="K451" i="5"/>
  <c r="F2268" i="5" l="1"/>
  <c r="C2269" i="5"/>
  <c r="I2268" i="5"/>
  <c r="N2268" i="5"/>
  <c r="K2269" i="5"/>
  <c r="Q2268" i="5"/>
  <c r="L450" i="5"/>
  <c r="Q449" i="5"/>
  <c r="K452" i="5"/>
  <c r="N451" i="5"/>
  <c r="C448" i="5"/>
  <c r="I447" i="5"/>
  <c r="F447" i="5"/>
  <c r="CA11" i="10"/>
  <c r="BZ24" i="10"/>
  <c r="BZ25" i="10" s="1"/>
  <c r="Q2269" i="5" l="1"/>
  <c r="N2269" i="5"/>
  <c r="K2270" i="5"/>
  <c r="I2269" i="5"/>
  <c r="C2270" i="5"/>
  <c r="F2269" i="5"/>
  <c r="I448" i="5"/>
  <c r="C449" i="5"/>
  <c r="F448" i="5"/>
  <c r="CB11" i="10"/>
  <c r="CB24" i="10" s="1"/>
  <c r="CB25" i="10" s="1"/>
  <c r="CA24" i="10"/>
  <c r="CA25" i="10" s="1"/>
  <c r="K453" i="5"/>
  <c r="N452" i="5"/>
  <c r="L451" i="5"/>
  <c r="Q450" i="5"/>
  <c r="I2270" i="5" l="1"/>
  <c r="F2270" i="5"/>
  <c r="C2271" i="5"/>
  <c r="K2271" i="5"/>
  <c r="N2270" i="5"/>
  <c r="Q2270" i="5"/>
  <c r="K454" i="5"/>
  <c r="N453" i="5"/>
  <c r="L452" i="5"/>
  <c r="Q451" i="5"/>
  <c r="I449" i="5"/>
  <c r="F449" i="5"/>
  <c r="C450" i="5"/>
  <c r="Q2271" i="5" l="1"/>
  <c r="K2272" i="5"/>
  <c r="N2271" i="5"/>
  <c r="C2272" i="5"/>
  <c r="F2271" i="5"/>
  <c r="I2271" i="5"/>
  <c r="C451" i="5"/>
  <c r="I450" i="5"/>
  <c r="F450" i="5"/>
  <c r="K455" i="5"/>
  <c r="N454" i="5"/>
  <c r="L453" i="5"/>
  <c r="Q452" i="5"/>
  <c r="I2272" i="5" l="1"/>
  <c r="F2272" i="5"/>
  <c r="C2273" i="5"/>
  <c r="N2272" i="5"/>
  <c r="K2273" i="5"/>
  <c r="Q2272" i="5"/>
  <c r="N455" i="5"/>
  <c r="K456" i="5"/>
  <c r="L454" i="5"/>
  <c r="Q453" i="5"/>
  <c r="C452" i="5"/>
  <c r="I451" i="5"/>
  <c r="F451" i="5"/>
  <c r="K2274" i="5" l="1"/>
  <c r="N2273" i="5"/>
  <c r="Q2273" i="5"/>
  <c r="C2274" i="5"/>
  <c r="F2273" i="5"/>
  <c r="I2273" i="5"/>
  <c r="L455" i="5"/>
  <c r="Q454" i="5"/>
  <c r="I452" i="5"/>
  <c r="C453" i="5"/>
  <c r="F452" i="5"/>
  <c r="K457" i="5"/>
  <c r="N456" i="5"/>
  <c r="F2274" i="5" l="1"/>
  <c r="I2274" i="5"/>
  <c r="C2275" i="5"/>
  <c r="Q2274" i="5"/>
  <c r="N2274" i="5"/>
  <c r="K2275" i="5"/>
  <c r="C454" i="5"/>
  <c r="F453" i="5"/>
  <c r="I453" i="5"/>
  <c r="K458" i="5"/>
  <c r="N457" i="5"/>
  <c r="L456" i="5"/>
  <c r="Q455" i="5"/>
  <c r="N2275" i="5" l="1"/>
  <c r="K2276" i="5"/>
  <c r="Q2275" i="5"/>
  <c r="F2275" i="5"/>
  <c r="C2276" i="5"/>
  <c r="I2275" i="5"/>
  <c r="N458" i="5"/>
  <c r="K459" i="5"/>
  <c r="L457" i="5"/>
  <c r="Q456" i="5"/>
  <c r="I454" i="5"/>
  <c r="F454" i="5"/>
  <c r="C455" i="5"/>
  <c r="F2276" i="5" l="1"/>
  <c r="C2277" i="5"/>
  <c r="I2276" i="5"/>
  <c r="K2277" i="5"/>
  <c r="N2276" i="5"/>
  <c r="Q2276" i="5"/>
  <c r="L458" i="5"/>
  <c r="Q457" i="5"/>
  <c r="I455" i="5"/>
  <c r="F455" i="5"/>
  <c r="C456" i="5"/>
  <c r="N459" i="5"/>
  <c r="K460" i="5"/>
  <c r="N2277" i="5" l="1"/>
  <c r="Q2277" i="5"/>
  <c r="K2278" i="5"/>
  <c r="F2277" i="5"/>
  <c r="C2278" i="5"/>
  <c r="I2277" i="5"/>
  <c r="N460" i="5"/>
  <c r="K461" i="5"/>
  <c r="I456" i="5"/>
  <c r="F456" i="5"/>
  <c r="C457" i="5"/>
  <c r="L459" i="5"/>
  <c r="Q458" i="5"/>
  <c r="C2279" i="5" l="1"/>
  <c r="I2278" i="5"/>
  <c r="F2278" i="5"/>
  <c r="Q2278" i="5"/>
  <c r="K2279" i="5"/>
  <c r="N2278" i="5"/>
  <c r="L460" i="5"/>
  <c r="Q459" i="5"/>
  <c r="F457" i="5"/>
  <c r="C458" i="5"/>
  <c r="I457" i="5"/>
  <c r="K462" i="5"/>
  <c r="N461" i="5"/>
  <c r="N2279" i="5" l="1"/>
  <c r="K2280" i="5"/>
  <c r="Q2279" i="5"/>
  <c r="I2279" i="5"/>
  <c r="C2280" i="5"/>
  <c r="F2279" i="5"/>
  <c r="I458" i="5"/>
  <c r="C459" i="5"/>
  <c r="F458" i="5"/>
  <c r="K463" i="5"/>
  <c r="N462" i="5"/>
  <c r="L461" i="5"/>
  <c r="Q460" i="5"/>
  <c r="Q2280" i="5" l="1"/>
  <c r="N2280" i="5"/>
  <c r="K2281" i="5"/>
  <c r="C2281" i="5"/>
  <c r="F2280" i="5"/>
  <c r="I2280" i="5"/>
  <c r="K464" i="5"/>
  <c r="N463" i="5"/>
  <c r="I459" i="5"/>
  <c r="C460" i="5"/>
  <c r="F459" i="5"/>
  <c r="L462" i="5"/>
  <c r="Q461" i="5"/>
  <c r="I2281" i="5" l="1"/>
  <c r="C2282" i="5"/>
  <c r="F2281" i="5"/>
  <c r="K2282" i="5"/>
  <c r="N2281" i="5"/>
  <c r="Q2281" i="5"/>
  <c r="L463" i="5"/>
  <c r="Q462" i="5"/>
  <c r="I460" i="5"/>
  <c r="F460" i="5"/>
  <c r="C461" i="5"/>
  <c r="K465" i="5"/>
  <c r="N464" i="5"/>
  <c r="N2282" i="5" l="1"/>
  <c r="K2283" i="5"/>
  <c r="Q2282" i="5"/>
  <c r="F2282" i="5"/>
  <c r="I2282" i="5"/>
  <c r="C2283" i="5"/>
  <c r="C462" i="5"/>
  <c r="F461" i="5"/>
  <c r="I461" i="5"/>
  <c r="K466" i="5"/>
  <c r="N465" i="5"/>
  <c r="L464" i="5"/>
  <c r="Q463" i="5"/>
  <c r="I2283" i="5" l="1"/>
  <c r="C2284" i="5"/>
  <c r="F2283" i="5"/>
  <c r="Q2283" i="5"/>
  <c r="N2283" i="5"/>
  <c r="K2284" i="5"/>
  <c r="N466" i="5"/>
  <c r="K467" i="5"/>
  <c r="L465" i="5"/>
  <c r="Q464" i="5"/>
  <c r="C463" i="5"/>
  <c r="F462" i="5"/>
  <c r="I462" i="5"/>
  <c r="K2285" i="5" l="1"/>
  <c r="Q2284" i="5"/>
  <c r="N2284" i="5"/>
  <c r="F2284" i="5"/>
  <c r="I2284" i="5"/>
  <c r="C2285" i="5"/>
  <c r="L466" i="5"/>
  <c r="Q465" i="5"/>
  <c r="I463" i="5"/>
  <c r="C464" i="5"/>
  <c r="F463" i="5"/>
  <c r="N467" i="5"/>
  <c r="K468" i="5"/>
  <c r="C2286" i="5" l="1"/>
  <c r="F2285" i="5"/>
  <c r="I2285" i="5"/>
  <c r="Q2285" i="5"/>
  <c r="N2285" i="5"/>
  <c r="K2286" i="5"/>
  <c r="C465" i="5"/>
  <c r="F464" i="5"/>
  <c r="I464" i="5"/>
  <c r="N468" i="5"/>
  <c r="K469" i="5"/>
  <c r="L467" i="5"/>
  <c r="Q466" i="5"/>
  <c r="N2286" i="5" l="1"/>
  <c r="Q2286" i="5"/>
  <c r="K2287" i="5"/>
  <c r="F2286" i="5"/>
  <c r="I2286" i="5"/>
  <c r="C2287" i="5"/>
  <c r="L468" i="5"/>
  <c r="Q467" i="5"/>
  <c r="N469" i="5"/>
  <c r="K470" i="5"/>
  <c r="I465" i="5"/>
  <c r="F465" i="5"/>
  <c r="C466" i="5"/>
  <c r="F2287" i="5" l="1"/>
  <c r="I2287" i="5"/>
  <c r="C2288" i="5"/>
  <c r="Q2287" i="5"/>
  <c r="K2288" i="5"/>
  <c r="N2287" i="5"/>
  <c r="I466" i="5"/>
  <c r="F466" i="5"/>
  <c r="C467" i="5"/>
  <c r="K471" i="5"/>
  <c r="N470" i="5"/>
  <c r="L469" i="5"/>
  <c r="Q468" i="5"/>
  <c r="Q2288" i="5" l="1"/>
  <c r="N2288" i="5"/>
  <c r="K2289" i="5"/>
  <c r="I2288" i="5"/>
  <c r="C2289" i="5"/>
  <c r="F2288" i="5"/>
  <c r="K472" i="5"/>
  <c r="N471" i="5"/>
  <c r="L470" i="5"/>
  <c r="Q469" i="5"/>
  <c r="F467" i="5"/>
  <c r="C468" i="5"/>
  <c r="I467" i="5"/>
  <c r="F2289" i="5" l="1"/>
  <c r="C2290" i="5"/>
  <c r="I2289" i="5"/>
  <c r="K2290" i="5"/>
  <c r="N2289" i="5"/>
  <c r="Q2289" i="5"/>
  <c r="L471" i="5"/>
  <c r="Q470" i="5"/>
  <c r="F468" i="5"/>
  <c r="C469" i="5"/>
  <c r="I468" i="5"/>
  <c r="K473" i="5"/>
  <c r="N472" i="5"/>
  <c r="N2290" i="5" l="1"/>
  <c r="Q2290" i="5"/>
  <c r="K2291" i="5"/>
  <c r="F2290" i="5"/>
  <c r="I2290" i="5"/>
  <c r="C2291" i="5"/>
  <c r="C470" i="5"/>
  <c r="F469" i="5"/>
  <c r="I469" i="5"/>
  <c r="K474" i="5"/>
  <c r="N473" i="5"/>
  <c r="L472" i="5"/>
  <c r="Q471" i="5"/>
  <c r="F2291" i="5" l="1"/>
  <c r="I2291" i="5"/>
  <c r="C2292" i="5"/>
  <c r="Q2291" i="5"/>
  <c r="K2292" i="5"/>
  <c r="N2291" i="5"/>
  <c r="L473" i="5"/>
  <c r="Q472" i="5"/>
  <c r="N474" i="5"/>
  <c r="K475" i="5"/>
  <c r="I470" i="5"/>
  <c r="C471" i="5"/>
  <c r="F470" i="5"/>
  <c r="K2293" i="5" l="1"/>
  <c r="N2292" i="5"/>
  <c r="Q2292" i="5"/>
  <c r="F2292" i="5"/>
  <c r="C2293" i="5"/>
  <c r="I2292" i="5"/>
  <c r="N475" i="5"/>
  <c r="K476" i="5"/>
  <c r="I471" i="5"/>
  <c r="F471" i="5"/>
  <c r="C472" i="5"/>
  <c r="L474" i="5"/>
  <c r="Q473" i="5"/>
  <c r="C2294" i="5" l="1"/>
  <c r="F2293" i="5"/>
  <c r="I2293" i="5"/>
  <c r="N2293" i="5"/>
  <c r="Q2293" i="5"/>
  <c r="K2294" i="5"/>
  <c r="L475" i="5"/>
  <c r="Q474" i="5"/>
  <c r="C473" i="5"/>
  <c r="F472" i="5"/>
  <c r="I472" i="5"/>
  <c r="K477" i="5"/>
  <c r="N476" i="5"/>
  <c r="K2295" i="5" l="1"/>
  <c r="N2294" i="5"/>
  <c r="Q2294" i="5"/>
  <c r="F2294" i="5"/>
  <c r="I2294" i="5"/>
  <c r="C2295" i="5"/>
  <c r="I473" i="5"/>
  <c r="F473" i="5"/>
  <c r="C474" i="5"/>
  <c r="N477" i="5"/>
  <c r="K478" i="5"/>
  <c r="L476" i="5"/>
  <c r="Q475" i="5"/>
  <c r="I2295" i="5" l="1"/>
  <c r="C2296" i="5"/>
  <c r="F2295" i="5"/>
  <c r="N2295" i="5"/>
  <c r="K2296" i="5"/>
  <c r="Q2295" i="5"/>
  <c r="K479" i="5"/>
  <c r="N478" i="5"/>
  <c r="L477" i="5"/>
  <c r="Q476" i="5"/>
  <c r="I474" i="5"/>
  <c r="F474" i="5"/>
  <c r="C475" i="5"/>
  <c r="N2296" i="5" l="1"/>
  <c r="Q2296" i="5"/>
  <c r="K2297" i="5"/>
  <c r="C2297" i="5"/>
  <c r="F2296" i="5"/>
  <c r="I2296" i="5"/>
  <c r="C476" i="5"/>
  <c r="F475" i="5"/>
  <c r="I475" i="5"/>
  <c r="L478" i="5"/>
  <c r="Q477" i="5"/>
  <c r="K480" i="5"/>
  <c r="N479" i="5"/>
  <c r="I2297" i="5" l="1"/>
  <c r="F2297" i="5"/>
  <c r="C2298" i="5"/>
  <c r="N2297" i="5"/>
  <c r="Q2297" i="5"/>
  <c r="K2298" i="5"/>
  <c r="L479" i="5"/>
  <c r="Q478" i="5"/>
  <c r="N480" i="5"/>
  <c r="K481" i="5"/>
  <c r="C477" i="5"/>
  <c r="F476" i="5"/>
  <c r="I476" i="5"/>
  <c r="F2298" i="5" l="1"/>
  <c r="C2299" i="5"/>
  <c r="I2298" i="5"/>
  <c r="N2298" i="5"/>
  <c r="Q2298" i="5"/>
  <c r="K2299" i="5"/>
  <c r="K482" i="5"/>
  <c r="N481" i="5"/>
  <c r="C478" i="5"/>
  <c r="I477" i="5"/>
  <c r="F477" i="5"/>
  <c r="L480" i="5"/>
  <c r="Q479" i="5"/>
  <c r="N2299" i="5" l="1"/>
  <c r="Q2299" i="5"/>
  <c r="K2300" i="5"/>
  <c r="I2299" i="5"/>
  <c r="F2299" i="5"/>
  <c r="C2300" i="5"/>
  <c r="F478" i="5"/>
  <c r="C479" i="5"/>
  <c r="I478" i="5"/>
  <c r="L481" i="5"/>
  <c r="Q480" i="5"/>
  <c r="K483" i="5"/>
  <c r="N482" i="5"/>
  <c r="I2300" i="5" l="1"/>
  <c r="C2301" i="5"/>
  <c r="F2300" i="5"/>
  <c r="N2300" i="5"/>
  <c r="K2301" i="5"/>
  <c r="Q2300" i="5"/>
  <c r="K484" i="5"/>
  <c r="N483" i="5"/>
  <c r="L482" i="5"/>
  <c r="Q481" i="5"/>
  <c r="F479" i="5"/>
  <c r="I479" i="5"/>
  <c r="C480" i="5"/>
  <c r="K2302" i="5" l="1"/>
  <c r="N2301" i="5"/>
  <c r="Q2301" i="5"/>
  <c r="C2302" i="5"/>
  <c r="I2301" i="5"/>
  <c r="F2301" i="5"/>
  <c r="I480" i="5"/>
  <c r="F480" i="5"/>
  <c r="C481" i="5"/>
  <c r="L483" i="5"/>
  <c r="Q482" i="5"/>
  <c r="K485" i="5"/>
  <c r="N484" i="5"/>
  <c r="F2302" i="5" l="1"/>
  <c r="C2303" i="5"/>
  <c r="I2302" i="5"/>
  <c r="Q2302" i="5"/>
  <c r="K2303" i="5"/>
  <c r="N2302" i="5"/>
  <c r="L484" i="5"/>
  <c r="Q483" i="5"/>
  <c r="K486" i="5"/>
  <c r="N485" i="5"/>
  <c r="I481" i="5"/>
  <c r="F481" i="5"/>
  <c r="C482" i="5"/>
  <c r="K2304" i="5" l="1"/>
  <c r="N2303" i="5"/>
  <c r="Q2303" i="5"/>
  <c r="C2304" i="5"/>
  <c r="F2303" i="5"/>
  <c r="I2303" i="5"/>
  <c r="K487" i="5"/>
  <c r="N486" i="5"/>
  <c r="I482" i="5"/>
  <c r="F482" i="5"/>
  <c r="C483" i="5"/>
  <c r="L485" i="5"/>
  <c r="Q484" i="5"/>
  <c r="I2304" i="5" l="1"/>
  <c r="F2304" i="5"/>
  <c r="C2305" i="5"/>
  <c r="K2305" i="5"/>
  <c r="N2304" i="5"/>
  <c r="Q2304" i="5"/>
  <c r="C484" i="5"/>
  <c r="I483" i="5"/>
  <c r="F483" i="5"/>
  <c r="L486" i="5"/>
  <c r="Q485" i="5"/>
  <c r="K488" i="5"/>
  <c r="N487" i="5"/>
  <c r="N2305" i="5" l="1"/>
  <c r="Q2305" i="5"/>
  <c r="K2306" i="5"/>
  <c r="F2305" i="5"/>
  <c r="I2305" i="5"/>
  <c r="C2306" i="5"/>
  <c r="L487" i="5"/>
  <c r="Q486" i="5"/>
  <c r="N488" i="5"/>
  <c r="K489" i="5"/>
  <c r="C485" i="5"/>
  <c r="F484" i="5"/>
  <c r="I484" i="5"/>
  <c r="C2307" i="5" l="1"/>
  <c r="I2306" i="5"/>
  <c r="F2306" i="5"/>
  <c r="Q2306" i="5"/>
  <c r="K2307" i="5"/>
  <c r="N2306" i="5"/>
  <c r="K490" i="5"/>
  <c r="N489" i="5"/>
  <c r="I485" i="5"/>
  <c r="C486" i="5"/>
  <c r="F485" i="5"/>
  <c r="L488" i="5"/>
  <c r="Q487" i="5"/>
  <c r="N2307" i="5" l="1"/>
  <c r="Q2307" i="5"/>
  <c r="K2308" i="5"/>
  <c r="I2307" i="5"/>
  <c r="F2307" i="5"/>
  <c r="C2308" i="5"/>
  <c r="C487" i="5"/>
  <c r="F486" i="5"/>
  <c r="I486" i="5"/>
  <c r="L489" i="5"/>
  <c r="Q488" i="5"/>
  <c r="N490" i="5"/>
  <c r="K491" i="5"/>
  <c r="F2308" i="5" l="1"/>
  <c r="C2309" i="5"/>
  <c r="I2308" i="5"/>
  <c r="Q2308" i="5"/>
  <c r="K2309" i="5"/>
  <c r="N2308" i="5"/>
  <c r="N491" i="5"/>
  <c r="K492" i="5"/>
  <c r="L490" i="5"/>
  <c r="Q489" i="5"/>
  <c r="I487" i="5"/>
  <c r="F487" i="5"/>
  <c r="C488" i="5"/>
  <c r="K2310" i="5" l="1"/>
  <c r="N2309" i="5"/>
  <c r="Q2309" i="5"/>
  <c r="F2309" i="5"/>
  <c r="C2310" i="5"/>
  <c r="I2309" i="5"/>
  <c r="L491" i="5"/>
  <c r="Q490" i="5"/>
  <c r="F488" i="5"/>
  <c r="C489" i="5"/>
  <c r="I488" i="5"/>
  <c r="K493" i="5"/>
  <c r="N492" i="5"/>
  <c r="F2310" i="5" l="1"/>
  <c r="I2310" i="5"/>
  <c r="C2311" i="5"/>
  <c r="K2311" i="5"/>
  <c r="N2310" i="5"/>
  <c r="Q2310" i="5"/>
  <c r="K494" i="5"/>
  <c r="N493" i="5"/>
  <c r="F489" i="5"/>
  <c r="I489" i="5"/>
  <c r="C490" i="5"/>
  <c r="L492" i="5"/>
  <c r="Q491" i="5"/>
  <c r="Q2311" i="5" l="1"/>
  <c r="N2311" i="5"/>
  <c r="K2312" i="5"/>
  <c r="C2312" i="5"/>
  <c r="I2311" i="5"/>
  <c r="F2311" i="5"/>
  <c r="F490" i="5"/>
  <c r="C491" i="5"/>
  <c r="I490" i="5"/>
  <c r="L493" i="5"/>
  <c r="Q492" i="5"/>
  <c r="K495" i="5"/>
  <c r="N494" i="5"/>
  <c r="F2312" i="5" l="1"/>
  <c r="I2312" i="5"/>
  <c r="C2313" i="5"/>
  <c r="K2313" i="5"/>
  <c r="N2312" i="5"/>
  <c r="Q2312" i="5"/>
  <c r="K496" i="5"/>
  <c r="N495" i="5"/>
  <c r="L494" i="5"/>
  <c r="Q493" i="5"/>
  <c r="C492" i="5"/>
  <c r="I491" i="5"/>
  <c r="F491" i="5"/>
  <c r="Q2313" i="5" l="1"/>
  <c r="N2313" i="5"/>
  <c r="K2314" i="5"/>
  <c r="F2313" i="5"/>
  <c r="C2314" i="5"/>
  <c r="I2313" i="5"/>
  <c r="L495" i="5"/>
  <c r="Q494" i="5"/>
  <c r="I492" i="5"/>
  <c r="C493" i="5"/>
  <c r="F492" i="5"/>
  <c r="K497" i="5"/>
  <c r="N496" i="5"/>
  <c r="F2314" i="5" l="1"/>
  <c r="C2315" i="5"/>
  <c r="I2314" i="5"/>
  <c r="K2315" i="5"/>
  <c r="Q2314" i="5"/>
  <c r="N2314" i="5"/>
  <c r="I493" i="5"/>
  <c r="F493" i="5"/>
  <c r="C494" i="5"/>
  <c r="K498" i="5"/>
  <c r="N497" i="5"/>
  <c r="L496" i="5"/>
  <c r="Q495" i="5"/>
  <c r="Q2315" i="5" l="1"/>
  <c r="K2316" i="5"/>
  <c r="N2315" i="5"/>
  <c r="F2315" i="5"/>
  <c r="I2315" i="5"/>
  <c r="C2316" i="5"/>
  <c r="K499" i="5"/>
  <c r="N498" i="5"/>
  <c r="L497" i="5"/>
  <c r="Q496" i="5"/>
  <c r="C495" i="5"/>
  <c r="I494" i="5"/>
  <c r="F494" i="5"/>
  <c r="C2317" i="5" l="1"/>
  <c r="I2316" i="5"/>
  <c r="F2316" i="5"/>
  <c r="N2316" i="5"/>
  <c r="Q2316" i="5"/>
  <c r="K2317" i="5"/>
  <c r="F495" i="5"/>
  <c r="C496" i="5"/>
  <c r="I495" i="5"/>
  <c r="L498" i="5"/>
  <c r="Q497" i="5"/>
  <c r="N499" i="5"/>
  <c r="K500" i="5"/>
  <c r="K2318" i="5" l="1"/>
  <c r="Q2317" i="5"/>
  <c r="N2317" i="5"/>
  <c r="F2317" i="5"/>
  <c r="C2318" i="5"/>
  <c r="I2317" i="5"/>
  <c r="L499" i="5"/>
  <c r="Q498" i="5"/>
  <c r="K501" i="5"/>
  <c r="N500" i="5"/>
  <c r="I496" i="5"/>
  <c r="F496" i="5"/>
  <c r="C497" i="5"/>
  <c r="I2318" i="5" l="1"/>
  <c r="F2318" i="5"/>
  <c r="C2319" i="5"/>
  <c r="N2318" i="5"/>
  <c r="Q2318" i="5"/>
  <c r="K2319" i="5"/>
  <c r="K502" i="5"/>
  <c r="N501" i="5"/>
  <c r="C498" i="5"/>
  <c r="F497" i="5"/>
  <c r="I497" i="5"/>
  <c r="L500" i="5"/>
  <c r="Q499" i="5"/>
  <c r="K2320" i="5" l="1"/>
  <c r="Q2319" i="5"/>
  <c r="N2319" i="5"/>
  <c r="I2319" i="5"/>
  <c r="C2320" i="5"/>
  <c r="F2319" i="5"/>
  <c r="C499" i="5"/>
  <c r="F498" i="5"/>
  <c r="I498" i="5"/>
  <c r="L501" i="5"/>
  <c r="Q500" i="5"/>
  <c r="N502" i="5"/>
  <c r="K503" i="5"/>
  <c r="F2320" i="5" l="1"/>
  <c r="I2320" i="5"/>
  <c r="C2321" i="5"/>
  <c r="Q2320" i="5"/>
  <c r="K2321" i="5"/>
  <c r="N2320" i="5"/>
  <c r="N503" i="5"/>
  <c r="K504" i="5"/>
  <c r="L502" i="5"/>
  <c r="Q501" i="5"/>
  <c r="C500" i="5"/>
  <c r="I499" i="5"/>
  <c r="F499" i="5"/>
  <c r="N2321" i="5" l="1"/>
  <c r="K2322" i="5"/>
  <c r="Q2321" i="5"/>
  <c r="C2322" i="5"/>
  <c r="F2321" i="5"/>
  <c r="I2321" i="5"/>
  <c r="F500" i="5"/>
  <c r="C501" i="5"/>
  <c r="I500" i="5"/>
  <c r="L503" i="5"/>
  <c r="Q502" i="5"/>
  <c r="N504" i="5"/>
  <c r="K505" i="5"/>
  <c r="F2322" i="5" l="1"/>
  <c r="I2322" i="5"/>
  <c r="C2323" i="5"/>
  <c r="K2323" i="5"/>
  <c r="Q2322" i="5"/>
  <c r="N2322" i="5"/>
  <c r="K506" i="5"/>
  <c r="N505" i="5"/>
  <c r="L504" i="5"/>
  <c r="Q503" i="5"/>
  <c r="F501" i="5"/>
  <c r="I501" i="5"/>
  <c r="C502" i="5"/>
  <c r="K2324" i="5" l="1"/>
  <c r="Q2323" i="5"/>
  <c r="N2323" i="5"/>
  <c r="I2323" i="5"/>
  <c r="C2324" i="5"/>
  <c r="F2323" i="5"/>
  <c r="C503" i="5"/>
  <c r="I502" i="5"/>
  <c r="F502" i="5"/>
  <c r="L505" i="5"/>
  <c r="Q504" i="5"/>
  <c r="K507" i="5"/>
  <c r="N506" i="5"/>
  <c r="F2324" i="5" l="1"/>
  <c r="I2324" i="5"/>
  <c r="C2325" i="5"/>
  <c r="Q2324" i="5"/>
  <c r="N2324" i="5"/>
  <c r="K2325" i="5"/>
  <c r="L506" i="5"/>
  <c r="Q505" i="5"/>
  <c r="K508" i="5"/>
  <c r="N507" i="5"/>
  <c r="I503" i="5"/>
  <c r="F503" i="5"/>
  <c r="C504" i="5"/>
  <c r="K2326" i="5" l="1"/>
  <c r="N2325" i="5"/>
  <c r="Q2325" i="5"/>
  <c r="I2325" i="5"/>
  <c r="F2325" i="5"/>
  <c r="C2326" i="5"/>
  <c r="I504" i="5"/>
  <c r="F504" i="5"/>
  <c r="C505" i="5"/>
  <c r="K509" i="5"/>
  <c r="N508" i="5"/>
  <c r="L507" i="5"/>
  <c r="Q506" i="5"/>
  <c r="F2326" i="5" l="1"/>
  <c r="I2326" i="5"/>
  <c r="C2327" i="5"/>
  <c r="Q2326" i="5"/>
  <c r="N2326" i="5"/>
  <c r="K2327" i="5"/>
  <c r="K510" i="5"/>
  <c r="N509" i="5"/>
  <c r="L508" i="5"/>
  <c r="Q507" i="5"/>
  <c r="C506" i="5"/>
  <c r="I505" i="5"/>
  <c r="F505" i="5"/>
  <c r="K2328" i="5" l="1"/>
  <c r="N2327" i="5"/>
  <c r="Q2327" i="5"/>
  <c r="C2328" i="5"/>
  <c r="F2327" i="5"/>
  <c r="I2327" i="5"/>
  <c r="L509" i="5"/>
  <c r="Q508" i="5"/>
  <c r="I506" i="5"/>
  <c r="F506" i="5"/>
  <c r="C507" i="5"/>
  <c r="N510" i="5"/>
  <c r="K511" i="5"/>
  <c r="I2328" i="5" l="1"/>
  <c r="F2328" i="5"/>
  <c r="C2329" i="5"/>
  <c r="Q2328" i="5"/>
  <c r="K2329" i="5"/>
  <c r="N2328" i="5"/>
  <c r="K512" i="5"/>
  <c r="N511" i="5"/>
  <c r="I507" i="5"/>
  <c r="C508" i="5"/>
  <c r="F507" i="5"/>
  <c r="L510" i="5"/>
  <c r="Q509" i="5"/>
  <c r="Q2329" i="5" l="1"/>
  <c r="K2330" i="5"/>
  <c r="N2329" i="5"/>
  <c r="C2330" i="5"/>
  <c r="I2329" i="5"/>
  <c r="F2329" i="5"/>
  <c r="L511" i="5"/>
  <c r="Q510" i="5"/>
  <c r="C509" i="5"/>
  <c r="F508" i="5"/>
  <c r="I508" i="5"/>
  <c r="N512" i="5"/>
  <c r="K513" i="5"/>
  <c r="F2330" i="5" l="1"/>
  <c r="I2330" i="5"/>
  <c r="C2331" i="5"/>
  <c r="N2330" i="5"/>
  <c r="Q2330" i="5"/>
  <c r="K2331" i="5"/>
  <c r="C510" i="5"/>
  <c r="F509" i="5"/>
  <c r="I509" i="5"/>
  <c r="N513" i="5"/>
  <c r="K514" i="5"/>
  <c r="L512" i="5"/>
  <c r="Q511" i="5"/>
  <c r="N2331" i="5" l="1"/>
  <c r="Q2331" i="5"/>
  <c r="K2332" i="5"/>
  <c r="F2331" i="5"/>
  <c r="C2332" i="5"/>
  <c r="I2331" i="5"/>
  <c r="L513" i="5"/>
  <c r="Q512" i="5"/>
  <c r="K515" i="5"/>
  <c r="N514" i="5"/>
  <c r="I510" i="5"/>
  <c r="C511" i="5"/>
  <c r="F510" i="5"/>
  <c r="F2332" i="5" l="1"/>
  <c r="I2332" i="5"/>
  <c r="C2333" i="5"/>
  <c r="K2333" i="5"/>
  <c r="N2332" i="5"/>
  <c r="Q2332" i="5"/>
  <c r="N515" i="5"/>
  <c r="K516" i="5"/>
  <c r="F511" i="5"/>
  <c r="I511" i="5"/>
  <c r="C512" i="5"/>
  <c r="L514" i="5"/>
  <c r="Q513" i="5"/>
  <c r="N2333" i="5" l="1"/>
  <c r="Q2333" i="5"/>
  <c r="K2334" i="5"/>
  <c r="F2333" i="5"/>
  <c r="C2334" i="5"/>
  <c r="I2333" i="5"/>
  <c r="F512" i="5"/>
  <c r="C513" i="5"/>
  <c r="I512" i="5"/>
  <c r="L515" i="5"/>
  <c r="Q514" i="5"/>
  <c r="K517" i="5"/>
  <c r="N516" i="5"/>
  <c r="F2334" i="5" l="1"/>
  <c r="C2335" i="5"/>
  <c r="I2334" i="5"/>
  <c r="N2334" i="5"/>
  <c r="K2335" i="5"/>
  <c r="Q2334" i="5"/>
  <c r="L516" i="5"/>
  <c r="Q515" i="5"/>
  <c r="K518" i="5"/>
  <c r="N517" i="5"/>
  <c r="F513" i="5"/>
  <c r="C514" i="5"/>
  <c r="I513" i="5"/>
  <c r="Q2335" i="5" l="1"/>
  <c r="N2335" i="5"/>
  <c r="K2336" i="5"/>
  <c r="I2335" i="5"/>
  <c r="C2336" i="5"/>
  <c r="F2335" i="5"/>
  <c r="I514" i="5"/>
  <c r="F514" i="5"/>
  <c r="C515" i="5"/>
  <c r="K519" i="5"/>
  <c r="N518" i="5"/>
  <c r="L517" i="5"/>
  <c r="Q516" i="5"/>
  <c r="C2337" i="5" l="1"/>
  <c r="F2336" i="5"/>
  <c r="I2336" i="5"/>
  <c r="K2337" i="5"/>
  <c r="Q2336" i="5"/>
  <c r="N2336" i="5"/>
  <c r="L518" i="5"/>
  <c r="Q517" i="5"/>
  <c r="K520" i="5"/>
  <c r="N519" i="5"/>
  <c r="I515" i="5"/>
  <c r="F515" i="5"/>
  <c r="C516" i="5"/>
  <c r="N2337" i="5" l="1"/>
  <c r="Q2337" i="5"/>
  <c r="K2338" i="5"/>
  <c r="I2337" i="5"/>
  <c r="F2337" i="5"/>
  <c r="C2338" i="5"/>
  <c r="K521" i="5"/>
  <c r="N520" i="5"/>
  <c r="C517" i="5"/>
  <c r="I516" i="5"/>
  <c r="F516" i="5"/>
  <c r="L519" i="5"/>
  <c r="Q518" i="5"/>
  <c r="I2338" i="5" l="1"/>
  <c r="F2338" i="5"/>
  <c r="C2339" i="5"/>
  <c r="K2339" i="5"/>
  <c r="N2338" i="5"/>
  <c r="Q2338" i="5"/>
  <c r="L520" i="5"/>
  <c r="Q519" i="5"/>
  <c r="I517" i="5"/>
  <c r="C518" i="5"/>
  <c r="F517" i="5"/>
  <c r="N521" i="5"/>
  <c r="K522" i="5"/>
  <c r="Q2339" i="5" l="1"/>
  <c r="N2339" i="5"/>
  <c r="K2340" i="5"/>
  <c r="I2339" i="5"/>
  <c r="C2340" i="5"/>
  <c r="F2339" i="5"/>
  <c r="N522" i="5"/>
  <c r="K523" i="5"/>
  <c r="I518" i="5"/>
  <c r="C519" i="5"/>
  <c r="F518" i="5"/>
  <c r="L521" i="5"/>
  <c r="Q520" i="5"/>
  <c r="F2340" i="5" l="1"/>
  <c r="C2341" i="5"/>
  <c r="I2340" i="5"/>
  <c r="N2340" i="5"/>
  <c r="K2341" i="5"/>
  <c r="Q2340" i="5"/>
  <c r="L522" i="5"/>
  <c r="Q521" i="5"/>
  <c r="C520" i="5"/>
  <c r="F519" i="5"/>
  <c r="I519" i="5"/>
  <c r="N523" i="5"/>
  <c r="K524" i="5"/>
  <c r="I2341" i="5" l="1"/>
  <c r="C2342" i="5"/>
  <c r="F2341" i="5"/>
  <c r="N2341" i="5"/>
  <c r="K2342" i="5"/>
  <c r="Q2341" i="5"/>
  <c r="N524" i="5"/>
  <c r="K525" i="5"/>
  <c r="I520" i="5"/>
  <c r="C521" i="5"/>
  <c r="F520" i="5"/>
  <c r="L523" i="5"/>
  <c r="Q522" i="5"/>
  <c r="Q2342" i="5" l="1"/>
  <c r="N2342" i="5"/>
  <c r="K2343" i="5"/>
  <c r="F2342" i="5"/>
  <c r="C2343" i="5"/>
  <c r="I2342" i="5"/>
  <c r="L524" i="5"/>
  <c r="Q523" i="5"/>
  <c r="K526" i="5"/>
  <c r="N525" i="5"/>
  <c r="F521" i="5"/>
  <c r="C522" i="5"/>
  <c r="I521" i="5"/>
  <c r="F2343" i="5" l="1"/>
  <c r="I2343" i="5"/>
  <c r="C2344" i="5"/>
  <c r="N2343" i="5"/>
  <c r="Q2343" i="5"/>
  <c r="K2344" i="5"/>
  <c r="F522" i="5"/>
  <c r="C523" i="5"/>
  <c r="I522" i="5"/>
  <c r="K527" i="5"/>
  <c r="N526" i="5"/>
  <c r="L525" i="5"/>
  <c r="Q524" i="5"/>
  <c r="N2344" i="5" l="1"/>
  <c r="Q2344" i="5"/>
  <c r="K2345" i="5"/>
  <c r="C2345" i="5"/>
  <c r="I2344" i="5"/>
  <c r="F2344" i="5"/>
  <c r="K528" i="5"/>
  <c r="N527" i="5"/>
  <c r="L526" i="5"/>
  <c r="Q525" i="5"/>
  <c r="F523" i="5"/>
  <c r="C524" i="5"/>
  <c r="I523" i="5"/>
  <c r="F2345" i="5" l="1"/>
  <c r="I2345" i="5"/>
  <c r="C2346" i="5"/>
  <c r="K2346" i="5"/>
  <c r="N2345" i="5"/>
  <c r="Q2345" i="5"/>
  <c r="L527" i="5"/>
  <c r="Q526" i="5"/>
  <c r="C525" i="5"/>
  <c r="I524" i="5"/>
  <c r="F524" i="5"/>
  <c r="K529" i="5"/>
  <c r="N528" i="5"/>
  <c r="Q2346" i="5" l="1"/>
  <c r="K2347" i="5"/>
  <c r="N2346" i="5"/>
  <c r="I2346" i="5"/>
  <c r="C2347" i="5"/>
  <c r="F2346" i="5"/>
  <c r="I525" i="5"/>
  <c r="F525" i="5"/>
  <c r="C526" i="5"/>
  <c r="K530" i="5"/>
  <c r="N529" i="5"/>
  <c r="L528" i="5"/>
  <c r="Q527" i="5"/>
  <c r="F2347" i="5" l="1"/>
  <c r="I2347" i="5"/>
  <c r="C2348" i="5"/>
  <c r="K2348" i="5"/>
  <c r="Q2347" i="5"/>
  <c r="N2347" i="5"/>
  <c r="K531" i="5"/>
  <c r="N530" i="5"/>
  <c r="L529" i="5"/>
  <c r="Q528" i="5"/>
  <c r="I526" i="5"/>
  <c r="F526" i="5"/>
  <c r="C527" i="5"/>
  <c r="N2348" i="5" l="1"/>
  <c r="Q2348" i="5"/>
  <c r="K2349" i="5"/>
  <c r="F2348" i="5"/>
  <c r="C2349" i="5"/>
  <c r="I2348" i="5"/>
  <c r="C528" i="5"/>
  <c r="I527" i="5"/>
  <c r="F527" i="5"/>
  <c r="L530" i="5"/>
  <c r="Q529" i="5"/>
  <c r="K532" i="5"/>
  <c r="N531" i="5"/>
  <c r="C2350" i="5" l="1"/>
  <c r="F2349" i="5"/>
  <c r="I2349" i="5"/>
  <c r="Q2349" i="5"/>
  <c r="N2349" i="5"/>
  <c r="K2350" i="5"/>
  <c r="N532" i="5"/>
  <c r="K533" i="5"/>
  <c r="L531" i="5"/>
  <c r="Q530" i="5"/>
  <c r="I528" i="5"/>
  <c r="C529" i="5"/>
  <c r="F528" i="5"/>
  <c r="K2351" i="5" l="1"/>
  <c r="N2350" i="5"/>
  <c r="Q2350" i="5"/>
  <c r="F2350" i="5"/>
  <c r="I2350" i="5"/>
  <c r="C2351" i="5"/>
  <c r="L532" i="5"/>
  <c r="Q531" i="5"/>
  <c r="I529" i="5"/>
  <c r="C530" i="5"/>
  <c r="F529" i="5"/>
  <c r="K534" i="5"/>
  <c r="N533" i="5"/>
  <c r="I2351" i="5" l="1"/>
  <c r="C2352" i="5"/>
  <c r="F2351" i="5"/>
  <c r="N2351" i="5"/>
  <c r="Q2351" i="5"/>
  <c r="K2352" i="5"/>
  <c r="N534" i="5"/>
  <c r="K535" i="5"/>
  <c r="C531" i="5"/>
  <c r="F530" i="5"/>
  <c r="I530" i="5"/>
  <c r="L533" i="5"/>
  <c r="Q532" i="5"/>
  <c r="K2353" i="5" l="1"/>
  <c r="N2352" i="5"/>
  <c r="Q2352" i="5"/>
  <c r="C2353" i="5"/>
  <c r="I2352" i="5"/>
  <c r="F2352" i="5"/>
  <c r="C532" i="5"/>
  <c r="I531" i="5"/>
  <c r="F531" i="5"/>
  <c r="L534" i="5"/>
  <c r="Q533" i="5"/>
  <c r="N535" i="5"/>
  <c r="K536" i="5"/>
  <c r="I2353" i="5" l="1"/>
  <c r="F2353" i="5"/>
  <c r="C2354" i="5"/>
  <c r="N2353" i="5"/>
  <c r="Q2353" i="5"/>
  <c r="K2354" i="5"/>
  <c r="N536" i="5"/>
  <c r="K537" i="5"/>
  <c r="L535" i="5"/>
  <c r="Q534" i="5"/>
  <c r="C533" i="5"/>
  <c r="I532" i="5"/>
  <c r="F532" i="5"/>
  <c r="K2355" i="5" l="1"/>
  <c r="N2354" i="5"/>
  <c r="Q2354" i="5"/>
  <c r="F2354" i="5"/>
  <c r="C2355" i="5"/>
  <c r="I2354" i="5"/>
  <c r="L536" i="5"/>
  <c r="Q535" i="5"/>
  <c r="F533" i="5"/>
  <c r="C534" i="5"/>
  <c r="I533" i="5"/>
  <c r="K538" i="5"/>
  <c r="N537" i="5"/>
  <c r="F2355" i="5" l="1"/>
  <c r="I2355" i="5"/>
  <c r="C2356" i="5"/>
  <c r="N2355" i="5"/>
  <c r="Q2355" i="5"/>
  <c r="K2356" i="5"/>
  <c r="K539" i="5"/>
  <c r="N538" i="5"/>
  <c r="F534" i="5"/>
  <c r="I534" i="5"/>
  <c r="C535" i="5"/>
  <c r="L537" i="5"/>
  <c r="Q536" i="5"/>
  <c r="N2356" i="5" l="1"/>
  <c r="Q2356" i="5"/>
  <c r="K2357" i="5"/>
  <c r="C2357" i="5"/>
  <c r="F2356" i="5"/>
  <c r="I2356" i="5"/>
  <c r="L538" i="5"/>
  <c r="Q537" i="5"/>
  <c r="I535" i="5"/>
  <c r="F535" i="5"/>
  <c r="C536" i="5"/>
  <c r="K540" i="5"/>
  <c r="N539" i="5"/>
  <c r="F2357" i="5" l="1"/>
  <c r="I2357" i="5"/>
  <c r="C2358" i="5"/>
  <c r="K2358" i="5"/>
  <c r="Q2357" i="5"/>
  <c r="N2357" i="5"/>
  <c r="K541" i="5"/>
  <c r="N540" i="5"/>
  <c r="I536" i="5"/>
  <c r="F536" i="5"/>
  <c r="C537" i="5"/>
  <c r="L539" i="5"/>
  <c r="Q538" i="5"/>
  <c r="N2358" i="5" l="1"/>
  <c r="Q2358" i="5"/>
  <c r="K2359" i="5"/>
  <c r="I2358" i="5"/>
  <c r="C2359" i="5"/>
  <c r="F2358" i="5"/>
  <c r="L540" i="5"/>
  <c r="Q539" i="5"/>
  <c r="I537" i="5"/>
  <c r="F537" i="5"/>
  <c r="C538" i="5"/>
  <c r="K542" i="5"/>
  <c r="N541" i="5"/>
  <c r="F2359" i="5" l="1"/>
  <c r="I2359" i="5"/>
  <c r="C2360" i="5"/>
  <c r="K2360" i="5"/>
  <c r="Q2359" i="5"/>
  <c r="N2359" i="5"/>
  <c r="K543" i="5"/>
  <c r="N542" i="5"/>
  <c r="C539" i="5"/>
  <c r="I538" i="5"/>
  <c r="F538" i="5"/>
  <c r="L541" i="5"/>
  <c r="Q540" i="5"/>
  <c r="N2360" i="5" l="1"/>
  <c r="K2361" i="5"/>
  <c r="Q2360" i="5"/>
  <c r="I2360" i="5"/>
  <c r="F2360" i="5"/>
  <c r="C2361" i="5"/>
  <c r="L542" i="5"/>
  <c r="Q541" i="5"/>
  <c r="I539" i="5"/>
  <c r="C540" i="5"/>
  <c r="F539" i="5"/>
  <c r="N543" i="5"/>
  <c r="K544" i="5"/>
  <c r="C2362" i="5" l="1"/>
  <c r="I2361" i="5"/>
  <c r="F2361" i="5"/>
  <c r="N2361" i="5"/>
  <c r="Q2361" i="5"/>
  <c r="K2362" i="5"/>
  <c r="K545" i="5"/>
  <c r="N544" i="5"/>
  <c r="I540" i="5"/>
  <c r="C541" i="5"/>
  <c r="F540" i="5"/>
  <c r="L543" i="5"/>
  <c r="Q542" i="5"/>
  <c r="N2362" i="5" l="1"/>
  <c r="Q2362" i="5"/>
  <c r="K2363" i="5"/>
  <c r="C2363" i="5"/>
  <c r="I2362" i="5"/>
  <c r="F2362" i="5"/>
  <c r="L544" i="5"/>
  <c r="Q543" i="5"/>
  <c r="C542" i="5"/>
  <c r="F541" i="5"/>
  <c r="I541" i="5"/>
  <c r="N545" i="5"/>
  <c r="K546" i="5"/>
  <c r="I2363" i="5" l="1"/>
  <c r="F2363" i="5"/>
  <c r="C2364" i="5"/>
  <c r="N2363" i="5"/>
  <c r="K2364" i="5"/>
  <c r="Q2363" i="5"/>
  <c r="C543" i="5"/>
  <c r="I542" i="5"/>
  <c r="F542" i="5"/>
  <c r="N546" i="5"/>
  <c r="K547" i="5"/>
  <c r="L545" i="5"/>
  <c r="Q544" i="5"/>
  <c r="N2364" i="5" l="1"/>
  <c r="K2365" i="5"/>
  <c r="Q2364" i="5"/>
  <c r="C2365" i="5"/>
  <c r="F2364" i="5"/>
  <c r="I2364" i="5"/>
  <c r="K548" i="5"/>
  <c r="N547" i="5"/>
  <c r="L546" i="5"/>
  <c r="Q545" i="5"/>
  <c r="C544" i="5"/>
  <c r="I543" i="5"/>
  <c r="F543" i="5"/>
  <c r="I2365" i="5" l="1"/>
  <c r="F2365" i="5"/>
  <c r="C2366" i="5"/>
  <c r="N2365" i="5"/>
  <c r="Q2365" i="5"/>
  <c r="K2366" i="5"/>
  <c r="I544" i="5"/>
  <c r="F544" i="5"/>
  <c r="C545" i="5"/>
  <c r="L547" i="5"/>
  <c r="Q546" i="5"/>
  <c r="N548" i="5"/>
  <c r="K549" i="5"/>
  <c r="N2366" i="5" l="1"/>
  <c r="Q2366" i="5"/>
  <c r="K2367" i="5"/>
  <c r="F2366" i="5"/>
  <c r="C2367" i="5"/>
  <c r="I2366" i="5"/>
  <c r="L548" i="5"/>
  <c r="Q547" i="5"/>
  <c r="K550" i="5"/>
  <c r="N549" i="5"/>
  <c r="F545" i="5"/>
  <c r="C546" i="5"/>
  <c r="I545" i="5"/>
  <c r="I2367" i="5" l="1"/>
  <c r="F2367" i="5"/>
  <c r="C2368" i="5"/>
  <c r="N2367" i="5"/>
  <c r="Q2367" i="5"/>
  <c r="K2368" i="5"/>
  <c r="C547" i="5"/>
  <c r="I546" i="5"/>
  <c r="F546" i="5"/>
  <c r="K551" i="5"/>
  <c r="N550" i="5"/>
  <c r="L549" i="5"/>
  <c r="Q548" i="5"/>
  <c r="N2368" i="5" l="1"/>
  <c r="Q2368" i="5"/>
  <c r="K2369" i="5"/>
  <c r="I2368" i="5"/>
  <c r="F2368" i="5"/>
  <c r="C2369" i="5"/>
  <c r="L550" i="5"/>
  <c r="Q549" i="5"/>
  <c r="N551" i="5"/>
  <c r="K552" i="5"/>
  <c r="I547" i="5"/>
  <c r="F547" i="5"/>
  <c r="C548" i="5"/>
  <c r="C2370" i="5" l="1"/>
  <c r="F2369" i="5"/>
  <c r="I2369" i="5"/>
  <c r="N2369" i="5"/>
  <c r="Q2369" i="5"/>
  <c r="K2370" i="5"/>
  <c r="K553" i="5"/>
  <c r="N552" i="5"/>
  <c r="I548" i="5"/>
  <c r="F548" i="5"/>
  <c r="C549" i="5"/>
  <c r="L551" i="5"/>
  <c r="Q550" i="5"/>
  <c r="N2370" i="5" l="1"/>
  <c r="Q2370" i="5"/>
  <c r="K2371" i="5"/>
  <c r="F2370" i="5"/>
  <c r="C2371" i="5"/>
  <c r="I2370" i="5"/>
  <c r="L552" i="5"/>
  <c r="Q551" i="5"/>
  <c r="C550" i="5"/>
  <c r="I549" i="5"/>
  <c r="F549" i="5"/>
  <c r="K554" i="5"/>
  <c r="N553" i="5"/>
  <c r="I2371" i="5" l="1"/>
  <c r="C2372" i="5"/>
  <c r="F2371" i="5"/>
  <c r="N2371" i="5"/>
  <c r="K2372" i="5"/>
  <c r="Q2371" i="5"/>
  <c r="I550" i="5"/>
  <c r="C551" i="5"/>
  <c r="F550" i="5"/>
  <c r="N554" i="5"/>
  <c r="K555" i="5"/>
  <c r="L553" i="5"/>
  <c r="Q552" i="5"/>
  <c r="Q2372" i="5" l="1"/>
  <c r="N2372" i="5"/>
  <c r="K2373" i="5"/>
  <c r="C2373" i="5"/>
  <c r="I2372" i="5"/>
  <c r="F2372" i="5"/>
  <c r="L554" i="5"/>
  <c r="Q553" i="5"/>
  <c r="K556" i="5"/>
  <c r="N555" i="5"/>
  <c r="I551" i="5"/>
  <c r="C552" i="5"/>
  <c r="F551" i="5"/>
  <c r="F2373" i="5" l="1"/>
  <c r="I2373" i="5"/>
  <c r="C2374" i="5"/>
  <c r="Q2373" i="5"/>
  <c r="N2373" i="5"/>
  <c r="K2374" i="5"/>
  <c r="C553" i="5"/>
  <c r="F552" i="5"/>
  <c r="I552" i="5"/>
  <c r="N556" i="5"/>
  <c r="K557" i="5"/>
  <c r="L555" i="5"/>
  <c r="Q554" i="5"/>
  <c r="Q2374" i="5" l="1"/>
  <c r="N2374" i="5"/>
  <c r="K2375" i="5"/>
  <c r="C2375" i="5"/>
  <c r="F2374" i="5"/>
  <c r="I2374" i="5"/>
  <c r="N557" i="5"/>
  <c r="K558" i="5"/>
  <c r="L556" i="5"/>
  <c r="Q555" i="5"/>
  <c r="C554" i="5"/>
  <c r="I553" i="5"/>
  <c r="F553" i="5"/>
  <c r="F2375" i="5" l="1"/>
  <c r="I2375" i="5"/>
  <c r="C2376" i="5"/>
  <c r="N2375" i="5"/>
  <c r="K2376" i="5"/>
  <c r="Q2375" i="5"/>
  <c r="I554" i="5"/>
  <c r="F554" i="5"/>
  <c r="C555" i="5"/>
  <c r="N558" i="5"/>
  <c r="K559" i="5"/>
  <c r="L557" i="5"/>
  <c r="Q556" i="5"/>
  <c r="K2377" i="5" l="1"/>
  <c r="N2376" i="5"/>
  <c r="Q2376" i="5"/>
  <c r="I2376" i="5"/>
  <c r="F2376" i="5"/>
  <c r="C2377" i="5"/>
  <c r="L558" i="5"/>
  <c r="Q557" i="5"/>
  <c r="N559" i="5"/>
  <c r="K560" i="5"/>
  <c r="I555" i="5"/>
  <c r="F555" i="5"/>
  <c r="C556" i="5"/>
  <c r="I2377" i="5" l="1"/>
  <c r="F2377" i="5"/>
  <c r="C2378" i="5"/>
  <c r="N2377" i="5"/>
  <c r="Q2377" i="5"/>
  <c r="K2378" i="5"/>
  <c r="K561" i="5"/>
  <c r="N560" i="5"/>
  <c r="F556" i="5"/>
  <c r="C557" i="5"/>
  <c r="I556" i="5"/>
  <c r="L559" i="5"/>
  <c r="Q558" i="5"/>
  <c r="N2378" i="5" l="1"/>
  <c r="Q2378" i="5"/>
  <c r="K2379" i="5"/>
  <c r="F2378" i="5"/>
  <c r="I2378" i="5"/>
  <c r="C2379" i="5"/>
  <c r="I557" i="5"/>
  <c r="F557" i="5"/>
  <c r="C558" i="5"/>
  <c r="L560" i="5"/>
  <c r="Q559" i="5"/>
  <c r="K562" i="5"/>
  <c r="N561" i="5"/>
  <c r="F2379" i="5" l="1"/>
  <c r="C2380" i="5"/>
  <c r="I2379" i="5"/>
  <c r="Q2379" i="5"/>
  <c r="N2379" i="5"/>
  <c r="K2380" i="5"/>
  <c r="K563" i="5"/>
  <c r="N562" i="5"/>
  <c r="L561" i="5"/>
  <c r="Q560" i="5"/>
  <c r="I558" i="5"/>
  <c r="F558" i="5"/>
  <c r="C559" i="5"/>
  <c r="K2381" i="5" l="1"/>
  <c r="N2380" i="5"/>
  <c r="Q2380" i="5"/>
  <c r="F2380" i="5"/>
  <c r="I2380" i="5"/>
  <c r="C2381" i="5"/>
  <c r="L562" i="5"/>
  <c r="Q561" i="5"/>
  <c r="I559" i="5"/>
  <c r="F559" i="5"/>
  <c r="C560" i="5"/>
  <c r="K564" i="5"/>
  <c r="N563" i="5"/>
  <c r="C2382" i="5" l="1"/>
  <c r="F2381" i="5"/>
  <c r="I2381" i="5"/>
  <c r="Q2381" i="5"/>
  <c r="K2382" i="5"/>
  <c r="N2381" i="5"/>
  <c r="C561" i="5"/>
  <c r="I560" i="5"/>
  <c r="F560" i="5"/>
  <c r="K565" i="5"/>
  <c r="N564" i="5"/>
  <c r="L563" i="5"/>
  <c r="Q562" i="5"/>
  <c r="Q2382" i="5" l="1"/>
  <c r="N2382" i="5"/>
  <c r="K2383" i="5"/>
  <c r="I2382" i="5"/>
  <c r="C2383" i="5"/>
  <c r="F2382" i="5"/>
  <c r="N565" i="5"/>
  <c r="K566" i="5"/>
  <c r="L564" i="5"/>
  <c r="Q563" i="5"/>
  <c r="I561" i="5"/>
  <c r="C562" i="5"/>
  <c r="F561" i="5"/>
  <c r="C2384" i="5" l="1"/>
  <c r="F2383" i="5"/>
  <c r="I2383" i="5"/>
  <c r="N2383" i="5"/>
  <c r="Q2383" i="5"/>
  <c r="K2384" i="5"/>
  <c r="I562" i="5"/>
  <c r="C563" i="5"/>
  <c r="F562" i="5"/>
  <c r="N566" i="5"/>
  <c r="K567" i="5"/>
  <c r="L565" i="5"/>
  <c r="Q564" i="5"/>
  <c r="N2384" i="5" l="1"/>
  <c r="K2385" i="5"/>
  <c r="Q2384" i="5"/>
  <c r="C2385" i="5"/>
  <c r="F2384" i="5"/>
  <c r="I2384" i="5"/>
  <c r="L566" i="5"/>
  <c r="Q565" i="5"/>
  <c r="C564" i="5"/>
  <c r="F563" i="5"/>
  <c r="I563" i="5"/>
  <c r="N567" i="5"/>
  <c r="K568" i="5"/>
  <c r="F2385" i="5" l="1"/>
  <c r="I2385" i="5"/>
  <c r="C2386" i="5"/>
  <c r="K2386" i="5"/>
  <c r="N2385" i="5"/>
  <c r="Q2385" i="5"/>
  <c r="I564" i="5"/>
  <c r="C565" i="5"/>
  <c r="F564" i="5"/>
  <c r="N568" i="5"/>
  <c r="K569" i="5"/>
  <c r="L567" i="5"/>
  <c r="Q566" i="5"/>
  <c r="K2387" i="5" l="1"/>
  <c r="Q2386" i="5"/>
  <c r="N2386" i="5"/>
  <c r="I2386" i="5"/>
  <c r="C2387" i="5"/>
  <c r="F2386" i="5"/>
  <c r="N569" i="5"/>
  <c r="K570" i="5"/>
  <c r="L568" i="5"/>
  <c r="Q567" i="5"/>
  <c r="C566" i="5"/>
  <c r="F565" i="5"/>
  <c r="I565" i="5"/>
  <c r="I2387" i="5" l="1"/>
  <c r="F2387" i="5"/>
  <c r="C2388" i="5"/>
  <c r="N2387" i="5"/>
  <c r="Q2387" i="5"/>
  <c r="K2388" i="5"/>
  <c r="I566" i="5"/>
  <c r="F566" i="5"/>
  <c r="C567" i="5"/>
  <c r="N570" i="5"/>
  <c r="K571" i="5"/>
  <c r="L569" i="5"/>
  <c r="Q568" i="5"/>
  <c r="N2388" i="5" l="1"/>
  <c r="Q2388" i="5"/>
  <c r="K2389" i="5"/>
  <c r="I2388" i="5"/>
  <c r="F2388" i="5"/>
  <c r="C2389" i="5"/>
  <c r="L570" i="5"/>
  <c r="Q569" i="5"/>
  <c r="F567" i="5"/>
  <c r="C568" i="5"/>
  <c r="I567" i="5"/>
  <c r="K572" i="5"/>
  <c r="N571" i="5"/>
  <c r="F2389" i="5" l="1"/>
  <c r="C2390" i="5"/>
  <c r="I2389" i="5"/>
  <c r="N2389" i="5"/>
  <c r="K2390" i="5"/>
  <c r="Q2389" i="5"/>
  <c r="K573" i="5"/>
  <c r="N572" i="5"/>
  <c r="C569" i="5"/>
  <c r="I568" i="5"/>
  <c r="F568" i="5"/>
  <c r="L571" i="5"/>
  <c r="Q570" i="5"/>
  <c r="Q2390" i="5" l="1"/>
  <c r="N2390" i="5"/>
  <c r="K2391" i="5"/>
  <c r="F2390" i="5"/>
  <c r="I2390" i="5"/>
  <c r="C2391" i="5"/>
  <c r="L572" i="5"/>
  <c r="Q571" i="5"/>
  <c r="I569" i="5"/>
  <c r="F569" i="5"/>
  <c r="C570" i="5"/>
  <c r="K574" i="5"/>
  <c r="N573" i="5"/>
  <c r="F2391" i="5" l="1"/>
  <c r="C2392" i="5"/>
  <c r="I2391" i="5"/>
  <c r="K2392" i="5"/>
  <c r="N2391" i="5"/>
  <c r="Q2391" i="5"/>
  <c r="I570" i="5"/>
  <c r="F570" i="5"/>
  <c r="C571" i="5"/>
  <c r="K575" i="5"/>
  <c r="N574" i="5"/>
  <c r="L573" i="5"/>
  <c r="Q572" i="5"/>
  <c r="K2393" i="5" l="1"/>
  <c r="Q2392" i="5"/>
  <c r="N2392" i="5"/>
  <c r="F2392" i="5"/>
  <c r="I2392" i="5"/>
  <c r="C2393" i="5"/>
  <c r="K576" i="5"/>
  <c r="N575" i="5"/>
  <c r="L574" i="5"/>
  <c r="Q573" i="5"/>
  <c r="C572" i="5"/>
  <c r="I571" i="5"/>
  <c r="F571" i="5"/>
  <c r="F2393" i="5" l="1"/>
  <c r="I2393" i="5"/>
  <c r="C2394" i="5"/>
  <c r="Q2393" i="5"/>
  <c r="K2394" i="5"/>
  <c r="N2393" i="5"/>
  <c r="L575" i="5"/>
  <c r="Q574" i="5"/>
  <c r="I572" i="5"/>
  <c r="C573" i="5"/>
  <c r="F572" i="5"/>
  <c r="N576" i="5"/>
  <c r="K577" i="5"/>
  <c r="N2394" i="5" l="1"/>
  <c r="Q2394" i="5"/>
  <c r="K2395" i="5"/>
  <c r="I2394" i="5"/>
  <c r="F2394" i="5"/>
  <c r="C2395" i="5"/>
  <c r="I573" i="5"/>
  <c r="C574" i="5"/>
  <c r="F573" i="5"/>
  <c r="K578" i="5"/>
  <c r="N577" i="5"/>
  <c r="L576" i="5"/>
  <c r="Q575" i="5"/>
  <c r="C2396" i="5" l="1"/>
  <c r="F2395" i="5"/>
  <c r="I2395" i="5"/>
  <c r="Q2395" i="5"/>
  <c r="K2396" i="5"/>
  <c r="N2395" i="5"/>
  <c r="L577" i="5"/>
  <c r="Q576" i="5"/>
  <c r="C575" i="5"/>
  <c r="F574" i="5"/>
  <c r="I574" i="5"/>
  <c r="N578" i="5"/>
  <c r="K579" i="5"/>
  <c r="K2397" i="5" l="1"/>
  <c r="Q2396" i="5"/>
  <c r="N2396" i="5"/>
  <c r="C2397" i="5"/>
  <c r="F2396" i="5"/>
  <c r="I2396" i="5"/>
  <c r="I575" i="5"/>
  <c r="C576" i="5"/>
  <c r="F575" i="5"/>
  <c r="N579" i="5"/>
  <c r="K580" i="5"/>
  <c r="L578" i="5"/>
  <c r="Q577" i="5"/>
  <c r="F2397" i="5" l="1"/>
  <c r="I2397" i="5"/>
  <c r="C2398" i="5"/>
  <c r="N2397" i="5"/>
  <c r="Q2397" i="5"/>
  <c r="K2398" i="5"/>
  <c r="L579" i="5"/>
  <c r="Q578" i="5"/>
  <c r="K581" i="5"/>
  <c r="N580" i="5"/>
  <c r="C577" i="5"/>
  <c r="F576" i="5"/>
  <c r="I576" i="5"/>
  <c r="K2399" i="5" l="1"/>
  <c r="Q2398" i="5"/>
  <c r="N2398" i="5"/>
  <c r="C2399" i="5"/>
  <c r="F2398" i="5"/>
  <c r="I2398" i="5"/>
  <c r="N581" i="5"/>
  <c r="K582" i="5"/>
  <c r="I577" i="5"/>
  <c r="F577" i="5"/>
  <c r="C578" i="5"/>
  <c r="L580" i="5"/>
  <c r="Q579" i="5"/>
  <c r="I2399" i="5" l="1"/>
  <c r="F2399" i="5"/>
  <c r="C2400" i="5"/>
  <c r="Q2399" i="5"/>
  <c r="K2400" i="5"/>
  <c r="N2399" i="5"/>
  <c r="F578" i="5"/>
  <c r="C579" i="5"/>
  <c r="I578" i="5"/>
  <c r="L581" i="5"/>
  <c r="Q580" i="5"/>
  <c r="K583" i="5"/>
  <c r="N582" i="5"/>
  <c r="N2400" i="5" l="1"/>
  <c r="K2401" i="5"/>
  <c r="Q2400" i="5"/>
  <c r="F2400" i="5"/>
  <c r="C2401" i="5"/>
  <c r="I2400" i="5"/>
  <c r="L582" i="5"/>
  <c r="Q581" i="5"/>
  <c r="K584" i="5"/>
  <c r="N583" i="5"/>
  <c r="I579" i="5"/>
  <c r="F579" i="5"/>
  <c r="C580" i="5"/>
  <c r="C2402" i="5" l="1"/>
  <c r="F2401" i="5"/>
  <c r="I2401" i="5"/>
  <c r="Q2401" i="5"/>
  <c r="N2401" i="5"/>
  <c r="K2402" i="5"/>
  <c r="K585" i="5"/>
  <c r="N584" i="5"/>
  <c r="I580" i="5"/>
  <c r="F580" i="5"/>
  <c r="C581" i="5"/>
  <c r="L583" i="5"/>
  <c r="Q582" i="5"/>
  <c r="K2403" i="5" l="1"/>
  <c r="N2402" i="5"/>
  <c r="Q2402" i="5"/>
  <c r="F2402" i="5"/>
  <c r="I2402" i="5"/>
  <c r="C2403" i="5"/>
  <c r="I581" i="5"/>
  <c r="F581" i="5"/>
  <c r="C582" i="5"/>
  <c r="L584" i="5"/>
  <c r="Q583" i="5"/>
  <c r="K586" i="5"/>
  <c r="N585" i="5"/>
  <c r="I2403" i="5" l="1"/>
  <c r="C2404" i="5"/>
  <c r="F2403" i="5"/>
  <c r="N2403" i="5"/>
  <c r="Q2403" i="5"/>
  <c r="K2404" i="5"/>
  <c r="L585" i="5"/>
  <c r="Q584" i="5"/>
  <c r="K587" i="5"/>
  <c r="N586" i="5"/>
  <c r="C583" i="5"/>
  <c r="I582" i="5"/>
  <c r="F582" i="5"/>
  <c r="N2404" i="5" l="1"/>
  <c r="Q2404" i="5"/>
  <c r="K2405" i="5"/>
  <c r="I2404" i="5"/>
  <c r="F2404" i="5"/>
  <c r="C2405" i="5"/>
  <c r="N587" i="5"/>
  <c r="K588" i="5"/>
  <c r="I583" i="5"/>
  <c r="C584" i="5"/>
  <c r="F583" i="5"/>
  <c r="L586" i="5"/>
  <c r="Q585" i="5"/>
  <c r="F2405" i="5" l="1"/>
  <c r="C2406" i="5"/>
  <c r="I2405" i="5"/>
  <c r="Q2405" i="5"/>
  <c r="N2405" i="5"/>
  <c r="K2406" i="5"/>
  <c r="I584" i="5"/>
  <c r="C585" i="5"/>
  <c r="F584" i="5"/>
  <c r="N588" i="5"/>
  <c r="K589" i="5"/>
  <c r="L587" i="5"/>
  <c r="Q586" i="5"/>
  <c r="K2407" i="5" l="1"/>
  <c r="N2406" i="5"/>
  <c r="Q2406" i="5"/>
  <c r="I2406" i="5"/>
  <c r="F2406" i="5"/>
  <c r="C2407" i="5"/>
  <c r="L588" i="5"/>
  <c r="Q587" i="5"/>
  <c r="N589" i="5"/>
  <c r="K590" i="5"/>
  <c r="C586" i="5"/>
  <c r="F585" i="5"/>
  <c r="I585" i="5"/>
  <c r="I2407" i="5" l="1"/>
  <c r="C2408" i="5"/>
  <c r="F2407" i="5"/>
  <c r="Q2407" i="5"/>
  <c r="K2408" i="5"/>
  <c r="N2407" i="5"/>
  <c r="N590" i="5"/>
  <c r="K591" i="5"/>
  <c r="I586" i="5"/>
  <c r="C587" i="5"/>
  <c r="F586" i="5"/>
  <c r="L589" i="5"/>
  <c r="Q588" i="5"/>
  <c r="K2409" i="5" l="1"/>
  <c r="N2408" i="5"/>
  <c r="Q2408" i="5"/>
  <c r="C2409" i="5"/>
  <c r="F2408" i="5"/>
  <c r="I2408" i="5"/>
  <c r="L590" i="5"/>
  <c r="Q589" i="5"/>
  <c r="N591" i="5"/>
  <c r="K592" i="5"/>
  <c r="C588" i="5"/>
  <c r="I587" i="5"/>
  <c r="F587" i="5"/>
  <c r="C2410" i="5" l="1"/>
  <c r="F2409" i="5"/>
  <c r="I2409" i="5"/>
  <c r="Q2409" i="5"/>
  <c r="N2409" i="5"/>
  <c r="K2410" i="5"/>
  <c r="I588" i="5"/>
  <c r="F588" i="5"/>
  <c r="C589" i="5"/>
  <c r="N592" i="5"/>
  <c r="K593" i="5"/>
  <c r="L591" i="5"/>
  <c r="Q590" i="5"/>
  <c r="K2411" i="5" l="1"/>
  <c r="N2410" i="5"/>
  <c r="Q2410" i="5"/>
  <c r="F2410" i="5"/>
  <c r="C2411" i="5"/>
  <c r="I2410" i="5"/>
  <c r="L592" i="5"/>
  <c r="Q591" i="5"/>
  <c r="F589" i="5"/>
  <c r="C590" i="5"/>
  <c r="I589" i="5"/>
  <c r="K594" i="5"/>
  <c r="N593" i="5"/>
  <c r="C2412" i="5" l="1"/>
  <c r="F2411" i="5"/>
  <c r="I2411" i="5"/>
  <c r="N2411" i="5"/>
  <c r="Q2411" i="5"/>
  <c r="K2412" i="5"/>
  <c r="C591" i="5"/>
  <c r="I590" i="5"/>
  <c r="F590" i="5"/>
  <c r="K595" i="5"/>
  <c r="N594" i="5"/>
  <c r="L593" i="5"/>
  <c r="Q592" i="5"/>
  <c r="K2413" i="5" l="1"/>
  <c r="N2412" i="5"/>
  <c r="Q2412" i="5"/>
  <c r="F2412" i="5"/>
  <c r="I2412" i="5"/>
  <c r="C2413" i="5"/>
  <c r="L594" i="5"/>
  <c r="Q593" i="5"/>
  <c r="K596" i="5"/>
  <c r="N595" i="5"/>
  <c r="I591" i="5"/>
  <c r="F591" i="5"/>
  <c r="C592" i="5"/>
  <c r="I2413" i="5" l="1"/>
  <c r="C2414" i="5"/>
  <c r="F2413" i="5"/>
  <c r="N2413" i="5"/>
  <c r="Q2413" i="5"/>
  <c r="K2414" i="5"/>
  <c r="I592" i="5"/>
  <c r="F592" i="5"/>
  <c r="C593" i="5"/>
  <c r="K597" i="5"/>
  <c r="N596" i="5"/>
  <c r="L595" i="5"/>
  <c r="Q594" i="5"/>
  <c r="K2415" i="5" l="1"/>
  <c r="N2414" i="5"/>
  <c r="Q2414" i="5"/>
  <c r="F2414" i="5"/>
  <c r="I2414" i="5"/>
  <c r="C2415" i="5"/>
  <c r="K598" i="5"/>
  <c r="N597" i="5"/>
  <c r="L596" i="5"/>
  <c r="Q595" i="5"/>
  <c r="C594" i="5"/>
  <c r="I593" i="5"/>
  <c r="F593" i="5"/>
  <c r="I2415" i="5" l="1"/>
  <c r="C2416" i="5"/>
  <c r="F2415" i="5"/>
  <c r="N2415" i="5"/>
  <c r="Q2415" i="5"/>
  <c r="K2416" i="5"/>
  <c r="L597" i="5"/>
  <c r="Q596" i="5"/>
  <c r="I594" i="5"/>
  <c r="C595" i="5"/>
  <c r="F594" i="5"/>
  <c r="N598" i="5"/>
  <c r="K599" i="5"/>
  <c r="Q2416" i="5" l="1"/>
  <c r="K2417" i="5"/>
  <c r="N2416" i="5"/>
  <c r="F2416" i="5"/>
  <c r="C2417" i="5"/>
  <c r="I2416" i="5"/>
  <c r="K600" i="5"/>
  <c r="N599" i="5"/>
  <c r="I595" i="5"/>
  <c r="C596" i="5"/>
  <c r="F595" i="5"/>
  <c r="L598" i="5"/>
  <c r="Q597" i="5"/>
  <c r="I2417" i="5" l="1"/>
  <c r="F2417" i="5"/>
  <c r="C2418" i="5"/>
  <c r="K2418" i="5"/>
  <c r="N2417" i="5"/>
  <c r="Q2417" i="5"/>
  <c r="C597" i="5"/>
  <c r="F596" i="5"/>
  <c r="I596" i="5"/>
  <c r="L599" i="5"/>
  <c r="Q598" i="5"/>
  <c r="N600" i="5"/>
  <c r="K601" i="5"/>
  <c r="Q2418" i="5" l="1"/>
  <c r="K2419" i="5"/>
  <c r="N2418" i="5"/>
  <c r="I2418" i="5"/>
  <c r="F2418" i="5"/>
  <c r="C2419" i="5"/>
  <c r="L600" i="5"/>
  <c r="Q599" i="5"/>
  <c r="N601" i="5"/>
  <c r="K602" i="5"/>
  <c r="I597" i="5"/>
  <c r="C598" i="5"/>
  <c r="F597" i="5"/>
  <c r="Q2419" i="5" l="1"/>
  <c r="K2420" i="5"/>
  <c r="N2419" i="5"/>
  <c r="C2420" i="5"/>
  <c r="F2419" i="5"/>
  <c r="I2419" i="5"/>
  <c r="K603" i="5"/>
  <c r="N602" i="5"/>
  <c r="C599" i="5"/>
  <c r="F598" i="5"/>
  <c r="I598" i="5"/>
  <c r="L601" i="5"/>
  <c r="Q600" i="5"/>
  <c r="C2421" i="5" l="1"/>
  <c r="F2420" i="5"/>
  <c r="I2420" i="5"/>
  <c r="Q2420" i="5"/>
  <c r="N2420" i="5"/>
  <c r="K2421" i="5"/>
  <c r="L602" i="5"/>
  <c r="Q601" i="5"/>
  <c r="I599" i="5"/>
  <c r="F599" i="5"/>
  <c r="C600" i="5"/>
  <c r="N603" i="5"/>
  <c r="K604" i="5"/>
  <c r="K2422" i="5" l="1"/>
  <c r="N2421" i="5"/>
  <c r="Q2421" i="5"/>
  <c r="I2421" i="5"/>
  <c r="F2421" i="5"/>
  <c r="C2422" i="5"/>
  <c r="F600" i="5"/>
  <c r="C601" i="5"/>
  <c r="I600" i="5"/>
  <c r="K605" i="5"/>
  <c r="N604" i="5"/>
  <c r="L603" i="5"/>
  <c r="Q602" i="5"/>
  <c r="I2422" i="5" l="1"/>
  <c r="C2423" i="5"/>
  <c r="F2422" i="5"/>
  <c r="N2422" i="5"/>
  <c r="Q2422" i="5"/>
  <c r="K2423" i="5"/>
  <c r="K606" i="5"/>
  <c r="N605" i="5"/>
  <c r="L604" i="5"/>
  <c r="Q603" i="5"/>
  <c r="I601" i="5"/>
  <c r="F601" i="5"/>
  <c r="C602" i="5"/>
  <c r="K2424" i="5" l="1"/>
  <c r="N2423" i="5"/>
  <c r="Q2423" i="5"/>
  <c r="F2423" i="5"/>
  <c r="I2423" i="5"/>
  <c r="C2424" i="5"/>
  <c r="I602" i="5"/>
  <c r="F602" i="5"/>
  <c r="C603" i="5"/>
  <c r="L605" i="5"/>
  <c r="Q604" i="5"/>
  <c r="K607" i="5"/>
  <c r="N606" i="5"/>
  <c r="F2424" i="5" l="1"/>
  <c r="C2425" i="5"/>
  <c r="I2424" i="5"/>
  <c r="N2424" i="5"/>
  <c r="K2425" i="5"/>
  <c r="Q2424" i="5"/>
  <c r="L606" i="5"/>
  <c r="Q605" i="5"/>
  <c r="K608" i="5"/>
  <c r="N607" i="5"/>
  <c r="I603" i="5"/>
  <c r="F603" i="5"/>
  <c r="C604" i="5"/>
  <c r="K2426" i="5" l="1"/>
  <c r="N2425" i="5"/>
  <c r="Q2425" i="5"/>
  <c r="I2425" i="5"/>
  <c r="C2426" i="5"/>
  <c r="F2425" i="5"/>
  <c r="K609" i="5"/>
  <c r="N608" i="5"/>
  <c r="C605" i="5"/>
  <c r="I604" i="5"/>
  <c r="F604" i="5"/>
  <c r="L607" i="5"/>
  <c r="Q606" i="5"/>
  <c r="I2426" i="5" l="1"/>
  <c r="F2426" i="5"/>
  <c r="C2427" i="5"/>
  <c r="Q2426" i="5"/>
  <c r="N2426" i="5"/>
  <c r="K2427" i="5"/>
  <c r="L608" i="5"/>
  <c r="Q607" i="5"/>
  <c r="I605" i="5"/>
  <c r="C606" i="5"/>
  <c r="F605" i="5"/>
  <c r="N609" i="5"/>
  <c r="K610" i="5"/>
  <c r="Q2427" i="5" l="1"/>
  <c r="N2427" i="5"/>
  <c r="K2428" i="5"/>
  <c r="F2427" i="5"/>
  <c r="C2428" i="5"/>
  <c r="I2427" i="5"/>
  <c r="N610" i="5"/>
  <c r="K611" i="5"/>
  <c r="I606" i="5"/>
  <c r="C607" i="5"/>
  <c r="F606" i="5"/>
  <c r="L609" i="5"/>
  <c r="Q608" i="5"/>
  <c r="F2428" i="5" l="1"/>
  <c r="I2428" i="5"/>
  <c r="C2429" i="5"/>
  <c r="K2429" i="5"/>
  <c r="N2428" i="5"/>
  <c r="Q2428" i="5"/>
  <c r="C608" i="5"/>
  <c r="F607" i="5"/>
  <c r="I607" i="5"/>
  <c r="N611" i="5"/>
  <c r="K612" i="5"/>
  <c r="L610" i="5"/>
  <c r="Q609" i="5"/>
  <c r="Q2429" i="5" l="1"/>
  <c r="K2430" i="5"/>
  <c r="N2429" i="5"/>
  <c r="I2429" i="5"/>
  <c r="C2430" i="5"/>
  <c r="F2429" i="5"/>
  <c r="N612" i="5"/>
  <c r="K613" i="5"/>
  <c r="L611" i="5"/>
  <c r="Q610" i="5"/>
  <c r="I608" i="5"/>
  <c r="C609" i="5"/>
  <c r="F608" i="5"/>
  <c r="C2431" i="5" l="1"/>
  <c r="I2430" i="5"/>
  <c r="F2430" i="5"/>
  <c r="K2431" i="5"/>
  <c r="N2430" i="5"/>
  <c r="Q2430" i="5"/>
  <c r="K614" i="5"/>
  <c r="N613" i="5"/>
  <c r="C610" i="5"/>
  <c r="I609" i="5"/>
  <c r="F609" i="5"/>
  <c r="L612" i="5"/>
  <c r="Q611" i="5"/>
  <c r="N2431" i="5" l="1"/>
  <c r="Q2431" i="5"/>
  <c r="K2432" i="5"/>
  <c r="F2431" i="5"/>
  <c r="I2431" i="5"/>
  <c r="C2432" i="5"/>
  <c r="I610" i="5"/>
  <c r="F610" i="5"/>
  <c r="C611" i="5"/>
  <c r="L613" i="5"/>
  <c r="Q612" i="5"/>
  <c r="K615" i="5"/>
  <c r="N614" i="5"/>
  <c r="C2433" i="5" l="1"/>
  <c r="F2432" i="5"/>
  <c r="I2432" i="5"/>
  <c r="K2433" i="5"/>
  <c r="Q2432" i="5"/>
  <c r="N2432" i="5"/>
  <c r="K616" i="5"/>
  <c r="N615" i="5"/>
  <c r="L614" i="5"/>
  <c r="Q613" i="5"/>
  <c r="F611" i="5"/>
  <c r="C612" i="5"/>
  <c r="I611" i="5"/>
  <c r="N2433" i="5" l="1"/>
  <c r="Q2433" i="5"/>
  <c r="K2434" i="5"/>
  <c r="F2433" i="5"/>
  <c r="I2433" i="5"/>
  <c r="C2434" i="5"/>
  <c r="C613" i="5"/>
  <c r="I612" i="5"/>
  <c r="F612" i="5"/>
  <c r="L615" i="5"/>
  <c r="Q614" i="5"/>
  <c r="K617" i="5"/>
  <c r="N616" i="5"/>
  <c r="C2435" i="5" l="1"/>
  <c r="I2434" i="5"/>
  <c r="F2434" i="5"/>
  <c r="Q2434" i="5"/>
  <c r="K2435" i="5"/>
  <c r="N2434" i="5"/>
  <c r="L616" i="5"/>
  <c r="Q615" i="5"/>
  <c r="K618" i="5"/>
  <c r="N617" i="5"/>
  <c r="F613" i="5"/>
  <c r="I613" i="5"/>
  <c r="C614" i="5"/>
  <c r="K2436" i="5" l="1"/>
  <c r="N2435" i="5"/>
  <c r="Q2435" i="5"/>
  <c r="I2435" i="5"/>
  <c r="F2435" i="5"/>
  <c r="C2436" i="5"/>
  <c r="K619" i="5"/>
  <c r="N618" i="5"/>
  <c r="I614" i="5"/>
  <c r="F614" i="5"/>
  <c r="C615" i="5"/>
  <c r="L617" i="5"/>
  <c r="Q616" i="5"/>
  <c r="C2437" i="5" l="1"/>
  <c r="F2436" i="5"/>
  <c r="I2436" i="5"/>
  <c r="N2436" i="5"/>
  <c r="Q2436" i="5"/>
  <c r="K2437" i="5"/>
  <c r="I615" i="5"/>
  <c r="F615" i="5"/>
  <c r="C616" i="5"/>
  <c r="L618" i="5"/>
  <c r="Q617" i="5"/>
  <c r="N619" i="5"/>
  <c r="K620" i="5"/>
  <c r="Q2437" i="5" l="1"/>
  <c r="K2438" i="5"/>
  <c r="N2437" i="5"/>
  <c r="I2437" i="5"/>
  <c r="C2438" i="5"/>
  <c r="F2437" i="5"/>
  <c r="K621" i="5"/>
  <c r="N620" i="5"/>
  <c r="L619" i="5"/>
  <c r="Q618" i="5"/>
  <c r="I616" i="5"/>
  <c r="F616" i="5"/>
  <c r="C617" i="5"/>
  <c r="F2438" i="5" l="1"/>
  <c r="I2438" i="5"/>
  <c r="C2439" i="5"/>
  <c r="K2439" i="5"/>
  <c r="N2438" i="5"/>
  <c r="Q2438" i="5"/>
  <c r="L620" i="5"/>
  <c r="Q619" i="5"/>
  <c r="C618" i="5"/>
  <c r="F617" i="5"/>
  <c r="I617" i="5"/>
  <c r="K622" i="5"/>
  <c r="N621" i="5"/>
  <c r="N2439" i="5" l="1"/>
  <c r="Q2439" i="5"/>
  <c r="K2440" i="5"/>
  <c r="I2439" i="5"/>
  <c r="C2440" i="5"/>
  <c r="F2439" i="5"/>
  <c r="F618" i="5"/>
  <c r="C619" i="5"/>
  <c r="I618" i="5"/>
  <c r="K623" i="5"/>
  <c r="N622" i="5"/>
  <c r="L621" i="5"/>
  <c r="Q620" i="5"/>
  <c r="F2440" i="5" l="1"/>
  <c r="I2440" i="5"/>
  <c r="C2441" i="5"/>
  <c r="Q2440" i="5"/>
  <c r="N2440" i="5"/>
  <c r="K2441" i="5"/>
  <c r="N623" i="5"/>
  <c r="K624" i="5"/>
  <c r="L622" i="5"/>
  <c r="Q621" i="5"/>
  <c r="C620" i="5"/>
  <c r="I619" i="5"/>
  <c r="F619" i="5"/>
  <c r="N2441" i="5" l="1"/>
  <c r="Q2441" i="5"/>
  <c r="K2442" i="5"/>
  <c r="F2441" i="5"/>
  <c r="I2441" i="5"/>
  <c r="C2442" i="5"/>
  <c r="L623" i="5"/>
  <c r="Q622" i="5"/>
  <c r="I620" i="5"/>
  <c r="F620" i="5"/>
  <c r="C621" i="5"/>
  <c r="K625" i="5"/>
  <c r="N624" i="5"/>
  <c r="C2443" i="5" l="1"/>
  <c r="F2442" i="5"/>
  <c r="I2442" i="5"/>
  <c r="N2442" i="5"/>
  <c r="Q2442" i="5"/>
  <c r="K2443" i="5"/>
  <c r="F621" i="5"/>
  <c r="I621" i="5"/>
  <c r="C622" i="5"/>
  <c r="N625" i="5"/>
  <c r="K626" i="5"/>
  <c r="L624" i="5"/>
  <c r="Q623" i="5"/>
  <c r="Q2443" i="5" l="1"/>
  <c r="K2444" i="5"/>
  <c r="N2443" i="5"/>
  <c r="F2443" i="5"/>
  <c r="C2444" i="5"/>
  <c r="I2443" i="5"/>
  <c r="L625" i="5"/>
  <c r="Q624" i="5"/>
  <c r="K627" i="5"/>
  <c r="N626" i="5"/>
  <c r="F622" i="5"/>
  <c r="C623" i="5"/>
  <c r="I622" i="5"/>
  <c r="F2444" i="5" l="1"/>
  <c r="I2444" i="5"/>
  <c r="C2445" i="5"/>
  <c r="N2444" i="5"/>
  <c r="Q2444" i="5"/>
  <c r="K2445" i="5"/>
  <c r="K628" i="5"/>
  <c r="N627" i="5"/>
  <c r="F623" i="5"/>
  <c r="C624" i="5"/>
  <c r="I623" i="5"/>
  <c r="L626" i="5"/>
  <c r="Q625" i="5"/>
  <c r="C2446" i="5" l="1"/>
  <c r="F2445" i="5"/>
  <c r="I2445" i="5"/>
  <c r="Q2445" i="5"/>
  <c r="K2446" i="5"/>
  <c r="N2445" i="5"/>
  <c r="F624" i="5"/>
  <c r="C625" i="5"/>
  <c r="I624" i="5"/>
  <c r="L627" i="5"/>
  <c r="Q626" i="5"/>
  <c r="K629" i="5"/>
  <c r="N628" i="5"/>
  <c r="K2447" i="5" l="1"/>
  <c r="N2446" i="5"/>
  <c r="Q2446" i="5"/>
  <c r="I2446" i="5"/>
  <c r="F2446" i="5"/>
  <c r="C2447" i="5"/>
  <c r="K630" i="5"/>
  <c r="N629" i="5"/>
  <c r="I625" i="5"/>
  <c r="C626" i="5"/>
  <c r="F625" i="5"/>
  <c r="L628" i="5"/>
  <c r="Q627" i="5"/>
  <c r="C2448" i="5" l="1"/>
  <c r="F2447" i="5"/>
  <c r="I2447" i="5"/>
  <c r="N2447" i="5"/>
  <c r="Q2447" i="5"/>
  <c r="K2448" i="5"/>
  <c r="C627" i="5"/>
  <c r="I626" i="5"/>
  <c r="F626" i="5"/>
  <c r="L629" i="5"/>
  <c r="Q628" i="5"/>
  <c r="N630" i="5"/>
  <c r="K631" i="5"/>
  <c r="Q2448" i="5" l="1"/>
  <c r="K2449" i="5"/>
  <c r="N2448" i="5"/>
  <c r="F2448" i="5"/>
  <c r="I2448" i="5"/>
  <c r="C2449" i="5"/>
  <c r="N631" i="5"/>
  <c r="K632" i="5"/>
  <c r="L630" i="5"/>
  <c r="Q629" i="5"/>
  <c r="I627" i="5"/>
  <c r="F627" i="5"/>
  <c r="C628" i="5"/>
  <c r="F2449" i="5" l="1"/>
  <c r="I2449" i="5"/>
  <c r="C2450" i="5"/>
  <c r="K2450" i="5"/>
  <c r="N2449" i="5"/>
  <c r="Q2449" i="5"/>
  <c r="K633" i="5"/>
  <c r="N632" i="5"/>
  <c r="I628" i="5"/>
  <c r="C629" i="5"/>
  <c r="F628" i="5"/>
  <c r="L631" i="5"/>
  <c r="Q630" i="5"/>
  <c r="N2450" i="5" l="1"/>
  <c r="Q2450" i="5"/>
  <c r="K2451" i="5"/>
  <c r="F2450" i="5"/>
  <c r="I2450" i="5"/>
  <c r="C2451" i="5"/>
  <c r="C630" i="5"/>
  <c r="F629" i="5"/>
  <c r="I629" i="5"/>
  <c r="L632" i="5"/>
  <c r="Q631" i="5"/>
  <c r="N633" i="5"/>
  <c r="K634" i="5"/>
  <c r="F2451" i="5" l="1"/>
  <c r="I2451" i="5"/>
  <c r="C2452" i="5"/>
  <c r="K2452" i="5"/>
  <c r="N2451" i="5"/>
  <c r="Q2451" i="5"/>
  <c r="L633" i="5"/>
  <c r="Q632" i="5"/>
  <c r="K635" i="5"/>
  <c r="N634" i="5"/>
  <c r="F630" i="5"/>
  <c r="C631" i="5"/>
  <c r="I630" i="5"/>
  <c r="N2452" i="5" l="1"/>
  <c r="Q2452" i="5"/>
  <c r="K2453" i="5"/>
  <c r="I2452" i="5"/>
  <c r="F2452" i="5"/>
  <c r="C2453" i="5"/>
  <c r="K636" i="5"/>
  <c r="N635" i="5"/>
  <c r="I631" i="5"/>
  <c r="F631" i="5"/>
  <c r="C632" i="5"/>
  <c r="L634" i="5"/>
  <c r="Q633" i="5"/>
  <c r="C2454" i="5" l="1"/>
  <c r="F2453" i="5"/>
  <c r="I2453" i="5"/>
  <c r="K2454" i="5"/>
  <c r="N2453" i="5"/>
  <c r="Q2453" i="5"/>
  <c r="F632" i="5"/>
  <c r="I632" i="5"/>
  <c r="C633" i="5"/>
  <c r="L635" i="5"/>
  <c r="Q634" i="5"/>
  <c r="K637" i="5"/>
  <c r="N636" i="5"/>
  <c r="N2454" i="5" l="1"/>
  <c r="Q2454" i="5"/>
  <c r="K2455" i="5"/>
  <c r="F2454" i="5"/>
  <c r="I2454" i="5"/>
  <c r="C2455" i="5"/>
  <c r="L636" i="5"/>
  <c r="Q635" i="5"/>
  <c r="K638" i="5"/>
  <c r="N637" i="5"/>
  <c r="I633" i="5"/>
  <c r="C634" i="5"/>
  <c r="F633" i="5"/>
  <c r="F2455" i="5" l="1"/>
  <c r="I2455" i="5"/>
  <c r="C2456" i="5"/>
  <c r="K2456" i="5"/>
  <c r="N2455" i="5"/>
  <c r="Q2455" i="5"/>
  <c r="N638" i="5"/>
  <c r="K639" i="5"/>
  <c r="I634" i="5"/>
  <c r="F634" i="5"/>
  <c r="C635" i="5"/>
  <c r="L637" i="5"/>
  <c r="Q636" i="5"/>
  <c r="N2456" i="5" l="1"/>
  <c r="Q2456" i="5"/>
  <c r="K2457" i="5"/>
  <c r="C2457" i="5"/>
  <c r="I2456" i="5"/>
  <c r="F2456" i="5"/>
  <c r="L638" i="5"/>
  <c r="Q637" i="5"/>
  <c r="F635" i="5"/>
  <c r="I635" i="5"/>
  <c r="C636" i="5"/>
  <c r="K640" i="5"/>
  <c r="N639" i="5"/>
  <c r="I2457" i="5" l="1"/>
  <c r="F2457" i="5"/>
  <c r="C2458" i="5"/>
  <c r="K2458" i="5"/>
  <c r="N2457" i="5"/>
  <c r="Q2457" i="5"/>
  <c r="K641" i="5"/>
  <c r="N640" i="5"/>
  <c r="C637" i="5"/>
  <c r="F636" i="5"/>
  <c r="I636" i="5"/>
  <c r="L639" i="5"/>
  <c r="Q638" i="5"/>
  <c r="N2458" i="5" l="1"/>
  <c r="Q2458" i="5"/>
  <c r="K2459" i="5"/>
  <c r="F2458" i="5"/>
  <c r="I2458" i="5"/>
  <c r="C2459" i="5"/>
  <c r="L640" i="5"/>
  <c r="Q639" i="5"/>
  <c r="F637" i="5"/>
  <c r="C638" i="5"/>
  <c r="I637" i="5"/>
  <c r="N641" i="5"/>
  <c r="K642" i="5"/>
  <c r="F2459" i="5" l="1"/>
  <c r="I2459" i="5"/>
  <c r="C2460" i="5"/>
  <c r="Q2459" i="5"/>
  <c r="K2460" i="5"/>
  <c r="N2459" i="5"/>
  <c r="I638" i="5"/>
  <c r="F638" i="5"/>
  <c r="C639" i="5"/>
  <c r="N642" i="5"/>
  <c r="K643" i="5"/>
  <c r="L641" i="5"/>
  <c r="Q640" i="5"/>
  <c r="K2461" i="5" l="1"/>
  <c r="N2460" i="5"/>
  <c r="Q2460" i="5"/>
  <c r="F2460" i="5"/>
  <c r="I2460" i="5"/>
  <c r="C2461" i="5"/>
  <c r="K644" i="5"/>
  <c r="N643" i="5"/>
  <c r="L642" i="5"/>
  <c r="Q641" i="5"/>
  <c r="I639" i="5"/>
  <c r="F639" i="5"/>
  <c r="C640" i="5"/>
  <c r="I2461" i="5" l="1"/>
  <c r="F2461" i="5"/>
  <c r="C2462" i="5"/>
  <c r="N2461" i="5"/>
  <c r="K2462" i="5"/>
  <c r="Q2461" i="5"/>
  <c r="I640" i="5"/>
  <c r="C641" i="5"/>
  <c r="F640" i="5"/>
  <c r="L643" i="5"/>
  <c r="Q642" i="5"/>
  <c r="N644" i="5"/>
  <c r="K645" i="5"/>
  <c r="N2462" i="5" l="1"/>
  <c r="Q2462" i="5"/>
  <c r="K2463" i="5"/>
  <c r="F2462" i="5"/>
  <c r="I2462" i="5"/>
  <c r="C2463" i="5"/>
  <c r="L644" i="5"/>
  <c r="Q643" i="5"/>
  <c r="N645" i="5"/>
  <c r="K646" i="5"/>
  <c r="F641" i="5"/>
  <c r="C642" i="5"/>
  <c r="I641" i="5"/>
  <c r="I2463" i="5" l="1"/>
  <c r="F2463" i="5"/>
  <c r="C2464" i="5"/>
  <c r="K2464" i="5"/>
  <c r="Q2463" i="5"/>
  <c r="N2463" i="5"/>
  <c r="K647" i="5"/>
  <c r="N646" i="5"/>
  <c r="F642" i="5"/>
  <c r="C643" i="5"/>
  <c r="I642" i="5"/>
  <c r="L645" i="5"/>
  <c r="Q644" i="5"/>
  <c r="N2464" i="5" l="1"/>
  <c r="Q2464" i="5"/>
  <c r="K2465" i="5"/>
  <c r="C2465" i="5"/>
  <c r="F2464" i="5"/>
  <c r="I2464" i="5"/>
  <c r="L646" i="5"/>
  <c r="Q645" i="5"/>
  <c r="F643" i="5"/>
  <c r="C644" i="5"/>
  <c r="I643" i="5"/>
  <c r="K648" i="5"/>
  <c r="N647" i="5"/>
  <c r="F2465" i="5" l="1"/>
  <c r="C2466" i="5"/>
  <c r="I2465" i="5"/>
  <c r="Q2465" i="5"/>
  <c r="K2466" i="5"/>
  <c r="N2465" i="5"/>
  <c r="I644" i="5"/>
  <c r="C645" i="5"/>
  <c r="F644" i="5"/>
  <c r="K649" i="5"/>
  <c r="N648" i="5"/>
  <c r="L647" i="5"/>
  <c r="Q646" i="5"/>
  <c r="N2466" i="5" l="1"/>
  <c r="Q2466" i="5"/>
  <c r="K2467" i="5"/>
  <c r="F2466" i="5"/>
  <c r="I2466" i="5"/>
  <c r="C2467" i="5"/>
  <c r="I645" i="5"/>
  <c r="F645" i="5"/>
  <c r="C646" i="5"/>
  <c r="L648" i="5"/>
  <c r="Q647" i="5"/>
  <c r="N649" i="5"/>
  <c r="K650" i="5"/>
  <c r="C2468" i="5" l="1"/>
  <c r="F2467" i="5"/>
  <c r="I2467" i="5"/>
  <c r="Q2467" i="5"/>
  <c r="K2468" i="5"/>
  <c r="N2467" i="5"/>
  <c r="L649" i="5"/>
  <c r="Q648" i="5"/>
  <c r="N650" i="5"/>
  <c r="K651" i="5"/>
  <c r="F646" i="5"/>
  <c r="I646" i="5"/>
  <c r="C647" i="5"/>
  <c r="N2468" i="5" l="1"/>
  <c r="Q2468" i="5"/>
  <c r="K2469" i="5"/>
  <c r="F2468" i="5"/>
  <c r="I2468" i="5"/>
  <c r="C2469" i="5"/>
  <c r="K652" i="5"/>
  <c r="N651" i="5"/>
  <c r="I647" i="5"/>
  <c r="C648" i="5"/>
  <c r="F647" i="5"/>
  <c r="L650" i="5"/>
  <c r="Q649" i="5"/>
  <c r="C2470" i="5" l="1"/>
  <c r="F2469" i="5"/>
  <c r="I2469" i="5"/>
  <c r="N2469" i="5"/>
  <c r="Q2469" i="5"/>
  <c r="K2470" i="5"/>
  <c r="C649" i="5"/>
  <c r="F648" i="5"/>
  <c r="I648" i="5"/>
  <c r="L651" i="5"/>
  <c r="Q650" i="5"/>
  <c r="N652" i="5"/>
  <c r="K653" i="5"/>
  <c r="Q2470" i="5" l="1"/>
  <c r="K2471" i="5"/>
  <c r="N2470" i="5"/>
  <c r="F2470" i="5"/>
  <c r="I2470" i="5"/>
  <c r="C2471" i="5"/>
  <c r="N653" i="5"/>
  <c r="K654" i="5"/>
  <c r="L652" i="5"/>
  <c r="Q651" i="5"/>
  <c r="F649" i="5"/>
  <c r="C650" i="5"/>
  <c r="I649" i="5"/>
  <c r="C2472" i="5" l="1"/>
  <c r="I2471" i="5"/>
  <c r="F2471" i="5"/>
  <c r="K2472" i="5"/>
  <c r="Q2471" i="5"/>
  <c r="N2471" i="5"/>
  <c r="L653" i="5"/>
  <c r="Q652" i="5"/>
  <c r="C651" i="5"/>
  <c r="I650" i="5"/>
  <c r="F650" i="5"/>
  <c r="N654" i="5"/>
  <c r="K655" i="5"/>
  <c r="N2472" i="5" l="1"/>
  <c r="Q2472" i="5"/>
  <c r="K2473" i="5"/>
  <c r="F2472" i="5"/>
  <c r="I2472" i="5"/>
  <c r="C2473" i="5"/>
  <c r="I651" i="5"/>
  <c r="C652" i="5"/>
  <c r="F651" i="5"/>
  <c r="N655" i="5"/>
  <c r="K656" i="5"/>
  <c r="L654" i="5"/>
  <c r="Q653" i="5"/>
  <c r="C2474" i="5" l="1"/>
  <c r="F2473" i="5"/>
  <c r="I2473" i="5"/>
  <c r="N2473" i="5"/>
  <c r="Q2473" i="5"/>
  <c r="K2474" i="5"/>
  <c r="L655" i="5"/>
  <c r="Q654" i="5"/>
  <c r="I652" i="5"/>
  <c r="F652" i="5"/>
  <c r="C653" i="5"/>
  <c r="N656" i="5"/>
  <c r="K657" i="5"/>
  <c r="K2475" i="5" l="1"/>
  <c r="N2474" i="5"/>
  <c r="Q2474" i="5"/>
  <c r="F2474" i="5"/>
  <c r="I2474" i="5"/>
  <c r="C2475" i="5"/>
  <c r="C654" i="5"/>
  <c r="I653" i="5"/>
  <c r="F653" i="5"/>
  <c r="N657" i="5"/>
  <c r="K658" i="5"/>
  <c r="L656" i="5"/>
  <c r="Q655" i="5"/>
  <c r="I2475" i="5" l="1"/>
  <c r="C2476" i="5"/>
  <c r="F2475" i="5"/>
  <c r="N2475" i="5"/>
  <c r="Q2475" i="5"/>
  <c r="K2476" i="5"/>
  <c r="N658" i="5"/>
  <c r="K659" i="5"/>
  <c r="L657" i="5"/>
  <c r="Q656" i="5"/>
  <c r="F654" i="5"/>
  <c r="C655" i="5"/>
  <c r="I654" i="5"/>
  <c r="Q2476" i="5" l="1"/>
  <c r="K2477" i="5"/>
  <c r="N2476" i="5"/>
  <c r="C2477" i="5"/>
  <c r="I2476" i="5"/>
  <c r="F2476" i="5"/>
  <c r="I655" i="5"/>
  <c r="F655" i="5"/>
  <c r="C656" i="5"/>
  <c r="K660" i="5"/>
  <c r="N659" i="5"/>
  <c r="L658" i="5"/>
  <c r="Q657" i="5"/>
  <c r="F2477" i="5" l="1"/>
  <c r="I2477" i="5"/>
  <c r="C2478" i="5"/>
  <c r="N2477" i="5"/>
  <c r="Q2477" i="5"/>
  <c r="K2478" i="5"/>
  <c r="K661" i="5"/>
  <c r="N660" i="5"/>
  <c r="L659" i="5"/>
  <c r="Q658" i="5"/>
  <c r="I656" i="5"/>
  <c r="F656" i="5"/>
  <c r="C657" i="5"/>
  <c r="N2478" i="5" l="1"/>
  <c r="Q2478" i="5"/>
  <c r="K2479" i="5"/>
  <c r="C2479" i="5"/>
  <c r="I2478" i="5"/>
  <c r="F2478" i="5"/>
  <c r="F657" i="5"/>
  <c r="C658" i="5"/>
  <c r="I657" i="5"/>
  <c r="N661" i="5"/>
  <c r="K662" i="5"/>
  <c r="L660" i="5"/>
  <c r="Q659" i="5"/>
  <c r="F2479" i="5" l="1"/>
  <c r="I2479" i="5"/>
  <c r="C2480" i="5"/>
  <c r="K2480" i="5"/>
  <c r="N2479" i="5"/>
  <c r="Q2479" i="5"/>
  <c r="L661" i="5"/>
  <c r="Q660" i="5"/>
  <c r="C659" i="5"/>
  <c r="I658" i="5"/>
  <c r="F658" i="5"/>
  <c r="K663" i="5"/>
  <c r="N662" i="5"/>
  <c r="N2480" i="5" l="1"/>
  <c r="Q2480" i="5"/>
  <c r="F2480" i="5"/>
  <c r="I2480" i="5"/>
  <c r="I659" i="5"/>
  <c r="C660" i="5"/>
  <c r="F659" i="5"/>
  <c r="N663" i="5"/>
  <c r="K664" i="5"/>
  <c r="L662" i="5"/>
  <c r="Q661" i="5"/>
  <c r="L663" i="5" l="1"/>
  <c r="Q662" i="5"/>
  <c r="I660" i="5"/>
  <c r="C661" i="5"/>
  <c r="F660" i="5"/>
  <c r="N664" i="5"/>
  <c r="K665" i="5"/>
  <c r="N665" i="5" l="1"/>
  <c r="K666" i="5"/>
  <c r="C662" i="5"/>
  <c r="I661" i="5"/>
  <c r="F661" i="5"/>
  <c r="L664" i="5"/>
  <c r="Q663" i="5"/>
  <c r="L665" i="5" l="1"/>
  <c r="Q664" i="5"/>
  <c r="N666" i="5"/>
  <c r="K667" i="5"/>
  <c r="C663" i="5"/>
  <c r="I662" i="5"/>
  <c r="F662" i="5"/>
  <c r="N667" i="5" l="1"/>
  <c r="K668" i="5"/>
  <c r="I663" i="5"/>
  <c r="C664" i="5"/>
  <c r="F663" i="5"/>
  <c r="L666" i="5"/>
  <c r="Q665" i="5"/>
  <c r="C665" i="5" l="1"/>
  <c r="I664" i="5"/>
  <c r="F664" i="5"/>
  <c r="L667" i="5"/>
  <c r="Q666" i="5"/>
  <c r="K669" i="5"/>
  <c r="N668" i="5"/>
  <c r="L668" i="5" l="1"/>
  <c r="Q667" i="5"/>
  <c r="N669" i="5"/>
  <c r="K670" i="5"/>
  <c r="F665" i="5"/>
  <c r="C666" i="5"/>
  <c r="I665" i="5"/>
  <c r="K671" i="5" l="1"/>
  <c r="N670" i="5"/>
  <c r="C667" i="5"/>
  <c r="I666" i="5"/>
  <c r="F666" i="5"/>
  <c r="L669" i="5"/>
  <c r="Q668" i="5"/>
  <c r="L670" i="5" l="1"/>
  <c r="Q669" i="5"/>
  <c r="I667" i="5"/>
  <c r="C668" i="5"/>
  <c r="F667" i="5"/>
  <c r="N671" i="5"/>
  <c r="K672" i="5"/>
  <c r="F668" i="5" l="1"/>
  <c r="C669" i="5"/>
  <c r="I668" i="5"/>
  <c r="K673" i="5"/>
  <c r="N672" i="5"/>
  <c r="L671" i="5"/>
  <c r="Q670" i="5"/>
  <c r="L672" i="5" l="1"/>
  <c r="Q671" i="5"/>
  <c r="K674" i="5"/>
  <c r="N673" i="5"/>
  <c r="C670" i="5"/>
  <c r="I669" i="5"/>
  <c r="F669" i="5"/>
  <c r="K675" i="5" l="1"/>
  <c r="N674" i="5"/>
  <c r="L673" i="5"/>
  <c r="Q672" i="5"/>
  <c r="C671" i="5"/>
  <c r="I670" i="5"/>
  <c r="F670" i="5"/>
  <c r="L674" i="5" l="1"/>
  <c r="Q673" i="5"/>
  <c r="I671" i="5"/>
  <c r="C672" i="5"/>
  <c r="F671" i="5"/>
  <c r="N675" i="5"/>
  <c r="K676" i="5"/>
  <c r="C673" i="5" l="1"/>
  <c r="I672" i="5"/>
  <c r="F672" i="5"/>
  <c r="K677" i="5"/>
  <c r="N676" i="5"/>
  <c r="L675" i="5"/>
  <c r="Q674" i="5"/>
  <c r="N677" i="5" l="1"/>
  <c r="K678" i="5"/>
  <c r="L676" i="5"/>
  <c r="Q675" i="5"/>
  <c r="F673" i="5"/>
  <c r="C674" i="5"/>
  <c r="I673" i="5"/>
  <c r="L677" i="5" l="1"/>
  <c r="Q676" i="5"/>
  <c r="I674" i="5"/>
  <c r="C675" i="5"/>
  <c r="F674" i="5"/>
  <c r="K679" i="5"/>
  <c r="N678" i="5"/>
  <c r="C676" i="5" l="1"/>
  <c r="F675" i="5"/>
  <c r="I675" i="5"/>
  <c r="N679" i="5"/>
  <c r="K680" i="5"/>
  <c r="L678" i="5"/>
  <c r="Q677" i="5"/>
  <c r="N680" i="5" l="1"/>
  <c r="K681" i="5"/>
  <c r="L679" i="5"/>
  <c r="Q678" i="5"/>
  <c r="F676" i="5"/>
  <c r="C677" i="5"/>
  <c r="I676" i="5"/>
  <c r="L680" i="5" l="1"/>
  <c r="Q679" i="5"/>
  <c r="F677" i="5"/>
  <c r="C678" i="5"/>
  <c r="I677" i="5"/>
  <c r="K682" i="5"/>
  <c r="N681" i="5"/>
  <c r="I678" i="5" l="1"/>
  <c r="C679" i="5"/>
  <c r="F678" i="5"/>
  <c r="K683" i="5"/>
  <c r="N682" i="5"/>
  <c r="L681" i="5"/>
  <c r="Q680" i="5"/>
  <c r="N683" i="5" l="1"/>
  <c r="K684" i="5"/>
  <c r="L682" i="5"/>
  <c r="Q681" i="5"/>
  <c r="F679" i="5"/>
  <c r="C680" i="5"/>
  <c r="I679" i="5"/>
  <c r="F680" i="5" l="1"/>
  <c r="C681" i="5"/>
  <c r="I680" i="5"/>
  <c r="L683" i="5"/>
  <c r="Q682" i="5"/>
  <c r="K685" i="5"/>
  <c r="N684" i="5"/>
  <c r="K686" i="5" l="1"/>
  <c r="N685" i="5"/>
  <c r="L684" i="5"/>
  <c r="Q683" i="5"/>
  <c r="F681" i="5"/>
  <c r="C682" i="5"/>
  <c r="I681" i="5"/>
  <c r="I682" i="5" l="1"/>
  <c r="C683" i="5"/>
  <c r="F682" i="5"/>
  <c r="L685" i="5"/>
  <c r="Q684" i="5"/>
  <c r="K687" i="5"/>
  <c r="N686" i="5"/>
  <c r="K688" i="5" l="1"/>
  <c r="N687" i="5"/>
  <c r="L686" i="5"/>
  <c r="Q685" i="5"/>
  <c r="C684" i="5"/>
  <c r="F683" i="5"/>
  <c r="I683" i="5"/>
  <c r="F684" i="5" l="1"/>
  <c r="I684" i="5"/>
  <c r="C685" i="5"/>
  <c r="L687" i="5"/>
  <c r="Q686" i="5"/>
  <c r="N688" i="5"/>
  <c r="K689" i="5"/>
  <c r="L688" i="5" l="1"/>
  <c r="Q687" i="5"/>
  <c r="K690" i="5"/>
  <c r="N689" i="5"/>
  <c r="I685" i="5"/>
  <c r="F685" i="5"/>
  <c r="C686" i="5"/>
  <c r="K691" i="5" l="1"/>
  <c r="N690" i="5"/>
  <c r="C687" i="5"/>
  <c r="F686" i="5"/>
  <c r="I686" i="5"/>
  <c r="L689" i="5"/>
  <c r="Q688" i="5"/>
  <c r="L690" i="5" l="1"/>
  <c r="Q689" i="5"/>
  <c r="F687" i="5"/>
  <c r="I687" i="5"/>
  <c r="C688" i="5"/>
  <c r="N691" i="5"/>
  <c r="K692" i="5"/>
  <c r="K693" i="5" l="1"/>
  <c r="N692" i="5"/>
  <c r="F688" i="5"/>
  <c r="C689" i="5"/>
  <c r="I688" i="5"/>
  <c r="L691" i="5"/>
  <c r="Q690" i="5"/>
  <c r="L692" i="5" l="1"/>
  <c r="Q691" i="5"/>
  <c r="I689" i="5"/>
  <c r="F689" i="5"/>
  <c r="C690" i="5"/>
  <c r="K694" i="5"/>
  <c r="N693" i="5"/>
  <c r="F690" i="5" l="1"/>
  <c r="C691" i="5"/>
  <c r="I690" i="5"/>
  <c r="K695" i="5"/>
  <c r="N694" i="5"/>
  <c r="L693" i="5"/>
  <c r="Q692" i="5"/>
  <c r="K696" i="5" l="1"/>
  <c r="N695" i="5"/>
  <c r="L694" i="5"/>
  <c r="Q693" i="5"/>
  <c r="I691" i="5"/>
  <c r="F691" i="5"/>
  <c r="C692" i="5"/>
  <c r="I692" i="5" l="1"/>
  <c r="F692" i="5"/>
  <c r="C693" i="5"/>
  <c r="L695" i="5"/>
  <c r="Q694" i="5"/>
  <c r="K697" i="5"/>
  <c r="N696" i="5"/>
  <c r="L696" i="5" l="1"/>
  <c r="Q695" i="5"/>
  <c r="K698" i="5"/>
  <c r="N697" i="5"/>
  <c r="I693" i="5"/>
  <c r="F693" i="5"/>
  <c r="C694" i="5"/>
  <c r="K699" i="5" l="1"/>
  <c r="N698" i="5"/>
  <c r="C695" i="5"/>
  <c r="I694" i="5"/>
  <c r="F694" i="5"/>
  <c r="L697" i="5"/>
  <c r="Q696" i="5"/>
  <c r="L698" i="5" l="1"/>
  <c r="Q697" i="5"/>
  <c r="I695" i="5"/>
  <c r="C696" i="5"/>
  <c r="F695" i="5"/>
  <c r="N699" i="5"/>
  <c r="K700" i="5"/>
  <c r="K701" i="5" l="1"/>
  <c r="N700" i="5"/>
  <c r="I696" i="5"/>
  <c r="F696" i="5"/>
  <c r="C697" i="5"/>
  <c r="L699" i="5"/>
  <c r="Q698" i="5"/>
  <c r="L700" i="5" l="1"/>
  <c r="Q699" i="5"/>
  <c r="C698" i="5"/>
  <c r="I697" i="5"/>
  <c r="F697" i="5"/>
  <c r="N701" i="5"/>
  <c r="K702" i="5"/>
  <c r="F698" i="5" l="1"/>
  <c r="I698" i="5"/>
  <c r="C699" i="5"/>
  <c r="N702" i="5"/>
  <c r="K703" i="5"/>
  <c r="L701" i="5"/>
  <c r="Q700" i="5"/>
  <c r="L702" i="5" l="1"/>
  <c r="Q701" i="5"/>
  <c r="K704" i="5"/>
  <c r="N703" i="5"/>
  <c r="I699" i="5"/>
  <c r="C700" i="5"/>
  <c r="F699" i="5"/>
  <c r="K705" i="5" l="1"/>
  <c r="N704" i="5"/>
  <c r="I700" i="5"/>
  <c r="F700" i="5"/>
  <c r="C701" i="5"/>
  <c r="L703" i="5"/>
  <c r="Q702" i="5"/>
  <c r="F701" i="5" l="1"/>
  <c r="C702" i="5"/>
  <c r="I701" i="5"/>
  <c r="L704" i="5"/>
  <c r="Q703" i="5"/>
  <c r="K706" i="5"/>
  <c r="N705" i="5"/>
  <c r="K707" i="5" l="1"/>
  <c r="N706" i="5"/>
  <c r="I702" i="5"/>
  <c r="F702" i="5"/>
  <c r="C703" i="5"/>
  <c r="L705" i="5"/>
  <c r="Q704" i="5"/>
  <c r="I703" i="5" l="1"/>
  <c r="C704" i="5"/>
  <c r="F703" i="5"/>
  <c r="L706" i="5"/>
  <c r="Q705" i="5"/>
  <c r="N707" i="5"/>
  <c r="K708" i="5"/>
  <c r="N708" i="5" l="1"/>
  <c r="K709" i="5"/>
  <c r="I704" i="5"/>
  <c r="F704" i="5"/>
  <c r="C705" i="5"/>
  <c r="L707" i="5"/>
  <c r="Q706" i="5"/>
  <c r="C706" i="5" l="1"/>
  <c r="I705" i="5"/>
  <c r="F705" i="5"/>
  <c r="L708" i="5"/>
  <c r="Q707" i="5"/>
  <c r="N709" i="5"/>
  <c r="K710" i="5"/>
  <c r="L709" i="5" l="1"/>
  <c r="Q708" i="5"/>
  <c r="N710" i="5"/>
  <c r="K711" i="5"/>
  <c r="I706" i="5"/>
  <c r="F706" i="5"/>
  <c r="C707" i="5"/>
  <c r="N711" i="5" l="1"/>
  <c r="K712" i="5"/>
  <c r="I707" i="5"/>
  <c r="C708" i="5"/>
  <c r="F707" i="5"/>
  <c r="L710" i="5"/>
  <c r="Q709" i="5"/>
  <c r="C709" i="5" l="1"/>
  <c r="I708" i="5"/>
  <c r="F708" i="5"/>
  <c r="L711" i="5"/>
  <c r="Q710" i="5"/>
  <c r="K713" i="5"/>
  <c r="N712" i="5"/>
  <c r="L712" i="5" l="1"/>
  <c r="Q711" i="5"/>
  <c r="N713" i="5"/>
  <c r="K714" i="5"/>
  <c r="F709" i="5"/>
  <c r="I709" i="5"/>
  <c r="C710" i="5"/>
  <c r="K715" i="5" l="1"/>
  <c r="N714" i="5"/>
  <c r="I710" i="5"/>
  <c r="F710" i="5"/>
  <c r="C711" i="5"/>
  <c r="L713" i="5"/>
  <c r="Q712" i="5"/>
  <c r="L714" i="5" l="1"/>
  <c r="Q713" i="5"/>
  <c r="I711" i="5"/>
  <c r="C712" i="5"/>
  <c r="F711" i="5"/>
  <c r="N715" i="5"/>
  <c r="K716" i="5"/>
  <c r="N716" i="5" l="1"/>
  <c r="K717" i="5"/>
  <c r="F712" i="5"/>
  <c r="C713" i="5"/>
  <c r="I712" i="5"/>
  <c r="L715" i="5"/>
  <c r="Q714" i="5"/>
  <c r="L716" i="5" l="1"/>
  <c r="Q715" i="5"/>
  <c r="C714" i="5"/>
  <c r="I713" i="5"/>
  <c r="F713" i="5"/>
  <c r="K718" i="5"/>
  <c r="N717" i="5"/>
  <c r="I714" i="5" l="1"/>
  <c r="C715" i="5"/>
  <c r="F714" i="5"/>
  <c r="N718" i="5"/>
  <c r="K719" i="5"/>
  <c r="L717" i="5"/>
  <c r="Q716" i="5"/>
  <c r="L718" i="5" l="1"/>
  <c r="Q717" i="5"/>
  <c r="I715" i="5"/>
  <c r="F715" i="5"/>
  <c r="C716" i="5"/>
  <c r="N719" i="5"/>
  <c r="K720" i="5"/>
  <c r="C717" i="5" l="1"/>
  <c r="I716" i="5"/>
  <c r="F716" i="5"/>
  <c r="K721" i="5"/>
  <c r="N720" i="5"/>
  <c r="L719" i="5"/>
  <c r="Q718" i="5"/>
  <c r="N721" i="5" l="1"/>
  <c r="K722" i="5"/>
  <c r="L720" i="5"/>
  <c r="Q719" i="5"/>
  <c r="I717" i="5"/>
  <c r="C718" i="5"/>
  <c r="F717" i="5"/>
  <c r="I718" i="5" l="1"/>
  <c r="F718" i="5"/>
  <c r="C719" i="5"/>
  <c r="L721" i="5"/>
  <c r="Q720" i="5"/>
  <c r="K723" i="5"/>
  <c r="N722" i="5"/>
  <c r="N723" i="5" l="1"/>
  <c r="K724" i="5"/>
  <c r="L722" i="5"/>
  <c r="Q721" i="5"/>
  <c r="C720" i="5"/>
  <c r="I719" i="5"/>
  <c r="F719" i="5"/>
  <c r="F720" i="5" l="1"/>
  <c r="I720" i="5"/>
  <c r="C721" i="5"/>
  <c r="N724" i="5"/>
  <c r="K725" i="5"/>
  <c r="L723" i="5"/>
  <c r="Q722" i="5"/>
  <c r="L724" i="5" l="1"/>
  <c r="Q723" i="5"/>
  <c r="K726" i="5"/>
  <c r="N725" i="5"/>
  <c r="C722" i="5"/>
  <c r="I721" i="5"/>
  <c r="F721" i="5"/>
  <c r="I722" i="5" l="1"/>
  <c r="C723" i="5"/>
  <c r="F722" i="5"/>
  <c r="N726" i="5"/>
  <c r="K727" i="5"/>
  <c r="L725" i="5"/>
  <c r="Q724" i="5"/>
  <c r="L726" i="5" l="1"/>
  <c r="Q725" i="5"/>
  <c r="F723" i="5"/>
  <c r="C724" i="5"/>
  <c r="I723" i="5"/>
  <c r="N727" i="5"/>
  <c r="K728" i="5"/>
  <c r="K729" i="5" l="1"/>
  <c r="N728" i="5"/>
  <c r="C725" i="5"/>
  <c r="I724" i="5"/>
  <c r="F724" i="5"/>
  <c r="L727" i="5"/>
  <c r="Q726" i="5"/>
  <c r="C726" i="5" l="1"/>
  <c r="I725" i="5"/>
  <c r="F725" i="5"/>
  <c r="L728" i="5"/>
  <c r="Q727" i="5"/>
  <c r="K730" i="5"/>
  <c r="N729" i="5"/>
  <c r="L729" i="5" l="1"/>
  <c r="Q728" i="5"/>
  <c r="N730" i="5"/>
  <c r="K731" i="5"/>
  <c r="I726" i="5"/>
  <c r="C727" i="5"/>
  <c r="F726" i="5"/>
  <c r="N731" i="5" l="1"/>
  <c r="K732" i="5"/>
  <c r="C728" i="5"/>
  <c r="F727" i="5"/>
  <c r="I727" i="5"/>
  <c r="L730" i="5"/>
  <c r="Q729" i="5"/>
  <c r="L731" i="5" l="1"/>
  <c r="Q730" i="5"/>
  <c r="I728" i="5"/>
  <c r="F728" i="5"/>
  <c r="C729" i="5"/>
  <c r="N732" i="5"/>
  <c r="K733" i="5"/>
  <c r="K734" i="5" l="1"/>
  <c r="N733" i="5"/>
  <c r="I729" i="5"/>
  <c r="C730" i="5"/>
  <c r="F729" i="5"/>
  <c r="L732" i="5"/>
  <c r="Q731" i="5"/>
  <c r="L733" i="5" l="1"/>
  <c r="Q732" i="5"/>
  <c r="C731" i="5"/>
  <c r="F730" i="5"/>
  <c r="I730" i="5"/>
  <c r="N734" i="5"/>
  <c r="K735" i="5"/>
  <c r="F731" i="5" l="1"/>
  <c r="I731" i="5"/>
  <c r="C732" i="5"/>
  <c r="N735" i="5"/>
  <c r="K736" i="5"/>
  <c r="L734" i="5"/>
  <c r="Q733" i="5"/>
  <c r="L735" i="5" l="1"/>
  <c r="Q734" i="5"/>
  <c r="C733" i="5"/>
  <c r="I732" i="5"/>
  <c r="F732" i="5"/>
  <c r="K737" i="5"/>
  <c r="N736" i="5"/>
  <c r="N737" i="5" l="1"/>
  <c r="K738" i="5"/>
  <c r="I733" i="5"/>
  <c r="C734" i="5"/>
  <c r="F733" i="5"/>
  <c r="L736" i="5"/>
  <c r="Q735" i="5"/>
  <c r="L737" i="5" l="1"/>
  <c r="Q736" i="5"/>
  <c r="K739" i="5"/>
  <c r="N738" i="5"/>
  <c r="F734" i="5"/>
  <c r="C735" i="5"/>
  <c r="I734" i="5"/>
  <c r="K740" i="5" l="1"/>
  <c r="N739" i="5"/>
  <c r="F735" i="5"/>
  <c r="C736" i="5"/>
  <c r="I735" i="5"/>
  <c r="L738" i="5"/>
  <c r="Q737" i="5"/>
  <c r="I736" i="5" l="1"/>
  <c r="C737" i="5"/>
  <c r="F736" i="5"/>
  <c r="L739" i="5"/>
  <c r="Q738" i="5"/>
  <c r="K741" i="5"/>
  <c r="N740" i="5"/>
  <c r="N741" i="5" l="1"/>
  <c r="K742" i="5"/>
  <c r="I737" i="5"/>
  <c r="C738" i="5"/>
  <c r="F737" i="5"/>
  <c r="L740" i="5"/>
  <c r="Q739" i="5"/>
  <c r="L741" i="5" l="1"/>
  <c r="Q740" i="5"/>
  <c r="N742" i="5"/>
  <c r="K743" i="5"/>
  <c r="C739" i="5"/>
  <c r="I738" i="5"/>
  <c r="F738" i="5"/>
  <c r="N743" i="5" l="1"/>
  <c r="K744" i="5"/>
  <c r="C740" i="5"/>
  <c r="I739" i="5"/>
  <c r="F739" i="5"/>
  <c r="L742" i="5"/>
  <c r="Q741" i="5"/>
  <c r="L743" i="5" l="1"/>
  <c r="Q742" i="5"/>
  <c r="K745" i="5"/>
  <c r="N744" i="5"/>
  <c r="I740" i="5"/>
  <c r="C741" i="5"/>
  <c r="F740" i="5"/>
  <c r="K746" i="5" l="1"/>
  <c r="N745" i="5"/>
  <c r="C742" i="5"/>
  <c r="F741" i="5"/>
  <c r="I741" i="5"/>
  <c r="L744" i="5"/>
  <c r="Q743" i="5"/>
  <c r="L745" i="5" l="1"/>
  <c r="Q744" i="5"/>
  <c r="F742" i="5"/>
  <c r="C743" i="5"/>
  <c r="I742" i="5"/>
  <c r="N746" i="5"/>
  <c r="K747" i="5"/>
  <c r="C744" i="5" l="1"/>
  <c r="I743" i="5"/>
  <c r="F743" i="5"/>
  <c r="K748" i="5"/>
  <c r="N747" i="5"/>
  <c r="L746" i="5"/>
  <c r="Q745" i="5"/>
  <c r="L747" i="5" l="1"/>
  <c r="Q746" i="5"/>
  <c r="N748" i="5"/>
  <c r="K749" i="5"/>
  <c r="I744" i="5"/>
  <c r="F744" i="5"/>
  <c r="C745" i="5"/>
  <c r="K750" i="5" l="1"/>
  <c r="N749" i="5"/>
  <c r="F745" i="5"/>
  <c r="C746" i="5"/>
  <c r="I745" i="5"/>
  <c r="L748" i="5"/>
  <c r="Q747" i="5"/>
  <c r="L749" i="5" l="1"/>
  <c r="Q748" i="5"/>
  <c r="C747" i="5"/>
  <c r="I746" i="5"/>
  <c r="F746" i="5"/>
  <c r="K751" i="5"/>
  <c r="N750" i="5"/>
  <c r="K752" i="5" l="1"/>
  <c r="N751" i="5"/>
  <c r="I747" i="5"/>
  <c r="C748" i="5"/>
  <c r="F747" i="5"/>
  <c r="L750" i="5"/>
  <c r="Q749" i="5"/>
  <c r="I748" i="5" l="1"/>
  <c r="C749" i="5"/>
  <c r="F748" i="5"/>
  <c r="L751" i="5"/>
  <c r="Q750" i="5"/>
  <c r="K753" i="5"/>
  <c r="N752" i="5"/>
  <c r="N753" i="5" l="1"/>
  <c r="K754" i="5"/>
  <c r="L752" i="5"/>
  <c r="Q751" i="5"/>
  <c r="C750" i="5"/>
  <c r="F749" i="5"/>
  <c r="I749" i="5"/>
  <c r="C751" i="5" l="1"/>
  <c r="I750" i="5"/>
  <c r="F750" i="5"/>
  <c r="L753" i="5"/>
  <c r="Q752" i="5"/>
  <c r="N754" i="5"/>
  <c r="K755" i="5"/>
  <c r="N755" i="5" l="1"/>
  <c r="K756" i="5"/>
  <c r="L754" i="5"/>
  <c r="Q753" i="5"/>
  <c r="I751" i="5"/>
  <c r="F751" i="5"/>
  <c r="C752" i="5"/>
  <c r="L755" i="5" l="1"/>
  <c r="Q754" i="5"/>
  <c r="C753" i="5"/>
  <c r="F752" i="5"/>
  <c r="I752" i="5"/>
  <c r="K757" i="5"/>
  <c r="N756" i="5"/>
  <c r="N757" i="5" l="1"/>
  <c r="K758" i="5"/>
  <c r="F753" i="5"/>
  <c r="I753" i="5"/>
  <c r="C754" i="5"/>
  <c r="L756" i="5"/>
  <c r="Q755" i="5"/>
  <c r="C755" i="5" l="1"/>
  <c r="I754" i="5"/>
  <c r="F754" i="5"/>
  <c r="L757" i="5"/>
  <c r="Q756" i="5"/>
  <c r="K759" i="5"/>
  <c r="N758" i="5"/>
  <c r="K760" i="5" l="1"/>
  <c r="N759" i="5"/>
  <c r="L758" i="5"/>
  <c r="Q757" i="5"/>
  <c r="I755" i="5"/>
  <c r="C756" i="5"/>
  <c r="F755" i="5"/>
  <c r="L759" i="5" l="1"/>
  <c r="Q758" i="5"/>
  <c r="F756" i="5"/>
  <c r="C757" i="5"/>
  <c r="I756" i="5"/>
  <c r="K761" i="5"/>
  <c r="N760" i="5"/>
  <c r="C758" i="5" l="1"/>
  <c r="I757" i="5"/>
  <c r="F757" i="5"/>
  <c r="K762" i="5"/>
  <c r="N761" i="5"/>
  <c r="L760" i="5"/>
  <c r="Q759" i="5"/>
  <c r="L761" i="5" l="1"/>
  <c r="Q760" i="5"/>
  <c r="N762" i="5"/>
  <c r="K763" i="5"/>
  <c r="I758" i="5"/>
  <c r="F758" i="5"/>
  <c r="C759" i="5"/>
  <c r="I759" i="5" l="1"/>
  <c r="C760" i="5"/>
  <c r="F759" i="5"/>
  <c r="K764" i="5"/>
  <c r="N763" i="5"/>
  <c r="L762" i="5"/>
  <c r="Q761" i="5"/>
  <c r="N764" i="5" l="1"/>
  <c r="K765" i="5"/>
  <c r="L763" i="5"/>
  <c r="Q762" i="5"/>
  <c r="C761" i="5"/>
  <c r="I760" i="5"/>
  <c r="F760" i="5"/>
  <c r="L764" i="5" l="1"/>
  <c r="Q763" i="5"/>
  <c r="C762" i="5"/>
  <c r="I761" i="5"/>
  <c r="F761" i="5"/>
  <c r="N765" i="5"/>
  <c r="K766" i="5"/>
  <c r="K767" i="5" l="1"/>
  <c r="N766" i="5"/>
  <c r="I762" i="5"/>
  <c r="C763" i="5"/>
  <c r="F762" i="5"/>
  <c r="L765" i="5"/>
  <c r="Q764" i="5"/>
  <c r="C764" i="5" l="1"/>
  <c r="F763" i="5"/>
  <c r="I763" i="5"/>
  <c r="L766" i="5"/>
  <c r="Q765" i="5"/>
  <c r="N767" i="5"/>
  <c r="K768" i="5"/>
  <c r="N768" i="5" l="1"/>
  <c r="K769" i="5"/>
  <c r="L767" i="5"/>
  <c r="Q766" i="5"/>
  <c r="F764" i="5"/>
  <c r="C765" i="5"/>
  <c r="I764" i="5"/>
  <c r="F765" i="5" l="1"/>
  <c r="C766" i="5"/>
  <c r="I765" i="5"/>
  <c r="L768" i="5"/>
  <c r="Q767" i="5"/>
  <c r="K770" i="5"/>
  <c r="N769" i="5"/>
  <c r="L769" i="5" l="1"/>
  <c r="Q768" i="5"/>
  <c r="N770" i="5"/>
  <c r="K771" i="5"/>
  <c r="I766" i="5"/>
  <c r="F766" i="5"/>
  <c r="C767" i="5"/>
  <c r="K772" i="5" l="1"/>
  <c r="N771" i="5"/>
  <c r="F767" i="5"/>
  <c r="C768" i="5"/>
  <c r="I767" i="5"/>
  <c r="L770" i="5"/>
  <c r="Q769" i="5"/>
  <c r="F768" i="5" l="1"/>
  <c r="C769" i="5"/>
  <c r="I768" i="5"/>
  <c r="L771" i="5"/>
  <c r="Q770" i="5"/>
  <c r="K773" i="5"/>
  <c r="N772" i="5"/>
  <c r="L772" i="5" l="1"/>
  <c r="Q771" i="5"/>
  <c r="N773" i="5"/>
  <c r="K774" i="5"/>
  <c r="I769" i="5"/>
  <c r="F769" i="5"/>
  <c r="C770" i="5"/>
  <c r="I770" i="5" l="1"/>
  <c r="C771" i="5"/>
  <c r="F770" i="5"/>
  <c r="K775" i="5"/>
  <c r="N774" i="5"/>
  <c r="L773" i="5"/>
  <c r="Q772" i="5"/>
  <c r="N775" i="5" l="1"/>
  <c r="K776" i="5"/>
  <c r="L774" i="5"/>
  <c r="Q773" i="5"/>
  <c r="C772" i="5"/>
  <c r="F771" i="5"/>
  <c r="I771" i="5"/>
  <c r="C773" i="5" l="1"/>
  <c r="I772" i="5"/>
  <c r="F772" i="5"/>
  <c r="N776" i="5"/>
  <c r="K777" i="5"/>
  <c r="L775" i="5"/>
  <c r="Q774" i="5"/>
  <c r="K778" i="5" l="1"/>
  <c r="N777" i="5"/>
  <c r="L776" i="5"/>
  <c r="Q775" i="5"/>
  <c r="I773" i="5"/>
  <c r="F773" i="5"/>
  <c r="C774" i="5"/>
  <c r="L777" i="5" l="1"/>
  <c r="Q776" i="5"/>
  <c r="C775" i="5"/>
  <c r="F774" i="5"/>
  <c r="I774" i="5"/>
  <c r="K779" i="5"/>
  <c r="N778" i="5"/>
  <c r="N779" i="5" l="1"/>
  <c r="K780" i="5"/>
  <c r="F775" i="5"/>
  <c r="C776" i="5"/>
  <c r="I775" i="5"/>
  <c r="L778" i="5"/>
  <c r="Q777" i="5"/>
  <c r="L779" i="5" l="1"/>
  <c r="Q778" i="5"/>
  <c r="I776" i="5"/>
  <c r="F776" i="5"/>
  <c r="C777" i="5"/>
  <c r="K781" i="5"/>
  <c r="N780" i="5"/>
  <c r="I777" i="5" l="1"/>
  <c r="F777" i="5"/>
  <c r="C778" i="5"/>
  <c r="K782" i="5"/>
  <c r="N781" i="5"/>
  <c r="L780" i="5"/>
  <c r="Q779" i="5"/>
  <c r="L781" i="5" l="1"/>
  <c r="Q780" i="5"/>
  <c r="K783" i="5"/>
  <c r="N782" i="5"/>
  <c r="F778" i="5"/>
  <c r="C779" i="5"/>
  <c r="I778" i="5"/>
  <c r="K784" i="5" l="1"/>
  <c r="N783" i="5"/>
  <c r="I779" i="5"/>
  <c r="F779" i="5"/>
  <c r="C780" i="5"/>
  <c r="L782" i="5"/>
  <c r="Q781" i="5"/>
  <c r="I780" i="5" l="1"/>
  <c r="F780" i="5"/>
  <c r="C781" i="5"/>
  <c r="L783" i="5"/>
  <c r="Q782" i="5"/>
  <c r="K785" i="5"/>
  <c r="N784" i="5"/>
  <c r="L784" i="5" l="1"/>
  <c r="Q783" i="5"/>
  <c r="K786" i="5"/>
  <c r="N785" i="5"/>
  <c r="I781" i="5"/>
  <c r="C782" i="5"/>
  <c r="F781" i="5"/>
  <c r="N786" i="5" l="1"/>
  <c r="K787" i="5"/>
  <c r="C783" i="5"/>
  <c r="F782" i="5"/>
  <c r="I782" i="5"/>
  <c r="L785" i="5"/>
  <c r="Q784" i="5"/>
  <c r="C784" i="5" l="1"/>
  <c r="I783" i="5"/>
  <c r="F783" i="5"/>
  <c r="L786" i="5"/>
  <c r="Q785" i="5"/>
  <c r="N787" i="5"/>
  <c r="K788" i="5"/>
  <c r="K789" i="5" l="1"/>
  <c r="N788" i="5"/>
  <c r="L787" i="5"/>
  <c r="Q786" i="5"/>
  <c r="I784" i="5"/>
  <c r="C785" i="5"/>
  <c r="F784" i="5"/>
  <c r="C786" i="5" l="1"/>
  <c r="F785" i="5"/>
  <c r="I785" i="5"/>
  <c r="L788" i="5"/>
  <c r="Q787" i="5"/>
  <c r="K790" i="5"/>
  <c r="N789" i="5"/>
  <c r="N790" i="5" l="1"/>
  <c r="K791" i="5"/>
  <c r="L789" i="5"/>
  <c r="Q788" i="5"/>
  <c r="F786" i="5"/>
  <c r="C787" i="5"/>
  <c r="I786" i="5"/>
  <c r="C788" i="5" l="1"/>
  <c r="I787" i="5"/>
  <c r="F787" i="5"/>
  <c r="L790" i="5"/>
  <c r="Q789" i="5"/>
  <c r="K792" i="5"/>
  <c r="N791" i="5"/>
  <c r="L791" i="5" l="1"/>
  <c r="Q790" i="5"/>
  <c r="K793" i="5"/>
  <c r="N792" i="5"/>
  <c r="I788" i="5"/>
  <c r="F788" i="5"/>
  <c r="C789" i="5"/>
  <c r="K794" i="5" l="1"/>
  <c r="N793" i="5"/>
  <c r="F789" i="5"/>
  <c r="C790" i="5"/>
  <c r="I789" i="5"/>
  <c r="L792" i="5"/>
  <c r="Q791" i="5"/>
  <c r="C791" i="5" l="1"/>
  <c r="I790" i="5"/>
  <c r="F790" i="5"/>
  <c r="L793" i="5"/>
  <c r="Q792" i="5"/>
  <c r="K795" i="5"/>
  <c r="N794" i="5"/>
  <c r="L794" i="5" l="1"/>
  <c r="Q793" i="5"/>
  <c r="K796" i="5"/>
  <c r="N795" i="5"/>
  <c r="I791" i="5"/>
  <c r="F791" i="5"/>
  <c r="C792" i="5"/>
  <c r="K797" i="5" l="1"/>
  <c r="N796" i="5"/>
  <c r="I792" i="5"/>
  <c r="C793" i="5"/>
  <c r="F792" i="5"/>
  <c r="L795" i="5"/>
  <c r="Q794" i="5"/>
  <c r="L796" i="5" l="1"/>
  <c r="Q795" i="5"/>
  <c r="C794" i="5"/>
  <c r="F793" i="5"/>
  <c r="I793" i="5"/>
  <c r="N797" i="5"/>
  <c r="K798" i="5"/>
  <c r="I794" i="5" l="1"/>
  <c r="F794" i="5"/>
  <c r="C795" i="5"/>
  <c r="N798" i="5"/>
  <c r="K799" i="5"/>
  <c r="L797" i="5"/>
  <c r="Q796" i="5"/>
  <c r="L798" i="5" l="1"/>
  <c r="Q797" i="5"/>
  <c r="K800" i="5"/>
  <c r="N799" i="5"/>
  <c r="I795" i="5"/>
  <c r="C796" i="5"/>
  <c r="F795" i="5"/>
  <c r="N800" i="5" l="1"/>
  <c r="K801" i="5"/>
  <c r="C797" i="5"/>
  <c r="F796" i="5"/>
  <c r="I796" i="5"/>
  <c r="L799" i="5"/>
  <c r="Q798" i="5"/>
  <c r="L800" i="5" l="1"/>
  <c r="Q799" i="5"/>
  <c r="N801" i="5"/>
  <c r="K802" i="5"/>
  <c r="F797" i="5"/>
  <c r="C798" i="5"/>
  <c r="I797" i="5"/>
  <c r="K803" i="5" l="1"/>
  <c r="N802" i="5"/>
  <c r="C799" i="5"/>
  <c r="I798" i="5"/>
  <c r="F798" i="5"/>
  <c r="L801" i="5"/>
  <c r="Q800" i="5"/>
  <c r="I799" i="5" l="1"/>
  <c r="F799" i="5"/>
  <c r="C800" i="5"/>
  <c r="L802" i="5"/>
  <c r="Q801" i="5"/>
  <c r="K804" i="5"/>
  <c r="N803" i="5"/>
  <c r="K805" i="5" l="1"/>
  <c r="N804" i="5"/>
  <c r="L803" i="5"/>
  <c r="Q802" i="5"/>
  <c r="F800" i="5"/>
  <c r="C801" i="5"/>
  <c r="I800" i="5"/>
  <c r="L804" i="5" l="1"/>
  <c r="Q803" i="5"/>
  <c r="C802" i="5"/>
  <c r="I801" i="5"/>
  <c r="F801" i="5"/>
  <c r="K806" i="5"/>
  <c r="N805" i="5"/>
  <c r="I802" i="5" l="1"/>
  <c r="F802" i="5"/>
  <c r="C803" i="5"/>
  <c r="N806" i="5"/>
  <c r="K807" i="5"/>
  <c r="L805" i="5"/>
  <c r="Q804" i="5"/>
  <c r="K808" i="5" l="1"/>
  <c r="N807" i="5"/>
  <c r="L806" i="5"/>
  <c r="Q805" i="5"/>
  <c r="I803" i="5"/>
  <c r="C804" i="5"/>
  <c r="F803" i="5"/>
  <c r="L807" i="5" l="1"/>
  <c r="Q806" i="5"/>
  <c r="C805" i="5"/>
  <c r="F804" i="5"/>
  <c r="I804" i="5"/>
  <c r="N808" i="5"/>
  <c r="K809" i="5"/>
  <c r="N809" i="5" l="1"/>
  <c r="K810" i="5"/>
  <c r="I805" i="5"/>
  <c r="C806" i="5"/>
  <c r="F805" i="5"/>
  <c r="L808" i="5"/>
  <c r="Q807" i="5"/>
  <c r="I806" i="5" l="1"/>
  <c r="C807" i="5"/>
  <c r="F806" i="5"/>
  <c r="L809" i="5"/>
  <c r="Q808" i="5"/>
  <c r="K811" i="5"/>
  <c r="N810" i="5"/>
  <c r="L810" i="5" l="1"/>
  <c r="Q809" i="5"/>
  <c r="N811" i="5"/>
  <c r="K812" i="5"/>
  <c r="C808" i="5"/>
  <c r="F807" i="5"/>
  <c r="I807" i="5"/>
  <c r="F808" i="5" l="1"/>
  <c r="C809" i="5"/>
  <c r="I808" i="5"/>
  <c r="N812" i="5"/>
  <c r="K813" i="5"/>
  <c r="L811" i="5"/>
  <c r="Q810" i="5"/>
  <c r="K814" i="5" l="1"/>
  <c r="N813" i="5"/>
  <c r="L812" i="5"/>
  <c r="Q811" i="5"/>
  <c r="I809" i="5"/>
  <c r="F809" i="5"/>
  <c r="C810" i="5"/>
  <c r="L813" i="5" l="1"/>
  <c r="Q812" i="5"/>
  <c r="I810" i="5"/>
  <c r="F810" i="5"/>
  <c r="C811" i="5"/>
  <c r="K815" i="5"/>
  <c r="N814" i="5"/>
  <c r="F811" i="5" l="1"/>
  <c r="C812" i="5"/>
  <c r="I811" i="5"/>
  <c r="K816" i="5"/>
  <c r="N815" i="5"/>
  <c r="L814" i="5"/>
  <c r="Q813" i="5"/>
  <c r="K817" i="5" l="1"/>
  <c r="N816" i="5"/>
  <c r="L815" i="5"/>
  <c r="Q814" i="5"/>
  <c r="C813" i="5"/>
  <c r="I812" i="5"/>
  <c r="F812" i="5"/>
  <c r="L816" i="5" l="1"/>
  <c r="Q815" i="5"/>
  <c r="I813" i="5"/>
  <c r="F813" i="5"/>
  <c r="C814" i="5"/>
  <c r="K818" i="5"/>
  <c r="N817" i="5"/>
  <c r="I814" i="5" l="1"/>
  <c r="C815" i="5"/>
  <c r="F814" i="5"/>
  <c r="K819" i="5"/>
  <c r="N818" i="5"/>
  <c r="L817" i="5"/>
  <c r="Q816" i="5"/>
  <c r="L818" i="5" l="1"/>
  <c r="Q817" i="5"/>
  <c r="N819" i="5"/>
  <c r="K820" i="5"/>
  <c r="C816" i="5"/>
  <c r="F815" i="5"/>
  <c r="I815" i="5"/>
  <c r="N820" i="5" l="1"/>
  <c r="K821" i="5"/>
  <c r="I816" i="5"/>
  <c r="F816" i="5"/>
  <c r="C817" i="5"/>
  <c r="L819" i="5"/>
  <c r="Q818" i="5"/>
  <c r="I817" i="5" l="1"/>
  <c r="C818" i="5"/>
  <c r="F817" i="5"/>
  <c r="L820" i="5"/>
  <c r="Q819" i="5"/>
  <c r="K822" i="5"/>
  <c r="N821" i="5"/>
  <c r="L821" i="5" l="1"/>
  <c r="Q820" i="5"/>
  <c r="N822" i="5"/>
  <c r="K823" i="5"/>
  <c r="C819" i="5"/>
  <c r="F818" i="5"/>
  <c r="I818" i="5"/>
  <c r="N823" i="5" l="1"/>
  <c r="K824" i="5"/>
  <c r="F819" i="5"/>
  <c r="C820" i="5"/>
  <c r="I819" i="5"/>
  <c r="L822" i="5"/>
  <c r="Q821" i="5"/>
  <c r="L823" i="5" l="1"/>
  <c r="Q822" i="5"/>
  <c r="K825" i="5"/>
  <c r="N824" i="5"/>
  <c r="C821" i="5"/>
  <c r="I820" i="5"/>
  <c r="F820" i="5"/>
  <c r="K826" i="5" l="1"/>
  <c r="N825" i="5"/>
  <c r="I821" i="5"/>
  <c r="F821" i="5"/>
  <c r="C822" i="5"/>
  <c r="L824" i="5"/>
  <c r="Q823" i="5"/>
  <c r="L825" i="5" l="1"/>
  <c r="Q824" i="5"/>
  <c r="F822" i="5"/>
  <c r="C823" i="5"/>
  <c r="I822" i="5"/>
  <c r="K827" i="5"/>
  <c r="N826" i="5"/>
  <c r="C824" i="5" l="1"/>
  <c r="I823" i="5"/>
  <c r="F823" i="5"/>
  <c r="K828" i="5"/>
  <c r="N827" i="5"/>
  <c r="L826" i="5"/>
  <c r="Q825" i="5"/>
  <c r="N828" i="5" l="1"/>
  <c r="K829" i="5"/>
  <c r="L827" i="5"/>
  <c r="Q826" i="5"/>
  <c r="I824" i="5"/>
  <c r="F824" i="5"/>
  <c r="C825" i="5"/>
  <c r="L828" i="5" l="1"/>
  <c r="Q827" i="5"/>
  <c r="I825" i="5"/>
  <c r="C826" i="5"/>
  <c r="F825" i="5"/>
  <c r="K830" i="5"/>
  <c r="N829" i="5"/>
  <c r="C827" i="5" l="1"/>
  <c r="F826" i="5"/>
  <c r="I826" i="5"/>
  <c r="N830" i="5"/>
  <c r="K831" i="5"/>
  <c r="L829" i="5"/>
  <c r="Q828" i="5"/>
  <c r="L830" i="5" l="1"/>
  <c r="Q829" i="5"/>
  <c r="N831" i="5"/>
  <c r="K832" i="5"/>
  <c r="I827" i="5"/>
  <c r="C828" i="5"/>
  <c r="F827" i="5"/>
  <c r="K833" i="5" l="1"/>
  <c r="N832" i="5"/>
  <c r="I828" i="5"/>
  <c r="C829" i="5"/>
  <c r="F828" i="5"/>
  <c r="L831" i="5"/>
  <c r="Q830" i="5"/>
  <c r="L832" i="5" l="1"/>
  <c r="Q831" i="5"/>
  <c r="C830" i="5"/>
  <c r="F829" i="5"/>
  <c r="I829" i="5"/>
  <c r="N833" i="5"/>
  <c r="K834" i="5"/>
  <c r="F830" i="5" l="1"/>
  <c r="C831" i="5"/>
  <c r="I830" i="5"/>
  <c r="N834" i="5"/>
  <c r="K835" i="5"/>
  <c r="L833" i="5"/>
  <c r="Q832" i="5"/>
  <c r="L834" i="5" l="1"/>
  <c r="Q833" i="5"/>
  <c r="K836" i="5"/>
  <c r="N835" i="5"/>
  <c r="I831" i="5"/>
  <c r="F831" i="5"/>
  <c r="C832" i="5"/>
  <c r="I832" i="5" l="1"/>
  <c r="F832" i="5"/>
  <c r="C833" i="5"/>
  <c r="K837" i="5"/>
  <c r="N836" i="5"/>
  <c r="L835" i="5"/>
  <c r="Q834" i="5"/>
  <c r="K838" i="5" l="1"/>
  <c r="N837" i="5"/>
  <c r="L836" i="5"/>
  <c r="Q835" i="5"/>
  <c r="F833" i="5"/>
  <c r="C834" i="5"/>
  <c r="I833" i="5"/>
  <c r="L837" i="5" l="1"/>
  <c r="Q836" i="5"/>
  <c r="C835" i="5"/>
  <c r="I834" i="5"/>
  <c r="F834" i="5"/>
  <c r="K839" i="5"/>
  <c r="N838" i="5"/>
  <c r="I835" i="5" l="1"/>
  <c r="F835" i="5"/>
  <c r="C836" i="5"/>
  <c r="K840" i="5"/>
  <c r="N839" i="5"/>
  <c r="L838" i="5"/>
  <c r="Q837" i="5"/>
  <c r="L839" i="5" l="1"/>
  <c r="Q838" i="5"/>
  <c r="I836" i="5"/>
  <c r="C837" i="5"/>
  <c r="F836" i="5"/>
  <c r="K841" i="5"/>
  <c r="N840" i="5"/>
  <c r="N841" i="5" l="1"/>
  <c r="K842" i="5"/>
  <c r="C838" i="5"/>
  <c r="F837" i="5"/>
  <c r="I837" i="5"/>
  <c r="L840" i="5"/>
  <c r="Q839" i="5"/>
  <c r="N842" i="5" l="1"/>
  <c r="K843" i="5"/>
  <c r="L841" i="5"/>
  <c r="Q840" i="5"/>
  <c r="I838" i="5"/>
  <c r="F838" i="5"/>
  <c r="C839" i="5"/>
  <c r="L842" i="5" l="1"/>
  <c r="Q841" i="5"/>
  <c r="I839" i="5"/>
  <c r="C840" i="5"/>
  <c r="F839" i="5"/>
  <c r="K844" i="5"/>
  <c r="N843" i="5"/>
  <c r="C841" i="5" l="1"/>
  <c r="F840" i="5"/>
  <c r="I840" i="5"/>
  <c r="N844" i="5"/>
  <c r="K845" i="5"/>
  <c r="L843" i="5"/>
  <c r="Q842" i="5"/>
  <c r="L844" i="5" l="1"/>
  <c r="Q843" i="5"/>
  <c r="N845" i="5"/>
  <c r="K846" i="5"/>
  <c r="F841" i="5"/>
  <c r="C842" i="5"/>
  <c r="I841" i="5"/>
  <c r="C843" i="5" l="1"/>
  <c r="I842" i="5"/>
  <c r="F842" i="5"/>
  <c r="K847" i="5"/>
  <c r="N846" i="5"/>
  <c r="L845" i="5"/>
  <c r="Q844" i="5"/>
  <c r="L846" i="5" l="1"/>
  <c r="Q845" i="5"/>
  <c r="K848" i="5"/>
  <c r="N847" i="5"/>
  <c r="I843" i="5"/>
  <c r="F843" i="5"/>
  <c r="C844" i="5"/>
  <c r="K849" i="5" l="1"/>
  <c r="N848" i="5"/>
  <c r="F844" i="5"/>
  <c r="C845" i="5"/>
  <c r="I844" i="5"/>
  <c r="L847" i="5"/>
  <c r="Q846" i="5"/>
  <c r="C846" i="5" l="1"/>
  <c r="I845" i="5"/>
  <c r="F845" i="5"/>
  <c r="L848" i="5"/>
  <c r="Q847" i="5"/>
  <c r="K850" i="5"/>
  <c r="N849" i="5"/>
  <c r="N850" i="5" l="1"/>
  <c r="K851" i="5"/>
  <c r="L849" i="5"/>
  <c r="Q848" i="5"/>
  <c r="I846" i="5"/>
  <c r="F846" i="5"/>
  <c r="C847" i="5"/>
  <c r="L850" i="5" l="1"/>
  <c r="Q849" i="5"/>
  <c r="I847" i="5"/>
  <c r="C848" i="5"/>
  <c r="F847" i="5"/>
  <c r="K852" i="5"/>
  <c r="N851" i="5"/>
  <c r="N852" i="5" l="1"/>
  <c r="K853" i="5"/>
  <c r="C849" i="5"/>
  <c r="F848" i="5"/>
  <c r="I848" i="5"/>
  <c r="L851" i="5"/>
  <c r="Q850" i="5"/>
  <c r="I849" i="5" l="1"/>
  <c r="C850" i="5"/>
  <c r="F849" i="5"/>
  <c r="L852" i="5"/>
  <c r="Q851" i="5"/>
  <c r="N853" i="5"/>
  <c r="K854" i="5"/>
  <c r="L853" i="5" l="1"/>
  <c r="Q852" i="5"/>
  <c r="I850" i="5"/>
  <c r="C851" i="5"/>
  <c r="F850" i="5"/>
  <c r="K855" i="5"/>
  <c r="N854" i="5"/>
  <c r="N855" i="5" l="1"/>
  <c r="K856" i="5"/>
  <c r="C852" i="5"/>
  <c r="F851" i="5"/>
  <c r="I851" i="5"/>
  <c r="L854" i="5"/>
  <c r="Q853" i="5"/>
  <c r="L855" i="5" l="1"/>
  <c r="Q854" i="5"/>
  <c r="F852" i="5"/>
  <c r="C853" i="5"/>
  <c r="I852" i="5"/>
  <c r="K857" i="5"/>
  <c r="N856" i="5"/>
  <c r="I853" i="5" l="1"/>
  <c r="F853" i="5"/>
  <c r="C854" i="5"/>
  <c r="K858" i="5"/>
  <c r="N857" i="5"/>
  <c r="L856" i="5"/>
  <c r="Q855" i="5"/>
  <c r="L857" i="5" l="1"/>
  <c r="Q856" i="5"/>
  <c r="K859" i="5"/>
  <c r="N858" i="5"/>
  <c r="I854" i="5"/>
  <c r="F854" i="5"/>
  <c r="C855" i="5"/>
  <c r="N859" i="5" l="1"/>
  <c r="K860" i="5"/>
  <c r="F855" i="5"/>
  <c r="C856" i="5"/>
  <c r="I855" i="5"/>
  <c r="L858" i="5"/>
  <c r="Q857" i="5"/>
  <c r="L859" i="5" l="1"/>
  <c r="Q858" i="5"/>
  <c r="C857" i="5"/>
  <c r="I856" i="5"/>
  <c r="F856" i="5"/>
  <c r="N860" i="5"/>
  <c r="K861" i="5"/>
  <c r="N861" i="5" l="1"/>
  <c r="K862" i="5"/>
  <c r="I857" i="5"/>
  <c r="C858" i="5"/>
  <c r="F857" i="5"/>
  <c r="L860" i="5"/>
  <c r="Q859" i="5"/>
  <c r="L861" i="5" l="1"/>
  <c r="Q860" i="5"/>
  <c r="I858" i="5"/>
  <c r="C859" i="5"/>
  <c r="F858" i="5"/>
  <c r="K863" i="5"/>
  <c r="N862" i="5"/>
  <c r="F859" i="5" l="1"/>
  <c r="C860" i="5"/>
  <c r="I859" i="5"/>
  <c r="N863" i="5"/>
  <c r="K864" i="5"/>
  <c r="L862" i="5"/>
  <c r="Q861" i="5"/>
  <c r="K865" i="5" l="1"/>
  <c r="N864" i="5"/>
  <c r="L863" i="5"/>
  <c r="Q862" i="5"/>
  <c r="F860" i="5"/>
  <c r="C861" i="5"/>
  <c r="I860" i="5"/>
  <c r="L864" i="5" l="1"/>
  <c r="Q863" i="5"/>
  <c r="C862" i="5"/>
  <c r="I861" i="5"/>
  <c r="F861" i="5"/>
  <c r="N865" i="5"/>
  <c r="K866" i="5"/>
  <c r="I862" i="5" l="1"/>
  <c r="F862" i="5"/>
  <c r="C863" i="5"/>
  <c r="N866" i="5"/>
  <c r="K867" i="5"/>
  <c r="L865" i="5"/>
  <c r="Q864" i="5"/>
  <c r="K868" i="5" l="1"/>
  <c r="N867" i="5"/>
  <c r="L866" i="5"/>
  <c r="Q865" i="5"/>
  <c r="I863" i="5"/>
  <c r="C864" i="5"/>
  <c r="F863" i="5"/>
  <c r="L867" i="5" l="1"/>
  <c r="Q866" i="5"/>
  <c r="F864" i="5"/>
  <c r="C865" i="5"/>
  <c r="I864" i="5"/>
  <c r="K869" i="5"/>
  <c r="N868" i="5"/>
  <c r="F865" i="5" l="1"/>
  <c r="C866" i="5"/>
  <c r="I865" i="5"/>
  <c r="K870" i="5"/>
  <c r="N869" i="5"/>
  <c r="L868" i="5"/>
  <c r="Q867" i="5"/>
  <c r="N870" i="5" l="1"/>
  <c r="K871" i="5"/>
  <c r="L869" i="5"/>
  <c r="Q868" i="5"/>
  <c r="C867" i="5"/>
  <c r="I866" i="5"/>
  <c r="F866" i="5"/>
  <c r="I867" i="5" l="1"/>
  <c r="F867" i="5"/>
  <c r="C868" i="5"/>
  <c r="L870" i="5"/>
  <c r="Q869" i="5"/>
  <c r="N871" i="5"/>
  <c r="K872" i="5"/>
  <c r="K873" i="5" l="1"/>
  <c r="N872" i="5"/>
  <c r="L871" i="5"/>
  <c r="Q870" i="5"/>
  <c r="I868" i="5"/>
  <c r="C869" i="5"/>
  <c r="F868" i="5"/>
  <c r="L872" i="5" l="1"/>
  <c r="Q871" i="5"/>
  <c r="C870" i="5"/>
  <c r="F869" i="5"/>
  <c r="I869" i="5"/>
  <c r="N873" i="5"/>
  <c r="K874" i="5"/>
  <c r="K875" i="5" l="1"/>
  <c r="N874" i="5"/>
  <c r="I870" i="5"/>
  <c r="F870" i="5"/>
  <c r="C871" i="5"/>
  <c r="L873" i="5"/>
  <c r="Q872" i="5"/>
  <c r="C872" i="5" l="1"/>
  <c r="I871" i="5"/>
  <c r="F871" i="5"/>
  <c r="L874" i="5"/>
  <c r="Q873" i="5"/>
  <c r="N875" i="5"/>
  <c r="K876" i="5"/>
  <c r="L875" i="5" l="1"/>
  <c r="Q874" i="5"/>
  <c r="N876" i="5"/>
  <c r="K877" i="5"/>
  <c r="I872" i="5"/>
  <c r="F872" i="5"/>
  <c r="C873" i="5"/>
  <c r="I873" i="5" l="1"/>
  <c r="F873" i="5"/>
  <c r="C874" i="5"/>
  <c r="K878" i="5"/>
  <c r="N877" i="5"/>
  <c r="L876" i="5"/>
  <c r="Q875" i="5"/>
  <c r="N878" i="5" l="1"/>
  <c r="K879" i="5"/>
  <c r="L877" i="5"/>
  <c r="Q876" i="5"/>
  <c r="C875" i="5"/>
  <c r="F874" i="5"/>
  <c r="I874" i="5"/>
  <c r="F875" i="5" l="1"/>
  <c r="C876" i="5"/>
  <c r="I875" i="5"/>
  <c r="L878" i="5"/>
  <c r="Q877" i="5"/>
  <c r="K880" i="5"/>
  <c r="N879" i="5"/>
  <c r="L879" i="5" l="1"/>
  <c r="Q878" i="5"/>
  <c r="K881" i="5"/>
  <c r="N880" i="5"/>
  <c r="C877" i="5"/>
  <c r="I876" i="5"/>
  <c r="F876" i="5"/>
  <c r="K882" i="5" l="1"/>
  <c r="N881" i="5"/>
  <c r="I877" i="5"/>
  <c r="C878" i="5"/>
  <c r="F877" i="5"/>
  <c r="L880" i="5"/>
  <c r="Q879" i="5"/>
  <c r="C879" i="5" l="1"/>
  <c r="I878" i="5"/>
  <c r="F878" i="5"/>
  <c r="L881" i="5"/>
  <c r="Q880" i="5"/>
  <c r="N882" i="5"/>
  <c r="K883" i="5"/>
  <c r="N883" i="5" l="1"/>
  <c r="K884" i="5"/>
  <c r="L882" i="5"/>
  <c r="Q881" i="5"/>
  <c r="I879" i="5"/>
  <c r="F879" i="5"/>
  <c r="C880" i="5"/>
  <c r="I880" i="5" l="1"/>
  <c r="F880" i="5"/>
  <c r="C881" i="5"/>
  <c r="L883" i="5"/>
  <c r="Q882" i="5"/>
  <c r="K885" i="5"/>
  <c r="N884" i="5"/>
  <c r="L884" i="5" l="1"/>
  <c r="Q883" i="5"/>
  <c r="K886" i="5"/>
  <c r="N885" i="5"/>
  <c r="I881" i="5"/>
  <c r="C882" i="5"/>
  <c r="F881" i="5"/>
  <c r="N886" i="5" l="1"/>
  <c r="K887" i="5"/>
  <c r="C883" i="5"/>
  <c r="I882" i="5"/>
  <c r="F882" i="5"/>
  <c r="L885" i="5"/>
  <c r="Q884" i="5"/>
  <c r="L886" i="5" l="1"/>
  <c r="Q885" i="5"/>
  <c r="N887" i="5"/>
  <c r="K888" i="5"/>
  <c r="C884" i="5"/>
  <c r="I883" i="5"/>
  <c r="F883" i="5"/>
  <c r="I884" i="5" l="1"/>
  <c r="F884" i="5"/>
  <c r="C885" i="5"/>
  <c r="K889" i="5"/>
  <c r="N888" i="5"/>
  <c r="L887" i="5"/>
  <c r="Q886" i="5"/>
  <c r="K890" i="5" l="1"/>
  <c r="N889" i="5"/>
  <c r="L888" i="5"/>
  <c r="Q887" i="5"/>
  <c r="I885" i="5"/>
  <c r="C886" i="5"/>
  <c r="F885" i="5"/>
  <c r="L889" i="5" l="1"/>
  <c r="Q888" i="5"/>
  <c r="F886" i="5"/>
  <c r="I886" i="5"/>
  <c r="C887" i="5"/>
  <c r="N890" i="5"/>
  <c r="K891" i="5"/>
  <c r="F887" i="5" l="1"/>
  <c r="C888" i="5"/>
  <c r="I887" i="5"/>
  <c r="K892" i="5"/>
  <c r="N891" i="5"/>
  <c r="L890" i="5"/>
  <c r="Q889" i="5"/>
  <c r="K893" i="5" l="1"/>
  <c r="N892" i="5"/>
  <c r="L891" i="5"/>
  <c r="Q890" i="5"/>
  <c r="C889" i="5"/>
  <c r="I888" i="5"/>
  <c r="F888" i="5"/>
  <c r="L892" i="5" l="1"/>
  <c r="Q891" i="5"/>
  <c r="I889" i="5"/>
  <c r="C890" i="5"/>
  <c r="F889" i="5"/>
  <c r="N893" i="5"/>
  <c r="K894" i="5"/>
  <c r="C891" i="5" l="1"/>
  <c r="I890" i="5"/>
  <c r="F890" i="5"/>
  <c r="K895" i="5"/>
  <c r="N894" i="5"/>
  <c r="L893" i="5"/>
  <c r="Q892" i="5"/>
  <c r="K896" i="5" l="1"/>
  <c r="N895" i="5"/>
  <c r="L894" i="5"/>
  <c r="Q893" i="5"/>
  <c r="I891" i="5"/>
  <c r="F891" i="5"/>
  <c r="C892" i="5"/>
  <c r="L895" i="5" l="1"/>
  <c r="Q894" i="5"/>
  <c r="I892" i="5"/>
  <c r="F892" i="5"/>
  <c r="C893" i="5"/>
  <c r="N896" i="5"/>
  <c r="K897" i="5"/>
  <c r="C894" i="5" l="1"/>
  <c r="F893" i="5"/>
  <c r="I893" i="5"/>
  <c r="N897" i="5"/>
  <c r="K898" i="5"/>
  <c r="L896" i="5"/>
  <c r="Q895" i="5"/>
  <c r="N898" i="5" l="1"/>
  <c r="K899" i="5"/>
  <c r="L897" i="5"/>
  <c r="Q896" i="5"/>
  <c r="F894" i="5"/>
  <c r="C895" i="5"/>
  <c r="I894" i="5"/>
  <c r="L898" i="5" l="1"/>
  <c r="Q897" i="5"/>
  <c r="C896" i="5"/>
  <c r="I895" i="5"/>
  <c r="F895" i="5"/>
  <c r="K900" i="5"/>
  <c r="N899" i="5"/>
  <c r="I896" i="5" l="1"/>
  <c r="C897" i="5"/>
  <c r="F896" i="5"/>
  <c r="K901" i="5"/>
  <c r="N900" i="5"/>
  <c r="L899" i="5"/>
  <c r="Q898" i="5"/>
  <c r="F897" i="5" l="1"/>
  <c r="C898" i="5"/>
  <c r="I897" i="5"/>
  <c r="L900" i="5"/>
  <c r="Q899" i="5"/>
  <c r="N901" i="5"/>
  <c r="K902" i="5"/>
  <c r="L901" i="5" l="1"/>
  <c r="Q900" i="5"/>
  <c r="K903" i="5"/>
  <c r="N902" i="5"/>
  <c r="I898" i="5"/>
  <c r="F898" i="5"/>
  <c r="C899" i="5"/>
  <c r="N903" i="5" l="1"/>
  <c r="K904" i="5"/>
  <c r="I899" i="5"/>
  <c r="C900" i="5"/>
  <c r="F899" i="5"/>
  <c r="L902" i="5"/>
  <c r="Q901" i="5"/>
  <c r="F900" i="5" l="1"/>
  <c r="I900" i="5"/>
  <c r="C901" i="5"/>
  <c r="L903" i="5"/>
  <c r="Q902" i="5"/>
  <c r="N904" i="5"/>
  <c r="K905" i="5"/>
  <c r="K906" i="5" l="1"/>
  <c r="N905" i="5"/>
  <c r="L904" i="5"/>
  <c r="Q903" i="5"/>
  <c r="I901" i="5"/>
  <c r="F901" i="5"/>
  <c r="C902" i="5"/>
  <c r="L905" i="5" l="1"/>
  <c r="Q904" i="5"/>
  <c r="C903" i="5"/>
  <c r="F902" i="5"/>
  <c r="I902" i="5"/>
  <c r="K907" i="5"/>
  <c r="N906" i="5"/>
  <c r="N907" i="5" l="1"/>
  <c r="K908" i="5"/>
  <c r="I903" i="5"/>
  <c r="F903" i="5"/>
  <c r="C904" i="5"/>
  <c r="L906" i="5"/>
  <c r="Q905" i="5"/>
  <c r="C905" i="5" l="1"/>
  <c r="I904" i="5"/>
  <c r="F904" i="5"/>
  <c r="L907" i="5"/>
  <c r="Q906" i="5"/>
  <c r="N908" i="5"/>
  <c r="K909" i="5"/>
  <c r="L908" i="5" l="1"/>
  <c r="Q907" i="5"/>
  <c r="N909" i="5"/>
  <c r="K910" i="5"/>
  <c r="F905" i="5"/>
  <c r="C906" i="5"/>
  <c r="I905" i="5"/>
  <c r="I906" i="5" l="1"/>
  <c r="C907" i="5"/>
  <c r="F906" i="5"/>
  <c r="N910" i="5"/>
  <c r="K911" i="5"/>
  <c r="L909" i="5"/>
  <c r="Q908" i="5"/>
  <c r="L910" i="5" l="1"/>
  <c r="Q909" i="5"/>
  <c r="N911" i="5"/>
  <c r="K912" i="5"/>
  <c r="C908" i="5"/>
  <c r="I907" i="5"/>
  <c r="F907" i="5"/>
  <c r="F908" i="5" l="1"/>
  <c r="C909" i="5"/>
  <c r="I908" i="5"/>
  <c r="N912" i="5"/>
  <c r="K913" i="5"/>
  <c r="L911" i="5"/>
  <c r="Q910" i="5"/>
  <c r="L912" i="5" l="1"/>
  <c r="Q911" i="5"/>
  <c r="K914" i="5"/>
  <c r="N913" i="5"/>
  <c r="C910" i="5"/>
  <c r="I909" i="5"/>
  <c r="F909" i="5"/>
  <c r="K915" i="5" l="1"/>
  <c r="N914" i="5"/>
  <c r="I910" i="5"/>
  <c r="C911" i="5"/>
  <c r="F910" i="5"/>
  <c r="L913" i="5"/>
  <c r="Q912" i="5"/>
  <c r="F911" i="5" l="1"/>
  <c r="C912" i="5"/>
  <c r="I911" i="5"/>
  <c r="L914" i="5"/>
  <c r="Q913" i="5"/>
  <c r="N915" i="5"/>
  <c r="K916" i="5"/>
  <c r="C913" i="5" l="1"/>
  <c r="I912" i="5"/>
  <c r="F912" i="5"/>
  <c r="K917" i="5"/>
  <c r="N916" i="5"/>
  <c r="L915" i="5"/>
  <c r="Q914" i="5"/>
  <c r="L916" i="5" l="1"/>
  <c r="Q915" i="5"/>
  <c r="N917" i="5"/>
  <c r="K918" i="5"/>
  <c r="I913" i="5"/>
  <c r="C914" i="5"/>
  <c r="F913" i="5"/>
  <c r="N918" i="5" l="1"/>
  <c r="K919" i="5"/>
  <c r="I914" i="5"/>
  <c r="C915" i="5"/>
  <c r="F914" i="5"/>
  <c r="L917" i="5"/>
  <c r="Q916" i="5"/>
  <c r="C916" i="5" l="1"/>
  <c r="I915" i="5"/>
  <c r="F915" i="5"/>
  <c r="L918" i="5"/>
  <c r="Q917" i="5"/>
  <c r="K920" i="5"/>
  <c r="N919" i="5"/>
  <c r="L919" i="5" l="1"/>
  <c r="Q918" i="5"/>
  <c r="N920" i="5"/>
  <c r="K921" i="5"/>
  <c r="C917" i="5"/>
  <c r="I916" i="5"/>
  <c r="F916" i="5"/>
  <c r="K922" i="5" l="1"/>
  <c r="N921" i="5"/>
  <c r="I917" i="5"/>
  <c r="C918" i="5"/>
  <c r="F917" i="5"/>
  <c r="L920" i="5"/>
  <c r="Q919" i="5"/>
  <c r="C919" i="5" l="1"/>
  <c r="I918" i="5"/>
  <c r="F918" i="5"/>
  <c r="L921" i="5"/>
  <c r="Q920" i="5"/>
  <c r="N922" i="5"/>
  <c r="K923" i="5"/>
  <c r="N923" i="5" l="1"/>
  <c r="K924" i="5"/>
  <c r="L922" i="5"/>
  <c r="Q921" i="5"/>
  <c r="F919" i="5"/>
  <c r="C920" i="5"/>
  <c r="I919" i="5"/>
  <c r="L923" i="5" l="1"/>
  <c r="Q922" i="5"/>
  <c r="C921" i="5"/>
  <c r="I920" i="5"/>
  <c r="F920" i="5"/>
  <c r="K925" i="5"/>
  <c r="N924" i="5"/>
  <c r="I921" i="5" l="1"/>
  <c r="F921" i="5"/>
  <c r="C922" i="5"/>
  <c r="K926" i="5"/>
  <c r="N925" i="5"/>
  <c r="L924" i="5"/>
  <c r="Q923" i="5"/>
  <c r="N926" i="5" l="1"/>
  <c r="K927" i="5"/>
  <c r="L925" i="5"/>
  <c r="Q924" i="5"/>
  <c r="F922" i="5"/>
  <c r="C923" i="5"/>
  <c r="I922" i="5"/>
  <c r="L926" i="5" l="1"/>
  <c r="Q925" i="5"/>
  <c r="F923" i="5"/>
  <c r="C924" i="5"/>
  <c r="I923" i="5"/>
  <c r="K928" i="5"/>
  <c r="N927" i="5"/>
  <c r="C925" i="5" l="1"/>
  <c r="I924" i="5"/>
  <c r="F924" i="5"/>
  <c r="N928" i="5"/>
  <c r="K929" i="5"/>
  <c r="L927" i="5"/>
  <c r="Q926" i="5"/>
  <c r="L928" i="5" l="1"/>
  <c r="Q927" i="5"/>
  <c r="K930" i="5"/>
  <c r="N929" i="5"/>
  <c r="I925" i="5"/>
  <c r="C926" i="5"/>
  <c r="F925" i="5"/>
  <c r="C927" i="5" l="1"/>
  <c r="I926" i="5"/>
  <c r="F926" i="5"/>
  <c r="N930" i="5"/>
  <c r="K931" i="5"/>
  <c r="L929" i="5"/>
  <c r="Q928" i="5"/>
  <c r="L930" i="5" l="1"/>
  <c r="Q929" i="5"/>
  <c r="N931" i="5"/>
  <c r="K932" i="5"/>
  <c r="F927" i="5"/>
  <c r="C928" i="5"/>
  <c r="I927" i="5"/>
  <c r="K933" i="5" l="1"/>
  <c r="N932" i="5"/>
  <c r="I928" i="5"/>
  <c r="C929" i="5"/>
  <c r="F928" i="5"/>
  <c r="L931" i="5"/>
  <c r="Q930" i="5"/>
  <c r="C930" i="5" l="1"/>
  <c r="F929" i="5"/>
  <c r="I929" i="5"/>
  <c r="L932" i="5"/>
  <c r="Q931" i="5"/>
  <c r="K934" i="5"/>
  <c r="N933" i="5"/>
  <c r="L933" i="5" l="1"/>
  <c r="Q932" i="5"/>
  <c r="N934" i="5"/>
  <c r="K935" i="5"/>
  <c r="F930" i="5"/>
  <c r="C931" i="5"/>
  <c r="I930" i="5"/>
  <c r="F931" i="5" l="1"/>
  <c r="C932" i="5"/>
  <c r="I931" i="5"/>
  <c r="K936" i="5"/>
  <c r="N935" i="5"/>
  <c r="L934" i="5"/>
  <c r="Q933" i="5"/>
  <c r="L935" i="5" l="1"/>
  <c r="Q934" i="5"/>
  <c r="N936" i="5"/>
  <c r="K937" i="5"/>
  <c r="I932" i="5"/>
  <c r="C933" i="5"/>
  <c r="F932" i="5"/>
  <c r="F933" i="5" l="1"/>
  <c r="C934" i="5"/>
  <c r="I933" i="5"/>
  <c r="K938" i="5"/>
  <c r="N937" i="5"/>
  <c r="L936" i="5"/>
  <c r="Q935" i="5"/>
  <c r="K939" i="5" l="1"/>
  <c r="N938" i="5"/>
  <c r="L937" i="5"/>
  <c r="Q936" i="5"/>
  <c r="C935" i="5"/>
  <c r="I934" i="5"/>
  <c r="F934" i="5"/>
  <c r="I935" i="5" l="1"/>
  <c r="F935" i="5"/>
  <c r="C936" i="5"/>
  <c r="L938" i="5"/>
  <c r="Q937" i="5"/>
  <c r="K940" i="5"/>
  <c r="N939" i="5"/>
  <c r="K941" i="5" l="1"/>
  <c r="N940" i="5"/>
  <c r="L939" i="5"/>
  <c r="Q938" i="5"/>
  <c r="I936" i="5"/>
  <c r="C937" i="5"/>
  <c r="F936" i="5"/>
  <c r="C938" i="5" l="1"/>
  <c r="I937" i="5"/>
  <c r="F937" i="5"/>
  <c r="L940" i="5"/>
  <c r="Q939" i="5"/>
  <c r="K942" i="5"/>
  <c r="N941" i="5"/>
  <c r="N942" i="5" l="1"/>
  <c r="K943" i="5"/>
  <c r="L941" i="5"/>
  <c r="Q940" i="5"/>
  <c r="C939" i="5"/>
  <c r="I938" i="5"/>
  <c r="F938" i="5"/>
  <c r="L942" i="5" l="1"/>
  <c r="Q941" i="5"/>
  <c r="I939" i="5"/>
  <c r="F939" i="5"/>
  <c r="C940" i="5"/>
  <c r="K944" i="5"/>
  <c r="N943" i="5"/>
  <c r="C941" i="5" l="1"/>
  <c r="I940" i="5"/>
  <c r="F940" i="5"/>
  <c r="K945" i="5"/>
  <c r="N944" i="5"/>
  <c r="L943" i="5"/>
  <c r="Q942" i="5"/>
  <c r="N945" i="5" l="1"/>
  <c r="K946" i="5"/>
  <c r="L944" i="5"/>
  <c r="Q943" i="5"/>
  <c r="F941" i="5"/>
  <c r="I941" i="5"/>
  <c r="C942" i="5"/>
  <c r="L945" i="5" l="1"/>
  <c r="Q944" i="5"/>
  <c r="C943" i="5"/>
  <c r="I942" i="5"/>
  <c r="F942" i="5"/>
  <c r="K947" i="5"/>
  <c r="N946" i="5"/>
  <c r="I943" i="5" l="1"/>
  <c r="F943" i="5"/>
  <c r="C944" i="5"/>
  <c r="N947" i="5"/>
  <c r="K948" i="5"/>
  <c r="L946" i="5"/>
  <c r="Q945" i="5"/>
  <c r="K949" i="5" l="1"/>
  <c r="N948" i="5"/>
  <c r="L947" i="5"/>
  <c r="Q946" i="5"/>
  <c r="F944" i="5"/>
  <c r="C945" i="5"/>
  <c r="I944" i="5"/>
  <c r="L948" i="5" l="1"/>
  <c r="Q947" i="5"/>
  <c r="I945" i="5"/>
  <c r="F945" i="5"/>
  <c r="C946" i="5"/>
  <c r="K950" i="5"/>
  <c r="N949" i="5"/>
  <c r="C947" i="5" l="1"/>
  <c r="I946" i="5"/>
  <c r="F946" i="5"/>
  <c r="K951" i="5"/>
  <c r="N950" i="5"/>
  <c r="L949" i="5"/>
  <c r="Q948" i="5"/>
  <c r="L950" i="5" l="1"/>
  <c r="Q949" i="5"/>
  <c r="K952" i="5"/>
  <c r="N951" i="5"/>
  <c r="I947" i="5"/>
  <c r="F947" i="5"/>
  <c r="C948" i="5"/>
  <c r="K953" i="5" l="1"/>
  <c r="N952" i="5"/>
  <c r="C949" i="5"/>
  <c r="I948" i="5"/>
  <c r="F948" i="5"/>
  <c r="L951" i="5"/>
  <c r="Q950" i="5"/>
  <c r="I949" i="5" l="1"/>
  <c r="F949" i="5"/>
  <c r="C950" i="5"/>
  <c r="L952" i="5"/>
  <c r="Q951" i="5"/>
  <c r="N953" i="5"/>
  <c r="K954" i="5"/>
  <c r="L953" i="5" l="1"/>
  <c r="Q952" i="5"/>
  <c r="K955" i="5"/>
  <c r="N954" i="5"/>
  <c r="I950" i="5"/>
  <c r="C951" i="5"/>
  <c r="F950" i="5"/>
  <c r="C952" i="5" l="1"/>
  <c r="I951" i="5"/>
  <c r="F951" i="5"/>
  <c r="N955" i="5"/>
  <c r="K956" i="5"/>
  <c r="L954" i="5"/>
  <c r="Q953" i="5"/>
  <c r="K957" i="5" l="1"/>
  <c r="N956" i="5"/>
  <c r="L955" i="5"/>
  <c r="Q954" i="5"/>
  <c r="F952" i="5"/>
  <c r="C953" i="5"/>
  <c r="I952" i="5"/>
  <c r="I953" i="5" l="1"/>
  <c r="F953" i="5"/>
  <c r="C954" i="5"/>
  <c r="L956" i="5"/>
  <c r="Q955" i="5"/>
  <c r="N957" i="5"/>
  <c r="K958" i="5"/>
  <c r="N958" i="5" l="1"/>
  <c r="K959" i="5"/>
  <c r="L957" i="5"/>
  <c r="Q956" i="5"/>
  <c r="C955" i="5"/>
  <c r="I954" i="5"/>
  <c r="F954" i="5"/>
  <c r="L958" i="5" l="1"/>
  <c r="Q957" i="5"/>
  <c r="I955" i="5"/>
  <c r="F955" i="5"/>
  <c r="C956" i="5"/>
  <c r="N959" i="5"/>
  <c r="K960" i="5"/>
  <c r="C957" i="5" l="1"/>
  <c r="I956" i="5"/>
  <c r="F956" i="5"/>
  <c r="K961" i="5"/>
  <c r="N960" i="5"/>
  <c r="L959" i="5"/>
  <c r="Q958" i="5"/>
  <c r="N961" i="5" l="1"/>
  <c r="K962" i="5"/>
  <c r="L960" i="5"/>
  <c r="Q959" i="5"/>
  <c r="C958" i="5"/>
  <c r="I957" i="5"/>
  <c r="F957" i="5"/>
  <c r="I958" i="5" l="1"/>
  <c r="C959" i="5"/>
  <c r="F958" i="5"/>
  <c r="L961" i="5"/>
  <c r="Q960" i="5"/>
  <c r="K963" i="5"/>
  <c r="N962" i="5"/>
  <c r="N963" i="5" l="1"/>
  <c r="K964" i="5"/>
  <c r="L962" i="5"/>
  <c r="Q961" i="5"/>
  <c r="C960" i="5"/>
  <c r="I959" i="5"/>
  <c r="F959" i="5"/>
  <c r="I960" i="5" l="1"/>
  <c r="F960" i="5"/>
  <c r="C961" i="5"/>
  <c r="L963" i="5"/>
  <c r="Q962" i="5"/>
  <c r="N964" i="5"/>
  <c r="K965" i="5"/>
  <c r="C962" i="5" l="1"/>
  <c r="I961" i="5"/>
  <c r="F961" i="5"/>
  <c r="L964" i="5"/>
  <c r="Q963" i="5"/>
  <c r="K966" i="5"/>
  <c r="N965" i="5"/>
  <c r="L965" i="5" l="1"/>
  <c r="Q964" i="5"/>
  <c r="K967" i="5"/>
  <c r="N966" i="5"/>
  <c r="F962" i="5"/>
  <c r="C963" i="5"/>
  <c r="I962" i="5"/>
  <c r="C964" i="5" l="1"/>
  <c r="I963" i="5"/>
  <c r="F963" i="5"/>
  <c r="K968" i="5"/>
  <c r="N967" i="5"/>
  <c r="L966" i="5"/>
  <c r="Q965" i="5"/>
  <c r="L967" i="5" l="1"/>
  <c r="Q966" i="5"/>
  <c r="N968" i="5"/>
  <c r="K969" i="5"/>
  <c r="I964" i="5"/>
  <c r="F964" i="5"/>
  <c r="C965" i="5"/>
  <c r="K970" i="5" l="1"/>
  <c r="N969" i="5"/>
  <c r="F965" i="5"/>
  <c r="C966" i="5"/>
  <c r="I965" i="5"/>
  <c r="L968" i="5"/>
  <c r="Q967" i="5"/>
  <c r="C967" i="5" l="1"/>
  <c r="I966" i="5"/>
  <c r="F966" i="5"/>
  <c r="L969" i="5"/>
  <c r="Q968" i="5"/>
  <c r="N970" i="5"/>
  <c r="K971" i="5"/>
  <c r="L970" i="5" l="1"/>
  <c r="Q969" i="5"/>
  <c r="N971" i="5"/>
  <c r="K972" i="5"/>
  <c r="C968" i="5"/>
  <c r="I967" i="5"/>
  <c r="F967" i="5"/>
  <c r="K973" i="5" l="1"/>
  <c r="N972" i="5"/>
  <c r="I968" i="5"/>
  <c r="F968" i="5"/>
  <c r="C969" i="5"/>
  <c r="L971" i="5"/>
  <c r="Q970" i="5"/>
  <c r="L972" i="5" l="1"/>
  <c r="Q971" i="5"/>
  <c r="I969" i="5"/>
  <c r="C970" i="5"/>
  <c r="F969" i="5"/>
  <c r="K974" i="5"/>
  <c r="N973" i="5"/>
  <c r="N974" i="5" l="1"/>
  <c r="K975" i="5"/>
  <c r="C971" i="5"/>
  <c r="F970" i="5"/>
  <c r="I970" i="5"/>
  <c r="L973" i="5"/>
  <c r="Q972" i="5"/>
  <c r="C972" i="5" l="1"/>
  <c r="I971" i="5"/>
  <c r="F971" i="5"/>
  <c r="L974" i="5"/>
  <c r="Q973" i="5"/>
  <c r="N975" i="5"/>
  <c r="K976" i="5"/>
  <c r="L975" i="5" l="1"/>
  <c r="Q974" i="5"/>
  <c r="N976" i="5"/>
  <c r="K977" i="5"/>
  <c r="I972" i="5"/>
  <c r="F972" i="5"/>
  <c r="C973" i="5"/>
  <c r="I973" i="5" l="1"/>
  <c r="C974" i="5"/>
  <c r="F973" i="5"/>
  <c r="K978" i="5"/>
  <c r="N977" i="5"/>
  <c r="L976" i="5"/>
  <c r="Q975" i="5"/>
  <c r="K979" i="5" l="1"/>
  <c r="N978" i="5"/>
  <c r="L977" i="5"/>
  <c r="Q976" i="5"/>
  <c r="C975" i="5"/>
  <c r="I974" i="5"/>
  <c r="F974" i="5"/>
  <c r="L978" i="5" l="1"/>
  <c r="Q977" i="5"/>
  <c r="F975" i="5"/>
  <c r="C976" i="5"/>
  <c r="I975" i="5"/>
  <c r="K980" i="5"/>
  <c r="N979" i="5"/>
  <c r="C977" i="5" l="1"/>
  <c r="I976" i="5"/>
  <c r="F976" i="5"/>
  <c r="K981" i="5"/>
  <c r="N980" i="5"/>
  <c r="L979" i="5"/>
  <c r="Q978" i="5"/>
  <c r="L980" i="5" l="1"/>
  <c r="Q979" i="5"/>
  <c r="N981" i="5"/>
  <c r="K982" i="5"/>
  <c r="F977" i="5"/>
  <c r="C978" i="5"/>
  <c r="I977" i="5"/>
  <c r="I978" i="5" l="1"/>
  <c r="C979" i="5"/>
  <c r="F978" i="5"/>
  <c r="K983" i="5"/>
  <c r="N982" i="5"/>
  <c r="L981" i="5"/>
  <c r="Q980" i="5"/>
  <c r="N983" i="5" l="1"/>
  <c r="K984" i="5"/>
  <c r="L982" i="5"/>
  <c r="Q981" i="5"/>
  <c r="C980" i="5"/>
  <c r="F979" i="5"/>
  <c r="I979" i="5"/>
  <c r="I980" i="5" l="1"/>
  <c r="C981" i="5"/>
  <c r="F980" i="5"/>
  <c r="L983" i="5"/>
  <c r="Q982" i="5"/>
  <c r="K985" i="5"/>
  <c r="N984" i="5"/>
  <c r="L984" i="5" l="1"/>
  <c r="Q983" i="5"/>
  <c r="K986" i="5"/>
  <c r="N985" i="5"/>
  <c r="C982" i="5"/>
  <c r="I981" i="5"/>
  <c r="F981" i="5"/>
  <c r="N986" i="5" l="1"/>
  <c r="K987" i="5"/>
  <c r="I982" i="5"/>
  <c r="C983" i="5"/>
  <c r="F982" i="5"/>
  <c r="L985" i="5"/>
  <c r="Q984" i="5"/>
  <c r="L986" i="5" l="1"/>
  <c r="Q985" i="5"/>
  <c r="K988" i="5"/>
  <c r="N987" i="5"/>
  <c r="I983" i="5"/>
  <c r="F983" i="5"/>
  <c r="C984" i="5"/>
  <c r="N988" i="5" l="1"/>
  <c r="K989" i="5"/>
  <c r="C985" i="5"/>
  <c r="F984" i="5"/>
  <c r="I984" i="5"/>
  <c r="L987" i="5"/>
  <c r="Q986" i="5"/>
  <c r="C986" i="5" l="1"/>
  <c r="I985" i="5"/>
  <c r="F985" i="5"/>
  <c r="L988" i="5"/>
  <c r="Q987" i="5"/>
  <c r="K990" i="5"/>
  <c r="N989" i="5"/>
  <c r="L989" i="5" l="1"/>
  <c r="Q988" i="5"/>
  <c r="K991" i="5"/>
  <c r="N990" i="5"/>
  <c r="F986" i="5"/>
  <c r="C987" i="5"/>
  <c r="I986" i="5"/>
  <c r="I987" i="5" l="1"/>
  <c r="C988" i="5"/>
  <c r="F987" i="5"/>
  <c r="N991" i="5"/>
  <c r="K992" i="5"/>
  <c r="L990" i="5"/>
  <c r="Q989" i="5"/>
  <c r="K993" i="5" l="1"/>
  <c r="N992" i="5"/>
  <c r="L991" i="5"/>
  <c r="Q990" i="5"/>
  <c r="I988" i="5"/>
  <c r="F988" i="5"/>
  <c r="C989" i="5"/>
  <c r="L992" i="5" l="1"/>
  <c r="Q991" i="5"/>
  <c r="C990" i="5"/>
  <c r="I989" i="5"/>
  <c r="F989" i="5"/>
  <c r="K994" i="5"/>
  <c r="N993" i="5"/>
  <c r="C991" i="5" l="1"/>
  <c r="I990" i="5"/>
  <c r="F990" i="5"/>
  <c r="K995" i="5"/>
  <c r="N994" i="5"/>
  <c r="L993" i="5"/>
  <c r="Q992" i="5"/>
  <c r="K996" i="5" l="1"/>
  <c r="N995" i="5"/>
  <c r="L994" i="5"/>
  <c r="Q993" i="5"/>
  <c r="I991" i="5"/>
  <c r="C992" i="5"/>
  <c r="F991" i="5"/>
  <c r="L995" i="5" l="1"/>
  <c r="Q994" i="5"/>
  <c r="C993" i="5"/>
  <c r="F992" i="5"/>
  <c r="I992" i="5"/>
  <c r="K997" i="5"/>
  <c r="N996" i="5"/>
  <c r="F993" i="5" l="1"/>
  <c r="C994" i="5"/>
  <c r="I993" i="5"/>
  <c r="N997" i="5"/>
  <c r="K998" i="5"/>
  <c r="L996" i="5"/>
  <c r="Q995" i="5"/>
  <c r="L997" i="5" l="1"/>
  <c r="Q996" i="5"/>
  <c r="K999" i="5"/>
  <c r="N998" i="5"/>
  <c r="C995" i="5"/>
  <c r="I994" i="5"/>
  <c r="F994" i="5"/>
  <c r="N999" i="5" l="1"/>
  <c r="K1000" i="5"/>
  <c r="C996" i="5"/>
  <c r="I995" i="5"/>
  <c r="F995" i="5"/>
  <c r="L998" i="5"/>
  <c r="Q997" i="5"/>
  <c r="L999" i="5" l="1"/>
  <c r="Q998" i="5"/>
  <c r="K1001" i="5"/>
  <c r="N1000" i="5"/>
  <c r="I996" i="5"/>
  <c r="C997" i="5"/>
  <c r="F996" i="5"/>
  <c r="K1002" i="5" l="1"/>
  <c r="N1001" i="5"/>
  <c r="F997" i="5"/>
  <c r="C998" i="5"/>
  <c r="I997" i="5"/>
  <c r="L1000" i="5"/>
  <c r="Q999" i="5"/>
  <c r="F998" i="5" l="1"/>
  <c r="I998" i="5"/>
  <c r="C999" i="5"/>
  <c r="L1001" i="5"/>
  <c r="Q1000" i="5"/>
  <c r="N1002" i="5"/>
  <c r="K1003" i="5"/>
  <c r="L1002" i="5" l="1"/>
  <c r="Q1001" i="5"/>
  <c r="K1004" i="5"/>
  <c r="N1003" i="5"/>
  <c r="C1000" i="5"/>
  <c r="I999" i="5"/>
  <c r="F999" i="5"/>
  <c r="I1000" i="5" l="1"/>
  <c r="F1000" i="5"/>
  <c r="C1001" i="5"/>
  <c r="K1005" i="5"/>
  <c r="N1004" i="5"/>
  <c r="L1003" i="5"/>
  <c r="Q1002" i="5"/>
  <c r="L1004" i="5" l="1"/>
  <c r="Q1003" i="5"/>
  <c r="I1001" i="5"/>
  <c r="C1002" i="5"/>
  <c r="F1001" i="5"/>
  <c r="N1005" i="5"/>
  <c r="K1006" i="5"/>
  <c r="N1006" i="5" l="1"/>
  <c r="K1007" i="5"/>
  <c r="I1002" i="5"/>
  <c r="F1002" i="5"/>
  <c r="C1003" i="5"/>
  <c r="L1005" i="5"/>
  <c r="Q1004" i="5"/>
  <c r="L1006" i="5" l="1"/>
  <c r="Q1005" i="5"/>
  <c r="C1004" i="5"/>
  <c r="F1003" i="5"/>
  <c r="I1003" i="5"/>
  <c r="K1008" i="5"/>
  <c r="N1007" i="5"/>
  <c r="C1005" i="5" l="1"/>
  <c r="I1004" i="5"/>
  <c r="F1004" i="5"/>
  <c r="N1008" i="5"/>
  <c r="K1009" i="5"/>
  <c r="L1007" i="5"/>
  <c r="Q1006" i="5"/>
  <c r="L1008" i="5" l="1"/>
  <c r="Q1007" i="5"/>
  <c r="K1010" i="5"/>
  <c r="N1009" i="5"/>
  <c r="I1005" i="5"/>
  <c r="C1006" i="5"/>
  <c r="F1005" i="5"/>
  <c r="N1010" i="5" l="1"/>
  <c r="K1011" i="5"/>
  <c r="C1007" i="5"/>
  <c r="I1006" i="5"/>
  <c r="F1006" i="5"/>
  <c r="L1009" i="5"/>
  <c r="Q1008" i="5"/>
  <c r="L1010" i="5" l="1"/>
  <c r="Q1009" i="5"/>
  <c r="N1011" i="5"/>
  <c r="K1012" i="5"/>
  <c r="C1008" i="5"/>
  <c r="I1007" i="5"/>
  <c r="F1007" i="5"/>
  <c r="K1013" i="5" l="1"/>
  <c r="N1012" i="5"/>
  <c r="I1008" i="5"/>
  <c r="F1008" i="5"/>
  <c r="C1009" i="5"/>
  <c r="L1011" i="5"/>
  <c r="Q1010" i="5"/>
  <c r="L1012" i="5" l="1"/>
  <c r="Q1011" i="5"/>
  <c r="I1009" i="5"/>
  <c r="C1010" i="5"/>
  <c r="F1009" i="5"/>
  <c r="N1013" i="5"/>
  <c r="K1014" i="5"/>
  <c r="N1014" i="5" l="1"/>
  <c r="K1015" i="5"/>
  <c r="I1010" i="5"/>
  <c r="C1011" i="5"/>
  <c r="F1010" i="5"/>
  <c r="L1013" i="5"/>
  <c r="Q1012" i="5"/>
  <c r="L1014" i="5" l="1"/>
  <c r="Q1013" i="5"/>
  <c r="F1011" i="5"/>
  <c r="I1011" i="5"/>
  <c r="C1012" i="5"/>
  <c r="N1015" i="5"/>
  <c r="K1016" i="5"/>
  <c r="F1012" i="5" l="1"/>
  <c r="C1013" i="5"/>
  <c r="I1012" i="5"/>
  <c r="K1017" i="5"/>
  <c r="N1016" i="5"/>
  <c r="L1015" i="5"/>
  <c r="Q1014" i="5"/>
  <c r="N1017" i="5" l="1"/>
  <c r="K1018" i="5"/>
  <c r="L1016" i="5"/>
  <c r="Q1015" i="5"/>
  <c r="I1013" i="5"/>
  <c r="F1013" i="5"/>
  <c r="C1014" i="5"/>
  <c r="L1017" i="5" l="1"/>
  <c r="Q1016" i="5"/>
  <c r="C1015" i="5"/>
  <c r="F1014" i="5"/>
  <c r="I1014" i="5"/>
  <c r="K1019" i="5"/>
  <c r="N1018" i="5"/>
  <c r="N1019" i="5" l="1"/>
  <c r="K1020" i="5"/>
  <c r="C1016" i="5"/>
  <c r="I1015" i="5"/>
  <c r="F1015" i="5"/>
  <c r="L1018" i="5"/>
  <c r="Q1017" i="5"/>
  <c r="L1019" i="5" l="1"/>
  <c r="Q1018" i="5"/>
  <c r="I1016" i="5"/>
  <c r="C1017" i="5"/>
  <c r="F1016" i="5"/>
  <c r="K1021" i="5"/>
  <c r="N1020" i="5"/>
  <c r="C1018" i="5" l="1"/>
  <c r="I1017" i="5"/>
  <c r="F1017" i="5"/>
  <c r="K1022" i="5"/>
  <c r="N1021" i="5"/>
  <c r="L1020" i="5"/>
  <c r="Q1019" i="5"/>
  <c r="N1022" i="5" l="1"/>
  <c r="K1023" i="5"/>
  <c r="L1021" i="5"/>
  <c r="Q1020" i="5"/>
  <c r="I1018" i="5"/>
  <c r="C1019" i="5"/>
  <c r="F1018" i="5"/>
  <c r="L1022" i="5" l="1"/>
  <c r="Q1021" i="5"/>
  <c r="I1019" i="5"/>
  <c r="C1020" i="5"/>
  <c r="F1019" i="5"/>
  <c r="N1023" i="5"/>
  <c r="K1024" i="5"/>
  <c r="K1025" i="5" l="1"/>
  <c r="N1024" i="5"/>
  <c r="I1020" i="5"/>
  <c r="F1020" i="5"/>
  <c r="C1021" i="5"/>
  <c r="L1023" i="5"/>
  <c r="Q1022" i="5"/>
  <c r="I1021" i="5" l="1"/>
  <c r="F1021" i="5"/>
  <c r="C1022" i="5"/>
  <c r="L1024" i="5"/>
  <c r="Q1023" i="5"/>
  <c r="N1025" i="5"/>
  <c r="K1026" i="5"/>
  <c r="L1025" i="5" l="1"/>
  <c r="Q1024" i="5"/>
  <c r="N1026" i="5"/>
  <c r="K1027" i="5"/>
  <c r="F1022" i="5"/>
  <c r="I1022" i="5"/>
  <c r="C1023" i="5"/>
  <c r="K1028" i="5" l="1"/>
  <c r="N1027" i="5"/>
  <c r="F1023" i="5"/>
  <c r="C1024" i="5"/>
  <c r="I1023" i="5"/>
  <c r="L1026" i="5"/>
  <c r="Q1025" i="5"/>
  <c r="L1027" i="5" l="1"/>
  <c r="Q1026" i="5"/>
  <c r="I1024" i="5"/>
  <c r="F1024" i="5"/>
  <c r="C1025" i="5"/>
  <c r="K1029" i="5"/>
  <c r="N1028" i="5"/>
  <c r="C1026" i="5" l="1"/>
  <c r="I1025" i="5"/>
  <c r="F1025" i="5"/>
  <c r="K1030" i="5"/>
  <c r="N1029" i="5"/>
  <c r="L1028" i="5"/>
  <c r="Q1027" i="5"/>
  <c r="L1029" i="5" l="1"/>
  <c r="Q1028" i="5"/>
  <c r="N1030" i="5"/>
  <c r="K1031" i="5"/>
  <c r="F1026" i="5"/>
  <c r="C1027" i="5"/>
  <c r="I1026" i="5"/>
  <c r="K1032" i="5" l="1"/>
  <c r="N1031" i="5"/>
  <c r="I1027" i="5"/>
  <c r="F1027" i="5"/>
  <c r="C1028" i="5"/>
  <c r="L1030" i="5"/>
  <c r="Q1029" i="5"/>
  <c r="L1031" i="5" l="1"/>
  <c r="Q1030" i="5"/>
  <c r="C1029" i="5"/>
  <c r="I1028" i="5"/>
  <c r="F1028" i="5"/>
  <c r="N1032" i="5"/>
  <c r="K1033" i="5"/>
  <c r="I1029" i="5" l="1"/>
  <c r="F1029" i="5"/>
  <c r="C1030" i="5"/>
  <c r="N1033" i="5"/>
  <c r="K1034" i="5"/>
  <c r="L1032" i="5"/>
  <c r="Q1031" i="5"/>
  <c r="L1033" i="5" l="1"/>
  <c r="Q1032" i="5"/>
  <c r="N1034" i="5"/>
  <c r="K1035" i="5"/>
  <c r="I1030" i="5"/>
  <c r="F1030" i="5"/>
  <c r="C1031" i="5"/>
  <c r="K1036" i="5" l="1"/>
  <c r="N1035" i="5"/>
  <c r="C1032" i="5"/>
  <c r="F1031" i="5"/>
  <c r="I1031" i="5"/>
  <c r="L1034" i="5"/>
  <c r="Q1033" i="5"/>
  <c r="L1035" i="5" l="1"/>
  <c r="Q1034" i="5"/>
  <c r="I1032" i="5"/>
  <c r="F1032" i="5"/>
  <c r="C1033" i="5"/>
  <c r="N1036" i="5"/>
  <c r="K1037" i="5"/>
  <c r="N1037" i="5" l="1"/>
  <c r="K1038" i="5"/>
  <c r="C1034" i="5"/>
  <c r="F1033" i="5"/>
  <c r="I1033" i="5"/>
  <c r="L1036" i="5"/>
  <c r="Q1035" i="5"/>
  <c r="L1037" i="5" l="1"/>
  <c r="Q1036" i="5"/>
  <c r="F1034" i="5"/>
  <c r="C1035" i="5"/>
  <c r="I1034" i="5"/>
  <c r="K1039" i="5"/>
  <c r="N1038" i="5"/>
  <c r="K1040" i="5" l="1"/>
  <c r="N1039" i="5"/>
  <c r="I1035" i="5"/>
  <c r="F1035" i="5"/>
  <c r="C1036" i="5"/>
  <c r="L1038" i="5"/>
  <c r="Q1037" i="5"/>
  <c r="L1039" i="5" l="1"/>
  <c r="Q1038" i="5"/>
  <c r="C1037" i="5"/>
  <c r="I1036" i="5"/>
  <c r="F1036" i="5"/>
  <c r="K1041" i="5"/>
  <c r="N1040" i="5"/>
  <c r="C1038" i="5" l="1"/>
  <c r="I1037" i="5"/>
  <c r="F1037" i="5"/>
  <c r="K1042" i="5"/>
  <c r="N1041" i="5"/>
  <c r="L1040" i="5"/>
  <c r="Q1039" i="5"/>
  <c r="L1041" i="5" l="1"/>
  <c r="Q1040" i="5"/>
  <c r="K1043" i="5"/>
  <c r="N1042" i="5"/>
  <c r="I1038" i="5"/>
  <c r="F1038" i="5"/>
  <c r="C1039" i="5"/>
  <c r="N1043" i="5" l="1"/>
  <c r="K1044" i="5"/>
  <c r="C1040" i="5"/>
  <c r="I1039" i="5"/>
  <c r="F1039" i="5"/>
  <c r="L1042" i="5"/>
  <c r="Q1041" i="5"/>
  <c r="I1040" i="5" l="1"/>
  <c r="F1040" i="5"/>
  <c r="C1041" i="5"/>
  <c r="L1043" i="5"/>
  <c r="Q1042" i="5"/>
  <c r="N1044" i="5"/>
  <c r="K1045" i="5"/>
  <c r="K1046" i="5" l="1"/>
  <c r="N1045" i="5"/>
  <c r="L1044" i="5"/>
  <c r="Q1043" i="5"/>
  <c r="F1041" i="5"/>
  <c r="C1042" i="5"/>
  <c r="I1041" i="5"/>
  <c r="L1045" i="5" l="1"/>
  <c r="Q1044" i="5"/>
  <c r="C1043" i="5"/>
  <c r="F1042" i="5"/>
  <c r="I1042" i="5"/>
  <c r="N1046" i="5"/>
  <c r="K1047" i="5"/>
  <c r="I1043" i="5" l="1"/>
  <c r="F1043" i="5"/>
  <c r="C1044" i="5"/>
  <c r="N1047" i="5"/>
  <c r="K1048" i="5"/>
  <c r="L1046" i="5"/>
  <c r="Q1045" i="5"/>
  <c r="L1047" i="5" l="1"/>
  <c r="Q1046" i="5"/>
  <c r="K1049" i="5"/>
  <c r="N1048" i="5"/>
  <c r="F1044" i="5"/>
  <c r="C1045" i="5"/>
  <c r="I1044" i="5"/>
  <c r="N1049" i="5" l="1"/>
  <c r="K1050" i="5"/>
  <c r="F1045" i="5"/>
  <c r="C1046" i="5"/>
  <c r="I1045" i="5"/>
  <c r="L1048" i="5"/>
  <c r="Q1047" i="5"/>
  <c r="L1049" i="5" l="1"/>
  <c r="Q1048" i="5"/>
  <c r="K1051" i="5"/>
  <c r="N1050" i="5"/>
  <c r="C1047" i="5"/>
  <c r="I1046" i="5"/>
  <c r="F1046" i="5"/>
  <c r="N1051" i="5" l="1"/>
  <c r="K1052" i="5"/>
  <c r="F1047" i="5"/>
  <c r="C1048" i="5"/>
  <c r="I1047" i="5"/>
  <c r="L1050" i="5"/>
  <c r="Q1049" i="5"/>
  <c r="L1051" i="5" l="1"/>
  <c r="Q1050" i="5"/>
  <c r="N1052" i="5"/>
  <c r="K1053" i="5"/>
  <c r="F1048" i="5"/>
  <c r="C1049" i="5"/>
  <c r="I1048" i="5"/>
  <c r="N1053" i="5" l="1"/>
  <c r="K1054" i="5"/>
  <c r="I1049" i="5"/>
  <c r="C1050" i="5"/>
  <c r="F1049" i="5"/>
  <c r="L1052" i="5"/>
  <c r="Q1051" i="5"/>
  <c r="L1053" i="5" l="1"/>
  <c r="Q1052" i="5"/>
  <c r="C1051" i="5"/>
  <c r="I1050" i="5"/>
  <c r="F1050" i="5"/>
  <c r="N1054" i="5"/>
  <c r="K1055" i="5"/>
  <c r="I1051" i="5" l="1"/>
  <c r="C1052" i="5"/>
  <c r="F1051" i="5"/>
  <c r="N1055" i="5"/>
  <c r="K1056" i="5"/>
  <c r="L1054" i="5"/>
  <c r="Q1053" i="5"/>
  <c r="L1055" i="5" l="1"/>
  <c r="Q1054" i="5"/>
  <c r="N1056" i="5"/>
  <c r="K1057" i="5"/>
  <c r="C1053" i="5"/>
  <c r="I1052" i="5"/>
  <c r="F1052" i="5"/>
  <c r="I1053" i="5" l="1"/>
  <c r="C1054" i="5"/>
  <c r="F1053" i="5"/>
  <c r="N1057" i="5"/>
  <c r="K1058" i="5"/>
  <c r="L1056" i="5"/>
  <c r="Q1055" i="5"/>
  <c r="N1058" i="5" l="1"/>
  <c r="K1059" i="5"/>
  <c r="L1057" i="5"/>
  <c r="Q1056" i="5"/>
  <c r="C1055" i="5"/>
  <c r="I1054" i="5"/>
  <c r="F1054" i="5"/>
  <c r="I1055" i="5" l="1"/>
  <c r="C1056" i="5"/>
  <c r="F1055" i="5"/>
  <c r="L1058" i="5"/>
  <c r="Q1057" i="5"/>
  <c r="N1059" i="5"/>
  <c r="K1060" i="5"/>
  <c r="L1059" i="5" l="1"/>
  <c r="Q1058" i="5"/>
  <c r="K1061" i="5"/>
  <c r="N1060" i="5"/>
  <c r="I1056" i="5"/>
  <c r="C1057" i="5"/>
  <c r="F1056" i="5"/>
  <c r="N1061" i="5" l="1"/>
  <c r="K1062" i="5"/>
  <c r="C1058" i="5"/>
  <c r="F1057" i="5"/>
  <c r="I1057" i="5"/>
  <c r="L1060" i="5"/>
  <c r="Q1059" i="5"/>
  <c r="L1061" i="5" l="1"/>
  <c r="Q1060" i="5"/>
  <c r="N1062" i="5"/>
  <c r="K1063" i="5"/>
  <c r="F1058" i="5"/>
  <c r="C1059" i="5"/>
  <c r="I1058" i="5"/>
  <c r="N1063" i="5" l="1"/>
  <c r="K1064" i="5"/>
  <c r="I1059" i="5"/>
  <c r="C1060" i="5"/>
  <c r="F1059" i="5"/>
  <c r="L1062" i="5"/>
  <c r="Q1061" i="5"/>
  <c r="L1063" i="5" l="1"/>
  <c r="Q1062" i="5"/>
  <c r="K1065" i="5"/>
  <c r="N1064" i="5"/>
  <c r="I1060" i="5"/>
  <c r="C1061" i="5"/>
  <c r="F1060" i="5"/>
  <c r="N1065" i="5" l="1"/>
  <c r="K1066" i="5"/>
  <c r="C1062" i="5"/>
  <c r="I1061" i="5"/>
  <c r="F1061" i="5"/>
  <c r="L1064" i="5"/>
  <c r="Q1063" i="5"/>
  <c r="L1065" i="5" l="1"/>
  <c r="Q1064" i="5"/>
  <c r="C1063" i="5"/>
  <c r="F1062" i="5"/>
  <c r="I1062" i="5"/>
  <c r="N1066" i="5"/>
  <c r="K1067" i="5"/>
  <c r="I1063" i="5" l="1"/>
  <c r="C1064" i="5"/>
  <c r="F1063" i="5"/>
  <c r="N1067" i="5"/>
  <c r="K1068" i="5"/>
  <c r="L1066" i="5"/>
  <c r="Q1065" i="5"/>
  <c r="K1069" i="5" l="1"/>
  <c r="N1068" i="5"/>
  <c r="L1067" i="5"/>
  <c r="Q1066" i="5"/>
  <c r="C1065" i="5"/>
  <c r="I1064" i="5"/>
  <c r="F1064" i="5"/>
  <c r="L1068" i="5" l="1"/>
  <c r="Q1067" i="5"/>
  <c r="I1065" i="5"/>
  <c r="C1066" i="5"/>
  <c r="F1065" i="5"/>
  <c r="N1069" i="5"/>
  <c r="K1070" i="5"/>
  <c r="N1070" i="5" l="1"/>
  <c r="K1071" i="5"/>
  <c r="I1066" i="5"/>
  <c r="F1066" i="5"/>
  <c r="C1067" i="5"/>
  <c r="L1069" i="5"/>
  <c r="Q1068" i="5"/>
  <c r="L1070" i="5" l="1"/>
  <c r="Q1069" i="5"/>
  <c r="N1071" i="5"/>
  <c r="K1072" i="5"/>
  <c r="I1067" i="5"/>
  <c r="C1068" i="5"/>
  <c r="F1067" i="5"/>
  <c r="N1072" i="5" l="1"/>
  <c r="K1073" i="5"/>
  <c r="C1069" i="5"/>
  <c r="I1068" i="5"/>
  <c r="F1068" i="5"/>
  <c r="L1071" i="5"/>
  <c r="Q1070" i="5"/>
  <c r="L1072" i="5" l="1"/>
  <c r="Q1071" i="5"/>
  <c r="K1074" i="5"/>
  <c r="N1073" i="5"/>
  <c r="C1070" i="5"/>
  <c r="I1069" i="5"/>
  <c r="F1069" i="5"/>
  <c r="N1074" i="5" l="1"/>
  <c r="K1075" i="5"/>
  <c r="I1070" i="5"/>
  <c r="C1071" i="5"/>
  <c r="F1070" i="5"/>
  <c r="L1073" i="5"/>
  <c r="Q1072" i="5"/>
  <c r="I1071" i="5" l="1"/>
  <c r="F1071" i="5"/>
  <c r="C1072" i="5"/>
  <c r="L1074" i="5"/>
  <c r="Q1073" i="5"/>
  <c r="N1075" i="5"/>
  <c r="K1076" i="5"/>
  <c r="L1075" i="5" l="1"/>
  <c r="Q1074" i="5"/>
  <c r="K1077" i="5"/>
  <c r="N1076" i="5"/>
  <c r="C1073" i="5"/>
  <c r="I1072" i="5"/>
  <c r="F1072" i="5"/>
  <c r="N1077" i="5" l="1"/>
  <c r="K1078" i="5"/>
  <c r="I1073" i="5"/>
  <c r="C1074" i="5"/>
  <c r="F1073" i="5"/>
  <c r="L1076" i="5"/>
  <c r="Q1075" i="5"/>
  <c r="I1074" i="5" l="1"/>
  <c r="C1075" i="5"/>
  <c r="F1074" i="5"/>
  <c r="L1077" i="5"/>
  <c r="Q1076" i="5"/>
  <c r="K1079" i="5"/>
  <c r="N1078" i="5"/>
  <c r="L1078" i="5" l="1"/>
  <c r="Q1077" i="5"/>
  <c r="N1079" i="5"/>
  <c r="K1080" i="5"/>
  <c r="I1075" i="5"/>
  <c r="C1076" i="5"/>
  <c r="F1075" i="5"/>
  <c r="F1076" i="5" l="1"/>
  <c r="C1077" i="5"/>
  <c r="I1076" i="5"/>
  <c r="N1080" i="5"/>
  <c r="K1081" i="5"/>
  <c r="L1079" i="5"/>
  <c r="Q1078" i="5"/>
  <c r="N1081" i="5" l="1"/>
  <c r="K1082" i="5"/>
  <c r="L1080" i="5"/>
  <c r="Q1079" i="5"/>
  <c r="C1078" i="5"/>
  <c r="I1077" i="5"/>
  <c r="F1077" i="5"/>
  <c r="L1081" i="5" l="1"/>
  <c r="Q1080" i="5"/>
  <c r="C1079" i="5"/>
  <c r="I1078" i="5"/>
  <c r="F1078" i="5"/>
  <c r="N1082" i="5"/>
  <c r="K1083" i="5"/>
  <c r="I1079" i="5" l="1"/>
  <c r="C1080" i="5"/>
  <c r="F1079" i="5"/>
  <c r="N1083" i="5"/>
  <c r="K1084" i="5"/>
  <c r="L1082" i="5"/>
  <c r="Q1081" i="5"/>
  <c r="K1085" i="5" l="1"/>
  <c r="N1084" i="5"/>
  <c r="L1083" i="5"/>
  <c r="Q1082" i="5"/>
  <c r="C1081" i="5"/>
  <c r="I1080" i="5"/>
  <c r="F1080" i="5"/>
  <c r="L1084" i="5" l="1"/>
  <c r="Q1083" i="5"/>
  <c r="C1082" i="5"/>
  <c r="I1081" i="5"/>
  <c r="F1081" i="5"/>
  <c r="N1085" i="5"/>
  <c r="K1086" i="5"/>
  <c r="K1087" i="5" l="1"/>
  <c r="N1086" i="5"/>
  <c r="I1082" i="5"/>
  <c r="C1083" i="5"/>
  <c r="F1082" i="5"/>
  <c r="L1085" i="5"/>
  <c r="Q1084" i="5"/>
  <c r="C1084" i="5" l="1"/>
  <c r="I1083" i="5"/>
  <c r="F1083" i="5"/>
  <c r="L1086" i="5"/>
  <c r="Q1085" i="5"/>
  <c r="N1087" i="5"/>
  <c r="K1088" i="5"/>
  <c r="L1087" i="5" l="1"/>
  <c r="Q1086" i="5"/>
  <c r="N1088" i="5"/>
  <c r="K1089" i="5"/>
  <c r="I1084" i="5"/>
  <c r="C1085" i="5"/>
  <c r="F1084" i="5"/>
  <c r="N1089" i="5" l="1"/>
  <c r="K1090" i="5"/>
  <c r="F1085" i="5"/>
  <c r="C1086" i="5"/>
  <c r="I1085" i="5"/>
  <c r="L1088" i="5"/>
  <c r="Q1087" i="5"/>
  <c r="C1087" i="5" l="1"/>
  <c r="I1086" i="5"/>
  <c r="F1086" i="5"/>
  <c r="L1089" i="5"/>
  <c r="Q1088" i="5"/>
  <c r="K1091" i="5"/>
  <c r="N1090" i="5"/>
  <c r="L1090" i="5" l="1"/>
  <c r="Q1089" i="5"/>
  <c r="K1092" i="5"/>
  <c r="N1091" i="5"/>
  <c r="C1088" i="5"/>
  <c r="F1087" i="5"/>
  <c r="I1087" i="5"/>
  <c r="K1093" i="5" l="1"/>
  <c r="N1092" i="5"/>
  <c r="F1088" i="5"/>
  <c r="C1089" i="5"/>
  <c r="I1088" i="5"/>
  <c r="L1091" i="5"/>
  <c r="Q1090" i="5"/>
  <c r="F1089" i="5" l="1"/>
  <c r="C1090" i="5"/>
  <c r="I1089" i="5"/>
  <c r="L1092" i="5"/>
  <c r="Q1091" i="5"/>
  <c r="N1093" i="5"/>
  <c r="K1094" i="5"/>
  <c r="N1094" i="5" l="1"/>
  <c r="K1095" i="5"/>
  <c r="L1093" i="5"/>
  <c r="Q1092" i="5"/>
  <c r="F1090" i="5"/>
  <c r="C1091" i="5"/>
  <c r="I1090" i="5"/>
  <c r="I1091" i="5" l="1"/>
  <c r="F1091" i="5"/>
  <c r="C1092" i="5"/>
  <c r="K1096" i="5"/>
  <c r="N1095" i="5"/>
  <c r="L1094" i="5"/>
  <c r="Q1093" i="5"/>
  <c r="L1095" i="5" l="1"/>
  <c r="Q1094" i="5"/>
  <c r="C1093" i="5"/>
  <c r="F1092" i="5"/>
  <c r="I1092" i="5"/>
  <c r="N1096" i="5"/>
  <c r="K1097" i="5"/>
  <c r="N1097" i="5" l="1"/>
  <c r="K1098" i="5"/>
  <c r="I1093" i="5"/>
  <c r="C1094" i="5"/>
  <c r="F1093" i="5"/>
  <c r="L1096" i="5"/>
  <c r="Q1095" i="5"/>
  <c r="L1097" i="5" l="1"/>
  <c r="Q1096" i="5"/>
  <c r="N1098" i="5"/>
  <c r="K1099" i="5"/>
  <c r="C1095" i="5"/>
  <c r="I1094" i="5"/>
  <c r="F1094" i="5"/>
  <c r="N1099" i="5" l="1"/>
  <c r="K1100" i="5"/>
  <c r="C1096" i="5"/>
  <c r="I1095" i="5"/>
  <c r="F1095" i="5"/>
  <c r="L1098" i="5"/>
  <c r="Q1097" i="5"/>
  <c r="C1097" i="5" l="1"/>
  <c r="I1096" i="5"/>
  <c r="F1096" i="5"/>
  <c r="L1099" i="5"/>
  <c r="Q1098" i="5"/>
  <c r="K1101" i="5"/>
  <c r="N1100" i="5"/>
  <c r="L1100" i="5" l="1"/>
  <c r="Q1099" i="5"/>
  <c r="K1102" i="5"/>
  <c r="N1101" i="5"/>
  <c r="C1098" i="5"/>
  <c r="F1097" i="5"/>
  <c r="I1097" i="5"/>
  <c r="K1103" i="5" l="1"/>
  <c r="N1102" i="5"/>
  <c r="F1098" i="5"/>
  <c r="C1099" i="5"/>
  <c r="I1098" i="5"/>
  <c r="L1101" i="5"/>
  <c r="Q1100" i="5"/>
  <c r="L1102" i="5" l="1"/>
  <c r="Q1101" i="5"/>
  <c r="F1099" i="5"/>
  <c r="C1100" i="5"/>
  <c r="I1099" i="5"/>
  <c r="K1104" i="5"/>
  <c r="N1103" i="5"/>
  <c r="I1100" i="5" l="1"/>
  <c r="F1100" i="5"/>
  <c r="C1101" i="5"/>
  <c r="N1104" i="5"/>
  <c r="K1105" i="5"/>
  <c r="L1103" i="5"/>
  <c r="Q1102" i="5"/>
  <c r="K1106" i="5" l="1"/>
  <c r="N1105" i="5"/>
  <c r="L1104" i="5"/>
  <c r="Q1103" i="5"/>
  <c r="F1101" i="5"/>
  <c r="C1102" i="5"/>
  <c r="I1101" i="5"/>
  <c r="L1105" i="5" l="1"/>
  <c r="Q1104" i="5"/>
  <c r="I1102" i="5"/>
  <c r="C1103" i="5"/>
  <c r="F1102" i="5"/>
  <c r="K1107" i="5"/>
  <c r="N1106" i="5"/>
  <c r="I1103" i="5" l="1"/>
  <c r="C1104" i="5"/>
  <c r="F1103" i="5"/>
  <c r="K1108" i="5"/>
  <c r="N1107" i="5"/>
  <c r="L1106" i="5"/>
  <c r="Q1105" i="5"/>
  <c r="L1107" i="5" l="1"/>
  <c r="Q1106" i="5"/>
  <c r="N1108" i="5"/>
  <c r="K1109" i="5"/>
  <c r="I1104" i="5"/>
  <c r="C1105" i="5"/>
  <c r="F1104" i="5"/>
  <c r="K1110" i="5" l="1"/>
  <c r="N1109" i="5"/>
  <c r="C1106" i="5"/>
  <c r="I1105" i="5"/>
  <c r="F1105" i="5"/>
  <c r="L1108" i="5"/>
  <c r="Q1107" i="5"/>
  <c r="I1106" i="5" l="1"/>
  <c r="F1106" i="5"/>
  <c r="C1107" i="5"/>
  <c r="L1109" i="5"/>
  <c r="Q1108" i="5"/>
  <c r="N1110" i="5"/>
  <c r="K1111" i="5"/>
  <c r="L1110" i="5" l="1"/>
  <c r="Q1109" i="5"/>
  <c r="N1111" i="5"/>
  <c r="K1112" i="5"/>
  <c r="F1107" i="5"/>
  <c r="C1108" i="5"/>
  <c r="I1107" i="5"/>
  <c r="N1112" i="5" l="1"/>
  <c r="K1113" i="5"/>
  <c r="F1108" i="5"/>
  <c r="I1108" i="5"/>
  <c r="C1109" i="5"/>
  <c r="L1111" i="5"/>
  <c r="Q1110" i="5"/>
  <c r="L1112" i="5" l="1"/>
  <c r="Q1111" i="5"/>
  <c r="N1113" i="5"/>
  <c r="K1114" i="5"/>
  <c r="F1109" i="5"/>
  <c r="C1110" i="5"/>
  <c r="I1109" i="5"/>
  <c r="K1115" i="5" l="1"/>
  <c r="N1114" i="5"/>
  <c r="F1110" i="5"/>
  <c r="I1110" i="5"/>
  <c r="C1111" i="5"/>
  <c r="L1113" i="5"/>
  <c r="Q1112" i="5"/>
  <c r="I1111" i="5" l="1"/>
  <c r="C1112" i="5"/>
  <c r="F1111" i="5"/>
  <c r="L1114" i="5"/>
  <c r="Q1113" i="5"/>
  <c r="K1116" i="5"/>
  <c r="N1115" i="5"/>
  <c r="L1115" i="5" l="1"/>
  <c r="Q1114" i="5"/>
  <c r="K1117" i="5"/>
  <c r="N1116" i="5"/>
  <c r="F1112" i="5"/>
  <c r="C1113" i="5"/>
  <c r="I1112" i="5"/>
  <c r="K1118" i="5" l="1"/>
  <c r="N1117" i="5"/>
  <c r="C1114" i="5"/>
  <c r="I1113" i="5"/>
  <c r="F1113" i="5"/>
  <c r="L1116" i="5"/>
  <c r="Q1115" i="5"/>
  <c r="C1115" i="5" l="1"/>
  <c r="I1114" i="5"/>
  <c r="F1114" i="5"/>
  <c r="L1117" i="5"/>
  <c r="Q1116" i="5"/>
  <c r="N1118" i="5"/>
  <c r="K1119" i="5"/>
  <c r="N1119" i="5" l="1"/>
  <c r="K1120" i="5"/>
  <c r="L1118" i="5"/>
  <c r="Q1117" i="5"/>
  <c r="I1115" i="5"/>
  <c r="C1116" i="5"/>
  <c r="F1115" i="5"/>
  <c r="C1117" i="5" l="1"/>
  <c r="F1116" i="5"/>
  <c r="I1116" i="5"/>
  <c r="L1119" i="5"/>
  <c r="Q1118" i="5"/>
  <c r="N1120" i="5"/>
  <c r="K1121" i="5"/>
  <c r="N1121" i="5" l="1"/>
  <c r="K1122" i="5"/>
  <c r="L1120" i="5"/>
  <c r="Q1119" i="5"/>
  <c r="C1118" i="5"/>
  <c r="I1117" i="5"/>
  <c r="F1117" i="5"/>
  <c r="L1121" i="5" l="1"/>
  <c r="Q1120" i="5"/>
  <c r="C1119" i="5"/>
  <c r="I1118" i="5"/>
  <c r="F1118" i="5"/>
  <c r="N1122" i="5"/>
  <c r="K1123" i="5"/>
  <c r="C1120" i="5" l="1"/>
  <c r="I1119" i="5"/>
  <c r="F1119" i="5"/>
  <c r="N1123" i="5"/>
  <c r="K1124" i="5"/>
  <c r="L1122" i="5"/>
  <c r="Q1121" i="5"/>
  <c r="K1125" i="5" l="1"/>
  <c r="N1124" i="5"/>
  <c r="L1123" i="5"/>
  <c r="Q1122" i="5"/>
  <c r="F1120" i="5"/>
  <c r="I1120" i="5"/>
  <c r="C1121" i="5"/>
  <c r="C1122" i="5" l="1"/>
  <c r="F1121" i="5"/>
  <c r="I1121" i="5"/>
  <c r="L1124" i="5"/>
  <c r="Q1123" i="5"/>
  <c r="K1126" i="5"/>
  <c r="N1125" i="5"/>
  <c r="L1125" i="5" l="1"/>
  <c r="Q1124" i="5"/>
  <c r="K1127" i="5"/>
  <c r="N1126" i="5"/>
  <c r="I1122" i="5"/>
  <c r="F1122" i="5"/>
  <c r="C1123" i="5"/>
  <c r="K1128" i="5" l="1"/>
  <c r="N1127" i="5"/>
  <c r="F1123" i="5"/>
  <c r="C1124" i="5"/>
  <c r="I1123" i="5"/>
  <c r="L1126" i="5"/>
  <c r="Q1125" i="5"/>
  <c r="L1127" i="5" l="1"/>
  <c r="Q1126" i="5"/>
  <c r="I1124" i="5"/>
  <c r="C1125" i="5"/>
  <c r="F1124" i="5"/>
  <c r="K1129" i="5"/>
  <c r="N1128" i="5"/>
  <c r="N1129" i="5" l="1"/>
  <c r="K1130" i="5"/>
  <c r="I1125" i="5"/>
  <c r="F1125" i="5"/>
  <c r="C1126" i="5"/>
  <c r="L1128" i="5"/>
  <c r="Q1127" i="5"/>
  <c r="L1129" i="5" l="1"/>
  <c r="Q1128" i="5"/>
  <c r="I1126" i="5"/>
  <c r="F1126" i="5"/>
  <c r="C1127" i="5"/>
  <c r="N1130" i="5"/>
  <c r="K1131" i="5"/>
  <c r="C1128" i="5" l="1"/>
  <c r="I1127" i="5"/>
  <c r="F1127" i="5"/>
  <c r="K1132" i="5"/>
  <c r="N1131" i="5"/>
  <c r="L1130" i="5"/>
  <c r="Q1129" i="5"/>
  <c r="L1131" i="5" l="1"/>
  <c r="Q1130" i="5"/>
  <c r="N1132" i="5"/>
  <c r="K1133" i="5"/>
  <c r="I1128" i="5"/>
  <c r="F1128" i="5"/>
  <c r="C1129" i="5"/>
  <c r="C1130" i="5" l="1"/>
  <c r="F1129" i="5"/>
  <c r="I1129" i="5"/>
  <c r="K1134" i="5"/>
  <c r="N1133" i="5"/>
  <c r="L1132" i="5"/>
  <c r="Q1131" i="5"/>
  <c r="L1133" i="5" l="1"/>
  <c r="Q1132" i="5"/>
  <c r="K1135" i="5"/>
  <c r="N1134" i="5"/>
  <c r="I1130" i="5"/>
  <c r="F1130" i="5"/>
  <c r="C1131" i="5"/>
  <c r="N1135" i="5" l="1"/>
  <c r="K1136" i="5"/>
  <c r="F1131" i="5"/>
  <c r="I1131" i="5"/>
  <c r="C1132" i="5"/>
  <c r="L1134" i="5"/>
  <c r="Q1133" i="5"/>
  <c r="F1132" i="5" l="1"/>
  <c r="C1133" i="5"/>
  <c r="I1132" i="5"/>
  <c r="L1135" i="5"/>
  <c r="Q1134" i="5"/>
  <c r="K1137" i="5"/>
  <c r="N1136" i="5"/>
  <c r="L1136" i="5" l="1"/>
  <c r="Q1135" i="5"/>
  <c r="K1138" i="5"/>
  <c r="N1137" i="5"/>
  <c r="I1133" i="5"/>
  <c r="F1133" i="5"/>
  <c r="C1134" i="5"/>
  <c r="F1134" i="5" l="1"/>
  <c r="C1135" i="5"/>
  <c r="I1134" i="5"/>
  <c r="N1138" i="5"/>
  <c r="K1139" i="5"/>
  <c r="L1137" i="5"/>
  <c r="Q1136" i="5"/>
  <c r="L1138" i="5" l="1"/>
  <c r="Q1137" i="5"/>
  <c r="K1140" i="5"/>
  <c r="N1139" i="5"/>
  <c r="F1135" i="5"/>
  <c r="C1136" i="5"/>
  <c r="I1135" i="5"/>
  <c r="C1137" i="5" l="1"/>
  <c r="F1136" i="5"/>
  <c r="I1136" i="5"/>
  <c r="K1141" i="5"/>
  <c r="N1140" i="5"/>
  <c r="L1139" i="5"/>
  <c r="Q1138" i="5"/>
  <c r="N1141" i="5" l="1"/>
  <c r="K1142" i="5"/>
  <c r="L1140" i="5"/>
  <c r="Q1139" i="5"/>
  <c r="I1137" i="5"/>
  <c r="F1137" i="5"/>
  <c r="C1138" i="5"/>
  <c r="L1141" i="5" l="1"/>
  <c r="Q1140" i="5"/>
  <c r="C1139" i="5"/>
  <c r="I1138" i="5"/>
  <c r="F1138" i="5"/>
  <c r="K1143" i="5"/>
  <c r="N1142" i="5"/>
  <c r="F1139" i="5" l="1"/>
  <c r="C1140" i="5"/>
  <c r="I1139" i="5"/>
  <c r="N1143" i="5"/>
  <c r="K1144" i="5"/>
  <c r="L1142" i="5"/>
  <c r="Q1141" i="5"/>
  <c r="N1144" i="5" l="1"/>
  <c r="K1145" i="5"/>
  <c r="L1143" i="5"/>
  <c r="Q1142" i="5"/>
  <c r="C1141" i="5"/>
  <c r="F1140" i="5"/>
  <c r="I1140" i="5"/>
  <c r="C1142" i="5" l="1"/>
  <c r="I1141" i="5"/>
  <c r="F1141" i="5"/>
  <c r="L1144" i="5"/>
  <c r="Q1143" i="5"/>
  <c r="N1145" i="5"/>
  <c r="K1146" i="5"/>
  <c r="L1145" i="5" l="1"/>
  <c r="Q1144" i="5"/>
  <c r="N1146" i="5"/>
  <c r="K1147" i="5"/>
  <c r="F1142" i="5"/>
  <c r="C1143" i="5"/>
  <c r="I1142" i="5"/>
  <c r="K1148" i="5" l="1"/>
  <c r="N1147" i="5"/>
  <c r="C1144" i="5"/>
  <c r="F1143" i="5"/>
  <c r="I1143" i="5"/>
  <c r="L1146" i="5"/>
  <c r="Q1145" i="5"/>
  <c r="I1144" i="5" l="1"/>
  <c r="C1145" i="5"/>
  <c r="F1144" i="5"/>
  <c r="L1147" i="5"/>
  <c r="Q1146" i="5"/>
  <c r="N1148" i="5"/>
  <c r="K1149" i="5"/>
  <c r="K1150" i="5" l="1"/>
  <c r="N1149" i="5"/>
  <c r="L1148" i="5"/>
  <c r="Q1147" i="5"/>
  <c r="F1145" i="5"/>
  <c r="C1146" i="5"/>
  <c r="I1145" i="5"/>
  <c r="L1149" i="5" l="1"/>
  <c r="Q1148" i="5"/>
  <c r="C1147" i="5"/>
  <c r="F1146" i="5"/>
  <c r="I1146" i="5"/>
  <c r="K1151" i="5"/>
  <c r="N1150" i="5"/>
  <c r="I1147" i="5" l="1"/>
  <c r="C1148" i="5"/>
  <c r="F1147" i="5"/>
  <c r="K1152" i="5"/>
  <c r="N1151" i="5"/>
  <c r="L1150" i="5"/>
  <c r="Q1149" i="5"/>
  <c r="K1153" i="5" l="1"/>
  <c r="N1152" i="5"/>
  <c r="L1151" i="5"/>
  <c r="Q1150" i="5"/>
  <c r="I1148" i="5"/>
  <c r="C1149" i="5"/>
  <c r="F1148" i="5"/>
  <c r="L1152" i="5" l="1"/>
  <c r="Q1151" i="5"/>
  <c r="C1150" i="5"/>
  <c r="I1149" i="5"/>
  <c r="F1149" i="5"/>
  <c r="K1154" i="5"/>
  <c r="N1153" i="5"/>
  <c r="C1151" i="5" l="1"/>
  <c r="I1150" i="5"/>
  <c r="F1150" i="5"/>
  <c r="N1154" i="5"/>
  <c r="K1155" i="5"/>
  <c r="L1153" i="5"/>
  <c r="Q1152" i="5"/>
  <c r="K1156" i="5" l="1"/>
  <c r="N1155" i="5"/>
  <c r="L1154" i="5"/>
  <c r="Q1153" i="5"/>
  <c r="I1151" i="5"/>
  <c r="F1151" i="5"/>
  <c r="C1152" i="5"/>
  <c r="L1155" i="5" l="1"/>
  <c r="Q1154" i="5"/>
  <c r="I1152" i="5"/>
  <c r="C1153" i="5"/>
  <c r="F1152" i="5"/>
  <c r="K1157" i="5"/>
  <c r="N1156" i="5"/>
  <c r="F1153" i="5" l="1"/>
  <c r="I1153" i="5"/>
  <c r="C1154" i="5"/>
  <c r="K1158" i="5"/>
  <c r="N1157" i="5"/>
  <c r="L1156" i="5"/>
  <c r="Q1155" i="5"/>
  <c r="L1157" i="5" l="1"/>
  <c r="Q1156" i="5"/>
  <c r="K1159" i="5"/>
  <c r="N1158" i="5"/>
  <c r="I1154" i="5"/>
  <c r="C1155" i="5"/>
  <c r="F1154" i="5"/>
  <c r="I1155" i="5" l="1"/>
  <c r="F1155" i="5"/>
  <c r="C1156" i="5"/>
  <c r="K1160" i="5"/>
  <c r="N1159" i="5"/>
  <c r="L1158" i="5"/>
  <c r="Q1157" i="5"/>
  <c r="K1161" i="5" l="1"/>
  <c r="N1160" i="5"/>
  <c r="L1159" i="5"/>
  <c r="Q1158" i="5"/>
  <c r="F1156" i="5"/>
  <c r="C1157" i="5"/>
  <c r="I1156" i="5"/>
  <c r="F1157" i="5" l="1"/>
  <c r="I1157" i="5"/>
  <c r="C1158" i="5"/>
  <c r="L1160" i="5"/>
  <c r="Q1159" i="5"/>
  <c r="K1162" i="5"/>
  <c r="N1161" i="5"/>
  <c r="L1161" i="5" l="1"/>
  <c r="Q1160" i="5"/>
  <c r="N1162" i="5"/>
  <c r="K1163" i="5"/>
  <c r="I1158" i="5"/>
  <c r="F1158" i="5"/>
  <c r="C1159" i="5"/>
  <c r="N1163" i="5" l="1"/>
  <c r="K1164" i="5"/>
  <c r="I1159" i="5"/>
  <c r="F1159" i="5"/>
  <c r="C1160" i="5"/>
  <c r="L1162" i="5"/>
  <c r="Q1161" i="5"/>
  <c r="L1163" i="5" l="1"/>
  <c r="Q1162" i="5"/>
  <c r="N1164" i="5"/>
  <c r="K1165" i="5"/>
  <c r="C1161" i="5"/>
  <c r="F1160" i="5"/>
  <c r="I1160" i="5"/>
  <c r="I1161" i="5" l="1"/>
  <c r="F1161" i="5"/>
  <c r="C1162" i="5"/>
  <c r="N1165" i="5"/>
  <c r="K1166" i="5"/>
  <c r="L1164" i="5"/>
  <c r="Q1163" i="5"/>
  <c r="K1167" i="5" l="1"/>
  <c r="N1166" i="5"/>
  <c r="L1165" i="5"/>
  <c r="Q1164" i="5"/>
  <c r="I1162" i="5"/>
  <c r="C1163" i="5"/>
  <c r="F1162" i="5"/>
  <c r="F1163" i="5" l="1"/>
  <c r="I1163" i="5"/>
  <c r="C1164" i="5"/>
  <c r="L1166" i="5"/>
  <c r="Q1165" i="5"/>
  <c r="N1167" i="5"/>
  <c r="K1168" i="5"/>
  <c r="K1169" i="5" l="1"/>
  <c r="N1168" i="5"/>
  <c r="F1164" i="5"/>
  <c r="C1165" i="5"/>
  <c r="I1164" i="5"/>
  <c r="L1167" i="5"/>
  <c r="Q1166" i="5"/>
  <c r="L1168" i="5" l="1"/>
  <c r="Q1167" i="5"/>
  <c r="I1165" i="5"/>
  <c r="C1166" i="5"/>
  <c r="F1165" i="5"/>
  <c r="K1170" i="5"/>
  <c r="N1169" i="5"/>
  <c r="K1171" i="5" l="1"/>
  <c r="N1170" i="5"/>
  <c r="I1166" i="5"/>
  <c r="C1167" i="5"/>
  <c r="F1166" i="5"/>
  <c r="L1169" i="5"/>
  <c r="Q1168" i="5"/>
  <c r="L1170" i="5" l="1"/>
  <c r="Q1169" i="5"/>
  <c r="F1167" i="5"/>
  <c r="C1168" i="5"/>
  <c r="I1167" i="5"/>
  <c r="N1171" i="5"/>
  <c r="K1172" i="5"/>
  <c r="K1173" i="5" l="1"/>
  <c r="N1172" i="5"/>
  <c r="C1169" i="5"/>
  <c r="I1168" i="5"/>
  <c r="F1168" i="5"/>
  <c r="L1171" i="5"/>
  <c r="Q1170" i="5"/>
  <c r="F1169" i="5" l="1"/>
  <c r="C1170" i="5"/>
  <c r="I1169" i="5"/>
  <c r="L1172" i="5"/>
  <c r="Q1171" i="5"/>
  <c r="K1174" i="5"/>
  <c r="N1173" i="5"/>
  <c r="K1175" i="5" l="1"/>
  <c r="N1174" i="5"/>
  <c r="L1173" i="5"/>
  <c r="Q1172" i="5"/>
  <c r="I1170" i="5"/>
  <c r="C1171" i="5"/>
  <c r="F1170" i="5"/>
  <c r="L1174" i="5" l="1"/>
  <c r="Q1173" i="5"/>
  <c r="C1172" i="5"/>
  <c r="F1171" i="5"/>
  <c r="I1171" i="5"/>
  <c r="N1175" i="5"/>
  <c r="K1176" i="5"/>
  <c r="F1172" i="5" l="1"/>
  <c r="I1172" i="5"/>
  <c r="C1173" i="5"/>
  <c r="N1176" i="5"/>
  <c r="K1177" i="5"/>
  <c r="L1175" i="5"/>
  <c r="Q1174" i="5"/>
  <c r="K1178" i="5" l="1"/>
  <c r="N1177" i="5"/>
  <c r="L1176" i="5"/>
  <c r="Q1175" i="5"/>
  <c r="I1173" i="5"/>
  <c r="F1173" i="5"/>
  <c r="C1174" i="5"/>
  <c r="L1177" i="5" l="1"/>
  <c r="Q1176" i="5"/>
  <c r="F1174" i="5"/>
  <c r="I1174" i="5"/>
  <c r="C1175" i="5"/>
  <c r="N1178" i="5"/>
  <c r="K1179" i="5"/>
  <c r="F1175" i="5" l="1"/>
  <c r="C1176" i="5"/>
  <c r="I1175" i="5"/>
  <c r="K1180" i="5"/>
  <c r="N1179" i="5"/>
  <c r="L1178" i="5"/>
  <c r="Q1177" i="5"/>
  <c r="L1179" i="5" l="1"/>
  <c r="Q1178" i="5"/>
  <c r="K1181" i="5"/>
  <c r="N1180" i="5"/>
  <c r="I1176" i="5"/>
  <c r="C1177" i="5"/>
  <c r="F1176" i="5"/>
  <c r="K1182" i="5" l="1"/>
  <c r="N1181" i="5"/>
  <c r="I1177" i="5"/>
  <c r="C1178" i="5"/>
  <c r="F1177" i="5"/>
  <c r="L1180" i="5"/>
  <c r="Q1179" i="5"/>
  <c r="F1178" i="5" l="1"/>
  <c r="C1179" i="5"/>
  <c r="I1178" i="5"/>
  <c r="L1181" i="5"/>
  <c r="Q1180" i="5"/>
  <c r="N1182" i="5"/>
  <c r="K1183" i="5"/>
  <c r="K1184" i="5" l="1"/>
  <c r="N1183" i="5"/>
  <c r="F1179" i="5"/>
  <c r="C1180" i="5"/>
  <c r="I1179" i="5"/>
  <c r="L1182" i="5"/>
  <c r="Q1181" i="5"/>
  <c r="I1180" i="5" l="1"/>
  <c r="F1180" i="5"/>
  <c r="C1181" i="5"/>
  <c r="L1183" i="5"/>
  <c r="Q1182" i="5"/>
  <c r="K1185" i="5"/>
  <c r="N1184" i="5"/>
  <c r="K1186" i="5" l="1"/>
  <c r="N1185" i="5"/>
  <c r="L1184" i="5"/>
  <c r="Q1183" i="5"/>
  <c r="I1181" i="5"/>
  <c r="C1182" i="5"/>
  <c r="F1181" i="5"/>
  <c r="C1183" i="5" l="1"/>
  <c r="F1182" i="5"/>
  <c r="I1182" i="5"/>
  <c r="L1185" i="5"/>
  <c r="Q1184" i="5"/>
  <c r="N1186" i="5"/>
  <c r="K1187" i="5"/>
  <c r="L1186" i="5" l="1"/>
  <c r="Q1185" i="5"/>
  <c r="N1187" i="5"/>
  <c r="K1188" i="5"/>
  <c r="I1183" i="5"/>
  <c r="F1183" i="5"/>
  <c r="C1184" i="5"/>
  <c r="C1185" i="5" l="1"/>
  <c r="I1184" i="5"/>
  <c r="F1184" i="5"/>
  <c r="N1188" i="5"/>
  <c r="K1189" i="5"/>
  <c r="L1187" i="5"/>
  <c r="Q1186" i="5"/>
  <c r="N1189" i="5" l="1"/>
  <c r="K1190" i="5"/>
  <c r="L1188" i="5"/>
  <c r="Q1187" i="5"/>
  <c r="F1185" i="5"/>
  <c r="C1186" i="5"/>
  <c r="I1185" i="5"/>
  <c r="F1186" i="5" l="1"/>
  <c r="C1187" i="5"/>
  <c r="I1186" i="5"/>
  <c r="K1191" i="5"/>
  <c r="N1190" i="5"/>
  <c r="L1189" i="5"/>
  <c r="Q1188" i="5"/>
  <c r="K1192" i="5" l="1"/>
  <c r="N1191" i="5"/>
  <c r="L1190" i="5"/>
  <c r="Q1189" i="5"/>
  <c r="I1187" i="5"/>
  <c r="C1188" i="5"/>
  <c r="F1187" i="5"/>
  <c r="I1188" i="5" l="1"/>
  <c r="F1188" i="5"/>
  <c r="C1189" i="5"/>
  <c r="L1191" i="5"/>
  <c r="Q1190" i="5"/>
  <c r="K1193" i="5"/>
  <c r="N1192" i="5"/>
  <c r="N1193" i="5" l="1"/>
  <c r="K1194" i="5"/>
  <c r="L1192" i="5"/>
  <c r="Q1191" i="5"/>
  <c r="F1189" i="5"/>
  <c r="C1190" i="5"/>
  <c r="I1189" i="5"/>
  <c r="K1195" i="5" l="1"/>
  <c r="N1194" i="5"/>
  <c r="F1190" i="5"/>
  <c r="C1191" i="5"/>
  <c r="I1190" i="5"/>
  <c r="L1193" i="5"/>
  <c r="Q1192" i="5"/>
  <c r="I1191" i="5" l="1"/>
  <c r="C1192" i="5"/>
  <c r="F1191" i="5"/>
  <c r="L1194" i="5"/>
  <c r="Q1193" i="5"/>
  <c r="N1195" i="5"/>
  <c r="K1196" i="5"/>
  <c r="K1197" i="5" l="1"/>
  <c r="N1196" i="5"/>
  <c r="L1195" i="5"/>
  <c r="Q1194" i="5"/>
  <c r="I1192" i="5"/>
  <c r="C1193" i="5"/>
  <c r="F1192" i="5"/>
  <c r="C1194" i="5" l="1"/>
  <c r="F1193" i="5"/>
  <c r="I1193" i="5"/>
  <c r="L1196" i="5"/>
  <c r="Q1195" i="5"/>
  <c r="N1197" i="5"/>
  <c r="K1198" i="5"/>
  <c r="N1198" i="5" l="1"/>
  <c r="K1199" i="5"/>
  <c r="L1197" i="5"/>
  <c r="Q1196" i="5"/>
  <c r="I1194" i="5"/>
  <c r="C1195" i="5"/>
  <c r="F1194" i="5"/>
  <c r="C1196" i="5" l="1"/>
  <c r="I1195" i="5"/>
  <c r="F1195" i="5"/>
  <c r="L1198" i="5"/>
  <c r="Q1197" i="5"/>
  <c r="N1199" i="5"/>
  <c r="K1200" i="5"/>
  <c r="N1200" i="5" l="1"/>
  <c r="K1201" i="5"/>
  <c r="L1199" i="5"/>
  <c r="Q1198" i="5"/>
  <c r="F1196" i="5"/>
  <c r="C1197" i="5"/>
  <c r="I1196" i="5"/>
  <c r="F1197" i="5" l="1"/>
  <c r="I1197" i="5"/>
  <c r="C1198" i="5"/>
  <c r="L1200" i="5"/>
  <c r="Q1199" i="5"/>
  <c r="K1202" i="5"/>
  <c r="N1201" i="5"/>
  <c r="L1201" i="5" l="1"/>
  <c r="Q1200" i="5"/>
  <c r="K1203" i="5"/>
  <c r="N1202" i="5"/>
  <c r="I1198" i="5"/>
  <c r="F1198" i="5"/>
  <c r="C1199" i="5"/>
  <c r="I1199" i="5" l="1"/>
  <c r="C1200" i="5"/>
  <c r="F1199" i="5"/>
  <c r="N1203" i="5"/>
  <c r="K1204" i="5"/>
  <c r="L1202" i="5"/>
  <c r="Q1201" i="5"/>
  <c r="N1204" i="5" l="1"/>
  <c r="K1205" i="5"/>
  <c r="L1203" i="5"/>
  <c r="Q1202" i="5"/>
  <c r="F1200" i="5"/>
  <c r="C1201" i="5"/>
  <c r="I1200" i="5"/>
  <c r="L1204" i="5" l="1"/>
  <c r="Q1203" i="5"/>
  <c r="F1201" i="5"/>
  <c r="C1202" i="5"/>
  <c r="I1201" i="5"/>
  <c r="N1205" i="5"/>
  <c r="K1206" i="5"/>
  <c r="I1202" i="5" l="1"/>
  <c r="F1202" i="5"/>
  <c r="C1203" i="5"/>
  <c r="N1206" i="5"/>
  <c r="K1207" i="5"/>
  <c r="L1205" i="5"/>
  <c r="Q1204" i="5"/>
  <c r="K1208" i="5" l="1"/>
  <c r="N1207" i="5"/>
  <c r="L1206" i="5"/>
  <c r="Q1205" i="5"/>
  <c r="I1203" i="5"/>
  <c r="F1203" i="5"/>
  <c r="C1204" i="5"/>
  <c r="L1207" i="5" l="1"/>
  <c r="Q1206" i="5"/>
  <c r="C1205" i="5"/>
  <c r="F1204" i="5"/>
  <c r="I1204" i="5"/>
  <c r="N1208" i="5"/>
  <c r="K1209" i="5"/>
  <c r="K1210" i="5" l="1"/>
  <c r="N1209" i="5"/>
  <c r="F1205" i="5"/>
  <c r="C1206" i="5"/>
  <c r="I1205" i="5"/>
  <c r="L1208" i="5"/>
  <c r="Q1207" i="5"/>
  <c r="F1206" i="5" l="1"/>
  <c r="C1207" i="5"/>
  <c r="I1206" i="5"/>
  <c r="L1209" i="5"/>
  <c r="Q1208" i="5"/>
  <c r="N1210" i="5"/>
  <c r="K1211" i="5"/>
  <c r="L1210" i="5" l="1"/>
  <c r="Q1209" i="5"/>
  <c r="N1211" i="5"/>
  <c r="K1212" i="5"/>
  <c r="I1207" i="5"/>
  <c r="F1207" i="5"/>
  <c r="C1208" i="5"/>
  <c r="N1212" i="5" l="1"/>
  <c r="K1213" i="5"/>
  <c r="I1208" i="5"/>
  <c r="C1209" i="5"/>
  <c r="F1208" i="5"/>
  <c r="L1211" i="5"/>
  <c r="Q1210" i="5"/>
  <c r="C1210" i="5" l="1"/>
  <c r="F1209" i="5"/>
  <c r="I1209" i="5"/>
  <c r="L1212" i="5"/>
  <c r="Q1211" i="5"/>
  <c r="N1213" i="5"/>
  <c r="K1214" i="5"/>
  <c r="L1213" i="5" l="1"/>
  <c r="Q1212" i="5"/>
  <c r="K1215" i="5"/>
  <c r="N1214" i="5"/>
  <c r="F1210" i="5"/>
  <c r="C1211" i="5"/>
  <c r="I1210" i="5"/>
  <c r="N1215" i="5" l="1"/>
  <c r="K1216" i="5"/>
  <c r="I1211" i="5"/>
  <c r="F1211" i="5"/>
  <c r="C1212" i="5"/>
  <c r="L1214" i="5"/>
  <c r="Q1213" i="5"/>
  <c r="C1213" i="5" l="1"/>
  <c r="I1212" i="5"/>
  <c r="F1212" i="5"/>
  <c r="L1215" i="5"/>
  <c r="Q1214" i="5"/>
  <c r="N1216" i="5"/>
  <c r="K1217" i="5"/>
  <c r="L1216" i="5" l="1"/>
  <c r="Q1215" i="5"/>
  <c r="N1217" i="5"/>
  <c r="K1218" i="5"/>
  <c r="I1213" i="5"/>
  <c r="C1214" i="5"/>
  <c r="F1213" i="5"/>
  <c r="C1215" i="5" l="1"/>
  <c r="I1214" i="5"/>
  <c r="F1214" i="5"/>
  <c r="N1218" i="5"/>
  <c r="K1219" i="5"/>
  <c r="L1217" i="5"/>
  <c r="Q1216" i="5"/>
  <c r="L1218" i="5" l="1"/>
  <c r="Q1217" i="5"/>
  <c r="K1220" i="5"/>
  <c r="N1219" i="5"/>
  <c r="I1215" i="5"/>
  <c r="F1215" i="5"/>
  <c r="C1216" i="5"/>
  <c r="K1221" i="5" l="1"/>
  <c r="N1220" i="5"/>
  <c r="I1216" i="5"/>
  <c r="F1216" i="5"/>
  <c r="C1217" i="5"/>
  <c r="L1219" i="5"/>
  <c r="Q1218" i="5"/>
  <c r="I1217" i="5" l="1"/>
  <c r="F1217" i="5"/>
  <c r="C1218" i="5"/>
  <c r="L1220" i="5"/>
  <c r="Q1219" i="5"/>
  <c r="K1222" i="5"/>
  <c r="N1221" i="5"/>
  <c r="L1221" i="5" l="1"/>
  <c r="Q1220" i="5"/>
  <c r="N1222" i="5"/>
  <c r="K1223" i="5"/>
  <c r="F1218" i="5"/>
  <c r="C1219" i="5"/>
  <c r="I1218" i="5"/>
  <c r="C1220" i="5" l="1"/>
  <c r="F1219" i="5"/>
  <c r="I1219" i="5"/>
  <c r="N1223" i="5"/>
  <c r="K1224" i="5"/>
  <c r="L1222" i="5"/>
  <c r="Q1221" i="5"/>
  <c r="L1223" i="5" l="1"/>
  <c r="Q1222" i="5"/>
  <c r="K1225" i="5"/>
  <c r="N1224" i="5"/>
  <c r="I1220" i="5"/>
  <c r="F1220" i="5"/>
  <c r="C1221" i="5"/>
  <c r="K1226" i="5" l="1"/>
  <c r="N1225" i="5"/>
  <c r="C1222" i="5"/>
  <c r="I1221" i="5"/>
  <c r="F1221" i="5"/>
  <c r="L1224" i="5"/>
  <c r="Q1223" i="5"/>
  <c r="I1222" i="5" l="1"/>
  <c r="F1222" i="5"/>
  <c r="C1223" i="5"/>
  <c r="L1225" i="5"/>
  <c r="Q1224" i="5"/>
  <c r="K1227" i="5"/>
  <c r="N1226" i="5"/>
  <c r="L1226" i="5" l="1"/>
  <c r="Q1225" i="5"/>
  <c r="N1227" i="5"/>
  <c r="K1228" i="5"/>
  <c r="C1224" i="5"/>
  <c r="F1223" i="5"/>
  <c r="I1223" i="5"/>
  <c r="N1228" i="5" l="1"/>
  <c r="K1229" i="5"/>
  <c r="I1224" i="5"/>
  <c r="F1224" i="5"/>
  <c r="C1225" i="5"/>
  <c r="L1227" i="5"/>
  <c r="Q1226" i="5"/>
  <c r="I1225" i="5" l="1"/>
  <c r="C1226" i="5"/>
  <c r="F1225" i="5"/>
  <c r="L1228" i="5"/>
  <c r="Q1227" i="5"/>
  <c r="N1229" i="5"/>
  <c r="K1230" i="5"/>
  <c r="L1229" i="5" l="1"/>
  <c r="Q1228" i="5"/>
  <c r="K1231" i="5"/>
  <c r="N1230" i="5"/>
  <c r="I1226" i="5"/>
  <c r="C1227" i="5"/>
  <c r="F1226" i="5"/>
  <c r="I1227" i="5" l="1"/>
  <c r="F1227" i="5"/>
  <c r="C1228" i="5"/>
  <c r="K1232" i="5"/>
  <c r="N1231" i="5"/>
  <c r="L1230" i="5"/>
  <c r="Q1229" i="5"/>
  <c r="K1233" i="5" l="1"/>
  <c r="N1232" i="5"/>
  <c r="L1231" i="5"/>
  <c r="Q1230" i="5"/>
  <c r="F1228" i="5"/>
  <c r="C1229" i="5"/>
  <c r="I1228" i="5"/>
  <c r="L1232" i="5" l="1"/>
  <c r="Q1231" i="5"/>
  <c r="I1229" i="5"/>
  <c r="F1229" i="5"/>
  <c r="C1230" i="5"/>
  <c r="N1233" i="5"/>
  <c r="K1234" i="5"/>
  <c r="N1234" i="5" l="1"/>
  <c r="K1235" i="5"/>
  <c r="I1230" i="5"/>
  <c r="F1230" i="5"/>
  <c r="C1231" i="5"/>
  <c r="L1233" i="5"/>
  <c r="Q1232" i="5"/>
  <c r="I1231" i="5" l="1"/>
  <c r="C1232" i="5"/>
  <c r="F1231" i="5"/>
  <c r="L1234" i="5"/>
  <c r="Q1233" i="5"/>
  <c r="N1235" i="5"/>
  <c r="K1236" i="5"/>
  <c r="N1236" i="5" l="1"/>
  <c r="K1237" i="5"/>
  <c r="L1235" i="5"/>
  <c r="Q1234" i="5"/>
  <c r="C1233" i="5"/>
  <c r="F1232" i="5"/>
  <c r="I1232" i="5"/>
  <c r="I1233" i="5" l="1"/>
  <c r="C1234" i="5"/>
  <c r="F1233" i="5"/>
  <c r="L1236" i="5"/>
  <c r="Q1235" i="5"/>
  <c r="K1238" i="5"/>
  <c r="N1237" i="5"/>
  <c r="L1237" i="5" l="1"/>
  <c r="Q1236" i="5"/>
  <c r="N1238" i="5"/>
  <c r="K1239" i="5"/>
  <c r="C1235" i="5"/>
  <c r="I1234" i="5"/>
  <c r="F1234" i="5"/>
  <c r="N1239" i="5" l="1"/>
  <c r="K1240" i="5"/>
  <c r="I1235" i="5"/>
  <c r="F1235" i="5"/>
  <c r="C1236" i="5"/>
  <c r="L1238" i="5"/>
  <c r="Q1237" i="5"/>
  <c r="L1239" i="5" l="1"/>
  <c r="Q1238" i="5"/>
  <c r="I1236" i="5"/>
  <c r="C1237" i="5"/>
  <c r="F1236" i="5"/>
  <c r="K1241" i="5"/>
  <c r="N1240" i="5"/>
  <c r="C1238" i="5" l="1"/>
  <c r="F1237" i="5"/>
  <c r="I1237" i="5"/>
  <c r="K1242" i="5"/>
  <c r="N1241" i="5"/>
  <c r="L1240" i="5"/>
  <c r="Q1239" i="5"/>
  <c r="L1241" i="5" l="1"/>
  <c r="Q1240" i="5"/>
  <c r="K1243" i="5"/>
  <c r="N1242" i="5"/>
  <c r="F1238" i="5"/>
  <c r="C1239" i="5"/>
  <c r="I1238" i="5"/>
  <c r="N1243" i="5" l="1"/>
  <c r="K1244" i="5"/>
  <c r="I1239" i="5"/>
  <c r="F1239" i="5"/>
  <c r="C1240" i="5"/>
  <c r="L1242" i="5"/>
  <c r="Q1241" i="5"/>
  <c r="I1240" i="5" l="1"/>
  <c r="F1240" i="5"/>
  <c r="C1241" i="5"/>
  <c r="L1243" i="5"/>
  <c r="Q1242" i="5"/>
  <c r="N1244" i="5"/>
  <c r="K1245" i="5"/>
  <c r="N1245" i="5" l="1"/>
  <c r="K1246" i="5"/>
  <c r="L1244" i="5"/>
  <c r="Q1243" i="5"/>
  <c r="I1241" i="5"/>
  <c r="F1241" i="5"/>
  <c r="C1242" i="5"/>
  <c r="L1245" i="5" l="1"/>
  <c r="Q1244" i="5"/>
  <c r="C1243" i="5"/>
  <c r="F1242" i="5"/>
  <c r="I1242" i="5"/>
  <c r="N1246" i="5"/>
  <c r="K1247" i="5"/>
  <c r="K1248" i="5" l="1"/>
  <c r="N1247" i="5"/>
  <c r="I1243" i="5"/>
  <c r="C1244" i="5"/>
  <c r="F1243" i="5"/>
  <c r="L1246" i="5"/>
  <c r="Q1245" i="5"/>
  <c r="I1244" i="5" l="1"/>
  <c r="F1244" i="5"/>
  <c r="C1245" i="5"/>
  <c r="L1247" i="5"/>
  <c r="Q1246" i="5"/>
  <c r="K1249" i="5"/>
  <c r="N1248" i="5"/>
  <c r="L1248" i="5" l="1"/>
  <c r="Q1247" i="5"/>
  <c r="K1250" i="5"/>
  <c r="N1249" i="5"/>
  <c r="C1246" i="5"/>
  <c r="I1245" i="5"/>
  <c r="F1245" i="5"/>
  <c r="F1246" i="5" l="1"/>
  <c r="C1247" i="5"/>
  <c r="I1246" i="5"/>
  <c r="N1250" i="5"/>
  <c r="K1251" i="5"/>
  <c r="L1249" i="5"/>
  <c r="Q1248" i="5"/>
  <c r="L1250" i="5" l="1"/>
  <c r="Q1249" i="5"/>
  <c r="N1251" i="5"/>
  <c r="K1252" i="5"/>
  <c r="C1248" i="5"/>
  <c r="I1247" i="5"/>
  <c r="F1247" i="5"/>
  <c r="K1253" i="5" l="1"/>
  <c r="N1252" i="5"/>
  <c r="I1248" i="5"/>
  <c r="C1249" i="5"/>
  <c r="F1248" i="5"/>
  <c r="L1251" i="5"/>
  <c r="Q1250" i="5"/>
  <c r="C1250" i="5" l="1"/>
  <c r="I1249" i="5"/>
  <c r="F1249" i="5"/>
  <c r="L1252" i="5"/>
  <c r="Q1251" i="5"/>
  <c r="K1254" i="5"/>
  <c r="N1253" i="5"/>
  <c r="L1253" i="5" l="1"/>
  <c r="Q1252" i="5"/>
  <c r="N1254" i="5"/>
  <c r="K1255" i="5"/>
  <c r="I1250" i="5"/>
  <c r="F1250" i="5"/>
  <c r="C1251" i="5"/>
  <c r="K1256" i="5" l="1"/>
  <c r="N1255" i="5"/>
  <c r="F1251" i="5"/>
  <c r="C1252" i="5"/>
  <c r="I1251" i="5"/>
  <c r="L1254" i="5"/>
  <c r="Q1253" i="5"/>
  <c r="I1252" i="5" l="1"/>
  <c r="F1252" i="5"/>
  <c r="C1253" i="5"/>
  <c r="L1255" i="5"/>
  <c r="Q1254" i="5"/>
  <c r="N1256" i="5"/>
  <c r="K1257" i="5"/>
  <c r="N1257" i="5" l="1"/>
  <c r="K1258" i="5"/>
  <c r="L1256" i="5"/>
  <c r="Q1255" i="5"/>
  <c r="I1253" i="5"/>
  <c r="F1253" i="5"/>
  <c r="C1254" i="5"/>
  <c r="I1254" i="5" l="1"/>
  <c r="C1255" i="5"/>
  <c r="F1254" i="5"/>
  <c r="L1257" i="5"/>
  <c r="Q1256" i="5"/>
  <c r="K1259" i="5"/>
  <c r="N1258" i="5"/>
  <c r="L1258" i="5" l="1"/>
  <c r="Q1257" i="5"/>
  <c r="K1260" i="5"/>
  <c r="N1259" i="5"/>
  <c r="I1255" i="5"/>
  <c r="F1255" i="5"/>
  <c r="C1256" i="5"/>
  <c r="K1261" i="5" l="1"/>
  <c r="N1260" i="5"/>
  <c r="C1257" i="5"/>
  <c r="F1256" i="5"/>
  <c r="I1256" i="5"/>
  <c r="L1259" i="5"/>
  <c r="Q1258" i="5"/>
  <c r="I1257" i="5" l="1"/>
  <c r="C1258" i="5"/>
  <c r="F1257" i="5"/>
  <c r="L1260" i="5"/>
  <c r="Q1259" i="5"/>
  <c r="N1261" i="5"/>
  <c r="K1262" i="5"/>
  <c r="N1262" i="5" l="1"/>
  <c r="K1263" i="5"/>
  <c r="L1261" i="5"/>
  <c r="Q1260" i="5"/>
  <c r="I1258" i="5"/>
  <c r="F1258" i="5"/>
  <c r="C1259" i="5"/>
  <c r="I1259" i="5" l="1"/>
  <c r="C1260" i="5"/>
  <c r="F1259" i="5"/>
  <c r="L1262" i="5"/>
  <c r="Q1261" i="5"/>
  <c r="N1263" i="5"/>
  <c r="K1264" i="5"/>
  <c r="K1265" i="5" l="1"/>
  <c r="N1264" i="5"/>
  <c r="L1263" i="5"/>
  <c r="Q1262" i="5"/>
  <c r="C1261" i="5"/>
  <c r="F1260" i="5"/>
  <c r="I1260" i="5"/>
  <c r="L1264" i="5" l="1"/>
  <c r="Q1263" i="5"/>
  <c r="C1262" i="5"/>
  <c r="I1261" i="5"/>
  <c r="F1261" i="5"/>
  <c r="K1266" i="5"/>
  <c r="N1265" i="5"/>
  <c r="I1262" i="5" l="1"/>
  <c r="C1263" i="5"/>
  <c r="F1262" i="5"/>
  <c r="N1266" i="5"/>
  <c r="K1267" i="5"/>
  <c r="L1265" i="5"/>
  <c r="Q1264" i="5"/>
  <c r="L1266" i="5" l="1"/>
  <c r="Q1265" i="5"/>
  <c r="N1267" i="5"/>
  <c r="K1268" i="5"/>
  <c r="I1263" i="5"/>
  <c r="F1263" i="5"/>
  <c r="C1264" i="5"/>
  <c r="I1264" i="5" l="1"/>
  <c r="C1265" i="5"/>
  <c r="F1264" i="5"/>
  <c r="N1268" i="5"/>
  <c r="K1269" i="5"/>
  <c r="L1267" i="5"/>
  <c r="Q1266" i="5"/>
  <c r="L1268" i="5" l="1"/>
  <c r="Q1267" i="5"/>
  <c r="N1269" i="5"/>
  <c r="K1270" i="5"/>
  <c r="C1266" i="5"/>
  <c r="F1265" i="5"/>
  <c r="I1265" i="5"/>
  <c r="K1271" i="5" l="1"/>
  <c r="N1270" i="5"/>
  <c r="I1266" i="5"/>
  <c r="C1267" i="5"/>
  <c r="F1266" i="5"/>
  <c r="L1269" i="5"/>
  <c r="Q1268" i="5"/>
  <c r="L1270" i="5" l="1"/>
  <c r="Q1269" i="5"/>
  <c r="C1268" i="5"/>
  <c r="I1267" i="5"/>
  <c r="F1267" i="5"/>
  <c r="K1272" i="5"/>
  <c r="N1271" i="5"/>
  <c r="I1268" i="5" l="1"/>
  <c r="F1268" i="5"/>
  <c r="C1269" i="5"/>
  <c r="N1272" i="5"/>
  <c r="K1273" i="5"/>
  <c r="L1271" i="5"/>
  <c r="Q1270" i="5"/>
  <c r="L1272" i="5" l="1"/>
  <c r="Q1271" i="5"/>
  <c r="K1274" i="5"/>
  <c r="N1273" i="5"/>
  <c r="F1269" i="5"/>
  <c r="C1270" i="5"/>
  <c r="I1269" i="5"/>
  <c r="C1271" i="5" l="1"/>
  <c r="F1270" i="5"/>
  <c r="I1270" i="5"/>
  <c r="N1274" i="5"/>
  <c r="K1275" i="5"/>
  <c r="L1273" i="5"/>
  <c r="Q1272" i="5"/>
  <c r="L1274" i="5" l="1"/>
  <c r="Q1273" i="5"/>
  <c r="K1276" i="5"/>
  <c r="N1275" i="5"/>
  <c r="I1271" i="5"/>
  <c r="F1271" i="5"/>
  <c r="C1272" i="5"/>
  <c r="K1277" i="5" l="1"/>
  <c r="N1276" i="5"/>
  <c r="I1272" i="5"/>
  <c r="F1272" i="5"/>
  <c r="C1273" i="5"/>
  <c r="L1275" i="5"/>
  <c r="Q1274" i="5"/>
  <c r="L1276" i="5" l="1"/>
  <c r="Q1275" i="5"/>
  <c r="I1273" i="5"/>
  <c r="F1273" i="5"/>
  <c r="C1274" i="5"/>
  <c r="N1277" i="5"/>
  <c r="K1278" i="5"/>
  <c r="F1274" i="5" l="1"/>
  <c r="C1275" i="5"/>
  <c r="I1274" i="5"/>
  <c r="K1279" i="5"/>
  <c r="N1278" i="5"/>
  <c r="L1277" i="5"/>
  <c r="Q1276" i="5"/>
  <c r="L1278" i="5" l="1"/>
  <c r="Q1277" i="5"/>
  <c r="N1279" i="5"/>
  <c r="K1280" i="5"/>
  <c r="C1276" i="5"/>
  <c r="I1275" i="5"/>
  <c r="F1275" i="5"/>
  <c r="K1281" i="5" l="1"/>
  <c r="N1280" i="5"/>
  <c r="I1276" i="5"/>
  <c r="C1277" i="5"/>
  <c r="F1276" i="5"/>
  <c r="L1279" i="5"/>
  <c r="Q1278" i="5"/>
  <c r="L1280" i="5" l="1"/>
  <c r="Q1279" i="5"/>
  <c r="I1277" i="5"/>
  <c r="C1278" i="5"/>
  <c r="F1277" i="5"/>
  <c r="K1282" i="5"/>
  <c r="N1281" i="5"/>
  <c r="K1283" i="5" l="1"/>
  <c r="N1282" i="5"/>
  <c r="C1279" i="5"/>
  <c r="I1278" i="5"/>
  <c r="F1278" i="5"/>
  <c r="L1281" i="5"/>
  <c r="Q1280" i="5"/>
  <c r="L1282" i="5" l="1"/>
  <c r="Q1281" i="5"/>
  <c r="F1279" i="5"/>
  <c r="C1280" i="5"/>
  <c r="I1279" i="5"/>
  <c r="N1283" i="5"/>
  <c r="K1284" i="5"/>
  <c r="N1284" i="5" l="1"/>
  <c r="K1285" i="5"/>
  <c r="I1280" i="5"/>
  <c r="F1280" i="5"/>
  <c r="C1281" i="5"/>
  <c r="L1283" i="5"/>
  <c r="Q1282" i="5"/>
  <c r="L1284" i="5" l="1"/>
  <c r="Q1283" i="5"/>
  <c r="I1281" i="5"/>
  <c r="C1282" i="5"/>
  <c r="F1281" i="5"/>
  <c r="N1285" i="5"/>
  <c r="K1286" i="5"/>
  <c r="I1282" i="5" l="1"/>
  <c r="C1283" i="5"/>
  <c r="F1282" i="5"/>
  <c r="N1286" i="5"/>
  <c r="K1287" i="5"/>
  <c r="L1285" i="5"/>
  <c r="Q1284" i="5"/>
  <c r="L1286" i="5" l="1"/>
  <c r="Q1285" i="5"/>
  <c r="K1288" i="5"/>
  <c r="N1287" i="5"/>
  <c r="F1283" i="5"/>
  <c r="I1283" i="5"/>
  <c r="C1284" i="5"/>
  <c r="F1284" i="5" l="1"/>
  <c r="C1285" i="5"/>
  <c r="I1284" i="5"/>
  <c r="K1289" i="5"/>
  <c r="N1288" i="5"/>
  <c r="L1287" i="5"/>
  <c r="Q1286" i="5"/>
  <c r="K1290" i="5" l="1"/>
  <c r="N1289" i="5"/>
  <c r="C1286" i="5"/>
  <c r="F1285" i="5"/>
  <c r="I1285" i="5"/>
  <c r="L1288" i="5"/>
  <c r="Q1287" i="5"/>
  <c r="L1289" i="5" l="1"/>
  <c r="Q1288" i="5"/>
  <c r="I1286" i="5"/>
  <c r="F1286" i="5"/>
  <c r="C1287" i="5"/>
  <c r="K1291" i="5"/>
  <c r="N1290" i="5"/>
  <c r="C1288" i="5" l="1"/>
  <c r="I1287" i="5"/>
  <c r="F1287" i="5"/>
  <c r="K1292" i="5"/>
  <c r="N1291" i="5"/>
  <c r="L1290" i="5"/>
  <c r="Q1289" i="5"/>
  <c r="N1292" i="5" l="1"/>
  <c r="K1293" i="5"/>
  <c r="L1291" i="5"/>
  <c r="Q1290" i="5"/>
  <c r="I1288" i="5"/>
  <c r="F1288" i="5"/>
  <c r="C1289" i="5"/>
  <c r="C1290" i="5" l="1"/>
  <c r="I1289" i="5"/>
  <c r="F1289" i="5"/>
  <c r="N1293" i="5"/>
  <c r="K1294" i="5"/>
  <c r="L1292" i="5"/>
  <c r="Q1291" i="5"/>
  <c r="L1293" i="5" l="1"/>
  <c r="Q1292" i="5"/>
  <c r="N1294" i="5"/>
  <c r="K1295" i="5"/>
  <c r="I1290" i="5"/>
  <c r="F1290" i="5"/>
  <c r="C1291" i="5"/>
  <c r="N1295" i="5" l="1"/>
  <c r="K1296" i="5"/>
  <c r="I1291" i="5"/>
  <c r="F1291" i="5"/>
  <c r="C1292" i="5"/>
  <c r="L1294" i="5"/>
  <c r="Q1293" i="5"/>
  <c r="C1293" i="5" l="1"/>
  <c r="F1292" i="5"/>
  <c r="I1292" i="5"/>
  <c r="L1295" i="5"/>
  <c r="Q1294" i="5"/>
  <c r="N1296" i="5"/>
  <c r="K1297" i="5"/>
  <c r="L1296" i="5" l="1"/>
  <c r="Q1295" i="5"/>
  <c r="N1297" i="5"/>
  <c r="K1298" i="5"/>
  <c r="F1293" i="5"/>
  <c r="C1294" i="5"/>
  <c r="I1293" i="5"/>
  <c r="K1299" i="5" l="1"/>
  <c r="N1298" i="5"/>
  <c r="C1295" i="5"/>
  <c r="I1294" i="5"/>
  <c r="F1294" i="5"/>
  <c r="L1297" i="5"/>
  <c r="Q1296" i="5"/>
  <c r="I1295" i="5" l="1"/>
  <c r="C1296" i="5"/>
  <c r="F1295" i="5"/>
  <c r="L1298" i="5"/>
  <c r="Q1297" i="5"/>
  <c r="K1300" i="5"/>
  <c r="N1299" i="5"/>
  <c r="K1301" i="5" l="1"/>
  <c r="N1300" i="5"/>
  <c r="F1296" i="5"/>
  <c r="I1296" i="5"/>
  <c r="C1297" i="5"/>
  <c r="L1299" i="5"/>
  <c r="Q1298" i="5"/>
  <c r="I1297" i="5" l="1"/>
  <c r="F1297" i="5"/>
  <c r="C1298" i="5"/>
  <c r="L1300" i="5"/>
  <c r="Q1299" i="5"/>
  <c r="K1302" i="5"/>
  <c r="N1301" i="5"/>
  <c r="L1301" i="5" l="1"/>
  <c r="Q1300" i="5"/>
  <c r="N1302" i="5"/>
  <c r="K1303" i="5"/>
  <c r="I1298" i="5"/>
  <c r="C1299" i="5"/>
  <c r="F1298" i="5"/>
  <c r="I1299" i="5" l="1"/>
  <c r="F1299" i="5"/>
  <c r="C1300" i="5"/>
  <c r="K1304" i="5"/>
  <c r="N1303" i="5"/>
  <c r="L1302" i="5"/>
  <c r="Q1301" i="5"/>
  <c r="K1305" i="5" l="1"/>
  <c r="N1304" i="5"/>
  <c r="L1303" i="5"/>
  <c r="Q1302" i="5"/>
  <c r="C1301" i="5"/>
  <c r="I1300" i="5"/>
  <c r="F1300" i="5"/>
  <c r="L1304" i="5" l="1"/>
  <c r="Q1303" i="5"/>
  <c r="I1301" i="5"/>
  <c r="F1301" i="5"/>
  <c r="C1302" i="5"/>
  <c r="N1305" i="5"/>
  <c r="K1306" i="5"/>
  <c r="N1306" i="5" l="1"/>
  <c r="K1307" i="5"/>
  <c r="I1302" i="5"/>
  <c r="C1303" i="5"/>
  <c r="F1302" i="5"/>
  <c r="L1305" i="5"/>
  <c r="Q1304" i="5"/>
  <c r="C1304" i="5" l="1"/>
  <c r="F1303" i="5"/>
  <c r="I1303" i="5"/>
  <c r="L1306" i="5"/>
  <c r="Q1305" i="5"/>
  <c r="K1308" i="5"/>
  <c r="N1307" i="5"/>
  <c r="L1307" i="5" l="1"/>
  <c r="Q1306" i="5"/>
  <c r="N1308" i="5"/>
  <c r="K1309" i="5"/>
  <c r="F1304" i="5"/>
  <c r="C1305" i="5"/>
  <c r="I1304" i="5"/>
  <c r="I1305" i="5" l="1"/>
  <c r="F1305" i="5"/>
  <c r="C1306" i="5"/>
  <c r="N1309" i="5"/>
  <c r="K1310" i="5"/>
  <c r="L1308" i="5"/>
  <c r="Q1307" i="5"/>
  <c r="L1309" i="5" l="1"/>
  <c r="Q1308" i="5"/>
  <c r="I1306" i="5"/>
  <c r="C1307" i="5"/>
  <c r="F1306" i="5"/>
  <c r="N1310" i="5"/>
  <c r="K1311" i="5"/>
  <c r="N1311" i="5" l="1"/>
  <c r="K1312" i="5"/>
  <c r="F1307" i="5"/>
  <c r="C1308" i="5"/>
  <c r="I1307" i="5"/>
  <c r="L1310" i="5"/>
  <c r="Q1309" i="5"/>
  <c r="C1309" i="5" l="1"/>
  <c r="I1308" i="5"/>
  <c r="F1308" i="5"/>
  <c r="L1311" i="5"/>
  <c r="Q1310" i="5"/>
  <c r="K1313" i="5"/>
  <c r="N1312" i="5"/>
  <c r="N1313" i="5" l="1"/>
  <c r="K1314" i="5"/>
  <c r="L1312" i="5"/>
  <c r="Q1311" i="5"/>
  <c r="I1309" i="5"/>
  <c r="F1309" i="5"/>
  <c r="C1310" i="5"/>
  <c r="I1310" i="5" l="1"/>
  <c r="C1311" i="5"/>
  <c r="F1310" i="5"/>
  <c r="N1314" i="5"/>
  <c r="K1315" i="5"/>
  <c r="L1313" i="5"/>
  <c r="Q1312" i="5"/>
  <c r="L1314" i="5" l="1"/>
  <c r="Q1313" i="5"/>
  <c r="C1312" i="5"/>
  <c r="I1311" i="5"/>
  <c r="F1311" i="5"/>
  <c r="N1315" i="5"/>
  <c r="K1316" i="5"/>
  <c r="C1313" i="5" l="1"/>
  <c r="I1312" i="5"/>
  <c r="F1312" i="5"/>
  <c r="N1316" i="5"/>
  <c r="K1317" i="5"/>
  <c r="L1315" i="5"/>
  <c r="Q1314" i="5"/>
  <c r="N1317" i="5" l="1"/>
  <c r="K1318" i="5"/>
  <c r="L1316" i="5"/>
  <c r="Q1315" i="5"/>
  <c r="I1313" i="5"/>
  <c r="F1313" i="5"/>
  <c r="C1314" i="5"/>
  <c r="C1315" i="5" l="1"/>
  <c r="F1314" i="5"/>
  <c r="I1314" i="5"/>
  <c r="N1318" i="5"/>
  <c r="K1319" i="5"/>
  <c r="L1317" i="5"/>
  <c r="Q1316" i="5"/>
  <c r="N1319" i="5" l="1"/>
  <c r="K1320" i="5"/>
  <c r="L1318" i="5"/>
  <c r="Q1317" i="5"/>
  <c r="I1315" i="5"/>
  <c r="F1315" i="5"/>
  <c r="C1316" i="5"/>
  <c r="C1317" i="5" l="1"/>
  <c r="I1316" i="5"/>
  <c r="F1316" i="5"/>
  <c r="L1319" i="5"/>
  <c r="Q1318" i="5"/>
  <c r="K1321" i="5"/>
  <c r="N1320" i="5"/>
  <c r="L1320" i="5" l="1"/>
  <c r="Q1319" i="5"/>
  <c r="N1321" i="5"/>
  <c r="K1322" i="5"/>
  <c r="I1317" i="5"/>
  <c r="C1318" i="5"/>
  <c r="F1317" i="5"/>
  <c r="F1318" i="5" l="1"/>
  <c r="C1319" i="5"/>
  <c r="I1318" i="5"/>
  <c r="N1322" i="5"/>
  <c r="K1323" i="5"/>
  <c r="L1321" i="5"/>
  <c r="Q1320" i="5"/>
  <c r="L1322" i="5" l="1"/>
  <c r="Q1321" i="5"/>
  <c r="K1324" i="5"/>
  <c r="N1323" i="5"/>
  <c r="C1320" i="5"/>
  <c r="I1319" i="5"/>
  <c r="F1319" i="5"/>
  <c r="K1325" i="5" l="1"/>
  <c r="N1324" i="5"/>
  <c r="C1321" i="5"/>
  <c r="I1320" i="5"/>
  <c r="F1320" i="5"/>
  <c r="L1323" i="5"/>
  <c r="Q1322" i="5"/>
  <c r="L1324" i="5" l="1"/>
  <c r="Q1323" i="5"/>
  <c r="N1325" i="5"/>
  <c r="K1326" i="5"/>
  <c r="I1321" i="5"/>
  <c r="C1322" i="5"/>
  <c r="F1321" i="5"/>
  <c r="C1323" i="5" l="1"/>
  <c r="I1322" i="5"/>
  <c r="F1322" i="5"/>
  <c r="K1327" i="5"/>
  <c r="N1326" i="5"/>
  <c r="L1325" i="5"/>
  <c r="Q1324" i="5"/>
  <c r="N1327" i="5" l="1"/>
  <c r="K1328" i="5"/>
  <c r="L1326" i="5"/>
  <c r="Q1325" i="5"/>
  <c r="C1324" i="5"/>
  <c r="I1323" i="5"/>
  <c r="F1323" i="5"/>
  <c r="I1324" i="5" l="1"/>
  <c r="C1325" i="5"/>
  <c r="F1324" i="5"/>
  <c r="L1327" i="5"/>
  <c r="Q1326" i="5"/>
  <c r="K1329" i="5"/>
  <c r="N1328" i="5"/>
  <c r="L1328" i="5" l="1"/>
  <c r="Q1327" i="5"/>
  <c r="N1329" i="5"/>
  <c r="K1330" i="5"/>
  <c r="C1326" i="5"/>
  <c r="F1325" i="5"/>
  <c r="I1325" i="5"/>
  <c r="C1327" i="5" l="1"/>
  <c r="I1326" i="5"/>
  <c r="F1326" i="5"/>
  <c r="N1330" i="5"/>
  <c r="K1331" i="5"/>
  <c r="L1329" i="5"/>
  <c r="Q1328" i="5"/>
  <c r="L1330" i="5" l="1"/>
  <c r="Q1329" i="5"/>
  <c r="N1331" i="5"/>
  <c r="K1332" i="5"/>
  <c r="C1328" i="5"/>
  <c r="I1327" i="5"/>
  <c r="F1327" i="5"/>
  <c r="I1328" i="5" l="1"/>
  <c r="C1329" i="5"/>
  <c r="F1328" i="5"/>
  <c r="K1333" i="5"/>
  <c r="N1332" i="5"/>
  <c r="L1331" i="5"/>
  <c r="Q1330" i="5"/>
  <c r="N1333" i="5" l="1"/>
  <c r="K1334" i="5"/>
  <c r="L1332" i="5"/>
  <c r="Q1331" i="5"/>
  <c r="F1329" i="5"/>
  <c r="C1330" i="5"/>
  <c r="I1329" i="5"/>
  <c r="C1331" i="5" l="1"/>
  <c r="F1330" i="5"/>
  <c r="I1330" i="5"/>
  <c r="K1335" i="5"/>
  <c r="N1334" i="5"/>
  <c r="L1333" i="5"/>
  <c r="Q1332" i="5"/>
  <c r="N1335" i="5" l="1"/>
  <c r="K1336" i="5"/>
  <c r="L1334" i="5"/>
  <c r="Q1333" i="5"/>
  <c r="C1332" i="5"/>
  <c r="I1331" i="5"/>
  <c r="F1331" i="5"/>
  <c r="I1332" i="5" l="1"/>
  <c r="C1333" i="5"/>
  <c r="F1332" i="5"/>
  <c r="L1335" i="5"/>
  <c r="Q1334" i="5"/>
  <c r="K1337" i="5"/>
  <c r="N1336" i="5"/>
  <c r="N1337" i="5" l="1"/>
  <c r="K1338" i="5"/>
  <c r="L1336" i="5"/>
  <c r="Q1335" i="5"/>
  <c r="C1334" i="5"/>
  <c r="F1333" i="5"/>
  <c r="I1333" i="5"/>
  <c r="C1335" i="5" l="1"/>
  <c r="F1334" i="5"/>
  <c r="I1334" i="5"/>
  <c r="N1338" i="5"/>
  <c r="K1339" i="5"/>
  <c r="L1337" i="5"/>
  <c r="Q1336" i="5"/>
  <c r="N1339" i="5" l="1"/>
  <c r="K1340" i="5"/>
  <c r="L1338" i="5"/>
  <c r="Q1337" i="5"/>
  <c r="I1335" i="5"/>
  <c r="C1336" i="5"/>
  <c r="F1335" i="5"/>
  <c r="C1337" i="5" l="1"/>
  <c r="F1336" i="5"/>
  <c r="I1336" i="5"/>
  <c r="N1340" i="5"/>
  <c r="K1341" i="5"/>
  <c r="L1339" i="5"/>
  <c r="Q1338" i="5"/>
  <c r="L1340" i="5" l="1"/>
  <c r="Q1339" i="5"/>
  <c r="N1341" i="5"/>
  <c r="K1342" i="5"/>
  <c r="F1337" i="5"/>
  <c r="C1338" i="5"/>
  <c r="I1337" i="5"/>
  <c r="K1343" i="5" l="1"/>
  <c r="N1342" i="5"/>
  <c r="F1338" i="5"/>
  <c r="C1339" i="5"/>
  <c r="I1338" i="5"/>
  <c r="L1341" i="5"/>
  <c r="Q1340" i="5"/>
  <c r="L1342" i="5" l="1"/>
  <c r="Q1341" i="5"/>
  <c r="I1339" i="5"/>
  <c r="F1339" i="5"/>
  <c r="C1340" i="5"/>
  <c r="K1344" i="5"/>
  <c r="N1343" i="5"/>
  <c r="N1344" i="5" l="1"/>
  <c r="K1345" i="5"/>
  <c r="F1340" i="5"/>
  <c r="C1341" i="5"/>
  <c r="I1340" i="5"/>
  <c r="L1343" i="5"/>
  <c r="Q1342" i="5"/>
  <c r="L1344" i="5" l="1"/>
  <c r="Q1343" i="5"/>
  <c r="K1346" i="5"/>
  <c r="N1345" i="5"/>
  <c r="F1341" i="5"/>
  <c r="C1342" i="5"/>
  <c r="I1341" i="5"/>
  <c r="K1347" i="5" l="1"/>
  <c r="N1346" i="5"/>
  <c r="F1342" i="5"/>
  <c r="C1343" i="5"/>
  <c r="I1342" i="5"/>
  <c r="L1345" i="5"/>
  <c r="Q1344" i="5"/>
  <c r="L1346" i="5" l="1"/>
  <c r="Q1345" i="5"/>
  <c r="I1343" i="5"/>
  <c r="F1343" i="5"/>
  <c r="C1344" i="5"/>
  <c r="K1348" i="5"/>
  <c r="N1347" i="5"/>
  <c r="C1345" i="5" l="1"/>
  <c r="F1344" i="5"/>
  <c r="I1344" i="5"/>
  <c r="N1348" i="5"/>
  <c r="K1349" i="5"/>
  <c r="L1347" i="5"/>
  <c r="Q1346" i="5"/>
  <c r="L1348" i="5" l="1"/>
  <c r="Q1347" i="5"/>
  <c r="N1349" i="5"/>
  <c r="K1350" i="5"/>
  <c r="F1345" i="5"/>
  <c r="C1346" i="5"/>
  <c r="I1345" i="5"/>
  <c r="K1351" i="5" l="1"/>
  <c r="N1350" i="5"/>
  <c r="I1346" i="5"/>
  <c r="F1346" i="5"/>
  <c r="C1347" i="5"/>
  <c r="L1349" i="5"/>
  <c r="Q1348" i="5"/>
  <c r="C1348" i="5" l="1"/>
  <c r="F1347" i="5"/>
  <c r="I1347" i="5"/>
  <c r="L1350" i="5"/>
  <c r="Q1349" i="5"/>
  <c r="K1352" i="5"/>
  <c r="N1351" i="5"/>
  <c r="L1351" i="5" l="1"/>
  <c r="Q1350" i="5"/>
  <c r="N1352" i="5"/>
  <c r="K1353" i="5"/>
  <c r="I1348" i="5"/>
  <c r="F1348" i="5"/>
  <c r="C1349" i="5"/>
  <c r="N1353" i="5" l="1"/>
  <c r="K1354" i="5"/>
  <c r="F1349" i="5"/>
  <c r="C1350" i="5"/>
  <c r="I1349" i="5"/>
  <c r="L1352" i="5"/>
  <c r="Q1351" i="5"/>
  <c r="I1350" i="5" l="1"/>
  <c r="F1350" i="5"/>
  <c r="C1351" i="5"/>
  <c r="L1353" i="5"/>
  <c r="Q1352" i="5"/>
  <c r="N1354" i="5"/>
  <c r="K1355" i="5"/>
  <c r="L1354" i="5" l="1"/>
  <c r="Q1353" i="5"/>
  <c r="K1356" i="5"/>
  <c r="N1355" i="5"/>
  <c r="F1351" i="5"/>
  <c r="C1352" i="5"/>
  <c r="I1351" i="5"/>
  <c r="K1357" i="5" l="1"/>
  <c r="N1356" i="5"/>
  <c r="I1352" i="5"/>
  <c r="F1352" i="5"/>
  <c r="C1353" i="5"/>
  <c r="L1355" i="5"/>
  <c r="Q1354" i="5"/>
  <c r="I1353" i="5" l="1"/>
  <c r="C1354" i="5"/>
  <c r="F1353" i="5"/>
  <c r="L1356" i="5"/>
  <c r="Q1355" i="5"/>
  <c r="K1358" i="5"/>
  <c r="N1357" i="5"/>
  <c r="N1358" i="5" l="1"/>
  <c r="K1359" i="5"/>
  <c r="I1354" i="5"/>
  <c r="F1354" i="5"/>
  <c r="C1355" i="5"/>
  <c r="L1357" i="5"/>
  <c r="Q1356" i="5"/>
  <c r="C1356" i="5" l="1"/>
  <c r="I1355" i="5"/>
  <c r="F1355" i="5"/>
  <c r="L1358" i="5"/>
  <c r="Q1357" i="5"/>
  <c r="N1359" i="5"/>
  <c r="K1360" i="5"/>
  <c r="L1359" i="5" l="1"/>
  <c r="Q1358" i="5"/>
  <c r="N1360" i="5"/>
  <c r="K1361" i="5"/>
  <c r="C1357" i="5"/>
  <c r="I1356" i="5"/>
  <c r="F1356" i="5"/>
  <c r="K1362" i="5" l="1"/>
  <c r="N1361" i="5"/>
  <c r="I1357" i="5"/>
  <c r="C1358" i="5"/>
  <c r="F1357" i="5"/>
  <c r="L1360" i="5"/>
  <c r="Q1359" i="5"/>
  <c r="L1361" i="5" l="1"/>
  <c r="Q1360" i="5"/>
  <c r="C1359" i="5"/>
  <c r="F1358" i="5"/>
  <c r="I1358" i="5"/>
  <c r="K1363" i="5"/>
  <c r="N1362" i="5"/>
  <c r="C1360" i="5" l="1"/>
  <c r="I1359" i="5"/>
  <c r="F1359" i="5"/>
  <c r="N1363" i="5"/>
  <c r="K1364" i="5"/>
  <c r="L1362" i="5"/>
  <c r="Q1361" i="5"/>
  <c r="K1365" i="5" l="1"/>
  <c r="N1364" i="5"/>
  <c r="L1363" i="5"/>
  <c r="Q1362" i="5"/>
  <c r="F1360" i="5"/>
  <c r="C1361" i="5"/>
  <c r="I1360" i="5"/>
  <c r="L1364" i="5" l="1"/>
  <c r="Q1363" i="5"/>
  <c r="I1361" i="5"/>
  <c r="F1361" i="5"/>
  <c r="C1362" i="5"/>
  <c r="K1366" i="5"/>
  <c r="N1365" i="5"/>
  <c r="K1367" i="5" l="1"/>
  <c r="N1366" i="5"/>
  <c r="F1362" i="5"/>
  <c r="C1363" i="5"/>
  <c r="I1362" i="5"/>
  <c r="L1365" i="5"/>
  <c r="Q1364" i="5"/>
  <c r="L1366" i="5" l="1"/>
  <c r="Q1365" i="5"/>
  <c r="C1364" i="5"/>
  <c r="I1363" i="5"/>
  <c r="F1363" i="5"/>
  <c r="K1368" i="5"/>
  <c r="N1367" i="5"/>
  <c r="K1369" i="5" l="1"/>
  <c r="N1368" i="5"/>
  <c r="I1364" i="5"/>
  <c r="F1364" i="5"/>
  <c r="C1365" i="5"/>
  <c r="L1367" i="5"/>
  <c r="Q1366" i="5"/>
  <c r="L1368" i="5" l="1"/>
  <c r="Q1367" i="5"/>
  <c r="I1365" i="5"/>
  <c r="C1366" i="5"/>
  <c r="F1365" i="5"/>
  <c r="K1370" i="5"/>
  <c r="N1369" i="5"/>
  <c r="N1370" i="5" l="1"/>
  <c r="K1371" i="5"/>
  <c r="C1367" i="5"/>
  <c r="I1366" i="5"/>
  <c r="F1366" i="5"/>
  <c r="L1369" i="5"/>
  <c r="Q1368" i="5"/>
  <c r="L1370" i="5" l="1"/>
  <c r="Q1369" i="5"/>
  <c r="N1371" i="5"/>
  <c r="K1372" i="5"/>
  <c r="I1367" i="5"/>
  <c r="C1368" i="5"/>
  <c r="F1367" i="5"/>
  <c r="K1373" i="5" l="1"/>
  <c r="N1372" i="5"/>
  <c r="I1368" i="5"/>
  <c r="C1369" i="5"/>
  <c r="F1368" i="5"/>
  <c r="L1371" i="5"/>
  <c r="Q1370" i="5"/>
  <c r="L1372" i="5" l="1"/>
  <c r="Q1371" i="5"/>
  <c r="C1370" i="5"/>
  <c r="F1369" i="5"/>
  <c r="I1369" i="5"/>
  <c r="N1373" i="5"/>
  <c r="K1374" i="5"/>
  <c r="C1371" i="5" l="1"/>
  <c r="I1370" i="5"/>
  <c r="F1370" i="5"/>
  <c r="N1374" i="5"/>
  <c r="K1375" i="5"/>
  <c r="L1373" i="5"/>
  <c r="Q1372" i="5"/>
  <c r="K1376" i="5" l="1"/>
  <c r="N1375" i="5"/>
  <c r="L1374" i="5"/>
  <c r="Q1373" i="5"/>
  <c r="F1371" i="5"/>
  <c r="C1372" i="5"/>
  <c r="I1371" i="5"/>
  <c r="L1375" i="5" l="1"/>
  <c r="Q1374" i="5"/>
  <c r="I1372" i="5"/>
  <c r="F1372" i="5"/>
  <c r="C1373" i="5"/>
  <c r="K1377" i="5"/>
  <c r="N1376" i="5"/>
  <c r="F1373" i="5" l="1"/>
  <c r="C1374" i="5"/>
  <c r="I1373" i="5"/>
  <c r="K1378" i="5"/>
  <c r="N1377" i="5"/>
  <c r="L1376" i="5"/>
  <c r="Q1375" i="5"/>
  <c r="K1379" i="5" l="1"/>
  <c r="N1378" i="5"/>
  <c r="L1377" i="5"/>
  <c r="Q1376" i="5"/>
  <c r="C1375" i="5"/>
  <c r="I1374" i="5"/>
  <c r="F1374" i="5"/>
  <c r="C1376" i="5" l="1"/>
  <c r="I1375" i="5"/>
  <c r="F1375" i="5"/>
  <c r="L1378" i="5"/>
  <c r="Q1377" i="5"/>
  <c r="K1380" i="5"/>
  <c r="N1379" i="5"/>
  <c r="N1380" i="5" l="1"/>
  <c r="K1381" i="5"/>
  <c r="L1379" i="5"/>
  <c r="Q1378" i="5"/>
  <c r="I1376" i="5"/>
  <c r="C1377" i="5"/>
  <c r="F1376" i="5"/>
  <c r="C1378" i="5" l="1"/>
  <c r="I1377" i="5"/>
  <c r="F1377" i="5"/>
  <c r="N1381" i="5"/>
  <c r="K1382" i="5"/>
  <c r="L1380" i="5"/>
  <c r="Q1379" i="5"/>
  <c r="L1381" i="5" l="1"/>
  <c r="Q1380" i="5"/>
  <c r="N1382" i="5"/>
  <c r="K1383" i="5"/>
  <c r="I1378" i="5"/>
  <c r="F1378" i="5"/>
  <c r="C1379" i="5"/>
  <c r="I1379" i="5" l="1"/>
  <c r="C1380" i="5"/>
  <c r="F1379" i="5"/>
  <c r="K1384" i="5"/>
  <c r="N1383" i="5"/>
  <c r="L1382" i="5"/>
  <c r="Q1381" i="5"/>
  <c r="N1384" i="5" l="1"/>
  <c r="K1385" i="5"/>
  <c r="L1383" i="5"/>
  <c r="Q1382" i="5"/>
  <c r="C1381" i="5"/>
  <c r="F1380" i="5"/>
  <c r="I1380" i="5"/>
  <c r="C1382" i="5" l="1"/>
  <c r="I1381" i="5"/>
  <c r="F1381" i="5"/>
  <c r="N1385" i="5"/>
  <c r="K1386" i="5"/>
  <c r="L1384" i="5"/>
  <c r="Q1383" i="5"/>
  <c r="L1385" i="5" l="1"/>
  <c r="Q1384" i="5"/>
  <c r="K1387" i="5"/>
  <c r="N1386" i="5"/>
  <c r="C1383" i="5"/>
  <c r="I1382" i="5"/>
  <c r="F1382" i="5"/>
  <c r="I1383" i="5" l="1"/>
  <c r="F1383" i="5"/>
  <c r="C1384" i="5"/>
  <c r="N1387" i="5"/>
  <c r="K1388" i="5"/>
  <c r="L1386" i="5"/>
  <c r="Q1385" i="5"/>
  <c r="K1389" i="5" l="1"/>
  <c r="N1388" i="5"/>
  <c r="L1387" i="5"/>
  <c r="Q1386" i="5"/>
  <c r="F1384" i="5"/>
  <c r="C1385" i="5"/>
  <c r="I1384" i="5"/>
  <c r="F1385" i="5" l="1"/>
  <c r="C1386" i="5"/>
  <c r="I1385" i="5"/>
  <c r="K1390" i="5"/>
  <c r="N1389" i="5"/>
  <c r="L1388" i="5"/>
  <c r="Q1387" i="5"/>
  <c r="N1390" i="5" l="1"/>
  <c r="K1391" i="5"/>
  <c r="L1389" i="5"/>
  <c r="Q1388" i="5"/>
  <c r="I1386" i="5"/>
  <c r="C1387" i="5"/>
  <c r="F1386" i="5"/>
  <c r="L1390" i="5" l="1"/>
  <c r="Q1389" i="5"/>
  <c r="I1387" i="5"/>
  <c r="C1388" i="5"/>
  <c r="F1387" i="5"/>
  <c r="K1392" i="5"/>
  <c r="N1391" i="5"/>
  <c r="C1389" i="5" l="1"/>
  <c r="I1388" i="5"/>
  <c r="F1388" i="5"/>
  <c r="N1392" i="5"/>
  <c r="K1393" i="5"/>
  <c r="L1391" i="5"/>
  <c r="Q1390" i="5"/>
  <c r="L1392" i="5" l="1"/>
  <c r="Q1391" i="5"/>
  <c r="N1393" i="5"/>
  <c r="K1394" i="5"/>
  <c r="I1389" i="5"/>
  <c r="C1390" i="5"/>
  <c r="F1389" i="5"/>
  <c r="K1395" i="5" l="1"/>
  <c r="N1394" i="5"/>
  <c r="I1390" i="5"/>
  <c r="C1391" i="5"/>
  <c r="F1390" i="5"/>
  <c r="L1393" i="5"/>
  <c r="Q1392" i="5"/>
  <c r="L1394" i="5" l="1"/>
  <c r="Q1393" i="5"/>
  <c r="C1392" i="5"/>
  <c r="F1391" i="5"/>
  <c r="I1391" i="5"/>
  <c r="N1395" i="5"/>
  <c r="K1396" i="5"/>
  <c r="I1392" i="5" l="1"/>
  <c r="F1392" i="5"/>
  <c r="C1393" i="5"/>
  <c r="N1396" i="5"/>
  <c r="K1397" i="5"/>
  <c r="L1395" i="5"/>
  <c r="Q1394" i="5"/>
  <c r="L1396" i="5" l="1"/>
  <c r="Q1395" i="5"/>
  <c r="K1398" i="5"/>
  <c r="N1397" i="5"/>
  <c r="F1393" i="5"/>
  <c r="C1394" i="5"/>
  <c r="I1393" i="5"/>
  <c r="I1394" i="5" l="1"/>
  <c r="F1394" i="5"/>
  <c r="C1395" i="5"/>
  <c r="K1399" i="5"/>
  <c r="N1398" i="5"/>
  <c r="L1397" i="5"/>
  <c r="Q1396" i="5"/>
  <c r="L1398" i="5" l="1"/>
  <c r="Q1397" i="5"/>
  <c r="K1400" i="5"/>
  <c r="N1399" i="5"/>
  <c r="F1395" i="5"/>
  <c r="C1396" i="5"/>
  <c r="I1395" i="5"/>
  <c r="K1401" i="5" l="1"/>
  <c r="N1400" i="5"/>
  <c r="C1397" i="5"/>
  <c r="I1396" i="5"/>
  <c r="F1396" i="5"/>
  <c r="L1399" i="5"/>
  <c r="Q1398" i="5"/>
  <c r="L1400" i="5" l="1"/>
  <c r="Q1399" i="5"/>
  <c r="I1397" i="5"/>
  <c r="F1397" i="5"/>
  <c r="C1398" i="5"/>
  <c r="K1402" i="5"/>
  <c r="N1401" i="5"/>
  <c r="I1398" i="5" l="1"/>
  <c r="C1399" i="5"/>
  <c r="F1398" i="5"/>
  <c r="K1403" i="5"/>
  <c r="N1402" i="5"/>
  <c r="L1401" i="5"/>
  <c r="Q1400" i="5"/>
  <c r="C1400" i="5" l="1"/>
  <c r="I1399" i="5"/>
  <c r="F1399" i="5"/>
  <c r="L1402" i="5"/>
  <c r="Q1401" i="5"/>
  <c r="N1403" i="5"/>
  <c r="K1404" i="5"/>
  <c r="L1403" i="5" l="1"/>
  <c r="Q1402" i="5"/>
  <c r="N1404" i="5"/>
  <c r="K1405" i="5"/>
  <c r="I1400" i="5"/>
  <c r="C1401" i="5"/>
  <c r="F1400" i="5"/>
  <c r="K1406" i="5" l="1"/>
  <c r="N1405" i="5"/>
  <c r="I1401" i="5"/>
  <c r="C1402" i="5"/>
  <c r="F1401" i="5"/>
  <c r="L1404" i="5"/>
  <c r="Q1403" i="5"/>
  <c r="C1403" i="5" l="1"/>
  <c r="F1402" i="5"/>
  <c r="I1402" i="5"/>
  <c r="L1405" i="5"/>
  <c r="Q1404" i="5"/>
  <c r="N1406" i="5"/>
  <c r="K1407" i="5"/>
  <c r="L1406" i="5" l="1"/>
  <c r="Q1405" i="5"/>
  <c r="K1408" i="5"/>
  <c r="N1407" i="5"/>
  <c r="C1404" i="5"/>
  <c r="I1403" i="5"/>
  <c r="F1403" i="5"/>
  <c r="K1409" i="5" l="1"/>
  <c r="N1408" i="5"/>
  <c r="F1404" i="5"/>
  <c r="C1405" i="5"/>
  <c r="I1404" i="5"/>
  <c r="L1407" i="5"/>
  <c r="Q1406" i="5"/>
  <c r="I1405" i="5" l="1"/>
  <c r="F1405" i="5"/>
  <c r="C1406" i="5"/>
  <c r="L1408" i="5"/>
  <c r="Q1407" i="5"/>
  <c r="N1409" i="5"/>
  <c r="K1410" i="5"/>
  <c r="L1409" i="5" l="1"/>
  <c r="Q1408" i="5"/>
  <c r="K1411" i="5"/>
  <c r="N1410" i="5"/>
  <c r="F1406" i="5"/>
  <c r="C1407" i="5"/>
  <c r="I1406" i="5"/>
  <c r="N1411" i="5" l="1"/>
  <c r="K1412" i="5"/>
  <c r="F1407" i="5"/>
  <c r="C1408" i="5"/>
  <c r="I1407" i="5"/>
  <c r="L1410" i="5"/>
  <c r="Q1409" i="5"/>
  <c r="L1411" i="5" l="1"/>
  <c r="Q1410" i="5"/>
  <c r="N1412" i="5"/>
  <c r="K1413" i="5"/>
  <c r="I1408" i="5"/>
  <c r="C1409" i="5"/>
  <c r="F1408" i="5"/>
  <c r="K1414" i="5" l="1"/>
  <c r="N1413" i="5"/>
  <c r="I1409" i="5"/>
  <c r="C1410" i="5"/>
  <c r="F1409" i="5"/>
  <c r="L1412" i="5"/>
  <c r="Q1411" i="5"/>
  <c r="F1410" i="5" l="1"/>
  <c r="I1410" i="5"/>
  <c r="C1411" i="5"/>
  <c r="L1413" i="5"/>
  <c r="Q1412" i="5"/>
  <c r="K1415" i="5"/>
  <c r="N1414" i="5"/>
  <c r="L1414" i="5" l="1"/>
  <c r="Q1413" i="5"/>
  <c r="K1416" i="5"/>
  <c r="N1415" i="5"/>
  <c r="F1411" i="5"/>
  <c r="C1412" i="5"/>
  <c r="I1411" i="5"/>
  <c r="N1416" i="5" l="1"/>
  <c r="K1417" i="5"/>
  <c r="C1413" i="5"/>
  <c r="I1412" i="5"/>
  <c r="F1412" i="5"/>
  <c r="L1415" i="5"/>
  <c r="Q1414" i="5"/>
  <c r="L1416" i="5" l="1"/>
  <c r="Q1415" i="5"/>
  <c r="I1413" i="5"/>
  <c r="F1413" i="5"/>
  <c r="C1414" i="5"/>
  <c r="N1417" i="5"/>
  <c r="K1418" i="5"/>
  <c r="I1414" i="5" l="1"/>
  <c r="C1415" i="5"/>
  <c r="F1414" i="5"/>
  <c r="N1418" i="5"/>
  <c r="K1419" i="5"/>
  <c r="L1417" i="5"/>
  <c r="Q1416" i="5"/>
  <c r="K1420" i="5" l="1"/>
  <c r="N1419" i="5"/>
  <c r="L1418" i="5"/>
  <c r="Q1417" i="5"/>
  <c r="C1416" i="5"/>
  <c r="F1415" i="5"/>
  <c r="I1415" i="5"/>
  <c r="C1417" i="5" l="1"/>
  <c r="I1416" i="5"/>
  <c r="F1416" i="5"/>
  <c r="L1419" i="5"/>
  <c r="Q1418" i="5"/>
  <c r="K1421" i="5"/>
  <c r="N1420" i="5"/>
  <c r="L1420" i="5" l="1"/>
  <c r="Q1419" i="5"/>
  <c r="N1421" i="5"/>
  <c r="K1422" i="5"/>
  <c r="C1418" i="5"/>
  <c r="I1417" i="5"/>
  <c r="F1417" i="5"/>
  <c r="N1422" i="5" l="1"/>
  <c r="K1423" i="5"/>
  <c r="I1418" i="5"/>
  <c r="F1418" i="5"/>
  <c r="C1419" i="5"/>
  <c r="L1421" i="5"/>
  <c r="Q1420" i="5"/>
  <c r="I1419" i="5" l="1"/>
  <c r="C1420" i="5"/>
  <c r="F1419" i="5"/>
  <c r="K1424" i="5"/>
  <c r="N1423" i="5"/>
  <c r="L1422" i="5"/>
  <c r="Q1421" i="5"/>
  <c r="C1421" i="5" l="1"/>
  <c r="F1420" i="5"/>
  <c r="I1420" i="5"/>
  <c r="L1423" i="5"/>
  <c r="Q1422" i="5"/>
  <c r="N1424" i="5"/>
  <c r="K1425" i="5"/>
  <c r="L1424" i="5" l="1"/>
  <c r="Q1423" i="5"/>
  <c r="K1426" i="5"/>
  <c r="N1425" i="5"/>
  <c r="F1421" i="5"/>
  <c r="C1422" i="5"/>
  <c r="I1421" i="5"/>
  <c r="K1427" i="5" l="1"/>
  <c r="N1426" i="5"/>
  <c r="F1422" i="5"/>
  <c r="C1423" i="5"/>
  <c r="I1422" i="5"/>
  <c r="L1425" i="5"/>
  <c r="Q1424" i="5"/>
  <c r="L1426" i="5" l="1"/>
  <c r="Q1425" i="5"/>
  <c r="I1423" i="5"/>
  <c r="F1423" i="5"/>
  <c r="C1424" i="5"/>
  <c r="N1427" i="5"/>
  <c r="K1428" i="5"/>
  <c r="I1424" i="5" l="1"/>
  <c r="F1424" i="5"/>
  <c r="C1425" i="5"/>
  <c r="K1429" i="5"/>
  <c r="N1428" i="5"/>
  <c r="L1427" i="5"/>
  <c r="Q1426" i="5"/>
  <c r="N1429" i="5" l="1"/>
  <c r="K1430" i="5"/>
  <c r="L1428" i="5"/>
  <c r="Q1427" i="5"/>
  <c r="C1426" i="5"/>
  <c r="F1425" i="5"/>
  <c r="I1425" i="5"/>
  <c r="I1426" i="5" l="1"/>
  <c r="C1427" i="5"/>
  <c r="F1426" i="5"/>
  <c r="K1431" i="5"/>
  <c r="N1430" i="5"/>
  <c r="L1429" i="5"/>
  <c r="Q1428" i="5"/>
  <c r="K1432" i="5" l="1"/>
  <c r="N1431" i="5"/>
  <c r="L1430" i="5"/>
  <c r="Q1429" i="5"/>
  <c r="C1428" i="5"/>
  <c r="I1427" i="5"/>
  <c r="F1427" i="5"/>
  <c r="L1431" i="5" l="1"/>
  <c r="Q1430" i="5"/>
  <c r="I1428" i="5"/>
  <c r="F1428" i="5"/>
  <c r="C1429" i="5"/>
  <c r="K1433" i="5"/>
  <c r="N1432" i="5"/>
  <c r="F1429" i="5" l="1"/>
  <c r="C1430" i="5"/>
  <c r="I1429" i="5"/>
  <c r="N1433" i="5"/>
  <c r="K1434" i="5"/>
  <c r="L1432" i="5"/>
  <c r="Q1431" i="5"/>
  <c r="N1434" i="5" l="1"/>
  <c r="K1435" i="5"/>
  <c r="L1433" i="5"/>
  <c r="Q1432" i="5"/>
  <c r="C1431" i="5"/>
  <c r="I1430" i="5"/>
  <c r="F1430" i="5"/>
  <c r="I1431" i="5" l="1"/>
  <c r="C1432" i="5"/>
  <c r="F1431" i="5"/>
  <c r="K1436" i="5"/>
  <c r="N1435" i="5"/>
  <c r="L1434" i="5"/>
  <c r="Q1433" i="5"/>
  <c r="K1437" i="5" l="1"/>
  <c r="N1436" i="5"/>
  <c r="L1435" i="5"/>
  <c r="Q1434" i="5"/>
  <c r="F1432" i="5"/>
  <c r="C1433" i="5"/>
  <c r="I1432" i="5"/>
  <c r="I1433" i="5" l="1"/>
  <c r="F1433" i="5"/>
  <c r="C1434" i="5"/>
  <c r="L1436" i="5"/>
  <c r="Q1435" i="5"/>
  <c r="K1438" i="5"/>
  <c r="N1437" i="5"/>
  <c r="K1439" i="5" l="1"/>
  <c r="N1438" i="5"/>
  <c r="L1437" i="5"/>
  <c r="Q1436" i="5"/>
  <c r="F1434" i="5"/>
  <c r="C1435" i="5"/>
  <c r="I1434" i="5"/>
  <c r="L1438" i="5" l="1"/>
  <c r="Q1437" i="5"/>
  <c r="C1436" i="5"/>
  <c r="I1435" i="5"/>
  <c r="F1435" i="5"/>
  <c r="N1439" i="5"/>
  <c r="K1440" i="5"/>
  <c r="N1440" i="5" l="1"/>
  <c r="K1441" i="5"/>
  <c r="I1436" i="5"/>
  <c r="C1437" i="5"/>
  <c r="F1436" i="5"/>
  <c r="L1439" i="5"/>
  <c r="Q1438" i="5"/>
  <c r="I1437" i="5" l="1"/>
  <c r="C1438" i="5"/>
  <c r="F1437" i="5"/>
  <c r="L1440" i="5"/>
  <c r="Q1439" i="5"/>
  <c r="K1442" i="5"/>
  <c r="N1441" i="5"/>
  <c r="L1441" i="5" l="1"/>
  <c r="Q1440" i="5"/>
  <c r="K1443" i="5"/>
  <c r="N1442" i="5"/>
  <c r="F1438" i="5"/>
  <c r="C1439" i="5"/>
  <c r="I1438" i="5"/>
  <c r="K1444" i="5" l="1"/>
  <c r="N1443" i="5"/>
  <c r="F1439" i="5"/>
  <c r="C1440" i="5"/>
  <c r="I1439" i="5"/>
  <c r="L1442" i="5"/>
  <c r="Q1441" i="5"/>
  <c r="L1443" i="5" l="1"/>
  <c r="Q1442" i="5"/>
  <c r="F1440" i="5"/>
  <c r="C1441" i="5"/>
  <c r="I1440" i="5"/>
  <c r="N1444" i="5"/>
  <c r="K1445" i="5"/>
  <c r="N1445" i="5" l="1"/>
  <c r="K1446" i="5"/>
  <c r="I1441" i="5"/>
  <c r="F1441" i="5"/>
  <c r="C1442" i="5"/>
  <c r="L1444" i="5"/>
  <c r="Q1443" i="5"/>
  <c r="I1442" i="5" l="1"/>
  <c r="C1443" i="5"/>
  <c r="F1442" i="5"/>
  <c r="L1445" i="5"/>
  <c r="Q1444" i="5"/>
  <c r="K1447" i="5"/>
  <c r="N1446" i="5"/>
  <c r="L1446" i="5" l="1"/>
  <c r="Q1445" i="5"/>
  <c r="K1448" i="5"/>
  <c r="N1447" i="5"/>
  <c r="F1443" i="5"/>
  <c r="C1444" i="5"/>
  <c r="I1443" i="5"/>
  <c r="C1445" i="5" l="1"/>
  <c r="I1444" i="5"/>
  <c r="F1444" i="5"/>
  <c r="K1449" i="5"/>
  <c r="N1448" i="5"/>
  <c r="L1447" i="5"/>
  <c r="Q1446" i="5"/>
  <c r="N1449" i="5" l="1"/>
  <c r="K1450" i="5"/>
  <c r="L1448" i="5"/>
  <c r="Q1447" i="5"/>
  <c r="C1446" i="5"/>
  <c r="I1445" i="5"/>
  <c r="F1445" i="5"/>
  <c r="I1446" i="5" l="1"/>
  <c r="F1446" i="5"/>
  <c r="C1447" i="5"/>
  <c r="L1449" i="5"/>
  <c r="Q1448" i="5"/>
  <c r="N1450" i="5"/>
  <c r="K1451" i="5"/>
  <c r="K1452" i="5" l="1"/>
  <c r="N1451" i="5"/>
  <c r="L1450" i="5"/>
  <c r="Q1449" i="5"/>
  <c r="I1447" i="5"/>
  <c r="C1448" i="5"/>
  <c r="F1447" i="5"/>
  <c r="L1451" i="5" l="1"/>
  <c r="Q1450" i="5"/>
  <c r="C1449" i="5"/>
  <c r="F1448" i="5"/>
  <c r="I1448" i="5"/>
  <c r="N1452" i="5"/>
  <c r="K1453" i="5"/>
  <c r="K1454" i="5" l="1"/>
  <c r="N1453" i="5"/>
  <c r="I1449" i="5"/>
  <c r="F1449" i="5"/>
  <c r="C1450" i="5"/>
  <c r="L1452" i="5"/>
  <c r="Q1451" i="5"/>
  <c r="C1451" i="5" l="1"/>
  <c r="I1450" i="5"/>
  <c r="F1450" i="5"/>
  <c r="L1453" i="5"/>
  <c r="Q1452" i="5"/>
  <c r="K1455" i="5"/>
  <c r="N1454" i="5"/>
  <c r="N1455" i="5" l="1"/>
  <c r="K1456" i="5"/>
  <c r="L1454" i="5"/>
  <c r="Q1453" i="5"/>
  <c r="I1451" i="5"/>
  <c r="C1452" i="5"/>
  <c r="F1451" i="5"/>
  <c r="I1452" i="5" l="1"/>
  <c r="F1452" i="5"/>
  <c r="C1453" i="5"/>
  <c r="L1455" i="5"/>
  <c r="Q1454" i="5"/>
  <c r="N1456" i="5"/>
  <c r="K1457" i="5"/>
  <c r="L1456" i="5" l="1"/>
  <c r="Q1455" i="5"/>
  <c r="K1458" i="5"/>
  <c r="N1457" i="5"/>
  <c r="I1453" i="5"/>
  <c r="F1453" i="5"/>
  <c r="C1454" i="5"/>
  <c r="N1458" i="5" l="1"/>
  <c r="K1459" i="5"/>
  <c r="F1454" i="5"/>
  <c r="I1454" i="5"/>
  <c r="C1455" i="5"/>
  <c r="L1457" i="5"/>
  <c r="Q1456" i="5"/>
  <c r="K1460" i="5" l="1"/>
  <c r="N1459" i="5"/>
  <c r="F1455" i="5"/>
  <c r="I1455" i="5"/>
  <c r="C1456" i="5"/>
  <c r="L1458" i="5"/>
  <c r="Q1457" i="5"/>
  <c r="L1459" i="5" l="1"/>
  <c r="Q1458" i="5"/>
  <c r="F1456" i="5"/>
  <c r="C1457" i="5"/>
  <c r="I1456" i="5"/>
  <c r="N1460" i="5"/>
  <c r="K1461" i="5"/>
  <c r="N1461" i="5" l="1"/>
  <c r="K1462" i="5"/>
  <c r="F1457" i="5"/>
  <c r="C1458" i="5"/>
  <c r="I1457" i="5"/>
  <c r="L1460" i="5"/>
  <c r="Q1459" i="5"/>
  <c r="K1463" i="5" l="1"/>
  <c r="N1462" i="5"/>
  <c r="L1461" i="5"/>
  <c r="Q1460" i="5"/>
  <c r="C1459" i="5"/>
  <c r="I1458" i="5"/>
  <c r="F1458" i="5"/>
  <c r="C1460" i="5" l="1"/>
  <c r="I1459" i="5"/>
  <c r="F1459" i="5"/>
  <c r="L1462" i="5"/>
  <c r="Q1461" i="5"/>
  <c r="K1464" i="5"/>
  <c r="N1463" i="5"/>
  <c r="N1464" i="5" l="1"/>
  <c r="K1465" i="5"/>
  <c r="L1463" i="5"/>
  <c r="Q1462" i="5"/>
  <c r="I1460" i="5"/>
  <c r="C1461" i="5"/>
  <c r="F1460" i="5"/>
  <c r="L1464" i="5" l="1"/>
  <c r="Q1463" i="5"/>
  <c r="C1462" i="5"/>
  <c r="F1461" i="5"/>
  <c r="I1461" i="5"/>
  <c r="N1465" i="5"/>
  <c r="K1466" i="5"/>
  <c r="I1462" i="5" l="1"/>
  <c r="C1463" i="5"/>
  <c r="F1462" i="5"/>
  <c r="N1466" i="5"/>
  <c r="K1467" i="5"/>
  <c r="L1465" i="5"/>
  <c r="Q1464" i="5"/>
  <c r="N1467" i="5" l="1"/>
  <c r="K1468" i="5"/>
  <c r="L1466" i="5"/>
  <c r="Q1465" i="5"/>
  <c r="C1464" i="5"/>
  <c r="I1463" i="5"/>
  <c r="F1463" i="5"/>
  <c r="L1467" i="5" l="1"/>
  <c r="Q1466" i="5"/>
  <c r="K1469" i="5"/>
  <c r="N1468" i="5"/>
  <c r="I1464" i="5"/>
  <c r="C1465" i="5"/>
  <c r="F1464" i="5"/>
  <c r="K1470" i="5" l="1"/>
  <c r="N1469" i="5"/>
  <c r="F1465" i="5"/>
  <c r="C1466" i="5"/>
  <c r="I1465" i="5"/>
  <c r="L1468" i="5"/>
  <c r="Q1467" i="5"/>
  <c r="I1466" i="5" l="1"/>
  <c r="F1466" i="5"/>
  <c r="C1467" i="5"/>
  <c r="L1469" i="5"/>
  <c r="Q1468" i="5"/>
  <c r="K1471" i="5"/>
  <c r="N1470" i="5"/>
  <c r="C1468" i="5" l="1"/>
  <c r="I1467" i="5"/>
  <c r="F1467" i="5"/>
  <c r="K1472" i="5"/>
  <c r="N1471" i="5"/>
  <c r="L1470" i="5"/>
  <c r="Q1469" i="5"/>
  <c r="L1471" i="5" l="1"/>
  <c r="Q1470" i="5"/>
  <c r="K1473" i="5"/>
  <c r="N1472" i="5"/>
  <c r="F1468" i="5"/>
  <c r="I1468" i="5"/>
  <c r="C1469" i="5"/>
  <c r="I1469" i="5" l="1"/>
  <c r="F1469" i="5"/>
  <c r="C1470" i="5"/>
  <c r="K1474" i="5"/>
  <c r="N1473" i="5"/>
  <c r="L1472" i="5"/>
  <c r="Q1471" i="5"/>
  <c r="L1473" i="5" l="1"/>
  <c r="Q1472" i="5"/>
  <c r="K1475" i="5"/>
  <c r="N1474" i="5"/>
  <c r="I1470" i="5"/>
  <c r="F1470" i="5"/>
  <c r="C1471" i="5"/>
  <c r="K1476" i="5" l="1"/>
  <c r="N1475" i="5"/>
  <c r="I1471" i="5"/>
  <c r="C1472" i="5"/>
  <c r="F1471" i="5"/>
  <c r="L1474" i="5"/>
  <c r="Q1473" i="5"/>
  <c r="C1473" i="5" l="1"/>
  <c r="F1472" i="5"/>
  <c r="I1472" i="5"/>
  <c r="L1475" i="5"/>
  <c r="Q1474" i="5"/>
  <c r="N1476" i="5"/>
  <c r="K1477" i="5"/>
  <c r="N1477" i="5" l="1"/>
  <c r="K1478" i="5"/>
  <c r="L1476" i="5"/>
  <c r="Q1475" i="5"/>
  <c r="I1473" i="5"/>
  <c r="C1474" i="5"/>
  <c r="F1473" i="5"/>
  <c r="F1474" i="5" l="1"/>
  <c r="C1475" i="5"/>
  <c r="I1474" i="5"/>
  <c r="L1477" i="5"/>
  <c r="Q1476" i="5"/>
  <c r="K1479" i="5"/>
  <c r="N1478" i="5"/>
  <c r="L1478" i="5" l="1"/>
  <c r="Q1477" i="5"/>
  <c r="N1479" i="5"/>
  <c r="K1480" i="5"/>
  <c r="I1475" i="5"/>
  <c r="F1475" i="5"/>
  <c r="C1476" i="5"/>
  <c r="K1481" i="5" l="1"/>
  <c r="N1480" i="5"/>
  <c r="F1476" i="5"/>
  <c r="I1476" i="5"/>
  <c r="C1477" i="5"/>
  <c r="L1479" i="5"/>
  <c r="Q1478" i="5"/>
  <c r="F1477" i="5" l="1"/>
  <c r="C1478" i="5"/>
  <c r="I1477" i="5"/>
  <c r="L1480" i="5"/>
  <c r="Q1479" i="5"/>
  <c r="K1482" i="5"/>
  <c r="N1481" i="5"/>
  <c r="K1483" i="5" l="1"/>
  <c r="N1482" i="5"/>
  <c r="L1481" i="5"/>
  <c r="Q1480" i="5"/>
  <c r="C1479" i="5"/>
  <c r="F1478" i="5"/>
  <c r="I1478" i="5"/>
  <c r="F1479" i="5" l="1"/>
  <c r="C1480" i="5"/>
  <c r="I1479" i="5"/>
  <c r="L1482" i="5"/>
  <c r="Q1481" i="5"/>
  <c r="N1483" i="5"/>
  <c r="K1484" i="5"/>
  <c r="K1485" i="5" l="1"/>
  <c r="N1484" i="5"/>
  <c r="F1480" i="5"/>
  <c r="I1480" i="5"/>
  <c r="C1481" i="5"/>
  <c r="L1483" i="5"/>
  <c r="Q1482" i="5"/>
  <c r="L1484" i="5" l="1"/>
  <c r="Q1483" i="5"/>
  <c r="F1481" i="5"/>
  <c r="C1482" i="5"/>
  <c r="I1481" i="5"/>
  <c r="N1485" i="5"/>
  <c r="K1486" i="5"/>
  <c r="K1487" i="5" l="1"/>
  <c r="N1486" i="5"/>
  <c r="I1482" i="5"/>
  <c r="C1483" i="5"/>
  <c r="F1482" i="5"/>
  <c r="L1485" i="5"/>
  <c r="Q1484" i="5"/>
  <c r="L1486" i="5" l="1"/>
  <c r="Q1485" i="5"/>
  <c r="C1484" i="5"/>
  <c r="F1483" i="5"/>
  <c r="I1483" i="5"/>
  <c r="N1487" i="5"/>
  <c r="K1488" i="5"/>
  <c r="C1485" i="5" l="1"/>
  <c r="F1484" i="5"/>
  <c r="I1484" i="5"/>
  <c r="N1488" i="5"/>
  <c r="K1489" i="5"/>
  <c r="L1487" i="5"/>
  <c r="Q1486" i="5"/>
  <c r="N1489" i="5" l="1"/>
  <c r="K1490" i="5"/>
  <c r="L1488" i="5"/>
  <c r="Q1487" i="5"/>
  <c r="C1486" i="5"/>
  <c r="I1485" i="5"/>
  <c r="F1485" i="5"/>
  <c r="C1487" i="5" l="1"/>
  <c r="I1486" i="5"/>
  <c r="F1486" i="5"/>
  <c r="N1490" i="5"/>
  <c r="K1491" i="5"/>
  <c r="L1489" i="5"/>
  <c r="Q1488" i="5"/>
  <c r="L1490" i="5" l="1"/>
  <c r="Q1489" i="5"/>
  <c r="N1491" i="5"/>
  <c r="K1492" i="5"/>
  <c r="F1487" i="5"/>
  <c r="C1488" i="5"/>
  <c r="I1487" i="5"/>
  <c r="K1493" i="5" l="1"/>
  <c r="N1492" i="5"/>
  <c r="C1489" i="5"/>
  <c r="I1488" i="5"/>
  <c r="F1488" i="5"/>
  <c r="L1491" i="5"/>
  <c r="Q1490" i="5"/>
  <c r="I1489" i="5" l="1"/>
  <c r="C1490" i="5"/>
  <c r="F1489" i="5"/>
  <c r="L1492" i="5"/>
  <c r="Q1491" i="5"/>
  <c r="N1493" i="5"/>
  <c r="K1494" i="5"/>
  <c r="L1493" i="5" l="1"/>
  <c r="Q1492" i="5"/>
  <c r="N1494" i="5"/>
  <c r="K1495" i="5"/>
  <c r="F1490" i="5"/>
  <c r="C1491" i="5"/>
  <c r="I1490" i="5"/>
  <c r="K1496" i="5" l="1"/>
  <c r="N1495" i="5"/>
  <c r="F1491" i="5"/>
  <c r="C1492" i="5"/>
  <c r="I1491" i="5"/>
  <c r="L1494" i="5"/>
  <c r="Q1493" i="5"/>
  <c r="C1493" i="5" l="1"/>
  <c r="F1492" i="5"/>
  <c r="I1492" i="5"/>
  <c r="L1495" i="5"/>
  <c r="Q1494" i="5"/>
  <c r="K1497" i="5"/>
  <c r="N1496" i="5"/>
  <c r="L1496" i="5" l="1"/>
  <c r="Q1495" i="5"/>
  <c r="N1497" i="5"/>
  <c r="K1498" i="5"/>
  <c r="I1493" i="5"/>
  <c r="C1494" i="5"/>
  <c r="F1493" i="5"/>
  <c r="C1495" i="5" l="1"/>
  <c r="F1494" i="5"/>
  <c r="I1494" i="5"/>
  <c r="N1498" i="5"/>
  <c r="K1499" i="5"/>
  <c r="L1497" i="5"/>
  <c r="Q1496" i="5"/>
  <c r="L1498" i="5" l="1"/>
  <c r="Q1497" i="5"/>
  <c r="N1499" i="5"/>
  <c r="K1500" i="5"/>
  <c r="F1495" i="5"/>
  <c r="C1496" i="5"/>
  <c r="I1495" i="5"/>
  <c r="K1501" i="5" l="1"/>
  <c r="N1500" i="5"/>
  <c r="F1496" i="5"/>
  <c r="C1497" i="5"/>
  <c r="I1496" i="5"/>
  <c r="L1499" i="5"/>
  <c r="Q1498" i="5"/>
  <c r="F1497" i="5" l="1"/>
  <c r="C1498" i="5"/>
  <c r="I1497" i="5"/>
  <c r="L1500" i="5"/>
  <c r="Q1499" i="5"/>
  <c r="K1502" i="5"/>
  <c r="N1501" i="5"/>
  <c r="K1503" i="5" l="1"/>
  <c r="N1502" i="5"/>
  <c r="L1501" i="5"/>
  <c r="Q1500" i="5"/>
  <c r="F1498" i="5"/>
  <c r="I1498" i="5"/>
  <c r="C1499" i="5"/>
  <c r="F1499" i="5" l="1"/>
  <c r="C1500" i="5"/>
  <c r="I1499" i="5"/>
  <c r="L1502" i="5"/>
  <c r="Q1501" i="5"/>
  <c r="K1504" i="5"/>
  <c r="N1503" i="5"/>
  <c r="L1503" i="5" l="1"/>
  <c r="Q1502" i="5"/>
  <c r="K1505" i="5"/>
  <c r="N1504" i="5"/>
  <c r="I1500" i="5"/>
  <c r="F1500" i="5"/>
  <c r="C1501" i="5"/>
  <c r="K1506" i="5" l="1"/>
  <c r="N1505" i="5"/>
  <c r="F1501" i="5"/>
  <c r="C1502" i="5"/>
  <c r="I1501" i="5"/>
  <c r="L1504" i="5"/>
  <c r="Q1503" i="5"/>
  <c r="L1505" i="5" l="1"/>
  <c r="Q1504" i="5"/>
  <c r="F1502" i="5"/>
  <c r="I1502" i="5"/>
  <c r="C1503" i="5"/>
  <c r="K1507" i="5"/>
  <c r="N1506" i="5"/>
  <c r="K1508" i="5" l="1"/>
  <c r="N1507" i="5"/>
  <c r="F1503" i="5"/>
  <c r="C1504" i="5"/>
  <c r="I1503" i="5"/>
  <c r="L1506" i="5"/>
  <c r="Q1505" i="5"/>
  <c r="I1504" i="5" l="1"/>
  <c r="F1504" i="5"/>
  <c r="C1505" i="5"/>
  <c r="L1507" i="5"/>
  <c r="Q1506" i="5"/>
  <c r="K1509" i="5"/>
  <c r="N1508" i="5"/>
  <c r="N1509" i="5" l="1"/>
  <c r="K1510" i="5"/>
  <c r="L1508" i="5"/>
  <c r="Q1507" i="5"/>
  <c r="C1506" i="5"/>
  <c r="F1505" i="5"/>
  <c r="I1505" i="5"/>
  <c r="I1506" i="5" l="1"/>
  <c r="F1506" i="5"/>
  <c r="C1507" i="5"/>
  <c r="L1509" i="5"/>
  <c r="Q1508" i="5"/>
  <c r="N1510" i="5"/>
  <c r="K1511" i="5"/>
  <c r="K1512" i="5" l="1"/>
  <c r="N1511" i="5"/>
  <c r="F1507" i="5"/>
  <c r="C1508" i="5"/>
  <c r="I1507" i="5"/>
  <c r="L1510" i="5"/>
  <c r="Q1509" i="5"/>
  <c r="I1508" i="5" l="1"/>
  <c r="F1508" i="5"/>
  <c r="C1509" i="5"/>
  <c r="L1511" i="5"/>
  <c r="Q1510" i="5"/>
  <c r="K1513" i="5"/>
  <c r="N1512" i="5"/>
  <c r="K1514" i="5" l="1"/>
  <c r="N1513" i="5"/>
  <c r="L1512" i="5"/>
  <c r="Q1511" i="5"/>
  <c r="F1509" i="5"/>
  <c r="I1509" i="5"/>
  <c r="C1510" i="5"/>
  <c r="I1510" i="5" l="1"/>
  <c r="F1510" i="5"/>
  <c r="C1511" i="5"/>
  <c r="K1515" i="5"/>
  <c r="N1514" i="5"/>
  <c r="L1513" i="5"/>
  <c r="Q1512" i="5"/>
  <c r="N1515" i="5" l="1"/>
  <c r="K1516" i="5"/>
  <c r="L1514" i="5"/>
  <c r="Q1513" i="5"/>
  <c r="I1511" i="5"/>
  <c r="C1512" i="5"/>
  <c r="F1511" i="5"/>
  <c r="L1515" i="5" l="1"/>
  <c r="Q1514" i="5"/>
  <c r="F1512" i="5"/>
  <c r="C1513" i="5"/>
  <c r="I1512" i="5"/>
  <c r="K1517" i="5"/>
  <c r="N1516" i="5"/>
  <c r="N1517" i="5" l="1"/>
  <c r="K1518" i="5"/>
  <c r="I1513" i="5"/>
  <c r="F1513" i="5"/>
  <c r="C1514" i="5"/>
  <c r="L1516" i="5"/>
  <c r="Q1515" i="5"/>
  <c r="L1517" i="5" l="1"/>
  <c r="Q1516" i="5"/>
  <c r="I1514" i="5"/>
  <c r="F1514" i="5"/>
  <c r="C1515" i="5"/>
  <c r="N1518" i="5"/>
  <c r="K1519" i="5"/>
  <c r="K1520" i="5" l="1"/>
  <c r="N1519" i="5"/>
  <c r="I1515" i="5"/>
  <c r="C1516" i="5"/>
  <c r="F1515" i="5"/>
  <c r="L1518" i="5"/>
  <c r="Q1517" i="5"/>
  <c r="L1519" i="5" l="1"/>
  <c r="Q1518" i="5"/>
  <c r="C1517" i="5"/>
  <c r="F1516" i="5"/>
  <c r="I1516" i="5"/>
  <c r="N1520" i="5"/>
  <c r="K1521" i="5"/>
  <c r="F1517" i="5" l="1"/>
  <c r="I1517" i="5"/>
  <c r="C1518" i="5"/>
  <c r="N1521" i="5"/>
  <c r="K1522" i="5"/>
  <c r="L1520" i="5"/>
  <c r="Q1519" i="5"/>
  <c r="L1521" i="5" l="1"/>
  <c r="Q1520" i="5"/>
  <c r="I1518" i="5"/>
  <c r="F1518" i="5"/>
  <c r="C1519" i="5"/>
  <c r="N1522" i="5"/>
  <c r="K1523" i="5"/>
  <c r="C1520" i="5" l="1"/>
  <c r="I1519" i="5"/>
  <c r="F1519" i="5"/>
  <c r="N1523" i="5"/>
  <c r="K1524" i="5"/>
  <c r="L1522" i="5"/>
  <c r="Q1521" i="5"/>
  <c r="L1523" i="5" l="1"/>
  <c r="Q1522" i="5"/>
  <c r="N1524" i="5"/>
  <c r="K1525" i="5"/>
  <c r="F1520" i="5"/>
  <c r="I1520" i="5"/>
  <c r="C1521" i="5"/>
  <c r="K1526" i="5" l="1"/>
  <c r="N1525" i="5"/>
  <c r="C1522" i="5"/>
  <c r="F1521" i="5"/>
  <c r="I1521" i="5"/>
  <c r="L1524" i="5"/>
  <c r="Q1523" i="5"/>
  <c r="C1523" i="5" l="1"/>
  <c r="I1522" i="5"/>
  <c r="F1522" i="5"/>
  <c r="L1525" i="5"/>
  <c r="Q1524" i="5"/>
  <c r="K1527" i="5"/>
  <c r="N1526" i="5"/>
  <c r="N1527" i="5" l="1"/>
  <c r="K1528" i="5"/>
  <c r="L1526" i="5"/>
  <c r="Q1525" i="5"/>
  <c r="C1524" i="5"/>
  <c r="I1523" i="5"/>
  <c r="F1523" i="5"/>
  <c r="I1524" i="5" l="1"/>
  <c r="C1525" i="5"/>
  <c r="F1524" i="5"/>
  <c r="L1527" i="5"/>
  <c r="Q1526" i="5"/>
  <c r="N1528" i="5"/>
  <c r="K1529" i="5"/>
  <c r="N1529" i="5" l="1"/>
  <c r="K1530" i="5"/>
  <c r="I1525" i="5"/>
  <c r="F1525" i="5"/>
  <c r="C1526" i="5"/>
  <c r="L1528" i="5"/>
  <c r="Q1527" i="5"/>
  <c r="L1529" i="5" l="1"/>
  <c r="Q1528" i="5"/>
  <c r="C1527" i="5"/>
  <c r="F1526" i="5"/>
  <c r="I1526" i="5"/>
  <c r="N1530" i="5"/>
  <c r="K1531" i="5"/>
  <c r="I1527" i="5" l="1"/>
  <c r="F1527" i="5"/>
  <c r="C1528" i="5"/>
  <c r="K1532" i="5"/>
  <c r="N1531" i="5"/>
  <c r="L1530" i="5"/>
  <c r="Q1529" i="5"/>
  <c r="K1533" i="5" l="1"/>
  <c r="N1532" i="5"/>
  <c r="L1531" i="5"/>
  <c r="Q1530" i="5"/>
  <c r="I1528" i="5"/>
  <c r="C1529" i="5"/>
  <c r="F1528" i="5"/>
  <c r="L1532" i="5" l="1"/>
  <c r="Q1531" i="5"/>
  <c r="I1529" i="5"/>
  <c r="F1529" i="5"/>
  <c r="C1530" i="5"/>
  <c r="K1534" i="5"/>
  <c r="N1533" i="5"/>
  <c r="F1530" i="5" l="1"/>
  <c r="C1531" i="5"/>
  <c r="I1530" i="5"/>
  <c r="N1534" i="5"/>
  <c r="K1535" i="5"/>
  <c r="L1533" i="5"/>
  <c r="Q1532" i="5"/>
  <c r="K1536" i="5" l="1"/>
  <c r="N1535" i="5"/>
  <c r="F1531" i="5"/>
  <c r="C1532" i="5"/>
  <c r="I1531" i="5"/>
  <c r="L1534" i="5"/>
  <c r="Q1533" i="5"/>
  <c r="L1535" i="5" l="1"/>
  <c r="Q1534" i="5"/>
  <c r="C1533" i="5"/>
  <c r="I1532" i="5"/>
  <c r="F1532" i="5"/>
  <c r="K1537" i="5"/>
  <c r="N1536" i="5"/>
  <c r="K1538" i="5" l="1"/>
  <c r="N1537" i="5"/>
  <c r="C1534" i="5"/>
  <c r="I1533" i="5"/>
  <c r="F1533" i="5"/>
  <c r="L1536" i="5"/>
  <c r="Q1535" i="5"/>
  <c r="I1534" i="5" l="1"/>
  <c r="F1534" i="5"/>
  <c r="C1535" i="5"/>
  <c r="L1537" i="5"/>
  <c r="Q1536" i="5"/>
  <c r="N1538" i="5"/>
  <c r="K1539" i="5"/>
  <c r="N1539" i="5" l="1"/>
  <c r="K1540" i="5"/>
  <c r="L1538" i="5"/>
  <c r="Q1537" i="5"/>
  <c r="F1535" i="5"/>
  <c r="C1536" i="5"/>
  <c r="I1535" i="5"/>
  <c r="C1537" i="5" l="1"/>
  <c r="I1536" i="5"/>
  <c r="F1536" i="5"/>
  <c r="N1540" i="5"/>
  <c r="K1541" i="5"/>
  <c r="L1539" i="5"/>
  <c r="Q1538" i="5"/>
  <c r="L1540" i="5" l="1"/>
  <c r="Q1539" i="5"/>
  <c r="N1541" i="5"/>
  <c r="K1542" i="5"/>
  <c r="I1537" i="5"/>
  <c r="C1538" i="5"/>
  <c r="F1537" i="5"/>
  <c r="I1538" i="5" l="1"/>
  <c r="F1538" i="5"/>
  <c r="C1539" i="5"/>
  <c r="K1543" i="5"/>
  <c r="N1542" i="5"/>
  <c r="L1541" i="5"/>
  <c r="Q1540" i="5"/>
  <c r="L1542" i="5" l="1"/>
  <c r="Q1541" i="5"/>
  <c r="K1544" i="5"/>
  <c r="N1543" i="5"/>
  <c r="F1539" i="5"/>
  <c r="C1540" i="5"/>
  <c r="I1539" i="5"/>
  <c r="K1545" i="5" l="1"/>
  <c r="N1544" i="5"/>
  <c r="F1540" i="5"/>
  <c r="C1541" i="5"/>
  <c r="I1540" i="5"/>
  <c r="L1543" i="5"/>
  <c r="Q1542" i="5"/>
  <c r="L1544" i="5" l="1"/>
  <c r="Q1543" i="5"/>
  <c r="C1542" i="5"/>
  <c r="I1541" i="5"/>
  <c r="F1541" i="5"/>
  <c r="N1545" i="5"/>
  <c r="K1546" i="5"/>
  <c r="F1542" i="5" l="1"/>
  <c r="I1542" i="5"/>
  <c r="C1543" i="5"/>
  <c r="N1546" i="5"/>
  <c r="K1547" i="5"/>
  <c r="L1545" i="5"/>
  <c r="Q1544" i="5"/>
  <c r="K1548" i="5" l="1"/>
  <c r="N1547" i="5"/>
  <c r="L1546" i="5"/>
  <c r="Q1545" i="5"/>
  <c r="I1543" i="5"/>
  <c r="F1543" i="5"/>
  <c r="C1544" i="5"/>
  <c r="C1545" i="5" l="1"/>
  <c r="F1544" i="5"/>
  <c r="I1544" i="5"/>
  <c r="L1547" i="5"/>
  <c r="Q1546" i="5"/>
  <c r="N1548" i="5"/>
  <c r="K1549" i="5"/>
  <c r="L1548" i="5" l="1"/>
  <c r="Q1547" i="5"/>
  <c r="K1550" i="5"/>
  <c r="N1549" i="5"/>
  <c r="C1546" i="5"/>
  <c r="I1545" i="5"/>
  <c r="F1545" i="5"/>
  <c r="N1550" i="5" l="1"/>
  <c r="K1551" i="5"/>
  <c r="C1547" i="5"/>
  <c r="I1546" i="5"/>
  <c r="F1546" i="5"/>
  <c r="L1549" i="5"/>
  <c r="Q1548" i="5"/>
  <c r="N1551" i="5" l="1"/>
  <c r="K1552" i="5"/>
  <c r="L1550" i="5"/>
  <c r="Q1549" i="5"/>
  <c r="I1547" i="5"/>
  <c r="C1548" i="5"/>
  <c r="F1547" i="5"/>
  <c r="L1551" i="5" l="1"/>
  <c r="Q1550" i="5"/>
  <c r="I1548" i="5"/>
  <c r="C1549" i="5"/>
  <c r="F1548" i="5"/>
  <c r="N1552" i="5"/>
  <c r="K1553" i="5"/>
  <c r="N1553" i="5" l="1"/>
  <c r="K1554" i="5"/>
  <c r="C1550" i="5"/>
  <c r="I1549" i="5"/>
  <c r="F1549" i="5"/>
  <c r="L1552" i="5"/>
  <c r="Q1551" i="5"/>
  <c r="L1553" i="5" l="1"/>
  <c r="Q1552" i="5"/>
  <c r="F1550" i="5"/>
  <c r="C1551" i="5"/>
  <c r="I1550" i="5"/>
  <c r="K1555" i="5"/>
  <c r="N1554" i="5"/>
  <c r="N1555" i="5" l="1"/>
  <c r="K1556" i="5"/>
  <c r="C1552" i="5"/>
  <c r="I1551" i="5"/>
  <c r="F1551" i="5"/>
  <c r="L1554" i="5"/>
  <c r="Q1553" i="5"/>
  <c r="L1555" i="5" l="1"/>
  <c r="Q1554" i="5"/>
  <c r="C1553" i="5"/>
  <c r="I1552" i="5"/>
  <c r="F1552" i="5"/>
  <c r="K1557" i="5"/>
  <c r="N1556" i="5"/>
  <c r="F1553" i="5" l="1"/>
  <c r="C1554" i="5"/>
  <c r="I1553" i="5"/>
  <c r="N1557" i="5"/>
  <c r="K1558" i="5"/>
  <c r="L1556" i="5"/>
  <c r="Q1555" i="5"/>
  <c r="K1559" i="5" l="1"/>
  <c r="N1558" i="5"/>
  <c r="L1557" i="5"/>
  <c r="Q1556" i="5"/>
  <c r="I1554" i="5"/>
  <c r="C1555" i="5"/>
  <c r="F1554" i="5"/>
  <c r="L1558" i="5" l="1"/>
  <c r="Q1557" i="5"/>
  <c r="I1555" i="5"/>
  <c r="C1556" i="5"/>
  <c r="F1555" i="5"/>
  <c r="K1560" i="5"/>
  <c r="N1559" i="5"/>
  <c r="K1561" i="5" l="1"/>
  <c r="N1560" i="5"/>
  <c r="I1556" i="5"/>
  <c r="F1556" i="5"/>
  <c r="C1557" i="5"/>
  <c r="L1559" i="5"/>
  <c r="Q1558" i="5"/>
  <c r="C1558" i="5" l="1"/>
  <c r="F1557" i="5"/>
  <c r="I1557" i="5"/>
  <c r="L1560" i="5"/>
  <c r="Q1559" i="5"/>
  <c r="K1562" i="5"/>
  <c r="N1561" i="5"/>
  <c r="L1561" i="5" l="1"/>
  <c r="Q1560" i="5"/>
  <c r="N1562" i="5"/>
  <c r="K1563" i="5"/>
  <c r="I1558" i="5"/>
  <c r="F1558" i="5"/>
  <c r="C1559" i="5"/>
  <c r="I1559" i="5" l="1"/>
  <c r="C1560" i="5"/>
  <c r="F1559" i="5"/>
  <c r="K1564" i="5"/>
  <c r="N1563" i="5"/>
  <c r="L1562" i="5"/>
  <c r="Q1561" i="5"/>
  <c r="L1563" i="5" l="1"/>
  <c r="Q1562" i="5"/>
  <c r="N1564" i="5"/>
  <c r="K1565" i="5"/>
  <c r="F1560" i="5"/>
  <c r="C1561" i="5"/>
  <c r="I1560" i="5"/>
  <c r="I1561" i="5" l="1"/>
  <c r="C1562" i="5"/>
  <c r="F1561" i="5"/>
  <c r="N1565" i="5"/>
  <c r="K1566" i="5"/>
  <c r="L1564" i="5"/>
  <c r="Q1563" i="5"/>
  <c r="K1567" i="5" l="1"/>
  <c r="N1566" i="5"/>
  <c r="L1565" i="5"/>
  <c r="Q1564" i="5"/>
  <c r="F1562" i="5"/>
  <c r="C1563" i="5"/>
  <c r="I1562" i="5"/>
  <c r="C1564" i="5" l="1"/>
  <c r="F1563" i="5"/>
  <c r="I1563" i="5"/>
  <c r="L1566" i="5"/>
  <c r="Q1565" i="5"/>
  <c r="N1567" i="5"/>
  <c r="K1568" i="5"/>
  <c r="K1569" i="5" l="1"/>
  <c r="N1568" i="5"/>
  <c r="L1567" i="5"/>
  <c r="Q1566" i="5"/>
  <c r="F1564" i="5"/>
  <c r="C1565" i="5"/>
  <c r="I1564" i="5"/>
  <c r="I1565" i="5" l="1"/>
  <c r="F1565" i="5"/>
  <c r="C1566" i="5"/>
  <c r="L1568" i="5"/>
  <c r="Q1567" i="5"/>
  <c r="K1570" i="5"/>
  <c r="N1569" i="5"/>
  <c r="K1571" i="5" l="1"/>
  <c r="N1570" i="5"/>
  <c r="L1569" i="5"/>
  <c r="Q1568" i="5"/>
  <c r="I1566" i="5"/>
  <c r="C1567" i="5"/>
  <c r="F1566" i="5"/>
  <c r="I1567" i="5" l="1"/>
  <c r="C1568" i="5"/>
  <c r="F1567" i="5"/>
  <c r="L1570" i="5"/>
  <c r="Q1569" i="5"/>
  <c r="N1571" i="5"/>
  <c r="K1572" i="5"/>
  <c r="N1572" i="5" l="1"/>
  <c r="K1573" i="5"/>
  <c r="C1569" i="5"/>
  <c r="I1568" i="5"/>
  <c r="F1568" i="5"/>
  <c r="L1571" i="5"/>
  <c r="Q1570" i="5"/>
  <c r="L1572" i="5" l="1"/>
  <c r="Q1571" i="5"/>
  <c r="F1569" i="5"/>
  <c r="C1570" i="5"/>
  <c r="I1569" i="5"/>
  <c r="N1573" i="5"/>
  <c r="K1574" i="5"/>
  <c r="K1575" i="5" l="1"/>
  <c r="N1574" i="5"/>
  <c r="C1571" i="5"/>
  <c r="I1570" i="5"/>
  <c r="F1570" i="5"/>
  <c r="L1573" i="5"/>
  <c r="Q1572" i="5"/>
  <c r="C1572" i="5" l="1"/>
  <c r="I1571" i="5"/>
  <c r="F1571" i="5"/>
  <c r="L1574" i="5"/>
  <c r="Q1573" i="5"/>
  <c r="K1576" i="5"/>
  <c r="N1575" i="5"/>
  <c r="K1577" i="5" l="1"/>
  <c r="N1576" i="5"/>
  <c r="L1575" i="5"/>
  <c r="Q1574" i="5"/>
  <c r="F1572" i="5"/>
  <c r="C1573" i="5"/>
  <c r="I1572" i="5"/>
  <c r="I1573" i="5" l="1"/>
  <c r="C1574" i="5"/>
  <c r="F1573" i="5"/>
  <c r="L1576" i="5"/>
  <c r="Q1575" i="5"/>
  <c r="K1578" i="5"/>
  <c r="N1577" i="5"/>
  <c r="L1577" i="5" l="1"/>
  <c r="Q1576" i="5"/>
  <c r="K1579" i="5"/>
  <c r="N1578" i="5"/>
  <c r="I1574" i="5"/>
  <c r="C1575" i="5"/>
  <c r="F1574" i="5"/>
  <c r="F1575" i="5" l="1"/>
  <c r="I1575" i="5"/>
  <c r="C1576" i="5"/>
  <c r="K1580" i="5"/>
  <c r="N1579" i="5"/>
  <c r="L1578" i="5"/>
  <c r="Q1577" i="5"/>
  <c r="K1581" i="5" l="1"/>
  <c r="N1580" i="5"/>
  <c r="L1579" i="5"/>
  <c r="Q1578" i="5"/>
  <c r="F1576" i="5"/>
  <c r="I1576" i="5"/>
  <c r="C1577" i="5"/>
  <c r="L1580" i="5" l="1"/>
  <c r="Q1579" i="5"/>
  <c r="F1577" i="5"/>
  <c r="C1578" i="5"/>
  <c r="I1577" i="5"/>
  <c r="K1582" i="5"/>
  <c r="N1581" i="5"/>
  <c r="N1582" i="5" l="1"/>
  <c r="K1583" i="5"/>
  <c r="I1578" i="5"/>
  <c r="F1578" i="5"/>
  <c r="C1579" i="5"/>
  <c r="L1581" i="5"/>
  <c r="Q1580" i="5"/>
  <c r="L1582" i="5" l="1"/>
  <c r="Q1581" i="5"/>
  <c r="N1583" i="5"/>
  <c r="K1584" i="5"/>
  <c r="C1580" i="5"/>
  <c r="F1579" i="5"/>
  <c r="I1579" i="5"/>
  <c r="N1584" i="5" l="1"/>
  <c r="K1585" i="5"/>
  <c r="F1580" i="5"/>
  <c r="C1581" i="5"/>
  <c r="I1580" i="5"/>
  <c r="L1583" i="5"/>
  <c r="Q1582" i="5"/>
  <c r="L1584" i="5" l="1"/>
  <c r="Q1583" i="5"/>
  <c r="K1586" i="5"/>
  <c r="N1585" i="5"/>
  <c r="C1582" i="5"/>
  <c r="F1581" i="5"/>
  <c r="I1581" i="5"/>
  <c r="F1582" i="5" l="1"/>
  <c r="C1583" i="5"/>
  <c r="I1582" i="5"/>
  <c r="N1586" i="5"/>
  <c r="K1587" i="5"/>
  <c r="L1585" i="5"/>
  <c r="Q1584" i="5"/>
  <c r="L1586" i="5" l="1"/>
  <c r="Q1585" i="5"/>
  <c r="K1588" i="5"/>
  <c r="N1587" i="5"/>
  <c r="C1584" i="5"/>
  <c r="F1583" i="5"/>
  <c r="I1583" i="5"/>
  <c r="N1588" i="5" l="1"/>
  <c r="K1589" i="5"/>
  <c r="C1585" i="5"/>
  <c r="I1584" i="5"/>
  <c r="F1584" i="5"/>
  <c r="L1587" i="5"/>
  <c r="Q1586" i="5"/>
  <c r="L1588" i="5" l="1"/>
  <c r="Q1587" i="5"/>
  <c r="C1586" i="5"/>
  <c r="I1585" i="5"/>
  <c r="F1585" i="5"/>
  <c r="N1589" i="5"/>
  <c r="K1590" i="5"/>
  <c r="N1590" i="5" l="1"/>
  <c r="K1591" i="5"/>
  <c r="F1586" i="5"/>
  <c r="C1587" i="5"/>
  <c r="I1586" i="5"/>
  <c r="L1589" i="5"/>
  <c r="Q1588" i="5"/>
  <c r="L1590" i="5" l="1"/>
  <c r="Q1589" i="5"/>
  <c r="F1587" i="5"/>
  <c r="C1588" i="5"/>
  <c r="I1587" i="5"/>
  <c r="K1592" i="5"/>
  <c r="N1591" i="5"/>
  <c r="C1589" i="5" l="1"/>
  <c r="I1588" i="5"/>
  <c r="F1588" i="5"/>
  <c r="K1593" i="5"/>
  <c r="N1592" i="5"/>
  <c r="L1591" i="5"/>
  <c r="Q1590" i="5"/>
  <c r="L1592" i="5" l="1"/>
  <c r="Q1591" i="5"/>
  <c r="N1593" i="5"/>
  <c r="K1594" i="5"/>
  <c r="I1589" i="5"/>
  <c r="F1589" i="5"/>
  <c r="C1590" i="5"/>
  <c r="C1591" i="5" l="1"/>
  <c r="I1590" i="5"/>
  <c r="F1590" i="5"/>
  <c r="K1595" i="5"/>
  <c r="N1594" i="5"/>
  <c r="L1593" i="5"/>
  <c r="Q1592" i="5"/>
  <c r="N1595" i="5" l="1"/>
  <c r="K1596" i="5"/>
  <c r="L1594" i="5"/>
  <c r="Q1593" i="5"/>
  <c r="I1591" i="5"/>
  <c r="F1591" i="5"/>
  <c r="C1592" i="5"/>
  <c r="F1592" i="5" l="1"/>
  <c r="C1593" i="5"/>
  <c r="I1592" i="5"/>
  <c r="L1595" i="5"/>
  <c r="Q1594" i="5"/>
  <c r="K1597" i="5"/>
  <c r="N1596" i="5"/>
  <c r="L1596" i="5" l="1"/>
  <c r="Q1595" i="5"/>
  <c r="F1593" i="5"/>
  <c r="C1594" i="5"/>
  <c r="I1593" i="5"/>
  <c r="K1598" i="5"/>
  <c r="N1597" i="5"/>
  <c r="K1599" i="5" l="1"/>
  <c r="N1598" i="5"/>
  <c r="C1595" i="5"/>
  <c r="I1594" i="5"/>
  <c r="F1594" i="5"/>
  <c r="L1597" i="5"/>
  <c r="Q1596" i="5"/>
  <c r="L1598" i="5" l="1"/>
  <c r="Q1597" i="5"/>
  <c r="I1595" i="5"/>
  <c r="F1595" i="5"/>
  <c r="C1596" i="5"/>
  <c r="K1600" i="5"/>
  <c r="N1599" i="5"/>
  <c r="K1601" i="5" l="1"/>
  <c r="N1600" i="5"/>
  <c r="I1596" i="5"/>
  <c r="F1596" i="5"/>
  <c r="C1597" i="5"/>
  <c r="L1599" i="5"/>
  <c r="Q1598" i="5"/>
  <c r="L1600" i="5" l="1"/>
  <c r="Q1599" i="5"/>
  <c r="F1597" i="5"/>
  <c r="I1597" i="5"/>
  <c r="C1598" i="5"/>
  <c r="K1602" i="5"/>
  <c r="N1601" i="5"/>
  <c r="F1598" i="5" l="1"/>
  <c r="I1598" i="5"/>
  <c r="C1599" i="5"/>
  <c r="N1602" i="5"/>
  <c r="K1603" i="5"/>
  <c r="L1601" i="5"/>
  <c r="Q1600" i="5"/>
  <c r="L1602" i="5" l="1"/>
  <c r="Q1601" i="5"/>
  <c r="N1603" i="5"/>
  <c r="K1604" i="5"/>
  <c r="I1599" i="5"/>
  <c r="C1600" i="5"/>
  <c r="F1599" i="5"/>
  <c r="I1600" i="5" l="1"/>
  <c r="F1600" i="5"/>
  <c r="C1601" i="5"/>
  <c r="N1604" i="5"/>
  <c r="K1605" i="5"/>
  <c r="L1603" i="5"/>
  <c r="Q1602" i="5"/>
  <c r="N1605" i="5" l="1"/>
  <c r="K1606" i="5"/>
  <c r="L1604" i="5"/>
  <c r="Q1603" i="5"/>
  <c r="I1601" i="5"/>
  <c r="C1602" i="5"/>
  <c r="F1601" i="5"/>
  <c r="K1607" i="5" l="1"/>
  <c r="N1606" i="5"/>
  <c r="C1603" i="5"/>
  <c r="I1602" i="5"/>
  <c r="F1602" i="5"/>
  <c r="L1605" i="5"/>
  <c r="Q1604" i="5"/>
  <c r="L1606" i="5" l="1"/>
  <c r="Q1605" i="5"/>
  <c r="I1603" i="5"/>
  <c r="F1603" i="5"/>
  <c r="C1604" i="5"/>
  <c r="N1607" i="5"/>
  <c r="K1608" i="5"/>
  <c r="N1608" i="5" l="1"/>
  <c r="K1609" i="5"/>
  <c r="I1604" i="5"/>
  <c r="C1605" i="5"/>
  <c r="F1604" i="5"/>
  <c r="L1607" i="5"/>
  <c r="Q1606" i="5"/>
  <c r="L1608" i="5" l="1"/>
  <c r="Q1607" i="5"/>
  <c r="N1609" i="5"/>
  <c r="K1610" i="5"/>
  <c r="C1606" i="5"/>
  <c r="I1605" i="5"/>
  <c r="F1605" i="5"/>
  <c r="C1607" i="5" l="1"/>
  <c r="I1606" i="5"/>
  <c r="F1606" i="5"/>
  <c r="N1610" i="5"/>
  <c r="K1611" i="5"/>
  <c r="L1609" i="5"/>
  <c r="Q1608" i="5"/>
  <c r="L1610" i="5" l="1"/>
  <c r="Q1609" i="5"/>
  <c r="K1612" i="5"/>
  <c r="N1611" i="5"/>
  <c r="C1608" i="5"/>
  <c r="I1607" i="5"/>
  <c r="F1607" i="5"/>
  <c r="K1613" i="5" l="1"/>
  <c r="N1612" i="5"/>
  <c r="I1608" i="5"/>
  <c r="C1609" i="5"/>
  <c r="F1608" i="5"/>
  <c r="L1611" i="5"/>
  <c r="Q1610" i="5"/>
  <c r="L1612" i="5" l="1"/>
  <c r="Q1611" i="5"/>
  <c r="I1609" i="5"/>
  <c r="C1610" i="5"/>
  <c r="F1609" i="5"/>
  <c r="K1614" i="5"/>
  <c r="N1613" i="5"/>
  <c r="K1615" i="5" l="1"/>
  <c r="N1614" i="5"/>
  <c r="F1610" i="5"/>
  <c r="C1611" i="5"/>
  <c r="I1610" i="5"/>
  <c r="L1613" i="5"/>
  <c r="Q1612" i="5"/>
  <c r="L1614" i="5" l="1"/>
  <c r="Q1613" i="5"/>
  <c r="C1612" i="5"/>
  <c r="I1611" i="5"/>
  <c r="F1611" i="5"/>
  <c r="K1616" i="5"/>
  <c r="N1615" i="5"/>
  <c r="N1616" i="5" l="1"/>
  <c r="K1617" i="5"/>
  <c r="I1612" i="5"/>
  <c r="C1613" i="5"/>
  <c r="F1612" i="5"/>
  <c r="L1615" i="5"/>
  <c r="Q1614" i="5"/>
  <c r="C1614" i="5" l="1"/>
  <c r="I1613" i="5"/>
  <c r="F1613" i="5"/>
  <c r="L1616" i="5"/>
  <c r="Q1615" i="5"/>
  <c r="K1618" i="5"/>
  <c r="N1617" i="5"/>
  <c r="N1618" i="5" l="1"/>
  <c r="K1619" i="5"/>
  <c r="L1617" i="5"/>
  <c r="Q1616" i="5"/>
  <c r="C1615" i="5"/>
  <c r="I1614" i="5"/>
  <c r="F1614" i="5"/>
  <c r="F1615" i="5" l="1"/>
  <c r="C1616" i="5"/>
  <c r="I1615" i="5"/>
  <c r="L1618" i="5"/>
  <c r="Q1617" i="5"/>
  <c r="K1620" i="5"/>
  <c r="N1619" i="5"/>
  <c r="K1621" i="5" l="1"/>
  <c r="N1620" i="5"/>
  <c r="L1619" i="5"/>
  <c r="Q1618" i="5"/>
  <c r="F1616" i="5"/>
  <c r="C1617" i="5"/>
  <c r="I1616" i="5"/>
  <c r="F1617" i="5" l="1"/>
  <c r="C1618" i="5"/>
  <c r="I1617" i="5"/>
  <c r="L1620" i="5"/>
  <c r="Q1619" i="5"/>
  <c r="N1621" i="5"/>
  <c r="K1622" i="5"/>
  <c r="K1623" i="5" l="1"/>
  <c r="N1622" i="5"/>
  <c r="L1621" i="5"/>
  <c r="Q1620" i="5"/>
  <c r="I1618" i="5"/>
  <c r="F1618" i="5"/>
  <c r="C1619" i="5"/>
  <c r="L1622" i="5" l="1"/>
  <c r="Q1621" i="5"/>
  <c r="F1619" i="5"/>
  <c r="I1619" i="5"/>
  <c r="C1620" i="5"/>
  <c r="N1623" i="5"/>
  <c r="K1624" i="5"/>
  <c r="N1624" i="5" l="1"/>
  <c r="K1625" i="5"/>
  <c r="I1620" i="5"/>
  <c r="F1620" i="5"/>
  <c r="C1621" i="5"/>
  <c r="L1623" i="5"/>
  <c r="Q1622" i="5"/>
  <c r="L1624" i="5" l="1"/>
  <c r="Q1623" i="5"/>
  <c r="N1625" i="5"/>
  <c r="K1626" i="5"/>
  <c r="I1621" i="5"/>
  <c r="F1621" i="5"/>
  <c r="C1622" i="5"/>
  <c r="I1622" i="5" l="1"/>
  <c r="C1623" i="5"/>
  <c r="F1622" i="5"/>
  <c r="N1626" i="5"/>
  <c r="K1627" i="5"/>
  <c r="L1625" i="5"/>
  <c r="Q1624" i="5"/>
  <c r="N1627" i="5" l="1"/>
  <c r="K1628" i="5"/>
  <c r="L1626" i="5"/>
  <c r="Q1625" i="5"/>
  <c r="I1623" i="5"/>
  <c r="F1623" i="5"/>
  <c r="C1624" i="5"/>
  <c r="C1625" i="5" l="1"/>
  <c r="I1624" i="5"/>
  <c r="F1624" i="5"/>
  <c r="L1627" i="5"/>
  <c r="Q1626" i="5"/>
  <c r="N1628" i="5"/>
  <c r="K1629" i="5"/>
  <c r="C1626" i="5" l="1"/>
  <c r="I1625" i="5"/>
  <c r="F1625" i="5"/>
  <c r="N1629" i="5"/>
  <c r="K1630" i="5"/>
  <c r="L1628" i="5"/>
  <c r="Q1627" i="5"/>
  <c r="L1629" i="5" l="1"/>
  <c r="Q1628" i="5"/>
  <c r="N1630" i="5"/>
  <c r="K1631" i="5"/>
  <c r="F1626" i="5"/>
  <c r="C1627" i="5"/>
  <c r="I1626" i="5"/>
  <c r="I1627" i="5" l="1"/>
  <c r="F1627" i="5"/>
  <c r="C1628" i="5"/>
  <c r="N1631" i="5"/>
  <c r="K1632" i="5"/>
  <c r="L1630" i="5"/>
  <c r="Q1629" i="5"/>
  <c r="L1631" i="5" l="1"/>
  <c r="Q1630" i="5"/>
  <c r="K1633" i="5"/>
  <c r="N1632" i="5"/>
  <c r="I1628" i="5"/>
  <c r="F1628" i="5"/>
  <c r="C1629" i="5"/>
  <c r="C1630" i="5" l="1"/>
  <c r="F1629" i="5"/>
  <c r="I1629" i="5"/>
  <c r="K1634" i="5"/>
  <c r="N1633" i="5"/>
  <c r="L1632" i="5"/>
  <c r="Q1631" i="5"/>
  <c r="L1633" i="5" l="1"/>
  <c r="Q1632" i="5"/>
  <c r="K1635" i="5"/>
  <c r="N1634" i="5"/>
  <c r="C1631" i="5"/>
  <c r="I1630" i="5"/>
  <c r="F1630" i="5"/>
  <c r="I1631" i="5" l="1"/>
  <c r="F1631" i="5"/>
  <c r="C1632" i="5"/>
  <c r="N1635" i="5"/>
  <c r="K1636" i="5"/>
  <c r="L1634" i="5"/>
  <c r="Q1633" i="5"/>
  <c r="N1636" i="5" l="1"/>
  <c r="K1637" i="5"/>
  <c r="L1635" i="5"/>
  <c r="Q1634" i="5"/>
  <c r="I1632" i="5"/>
  <c r="F1632" i="5"/>
  <c r="C1633" i="5"/>
  <c r="I1633" i="5" l="1"/>
  <c r="C1634" i="5"/>
  <c r="F1633" i="5"/>
  <c r="L1636" i="5"/>
  <c r="Q1635" i="5"/>
  <c r="N1637" i="5"/>
  <c r="K1638" i="5"/>
  <c r="K1639" i="5" l="1"/>
  <c r="N1638" i="5"/>
  <c r="L1637" i="5"/>
  <c r="Q1636" i="5"/>
  <c r="I1634" i="5"/>
  <c r="F1634" i="5"/>
  <c r="C1635" i="5"/>
  <c r="L1638" i="5" l="1"/>
  <c r="Q1637" i="5"/>
  <c r="C1636" i="5"/>
  <c r="F1635" i="5"/>
  <c r="I1635" i="5"/>
  <c r="N1639" i="5"/>
  <c r="K1640" i="5"/>
  <c r="F1636" i="5" l="1"/>
  <c r="I1636" i="5"/>
  <c r="C1637" i="5"/>
  <c r="N1640" i="5"/>
  <c r="K1641" i="5"/>
  <c r="L1639" i="5"/>
  <c r="Q1638" i="5"/>
  <c r="N1641" i="5" l="1"/>
  <c r="K1642" i="5"/>
  <c r="L1640" i="5"/>
  <c r="Q1639" i="5"/>
  <c r="C1638" i="5"/>
  <c r="I1637" i="5"/>
  <c r="F1637" i="5"/>
  <c r="L1641" i="5" l="1"/>
  <c r="Q1640" i="5"/>
  <c r="F1638" i="5"/>
  <c r="C1639" i="5"/>
  <c r="I1638" i="5"/>
  <c r="N1642" i="5"/>
  <c r="K1643" i="5"/>
  <c r="N1643" i="5" l="1"/>
  <c r="K1644" i="5"/>
  <c r="F1639" i="5"/>
  <c r="I1639" i="5"/>
  <c r="C1640" i="5"/>
  <c r="L1642" i="5"/>
  <c r="Q1641" i="5"/>
  <c r="L1643" i="5" l="1"/>
  <c r="Q1642" i="5"/>
  <c r="K1645" i="5"/>
  <c r="N1644" i="5"/>
  <c r="C1641" i="5"/>
  <c r="I1640" i="5"/>
  <c r="F1640" i="5"/>
  <c r="K1646" i="5" l="1"/>
  <c r="N1645" i="5"/>
  <c r="C1642" i="5"/>
  <c r="I1641" i="5"/>
  <c r="F1641" i="5"/>
  <c r="L1644" i="5"/>
  <c r="Q1643" i="5"/>
  <c r="C1643" i="5" l="1"/>
  <c r="I1642" i="5"/>
  <c r="F1642" i="5"/>
  <c r="L1645" i="5"/>
  <c r="Q1644" i="5"/>
  <c r="K1647" i="5"/>
  <c r="N1646" i="5"/>
  <c r="L1646" i="5" l="1"/>
  <c r="Q1645" i="5"/>
  <c r="K1648" i="5"/>
  <c r="N1647" i="5"/>
  <c r="I1643" i="5"/>
  <c r="C1644" i="5"/>
  <c r="F1643" i="5"/>
  <c r="K1649" i="5" l="1"/>
  <c r="N1648" i="5"/>
  <c r="I1644" i="5"/>
  <c r="C1645" i="5"/>
  <c r="F1644" i="5"/>
  <c r="L1647" i="5"/>
  <c r="Q1646" i="5"/>
  <c r="L1648" i="5" l="1"/>
  <c r="Q1647" i="5"/>
  <c r="I1645" i="5"/>
  <c r="C1646" i="5"/>
  <c r="F1645" i="5"/>
  <c r="N1649" i="5"/>
  <c r="K1650" i="5"/>
  <c r="C1647" i="5" l="1"/>
  <c r="I1646" i="5"/>
  <c r="F1646" i="5"/>
  <c r="N1650" i="5"/>
  <c r="K1651" i="5"/>
  <c r="L1649" i="5"/>
  <c r="Q1648" i="5"/>
  <c r="N1651" i="5" l="1"/>
  <c r="K1652" i="5"/>
  <c r="L1650" i="5"/>
  <c r="Q1649" i="5"/>
  <c r="C1648" i="5"/>
  <c r="I1647" i="5"/>
  <c r="F1647" i="5"/>
  <c r="C1649" i="5" l="1"/>
  <c r="F1648" i="5"/>
  <c r="I1648" i="5"/>
  <c r="L1651" i="5"/>
  <c r="Q1650" i="5"/>
  <c r="K1653" i="5"/>
  <c r="N1652" i="5"/>
  <c r="K1654" i="5" l="1"/>
  <c r="N1653" i="5"/>
  <c r="L1652" i="5"/>
  <c r="Q1651" i="5"/>
  <c r="C1650" i="5"/>
  <c r="I1649" i="5"/>
  <c r="F1649" i="5"/>
  <c r="F1650" i="5" l="1"/>
  <c r="I1650" i="5"/>
  <c r="C1651" i="5"/>
  <c r="L1653" i="5"/>
  <c r="Q1652" i="5"/>
  <c r="N1654" i="5"/>
  <c r="K1655" i="5"/>
  <c r="K1656" i="5" l="1"/>
  <c r="N1655" i="5"/>
  <c r="L1654" i="5"/>
  <c r="Q1653" i="5"/>
  <c r="I1651" i="5"/>
  <c r="F1651" i="5"/>
  <c r="C1652" i="5"/>
  <c r="I1652" i="5" l="1"/>
  <c r="C1653" i="5"/>
  <c r="F1652" i="5"/>
  <c r="L1655" i="5"/>
  <c r="Q1654" i="5"/>
  <c r="N1656" i="5"/>
  <c r="K1657" i="5"/>
  <c r="K1658" i="5" l="1"/>
  <c r="N1657" i="5"/>
  <c r="L1656" i="5"/>
  <c r="Q1655" i="5"/>
  <c r="I1653" i="5"/>
  <c r="F1653" i="5"/>
  <c r="C1654" i="5"/>
  <c r="F1654" i="5" l="1"/>
  <c r="C1655" i="5"/>
  <c r="I1654" i="5"/>
  <c r="L1657" i="5"/>
  <c r="Q1656" i="5"/>
  <c r="N1658" i="5"/>
  <c r="K1659" i="5"/>
  <c r="N1659" i="5" l="1"/>
  <c r="K1660" i="5"/>
  <c r="L1658" i="5"/>
  <c r="Q1657" i="5"/>
  <c r="F1655" i="5"/>
  <c r="I1655" i="5"/>
  <c r="C1656" i="5"/>
  <c r="L1659" i="5" l="1"/>
  <c r="Q1658" i="5"/>
  <c r="N1660" i="5"/>
  <c r="K1661" i="5"/>
  <c r="I1656" i="5"/>
  <c r="C1657" i="5"/>
  <c r="F1656" i="5"/>
  <c r="C1658" i="5" l="1"/>
  <c r="F1657" i="5"/>
  <c r="I1657" i="5"/>
  <c r="N1661" i="5"/>
  <c r="K1662" i="5"/>
  <c r="L1660" i="5"/>
  <c r="Q1659" i="5"/>
  <c r="L1661" i="5" l="1"/>
  <c r="Q1660" i="5"/>
  <c r="N1662" i="5"/>
  <c r="K1663" i="5"/>
  <c r="I1658" i="5"/>
  <c r="F1658" i="5"/>
  <c r="C1659" i="5"/>
  <c r="C1660" i="5" l="1"/>
  <c r="F1659" i="5"/>
  <c r="I1659" i="5"/>
  <c r="N1663" i="5"/>
  <c r="K1664" i="5"/>
  <c r="L1662" i="5"/>
  <c r="Q1661" i="5"/>
  <c r="L1663" i="5" l="1"/>
  <c r="Q1662" i="5"/>
  <c r="K1665" i="5"/>
  <c r="N1664" i="5"/>
  <c r="C1661" i="5"/>
  <c r="I1660" i="5"/>
  <c r="F1660" i="5"/>
  <c r="N1665" i="5" l="1"/>
  <c r="K1666" i="5"/>
  <c r="F1661" i="5"/>
  <c r="C1662" i="5"/>
  <c r="I1661" i="5"/>
  <c r="L1664" i="5"/>
  <c r="Q1663" i="5"/>
  <c r="K1667" i="5" l="1"/>
  <c r="N1666" i="5"/>
  <c r="L1665" i="5"/>
  <c r="Q1664" i="5"/>
  <c r="I1662" i="5"/>
  <c r="C1663" i="5"/>
  <c r="F1662" i="5"/>
  <c r="I1663" i="5" l="1"/>
  <c r="C1664" i="5"/>
  <c r="F1663" i="5"/>
  <c r="L1666" i="5"/>
  <c r="Q1665" i="5"/>
  <c r="K1668" i="5"/>
  <c r="N1667" i="5"/>
  <c r="N1668" i="5" l="1"/>
  <c r="K1669" i="5"/>
  <c r="L1667" i="5"/>
  <c r="Q1666" i="5"/>
  <c r="C1665" i="5"/>
  <c r="I1664" i="5"/>
  <c r="F1664" i="5"/>
  <c r="I1665" i="5" l="1"/>
  <c r="F1665" i="5"/>
  <c r="C1666" i="5"/>
  <c r="N1669" i="5"/>
  <c r="K1670" i="5"/>
  <c r="L1668" i="5"/>
  <c r="Q1667" i="5"/>
  <c r="L1669" i="5" l="1"/>
  <c r="Q1668" i="5"/>
  <c r="K1671" i="5"/>
  <c r="N1670" i="5"/>
  <c r="C1667" i="5"/>
  <c r="I1666" i="5"/>
  <c r="F1666" i="5"/>
  <c r="K1672" i="5" l="1"/>
  <c r="N1671" i="5"/>
  <c r="I1667" i="5"/>
  <c r="C1668" i="5"/>
  <c r="F1667" i="5"/>
  <c r="L1670" i="5"/>
  <c r="Q1669" i="5"/>
  <c r="L1671" i="5" l="1"/>
  <c r="Q1670" i="5"/>
  <c r="C1669" i="5"/>
  <c r="F1668" i="5"/>
  <c r="I1668" i="5"/>
  <c r="N1672" i="5"/>
  <c r="K1673" i="5"/>
  <c r="N1673" i="5" l="1"/>
  <c r="K1674" i="5"/>
  <c r="I1669" i="5"/>
  <c r="C1670" i="5"/>
  <c r="F1669" i="5"/>
  <c r="L1672" i="5"/>
  <c r="Q1671" i="5"/>
  <c r="I1670" i="5" l="1"/>
  <c r="F1670" i="5"/>
  <c r="C1671" i="5"/>
  <c r="L1673" i="5"/>
  <c r="Q1672" i="5"/>
  <c r="K1675" i="5"/>
  <c r="N1674" i="5"/>
  <c r="N1675" i="5" l="1"/>
  <c r="K1676" i="5"/>
  <c r="I1671" i="5"/>
  <c r="C1672" i="5"/>
  <c r="F1671" i="5"/>
  <c r="L1674" i="5"/>
  <c r="Q1673" i="5"/>
  <c r="F1672" i="5" l="1"/>
  <c r="I1672" i="5"/>
  <c r="C1673" i="5"/>
  <c r="L1675" i="5"/>
  <c r="Q1674" i="5"/>
  <c r="K1677" i="5"/>
  <c r="N1676" i="5"/>
  <c r="K1678" i="5" l="1"/>
  <c r="N1677" i="5"/>
  <c r="L1676" i="5"/>
  <c r="Q1675" i="5"/>
  <c r="F1673" i="5"/>
  <c r="C1674" i="5"/>
  <c r="I1673" i="5"/>
  <c r="F1674" i="5" l="1"/>
  <c r="I1674" i="5"/>
  <c r="C1675" i="5"/>
  <c r="L1677" i="5"/>
  <c r="Q1676" i="5"/>
  <c r="N1678" i="5"/>
  <c r="K1679" i="5"/>
  <c r="L1678" i="5" l="1"/>
  <c r="Q1677" i="5"/>
  <c r="N1679" i="5"/>
  <c r="K1680" i="5"/>
  <c r="C1676" i="5"/>
  <c r="I1675" i="5"/>
  <c r="F1675" i="5"/>
  <c r="N1680" i="5" l="1"/>
  <c r="K1681" i="5"/>
  <c r="C1677" i="5"/>
  <c r="I1676" i="5"/>
  <c r="F1676" i="5"/>
  <c r="L1679" i="5"/>
  <c r="Q1678" i="5"/>
  <c r="I1677" i="5" l="1"/>
  <c r="C1678" i="5"/>
  <c r="F1677" i="5"/>
  <c r="L1680" i="5"/>
  <c r="Q1679" i="5"/>
  <c r="K1682" i="5"/>
  <c r="N1681" i="5"/>
  <c r="I1678" i="5" l="1"/>
  <c r="C1679" i="5"/>
  <c r="F1678" i="5"/>
  <c r="N1682" i="5"/>
  <c r="K1683" i="5"/>
  <c r="L1681" i="5"/>
  <c r="Q1680" i="5"/>
  <c r="L1682" i="5" l="1"/>
  <c r="Q1681" i="5"/>
  <c r="K1684" i="5"/>
  <c r="N1683" i="5"/>
  <c r="C1680" i="5"/>
  <c r="I1679" i="5"/>
  <c r="F1679" i="5"/>
  <c r="F1680" i="5" l="1"/>
  <c r="C1681" i="5"/>
  <c r="I1680" i="5"/>
  <c r="N1684" i="5"/>
  <c r="K1685" i="5"/>
  <c r="L1683" i="5"/>
  <c r="Q1682" i="5"/>
  <c r="N1685" i="5" l="1"/>
  <c r="K1686" i="5"/>
  <c r="L1684" i="5"/>
  <c r="Q1683" i="5"/>
  <c r="C1682" i="5"/>
  <c r="I1681" i="5"/>
  <c r="F1681" i="5"/>
  <c r="I1682" i="5" l="1"/>
  <c r="C1683" i="5"/>
  <c r="F1682" i="5"/>
  <c r="L1685" i="5"/>
  <c r="Q1684" i="5"/>
  <c r="K1687" i="5"/>
  <c r="N1686" i="5"/>
  <c r="K1688" i="5" l="1"/>
  <c r="N1687" i="5"/>
  <c r="F1683" i="5"/>
  <c r="C1684" i="5"/>
  <c r="I1683" i="5"/>
  <c r="L1686" i="5"/>
  <c r="Q1685" i="5"/>
  <c r="L1687" i="5" l="1"/>
  <c r="Q1686" i="5"/>
  <c r="K1689" i="5"/>
  <c r="N1688" i="5"/>
  <c r="I1684" i="5"/>
  <c r="F1684" i="5"/>
  <c r="C1685" i="5"/>
  <c r="N1689" i="5" l="1"/>
  <c r="K1690" i="5"/>
  <c r="C1686" i="5"/>
  <c r="I1685" i="5"/>
  <c r="F1685" i="5"/>
  <c r="L1688" i="5"/>
  <c r="Q1687" i="5"/>
  <c r="N1690" i="5" l="1"/>
  <c r="K1691" i="5"/>
  <c r="L1689" i="5"/>
  <c r="Q1688" i="5"/>
  <c r="I1686" i="5"/>
  <c r="F1686" i="5"/>
  <c r="C1687" i="5"/>
  <c r="C1688" i="5" l="1"/>
  <c r="I1687" i="5"/>
  <c r="F1687" i="5"/>
  <c r="K1692" i="5"/>
  <c r="N1691" i="5"/>
  <c r="L1690" i="5"/>
  <c r="Q1689" i="5"/>
  <c r="K1693" i="5" l="1"/>
  <c r="N1692" i="5"/>
  <c r="L1691" i="5"/>
  <c r="Q1690" i="5"/>
  <c r="F1688" i="5"/>
  <c r="C1689" i="5"/>
  <c r="I1688" i="5"/>
  <c r="I1689" i="5" l="1"/>
  <c r="C1690" i="5"/>
  <c r="F1689" i="5"/>
  <c r="L1692" i="5"/>
  <c r="Q1691" i="5"/>
  <c r="N1693" i="5"/>
  <c r="K1694" i="5"/>
  <c r="L1693" i="5" l="1"/>
  <c r="Q1692" i="5"/>
  <c r="K1695" i="5"/>
  <c r="N1694" i="5"/>
  <c r="C1691" i="5"/>
  <c r="F1690" i="5"/>
  <c r="I1690" i="5"/>
  <c r="I1691" i="5" l="1"/>
  <c r="F1691" i="5"/>
  <c r="C1692" i="5"/>
  <c r="N1695" i="5"/>
  <c r="K1696" i="5"/>
  <c r="L1694" i="5"/>
  <c r="Q1693" i="5"/>
  <c r="K1697" i="5" l="1"/>
  <c r="N1696" i="5"/>
  <c r="L1695" i="5"/>
  <c r="Q1694" i="5"/>
  <c r="I1692" i="5"/>
  <c r="C1693" i="5"/>
  <c r="F1692" i="5"/>
  <c r="F1693" i="5" l="1"/>
  <c r="I1693" i="5"/>
  <c r="C1694" i="5"/>
  <c r="K1698" i="5"/>
  <c r="N1697" i="5"/>
  <c r="L1696" i="5"/>
  <c r="Q1695" i="5"/>
  <c r="L1697" i="5" l="1"/>
  <c r="Q1696" i="5"/>
  <c r="K1699" i="5"/>
  <c r="N1698" i="5"/>
  <c r="F1694" i="5"/>
  <c r="I1694" i="5"/>
  <c r="C1695" i="5"/>
  <c r="K1700" i="5" l="1"/>
  <c r="N1699" i="5"/>
  <c r="I1695" i="5"/>
  <c r="F1695" i="5"/>
  <c r="C1696" i="5"/>
  <c r="L1698" i="5"/>
  <c r="Q1697" i="5"/>
  <c r="F1696" i="5" l="1"/>
  <c r="C1697" i="5"/>
  <c r="I1696" i="5"/>
  <c r="L1699" i="5"/>
  <c r="Q1698" i="5"/>
  <c r="N1700" i="5"/>
  <c r="K1701" i="5"/>
  <c r="K1702" i="5" l="1"/>
  <c r="N1701" i="5"/>
  <c r="L1700" i="5"/>
  <c r="Q1699" i="5"/>
  <c r="C1698" i="5"/>
  <c r="F1697" i="5"/>
  <c r="I1697" i="5"/>
  <c r="C1699" i="5" l="1"/>
  <c r="I1698" i="5"/>
  <c r="F1698" i="5"/>
  <c r="L1701" i="5"/>
  <c r="Q1700" i="5"/>
  <c r="N1702" i="5"/>
  <c r="K1703" i="5"/>
  <c r="L1702" i="5" l="1"/>
  <c r="Q1701" i="5"/>
  <c r="K1704" i="5"/>
  <c r="N1703" i="5"/>
  <c r="C1700" i="5"/>
  <c r="I1699" i="5"/>
  <c r="F1699" i="5"/>
  <c r="N1704" i="5" l="1"/>
  <c r="K1705" i="5"/>
  <c r="I1700" i="5"/>
  <c r="F1700" i="5"/>
  <c r="C1701" i="5"/>
  <c r="L1703" i="5"/>
  <c r="Q1702" i="5"/>
  <c r="C1702" i="5" l="1"/>
  <c r="I1701" i="5"/>
  <c r="F1701" i="5"/>
  <c r="L1704" i="5"/>
  <c r="Q1703" i="5"/>
  <c r="N1705" i="5"/>
  <c r="K1706" i="5"/>
  <c r="N1706" i="5" l="1"/>
  <c r="K1707" i="5"/>
  <c r="L1705" i="5"/>
  <c r="Q1704" i="5"/>
  <c r="I1702" i="5"/>
  <c r="F1702" i="5"/>
  <c r="C1703" i="5"/>
  <c r="I1703" i="5" l="1"/>
  <c r="F1703" i="5"/>
  <c r="C1704" i="5"/>
  <c r="L1706" i="5"/>
  <c r="Q1705" i="5"/>
  <c r="N1707" i="5"/>
  <c r="K1708" i="5"/>
  <c r="L1707" i="5" l="1"/>
  <c r="Q1706" i="5"/>
  <c r="K1709" i="5"/>
  <c r="N1708" i="5"/>
  <c r="F1704" i="5"/>
  <c r="I1704" i="5"/>
  <c r="C1705" i="5"/>
  <c r="F1705" i="5" l="1"/>
  <c r="C1706" i="5"/>
  <c r="I1705" i="5"/>
  <c r="K1710" i="5"/>
  <c r="N1709" i="5"/>
  <c r="L1708" i="5"/>
  <c r="Q1707" i="5"/>
  <c r="K1711" i="5" l="1"/>
  <c r="N1710" i="5"/>
  <c r="F1706" i="5"/>
  <c r="C1707" i="5"/>
  <c r="I1706" i="5"/>
  <c r="L1709" i="5"/>
  <c r="Q1708" i="5"/>
  <c r="L1710" i="5" l="1"/>
  <c r="Q1709" i="5"/>
  <c r="C1708" i="5"/>
  <c r="F1707" i="5"/>
  <c r="I1707" i="5"/>
  <c r="K1712" i="5"/>
  <c r="N1711" i="5"/>
  <c r="C1709" i="5" l="1"/>
  <c r="I1708" i="5"/>
  <c r="F1708" i="5"/>
  <c r="K1713" i="5"/>
  <c r="N1712" i="5"/>
  <c r="L1711" i="5"/>
  <c r="Q1710" i="5"/>
  <c r="L1712" i="5" l="1"/>
  <c r="Q1711" i="5"/>
  <c r="N1713" i="5"/>
  <c r="K1714" i="5"/>
  <c r="C1710" i="5"/>
  <c r="I1709" i="5"/>
  <c r="F1709" i="5"/>
  <c r="F1710" i="5" l="1"/>
  <c r="C1711" i="5"/>
  <c r="I1710" i="5"/>
  <c r="K1715" i="5"/>
  <c r="N1714" i="5"/>
  <c r="L1713" i="5"/>
  <c r="Q1712" i="5"/>
  <c r="I1711" i="5" l="1"/>
  <c r="C1712" i="5"/>
  <c r="F1711" i="5"/>
  <c r="L1714" i="5"/>
  <c r="Q1713" i="5"/>
  <c r="K1716" i="5"/>
  <c r="N1715" i="5"/>
  <c r="K1717" i="5" l="1"/>
  <c r="N1716" i="5"/>
  <c r="C1713" i="5"/>
  <c r="F1712" i="5"/>
  <c r="I1712" i="5"/>
  <c r="L1715" i="5"/>
  <c r="Q1714" i="5"/>
  <c r="I1713" i="5" l="1"/>
  <c r="F1713" i="5"/>
  <c r="C1714" i="5"/>
  <c r="L1716" i="5"/>
  <c r="Q1715" i="5"/>
  <c r="N1717" i="5"/>
  <c r="K1718" i="5"/>
  <c r="L1717" i="5" l="1"/>
  <c r="Q1716" i="5"/>
  <c r="C1715" i="5"/>
  <c r="I1714" i="5"/>
  <c r="F1714" i="5"/>
  <c r="N1718" i="5"/>
  <c r="K1719" i="5"/>
  <c r="K1720" i="5" l="1"/>
  <c r="N1719" i="5"/>
  <c r="F1715" i="5"/>
  <c r="I1715" i="5"/>
  <c r="C1716" i="5"/>
  <c r="L1718" i="5"/>
  <c r="Q1717" i="5"/>
  <c r="F1716" i="5" l="1"/>
  <c r="C1717" i="5"/>
  <c r="I1716" i="5"/>
  <c r="L1719" i="5"/>
  <c r="Q1718" i="5"/>
  <c r="K1721" i="5"/>
  <c r="N1720" i="5"/>
  <c r="K1722" i="5" l="1"/>
  <c r="N1721" i="5"/>
  <c r="C1718" i="5"/>
  <c r="F1717" i="5"/>
  <c r="I1717" i="5"/>
  <c r="L1720" i="5"/>
  <c r="Q1719" i="5"/>
  <c r="L1721" i="5" l="1"/>
  <c r="Q1720" i="5"/>
  <c r="C1719" i="5"/>
  <c r="I1718" i="5"/>
  <c r="F1718" i="5"/>
  <c r="K1723" i="5"/>
  <c r="N1722" i="5"/>
  <c r="K1724" i="5" l="1"/>
  <c r="N1723" i="5"/>
  <c r="C1720" i="5"/>
  <c r="F1719" i="5"/>
  <c r="I1719" i="5"/>
  <c r="L1722" i="5"/>
  <c r="Q1721" i="5"/>
  <c r="L1723" i="5" l="1"/>
  <c r="Q1722" i="5"/>
  <c r="C1721" i="5"/>
  <c r="I1720" i="5"/>
  <c r="F1720" i="5"/>
  <c r="N1724" i="5"/>
  <c r="K1725" i="5"/>
  <c r="K1726" i="5" l="1"/>
  <c r="N1725" i="5"/>
  <c r="I1721" i="5"/>
  <c r="F1721" i="5"/>
  <c r="C1722" i="5"/>
  <c r="L1724" i="5"/>
  <c r="Q1723" i="5"/>
  <c r="L1725" i="5" l="1"/>
  <c r="Q1724" i="5"/>
  <c r="I1722" i="5"/>
  <c r="F1722" i="5"/>
  <c r="C1723" i="5"/>
  <c r="K1727" i="5"/>
  <c r="N1726" i="5"/>
  <c r="C1724" i="5" l="1"/>
  <c r="I1723" i="5"/>
  <c r="F1723" i="5"/>
  <c r="K1728" i="5"/>
  <c r="N1727" i="5"/>
  <c r="L1726" i="5"/>
  <c r="Q1725" i="5"/>
  <c r="L1727" i="5" l="1"/>
  <c r="Q1726" i="5"/>
  <c r="N1728" i="5"/>
  <c r="K1729" i="5"/>
  <c r="I1724" i="5"/>
  <c r="F1724" i="5"/>
  <c r="C1725" i="5"/>
  <c r="I1725" i="5" l="1"/>
  <c r="F1725" i="5"/>
  <c r="C1726" i="5"/>
  <c r="K1730" i="5"/>
  <c r="N1729" i="5"/>
  <c r="L1728" i="5"/>
  <c r="Q1727" i="5"/>
  <c r="N1730" i="5" l="1"/>
  <c r="K1731" i="5"/>
  <c r="L1729" i="5"/>
  <c r="Q1728" i="5"/>
  <c r="F1726" i="5"/>
  <c r="I1726" i="5"/>
  <c r="C1727" i="5"/>
  <c r="L1730" i="5" l="1"/>
  <c r="Q1729" i="5"/>
  <c r="F1727" i="5"/>
  <c r="I1727" i="5"/>
  <c r="C1728" i="5"/>
  <c r="K1732" i="5"/>
  <c r="N1731" i="5"/>
  <c r="K1733" i="5" l="1"/>
  <c r="N1732" i="5"/>
  <c r="I1728" i="5"/>
  <c r="F1728" i="5"/>
  <c r="C1729" i="5"/>
  <c r="L1731" i="5"/>
  <c r="Q1730" i="5"/>
  <c r="I1729" i="5" l="1"/>
  <c r="F1729" i="5"/>
  <c r="C1730" i="5"/>
  <c r="L1732" i="5"/>
  <c r="Q1731" i="5"/>
  <c r="K1734" i="5"/>
  <c r="N1733" i="5"/>
  <c r="K1735" i="5" l="1"/>
  <c r="N1734" i="5"/>
  <c r="L1733" i="5"/>
  <c r="Q1732" i="5"/>
  <c r="C1731" i="5"/>
  <c r="I1730" i="5"/>
  <c r="F1730" i="5"/>
  <c r="F1731" i="5" l="1"/>
  <c r="C1732" i="5"/>
  <c r="I1731" i="5"/>
  <c r="L1734" i="5"/>
  <c r="Q1733" i="5"/>
  <c r="N1735" i="5"/>
  <c r="K1736" i="5"/>
  <c r="N1736" i="5" l="1"/>
  <c r="K1737" i="5"/>
  <c r="F1732" i="5"/>
  <c r="I1732" i="5"/>
  <c r="C1733" i="5"/>
  <c r="L1735" i="5"/>
  <c r="Q1734" i="5"/>
  <c r="I1733" i="5" l="1"/>
  <c r="C1734" i="5"/>
  <c r="F1733" i="5"/>
  <c r="L1736" i="5"/>
  <c r="Q1735" i="5"/>
  <c r="K1738" i="5"/>
  <c r="N1737" i="5"/>
  <c r="L1737" i="5" l="1"/>
  <c r="Q1736" i="5"/>
  <c r="K1739" i="5"/>
  <c r="N1738" i="5"/>
  <c r="C1735" i="5"/>
  <c r="I1734" i="5"/>
  <c r="F1734" i="5"/>
  <c r="F1735" i="5" l="1"/>
  <c r="C1736" i="5"/>
  <c r="I1735" i="5"/>
  <c r="K1740" i="5"/>
  <c r="N1739" i="5"/>
  <c r="L1738" i="5"/>
  <c r="Q1737" i="5"/>
  <c r="N1740" i="5" l="1"/>
  <c r="K1741" i="5"/>
  <c r="L1739" i="5"/>
  <c r="Q1738" i="5"/>
  <c r="I1736" i="5"/>
  <c r="F1736" i="5"/>
  <c r="C1737" i="5"/>
  <c r="K1742" i="5" l="1"/>
  <c r="N1741" i="5"/>
  <c r="C1738" i="5"/>
  <c r="F1737" i="5"/>
  <c r="I1737" i="5"/>
  <c r="L1740" i="5"/>
  <c r="Q1739" i="5"/>
  <c r="L1741" i="5" l="1"/>
  <c r="Q1740" i="5"/>
  <c r="F1738" i="5"/>
  <c r="C1739" i="5"/>
  <c r="I1738" i="5"/>
  <c r="N1742" i="5"/>
  <c r="K1743" i="5"/>
  <c r="N1743" i="5" l="1"/>
  <c r="K1744" i="5"/>
  <c r="C1740" i="5"/>
  <c r="I1739" i="5"/>
  <c r="F1739" i="5"/>
  <c r="L1742" i="5"/>
  <c r="Q1741" i="5"/>
  <c r="L1743" i="5" l="1"/>
  <c r="Q1742" i="5"/>
  <c r="C1741" i="5"/>
  <c r="I1740" i="5"/>
  <c r="F1740" i="5"/>
  <c r="K1745" i="5"/>
  <c r="N1744" i="5"/>
  <c r="K1746" i="5" l="1"/>
  <c r="N1745" i="5"/>
  <c r="I1741" i="5"/>
  <c r="C1742" i="5"/>
  <c r="F1741" i="5"/>
  <c r="L1744" i="5"/>
  <c r="Q1743" i="5"/>
  <c r="L1745" i="5" l="1"/>
  <c r="Q1744" i="5"/>
  <c r="C1743" i="5"/>
  <c r="F1742" i="5"/>
  <c r="I1742" i="5"/>
  <c r="K1747" i="5"/>
  <c r="N1746" i="5"/>
  <c r="N1747" i="5" l="1"/>
  <c r="K1748" i="5"/>
  <c r="F1743" i="5"/>
  <c r="C1744" i="5"/>
  <c r="I1743" i="5"/>
  <c r="L1746" i="5"/>
  <c r="Q1745" i="5"/>
  <c r="F1744" i="5" l="1"/>
  <c r="C1745" i="5"/>
  <c r="I1744" i="5"/>
  <c r="L1747" i="5"/>
  <c r="Q1746" i="5"/>
  <c r="N1748" i="5"/>
  <c r="K1749" i="5"/>
  <c r="K1750" i="5" l="1"/>
  <c r="N1749" i="5"/>
  <c r="I1745" i="5"/>
  <c r="F1745" i="5"/>
  <c r="C1746" i="5"/>
  <c r="L1748" i="5"/>
  <c r="Q1747" i="5"/>
  <c r="L1749" i="5" l="1"/>
  <c r="Q1748" i="5"/>
  <c r="I1746" i="5"/>
  <c r="F1746" i="5"/>
  <c r="C1747" i="5"/>
  <c r="K1751" i="5"/>
  <c r="N1750" i="5"/>
  <c r="F1747" i="5" l="1"/>
  <c r="I1747" i="5"/>
  <c r="C1748" i="5"/>
  <c r="N1751" i="5"/>
  <c r="K1752" i="5"/>
  <c r="L1750" i="5"/>
  <c r="Q1749" i="5"/>
  <c r="L1751" i="5" l="1"/>
  <c r="Q1750" i="5"/>
  <c r="N1752" i="5"/>
  <c r="K1753" i="5"/>
  <c r="F1748" i="5"/>
  <c r="I1748" i="5"/>
  <c r="C1749" i="5"/>
  <c r="K1754" i="5" l="1"/>
  <c r="N1753" i="5"/>
  <c r="C1750" i="5"/>
  <c r="I1749" i="5"/>
  <c r="F1749" i="5"/>
  <c r="L1752" i="5"/>
  <c r="Q1751" i="5"/>
  <c r="L1753" i="5" l="1"/>
  <c r="Q1752" i="5"/>
  <c r="I1750" i="5"/>
  <c r="C1751" i="5"/>
  <c r="F1750" i="5"/>
  <c r="N1754" i="5"/>
  <c r="K1755" i="5"/>
  <c r="K1756" i="5" l="1"/>
  <c r="N1755" i="5"/>
  <c r="I1751" i="5"/>
  <c r="F1751" i="5"/>
  <c r="C1752" i="5"/>
  <c r="L1754" i="5"/>
  <c r="Q1753" i="5"/>
  <c r="I1752" i="5" l="1"/>
  <c r="F1752" i="5"/>
  <c r="C1753" i="5"/>
  <c r="L1755" i="5"/>
  <c r="Q1754" i="5"/>
  <c r="N1756" i="5"/>
  <c r="K1757" i="5"/>
  <c r="L1756" i="5" l="1"/>
  <c r="Q1755" i="5"/>
  <c r="N1757" i="5"/>
  <c r="K1758" i="5"/>
  <c r="C1754" i="5"/>
  <c r="F1753" i="5"/>
  <c r="I1753" i="5"/>
  <c r="I1754" i="5" l="1"/>
  <c r="F1754" i="5"/>
  <c r="C1755" i="5"/>
  <c r="N1758" i="5"/>
  <c r="K1759" i="5"/>
  <c r="L1757" i="5"/>
  <c r="Q1756" i="5"/>
  <c r="N1759" i="5" l="1"/>
  <c r="K1760" i="5"/>
  <c r="L1758" i="5"/>
  <c r="Q1757" i="5"/>
  <c r="I1755" i="5"/>
  <c r="C1756" i="5"/>
  <c r="F1755" i="5"/>
  <c r="I1756" i="5" l="1"/>
  <c r="C1757" i="5"/>
  <c r="F1756" i="5"/>
  <c r="L1759" i="5"/>
  <c r="Q1758" i="5"/>
  <c r="K1761" i="5"/>
  <c r="N1760" i="5"/>
  <c r="L1760" i="5" l="1"/>
  <c r="Q1759" i="5"/>
  <c r="K1762" i="5"/>
  <c r="N1761" i="5"/>
  <c r="C1758" i="5"/>
  <c r="F1757" i="5"/>
  <c r="I1757" i="5"/>
  <c r="N1762" i="5" l="1"/>
  <c r="K1763" i="5"/>
  <c r="C1759" i="5"/>
  <c r="I1758" i="5"/>
  <c r="F1758" i="5"/>
  <c r="L1761" i="5"/>
  <c r="Q1760" i="5"/>
  <c r="L1762" i="5" l="1"/>
  <c r="Q1761" i="5"/>
  <c r="I1759" i="5"/>
  <c r="C1760" i="5"/>
  <c r="F1759" i="5"/>
  <c r="N1763" i="5"/>
  <c r="K1764" i="5"/>
  <c r="I1760" i="5" l="1"/>
  <c r="F1760" i="5"/>
  <c r="C1761" i="5"/>
  <c r="K1765" i="5"/>
  <c r="N1764" i="5"/>
  <c r="L1763" i="5"/>
  <c r="Q1762" i="5"/>
  <c r="K1766" i="5" l="1"/>
  <c r="N1765" i="5"/>
  <c r="L1764" i="5"/>
  <c r="Q1763" i="5"/>
  <c r="C1762" i="5"/>
  <c r="I1761" i="5"/>
  <c r="F1761" i="5"/>
  <c r="C1763" i="5" l="1"/>
  <c r="I1762" i="5"/>
  <c r="F1762" i="5"/>
  <c r="L1765" i="5"/>
  <c r="Q1764" i="5"/>
  <c r="N1766" i="5"/>
  <c r="K1767" i="5"/>
  <c r="L1766" i="5" l="1"/>
  <c r="Q1765" i="5"/>
  <c r="K1768" i="5"/>
  <c r="N1767" i="5"/>
  <c r="I1763" i="5"/>
  <c r="C1764" i="5"/>
  <c r="F1763" i="5"/>
  <c r="C1765" i="5" l="1"/>
  <c r="I1764" i="5"/>
  <c r="F1764" i="5"/>
  <c r="K1769" i="5"/>
  <c r="N1768" i="5"/>
  <c r="L1767" i="5"/>
  <c r="Q1766" i="5"/>
  <c r="L1768" i="5" l="1"/>
  <c r="Q1767" i="5"/>
  <c r="N1769" i="5"/>
  <c r="K1770" i="5"/>
  <c r="C1766" i="5"/>
  <c r="I1765" i="5"/>
  <c r="F1765" i="5"/>
  <c r="N1770" i="5" l="1"/>
  <c r="K1771" i="5"/>
  <c r="F1766" i="5"/>
  <c r="C1767" i="5"/>
  <c r="I1766" i="5"/>
  <c r="L1769" i="5"/>
  <c r="Q1768" i="5"/>
  <c r="L1770" i="5" l="1"/>
  <c r="Q1769" i="5"/>
  <c r="C1768" i="5"/>
  <c r="I1767" i="5"/>
  <c r="F1767" i="5"/>
  <c r="K1772" i="5"/>
  <c r="N1771" i="5"/>
  <c r="C1769" i="5" l="1"/>
  <c r="I1768" i="5"/>
  <c r="F1768" i="5"/>
  <c r="K1773" i="5"/>
  <c r="N1772" i="5"/>
  <c r="L1771" i="5"/>
  <c r="Q1770" i="5"/>
  <c r="L1772" i="5" l="1"/>
  <c r="Q1771" i="5"/>
  <c r="K1774" i="5"/>
  <c r="N1773" i="5"/>
  <c r="C1770" i="5"/>
  <c r="I1769" i="5"/>
  <c r="F1769" i="5"/>
  <c r="F1770" i="5" l="1"/>
  <c r="C1771" i="5"/>
  <c r="I1770" i="5"/>
  <c r="K1775" i="5"/>
  <c r="N1774" i="5"/>
  <c r="L1773" i="5"/>
  <c r="Q1772" i="5"/>
  <c r="L1774" i="5" l="1"/>
  <c r="Q1773" i="5"/>
  <c r="F1771" i="5"/>
  <c r="C1772" i="5"/>
  <c r="I1771" i="5"/>
  <c r="N1775" i="5"/>
  <c r="K1776" i="5"/>
  <c r="K1777" i="5" l="1"/>
  <c r="N1776" i="5"/>
  <c r="F1772" i="5"/>
  <c r="C1773" i="5"/>
  <c r="I1772" i="5"/>
  <c r="L1775" i="5"/>
  <c r="Q1774" i="5"/>
  <c r="L1776" i="5" l="1"/>
  <c r="Q1775" i="5"/>
  <c r="I1773" i="5"/>
  <c r="F1773" i="5"/>
  <c r="C1774" i="5"/>
  <c r="K1778" i="5"/>
  <c r="N1777" i="5"/>
  <c r="K1779" i="5" l="1"/>
  <c r="N1778" i="5"/>
  <c r="I1774" i="5"/>
  <c r="F1774" i="5"/>
  <c r="C1775" i="5"/>
  <c r="L1777" i="5"/>
  <c r="Q1776" i="5"/>
  <c r="L1778" i="5" l="1"/>
  <c r="Q1777" i="5"/>
  <c r="C1776" i="5"/>
  <c r="F1775" i="5"/>
  <c r="I1775" i="5"/>
  <c r="K1780" i="5"/>
  <c r="N1779" i="5"/>
  <c r="F1776" i="5" l="1"/>
  <c r="C1777" i="5"/>
  <c r="I1776" i="5"/>
  <c r="N1780" i="5"/>
  <c r="K1781" i="5"/>
  <c r="L1779" i="5"/>
  <c r="Q1778" i="5"/>
  <c r="L1780" i="5" l="1"/>
  <c r="Q1779" i="5"/>
  <c r="C1778" i="5"/>
  <c r="I1777" i="5"/>
  <c r="F1777" i="5"/>
  <c r="K1782" i="5"/>
  <c r="N1781" i="5"/>
  <c r="I1778" i="5" l="1"/>
  <c r="F1778" i="5"/>
  <c r="C1779" i="5"/>
  <c r="N1782" i="5"/>
  <c r="K1783" i="5"/>
  <c r="L1781" i="5"/>
  <c r="Q1780" i="5"/>
  <c r="L1782" i="5" l="1"/>
  <c r="Q1781" i="5"/>
  <c r="K1784" i="5"/>
  <c r="N1783" i="5"/>
  <c r="I1779" i="5"/>
  <c r="F1779" i="5"/>
  <c r="C1780" i="5"/>
  <c r="F1780" i="5" l="1"/>
  <c r="C1781" i="5"/>
  <c r="I1780" i="5"/>
  <c r="K1785" i="5"/>
  <c r="N1784" i="5"/>
  <c r="L1783" i="5"/>
  <c r="Q1782" i="5"/>
  <c r="L1784" i="5" l="1"/>
  <c r="Q1783" i="5"/>
  <c r="K1786" i="5"/>
  <c r="N1785" i="5"/>
  <c r="I1781" i="5"/>
  <c r="F1781" i="5"/>
  <c r="C1782" i="5"/>
  <c r="C1783" i="5" l="1"/>
  <c r="I1782" i="5"/>
  <c r="F1782" i="5"/>
  <c r="N1786" i="5"/>
  <c r="K1787" i="5"/>
  <c r="L1785" i="5"/>
  <c r="Q1784" i="5"/>
  <c r="N1787" i="5" l="1"/>
  <c r="K1788" i="5"/>
  <c r="L1786" i="5"/>
  <c r="Q1785" i="5"/>
  <c r="I1783" i="5"/>
  <c r="F1783" i="5"/>
  <c r="C1784" i="5"/>
  <c r="K1789" i="5" l="1"/>
  <c r="N1788" i="5"/>
  <c r="I1784" i="5"/>
  <c r="C1785" i="5"/>
  <c r="F1784" i="5"/>
  <c r="L1787" i="5"/>
  <c r="Q1786" i="5"/>
  <c r="L1788" i="5" l="1"/>
  <c r="Q1787" i="5"/>
  <c r="I1785" i="5"/>
  <c r="C1786" i="5"/>
  <c r="F1785" i="5"/>
  <c r="K1790" i="5"/>
  <c r="N1789" i="5"/>
  <c r="N1790" i="5" l="1"/>
  <c r="K1791" i="5"/>
  <c r="C1787" i="5"/>
  <c r="I1786" i="5"/>
  <c r="F1786" i="5"/>
  <c r="L1789" i="5"/>
  <c r="Q1788" i="5"/>
  <c r="L1790" i="5" l="1"/>
  <c r="Q1789" i="5"/>
  <c r="N1791" i="5"/>
  <c r="K1792" i="5"/>
  <c r="I1787" i="5"/>
  <c r="C1788" i="5"/>
  <c r="F1787" i="5"/>
  <c r="K1793" i="5" l="1"/>
  <c r="N1792" i="5"/>
  <c r="F1788" i="5"/>
  <c r="I1788" i="5"/>
  <c r="C1789" i="5"/>
  <c r="L1791" i="5"/>
  <c r="Q1790" i="5"/>
  <c r="L1792" i="5" l="1"/>
  <c r="Q1791" i="5"/>
  <c r="I1789" i="5"/>
  <c r="C1790" i="5"/>
  <c r="F1789" i="5"/>
  <c r="K1794" i="5"/>
  <c r="N1793" i="5"/>
  <c r="L1793" i="5" l="1"/>
  <c r="Q1792" i="5"/>
  <c r="N1794" i="5"/>
  <c r="K1795" i="5"/>
  <c r="F1790" i="5"/>
  <c r="I1790" i="5"/>
  <c r="C1791" i="5"/>
  <c r="I1791" i="5" l="1"/>
  <c r="F1791" i="5"/>
  <c r="C1792" i="5"/>
  <c r="K1796" i="5"/>
  <c r="N1795" i="5"/>
  <c r="L1794" i="5"/>
  <c r="Q1793" i="5"/>
  <c r="L1795" i="5" l="1"/>
  <c r="Q1794" i="5"/>
  <c r="N1796" i="5"/>
  <c r="K1797" i="5"/>
  <c r="C1793" i="5"/>
  <c r="I1792" i="5"/>
  <c r="F1792" i="5"/>
  <c r="K1798" i="5" l="1"/>
  <c r="N1797" i="5"/>
  <c r="F1793" i="5"/>
  <c r="I1793" i="5"/>
  <c r="C1794" i="5"/>
  <c r="L1796" i="5"/>
  <c r="Q1795" i="5"/>
  <c r="C1795" i="5" l="1"/>
  <c r="I1794" i="5"/>
  <c r="F1794" i="5"/>
  <c r="L1797" i="5"/>
  <c r="Q1796" i="5"/>
  <c r="K1799" i="5"/>
  <c r="N1798" i="5"/>
  <c r="N1799" i="5" l="1"/>
  <c r="K1800" i="5"/>
  <c r="L1798" i="5"/>
  <c r="Q1797" i="5"/>
  <c r="C1796" i="5"/>
  <c r="I1795" i="5"/>
  <c r="F1795" i="5"/>
  <c r="L1799" i="5" l="1"/>
  <c r="Q1798" i="5"/>
  <c r="K1801" i="5"/>
  <c r="N1800" i="5"/>
  <c r="I1796" i="5"/>
  <c r="F1796" i="5"/>
  <c r="C1797" i="5"/>
  <c r="C1798" i="5" l="1"/>
  <c r="I1797" i="5"/>
  <c r="F1797" i="5"/>
  <c r="N1801" i="5"/>
  <c r="K1802" i="5"/>
  <c r="L1800" i="5"/>
  <c r="Q1799" i="5"/>
  <c r="L1801" i="5" l="1"/>
  <c r="Q1800" i="5"/>
  <c r="N1802" i="5"/>
  <c r="K1803" i="5"/>
  <c r="I1798" i="5"/>
  <c r="C1799" i="5"/>
  <c r="F1798" i="5"/>
  <c r="I1799" i="5" l="1"/>
  <c r="F1799" i="5"/>
  <c r="C1800" i="5"/>
  <c r="K1804" i="5"/>
  <c r="N1803" i="5"/>
  <c r="L1802" i="5"/>
  <c r="Q1801" i="5"/>
  <c r="L1803" i="5" l="1"/>
  <c r="Q1802" i="5"/>
  <c r="C1801" i="5"/>
  <c r="I1800" i="5"/>
  <c r="F1800" i="5"/>
  <c r="K1805" i="5"/>
  <c r="N1804" i="5"/>
  <c r="K1806" i="5" l="1"/>
  <c r="N1805" i="5"/>
  <c r="F1801" i="5"/>
  <c r="I1801" i="5"/>
  <c r="C1802" i="5"/>
  <c r="L1804" i="5"/>
  <c r="Q1803" i="5"/>
  <c r="L1805" i="5" l="1"/>
  <c r="Q1804" i="5"/>
  <c r="K1807" i="5"/>
  <c r="N1806" i="5"/>
  <c r="C1803" i="5"/>
  <c r="I1802" i="5"/>
  <c r="F1802" i="5"/>
  <c r="N1807" i="5" l="1"/>
  <c r="K1808" i="5"/>
  <c r="C1804" i="5"/>
  <c r="I1803" i="5"/>
  <c r="F1803" i="5"/>
  <c r="L1806" i="5"/>
  <c r="Q1805" i="5"/>
  <c r="C1805" i="5" l="1"/>
  <c r="F1804" i="5"/>
  <c r="I1804" i="5"/>
  <c r="L1807" i="5"/>
  <c r="Q1806" i="5"/>
  <c r="N1808" i="5"/>
  <c r="K1809" i="5"/>
  <c r="L1808" i="5" l="1"/>
  <c r="Q1807" i="5"/>
  <c r="N1809" i="5"/>
  <c r="K1810" i="5"/>
  <c r="F1805" i="5"/>
  <c r="C1806" i="5"/>
  <c r="I1805" i="5"/>
  <c r="F1806" i="5" l="1"/>
  <c r="C1807" i="5"/>
  <c r="I1806" i="5"/>
  <c r="N1810" i="5"/>
  <c r="K1811" i="5"/>
  <c r="L1809" i="5"/>
  <c r="Q1808" i="5"/>
  <c r="I1807" i="5" l="1"/>
  <c r="F1807" i="5"/>
  <c r="C1808" i="5"/>
  <c r="N1811" i="5"/>
  <c r="K1812" i="5"/>
  <c r="L1810" i="5"/>
  <c r="Q1809" i="5"/>
  <c r="L1811" i="5" l="1"/>
  <c r="Q1810" i="5"/>
  <c r="N1812" i="5"/>
  <c r="K1813" i="5"/>
  <c r="C1809" i="5"/>
  <c r="F1808" i="5"/>
  <c r="I1808" i="5"/>
  <c r="I1809" i="5" l="1"/>
  <c r="C1810" i="5"/>
  <c r="F1809" i="5"/>
  <c r="N1813" i="5"/>
  <c r="K1814" i="5"/>
  <c r="L1812" i="5"/>
  <c r="Q1811" i="5"/>
  <c r="K1815" i="5" l="1"/>
  <c r="N1814" i="5"/>
  <c r="L1813" i="5"/>
  <c r="Q1812" i="5"/>
  <c r="C1811" i="5"/>
  <c r="I1810" i="5"/>
  <c r="F1810" i="5"/>
  <c r="F1811" i="5" l="1"/>
  <c r="C1812" i="5"/>
  <c r="I1811" i="5"/>
  <c r="L1814" i="5"/>
  <c r="Q1813" i="5"/>
  <c r="K1816" i="5"/>
  <c r="N1815" i="5"/>
  <c r="N1816" i="5" l="1"/>
  <c r="K1817" i="5"/>
  <c r="L1815" i="5"/>
  <c r="Q1814" i="5"/>
  <c r="C1813" i="5"/>
  <c r="I1812" i="5"/>
  <c r="F1812" i="5"/>
  <c r="F1813" i="5" l="1"/>
  <c r="C1814" i="5"/>
  <c r="I1813" i="5"/>
  <c r="L1816" i="5"/>
  <c r="Q1815" i="5"/>
  <c r="N1817" i="5"/>
  <c r="K1818" i="5"/>
  <c r="N1818" i="5" l="1"/>
  <c r="K1819" i="5"/>
  <c r="L1817" i="5"/>
  <c r="Q1816" i="5"/>
  <c r="I1814" i="5"/>
  <c r="C1815" i="5"/>
  <c r="F1814" i="5"/>
  <c r="C1816" i="5" l="1"/>
  <c r="I1815" i="5"/>
  <c r="F1815" i="5"/>
  <c r="K1820" i="5"/>
  <c r="N1819" i="5"/>
  <c r="L1818" i="5"/>
  <c r="Q1817" i="5"/>
  <c r="L1819" i="5" l="1"/>
  <c r="Q1818" i="5"/>
  <c r="K1821" i="5"/>
  <c r="N1820" i="5"/>
  <c r="I1816" i="5"/>
  <c r="C1817" i="5"/>
  <c r="F1816" i="5"/>
  <c r="K1822" i="5" l="1"/>
  <c r="N1821" i="5"/>
  <c r="I1817" i="5"/>
  <c r="F1817" i="5"/>
  <c r="C1818" i="5"/>
  <c r="L1820" i="5"/>
  <c r="Q1819" i="5"/>
  <c r="L1821" i="5" l="1"/>
  <c r="Q1820" i="5"/>
  <c r="I1818" i="5"/>
  <c r="C1819" i="5"/>
  <c r="F1818" i="5"/>
  <c r="N1822" i="5"/>
  <c r="K1823" i="5"/>
  <c r="C1820" i="5" l="1"/>
  <c r="I1819" i="5"/>
  <c r="F1819" i="5"/>
  <c r="K1824" i="5"/>
  <c r="N1823" i="5"/>
  <c r="L1822" i="5"/>
  <c r="Q1821" i="5"/>
  <c r="L1823" i="5" l="1"/>
  <c r="Q1822" i="5"/>
  <c r="N1824" i="5"/>
  <c r="K1825" i="5"/>
  <c r="I1820" i="5"/>
  <c r="F1820" i="5"/>
  <c r="C1821" i="5"/>
  <c r="K1826" i="5" l="1"/>
  <c r="N1825" i="5"/>
  <c r="I1821" i="5"/>
  <c r="F1821" i="5"/>
  <c r="C1822" i="5"/>
  <c r="L1824" i="5"/>
  <c r="Q1823" i="5"/>
  <c r="C1823" i="5" l="1"/>
  <c r="I1822" i="5"/>
  <c r="F1822" i="5"/>
  <c r="K1827" i="5"/>
  <c r="N1826" i="5"/>
  <c r="L1825" i="5"/>
  <c r="Q1824" i="5"/>
  <c r="L1826" i="5" l="1"/>
  <c r="Q1825" i="5"/>
  <c r="N1827" i="5"/>
  <c r="K1828" i="5"/>
  <c r="I1823" i="5"/>
  <c r="F1823" i="5"/>
  <c r="C1824" i="5"/>
  <c r="F1824" i="5" l="1"/>
  <c r="C1825" i="5"/>
  <c r="I1824" i="5"/>
  <c r="K1829" i="5"/>
  <c r="N1828" i="5"/>
  <c r="L1827" i="5"/>
  <c r="Q1826" i="5"/>
  <c r="L1828" i="5" l="1"/>
  <c r="Q1827" i="5"/>
  <c r="K1830" i="5"/>
  <c r="N1829" i="5"/>
  <c r="C1826" i="5"/>
  <c r="I1825" i="5"/>
  <c r="F1825" i="5"/>
  <c r="C1827" i="5" l="1"/>
  <c r="I1826" i="5"/>
  <c r="F1826" i="5"/>
  <c r="K1831" i="5"/>
  <c r="N1830" i="5"/>
  <c r="L1829" i="5"/>
  <c r="Q1828" i="5"/>
  <c r="L1830" i="5" l="1"/>
  <c r="Q1829" i="5"/>
  <c r="N1831" i="5"/>
  <c r="K1832" i="5"/>
  <c r="F1827" i="5"/>
  <c r="C1828" i="5"/>
  <c r="I1827" i="5"/>
  <c r="K1833" i="5" l="1"/>
  <c r="N1832" i="5"/>
  <c r="F1828" i="5"/>
  <c r="I1828" i="5"/>
  <c r="C1829" i="5"/>
  <c r="L1831" i="5"/>
  <c r="Q1830" i="5"/>
  <c r="L1832" i="5" l="1"/>
  <c r="Q1831" i="5"/>
  <c r="K1834" i="5"/>
  <c r="N1833" i="5"/>
  <c r="I1829" i="5"/>
  <c r="F1829" i="5"/>
  <c r="C1830" i="5"/>
  <c r="K1835" i="5" l="1"/>
  <c r="N1834" i="5"/>
  <c r="C1831" i="5"/>
  <c r="F1830" i="5"/>
  <c r="I1830" i="5"/>
  <c r="L1833" i="5"/>
  <c r="Q1832" i="5"/>
  <c r="F1831" i="5" l="1"/>
  <c r="C1832" i="5"/>
  <c r="I1831" i="5"/>
  <c r="L1834" i="5"/>
  <c r="Q1833" i="5"/>
  <c r="N1835" i="5"/>
  <c r="K1836" i="5"/>
  <c r="L1835" i="5" l="1"/>
  <c r="Q1834" i="5"/>
  <c r="N1836" i="5"/>
  <c r="K1837" i="5"/>
  <c r="C1833" i="5"/>
  <c r="F1832" i="5"/>
  <c r="I1832" i="5"/>
  <c r="I1833" i="5" l="1"/>
  <c r="F1833" i="5"/>
  <c r="C1834" i="5"/>
  <c r="K1838" i="5"/>
  <c r="N1837" i="5"/>
  <c r="L1836" i="5"/>
  <c r="Q1835" i="5"/>
  <c r="L1837" i="5" l="1"/>
  <c r="Q1836" i="5"/>
  <c r="N1838" i="5"/>
  <c r="K1839" i="5"/>
  <c r="C1835" i="5"/>
  <c r="F1834" i="5"/>
  <c r="I1834" i="5"/>
  <c r="C1836" i="5" l="1"/>
  <c r="I1835" i="5"/>
  <c r="F1835" i="5"/>
  <c r="N1839" i="5"/>
  <c r="K1840" i="5"/>
  <c r="L1838" i="5"/>
  <c r="Q1837" i="5"/>
  <c r="K1841" i="5" l="1"/>
  <c r="N1840" i="5"/>
  <c r="L1839" i="5"/>
  <c r="Q1838" i="5"/>
  <c r="I1836" i="5"/>
  <c r="F1836" i="5"/>
  <c r="C1837" i="5"/>
  <c r="L1840" i="5" l="1"/>
  <c r="Q1839" i="5"/>
  <c r="C1838" i="5"/>
  <c r="F1837" i="5"/>
  <c r="I1837" i="5"/>
  <c r="K1842" i="5"/>
  <c r="N1841" i="5"/>
  <c r="N1842" i="5" l="1"/>
  <c r="K1843" i="5"/>
  <c r="L1841" i="5"/>
  <c r="Q1840" i="5"/>
  <c r="C1839" i="5"/>
  <c r="F1838" i="5"/>
  <c r="I1838" i="5"/>
  <c r="F1839" i="5" l="1"/>
  <c r="C1840" i="5"/>
  <c r="I1839" i="5"/>
  <c r="N1843" i="5"/>
  <c r="K1844" i="5"/>
  <c r="L1842" i="5"/>
  <c r="Q1841" i="5"/>
  <c r="K1845" i="5" l="1"/>
  <c r="N1844" i="5"/>
  <c r="L1843" i="5"/>
  <c r="Q1842" i="5"/>
  <c r="I1840" i="5"/>
  <c r="F1840" i="5"/>
  <c r="C1841" i="5"/>
  <c r="C1842" i="5" l="1"/>
  <c r="I1841" i="5"/>
  <c r="F1841" i="5"/>
  <c r="L1844" i="5"/>
  <c r="Q1843" i="5"/>
  <c r="K1846" i="5"/>
  <c r="N1845" i="5"/>
  <c r="N1846" i="5" l="1"/>
  <c r="K1847" i="5"/>
  <c r="L1845" i="5"/>
  <c r="Q1844" i="5"/>
  <c r="F1842" i="5"/>
  <c r="C1843" i="5"/>
  <c r="I1842" i="5"/>
  <c r="K1848" i="5" l="1"/>
  <c r="N1847" i="5"/>
  <c r="F1843" i="5"/>
  <c r="C1844" i="5"/>
  <c r="I1843" i="5"/>
  <c r="L1846" i="5"/>
  <c r="Q1845" i="5"/>
  <c r="L1847" i="5" l="1"/>
  <c r="Q1846" i="5"/>
  <c r="C1845" i="5"/>
  <c r="F1844" i="5"/>
  <c r="I1844" i="5"/>
  <c r="K1849" i="5"/>
  <c r="N1848" i="5"/>
  <c r="I1845" i="5" l="1"/>
  <c r="C1846" i="5"/>
  <c r="F1845" i="5"/>
  <c r="N1849" i="5"/>
  <c r="K1850" i="5"/>
  <c r="L1848" i="5"/>
  <c r="Q1847" i="5"/>
  <c r="L1849" i="5" l="1"/>
  <c r="Q1848" i="5"/>
  <c r="K1851" i="5"/>
  <c r="N1850" i="5"/>
  <c r="C1847" i="5"/>
  <c r="F1846" i="5"/>
  <c r="I1846" i="5"/>
  <c r="I1847" i="5" l="1"/>
  <c r="C1848" i="5"/>
  <c r="F1847" i="5"/>
  <c r="N1851" i="5"/>
  <c r="K1852" i="5"/>
  <c r="L1850" i="5"/>
  <c r="Q1849" i="5"/>
  <c r="L1851" i="5" l="1"/>
  <c r="Q1850" i="5"/>
  <c r="K1853" i="5"/>
  <c r="N1852" i="5"/>
  <c r="C1849" i="5"/>
  <c r="F1848" i="5"/>
  <c r="I1848" i="5"/>
  <c r="N1853" i="5" l="1"/>
  <c r="K1854" i="5"/>
  <c r="C1850" i="5"/>
  <c r="I1849" i="5"/>
  <c r="F1849" i="5"/>
  <c r="L1852" i="5"/>
  <c r="Q1851" i="5"/>
  <c r="L1853" i="5" l="1"/>
  <c r="Q1852" i="5"/>
  <c r="F1850" i="5"/>
  <c r="C1851" i="5"/>
  <c r="I1850" i="5"/>
  <c r="K1855" i="5"/>
  <c r="N1854" i="5"/>
  <c r="N1855" i="5" l="1"/>
  <c r="K1856" i="5"/>
  <c r="I1851" i="5"/>
  <c r="F1851" i="5"/>
  <c r="C1852" i="5"/>
  <c r="L1854" i="5"/>
  <c r="Q1853" i="5"/>
  <c r="L1855" i="5" l="1"/>
  <c r="Q1854" i="5"/>
  <c r="C1853" i="5"/>
  <c r="I1852" i="5"/>
  <c r="F1852" i="5"/>
  <c r="K1857" i="5"/>
  <c r="N1856" i="5"/>
  <c r="F1853" i="5" l="1"/>
  <c r="C1854" i="5"/>
  <c r="I1853" i="5"/>
  <c r="N1857" i="5"/>
  <c r="K1858" i="5"/>
  <c r="L1856" i="5"/>
  <c r="Q1855" i="5"/>
  <c r="L1857" i="5" l="1"/>
  <c r="Q1856" i="5"/>
  <c r="F1854" i="5"/>
  <c r="I1854" i="5"/>
  <c r="C1855" i="5"/>
  <c r="N1858" i="5"/>
  <c r="K1859" i="5"/>
  <c r="N1859" i="5" l="1"/>
  <c r="K1860" i="5"/>
  <c r="I1855" i="5"/>
  <c r="F1855" i="5"/>
  <c r="C1856" i="5"/>
  <c r="L1858" i="5"/>
  <c r="Q1857" i="5"/>
  <c r="L1859" i="5" l="1"/>
  <c r="Q1858" i="5"/>
  <c r="C1857" i="5"/>
  <c r="F1856" i="5"/>
  <c r="I1856" i="5"/>
  <c r="K1861" i="5"/>
  <c r="N1860" i="5"/>
  <c r="C1858" i="5" l="1"/>
  <c r="I1857" i="5"/>
  <c r="F1857" i="5"/>
  <c r="K1862" i="5"/>
  <c r="N1861" i="5"/>
  <c r="L1860" i="5"/>
  <c r="Q1859" i="5"/>
  <c r="L1861" i="5" l="1"/>
  <c r="Q1860" i="5"/>
  <c r="N1862" i="5"/>
  <c r="K1863" i="5"/>
  <c r="I1858" i="5"/>
  <c r="C1859" i="5"/>
  <c r="F1858" i="5"/>
  <c r="C1860" i="5" l="1"/>
  <c r="F1859" i="5"/>
  <c r="I1859" i="5"/>
  <c r="L1862" i="5"/>
  <c r="Q1861" i="5"/>
  <c r="N1863" i="5"/>
  <c r="K1864" i="5"/>
  <c r="N1864" i="5" l="1"/>
  <c r="K1865" i="5"/>
  <c r="L1863" i="5"/>
  <c r="Q1862" i="5"/>
  <c r="C1861" i="5"/>
  <c r="I1860" i="5"/>
  <c r="F1860" i="5"/>
  <c r="C1862" i="5" l="1"/>
  <c r="I1861" i="5"/>
  <c r="F1861" i="5"/>
  <c r="L1864" i="5"/>
  <c r="Q1863" i="5"/>
  <c r="K1866" i="5"/>
  <c r="N1865" i="5"/>
  <c r="L1865" i="5" l="1"/>
  <c r="Q1864" i="5"/>
  <c r="K1867" i="5"/>
  <c r="N1866" i="5"/>
  <c r="I1862" i="5"/>
  <c r="C1863" i="5"/>
  <c r="F1862" i="5"/>
  <c r="C1864" i="5" l="1"/>
  <c r="I1863" i="5"/>
  <c r="F1863" i="5"/>
  <c r="K1868" i="5"/>
  <c r="N1867" i="5"/>
  <c r="L1866" i="5"/>
  <c r="Q1865" i="5"/>
  <c r="N1868" i="5" l="1"/>
  <c r="K1869" i="5"/>
  <c r="L1867" i="5"/>
  <c r="Q1866" i="5"/>
  <c r="C1865" i="5"/>
  <c r="I1864" i="5"/>
  <c r="F1864" i="5"/>
  <c r="N1869" i="5" l="1"/>
  <c r="K1870" i="5"/>
  <c r="L1868" i="5"/>
  <c r="Q1867" i="5"/>
  <c r="I1865" i="5"/>
  <c r="C1866" i="5"/>
  <c r="F1865" i="5"/>
  <c r="I1866" i="5" l="1"/>
  <c r="F1866" i="5"/>
  <c r="C1867" i="5"/>
  <c r="K1871" i="5"/>
  <c r="N1870" i="5"/>
  <c r="L1869" i="5"/>
  <c r="Q1868" i="5"/>
  <c r="K1872" i="5" l="1"/>
  <c r="N1871" i="5"/>
  <c r="F1867" i="5"/>
  <c r="I1867" i="5"/>
  <c r="C1868" i="5"/>
  <c r="L1870" i="5"/>
  <c r="Q1869" i="5"/>
  <c r="L1871" i="5" l="1"/>
  <c r="Q1870" i="5"/>
  <c r="I1868" i="5"/>
  <c r="C1869" i="5"/>
  <c r="F1868" i="5"/>
  <c r="K1873" i="5"/>
  <c r="N1872" i="5"/>
  <c r="K1874" i="5" l="1"/>
  <c r="N1873" i="5"/>
  <c r="C1870" i="5"/>
  <c r="I1869" i="5"/>
  <c r="F1869" i="5"/>
  <c r="L1872" i="5"/>
  <c r="Q1871" i="5"/>
  <c r="C1871" i="5" l="1"/>
  <c r="I1870" i="5"/>
  <c r="F1870" i="5"/>
  <c r="L1873" i="5"/>
  <c r="Q1872" i="5"/>
  <c r="N1874" i="5"/>
  <c r="K1875" i="5"/>
  <c r="N1875" i="5" l="1"/>
  <c r="K1876" i="5"/>
  <c r="L1874" i="5"/>
  <c r="Q1873" i="5"/>
  <c r="F1871" i="5"/>
  <c r="I1871" i="5"/>
  <c r="C1872" i="5"/>
  <c r="F1872" i="5" l="1"/>
  <c r="C1873" i="5"/>
  <c r="I1872" i="5"/>
  <c r="K1877" i="5"/>
  <c r="N1876" i="5"/>
  <c r="L1875" i="5"/>
  <c r="Q1874" i="5"/>
  <c r="L1876" i="5" l="1"/>
  <c r="Q1875" i="5"/>
  <c r="I1873" i="5"/>
  <c r="F1873" i="5"/>
  <c r="C1874" i="5"/>
  <c r="K1878" i="5"/>
  <c r="N1877" i="5"/>
  <c r="C1875" i="5" l="1"/>
  <c r="F1874" i="5"/>
  <c r="I1874" i="5"/>
  <c r="K1879" i="5"/>
  <c r="N1878" i="5"/>
  <c r="L1877" i="5"/>
  <c r="Q1876" i="5"/>
  <c r="L1878" i="5" l="1"/>
  <c r="Q1877" i="5"/>
  <c r="N1879" i="5"/>
  <c r="K1880" i="5"/>
  <c r="C1876" i="5"/>
  <c r="I1875" i="5"/>
  <c r="F1875" i="5"/>
  <c r="C1877" i="5" l="1"/>
  <c r="I1876" i="5"/>
  <c r="F1876" i="5"/>
  <c r="N1880" i="5"/>
  <c r="K1881" i="5"/>
  <c r="L1879" i="5"/>
  <c r="Q1878" i="5"/>
  <c r="K1882" i="5" l="1"/>
  <c r="N1881" i="5"/>
  <c r="L1880" i="5"/>
  <c r="Q1879" i="5"/>
  <c r="F1877" i="5"/>
  <c r="C1878" i="5"/>
  <c r="I1877" i="5"/>
  <c r="F1878" i="5" l="1"/>
  <c r="I1878" i="5"/>
  <c r="C1879" i="5"/>
  <c r="N1882" i="5"/>
  <c r="K1883" i="5"/>
  <c r="L1881" i="5"/>
  <c r="Q1880" i="5"/>
  <c r="L1882" i="5" l="1"/>
  <c r="Q1881" i="5"/>
  <c r="K1884" i="5"/>
  <c r="N1883" i="5"/>
  <c r="I1879" i="5"/>
  <c r="F1879" i="5"/>
  <c r="C1880" i="5"/>
  <c r="C1881" i="5" l="1"/>
  <c r="I1880" i="5"/>
  <c r="F1880" i="5"/>
  <c r="K1885" i="5"/>
  <c r="N1884" i="5"/>
  <c r="L1883" i="5"/>
  <c r="Q1882" i="5"/>
  <c r="L1884" i="5" l="1"/>
  <c r="Q1883" i="5"/>
  <c r="N1885" i="5"/>
  <c r="K1886" i="5"/>
  <c r="C1882" i="5"/>
  <c r="F1881" i="5"/>
  <c r="I1881" i="5"/>
  <c r="C1883" i="5" l="1"/>
  <c r="F1882" i="5"/>
  <c r="I1882" i="5"/>
  <c r="L1885" i="5"/>
  <c r="Q1884" i="5"/>
  <c r="N1886" i="5"/>
  <c r="K1887" i="5"/>
  <c r="N1887" i="5" l="1"/>
  <c r="K1888" i="5"/>
  <c r="L1886" i="5"/>
  <c r="Q1885" i="5"/>
  <c r="F1883" i="5"/>
  <c r="C1884" i="5"/>
  <c r="I1883" i="5"/>
  <c r="I1884" i="5" l="1"/>
  <c r="F1884" i="5"/>
  <c r="C1885" i="5"/>
  <c r="K1889" i="5"/>
  <c r="N1888" i="5"/>
  <c r="L1887" i="5"/>
  <c r="Q1886" i="5"/>
  <c r="K1890" i="5" l="1"/>
  <c r="N1889" i="5"/>
  <c r="L1888" i="5"/>
  <c r="Q1887" i="5"/>
  <c r="C1886" i="5"/>
  <c r="I1885" i="5"/>
  <c r="F1885" i="5"/>
  <c r="I1886" i="5" l="1"/>
  <c r="F1886" i="5"/>
  <c r="C1887" i="5"/>
  <c r="L1889" i="5"/>
  <c r="Q1888" i="5"/>
  <c r="N1890" i="5"/>
  <c r="K1891" i="5"/>
  <c r="K1892" i="5" l="1"/>
  <c r="N1891" i="5"/>
  <c r="I1887" i="5"/>
  <c r="F1887" i="5"/>
  <c r="C1888" i="5"/>
  <c r="L1890" i="5"/>
  <c r="Q1889" i="5"/>
  <c r="I1888" i="5" l="1"/>
  <c r="F1888" i="5"/>
  <c r="C1889" i="5"/>
  <c r="L1891" i="5"/>
  <c r="Q1890" i="5"/>
  <c r="N1892" i="5"/>
  <c r="K1893" i="5"/>
  <c r="K1894" i="5" l="1"/>
  <c r="N1893" i="5"/>
  <c r="L1892" i="5"/>
  <c r="Q1891" i="5"/>
  <c r="F1889" i="5"/>
  <c r="C1890" i="5"/>
  <c r="I1889" i="5"/>
  <c r="I1890" i="5" l="1"/>
  <c r="C1891" i="5"/>
  <c r="F1890" i="5"/>
  <c r="L1893" i="5"/>
  <c r="Q1892" i="5"/>
  <c r="K1895" i="5"/>
  <c r="N1894" i="5"/>
  <c r="K1896" i="5" l="1"/>
  <c r="N1895" i="5"/>
  <c r="C1892" i="5"/>
  <c r="I1891" i="5"/>
  <c r="F1891" i="5"/>
  <c r="L1894" i="5"/>
  <c r="Q1893" i="5"/>
  <c r="C1893" i="5" l="1"/>
  <c r="I1892" i="5"/>
  <c r="F1892" i="5"/>
  <c r="L1895" i="5"/>
  <c r="Q1894" i="5"/>
  <c r="N1896" i="5"/>
  <c r="K1897" i="5"/>
  <c r="L1896" i="5" l="1"/>
  <c r="Q1895" i="5"/>
  <c r="N1897" i="5"/>
  <c r="K1898" i="5"/>
  <c r="C1894" i="5"/>
  <c r="I1893" i="5"/>
  <c r="F1893" i="5"/>
  <c r="C1895" i="5" l="1"/>
  <c r="I1894" i="5"/>
  <c r="F1894" i="5"/>
  <c r="N1898" i="5"/>
  <c r="K1899" i="5"/>
  <c r="L1897" i="5"/>
  <c r="Q1896" i="5"/>
  <c r="L1898" i="5" l="1"/>
  <c r="Q1897" i="5"/>
  <c r="K1900" i="5"/>
  <c r="N1899" i="5"/>
  <c r="I1895" i="5"/>
  <c r="F1895" i="5"/>
  <c r="C1896" i="5"/>
  <c r="C1897" i="5" l="1"/>
  <c r="I1896" i="5"/>
  <c r="F1896" i="5"/>
  <c r="K1901" i="5"/>
  <c r="N1900" i="5"/>
  <c r="L1899" i="5"/>
  <c r="Q1898" i="5"/>
  <c r="L1900" i="5" l="1"/>
  <c r="Q1899" i="5"/>
  <c r="N1901" i="5"/>
  <c r="K1902" i="5"/>
  <c r="C1898" i="5"/>
  <c r="I1897" i="5"/>
  <c r="F1897" i="5"/>
  <c r="K1903" i="5" l="1"/>
  <c r="N1902" i="5"/>
  <c r="I1898" i="5"/>
  <c r="F1898" i="5"/>
  <c r="C1899" i="5"/>
  <c r="L1901" i="5"/>
  <c r="Q1900" i="5"/>
  <c r="K1904" i="5" l="1"/>
  <c r="N1903" i="5"/>
  <c r="L1902" i="5"/>
  <c r="Q1901" i="5"/>
  <c r="I1899" i="5"/>
  <c r="F1899" i="5"/>
  <c r="C1900" i="5"/>
  <c r="F1900" i="5" l="1"/>
  <c r="I1900" i="5"/>
  <c r="C1901" i="5"/>
  <c r="L1903" i="5"/>
  <c r="Q1902" i="5"/>
  <c r="K1905" i="5"/>
  <c r="N1904" i="5"/>
  <c r="I1901" i="5" l="1"/>
  <c r="C1902" i="5"/>
  <c r="F1901" i="5"/>
  <c r="K1906" i="5"/>
  <c r="N1905" i="5"/>
  <c r="L1904" i="5"/>
  <c r="Q1903" i="5"/>
  <c r="L1905" i="5" l="1"/>
  <c r="Q1904" i="5"/>
  <c r="N1906" i="5"/>
  <c r="K1907" i="5"/>
  <c r="I1902" i="5"/>
  <c r="C1903" i="5"/>
  <c r="F1902" i="5"/>
  <c r="I1903" i="5" l="1"/>
  <c r="F1903" i="5"/>
  <c r="C1904" i="5"/>
  <c r="K1908" i="5"/>
  <c r="N1907" i="5"/>
  <c r="L1906" i="5"/>
  <c r="Q1905" i="5"/>
  <c r="L1907" i="5" l="1"/>
  <c r="Q1906" i="5"/>
  <c r="I1904" i="5"/>
  <c r="F1904" i="5"/>
  <c r="C1905" i="5"/>
  <c r="N1908" i="5"/>
  <c r="K1909" i="5"/>
  <c r="N1909" i="5" l="1"/>
  <c r="K1910" i="5"/>
  <c r="C1906" i="5"/>
  <c r="I1905" i="5"/>
  <c r="F1905" i="5"/>
  <c r="L1908" i="5"/>
  <c r="Q1907" i="5"/>
  <c r="L1909" i="5" l="1"/>
  <c r="Q1908" i="5"/>
  <c r="C1907" i="5"/>
  <c r="F1906" i="5"/>
  <c r="I1906" i="5"/>
  <c r="N1910" i="5"/>
  <c r="K1911" i="5"/>
  <c r="N1911" i="5" l="1"/>
  <c r="K1912" i="5"/>
  <c r="F1907" i="5"/>
  <c r="C1908" i="5"/>
  <c r="I1907" i="5"/>
  <c r="L1910" i="5"/>
  <c r="Q1909" i="5"/>
  <c r="F1908" i="5" l="1"/>
  <c r="I1908" i="5"/>
  <c r="C1909" i="5"/>
  <c r="L1911" i="5"/>
  <c r="Q1910" i="5"/>
  <c r="K1913" i="5"/>
  <c r="N1912" i="5"/>
  <c r="N1913" i="5" l="1"/>
  <c r="K1914" i="5"/>
  <c r="L1912" i="5"/>
  <c r="Q1911" i="5"/>
  <c r="C1910" i="5"/>
  <c r="I1909" i="5"/>
  <c r="F1909" i="5"/>
  <c r="F1910" i="5" l="1"/>
  <c r="I1910" i="5"/>
  <c r="C1911" i="5"/>
  <c r="K1915" i="5"/>
  <c r="N1914" i="5"/>
  <c r="L1913" i="5"/>
  <c r="Q1912" i="5"/>
  <c r="L1914" i="5" l="1"/>
  <c r="Q1913" i="5"/>
  <c r="K1916" i="5"/>
  <c r="N1915" i="5"/>
  <c r="C1912" i="5"/>
  <c r="F1911" i="5"/>
  <c r="I1911" i="5"/>
  <c r="K1917" i="5" l="1"/>
  <c r="N1916" i="5"/>
  <c r="F1912" i="5"/>
  <c r="I1912" i="5"/>
  <c r="C1913" i="5"/>
  <c r="L1915" i="5"/>
  <c r="Q1914" i="5"/>
  <c r="L1916" i="5" l="1"/>
  <c r="Q1915" i="5"/>
  <c r="K1918" i="5"/>
  <c r="N1917" i="5"/>
  <c r="I1913" i="5"/>
  <c r="C1914" i="5"/>
  <c r="F1913" i="5"/>
  <c r="N1918" i="5" l="1"/>
  <c r="K1919" i="5"/>
  <c r="C1915" i="5"/>
  <c r="F1914" i="5"/>
  <c r="I1914" i="5"/>
  <c r="L1917" i="5"/>
  <c r="Q1916" i="5"/>
  <c r="K1920" i="5" l="1"/>
  <c r="N1919" i="5"/>
  <c r="L1918" i="5"/>
  <c r="Q1917" i="5"/>
  <c r="I1915" i="5"/>
  <c r="F1915" i="5"/>
  <c r="C1916" i="5"/>
  <c r="C1917" i="5" l="1"/>
  <c r="F1916" i="5"/>
  <c r="I1916" i="5"/>
  <c r="L1919" i="5"/>
  <c r="Q1918" i="5"/>
  <c r="N1920" i="5"/>
  <c r="K1921" i="5"/>
  <c r="N1921" i="5" l="1"/>
  <c r="K1922" i="5"/>
  <c r="L1920" i="5"/>
  <c r="Q1919" i="5"/>
  <c r="F1917" i="5"/>
  <c r="C1918" i="5"/>
  <c r="I1917" i="5"/>
  <c r="L1921" i="5" l="1"/>
  <c r="Q1920" i="5"/>
  <c r="F1918" i="5"/>
  <c r="C1919" i="5"/>
  <c r="I1918" i="5"/>
  <c r="K1923" i="5"/>
  <c r="N1922" i="5"/>
  <c r="K1924" i="5" l="1"/>
  <c r="N1923" i="5"/>
  <c r="I1919" i="5"/>
  <c r="C1920" i="5"/>
  <c r="F1919" i="5"/>
  <c r="L1922" i="5"/>
  <c r="Q1921" i="5"/>
  <c r="I1920" i="5" l="1"/>
  <c r="C1921" i="5"/>
  <c r="F1920" i="5"/>
  <c r="L1923" i="5"/>
  <c r="Q1922" i="5"/>
  <c r="K1925" i="5"/>
  <c r="N1924" i="5"/>
  <c r="N1925" i="5" l="1"/>
  <c r="K1926" i="5"/>
  <c r="L1924" i="5"/>
  <c r="Q1923" i="5"/>
  <c r="I1921" i="5"/>
  <c r="F1921" i="5"/>
  <c r="C1922" i="5"/>
  <c r="I1922" i="5" l="1"/>
  <c r="C1923" i="5"/>
  <c r="F1922" i="5"/>
  <c r="L1925" i="5"/>
  <c r="Q1924" i="5"/>
  <c r="K1927" i="5"/>
  <c r="N1926" i="5"/>
  <c r="L1926" i="5" l="1"/>
  <c r="Q1925" i="5"/>
  <c r="N1927" i="5"/>
  <c r="K1928" i="5"/>
  <c r="C1924" i="5"/>
  <c r="I1923" i="5"/>
  <c r="F1923" i="5"/>
  <c r="N1928" i="5" l="1"/>
  <c r="K1929" i="5"/>
  <c r="F1924" i="5"/>
  <c r="I1924" i="5"/>
  <c r="C1925" i="5"/>
  <c r="L1927" i="5"/>
  <c r="Q1926" i="5"/>
  <c r="N1929" i="5" l="1"/>
  <c r="K1930" i="5"/>
  <c r="L1928" i="5"/>
  <c r="Q1927" i="5"/>
  <c r="I1925" i="5"/>
  <c r="F1925" i="5"/>
  <c r="C1926" i="5"/>
  <c r="I1926" i="5" l="1"/>
  <c r="C1927" i="5"/>
  <c r="F1926" i="5"/>
  <c r="L1929" i="5"/>
  <c r="Q1928" i="5"/>
  <c r="N1930" i="5"/>
  <c r="K1931" i="5"/>
  <c r="K1932" i="5" l="1"/>
  <c r="N1931" i="5"/>
  <c r="C1928" i="5"/>
  <c r="F1927" i="5"/>
  <c r="I1927" i="5"/>
  <c r="L1930" i="5"/>
  <c r="Q1929" i="5"/>
  <c r="L1931" i="5" l="1"/>
  <c r="Q1930" i="5"/>
  <c r="C1929" i="5"/>
  <c r="I1928" i="5"/>
  <c r="F1928" i="5"/>
  <c r="N1932" i="5"/>
  <c r="K1933" i="5"/>
  <c r="K1934" i="5" l="1"/>
  <c r="N1933" i="5"/>
  <c r="F1929" i="5"/>
  <c r="I1929" i="5"/>
  <c r="C1930" i="5"/>
  <c r="L1932" i="5"/>
  <c r="Q1931" i="5"/>
  <c r="C1931" i="5" l="1"/>
  <c r="F1930" i="5"/>
  <c r="I1930" i="5"/>
  <c r="L1933" i="5"/>
  <c r="Q1932" i="5"/>
  <c r="K1935" i="5"/>
  <c r="N1934" i="5"/>
  <c r="L1934" i="5" l="1"/>
  <c r="Q1933" i="5"/>
  <c r="K1936" i="5"/>
  <c r="N1935" i="5"/>
  <c r="C1932" i="5"/>
  <c r="I1931" i="5"/>
  <c r="F1931" i="5"/>
  <c r="I1932" i="5" l="1"/>
  <c r="C1933" i="5"/>
  <c r="F1932" i="5"/>
  <c r="N1936" i="5"/>
  <c r="K1937" i="5"/>
  <c r="L1935" i="5"/>
  <c r="Q1934" i="5"/>
  <c r="L1936" i="5" l="1"/>
  <c r="Q1935" i="5"/>
  <c r="N1937" i="5"/>
  <c r="K1938" i="5"/>
  <c r="C1934" i="5"/>
  <c r="I1933" i="5"/>
  <c r="F1933" i="5"/>
  <c r="N1938" i="5" l="1"/>
  <c r="K1939" i="5"/>
  <c r="F1934" i="5"/>
  <c r="C1935" i="5"/>
  <c r="I1934" i="5"/>
  <c r="L1937" i="5"/>
  <c r="Q1936" i="5"/>
  <c r="L1938" i="5" l="1"/>
  <c r="Q1937" i="5"/>
  <c r="C1936" i="5"/>
  <c r="F1935" i="5"/>
  <c r="I1935" i="5"/>
  <c r="N1939" i="5"/>
  <c r="K1940" i="5"/>
  <c r="K1941" i="5" l="1"/>
  <c r="N1940" i="5"/>
  <c r="F1936" i="5"/>
  <c r="I1936" i="5"/>
  <c r="C1937" i="5"/>
  <c r="L1939" i="5"/>
  <c r="Q1938" i="5"/>
  <c r="L1940" i="5" l="1"/>
  <c r="Q1939" i="5"/>
  <c r="I1937" i="5"/>
  <c r="C1938" i="5"/>
  <c r="F1937" i="5"/>
  <c r="K1942" i="5"/>
  <c r="N1941" i="5"/>
  <c r="N1942" i="5" l="1"/>
  <c r="K1943" i="5"/>
  <c r="C1939" i="5"/>
  <c r="I1938" i="5"/>
  <c r="F1938" i="5"/>
  <c r="L1941" i="5"/>
  <c r="Q1940" i="5"/>
  <c r="L1942" i="5" l="1"/>
  <c r="Q1941" i="5"/>
  <c r="I1939" i="5"/>
  <c r="F1939" i="5"/>
  <c r="C1940" i="5"/>
  <c r="N1943" i="5"/>
  <c r="K1944" i="5"/>
  <c r="K1945" i="5" l="1"/>
  <c r="N1944" i="5"/>
  <c r="F1940" i="5"/>
  <c r="I1940" i="5"/>
  <c r="C1941" i="5"/>
  <c r="L1943" i="5"/>
  <c r="Q1942" i="5"/>
  <c r="L1944" i="5" l="1"/>
  <c r="Q1943" i="5"/>
  <c r="I1941" i="5"/>
  <c r="C1942" i="5"/>
  <c r="F1941" i="5"/>
  <c r="K1946" i="5"/>
  <c r="N1945" i="5"/>
  <c r="N1946" i="5" l="1"/>
  <c r="K1947" i="5"/>
  <c r="F1942" i="5"/>
  <c r="I1942" i="5"/>
  <c r="C1943" i="5"/>
  <c r="L1945" i="5"/>
  <c r="Q1944" i="5"/>
  <c r="L1946" i="5" l="1"/>
  <c r="Q1945" i="5"/>
  <c r="N1947" i="5"/>
  <c r="K1948" i="5"/>
  <c r="I1943" i="5"/>
  <c r="C1944" i="5"/>
  <c r="F1943" i="5"/>
  <c r="C1945" i="5" l="1"/>
  <c r="I1944" i="5"/>
  <c r="F1944" i="5"/>
  <c r="N1948" i="5"/>
  <c r="K1949" i="5"/>
  <c r="L1947" i="5"/>
  <c r="Q1946" i="5"/>
  <c r="L1948" i="5" l="1"/>
  <c r="Q1947" i="5"/>
  <c r="N1949" i="5"/>
  <c r="K1950" i="5"/>
  <c r="I1945" i="5"/>
  <c r="C1946" i="5"/>
  <c r="F1945" i="5"/>
  <c r="F1946" i="5" l="1"/>
  <c r="C1947" i="5"/>
  <c r="I1946" i="5"/>
  <c r="K1951" i="5"/>
  <c r="N1950" i="5"/>
  <c r="L1949" i="5"/>
  <c r="Q1948" i="5"/>
  <c r="L1950" i="5" l="1"/>
  <c r="Q1949" i="5"/>
  <c r="K1952" i="5"/>
  <c r="N1951" i="5"/>
  <c r="C1948" i="5"/>
  <c r="I1947" i="5"/>
  <c r="F1947" i="5"/>
  <c r="I1948" i="5" l="1"/>
  <c r="C1949" i="5"/>
  <c r="F1948" i="5"/>
  <c r="K1953" i="5"/>
  <c r="N1952" i="5"/>
  <c r="L1951" i="5"/>
  <c r="Q1950" i="5"/>
  <c r="L1952" i="5" l="1"/>
  <c r="Q1951" i="5"/>
  <c r="K1954" i="5"/>
  <c r="N1953" i="5"/>
  <c r="C1950" i="5"/>
  <c r="I1949" i="5"/>
  <c r="F1949" i="5"/>
  <c r="N1954" i="5" l="1"/>
  <c r="K1955" i="5"/>
  <c r="F1950" i="5"/>
  <c r="C1951" i="5"/>
  <c r="I1950" i="5"/>
  <c r="L1953" i="5"/>
  <c r="Q1952" i="5"/>
  <c r="F1951" i="5" l="1"/>
  <c r="I1951" i="5"/>
  <c r="C1952" i="5"/>
  <c r="L1954" i="5"/>
  <c r="Q1953" i="5"/>
  <c r="N1955" i="5"/>
  <c r="K1956" i="5"/>
  <c r="K1957" i="5" l="1"/>
  <c r="N1956" i="5"/>
  <c r="L1955" i="5"/>
  <c r="Q1954" i="5"/>
  <c r="I1952" i="5"/>
  <c r="F1952" i="5"/>
  <c r="C1953" i="5"/>
  <c r="L1956" i="5" l="1"/>
  <c r="Q1955" i="5"/>
  <c r="F1953" i="5"/>
  <c r="C1954" i="5"/>
  <c r="I1953" i="5"/>
  <c r="N1957" i="5"/>
  <c r="K1958" i="5"/>
  <c r="N1958" i="5" l="1"/>
  <c r="K1959" i="5"/>
  <c r="C1955" i="5"/>
  <c r="F1954" i="5"/>
  <c r="I1954" i="5"/>
  <c r="L1957" i="5"/>
  <c r="Q1956" i="5"/>
  <c r="F1955" i="5" l="1"/>
  <c r="C1956" i="5"/>
  <c r="I1955" i="5"/>
  <c r="L1958" i="5"/>
  <c r="Q1957" i="5"/>
  <c r="K1960" i="5"/>
  <c r="N1959" i="5"/>
  <c r="L1959" i="5" l="1"/>
  <c r="Q1958" i="5"/>
  <c r="C1957" i="5"/>
  <c r="I1956" i="5"/>
  <c r="F1956" i="5"/>
  <c r="K1961" i="5"/>
  <c r="N1960" i="5"/>
  <c r="N1961" i="5" l="1"/>
  <c r="K1962" i="5"/>
  <c r="I1957" i="5"/>
  <c r="C1958" i="5"/>
  <c r="F1957" i="5"/>
  <c r="L1960" i="5"/>
  <c r="Q1959" i="5"/>
  <c r="I1958" i="5" l="1"/>
  <c r="C1959" i="5"/>
  <c r="F1958" i="5"/>
  <c r="L1961" i="5"/>
  <c r="Q1960" i="5"/>
  <c r="K1963" i="5"/>
  <c r="N1962" i="5"/>
  <c r="N1963" i="5" l="1"/>
  <c r="K1964" i="5"/>
  <c r="I1959" i="5"/>
  <c r="F1959" i="5"/>
  <c r="C1960" i="5"/>
  <c r="L1962" i="5"/>
  <c r="Q1961" i="5"/>
  <c r="C1961" i="5" l="1"/>
  <c r="I1960" i="5"/>
  <c r="F1960" i="5"/>
  <c r="L1963" i="5"/>
  <c r="Q1962" i="5"/>
  <c r="N1964" i="5"/>
  <c r="K1965" i="5"/>
  <c r="L1964" i="5" l="1"/>
  <c r="Q1963" i="5"/>
  <c r="N1965" i="5"/>
  <c r="K1966" i="5"/>
  <c r="F1961" i="5"/>
  <c r="C1962" i="5"/>
  <c r="I1961" i="5"/>
  <c r="K1967" i="5" l="1"/>
  <c r="N1966" i="5"/>
  <c r="F1962" i="5"/>
  <c r="I1962" i="5"/>
  <c r="C1963" i="5"/>
  <c r="L1965" i="5"/>
  <c r="Q1964" i="5"/>
  <c r="F1963" i="5" l="1"/>
  <c r="I1963" i="5"/>
  <c r="C1964" i="5"/>
  <c r="L1966" i="5"/>
  <c r="Q1965" i="5"/>
  <c r="K1968" i="5"/>
  <c r="N1967" i="5"/>
  <c r="N1968" i="5" l="1"/>
  <c r="K1969" i="5"/>
  <c r="I1964" i="5"/>
  <c r="F1964" i="5"/>
  <c r="C1965" i="5"/>
  <c r="L1967" i="5"/>
  <c r="Q1966" i="5"/>
  <c r="F1965" i="5" l="1"/>
  <c r="C1966" i="5"/>
  <c r="I1965" i="5"/>
  <c r="L1968" i="5"/>
  <c r="Q1967" i="5"/>
  <c r="N1969" i="5"/>
  <c r="K1970" i="5"/>
  <c r="L1969" i="5" l="1"/>
  <c r="Q1968" i="5"/>
  <c r="K1971" i="5"/>
  <c r="N1970" i="5"/>
  <c r="C1967" i="5"/>
  <c r="I1966" i="5"/>
  <c r="F1966" i="5"/>
  <c r="I1967" i="5" l="1"/>
  <c r="C1968" i="5"/>
  <c r="F1967" i="5"/>
  <c r="N1971" i="5"/>
  <c r="K1972" i="5"/>
  <c r="L1970" i="5"/>
  <c r="Q1969" i="5"/>
  <c r="L1971" i="5" l="1"/>
  <c r="Q1970" i="5"/>
  <c r="N1972" i="5"/>
  <c r="K1973" i="5"/>
  <c r="C1969" i="5"/>
  <c r="I1968" i="5"/>
  <c r="F1968" i="5"/>
  <c r="F1969" i="5" l="1"/>
  <c r="I1969" i="5"/>
  <c r="C1970" i="5"/>
  <c r="K1974" i="5"/>
  <c r="N1973" i="5"/>
  <c r="L1972" i="5"/>
  <c r="Q1971" i="5"/>
  <c r="L1973" i="5" l="1"/>
  <c r="Q1972" i="5"/>
  <c r="N1974" i="5"/>
  <c r="K1975" i="5"/>
  <c r="I1970" i="5"/>
  <c r="C1971" i="5"/>
  <c r="F1970" i="5"/>
  <c r="C1972" i="5" l="1"/>
  <c r="I1971" i="5"/>
  <c r="F1971" i="5"/>
  <c r="K1976" i="5"/>
  <c r="N1975" i="5"/>
  <c r="L1974" i="5"/>
  <c r="Q1973" i="5"/>
  <c r="N1976" i="5" l="1"/>
  <c r="K1977" i="5"/>
  <c r="L1975" i="5"/>
  <c r="Q1974" i="5"/>
  <c r="I1972" i="5"/>
  <c r="C1973" i="5"/>
  <c r="F1972" i="5"/>
  <c r="F1973" i="5" l="1"/>
  <c r="I1973" i="5"/>
  <c r="C1974" i="5"/>
  <c r="L1976" i="5"/>
  <c r="Q1975" i="5"/>
  <c r="N1977" i="5"/>
  <c r="K1978" i="5"/>
  <c r="K1979" i="5" l="1"/>
  <c r="N1978" i="5"/>
  <c r="I1974" i="5"/>
  <c r="F1974" i="5"/>
  <c r="C1975" i="5"/>
  <c r="L1977" i="5"/>
  <c r="Q1976" i="5"/>
  <c r="L1978" i="5" l="1"/>
  <c r="Q1977" i="5"/>
  <c r="C1976" i="5"/>
  <c r="F1975" i="5"/>
  <c r="I1975" i="5"/>
  <c r="N1979" i="5"/>
  <c r="K1980" i="5"/>
  <c r="K1981" i="5" l="1"/>
  <c r="N1980" i="5"/>
  <c r="I1976" i="5"/>
  <c r="F1976" i="5"/>
  <c r="C1977" i="5"/>
  <c r="L1979" i="5"/>
  <c r="Q1978" i="5"/>
  <c r="L1980" i="5" l="1"/>
  <c r="Q1979" i="5"/>
  <c r="C1978" i="5"/>
  <c r="I1977" i="5"/>
  <c r="F1977" i="5"/>
  <c r="K1982" i="5"/>
  <c r="N1981" i="5"/>
  <c r="N1982" i="5" l="1"/>
  <c r="K1983" i="5"/>
  <c r="F1978" i="5"/>
  <c r="I1978" i="5"/>
  <c r="C1979" i="5"/>
  <c r="L1981" i="5"/>
  <c r="Q1980" i="5"/>
  <c r="L1982" i="5" l="1"/>
  <c r="Q1981" i="5"/>
  <c r="C1980" i="5"/>
  <c r="F1979" i="5"/>
  <c r="I1979" i="5"/>
  <c r="N1983" i="5"/>
  <c r="K1984" i="5"/>
  <c r="N1984" i="5" l="1"/>
  <c r="K1985" i="5"/>
  <c r="I1980" i="5"/>
  <c r="C1981" i="5"/>
  <c r="F1980" i="5"/>
  <c r="L1983" i="5"/>
  <c r="Q1982" i="5"/>
  <c r="I1981" i="5" l="1"/>
  <c r="F1981" i="5"/>
  <c r="C1982" i="5"/>
  <c r="L1984" i="5"/>
  <c r="Q1983" i="5"/>
  <c r="N1985" i="5"/>
  <c r="K1986" i="5"/>
  <c r="C1983" i="5" l="1"/>
  <c r="I1982" i="5"/>
  <c r="F1982" i="5"/>
  <c r="K1987" i="5"/>
  <c r="N1986" i="5"/>
  <c r="L1985" i="5"/>
  <c r="Q1984" i="5"/>
  <c r="L1986" i="5" l="1"/>
  <c r="Q1985" i="5"/>
  <c r="N1987" i="5"/>
  <c r="K1988" i="5"/>
  <c r="C1984" i="5"/>
  <c r="I1983" i="5"/>
  <c r="F1983" i="5"/>
  <c r="F1984" i="5" l="1"/>
  <c r="I1984" i="5"/>
  <c r="C1985" i="5"/>
  <c r="K1989" i="5"/>
  <c r="N1988" i="5"/>
  <c r="L1987" i="5"/>
  <c r="Q1986" i="5"/>
  <c r="L1988" i="5" l="1"/>
  <c r="Q1987" i="5"/>
  <c r="I1985" i="5"/>
  <c r="C1986" i="5"/>
  <c r="F1985" i="5"/>
  <c r="K1990" i="5"/>
  <c r="N1989" i="5"/>
  <c r="F1986" i="5" l="1"/>
  <c r="I1986" i="5"/>
  <c r="C1987" i="5"/>
  <c r="N1990" i="5"/>
  <c r="K1991" i="5"/>
  <c r="L1989" i="5"/>
  <c r="Q1988" i="5"/>
  <c r="K1992" i="5" l="1"/>
  <c r="N1991" i="5"/>
  <c r="L1990" i="5"/>
  <c r="Q1989" i="5"/>
  <c r="I1987" i="5"/>
  <c r="F1987" i="5"/>
  <c r="C1988" i="5"/>
  <c r="L1991" i="5" l="1"/>
  <c r="Q1990" i="5"/>
  <c r="C1989" i="5"/>
  <c r="F1988" i="5"/>
  <c r="I1988" i="5"/>
  <c r="K1993" i="5"/>
  <c r="N1992" i="5"/>
  <c r="K1994" i="5" l="1"/>
  <c r="N1993" i="5"/>
  <c r="F1989" i="5"/>
  <c r="C1990" i="5"/>
  <c r="I1989" i="5"/>
  <c r="L1992" i="5"/>
  <c r="Q1991" i="5"/>
  <c r="L1993" i="5" l="1"/>
  <c r="Q1992" i="5"/>
  <c r="K1995" i="5"/>
  <c r="N1994" i="5"/>
  <c r="F1990" i="5"/>
  <c r="I1990" i="5"/>
  <c r="C1991" i="5"/>
  <c r="I1991" i="5" l="1"/>
  <c r="F1991" i="5"/>
  <c r="C1992" i="5"/>
  <c r="K1996" i="5"/>
  <c r="N1995" i="5"/>
  <c r="L1994" i="5"/>
  <c r="Q1993" i="5"/>
  <c r="K1997" i="5" l="1"/>
  <c r="N1996" i="5"/>
  <c r="L1995" i="5"/>
  <c r="Q1994" i="5"/>
  <c r="F1992" i="5"/>
  <c r="I1992" i="5"/>
  <c r="C1993" i="5"/>
  <c r="F1993" i="5" l="1"/>
  <c r="C1994" i="5"/>
  <c r="I1993" i="5"/>
  <c r="L1996" i="5"/>
  <c r="Q1995" i="5"/>
  <c r="N1997" i="5"/>
  <c r="K1998" i="5"/>
  <c r="L1997" i="5" l="1"/>
  <c r="Q1996" i="5"/>
  <c r="K1999" i="5"/>
  <c r="N1998" i="5"/>
  <c r="F1994" i="5"/>
  <c r="I1994" i="5"/>
  <c r="C1995" i="5"/>
  <c r="N1999" i="5" l="1"/>
  <c r="K2000" i="5"/>
  <c r="C1996" i="5"/>
  <c r="F1995" i="5"/>
  <c r="I1995" i="5"/>
  <c r="L1998" i="5"/>
  <c r="Q1997" i="5"/>
  <c r="L1999" i="5" l="1"/>
  <c r="Q1998" i="5"/>
  <c r="K2001" i="5"/>
  <c r="N2000" i="5"/>
  <c r="I1996" i="5"/>
  <c r="F1996" i="5"/>
  <c r="C1997" i="5"/>
  <c r="C1998" i="5" l="1"/>
  <c r="I1997" i="5"/>
  <c r="F1997" i="5"/>
  <c r="N2001" i="5"/>
  <c r="K2002" i="5"/>
  <c r="L2000" i="5"/>
  <c r="Q1999" i="5"/>
  <c r="L2001" i="5" l="1"/>
  <c r="Q2000" i="5"/>
  <c r="N2002" i="5"/>
  <c r="K2003" i="5"/>
  <c r="F1998" i="5"/>
  <c r="I1998" i="5"/>
  <c r="C1999" i="5"/>
  <c r="K2004" i="5" l="1"/>
  <c r="N2003" i="5"/>
  <c r="I1999" i="5"/>
  <c r="F1999" i="5"/>
  <c r="C2000" i="5"/>
  <c r="L2002" i="5"/>
  <c r="Q2001" i="5"/>
  <c r="F2000" i="5" l="1"/>
  <c r="I2000" i="5"/>
  <c r="C2001" i="5"/>
  <c r="L2003" i="5"/>
  <c r="Q2002" i="5"/>
  <c r="N2004" i="5"/>
  <c r="K2005" i="5"/>
  <c r="K2006" i="5" l="1"/>
  <c r="N2005" i="5"/>
  <c r="L2004" i="5"/>
  <c r="Q2003" i="5"/>
  <c r="I2001" i="5"/>
  <c r="C2002" i="5"/>
  <c r="F2001" i="5"/>
  <c r="I2002" i="5" l="1"/>
  <c r="C2003" i="5"/>
  <c r="F2002" i="5"/>
  <c r="L2005" i="5"/>
  <c r="Q2004" i="5"/>
  <c r="N2006" i="5"/>
  <c r="K2007" i="5"/>
  <c r="K2008" i="5" l="1"/>
  <c r="N2007" i="5"/>
  <c r="F2003" i="5"/>
  <c r="C2004" i="5"/>
  <c r="I2003" i="5"/>
  <c r="L2006" i="5"/>
  <c r="Q2005" i="5"/>
  <c r="L2007" i="5" l="1"/>
  <c r="Q2006" i="5"/>
  <c r="C2005" i="5"/>
  <c r="I2004" i="5"/>
  <c r="F2004" i="5"/>
  <c r="K2009" i="5"/>
  <c r="N2008" i="5"/>
  <c r="N2009" i="5" l="1"/>
  <c r="K2010" i="5"/>
  <c r="C2006" i="5"/>
  <c r="I2005" i="5"/>
  <c r="F2005" i="5"/>
  <c r="L2008" i="5"/>
  <c r="Q2007" i="5"/>
  <c r="I2006" i="5" l="1"/>
  <c r="F2006" i="5"/>
  <c r="C2007" i="5"/>
  <c r="L2009" i="5"/>
  <c r="Q2008" i="5"/>
  <c r="K2011" i="5"/>
  <c r="N2010" i="5"/>
  <c r="C2008" i="5" l="1"/>
  <c r="F2007" i="5"/>
  <c r="I2007" i="5"/>
  <c r="K2012" i="5"/>
  <c r="N2011" i="5"/>
  <c r="L2010" i="5"/>
  <c r="Q2009" i="5"/>
  <c r="K2013" i="5" l="1"/>
  <c r="N2012" i="5"/>
  <c r="L2011" i="5"/>
  <c r="Q2010" i="5"/>
  <c r="I2008" i="5"/>
  <c r="C2009" i="5"/>
  <c r="F2008" i="5"/>
  <c r="K2014" i="5" l="1"/>
  <c r="N2013" i="5"/>
  <c r="F2009" i="5"/>
  <c r="C2010" i="5"/>
  <c r="I2009" i="5"/>
  <c r="L2012" i="5"/>
  <c r="Q2011" i="5"/>
  <c r="L2013" i="5" l="1"/>
  <c r="Q2012" i="5"/>
  <c r="I2010" i="5"/>
  <c r="F2010" i="5"/>
  <c r="C2011" i="5"/>
  <c r="N2014" i="5"/>
  <c r="K2015" i="5"/>
  <c r="F2011" i="5" l="1"/>
  <c r="I2011" i="5"/>
  <c r="C2012" i="5"/>
  <c r="K2016" i="5"/>
  <c r="N2015" i="5"/>
  <c r="L2014" i="5"/>
  <c r="Q2013" i="5"/>
  <c r="L2015" i="5" l="1"/>
  <c r="Q2014" i="5"/>
  <c r="C2013" i="5"/>
  <c r="I2012" i="5"/>
  <c r="F2012" i="5"/>
  <c r="K2017" i="5"/>
  <c r="N2016" i="5"/>
  <c r="N2017" i="5" l="1"/>
  <c r="K2018" i="5"/>
  <c r="F2013" i="5"/>
  <c r="I2013" i="5"/>
  <c r="C2014" i="5"/>
  <c r="L2016" i="5"/>
  <c r="Q2015" i="5"/>
  <c r="C2015" i="5" l="1"/>
  <c r="F2014" i="5"/>
  <c r="I2014" i="5"/>
  <c r="L2017" i="5"/>
  <c r="Q2016" i="5"/>
  <c r="N2018" i="5"/>
  <c r="K2019" i="5"/>
  <c r="N2019" i="5" l="1"/>
  <c r="K2020" i="5"/>
  <c r="L2018" i="5"/>
  <c r="Q2017" i="5"/>
  <c r="C2016" i="5"/>
  <c r="I2015" i="5"/>
  <c r="F2015" i="5"/>
  <c r="C2017" i="5" l="1"/>
  <c r="I2016" i="5"/>
  <c r="F2016" i="5"/>
  <c r="L2019" i="5"/>
  <c r="Q2018" i="5"/>
  <c r="K2021" i="5"/>
  <c r="N2020" i="5"/>
  <c r="K2022" i="5" l="1"/>
  <c r="N2021" i="5"/>
  <c r="L2020" i="5"/>
  <c r="Q2019" i="5"/>
  <c r="C2018" i="5"/>
  <c r="I2017" i="5"/>
  <c r="F2017" i="5"/>
  <c r="I2018" i="5" l="1"/>
  <c r="F2018" i="5"/>
  <c r="C2019" i="5"/>
  <c r="L2021" i="5"/>
  <c r="Q2020" i="5"/>
  <c r="K2023" i="5"/>
  <c r="N2022" i="5"/>
  <c r="K2024" i="5" l="1"/>
  <c r="N2023" i="5"/>
  <c r="I2019" i="5"/>
  <c r="C2020" i="5"/>
  <c r="F2019" i="5"/>
  <c r="L2022" i="5"/>
  <c r="Q2021" i="5"/>
  <c r="I2020" i="5" l="1"/>
  <c r="C2021" i="5"/>
  <c r="F2020" i="5"/>
  <c r="L2023" i="5"/>
  <c r="Q2022" i="5"/>
  <c r="K2025" i="5"/>
  <c r="N2024" i="5"/>
  <c r="L2024" i="5" l="1"/>
  <c r="Q2023" i="5"/>
  <c r="K2026" i="5"/>
  <c r="N2025" i="5"/>
  <c r="F2021" i="5"/>
  <c r="C2022" i="5"/>
  <c r="I2021" i="5"/>
  <c r="K2027" i="5" l="1"/>
  <c r="N2026" i="5"/>
  <c r="F2022" i="5"/>
  <c r="C2023" i="5"/>
  <c r="I2022" i="5"/>
  <c r="L2025" i="5"/>
  <c r="Q2024" i="5"/>
  <c r="L2026" i="5" l="1"/>
  <c r="Q2025" i="5"/>
  <c r="I2023" i="5"/>
  <c r="F2023" i="5"/>
  <c r="C2024" i="5"/>
  <c r="K2028" i="5"/>
  <c r="N2027" i="5"/>
  <c r="I2024" i="5" l="1"/>
  <c r="F2024" i="5"/>
  <c r="C2025" i="5"/>
  <c r="K2029" i="5"/>
  <c r="N2028" i="5"/>
  <c r="L2027" i="5"/>
  <c r="Q2026" i="5"/>
  <c r="L2028" i="5" l="1"/>
  <c r="Q2027" i="5"/>
  <c r="K2030" i="5"/>
  <c r="N2029" i="5"/>
  <c r="F2025" i="5"/>
  <c r="I2025" i="5"/>
  <c r="C2026" i="5"/>
  <c r="K2031" i="5" l="1"/>
  <c r="N2030" i="5"/>
  <c r="F2026" i="5"/>
  <c r="C2027" i="5"/>
  <c r="I2026" i="5"/>
  <c r="L2029" i="5"/>
  <c r="Q2028" i="5"/>
  <c r="C2028" i="5" l="1"/>
  <c r="I2027" i="5"/>
  <c r="F2027" i="5"/>
  <c r="L2030" i="5"/>
  <c r="Q2029" i="5"/>
  <c r="K2032" i="5"/>
  <c r="N2031" i="5"/>
  <c r="N2032" i="5" l="1"/>
  <c r="K2033" i="5"/>
  <c r="L2031" i="5"/>
  <c r="Q2030" i="5"/>
  <c r="C2029" i="5"/>
  <c r="I2028" i="5"/>
  <c r="F2028" i="5"/>
  <c r="L2032" i="5" l="1"/>
  <c r="Q2031" i="5"/>
  <c r="C2030" i="5"/>
  <c r="F2029" i="5"/>
  <c r="I2029" i="5"/>
  <c r="N2033" i="5"/>
  <c r="K2034" i="5"/>
  <c r="N2034" i="5" l="1"/>
  <c r="K2035" i="5"/>
  <c r="I2030" i="5"/>
  <c r="F2030" i="5"/>
  <c r="C2031" i="5"/>
  <c r="L2033" i="5"/>
  <c r="Q2032" i="5"/>
  <c r="C2032" i="5" l="1"/>
  <c r="F2031" i="5"/>
  <c r="I2031" i="5"/>
  <c r="L2034" i="5"/>
  <c r="Q2033" i="5"/>
  <c r="K2036" i="5"/>
  <c r="N2035" i="5"/>
  <c r="L2035" i="5" l="1"/>
  <c r="Q2034" i="5"/>
  <c r="N2036" i="5"/>
  <c r="K2037" i="5"/>
  <c r="F2032" i="5"/>
  <c r="I2032" i="5"/>
  <c r="C2033" i="5"/>
  <c r="F2033" i="5" l="1"/>
  <c r="I2033" i="5"/>
  <c r="C2034" i="5"/>
  <c r="N2037" i="5"/>
  <c r="K2038" i="5"/>
  <c r="L2036" i="5"/>
  <c r="Q2035" i="5"/>
  <c r="K2039" i="5" l="1"/>
  <c r="N2038" i="5"/>
  <c r="L2037" i="5"/>
  <c r="Q2036" i="5"/>
  <c r="I2034" i="5"/>
  <c r="F2034" i="5"/>
  <c r="C2035" i="5"/>
  <c r="I2035" i="5" l="1"/>
  <c r="F2035" i="5"/>
  <c r="C2036" i="5"/>
  <c r="L2038" i="5"/>
  <c r="Q2037" i="5"/>
  <c r="N2039" i="5"/>
  <c r="K2040" i="5"/>
  <c r="L2039" i="5" l="1"/>
  <c r="Q2038" i="5"/>
  <c r="N2040" i="5"/>
  <c r="K2041" i="5"/>
  <c r="C2037" i="5"/>
  <c r="I2036" i="5"/>
  <c r="F2036" i="5"/>
  <c r="C2038" i="5" l="1"/>
  <c r="I2037" i="5"/>
  <c r="F2037" i="5"/>
  <c r="K2042" i="5"/>
  <c r="N2041" i="5"/>
  <c r="L2040" i="5"/>
  <c r="Q2039" i="5"/>
  <c r="L2041" i="5" l="1"/>
  <c r="Q2040" i="5"/>
  <c r="N2042" i="5"/>
  <c r="K2043" i="5"/>
  <c r="C2039" i="5"/>
  <c r="I2038" i="5"/>
  <c r="F2038" i="5"/>
  <c r="I2039" i="5" l="1"/>
  <c r="F2039" i="5"/>
  <c r="C2040" i="5"/>
  <c r="K2044" i="5"/>
  <c r="N2043" i="5"/>
  <c r="L2042" i="5"/>
  <c r="Q2041" i="5"/>
  <c r="N2044" i="5" l="1"/>
  <c r="K2045" i="5"/>
  <c r="L2043" i="5"/>
  <c r="Q2042" i="5"/>
  <c r="C2041" i="5"/>
  <c r="I2040" i="5"/>
  <c r="F2040" i="5"/>
  <c r="L2044" i="5" l="1"/>
  <c r="Q2043" i="5"/>
  <c r="F2041" i="5"/>
  <c r="I2041" i="5"/>
  <c r="C2042" i="5"/>
  <c r="N2045" i="5"/>
  <c r="K2046" i="5"/>
  <c r="K2047" i="5" l="1"/>
  <c r="N2046" i="5"/>
  <c r="I2042" i="5"/>
  <c r="F2042" i="5"/>
  <c r="C2043" i="5"/>
  <c r="L2045" i="5"/>
  <c r="Q2044" i="5"/>
  <c r="L2046" i="5" l="1"/>
  <c r="Q2045" i="5"/>
  <c r="C2044" i="5"/>
  <c r="F2043" i="5"/>
  <c r="I2043" i="5"/>
  <c r="N2047" i="5"/>
  <c r="K2048" i="5"/>
  <c r="K2049" i="5" l="1"/>
  <c r="N2048" i="5"/>
  <c r="F2044" i="5"/>
  <c r="I2044" i="5"/>
  <c r="C2045" i="5"/>
  <c r="L2047" i="5"/>
  <c r="Q2046" i="5"/>
  <c r="C2046" i="5" l="1"/>
  <c r="I2045" i="5"/>
  <c r="F2045" i="5"/>
  <c r="L2048" i="5"/>
  <c r="Q2047" i="5"/>
  <c r="K2050" i="5"/>
  <c r="N2049" i="5"/>
  <c r="K2051" i="5" l="1"/>
  <c r="N2050" i="5"/>
  <c r="L2049" i="5"/>
  <c r="Q2048" i="5"/>
  <c r="C2047" i="5"/>
  <c r="I2046" i="5"/>
  <c r="F2046" i="5"/>
  <c r="L2050" i="5" l="1"/>
  <c r="Q2049" i="5"/>
  <c r="I2047" i="5"/>
  <c r="C2048" i="5"/>
  <c r="F2047" i="5"/>
  <c r="K2052" i="5"/>
  <c r="N2051" i="5"/>
  <c r="N2052" i="5" l="1"/>
  <c r="K2053" i="5"/>
  <c r="F2048" i="5"/>
  <c r="C2049" i="5"/>
  <c r="I2048" i="5"/>
  <c r="L2051" i="5"/>
  <c r="Q2050" i="5"/>
  <c r="I2049" i="5" l="1"/>
  <c r="F2049" i="5"/>
  <c r="C2050" i="5"/>
  <c r="L2052" i="5"/>
  <c r="Q2051" i="5"/>
  <c r="K2054" i="5"/>
  <c r="N2053" i="5"/>
  <c r="L2053" i="5" l="1"/>
  <c r="Q2052" i="5"/>
  <c r="K2055" i="5"/>
  <c r="N2054" i="5"/>
  <c r="C2051" i="5"/>
  <c r="I2050" i="5"/>
  <c r="F2050" i="5"/>
  <c r="N2055" i="5" l="1"/>
  <c r="K2056" i="5"/>
  <c r="F2051" i="5"/>
  <c r="C2052" i="5"/>
  <c r="I2051" i="5"/>
  <c r="L2054" i="5"/>
  <c r="Q2053" i="5"/>
  <c r="L2055" i="5" l="1"/>
  <c r="Q2054" i="5"/>
  <c r="K2057" i="5"/>
  <c r="N2056" i="5"/>
  <c r="F2052" i="5"/>
  <c r="I2052" i="5"/>
  <c r="C2053" i="5"/>
  <c r="F2053" i="5" l="1"/>
  <c r="I2053" i="5"/>
  <c r="C2054" i="5"/>
  <c r="K2058" i="5"/>
  <c r="N2057" i="5"/>
  <c r="L2056" i="5"/>
  <c r="Q2055" i="5"/>
  <c r="K2059" i="5" l="1"/>
  <c r="N2058" i="5"/>
  <c r="F2054" i="5"/>
  <c r="I2054" i="5"/>
  <c r="C2055" i="5"/>
  <c r="L2057" i="5"/>
  <c r="Q2056" i="5"/>
  <c r="L2058" i="5" l="1"/>
  <c r="Q2057" i="5"/>
  <c r="N2059" i="5"/>
  <c r="K2060" i="5"/>
  <c r="F2055" i="5"/>
  <c r="C2056" i="5"/>
  <c r="I2055" i="5"/>
  <c r="F2056" i="5" l="1"/>
  <c r="C2057" i="5"/>
  <c r="I2056" i="5"/>
  <c r="K2061" i="5"/>
  <c r="N2060" i="5"/>
  <c r="L2059" i="5"/>
  <c r="Q2058" i="5"/>
  <c r="L2060" i="5" l="1"/>
  <c r="Q2059" i="5"/>
  <c r="N2061" i="5"/>
  <c r="K2062" i="5"/>
  <c r="C2058" i="5"/>
  <c r="F2057" i="5"/>
  <c r="I2057" i="5"/>
  <c r="I2058" i="5" l="1"/>
  <c r="F2058" i="5"/>
  <c r="C2059" i="5"/>
  <c r="N2062" i="5"/>
  <c r="K2063" i="5"/>
  <c r="L2061" i="5"/>
  <c r="Q2060" i="5"/>
  <c r="K2064" i="5" l="1"/>
  <c r="N2063" i="5"/>
  <c r="L2062" i="5"/>
  <c r="Q2061" i="5"/>
  <c r="F2059" i="5"/>
  <c r="I2059" i="5"/>
  <c r="C2060" i="5"/>
  <c r="K2065" i="5" l="1"/>
  <c r="N2064" i="5"/>
  <c r="I2060" i="5"/>
  <c r="F2060" i="5"/>
  <c r="C2061" i="5"/>
  <c r="L2063" i="5"/>
  <c r="Q2062" i="5"/>
  <c r="I2061" i="5" l="1"/>
  <c r="C2062" i="5"/>
  <c r="F2061" i="5"/>
  <c r="L2064" i="5"/>
  <c r="Q2063" i="5"/>
  <c r="N2065" i="5"/>
  <c r="K2066" i="5"/>
  <c r="I2062" i="5" l="1"/>
  <c r="C2063" i="5"/>
  <c r="F2062" i="5"/>
  <c r="N2066" i="5"/>
  <c r="K2067" i="5"/>
  <c r="L2065" i="5"/>
  <c r="Q2064" i="5"/>
  <c r="F2063" i="5" l="1"/>
  <c r="I2063" i="5"/>
  <c r="C2064" i="5"/>
  <c r="L2066" i="5"/>
  <c r="Q2065" i="5"/>
  <c r="K2068" i="5"/>
  <c r="N2067" i="5"/>
  <c r="L2067" i="5" l="1"/>
  <c r="Q2066" i="5"/>
  <c r="N2068" i="5"/>
  <c r="K2069" i="5"/>
  <c r="C2065" i="5"/>
  <c r="I2064" i="5"/>
  <c r="F2064" i="5"/>
  <c r="C2066" i="5" l="1"/>
  <c r="I2065" i="5"/>
  <c r="F2065" i="5"/>
  <c r="K2070" i="5"/>
  <c r="N2069" i="5"/>
  <c r="L2068" i="5"/>
  <c r="Q2067" i="5"/>
  <c r="L2069" i="5" l="1"/>
  <c r="Q2068" i="5"/>
  <c r="N2070" i="5"/>
  <c r="K2071" i="5"/>
  <c r="F2066" i="5"/>
  <c r="C2067" i="5"/>
  <c r="I2066" i="5"/>
  <c r="I2067" i="5" l="1"/>
  <c r="F2067" i="5"/>
  <c r="C2068" i="5"/>
  <c r="K2072" i="5"/>
  <c r="N2071" i="5"/>
  <c r="L2070" i="5"/>
  <c r="Q2069" i="5"/>
  <c r="N2072" i="5" l="1"/>
  <c r="K2073" i="5"/>
  <c r="L2071" i="5"/>
  <c r="Q2070" i="5"/>
  <c r="C2069" i="5"/>
  <c r="I2068" i="5"/>
  <c r="F2068" i="5"/>
  <c r="I2069" i="5" l="1"/>
  <c r="F2069" i="5"/>
  <c r="C2070" i="5"/>
  <c r="L2072" i="5"/>
  <c r="Q2071" i="5"/>
  <c r="K2074" i="5"/>
  <c r="N2073" i="5"/>
  <c r="K2075" i="5" l="1"/>
  <c r="N2074" i="5"/>
  <c r="L2073" i="5"/>
  <c r="Q2072" i="5"/>
  <c r="I2070" i="5"/>
  <c r="F2070" i="5"/>
  <c r="C2071" i="5"/>
  <c r="L2074" i="5" l="1"/>
  <c r="Q2073" i="5"/>
  <c r="C2072" i="5"/>
  <c r="I2071" i="5"/>
  <c r="F2071" i="5"/>
  <c r="K2076" i="5"/>
  <c r="N2075" i="5"/>
  <c r="N2076" i="5" l="1"/>
  <c r="K2077" i="5"/>
  <c r="I2072" i="5"/>
  <c r="F2072" i="5"/>
  <c r="C2073" i="5"/>
  <c r="L2075" i="5"/>
  <c r="Q2074" i="5"/>
  <c r="L2076" i="5" l="1"/>
  <c r="Q2075" i="5"/>
  <c r="F2073" i="5"/>
  <c r="C2074" i="5"/>
  <c r="I2073" i="5"/>
  <c r="N2077" i="5"/>
  <c r="K2078" i="5"/>
  <c r="K2079" i="5" l="1"/>
  <c r="N2078" i="5"/>
  <c r="F2074" i="5"/>
  <c r="C2075" i="5"/>
  <c r="I2074" i="5"/>
  <c r="L2077" i="5"/>
  <c r="Q2076" i="5"/>
  <c r="L2078" i="5" l="1"/>
  <c r="Q2077" i="5"/>
  <c r="C2076" i="5"/>
  <c r="I2075" i="5"/>
  <c r="F2075" i="5"/>
  <c r="N2079" i="5"/>
  <c r="K2080" i="5"/>
  <c r="K2081" i="5" l="1"/>
  <c r="N2080" i="5"/>
  <c r="I2076" i="5"/>
  <c r="C2077" i="5"/>
  <c r="F2076" i="5"/>
  <c r="L2079" i="5"/>
  <c r="Q2078" i="5"/>
  <c r="L2080" i="5" l="1"/>
  <c r="Q2079" i="5"/>
  <c r="F2077" i="5"/>
  <c r="C2078" i="5"/>
  <c r="I2077" i="5"/>
  <c r="N2081" i="5"/>
  <c r="K2082" i="5"/>
  <c r="I2078" i="5" l="1"/>
  <c r="F2078" i="5"/>
  <c r="C2079" i="5"/>
  <c r="K2083" i="5"/>
  <c r="N2082" i="5"/>
  <c r="L2081" i="5"/>
  <c r="Q2080" i="5"/>
  <c r="L2082" i="5" l="1"/>
  <c r="Q2081" i="5"/>
  <c r="N2083" i="5"/>
  <c r="K2084" i="5"/>
  <c r="F2079" i="5"/>
  <c r="I2079" i="5"/>
  <c r="C2080" i="5"/>
  <c r="K2085" i="5" l="1"/>
  <c r="N2084" i="5"/>
  <c r="F2080" i="5"/>
  <c r="I2080" i="5"/>
  <c r="C2081" i="5"/>
  <c r="L2083" i="5"/>
  <c r="Q2082" i="5"/>
  <c r="C2082" i="5" l="1"/>
  <c r="F2081" i="5"/>
  <c r="I2081" i="5"/>
  <c r="L2084" i="5"/>
  <c r="Q2083" i="5"/>
  <c r="K2086" i="5"/>
  <c r="N2085" i="5"/>
  <c r="K2087" i="5" l="1"/>
  <c r="N2086" i="5"/>
  <c r="L2085" i="5"/>
  <c r="Q2084" i="5"/>
  <c r="C2083" i="5"/>
  <c r="F2082" i="5"/>
  <c r="I2082" i="5"/>
  <c r="L2086" i="5" l="1"/>
  <c r="Q2085" i="5"/>
  <c r="C2084" i="5"/>
  <c r="I2083" i="5"/>
  <c r="F2083" i="5"/>
  <c r="N2087" i="5"/>
  <c r="K2088" i="5"/>
  <c r="I2084" i="5" l="1"/>
  <c r="C2085" i="5"/>
  <c r="F2084" i="5"/>
  <c r="N2088" i="5"/>
  <c r="K2089" i="5"/>
  <c r="L2087" i="5"/>
  <c r="Q2086" i="5"/>
  <c r="L2088" i="5" l="1"/>
  <c r="Q2087" i="5"/>
  <c r="N2089" i="5"/>
  <c r="K2090" i="5"/>
  <c r="C2086" i="5"/>
  <c r="I2085" i="5"/>
  <c r="F2085" i="5"/>
  <c r="K2091" i="5" l="1"/>
  <c r="N2090" i="5"/>
  <c r="F2086" i="5"/>
  <c r="C2087" i="5"/>
  <c r="I2086" i="5"/>
  <c r="L2089" i="5"/>
  <c r="Q2088" i="5"/>
  <c r="I2087" i="5" l="1"/>
  <c r="C2088" i="5"/>
  <c r="F2087" i="5"/>
  <c r="L2090" i="5"/>
  <c r="Q2089" i="5"/>
  <c r="N2091" i="5"/>
  <c r="K2092" i="5"/>
  <c r="N2092" i="5" l="1"/>
  <c r="K2093" i="5"/>
  <c r="F2088" i="5"/>
  <c r="C2089" i="5"/>
  <c r="I2088" i="5"/>
  <c r="L2091" i="5"/>
  <c r="Q2090" i="5"/>
  <c r="L2092" i="5" l="1"/>
  <c r="Q2091" i="5"/>
  <c r="C2090" i="5"/>
  <c r="F2089" i="5"/>
  <c r="I2089" i="5"/>
  <c r="K2094" i="5"/>
  <c r="N2093" i="5"/>
  <c r="N2094" i="5" l="1"/>
  <c r="K2095" i="5"/>
  <c r="C2091" i="5"/>
  <c r="I2090" i="5"/>
  <c r="F2090" i="5"/>
  <c r="L2093" i="5"/>
  <c r="Q2092" i="5"/>
  <c r="F2091" i="5" l="1"/>
  <c r="C2092" i="5"/>
  <c r="I2091" i="5"/>
  <c r="L2094" i="5"/>
  <c r="Q2093" i="5"/>
  <c r="K2096" i="5"/>
  <c r="N2095" i="5"/>
  <c r="N2096" i="5" l="1"/>
  <c r="K2097" i="5"/>
  <c r="C2093" i="5"/>
  <c r="I2092" i="5"/>
  <c r="F2092" i="5"/>
  <c r="L2095" i="5"/>
  <c r="Q2094" i="5"/>
  <c r="L2096" i="5" l="1"/>
  <c r="Q2095" i="5"/>
  <c r="F2093" i="5"/>
  <c r="C2094" i="5"/>
  <c r="I2093" i="5"/>
  <c r="N2097" i="5"/>
  <c r="K2098" i="5"/>
  <c r="I2094" i="5" l="1"/>
  <c r="F2094" i="5"/>
  <c r="C2095" i="5"/>
  <c r="K2099" i="5"/>
  <c r="N2098" i="5"/>
  <c r="L2097" i="5"/>
  <c r="Q2096" i="5"/>
  <c r="L2098" i="5" l="1"/>
  <c r="Q2097" i="5"/>
  <c r="I2095" i="5"/>
  <c r="F2095" i="5"/>
  <c r="C2096" i="5"/>
  <c r="N2099" i="5"/>
  <c r="K2100" i="5"/>
  <c r="F2096" i="5" l="1"/>
  <c r="I2096" i="5"/>
  <c r="C2097" i="5"/>
  <c r="K2101" i="5"/>
  <c r="N2100" i="5"/>
  <c r="L2099" i="5"/>
  <c r="Q2098" i="5"/>
  <c r="L2100" i="5" l="1"/>
  <c r="Q2099" i="5"/>
  <c r="I2097" i="5"/>
  <c r="F2097" i="5"/>
  <c r="C2098" i="5"/>
  <c r="N2101" i="5"/>
  <c r="K2102" i="5"/>
  <c r="N2102" i="5" l="1"/>
  <c r="K2103" i="5"/>
  <c r="F2098" i="5"/>
  <c r="C2099" i="5"/>
  <c r="I2098" i="5"/>
  <c r="L2101" i="5"/>
  <c r="Q2100" i="5"/>
  <c r="C2100" i="5" l="1"/>
  <c r="I2099" i="5"/>
  <c r="F2099" i="5"/>
  <c r="K2104" i="5"/>
  <c r="N2103" i="5"/>
  <c r="L2102" i="5"/>
  <c r="Q2101" i="5"/>
  <c r="N2104" i="5" l="1"/>
  <c r="K2105" i="5"/>
  <c r="L2103" i="5"/>
  <c r="Q2102" i="5"/>
  <c r="I2100" i="5"/>
  <c r="C2101" i="5"/>
  <c r="F2100" i="5"/>
  <c r="F2101" i="5" l="1"/>
  <c r="C2102" i="5"/>
  <c r="I2101" i="5"/>
  <c r="L2104" i="5"/>
  <c r="Q2103" i="5"/>
  <c r="N2105" i="5"/>
  <c r="K2106" i="5"/>
  <c r="K2107" i="5" l="1"/>
  <c r="N2106" i="5"/>
  <c r="L2105" i="5"/>
  <c r="Q2104" i="5"/>
  <c r="I2102" i="5"/>
  <c r="F2102" i="5"/>
  <c r="C2103" i="5"/>
  <c r="C2104" i="5" l="1"/>
  <c r="I2103" i="5"/>
  <c r="F2103" i="5"/>
  <c r="L2106" i="5"/>
  <c r="Q2105" i="5"/>
  <c r="K2108" i="5"/>
  <c r="N2107" i="5"/>
  <c r="L2107" i="5" l="1"/>
  <c r="Q2106" i="5"/>
  <c r="N2108" i="5"/>
  <c r="K2109" i="5"/>
  <c r="I2104" i="5"/>
  <c r="C2105" i="5"/>
  <c r="F2104" i="5"/>
  <c r="N2109" i="5" l="1"/>
  <c r="K2110" i="5"/>
  <c r="I2105" i="5"/>
  <c r="C2106" i="5"/>
  <c r="F2105" i="5"/>
  <c r="L2108" i="5"/>
  <c r="Q2107" i="5"/>
  <c r="L2109" i="5" l="1"/>
  <c r="Q2108" i="5"/>
  <c r="N2110" i="5"/>
  <c r="K2111" i="5"/>
  <c r="F2106" i="5"/>
  <c r="C2107" i="5"/>
  <c r="I2106" i="5"/>
  <c r="N2111" i="5" l="1"/>
  <c r="K2112" i="5"/>
  <c r="F2107" i="5"/>
  <c r="I2107" i="5"/>
  <c r="C2108" i="5"/>
  <c r="L2110" i="5"/>
  <c r="Q2109" i="5"/>
  <c r="L2111" i="5" l="1"/>
  <c r="Q2110" i="5"/>
  <c r="C2109" i="5"/>
  <c r="I2108" i="5"/>
  <c r="F2108" i="5"/>
  <c r="N2112" i="5"/>
  <c r="K2113" i="5"/>
  <c r="I2109" i="5" l="1"/>
  <c r="C2110" i="5"/>
  <c r="F2109" i="5"/>
  <c r="K2114" i="5"/>
  <c r="N2113" i="5"/>
  <c r="L2112" i="5"/>
  <c r="Q2111" i="5"/>
  <c r="K2115" i="5" l="1"/>
  <c r="N2114" i="5"/>
  <c r="F2110" i="5"/>
  <c r="C2111" i="5"/>
  <c r="I2110" i="5"/>
  <c r="L2113" i="5"/>
  <c r="Q2112" i="5"/>
  <c r="L2114" i="5" l="1"/>
  <c r="Q2113" i="5"/>
  <c r="C2112" i="5"/>
  <c r="F2111" i="5"/>
  <c r="I2111" i="5"/>
  <c r="K2116" i="5"/>
  <c r="N2115" i="5"/>
  <c r="K2117" i="5" l="1"/>
  <c r="N2116" i="5"/>
  <c r="F2112" i="5"/>
  <c r="I2112" i="5"/>
  <c r="C2113" i="5"/>
  <c r="L2115" i="5"/>
  <c r="Q2114" i="5"/>
  <c r="L2116" i="5" l="1"/>
  <c r="Q2115" i="5"/>
  <c r="C2114" i="5"/>
  <c r="F2113" i="5"/>
  <c r="I2113" i="5"/>
  <c r="K2118" i="5"/>
  <c r="N2117" i="5"/>
  <c r="K2119" i="5" l="1"/>
  <c r="N2118" i="5"/>
  <c r="C2115" i="5"/>
  <c r="I2114" i="5"/>
  <c r="F2114" i="5"/>
  <c r="L2117" i="5"/>
  <c r="Q2116" i="5"/>
  <c r="L2118" i="5" l="1"/>
  <c r="Q2117" i="5"/>
  <c r="C2116" i="5"/>
  <c r="I2115" i="5"/>
  <c r="F2115" i="5"/>
  <c r="N2119" i="5"/>
  <c r="K2120" i="5"/>
  <c r="K2121" i="5" l="1"/>
  <c r="N2120" i="5"/>
  <c r="F2116" i="5"/>
  <c r="I2116" i="5"/>
  <c r="C2117" i="5"/>
  <c r="L2119" i="5"/>
  <c r="Q2118" i="5"/>
  <c r="L2120" i="5" l="1"/>
  <c r="Q2119" i="5"/>
  <c r="K2122" i="5"/>
  <c r="N2121" i="5"/>
  <c r="F2117" i="5"/>
  <c r="C2118" i="5"/>
  <c r="I2117" i="5"/>
  <c r="I2118" i="5" l="1"/>
  <c r="F2118" i="5"/>
  <c r="C2119" i="5"/>
  <c r="K2123" i="5"/>
  <c r="N2122" i="5"/>
  <c r="L2121" i="5"/>
  <c r="Q2120" i="5"/>
  <c r="N2123" i="5" l="1"/>
  <c r="K2124" i="5"/>
  <c r="L2122" i="5"/>
  <c r="Q2121" i="5"/>
  <c r="F2119" i="5"/>
  <c r="C2120" i="5"/>
  <c r="I2119" i="5"/>
  <c r="L2123" i="5" l="1"/>
  <c r="Q2122" i="5"/>
  <c r="F2120" i="5"/>
  <c r="C2121" i="5"/>
  <c r="I2120" i="5"/>
  <c r="N2124" i="5"/>
  <c r="K2125" i="5"/>
  <c r="K2126" i="5" l="1"/>
  <c r="N2125" i="5"/>
  <c r="C2122" i="5"/>
  <c r="I2121" i="5"/>
  <c r="F2121" i="5"/>
  <c r="L2124" i="5"/>
  <c r="Q2123" i="5"/>
  <c r="L2125" i="5" l="1"/>
  <c r="Q2124" i="5"/>
  <c r="C2123" i="5"/>
  <c r="F2122" i="5"/>
  <c r="I2122" i="5"/>
  <c r="K2127" i="5"/>
  <c r="N2126" i="5"/>
  <c r="N2127" i="5" l="1"/>
  <c r="K2128" i="5"/>
  <c r="F2123" i="5"/>
  <c r="I2123" i="5"/>
  <c r="C2124" i="5"/>
  <c r="L2126" i="5"/>
  <c r="Q2125" i="5"/>
  <c r="F2124" i="5" l="1"/>
  <c r="C2125" i="5"/>
  <c r="I2124" i="5"/>
  <c r="L2127" i="5"/>
  <c r="Q2126" i="5"/>
  <c r="K2129" i="5"/>
  <c r="N2128" i="5"/>
  <c r="L2128" i="5" l="1"/>
  <c r="Q2127" i="5"/>
  <c r="I2125" i="5"/>
  <c r="C2126" i="5"/>
  <c r="F2125" i="5"/>
  <c r="N2129" i="5"/>
  <c r="K2130" i="5"/>
  <c r="N2130" i="5" l="1"/>
  <c r="K2131" i="5"/>
  <c r="C2127" i="5"/>
  <c r="I2126" i="5"/>
  <c r="F2126" i="5"/>
  <c r="L2129" i="5"/>
  <c r="Q2128" i="5"/>
  <c r="L2130" i="5" l="1"/>
  <c r="Q2129" i="5"/>
  <c r="I2127" i="5"/>
  <c r="F2127" i="5"/>
  <c r="C2128" i="5"/>
  <c r="N2131" i="5"/>
  <c r="K2132" i="5"/>
  <c r="K2133" i="5" l="1"/>
  <c r="N2132" i="5"/>
  <c r="I2128" i="5"/>
  <c r="F2128" i="5"/>
  <c r="C2129" i="5"/>
  <c r="L2131" i="5"/>
  <c r="Q2130" i="5"/>
  <c r="L2132" i="5" l="1"/>
  <c r="Q2131" i="5"/>
  <c r="C2130" i="5"/>
  <c r="I2129" i="5"/>
  <c r="F2129" i="5"/>
  <c r="K2134" i="5"/>
  <c r="N2133" i="5"/>
  <c r="K2135" i="5" l="1"/>
  <c r="N2134" i="5"/>
  <c r="C2131" i="5"/>
  <c r="I2130" i="5"/>
  <c r="F2130" i="5"/>
  <c r="L2133" i="5"/>
  <c r="Q2132" i="5"/>
  <c r="C2132" i="5" l="1"/>
  <c r="F2131" i="5"/>
  <c r="I2131" i="5"/>
  <c r="L2134" i="5"/>
  <c r="Q2133" i="5"/>
  <c r="N2135" i="5"/>
  <c r="K2136" i="5"/>
  <c r="L2135" i="5" l="1"/>
  <c r="Q2134" i="5"/>
  <c r="N2136" i="5"/>
  <c r="K2137" i="5"/>
  <c r="I2132" i="5"/>
  <c r="C2133" i="5"/>
  <c r="F2132" i="5"/>
  <c r="C2134" i="5" l="1"/>
  <c r="F2133" i="5"/>
  <c r="I2133" i="5"/>
  <c r="N2137" i="5"/>
  <c r="K2138" i="5"/>
  <c r="L2136" i="5"/>
  <c r="Q2135" i="5"/>
  <c r="L2137" i="5" l="1"/>
  <c r="Q2136" i="5"/>
  <c r="N2138" i="5"/>
  <c r="K2139" i="5"/>
  <c r="F2134" i="5"/>
  <c r="C2135" i="5"/>
  <c r="I2134" i="5"/>
  <c r="I2135" i="5" l="1"/>
  <c r="F2135" i="5"/>
  <c r="C2136" i="5"/>
  <c r="K2140" i="5"/>
  <c r="N2139" i="5"/>
  <c r="L2138" i="5"/>
  <c r="Q2137" i="5"/>
  <c r="K2141" i="5" l="1"/>
  <c r="N2140" i="5"/>
  <c r="L2139" i="5"/>
  <c r="Q2138" i="5"/>
  <c r="I2136" i="5"/>
  <c r="F2136" i="5"/>
  <c r="C2137" i="5"/>
  <c r="I2137" i="5" l="1"/>
  <c r="C2138" i="5"/>
  <c r="F2137" i="5"/>
  <c r="L2140" i="5"/>
  <c r="Q2139" i="5"/>
  <c r="K2142" i="5"/>
  <c r="N2141" i="5"/>
  <c r="L2141" i="5" l="1"/>
  <c r="Q2140" i="5"/>
  <c r="N2142" i="5"/>
  <c r="K2143" i="5"/>
  <c r="C2139" i="5"/>
  <c r="I2138" i="5"/>
  <c r="F2138" i="5"/>
  <c r="F2139" i="5" l="1"/>
  <c r="C2140" i="5"/>
  <c r="I2139" i="5"/>
  <c r="N2143" i="5"/>
  <c r="K2144" i="5"/>
  <c r="L2142" i="5"/>
  <c r="Q2141" i="5"/>
  <c r="N2144" i="5" l="1"/>
  <c r="K2145" i="5"/>
  <c r="C2141" i="5"/>
  <c r="F2140" i="5"/>
  <c r="I2140" i="5"/>
  <c r="L2143" i="5"/>
  <c r="Q2142" i="5"/>
  <c r="L2144" i="5" l="1"/>
  <c r="Q2143" i="5"/>
  <c r="K2146" i="5"/>
  <c r="N2145" i="5"/>
  <c r="C2142" i="5"/>
  <c r="F2141" i="5"/>
  <c r="I2141" i="5"/>
  <c r="C2143" i="5" l="1"/>
  <c r="F2142" i="5"/>
  <c r="I2142" i="5"/>
  <c r="K2147" i="5"/>
  <c r="N2146" i="5"/>
  <c r="L2145" i="5"/>
  <c r="Q2144" i="5"/>
  <c r="L2146" i="5" l="1"/>
  <c r="Q2145" i="5"/>
  <c r="K2148" i="5"/>
  <c r="N2147" i="5"/>
  <c r="I2143" i="5"/>
  <c r="F2143" i="5"/>
  <c r="C2144" i="5"/>
  <c r="K2149" i="5" l="1"/>
  <c r="N2148" i="5"/>
  <c r="I2144" i="5"/>
  <c r="C2145" i="5"/>
  <c r="F2144" i="5"/>
  <c r="L2147" i="5"/>
  <c r="Q2146" i="5"/>
  <c r="F2145" i="5" l="1"/>
  <c r="I2145" i="5"/>
  <c r="C2146" i="5"/>
  <c r="L2148" i="5"/>
  <c r="Q2147" i="5"/>
  <c r="N2149" i="5"/>
  <c r="K2150" i="5"/>
  <c r="K2151" i="5" l="1"/>
  <c r="N2150" i="5"/>
  <c r="F2146" i="5"/>
  <c r="C2147" i="5"/>
  <c r="I2146" i="5"/>
  <c r="L2149" i="5"/>
  <c r="Q2148" i="5"/>
  <c r="F2147" i="5" l="1"/>
  <c r="C2148" i="5"/>
  <c r="I2147" i="5"/>
  <c r="L2150" i="5"/>
  <c r="Q2149" i="5"/>
  <c r="N2151" i="5"/>
  <c r="K2152" i="5"/>
  <c r="L2151" i="5" l="1"/>
  <c r="Q2150" i="5"/>
  <c r="K2153" i="5"/>
  <c r="N2152" i="5"/>
  <c r="I2148" i="5"/>
  <c r="C2149" i="5"/>
  <c r="F2148" i="5"/>
  <c r="N2153" i="5" l="1"/>
  <c r="K2154" i="5"/>
  <c r="C2150" i="5"/>
  <c r="I2149" i="5"/>
  <c r="F2149" i="5"/>
  <c r="L2152" i="5"/>
  <c r="Q2151" i="5"/>
  <c r="L2153" i="5" l="1"/>
  <c r="Q2152" i="5"/>
  <c r="I2150" i="5"/>
  <c r="F2150" i="5"/>
  <c r="C2151" i="5"/>
  <c r="N2154" i="5"/>
  <c r="K2155" i="5"/>
  <c r="F2151" i="5" l="1"/>
  <c r="C2152" i="5"/>
  <c r="I2151" i="5"/>
  <c r="N2155" i="5"/>
  <c r="K2156" i="5"/>
  <c r="L2154" i="5"/>
  <c r="Q2153" i="5"/>
  <c r="L2155" i="5" l="1"/>
  <c r="Q2154" i="5"/>
  <c r="C2153" i="5"/>
  <c r="F2152" i="5"/>
  <c r="I2152" i="5"/>
  <c r="K2157" i="5"/>
  <c r="N2156" i="5"/>
  <c r="F2153" i="5" l="1"/>
  <c r="C2154" i="5"/>
  <c r="I2153" i="5"/>
  <c r="K2158" i="5"/>
  <c r="N2157" i="5"/>
  <c r="L2156" i="5"/>
  <c r="Q2155" i="5"/>
  <c r="C2155" i="5" l="1"/>
  <c r="I2154" i="5"/>
  <c r="F2154" i="5"/>
  <c r="L2157" i="5"/>
  <c r="Q2156" i="5"/>
  <c r="K2159" i="5"/>
  <c r="N2158" i="5"/>
  <c r="L2158" i="5" l="1"/>
  <c r="Q2157" i="5"/>
  <c r="K2160" i="5"/>
  <c r="N2159" i="5"/>
  <c r="C2156" i="5"/>
  <c r="I2155" i="5"/>
  <c r="F2155" i="5"/>
  <c r="F2156" i="5" l="1"/>
  <c r="C2157" i="5"/>
  <c r="I2156" i="5"/>
  <c r="K2161" i="5"/>
  <c r="N2160" i="5"/>
  <c r="L2159" i="5"/>
  <c r="Q2158" i="5"/>
  <c r="K2162" i="5" l="1"/>
  <c r="N2161" i="5"/>
  <c r="L2160" i="5"/>
  <c r="Q2159" i="5"/>
  <c r="I2157" i="5"/>
  <c r="C2158" i="5"/>
  <c r="F2157" i="5"/>
  <c r="L2161" i="5" l="1"/>
  <c r="Q2160" i="5"/>
  <c r="C2159" i="5"/>
  <c r="I2158" i="5"/>
  <c r="F2158" i="5"/>
  <c r="K2163" i="5"/>
  <c r="N2162" i="5"/>
  <c r="K2164" i="5" l="1"/>
  <c r="N2163" i="5"/>
  <c r="I2159" i="5"/>
  <c r="C2160" i="5"/>
  <c r="F2159" i="5"/>
  <c r="L2162" i="5"/>
  <c r="Q2161" i="5"/>
  <c r="L2163" i="5" l="1"/>
  <c r="Q2162" i="5"/>
  <c r="C2161" i="5"/>
  <c r="I2160" i="5"/>
  <c r="F2160" i="5"/>
  <c r="K2165" i="5"/>
  <c r="N2164" i="5"/>
  <c r="N2165" i="5" l="1"/>
  <c r="K2166" i="5"/>
  <c r="F2161" i="5"/>
  <c r="I2161" i="5"/>
  <c r="C2162" i="5"/>
  <c r="L2164" i="5"/>
  <c r="Q2163" i="5"/>
  <c r="L2165" i="5" l="1"/>
  <c r="Q2164" i="5"/>
  <c r="I2162" i="5"/>
  <c r="C2163" i="5"/>
  <c r="F2162" i="5"/>
  <c r="K2167" i="5"/>
  <c r="N2166" i="5"/>
  <c r="I2163" i="5" l="1"/>
  <c r="F2163" i="5"/>
  <c r="C2164" i="5"/>
  <c r="N2167" i="5"/>
  <c r="K2168" i="5"/>
  <c r="L2166" i="5"/>
  <c r="Q2165" i="5"/>
  <c r="L2167" i="5" l="1"/>
  <c r="Q2166" i="5"/>
  <c r="K2169" i="5"/>
  <c r="N2168" i="5"/>
  <c r="I2164" i="5"/>
  <c r="C2165" i="5"/>
  <c r="F2164" i="5"/>
  <c r="L2168" i="5" l="1"/>
  <c r="Q2167" i="5"/>
  <c r="F2165" i="5"/>
  <c r="C2166" i="5"/>
  <c r="I2165" i="5"/>
  <c r="K2170" i="5"/>
  <c r="N2169" i="5"/>
  <c r="F2166" i="5" l="1"/>
  <c r="I2166" i="5"/>
  <c r="C2167" i="5"/>
  <c r="K2171" i="5"/>
  <c r="N2170" i="5"/>
  <c r="L2169" i="5"/>
  <c r="Q2168" i="5"/>
  <c r="F2167" i="5" l="1"/>
  <c r="I2167" i="5"/>
  <c r="C2168" i="5"/>
  <c r="L2170" i="5"/>
  <c r="Q2169" i="5"/>
  <c r="K2172" i="5"/>
  <c r="N2171" i="5"/>
  <c r="L2171" i="5" l="1"/>
  <c r="Q2170" i="5"/>
  <c r="K2173" i="5"/>
  <c r="N2172" i="5"/>
  <c r="C2169" i="5"/>
  <c r="I2168" i="5"/>
  <c r="F2168" i="5"/>
  <c r="C2170" i="5" l="1"/>
  <c r="I2169" i="5"/>
  <c r="F2169" i="5"/>
  <c r="N2173" i="5"/>
  <c r="K2174" i="5"/>
  <c r="L2172" i="5"/>
  <c r="Q2171" i="5"/>
  <c r="N2174" i="5" l="1"/>
  <c r="K2175" i="5"/>
  <c r="L2173" i="5"/>
  <c r="Q2172" i="5"/>
  <c r="I2170" i="5"/>
  <c r="F2170" i="5"/>
  <c r="C2171" i="5"/>
  <c r="C2172" i="5" l="1"/>
  <c r="F2171" i="5"/>
  <c r="I2171" i="5"/>
  <c r="L2174" i="5"/>
  <c r="Q2173" i="5"/>
  <c r="K2176" i="5"/>
  <c r="N2175" i="5"/>
  <c r="N2176" i="5" l="1"/>
  <c r="K2177" i="5"/>
  <c r="L2175" i="5"/>
  <c r="Q2174" i="5"/>
  <c r="F2172" i="5"/>
  <c r="C2173" i="5"/>
  <c r="I2172" i="5"/>
  <c r="L2176" i="5" l="1"/>
  <c r="Q2175" i="5"/>
  <c r="I2173" i="5"/>
  <c r="C2174" i="5"/>
  <c r="F2173" i="5"/>
  <c r="K2178" i="5"/>
  <c r="N2177" i="5"/>
  <c r="K2179" i="5" l="1"/>
  <c r="N2178" i="5"/>
  <c r="I2174" i="5"/>
  <c r="F2174" i="5"/>
  <c r="C2175" i="5"/>
  <c r="L2177" i="5"/>
  <c r="Q2176" i="5"/>
  <c r="C2176" i="5" l="1"/>
  <c r="I2175" i="5"/>
  <c r="F2175" i="5"/>
  <c r="L2178" i="5"/>
  <c r="Q2177" i="5"/>
  <c r="K2180" i="5"/>
  <c r="N2179" i="5"/>
  <c r="N2180" i="5" l="1"/>
  <c r="K2181" i="5"/>
  <c r="L2179" i="5"/>
  <c r="Q2178" i="5"/>
  <c r="I2176" i="5"/>
  <c r="C2177" i="5"/>
  <c r="F2176" i="5"/>
  <c r="I2177" i="5" l="1"/>
  <c r="C2178" i="5"/>
  <c r="F2177" i="5"/>
  <c r="K2182" i="5"/>
  <c r="N2181" i="5"/>
  <c r="L2180" i="5"/>
  <c r="Q2179" i="5"/>
  <c r="L2181" i="5" l="1"/>
  <c r="Q2180" i="5"/>
  <c r="N2182" i="5"/>
  <c r="K2183" i="5"/>
  <c r="F2178" i="5"/>
  <c r="C2179" i="5"/>
  <c r="I2178" i="5"/>
  <c r="C2180" i="5" l="1"/>
  <c r="F2179" i="5"/>
  <c r="I2179" i="5"/>
  <c r="K2184" i="5"/>
  <c r="N2183" i="5"/>
  <c r="L2182" i="5"/>
  <c r="Q2181" i="5"/>
  <c r="L2183" i="5" l="1"/>
  <c r="Q2182" i="5"/>
  <c r="K2185" i="5"/>
  <c r="N2184" i="5"/>
  <c r="I2180" i="5"/>
  <c r="C2181" i="5"/>
  <c r="F2180" i="5"/>
  <c r="I2181" i="5" l="1"/>
  <c r="F2181" i="5"/>
  <c r="C2182" i="5"/>
  <c r="N2185" i="5"/>
  <c r="K2186" i="5"/>
  <c r="L2184" i="5"/>
  <c r="Q2183" i="5"/>
  <c r="L2185" i="5" l="1"/>
  <c r="Q2184" i="5"/>
  <c r="N2186" i="5"/>
  <c r="K2187" i="5"/>
  <c r="C2183" i="5"/>
  <c r="I2182" i="5"/>
  <c r="F2182" i="5"/>
  <c r="I2183" i="5" l="1"/>
  <c r="F2183" i="5"/>
  <c r="C2184" i="5"/>
  <c r="N2187" i="5"/>
  <c r="K2188" i="5"/>
  <c r="L2186" i="5"/>
  <c r="Q2185" i="5"/>
  <c r="L2187" i="5" l="1"/>
  <c r="Q2186" i="5"/>
  <c r="K2189" i="5"/>
  <c r="N2188" i="5"/>
  <c r="F2184" i="5"/>
  <c r="C2185" i="5"/>
  <c r="I2184" i="5"/>
  <c r="C2186" i="5" l="1"/>
  <c r="F2185" i="5"/>
  <c r="I2185" i="5"/>
  <c r="N2189" i="5"/>
  <c r="K2190" i="5"/>
  <c r="L2188" i="5"/>
  <c r="Q2187" i="5"/>
  <c r="L2189" i="5" l="1"/>
  <c r="Q2188" i="5"/>
  <c r="K2191" i="5"/>
  <c r="N2190" i="5"/>
  <c r="C2187" i="5"/>
  <c r="I2186" i="5"/>
  <c r="F2186" i="5"/>
  <c r="N2191" i="5" l="1"/>
  <c r="K2192" i="5"/>
  <c r="I2187" i="5"/>
  <c r="F2187" i="5"/>
  <c r="C2188" i="5"/>
  <c r="L2190" i="5"/>
  <c r="Q2189" i="5"/>
  <c r="L2191" i="5" l="1"/>
  <c r="Q2190" i="5"/>
  <c r="C2189" i="5"/>
  <c r="F2188" i="5"/>
  <c r="I2188" i="5"/>
  <c r="K2193" i="5"/>
  <c r="N2192" i="5"/>
  <c r="N2193" i="5" l="1"/>
  <c r="K2194" i="5"/>
  <c r="F2189" i="5"/>
  <c r="I2189" i="5"/>
  <c r="C2190" i="5"/>
  <c r="L2192" i="5"/>
  <c r="Q2191" i="5"/>
  <c r="L2193" i="5" l="1"/>
  <c r="Q2192" i="5"/>
  <c r="C2191" i="5"/>
  <c r="F2190" i="5"/>
  <c r="I2190" i="5"/>
  <c r="K2195" i="5"/>
  <c r="N2194" i="5"/>
  <c r="F2191" i="5" l="1"/>
  <c r="C2192" i="5"/>
  <c r="I2191" i="5"/>
  <c r="N2195" i="5"/>
  <c r="K2196" i="5"/>
  <c r="L2194" i="5"/>
  <c r="Q2193" i="5"/>
  <c r="K2197" i="5" l="1"/>
  <c r="N2196" i="5"/>
  <c r="L2195" i="5"/>
  <c r="Q2194" i="5"/>
  <c r="I2192" i="5"/>
  <c r="C2193" i="5"/>
  <c r="F2192" i="5"/>
  <c r="C2194" i="5" l="1"/>
  <c r="I2193" i="5"/>
  <c r="F2193" i="5"/>
  <c r="L2196" i="5"/>
  <c r="Q2195" i="5"/>
  <c r="K2198" i="5"/>
  <c r="N2197" i="5"/>
  <c r="N2198" i="5" l="1"/>
  <c r="K2199" i="5"/>
  <c r="L2197" i="5"/>
  <c r="Q2196" i="5"/>
  <c r="C2195" i="5"/>
  <c r="I2194" i="5"/>
  <c r="F2194" i="5"/>
  <c r="L2198" i="5" l="1"/>
  <c r="Q2197" i="5"/>
  <c r="I2195" i="5"/>
  <c r="C2196" i="5"/>
  <c r="F2195" i="5"/>
  <c r="N2199" i="5"/>
  <c r="K2200" i="5"/>
  <c r="C2197" i="5" l="1"/>
  <c r="I2196" i="5"/>
  <c r="F2196" i="5"/>
  <c r="K2201" i="5"/>
  <c r="N2200" i="5"/>
  <c r="L2199" i="5"/>
  <c r="Q2198" i="5"/>
  <c r="K2202" i="5" l="1"/>
  <c r="N2201" i="5"/>
  <c r="L2200" i="5"/>
  <c r="Q2199" i="5"/>
  <c r="C2198" i="5"/>
  <c r="I2197" i="5"/>
  <c r="F2197" i="5"/>
  <c r="C2199" i="5" l="1"/>
  <c r="F2198" i="5"/>
  <c r="I2198" i="5"/>
  <c r="L2201" i="5"/>
  <c r="Q2200" i="5"/>
  <c r="K2203" i="5"/>
  <c r="N2202" i="5"/>
  <c r="L2202" i="5" l="1"/>
  <c r="Q2201" i="5"/>
  <c r="N2203" i="5"/>
  <c r="K2204" i="5"/>
  <c r="C2200" i="5"/>
  <c r="F2199" i="5"/>
  <c r="I2199" i="5"/>
  <c r="N2204" i="5" l="1"/>
  <c r="K2205" i="5"/>
  <c r="F2200" i="5"/>
  <c r="C2201" i="5"/>
  <c r="I2200" i="5"/>
  <c r="L2203" i="5"/>
  <c r="Q2202" i="5"/>
  <c r="L2204" i="5" l="1"/>
  <c r="Q2203" i="5"/>
  <c r="K2206" i="5"/>
  <c r="N2205" i="5"/>
  <c r="I2201" i="5"/>
  <c r="C2202" i="5"/>
  <c r="F2201" i="5"/>
  <c r="I2202" i="5" l="1"/>
  <c r="F2202" i="5"/>
  <c r="C2203" i="5"/>
  <c r="N2206" i="5"/>
  <c r="K2207" i="5"/>
  <c r="L2205" i="5"/>
  <c r="Q2204" i="5"/>
  <c r="L2206" i="5" l="1"/>
  <c r="Q2205" i="5"/>
  <c r="K2208" i="5"/>
  <c r="N2207" i="5"/>
  <c r="I2203" i="5"/>
  <c r="F2203" i="5"/>
  <c r="C2204" i="5"/>
  <c r="K2209" i="5" l="1"/>
  <c r="N2208" i="5"/>
  <c r="C2205" i="5"/>
  <c r="I2204" i="5"/>
  <c r="F2204" i="5"/>
  <c r="L2207" i="5"/>
  <c r="Q2206" i="5"/>
  <c r="I2205" i="5" l="1"/>
  <c r="F2205" i="5"/>
  <c r="C2206" i="5"/>
  <c r="L2208" i="5"/>
  <c r="Q2207" i="5"/>
  <c r="N2209" i="5"/>
  <c r="K2210" i="5"/>
  <c r="K2211" i="5" l="1"/>
  <c r="N2210" i="5"/>
  <c r="L2209" i="5"/>
  <c r="Q2208" i="5"/>
  <c r="I2206" i="5"/>
  <c r="C2207" i="5"/>
  <c r="F2206" i="5"/>
  <c r="F2207" i="5" l="1"/>
  <c r="C2208" i="5"/>
  <c r="I2207" i="5"/>
  <c r="N2211" i="5"/>
  <c r="K2212" i="5"/>
  <c r="L2210" i="5"/>
  <c r="Q2209" i="5"/>
  <c r="N2212" i="5" l="1"/>
  <c r="K2213" i="5"/>
  <c r="L2211" i="5"/>
  <c r="Q2210" i="5"/>
  <c r="I2208" i="5"/>
  <c r="C2209" i="5"/>
  <c r="F2208" i="5"/>
  <c r="F2209" i="5" l="1"/>
  <c r="I2209" i="5"/>
  <c r="C2210" i="5"/>
  <c r="L2212" i="5"/>
  <c r="Q2211" i="5"/>
  <c r="N2213" i="5"/>
  <c r="F2210" i="5" l="1"/>
  <c r="C2211" i="5"/>
  <c r="I2210" i="5"/>
  <c r="L2213" i="5"/>
  <c r="Q2213" i="5" s="1"/>
  <c r="Q2212" i="5"/>
  <c r="F2211" i="5" l="1"/>
  <c r="C2212" i="5"/>
  <c r="I2211" i="5"/>
  <c r="F2212" i="5" l="1"/>
  <c r="C2213" i="5"/>
  <c r="I2212" i="5"/>
  <c r="I2213" i="5" l="1"/>
  <c r="F221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ggulb</author>
    <author>영업</author>
    <author>MJ</author>
  </authors>
  <commentList>
    <comment ref="N3" authorId="0" shapeId="0" xr:uid="{00000000-0006-0000-0100-000001000000}">
      <text>
        <r>
          <rPr>
            <sz val="11"/>
            <color indexed="8"/>
            <rFont val="맑은 고딕"/>
            <family val="3"/>
            <charset val="129"/>
          </rPr>
          <t>배당금
26.01.05 주당 236원</t>
        </r>
      </text>
    </comment>
    <comment ref="B4" authorId="0" shapeId="0" xr:uid="{00000000-0006-0000-0100-000002000000}">
      <text>
        <r>
          <rPr>
            <sz val="11"/>
            <color indexed="8"/>
            <rFont val="맑은 고딕"/>
            <family val="3"/>
            <charset val="129"/>
          </rPr>
          <t>2021.09.30. 종목명 변경
ATLAS CREST INVT--&gt;Archer Aviation</t>
        </r>
      </text>
    </comment>
    <comment ref="N6" authorId="0" shapeId="0" xr:uid="{00000000-0006-0000-0100-000003000000}">
      <text>
        <r>
          <rPr>
            <sz val="11"/>
            <color indexed="8"/>
            <rFont val="맑은 고딕"/>
            <family val="3"/>
            <charset val="129"/>
          </rPr>
          <t>2020/08/04 배당금 15.60 (외국납부세금 2.34)
2020/11/03 배당금 15.60 (괴국납부세금 2.34)</t>
        </r>
      </text>
    </comment>
    <comment ref="N13" authorId="0" shapeId="0" xr:uid="{00000000-0006-0000-0100-000004000000}">
      <text>
        <r>
          <rPr>
            <sz val="11"/>
            <color indexed="8"/>
            <rFont val="맑은 고딕"/>
            <family val="3"/>
            <charset val="129"/>
          </rPr>
          <t>해외DR보관수수료외화출고 2020.06.30 $1
해외DR보관수수료외화출고 2021.06.30 $1
해외DR보관수수료외화출고 2022.07.08 $1
해외DR보관수수료외화출고 2023.07.30 $1
해외DR보관수수료외화출고 2024.07.18 $1
해외DR보관수수료외화출고 2025.07.31 $1.01</t>
        </r>
      </text>
    </comment>
    <comment ref="N18" authorId="0" shapeId="0" xr:uid="{00000000-0006-0000-0100-000005000000}">
      <text>
        <r>
          <rPr>
            <sz val="11"/>
            <color indexed="8"/>
            <rFont val="맑은 고딕"/>
            <family val="3"/>
            <charset val="129"/>
          </rPr>
          <t>해외배당금
2021.03.29 Y250 (제세금 Y38)</t>
        </r>
      </text>
    </comment>
    <comment ref="E20" authorId="0" shapeId="0" xr:uid="{00000000-0006-0000-0100-000006000000}">
      <text>
        <r>
          <rPr>
            <sz val="11"/>
            <color indexed="8"/>
            <rFont val="맑은 고딕"/>
            <family val="3"/>
            <charset val="129"/>
          </rPr>
          <t>2020/4/23 액면병합으로 300주--&gt;30주 /단가 $4.4 --&gt;$44로 변경</t>
        </r>
      </text>
    </comment>
    <comment ref="N20" authorId="0" shapeId="0" xr:uid="{00000000-0006-0000-0100-000007000000}">
      <text>
        <r>
          <rPr>
            <sz val="11"/>
            <color indexed="8"/>
            <rFont val="맑은 고딕"/>
            <family val="3"/>
            <charset val="129"/>
          </rPr>
          <t>2020/07/02 배당금 18.81 (외국납부세금 2.82)
2020/10/05 배당금 18.20 (외국납부세금 2.73)</t>
        </r>
      </text>
    </comment>
    <comment ref="N26" authorId="0" shapeId="0" xr:uid="{00000000-0006-0000-0100-000008000000}">
      <text>
        <r>
          <rPr>
            <sz val="11"/>
            <color indexed="8"/>
            <rFont val="맑은 고딕"/>
            <family val="3"/>
            <charset val="129"/>
          </rPr>
          <t>2021/03/26 배당금 0.36 (외국납부세금 0.55)
2023/06/23 배당금 0.02
2023/12/22 배당금 0.12 (세금 0.02)
2024/06/27 배당금 1.03 (세금 0.15)
2024/09/25 배당금 0.14 (세금 0.02)
2024/12/26 배당금 0.02
2025/03/27 배당금 0.05 (세금 0.01)
2025/06/26 배당금 0.07 (세금 0.01)</t>
        </r>
      </text>
    </comment>
    <comment ref="N27" authorId="0" shapeId="0" xr:uid="{00000000-0006-0000-0100-000009000000}">
      <text>
        <r>
          <rPr>
            <sz val="11"/>
            <color indexed="8"/>
            <rFont val="맑은 고딕"/>
            <family val="3"/>
            <charset val="129"/>
          </rPr>
          <t>2020/03/16 배당금 3.12 (외국납부세금 0.46)
2020/06/26 배당금 5.29 (외국납부세금 0.54)</t>
        </r>
      </text>
    </comment>
    <comment ref="N29" authorId="0" shapeId="0" xr:uid="{00000000-0006-0000-0100-00000A000000}">
      <text>
        <r>
          <rPr>
            <sz val="11"/>
            <color indexed="8"/>
            <rFont val="맑은 고딕"/>
            <family val="3"/>
            <charset val="129"/>
          </rPr>
          <t>2020/03/24 배당금 3.63 (외국납부세금 0.54)
2020/06/24 배당금 3.63 (외국납부세금 0.54)</t>
        </r>
      </text>
    </comment>
    <comment ref="N109" authorId="0" shapeId="0" xr:uid="{00000000-0006-0000-0100-00000B000000}">
      <text>
        <r>
          <rPr>
            <sz val="11"/>
            <color indexed="8"/>
            <rFont val="맑은 고딕"/>
            <family val="3"/>
            <charset val="129"/>
          </rPr>
          <t xml:space="preserve">2025.04.24. 주당 500원 배당
2025.08.22. 주당 500원 배당
</t>
        </r>
      </text>
    </comment>
    <comment ref="N110" authorId="0" shapeId="0" xr:uid="{00000000-0006-0000-0100-00000C000000}">
      <text>
        <r>
          <rPr>
            <sz val="11"/>
            <color indexed="8"/>
            <rFont val="맑은 고딕"/>
            <family val="3"/>
            <charset val="129"/>
          </rPr>
          <t xml:space="preserve">2025.04.24. 주당 500원 배당
2025.08.22. 주당 500원 배당
</t>
        </r>
      </text>
    </comment>
    <comment ref="N111" authorId="0" shapeId="0" xr:uid="{00000000-0006-0000-0100-00000D000000}">
      <text>
        <r>
          <rPr>
            <sz val="11"/>
            <color indexed="8"/>
            <rFont val="맑은 고딕"/>
            <family val="3"/>
            <charset val="129"/>
          </rPr>
          <t xml:space="preserve">2025.04.24. 주당 500원 배당
2025.08.22. 주당 500원 배당
</t>
        </r>
      </text>
    </comment>
    <comment ref="N112" authorId="0" shapeId="0" xr:uid="{00000000-0006-0000-0100-00000E000000}">
      <text>
        <r>
          <rPr>
            <sz val="11"/>
            <color indexed="8"/>
            <rFont val="맑은 고딕"/>
            <family val="3"/>
            <charset val="129"/>
          </rPr>
          <t xml:space="preserve">2025.04.24. 주당 500원 배당
2025.08.22. 주당 500원 배당
</t>
        </r>
      </text>
    </comment>
    <comment ref="N113" authorId="0" shapeId="0" xr:uid="{00000000-0006-0000-0100-00000F000000}">
      <text>
        <r>
          <rPr>
            <sz val="11"/>
            <color indexed="8"/>
            <rFont val="맑은 고딕"/>
            <family val="3"/>
            <charset val="129"/>
          </rPr>
          <t xml:space="preserve">2025.04.24. 주당 500원 배당
2025.08.22. 주당 500원 배당
</t>
        </r>
      </text>
    </comment>
    <comment ref="N114" authorId="0" shapeId="0" xr:uid="{00000000-0006-0000-0100-000010000000}">
      <text>
        <r>
          <rPr>
            <sz val="11"/>
            <color indexed="8"/>
            <rFont val="맑은 고딕"/>
            <family val="3"/>
            <charset val="129"/>
          </rPr>
          <t xml:space="preserve">2025.04.24. 주당 500원 배당
2025.08.22. 주당 500원 배당
</t>
        </r>
      </text>
    </comment>
    <comment ref="N115" authorId="0" shapeId="0" xr:uid="{00000000-0006-0000-0100-000011000000}">
      <text>
        <r>
          <rPr>
            <sz val="11"/>
            <color indexed="8"/>
            <rFont val="맑은 고딕"/>
            <family val="3"/>
            <charset val="129"/>
          </rPr>
          <t xml:space="preserve">2025.04.24. 주당 500원 배당
2025.08.22. 주당 500원 배당
</t>
        </r>
      </text>
    </comment>
    <comment ref="N116" authorId="0" shapeId="0" xr:uid="{00000000-0006-0000-0100-000012000000}">
      <text>
        <r>
          <rPr>
            <sz val="11"/>
            <color indexed="8"/>
            <rFont val="맑은 고딕"/>
            <family val="3"/>
            <charset val="129"/>
          </rPr>
          <t xml:space="preserve">2025.04.24. 주당 500원 배당
2025.08.22. 주당 500원 배당
</t>
        </r>
      </text>
    </comment>
    <comment ref="N117" authorId="0" shapeId="0" xr:uid="{00000000-0006-0000-0100-000013000000}">
      <text>
        <r>
          <rPr>
            <sz val="11"/>
            <color indexed="8"/>
            <rFont val="맑은 고딕"/>
            <family val="3"/>
            <charset val="129"/>
          </rPr>
          <t xml:space="preserve">2025.04.24. 주당 500원 배당
2025.08.22. 주당 500원 배당
</t>
        </r>
      </text>
    </comment>
    <comment ref="N118" authorId="0" shapeId="0" xr:uid="{00000000-0006-0000-0100-000014000000}">
      <text>
        <r>
          <rPr>
            <sz val="11"/>
            <color indexed="8"/>
            <rFont val="맑은 고딕"/>
            <family val="3"/>
            <charset val="129"/>
          </rPr>
          <t xml:space="preserve">2025.04.24. 주당 500원 배당
2025.08.22. 주당 500원 배당
</t>
        </r>
      </text>
    </comment>
    <comment ref="N119" authorId="0" shapeId="0" xr:uid="{00000000-0006-0000-0100-000015000000}">
      <text>
        <r>
          <rPr>
            <sz val="11"/>
            <color indexed="8"/>
            <rFont val="맑은 고딕"/>
            <family val="3"/>
            <charset val="129"/>
          </rPr>
          <t xml:space="preserve">2025.04.24. 주당 500원 배당
2025.08.22. 주당 500원 배당
</t>
        </r>
      </text>
    </comment>
    <comment ref="N120" authorId="0" shapeId="0" xr:uid="{00000000-0006-0000-0100-000016000000}">
      <text>
        <r>
          <rPr>
            <sz val="11"/>
            <color indexed="8"/>
            <rFont val="맑은 고딕"/>
            <family val="3"/>
            <charset val="129"/>
          </rPr>
          <t xml:space="preserve">2025.04.24. 주당 500원 배당
2025.08.22. 주당 500원 배당
</t>
        </r>
      </text>
    </comment>
    <comment ref="N121" authorId="0" shapeId="0" xr:uid="{00000000-0006-0000-0100-000017000000}">
      <text>
        <r>
          <rPr>
            <sz val="11"/>
            <color indexed="8"/>
            <rFont val="맑은 고딕"/>
            <family val="3"/>
            <charset val="129"/>
          </rPr>
          <t xml:space="preserve">2025.04.24. 주당 500원 배당
2025.08.22. 주당 500원 배당
</t>
        </r>
      </text>
    </comment>
    <comment ref="N122" authorId="0" shapeId="0" xr:uid="{00000000-0006-0000-0100-000018000000}">
      <text>
        <r>
          <rPr>
            <sz val="11"/>
            <color indexed="8"/>
            <rFont val="맑은 고딕"/>
            <family val="3"/>
            <charset val="129"/>
          </rPr>
          <t xml:space="preserve">2025.04.24. 주당 500원 배당
2025.08.22. 주당 500원 배당
</t>
        </r>
      </text>
    </comment>
    <comment ref="N123" authorId="0" shapeId="0" xr:uid="{00000000-0006-0000-0100-000019000000}">
      <text>
        <r>
          <rPr>
            <sz val="11"/>
            <color indexed="8"/>
            <rFont val="맑은 고딕"/>
            <family val="3"/>
            <charset val="129"/>
          </rPr>
          <t xml:space="preserve">2025.04.24. 주당 500원 배당
2025.08.22. 주당 500원 배당
</t>
        </r>
      </text>
    </comment>
    <comment ref="N124" authorId="0" shapeId="0" xr:uid="{00000000-0006-0000-0100-00001A000000}">
      <text>
        <r>
          <rPr>
            <sz val="11"/>
            <color indexed="8"/>
            <rFont val="맑은 고딕"/>
            <family val="3"/>
            <charset val="129"/>
          </rPr>
          <t xml:space="preserve">2025.08.22. 주당 500원 배당
</t>
        </r>
      </text>
    </comment>
    <comment ref="N125" authorId="0" shapeId="0" xr:uid="{00000000-0006-0000-0100-00001B000000}">
      <text>
        <r>
          <rPr>
            <sz val="11"/>
            <color indexed="8"/>
            <rFont val="맑은 고딕"/>
            <family val="3"/>
            <charset val="129"/>
          </rPr>
          <t xml:space="preserve">2025.08.22. 주당 500원 배당
</t>
        </r>
      </text>
    </comment>
    <comment ref="N126" authorId="0" shapeId="0" xr:uid="{00000000-0006-0000-0100-00001C000000}">
      <text>
        <r>
          <rPr>
            <sz val="11"/>
            <color indexed="8"/>
            <rFont val="맑은 고딕"/>
            <family val="3"/>
            <charset val="129"/>
          </rPr>
          <t xml:space="preserve">2025.08.22. 주당 500원 배당
</t>
        </r>
      </text>
    </comment>
    <comment ref="N127" authorId="0" shapeId="0" xr:uid="{00000000-0006-0000-0100-00001D000000}">
      <text>
        <r>
          <rPr>
            <sz val="11"/>
            <color indexed="8"/>
            <rFont val="맑은 고딕"/>
            <family val="3"/>
            <charset val="129"/>
          </rPr>
          <t xml:space="preserve">2025.08.22. 주당 500원 배당
</t>
        </r>
      </text>
    </comment>
    <comment ref="N182" authorId="0" shapeId="0" xr:uid="{00000000-0006-0000-0100-00001E000000}">
      <text>
        <r>
          <rPr>
            <sz val="11"/>
            <color indexed="8"/>
            <rFont val="맑은 고딕"/>
            <family val="3"/>
            <charset val="129"/>
          </rPr>
          <t>2021/04/15 주당 1,170원</t>
        </r>
      </text>
    </comment>
    <comment ref="N183" authorId="0" shapeId="0" xr:uid="{00000000-0006-0000-0100-00001F000000}">
      <text>
        <r>
          <rPr>
            <sz val="11"/>
            <color indexed="8"/>
            <rFont val="맑은 고딕"/>
            <family val="3"/>
            <charset val="129"/>
          </rPr>
          <t>2025.12.30 주당 375원 배당</t>
        </r>
      </text>
    </comment>
    <comment ref="N184" authorId="0" shapeId="0" xr:uid="{00000000-0006-0000-0100-000020000000}">
      <text>
        <r>
          <rPr>
            <sz val="11"/>
            <color indexed="8"/>
            <rFont val="맑은 고딕"/>
            <family val="3"/>
            <charset val="129"/>
          </rPr>
          <t>2025.12.30 주당 375원 배당</t>
        </r>
      </text>
    </comment>
    <comment ref="N185" authorId="0" shapeId="0" xr:uid="{00000000-0006-0000-0100-000021000000}">
      <text>
        <r>
          <rPr>
            <sz val="11"/>
            <color indexed="8"/>
            <rFont val="맑은 고딕"/>
            <family val="3"/>
            <charset val="129"/>
          </rPr>
          <t>2025.12.30 주당 375원 배당</t>
        </r>
      </text>
    </comment>
    <comment ref="K205" authorId="0" shapeId="0" xr:uid="{00000000-0006-0000-0100-000022000000}">
      <text>
        <r>
          <rPr>
            <sz val="11"/>
            <color indexed="8"/>
            <rFont val="맑은 고딕"/>
            <family val="3"/>
            <charset val="129"/>
          </rPr>
          <t>011386계좌 수수료율 0.18916
+ 약관대출 이자 연4%</t>
        </r>
      </text>
    </comment>
    <comment ref="K206" authorId="0" shapeId="0" xr:uid="{00000000-0006-0000-0100-000023000000}">
      <text>
        <r>
          <rPr>
            <sz val="11"/>
            <color indexed="8"/>
            <rFont val="맑은 고딕"/>
            <family val="3"/>
            <charset val="129"/>
          </rPr>
          <t>011386계좌 수수료율 0.18916
+ 약관대출 이자 연4%</t>
        </r>
      </text>
    </comment>
    <comment ref="N231" authorId="0" shapeId="0" xr:uid="{00000000-0006-0000-0100-000024000000}">
      <text>
        <r>
          <rPr>
            <sz val="11"/>
            <color indexed="8"/>
            <rFont val="맑은 고딕"/>
            <family val="3"/>
            <charset val="129"/>
          </rPr>
          <t>2020-04-29 4,500원
2023-04-26 1,750원
2024-04-26 4,650원
2025-04-24 5,850원</t>
        </r>
      </text>
    </comment>
    <comment ref="K298" authorId="0" shapeId="0" xr:uid="{00000000-0006-0000-0100-000025000000}">
      <text>
        <r>
          <rPr>
            <sz val="11"/>
            <color indexed="8"/>
            <rFont val="맑은 고딕"/>
            <family val="3"/>
            <charset val="129"/>
          </rPr>
          <t xml:space="preserve">신주인수권 추가매수
417주 주주권리
2000주 매수(주당 105원)
483주 초과청약
</t>
        </r>
      </text>
    </comment>
    <comment ref="K308" authorId="1" shapeId="0" xr:uid="{00000000-0006-0000-0100-000026000000}">
      <text>
        <r>
          <rPr>
            <sz val="11"/>
            <color indexed="8"/>
            <rFont val="맑은 고딕"/>
            <family val="3"/>
            <charset val="129"/>
          </rPr>
          <t xml:space="preserve">HTS거래
0.4975% 수수료
</t>
        </r>
      </text>
    </comment>
    <comment ref="N332" authorId="0" shapeId="0" xr:uid="{00000000-0006-0000-0100-000027000000}">
      <text>
        <r>
          <rPr>
            <sz val="11"/>
            <color indexed="8"/>
            <rFont val="맑은 고딕"/>
            <family val="3"/>
            <charset val="129"/>
          </rPr>
          <t xml:space="preserve">2020-11-23 감자단주대금 1,829원
</t>
        </r>
      </text>
    </comment>
    <comment ref="N366" authorId="0" shapeId="0" xr:uid="{00000000-0006-0000-0100-000028000000}">
      <text>
        <r>
          <rPr>
            <sz val="11"/>
            <color indexed="8"/>
            <rFont val="맑은 고딕"/>
            <family val="3"/>
            <charset val="129"/>
          </rPr>
          <t>ggulb:
2021.04.13.주당 200원 배당
2022.04.14.주당 300원 배당
2023.04.11.주당 200원 배당
2024.04.23 주당 150원 배당
2025.04.23 주당 250원 배당</t>
        </r>
      </text>
    </comment>
    <comment ref="N367" authorId="0" shapeId="0" xr:uid="{00000000-0006-0000-0100-000029000000}">
      <text>
        <r>
          <rPr>
            <sz val="11"/>
            <color indexed="8"/>
            <rFont val="맑은 고딕"/>
            <family val="3"/>
            <charset val="129"/>
          </rPr>
          <t>2022.04.14.주당 300원 배당
2023.04.11.주당 200원 배당
2024.04.23 주당 150원 배당
2025.04.23 주당 250원 배당</t>
        </r>
      </text>
    </comment>
    <comment ref="N368" authorId="0" shapeId="0" xr:uid="{00000000-0006-0000-0100-00002A000000}">
      <text>
        <r>
          <rPr>
            <sz val="11"/>
            <color indexed="8"/>
            <rFont val="맑은 고딕"/>
            <family val="3"/>
            <charset val="129"/>
          </rPr>
          <t xml:space="preserve">2025.04.23 주당 250원 배당
</t>
        </r>
      </text>
    </comment>
    <comment ref="N369" authorId="0" shapeId="0" xr:uid="{00000000-0006-0000-0100-00002B000000}">
      <text>
        <r>
          <rPr>
            <sz val="11"/>
            <color indexed="8"/>
            <rFont val="맑은 고딕"/>
            <family val="3"/>
            <charset val="129"/>
          </rPr>
          <t xml:space="preserve">2025.04.23 주당 250원 배당
</t>
        </r>
      </text>
    </comment>
    <comment ref="N370" authorId="0" shapeId="0" xr:uid="{00000000-0006-0000-0100-00002C000000}">
      <text>
        <r>
          <rPr>
            <sz val="11"/>
            <color indexed="8"/>
            <rFont val="맑은 고딕"/>
            <family val="3"/>
            <charset val="129"/>
          </rPr>
          <t xml:space="preserve">2025.04.23 주당 250원 배당
</t>
        </r>
      </text>
    </comment>
    <comment ref="N371" authorId="0" shapeId="0" xr:uid="{00000000-0006-0000-0100-00002D000000}">
      <text>
        <r>
          <rPr>
            <sz val="11"/>
            <color indexed="8"/>
            <rFont val="맑은 고딕"/>
            <family val="3"/>
            <charset val="129"/>
          </rPr>
          <t xml:space="preserve">2025.04.23 주당 250원 배당
</t>
        </r>
      </text>
    </comment>
    <comment ref="N372" authorId="0" shapeId="0" xr:uid="{00000000-0006-0000-0100-00002E000000}">
      <text>
        <r>
          <rPr>
            <sz val="11"/>
            <color indexed="8"/>
            <rFont val="맑은 고딕"/>
            <family val="3"/>
            <charset val="129"/>
          </rPr>
          <t xml:space="preserve">2025.04.23 주당 250원 배당
</t>
        </r>
      </text>
    </comment>
    <comment ref="N373" authorId="0" shapeId="0" xr:uid="{00000000-0006-0000-0100-00002F000000}">
      <text>
        <r>
          <rPr>
            <sz val="11"/>
            <color indexed="8"/>
            <rFont val="맑은 고딕"/>
            <family val="3"/>
            <charset val="129"/>
          </rPr>
          <t xml:space="preserve">2025.04.23 주당 250원 배당
</t>
        </r>
      </text>
    </comment>
    <comment ref="N374" authorId="0" shapeId="0" xr:uid="{00000000-0006-0000-0100-000030000000}">
      <text>
        <r>
          <rPr>
            <sz val="11"/>
            <color indexed="8"/>
            <rFont val="맑은 고딕"/>
            <family val="3"/>
            <charset val="129"/>
          </rPr>
          <t xml:space="preserve">2025.04.23 주당 250원 배당
</t>
        </r>
      </text>
    </comment>
    <comment ref="N375" authorId="0" shapeId="0" xr:uid="{00000000-0006-0000-0100-000031000000}">
      <text>
        <r>
          <rPr>
            <sz val="11"/>
            <color indexed="8"/>
            <rFont val="맑은 고딕"/>
            <family val="3"/>
            <charset val="129"/>
          </rPr>
          <t xml:space="preserve">2025.04.23 주당 250원 배당
</t>
        </r>
      </text>
    </comment>
    <comment ref="N376" authorId="0" shapeId="0" xr:uid="{00000000-0006-0000-0100-000032000000}">
      <text>
        <r>
          <rPr>
            <sz val="11"/>
            <color indexed="8"/>
            <rFont val="맑은 고딕"/>
            <family val="3"/>
            <charset val="129"/>
          </rPr>
          <t xml:space="preserve">2025.04.23 주당 250원 배당
</t>
        </r>
      </text>
    </comment>
    <comment ref="N377" authorId="0" shapeId="0" xr:uid="{00000000-0006-0000-0100-000033000000}">
      <text>
        <r>
          <rPr>
            <sz val="11"/>
            <color indexed="8"/>
            <rFont val="맑은 고딕"/>
            <family val="3"/>
            <charset val="129"/>
          </rPr>
          <t xml:space="preserve">2025.04.23 주당 250원 배당
</t>
        </r>
      </text>
    </comment>
    <comment ref="N378" authorId="0" shapeId="0" xr:uid="{00000000-0006-0000-0100-000034000000}">
      <text>
        <r>
          <rPr>
            <sz val="11"/>
            <color indexed="8"/>
            <rFont val="맑은 고딕"/>
            <family val="3"/>
            <charset val="129"/>
          </rPr>
          <t xml:space="preserve">2025.04.23 주당 250원 배당
</t>
        </r>
      </text>
    </comment>
    <comment ref="N379" authorId="0" shapeId="0" xr:uid="{00000000-0006-0000-0100-000035000000}">
      <text>
        <r>
          <rPr>
            <sz val="11"/>
            <color indexed="8"/>
            <rFont val="맑은 고딕"/>
            <family val="3"/>
            <charset val="129"/>
          </rPr>
          <t xml:space="preserve">2025.04.23 주당 250원 배당
</t>
        </r>
      </text>
    </comment>
    <comment ref="N473" authorId="0" shapeId="0" xr:uid="{00000000-0006-0000-0100-000036000000}">
      <text>
        <r>
          <rPr>
            <sz val="11"/>
            <color indexed="8"/>
            <rFont val="맑은 고딕"/>
            <family val="3"/>
            <charset val="129"/>
          </rPr>
          <t xml:space="preserve">2024.04.23 주당 180원 배당
2025.04.24 주당 180원 배당
</t>
        </r>
      </text>
    </comment>
    <comment ref="N474" authorId="0" shapeId="0" xr:uid="{00000000-0006-0000-0100-000037000000}">
      <text>
        <r>
          <rPr>
            <sz val="11"/>
            <color indexed="8"/>
            <rFont val="맑은 고딕"/>
            <family val="3"/>
            <charset val="129"/>
          </rPr>
          <t xml:space="preserve">2024.04.23 주당 180원 배당
2025.04.24 주당 180원 배당
</t>
        </r>
      </text>
    </comment>
    <comment ref="N475" authorId="0" shapeId="0" xr:uid="{00000000-0006-0000-0100-000038000000}">
      <text>
        <r>
          <rPr>
            <sz val="11"/>
            <color indexed="8"/>
            <rFont val="맑은 고딕"/>
            <family val="3"/>
            <charset val="129"/>
          </rPr>
          <t xml:space="preserve">2024.04.23 주당 180원 배당
2025.04.24 주당 180원 배당
</t>
        </r>
      </text>
    </comment>
    <comment ref="N476" authorId="0" shapeId="0" xr:uid="{00000000-0006-0000-0100-000039000000}">
      <text>
        <r>
          <rPr>
            <sz val="11"/>
            <color indexed="8"/>
            <rFont val="맑은 고딕"/>
            <family val="3"/>
            <charset val="129"/>
          </rPr>
          <t xml:space="preserve">2024.04.23 주당 180원 배당
2025.04.24 주당 180원 배당
</t>
        </r>
      </text>
    </comment>
    <comment ref="N477" authorId="0" shapeId="0" xr:uid="{00000000-0006-0000-0100-00003A000000}">
      <text>
        <r>
          <rPr>
            <sz val="11"/>
            <color indexed="8"/>
            <rFont val="맑은 고딕"/>
            <family val="3"/>
            <charset val="129"/>
          </rPr>
          <t xml:space="preserve">2025.04.24 주당 180원 배당
</t>
        </r>
      </text>
    </comment>
    <comment ref="N523" authorId="0" shapeId="0" xr:uid="{00000000-0006-0000-0100-00003B000000}">
      <text>
        <r>
          <rPr>
            <sz val="11"/>
            <color indexed="8"/>
            <rFont val="맑은 고딕"/>
            <family val="3"/>
            <charset val="129"/>
          </rPr>
          <t>2021/04/12 주당 2,250원</t>
        </r>
      </text>
    </comment>
    <comment ref="N524" authorId="0" shapeId="0" xr:uid="{00000000-0006-0000-0100-00003C000000}">
      <text>
        <r>
          <rPr>
            <sz val="11"/>
            <color indexed="8"/>
            <rFont val="맑은 고딕"/>
            <family val="3"/>
            <charset val="129"/>
          </rPr>
          <t>2021/04/12 주당 2,250원</t>
        </r>
      </text>
    </comment>
    <comment ref="N525" authorId="0" shapeId="0" xr:uid="{00000000-0006-0000-0100-00003D000000}">
      <text>
        <r>
          <rPr>
            <sz val="11"/>
            <color indexed="8"/>
            <rFont val="맑은 고딕"/>
            <family val="3"/>
            <charset val="129"/>
          </rPr>
          <t>2021/04/12 주당 2,250원</t>
        </r>
      </text>
    </comment>
    <comment ref="N526" authorId="0" shapeId="0" xr:uid="{00000000-0006-0000-0100-00003E000000}">
      <text>
        <r>
          <rPr>
            <sz val="11"/>
            <color indexed="8"/>
            <rFont val="맑은 고딕"/>
            <family val="3"/>
            <charset val="129"/>
          </rPr>
          <t>2021/04/12 주당 2,250원</t>
        </r>
      </text>
    </comment>
    <comment ref="N527" authorId="0" shapeId="0" xr:uid="{00000000-0006-0000-0100-00003F000000}">
      <text>
        <r>
          <rPr>
            <sz val="11"/>
            <color indexed="8"/>
            <rFont val="맑은 고딕"/>
            <family val="3"/>
            <charset val="129"/>
          </rPr>
          <t>2021/04/12 주당 2,250원</t>
        </r>
      </text>
    </comment>
    <comment ref="N528" authorId="0" shapeId="0" xr:uid="{00000000-0006-0000-0100-000040000000}">
      <text>
        <r>
          <rPr>
            <sz val="11"/>
            <color indexed="8"/>
            <rFont val="맑은 고딕"/>
            <family val="3"/>
            <charset val="129"/>
          </rPr>
          <t>2021/04/12 주당 2,250원</t>
        </r>
      </text>
    </comment>
    <comment ref="N543" authorId="2" shapeId="0" xr:uid="{00000000-0006-0000-0100-000041000000}">
      <text>
        <r>
          <rPr>
            <sz val="11"/>
            <color indexed="8"/>
            <rFont val="맑은 고딕"/>
            <family val="3"/>
            <charset val="129"/>
          </rPr>
          <t>주식배당 단주매각 대금(`19/4/23)
`20/4/24</t>
        </r>
      </text>
    </comment>
    <comment ref="N545" authorId="0" shapeId="0" xr:uid="{00000000-0006-0000-0100-000042000000}">
      <text>
        <r>
          <rPr>
            <sz val="11"/>
            <color indexed="8"/>
            <rFont val="맑은 고딕"/>
            <family val="3"/>
            <charset val="129"/>
          </rPr>
          <t>해외배당금
2021.12.09 Y2,200 (제세금 Y337)
2022.06.27 Y2,200 (제세금 Y337)
2022.12.09 Y2,200 (제세금 Y337)
2023.06.22 Y2,200 (제세금 Y337)
2023.12.08 Y2,200 (제세금 Y337)
2024.06.24 Y2,200 (제세금 Y337)
2024.12.03 Y2,200 (제세금 Y337)
2025.06.30 Y2,200 (제세금 Y337)</t>
        </r>
      </text>
    </comment>
    <comment ref="K641" authorId="1" shapeId="0" xr:uid="{00000000-0006-0000-0100-000043000000}">
      <text>
        <r>
          <rPr>
            <sz val="11"/>
            <color indexed="8"/>
            <rFont val="맑은 고딕"/>
            <family val="3"/>
            <charset val="129"/>
          </rPr>
          <t xml:space="preserve">HTS거래
0.4975% 수수료
</t>
        </r>
      </text>
    </comment>
    <comment ref="N649" authorId="0" shapeId="0" xr:uid="{00000000-0006-0000-0100-000044000000}">
      <text>
        <r>
          <rPr>
            <sz val="11"/>
            <color indexed="8"/>
            <rFont val="맑은 고딕"/>
            <family val="3"/>
            <charset val="129"/>
          </rPr>
          <t>채권이자
2025-01-31 이자33,830 제세금 2,510
2025-02-28 이자33,830 제세금 5,200</t>
        </r>
      </text>
    </comment>
    <comment ref="N650" authorId="0" shapeId="0" xr:uid="{00000000-0006-0000-0100-000045000000}">
      <text>
        <r>
          <rPr>
            <sz val="11"/>
            <color indexed="8"/>
            <rFont val="맑은 고딕"/>
            <family val="3"/>
            <charset val="129"/>
          </rPr>
          <t>채권이자
2025-01-21 이자 20,443 제세금 600
2025-02-21 이자 20,442 제세금 3,140
2025-03-21 이자 20,442 제세금 3,140
2025-04-21 이자 20,442 제세금 3,140
2025-05-21 이자 20,442 제세금 3,140
2025-06-20 이자 20,162 제세금 3,100</t>
        </r>
      </text>
    </comment>
    <comment ref="N693" authorId="0" shapeId="0" xr:uid="{00000000-0006-0000-0100-000046000000}">
      <text>
        <r>
          <rPr>
            <sz val="11"/>
            <color indexed="8"/>
            <rFont val="맑은 고딕"/>
            <family val="3"/>
            <charset val="129"/>
          </rPr>
          <t>2022.04.21 주당 400원 배당
2023.04.21 주당 300원 배당
2024.04.22 주당 150원 배당
2025.04.25 주당 300원 배당</t>
        </r>
      </text>
    </comment>
    <comment ref="N694" authorId="0" shapeId="0" xr:uid="{00000000-0006-0000-0100-000047000000}">
      <text>
        <r>
          <rPr>
            <sz val="11"/>
            <color indexed="8"/>
            <rFont val="맑은 고딕"/>
            <family val="3"/>
            <charset val="129"/>
          </rPr>
          <t>2022.04.21 주당 400원 배당
2023.04.21 주당 300원 배당
2024.04.22 주당 150원 배당
2025.04.25 주당 300원 배당</t>
        </r>
      </text>
    </comment>
    <comment ref="N695" authorId="0" shapeId="0" xr:uid="{00000000-0006-0000-0100-000048000000}">
      <text>
        <r>
          <rPr>
            <sz val="11"/>
            <color indexed="8"/>
            <rFont val="맑은 고딕"/>
            <family val="3"/>
            <charset val="129"/>
          </rPr>
          <t>2022.04.21 주당 400원 배당
2023.04.21 주당 300원 배당
2024.04.22 주당 150원 배당
2025.04.25 주당 300원 배당</t>
        </r>
      </text>
    </comment>
    <comment ref="N732" authorId="0" shapeId="0" xr:uid="{00000000-0006-0000-0100-000049000000}">
      <text>
        <r>
          <rPr>
            <sz val="11"/>
            <color indexed="8"/>
            <rFont val="맑은 고딕"/>
            <family val="3"/>
            <charset val="129"/>
          </rPr>
          <t>2021.04.23 주당 200원 배당</t>
        </r>
      </text>
    </comment>
    <comment ref="K748" authorId="1" shapeId="0" xr:uid="{00000000-0006-0000-0100-00004A000000}">
      <text>
        <r>
          <rPr>
            <sz val="11"/>
            <color indexed="8"/>
            <rFont val="맑은 고딕"/>
            <family val="3"/>
            <charset val="129"/>
          </rPr>
          <t xml:space="preserve">HTS거래
0.4975% 수수료
</t>
        </r>
      </text>
    </comment>
    <comment ref="N843" authorId="0" shapeId="0" xr:uid="{00000000-0006-0000-0100-00004B000000}">
      <text>
        <r>
          <rPr>
            <sz val="11"/>
            <color indexed="8"/>
            <rFont val="맑은 고딕"/>
            <family val="3"/>
            <charset val="129"/>
          </rPr>
          <t>이자
2020.03.02. (650-90)
2020.05.29. (650-90)
2020.08.31. (650-90)
2020.11.30. (650-90)
2021.03.02. (650-90)
2021.05.31. (650-90)
2021.08.30. (650-90)
2021.11.29. (650-90)
2022.02.28. (650-90)
2022.05.30. (650-90)
2022.08.29. (650-90)
2022.11.29. (650-90)
2023.02.28. (650-90)
2023.05.30. (650-90)
2023.08.29. (650-90)
2023.11.29. (650-90)
2024.02.29. (650-90)
2024.05.29. (650-90)
2024.08.29. (650-90)
2024.11.29. (650-90)</t>
        </r>
      </text>
    </comment>
    <comment ref="L848" authorId="0" shapeId="0" xr:uid="{00000000-0006-0000-0100-00004C000000}">
      <text>
        <r>
          <rPr>
            <sz val="11"/>
            <color indexed="8"/>
            <rFont val="맑은 고딕"/>
            <family val="3"/>
            <charset val="129"/>
          </rPr>
          <t xml:space="preserve">토스증권 수수료 무료
25.12.15~26.6.30
</t>
        </r>
      </text>
    </comment>
    <comment ref="L849" authorId="0" shapeId="0" xr:uid="{00000000-0006-0000-0100-00004D000000}">
      <text>
        <r>
          <rPr>
            <sz val="11"/>
            <color indexed="8"/>
            <rFont val="맑은 고딕"/>
            <family val="3"/>
            <charset val="129"/>
          </rPr>
          <t xml:space="preserve">토스증권 수수료 무료
25.12.15~26.6.30
</t>
        </r>
      </text>
    </comment>
    <comment ref="L850" authorId="0" shapeId="0" xr:uid="{00000000-0006-0000-0100-00004E000000}">
      <text>
        <r>
          <rPr>
            <sz val="11"/>
            <color indexed="8"/>
            <rFont val="맑은 고딕"/>
            <family val="3"/>
            <charset val="129"/>
          </rPr>
          <t xml:space="preserve">토스증권 수수료 무료
25.12.15~26.6.30
</t>
        </r>
      </text>
    </comment>
    <comment ref="L851" authorId="0" shapeId="0" xr:uid="{00000000-0006-0000-0100-00004F000000}">
      <text>
        <r>
          <rPr>
            <sz val="11"/>
            <color indexed="8"/>
            <rFont val="맑은 고딕"/>
            <family val="3"/>
            <charset val="129"/>
          </rPr>
          <t xml:space="preserve">토스증권 수수료 무료
25.12.15~26.6.30
</t>
        </r>
      </text>
    </comment>
    <comment ref="L852" authorId="0" shapeId="0" xr:uid="{00000000-0006-0000-0100-000050000000}">
      <text>
        <r>
          <rPr>
            <sz val="11"/>
            <color indexed="8"/>
            <rFont val="맑은 고딕"/>
            <family val="3"/>
            <charset val="129"/>
          </rPr>
          <t xml:space="preserve">토스증권 수수료 무료
25.12.15~26.6.30
</t>
        </r>
      </text>
    </comment>
    <comment ref="L853" authorId="0" shapeId="0" xr:uid="{00000000-0006-0000-0100-000051000000}">
      <text>
        <r>
          <rPr>
            <sz val="11"/>
            <color indexed="8"/>
            <rFont val="맑은 고딕"/>
            <family val="3"/>
            <charset val="129"/>
          </rPr>
          <t xml:space="preserve">토스증권 수수료 무료
25.12.15~26.6.30
</t>
        </r>
      </text>
    </comment>
    <comment ref="L854" authorId="0" shapeId="0" xr:uid="{00000000-0006-0000-0100-000052000000}">
      <text>
        <r>
          <rPr>
            <sz val="11"/>
            <color indexed="8"/>
            <rFont val="맑은 고딕"/>
            <family val="3"/>
            <charset val="129"/>
          </rPr>
          <t xml:space="preserve">토스증권 수수료 무료
25.12.15~26.6.30
</t>
        </r>
      </text>
    </comment>
    <comment ref="L855" authorId="0" shapeId="0" xr:uid="{00000000-0006-0000-0100-000053000000}">
      <text>
        <r>
          <rPr>
            <sz val="11"/>
            <color indexed="8"/>
            <rFont val="맑은 고딕"/>
            <family val="3"/>
            <charset val="129"/>
          </rPr>
          <t xml:space="preserve">토스증권 수수료 무료
25.12.15~26.6.30
</t>
        </r>
      </text>
    </comment>
    <comment ref="L856" authorId="0" shapeId="0" xr:uid="{00000000-0006-0000-0100-000054000000}">
      <text>
        <r>
          <rPr>
            <sz val="11"/>
            <color indexed="8"/>
            <rFont val="맑은 고딕"/>
            <family val="3"/>
            <charset val="129"/>
          </rPr>
          <t xml:space="preserve">토스증권 수수료 무료
25.12.15~26.6.30
</t>
        </r>
      </text>
    </comment>
    <comment ref="L857" authorId="0" shapeId="0" xr:uid="{00000000-0006-0000-0100-000055000000}">
      <text>
        <r>
          <rPr>
            <sz val="11"/>
            <color indexed="8"/>
            <rFont val="맑은 고딕"/>
            <family val="3"/>
            <charset val="129"/>
          </rPr>
          <t xml:space="preserve">토스증권 수수료 무료
25.12.15~26.6.30
</t>
        </r>
      </text>
    </comment>
    <comment ref="L858" authorId="0" shapeId="0" xr:uid="{00000000-0006-0000-0100-000056000000}">
      <text>
        <r>
          <rPr>
            <sz val="11"/>
            <color indexed="8"/>
            <rFont val="맑은 고딕"/>
            <family val="3"/>
            <charset val="129"/>
          </rPr>
          <t xml:space="preserve">토스증권 수수료 무료
25.12.15~26.6.30
</t>
        </r>
      </text>
    </comment>
    <comment ref="L859" authorId="0" shapeId="0" xr:uid="{00000000-0006-0000-0100-000057000000}">
      <text>
        <r>
          <rPr>
            <sz val="11"/>
            <color indexed="8"/>
            <rFont val="맑은 고딕"/>
            <family val="3"/>
            <charset val="129"/>
          </rPr>
          <t xml:space="preserve">토스증권 수수료 무료
25.12.15~26.6.30
</t>
        </r>
      </text>
    </comment>
    <comment ref="L860" authorId="0" shapeId="0" xr:uid="{00000000-0006-0000-0100-000058000000}">
      <text>
        <r>
          <rPr>
            <sz val="11"/>
            <color indexed="8"/>
            <rFont val="맑은 고딕"/>
            <family val="3"/>
            <charset val="129"/>
          </rPr>
          <t xml:space="preserve">토스증권 수수료 무료
25.12.15~26.6.30
</t>
        </r>
      </text>
    </comment>
    <comment ref="L861" authorId="0" shapeId="0" xr:uid="{00000000-0006-0000-0100-000059000000}">
      <text>
        <r>
          <rPr>
            <sz val="11"/>
            <color indexed="8"/>
            <rFont val="맑은 고딕"/>
            <family val="3"/>
            <charset val="129"/>
          </rPr>
          <t xml:space="preserve">토스증권 수수료 무료
25.12.15~26.6.30
</t>
        </r>
      </text>
    </comment>
    <comment ref="L862" authorId="0" shapeId="0" xr:uid="{00000000-0006-0000-0100-00005A000000}">
      <text>
        <r>
          <rPr>
            <sz val="11"/>
            <color indexed="8"/>
            <rFont val="맑은 고딕"/>
            <family val="3"/>
            <charset val="129"/>
          </rPr>
          <t xml:space="preserve">토스증권 수수료 무료
25.12.15~26.6.30
</t>
        </r>
      </text>
    </comment>
    <comment ref="L863" authorId="0" shapeId="0" xr:uid="{00000000-0006-0000-0100-00005B000000}">
      <text>
        <r>
          <rPr>
            <sz val="11"/>
            <color indexed="8"/>
            <rFont val="맑은 고딕"/>
            <family val="3"/>
            <charset val="129"/>
          </rPr>
          <t xml:space="preserve">토스증권 수수료 무료
25.12.15~26.6.30
</t>
        </r>
      </text>
    </comment>
    <comment ref="L864" authorId="0" shapeId="0" xr:uid="{00000000-0006-0000-0100-00005C000000}">
      <text>
        <r>
          <rPr>
            <sz val="11"/>
            <color indexed="8"/>
            <rFont val="맑은 고딕"/>
            <family val="3"/>
            <charset val="129"/>
          </rPr>
          <t xml:space="preserve">토스증권 수수료 무료
25.12.15~26.6.30
</t>
        </r>
      </text>
    </comment>
    <comment ref="L865" authorId="0" shapeId="0" xr:uid="{00000000-0006-0000-0100-00005D000000}">
      <text>
        <r>
          <rPr>
            <sz val="11"/>
            <color indexed="8"/>
            <rFont val="맑은 고딕"/>
            <family val="3"/>
            <charset val="129"/>
          </rPr>
          <t xml:space="preserve">토스증권 수수료 무료
25.12.15~26.6.30
</t>
        </r>
      </text>
    </comment>
    <comment ref="L866" authorId="0" shapeId="0" xr:uid="{00000000-0006-0000-0100-00005E000000}">
      <text>
        <r>
          <rPr>
            <sz val="11"/>
            <color indexed="8"/>
            <rFont val="맑은 고딕"/>
            <family val="3"/>
            <charset val="129"/>
          </rPr>
          <t xml:space="preserve">토스증권 수수료 무료
25.12.15~26.6.30
</t>
        </r>
      </text>
    </comment>
    <comment ref="K916" authorId="0" shapeId="0" xr:uid="{00000000-0006-0000-0100-00005F000000}">
      <text>
        <r>
          <rPr>
            <sz val="11"/>
            <color indexed="8"/>
            <rFont val="맑은 고딕"/>
            <family val="3"/>
            <charset val="129"/>
          </rPr>
          <t>유상증자 신주인수권 추가 매수
10주 x 5,000원</t>
        </r>
      </text>
    </comment>
    <comment ref="N917" authorId="0" shapeId="0" xr:uid="{00000000-0006-0000-0100-000060000000}">
      <text>
        <r>
          <rPr>
            <sz val="11"/>
            <color indexed="8"/>
            <rFont val="맑은 고딕"/>
            <family val="3"/>
            <charset val="129"/>
          </rPr>
          <t xml:space="preserve">무상단수주대금(4/29)
</t>
        </r>
      </text>
    </comment>
    <comment ref="K922" authorId="0" shapeId="0" xr:uid="{00000000-0006-0000-0100-000061000000}">
      <text>
        <r>
          <rPr>
            <sz val="11"/>
            <color indexed="8"/>
            <rFont val="맑은 고딕"/>
            <family val="3"/>
            <charset val="129"/>
          </rPr>
          <t>011386계좌 수수료율 0.18916
+ 약관대출 이자 연4%</t>
        </r>
      </text>
    </comment>
    <comment ref="K923" authorId="0" shapeId="0" xr:uid="{00000000-0006-0000-0100-000062000000}">
      <text>
        <r>
          <rPr>
            <sz val="11"/>
            <color indexed="8"/>
            <rFont val="맑은 고딕"/>
            <family val="3"/>
            <charset val="129"/>
          </rPr>
          <t>011386계좌 수수료율 0.18916
+ 약관대출 이자 연4%</t>
        </r>
      </text>
    </comment>
    <comment ref="N938" authorId="0" shapeId="0" xr:uid="{00000000-0006-0000-0100-000063000000}">
      <text>
        <r>
          <rPr>
            <sz val="11"/>
            <color indexed="8"/>
            <rFont val="맑은 고딕"/>
            <family val="3"/>
            <charset val="129"/>
          </rPr>
          <t>2021.04.27 주당 150원 배당</t>
        </r>
      </text>
    </comment>
    <comment ref="N939" authorId="0" shapeId="0" xr:uid="{00000000-0006-0000-0100-000064000000}">
      <text>
        <r>
          <rPr>
            <sz val="11"/>
            <color indexed="8"/>
            <rFont val="맑은 고딕"/>
            <family val="3"/>
            <charset val="129"/>
          </rPr>
          <t>2021.04.27 주당 150원 배당</t>
        </r>
      </text>
    </comment>
    <comment ref="N940" authorId="0" shapeId="0" xr:uid="{00000000-0006-0000-0100-000065000000}">
      <text>
        <r>
          <rPr>
            <sz val="11"/>
            <color indexed="8"/>
            <rFont val="맑은 고딕"/>
            <family val="3"/>
            <charset val="129"/>
          </rPr>
          <t>2021.04.27 주당 150원 배당</t>
        </r>
      </text>
    </comment>
    <comment ref="N941" authorId="0" shapeId="0" xr:uid="{00000000-0006-0000-0100-000066000000}">
      <text>
        <r>
          <rPr>
            <sz val="11"/>
            <color indexed="8"/>
            <rFont val="맑은 고딕"/>
            <family val="3"/>
            <charset val="129"/>
          </rPr>
          <t>2021.04.27 주당 150원 배당</t>
        </r>
      </text>
    </comment>
    <comment ref="N942" authorId="0" shapeId="0" xr:uid="{00000000-0006-0000-0100-000067000000}">
      <text>
        <r>
          <rPr>
            <sz val="11"/>
            <color indexed="8"/>
            <rFont val="맑은 고딕"/>
            <family val="3"/>
            <charset val="129"/>
          </rPr>
          <t>2021.04.27 주당 150원 배당</t>
        </r>
      </text>
    </comment>
    <comment ref="N951" authorId="0" shapeId="0" xr:uid="{00000000-0006-0000-0100-000068000000}">
      <text>
        <r>
          <rPr>
            <sz val="11"/>
            <color indexed="8"/>
            <rFont val="맑은 고딕"/>
            <family val="3"/>
            <charset val="129"/>
          </rPr>
          <t xml:space="preserve">합병 단주 대금
케이맥--&gt;HB솔루션 합병
</t>
        </r>
      </text>
    </comment>
    <comment ref="N1005" authorId="0" shapeId="0" xr:uid="{00000000-0006-0000-0100-000069000000}">
      <text>
        <r>
          <rPr>
            <sz val="11"/>
            <color indexed="8"/>
            <rFont val="맑은 고딕"/>
            <family val="3"/>
            <charset val="129"/>
          </rPr>
          <t>2021/04/12 주당 75원</t>
        </r>
      </text>
    </comment>
    <comment ref="N1017" authorId="0" shapeId="0" xr:uid="{00000000-0006-0000-0100-00006A000000}">
      <text>
        <r>
          <rPr>
            <sz val="11"/>
            <color indexed="8"/>
            <rFont val="맑은 고딕"/>
            <family val="3"/>
            <charset val="129"/>
          </rPr>
          <t>2025.04.11 주당 1800원 배당
2025.05.30 주당 906원 배당</t>
        </r>
      </text>
    </comment>
    <comment ref="N1018" authorId="0" shapeId="0" xr:uid="{00000000-0006-0000-0100-00006B000000}">
      <text>
        <r>
          <rPr>
            <sz val="11"/>
            <color indexed="8"/>
            <rFont val="맑은 고딕"/>
            <family val="3"/>
            <charset val="129"/>
          </rPr>
          <t>2025.04.11 주당 1800원 배당
2025.05.30 주당 906원 배당</t>
        </r>
      </text>
    </comment>
    <comment ref="N1019" authorId="0" shapeId="0" xr:uid="{00000000-0006-0000-0100-00006C000000}">
      <text>
        <r>
          <rPr>
            <sz val="11"/>
            <color indexed="8"/>
            <rFont val="맑은 고딕"/>
            <family val="3"/>
            <charset val="129"/>
          </rPr>
          <t xml:space="preserve">2025.05.30 주당 906원 배당
</t>
        </r>
      </text>
    </comment>
    <comment ref="N1020" authorId="0" shapeId="0" xr:uid="{00000000-0006-0000-0100-00006D000000}">
      <text>
        <r>
          <rPr>
            <sz val="11"/>
            <color indexed="8"/>
            <rFont val="맑은 고딕"/>
            <family val="3"/>
            <charset val="129"/>
          </rPr>
          <t xml:space="preserve">2025.05.30 주당 906원 배당
</t>
        </r>
      </text>
    </comment>
    <comment ref="N1021" authorId="0" shapeId="0" xr:uid="{00000000-0006-0000-0100-00006E000000}">
      <text>
        <r>
          <rPr>
            <sz val="11"/>
            <color indexed="8"/>
            <rFont val="맑은 고딕"/>
            <family val="3"/>
            <charset val="129"/>
          </rPr>
          <t xml:space="preserve">2025.05.30 주당 906원 배당
</t>
        </r>
      </text>
    </comment>
    <comment ref="N1022" authorId="0" shapeId="0" xr:uid="{00000000-0006-0000-0100-00006F000000}">
      <text>
        <r>
          <rPr>
            <sz val="11"/>
            <color indexed="8"/>
            <rFont val="맑은 고딕"/>
            <family val="3"/>
            <charset val="129"/>
          </rPr>
          <t xml:space="preserve">2025.05.30 주당 906원 배당
</t>
        </r>
      </text>
    </comment>
    <comment ref="N1023" authorId="0" shapeId="0" xr:uid="{00000000-0006-0000-0100-000070000000}">
      <text>
        <r>
          <rPr>
            <sz val="11"/>
            <color indexed="8"/>
            <rFont val="맑은 고딕"/>
            <family val="3"/>
            <charset val="129"/>
          </rPr>
          <t xml:space="preserve">2025.05.30 주당 906원 배당
</t>
        </r>
      </text>
    </comment>
    <comment ref="N1024" authorId="0" shapeId="0" xr:uid="{00000000-0006-0000-0100-000071000000}">
      <text>
        <r>
          <rPr>
            <sz val="11"/>
            <color indexed="8"/>
            <rFont val="맑은 고딕"/>
            <family val="3"/>
            <charset val="129"/>
          </rPr>
          <t xml:space="preserve">2025.05.30 주당 906원 배당
</t>
        </r>
      </text>
    </comment>
    <comment ref="N1025" authorId="0" shapeId="0" xr:uid="{00000000-0006-0000-0100-000072000000}">
      <text>
        <r>
          <rPr>
            <sz val="11"/>
            <color indexed="8"/>
            <rFont val="맑은 고딕"/>
            <family val="3"/>
            <charset val="129"/>
          </rPr>
          <t xml:space="preserve">2025.05.30 주당 906원 배당
</t>
        </r>
      </text>
    </comment>
    <comment ref="N1038" authorId="0" shapeId="0" xr:uid="{00000000-0006-0000-0100-000073000000}">
      <text>
        <r>
          <rPr>
            <sz val="11"/>
            <color indexed="8"/>
            <rFont val="맑은 고딕"/>
            <family val="3"/>
            <charset val="129"/>
          </rPr>
          <t>채권이자
2025-01-31 이자 15,782 제세금 440</t>
        </r>
      </text>
    </comment>
    <comment ref="N1040" authorId="0" shapeId="0" xr:uid="{00000000-0006-0000-0100-000074000000}">
      <text>
        <r>
          <rPr>
            <sz val="11"/>
            <color indexed="8"/>
            <rFont val="맑은 고딕"/>
            <family val="3"/>
            <charset val="129"/>
          </rPr>
          <t>2021.04.12 주당 345원 배당</t>
        </r>
      </text>
    </comment>
    <comment ref="N1041" authorId="0" shapeId="0" xr:uid="{00000000-0006-0000-0100-000075000000}">
      <text>
        <r>
          <rPr>
            <sz val="11"/>
            <color indexed="8"/>
            <rFont val="맑은 고딕"/>
            <family val="3"/>
            <charset val="129"/>
          </rPr>
          <t>2021.04.12 주당 345원 배당</t>
        </r>
      </text>
    </comment>
    <comment ref="L1069" authorId="0" shapeId="0" xr:uid="{00000000-0006-0000-0100-000076000000}">
      <text>
        <r>
          <rPr>
            <sz val="11"/>
            <color indexed="8"/>
            <rFont val="맑은 고딕"/>
            <family val="3"/>
            <charset val="129"/>
          </rPr>
          <t xml:space="preserve">토스증권 수수료 무료
25.12.15~26.6.30
</t>
        </r>
      </text>
    </comment>
    <comment ref="L1070" authorId="0" shapeId="0" xr:uid="{00000000-0006-0000-0100-000077000000}">
      <text>
        <r>
          <rPr>
            <sz val="11"/>
            <color indexed="8"/>
            <rFont val="맑은 고딕"/>
            <family val="3"/>
            <charset val="129"/>
          </rPr>
          <t xml:space="preserve">토스증권 수수료 무료
25.12.15~26.6.30
</t>
        </r>
      </text>
    </comment>
    <comment ref="L1071" authorId="0" shapeId="0" xr:uid="{00000000-0006-0000-0100-000078000000}">
      <text>
        <r>
          <rPr>
            <sz val="11"/>
            <color indexed="8"/>
            <rFont val="맑은 고딕"/>
            <family val="3"/>
            <charset val="129"/>
          </rPr>
          <t xml:space="preserve">토스증권 수수료 무료
25.12.15~26.6.30
</t>
        </r>
      </text>
    </comment>
    <comment ref="L1072" authorId="0" shapeId="0" xr:uid="{00000000-0006-0000-0100-000079000000}">
      <text>
        <r>
          <rPr>
            <sz val="11"/>
            <color indexed="8"/>
            <rFont val="맑은 고딕"/>
            <family val="3"/>
            <charset val="129"/>
          </rPr>
          <t xml:space="preserve">토스증권 수수료 무료
25.12.15~26.6.30
</t>
        </r>
      </text>
    </comment>
    <comment ref="L1073" authorId="0" shapeId="0" xr:uid="{00000000-0006-0000-0100-00007A000000}">
      <text>
        <r>
          <rPr>
            <sz val="11"/>
            <color indexed="8"/>
            <rFont val="맑은 고딕"/>
            <family val="3"/>
            <charset val="129"/>
          </rPr>
          <t xml:space="preserve">토스증권 수수료 무료
25.12.15~26.6.30
</t>
        </r>
      </text>
    </comment>
    <comment ref="L1074" authorId="0" shapeId="0" xr:uid="{00000000-0006-0000-0100-00007B000000}">
      <text>
        <r>
          <rPr>
            <sz val="11"/>
            <color indexed="8"/>
            <rFont val="맑은 고딕"/>
            <family val="3"/>
            <charset val="129"/>
          </rPr>
          <t xml:space="preserve">토스증권 수수료 무료
25.12.15~26.6.30
</t>
        </r>
      </text>
    </comment>
    <comment ref="L1075" authorId="0" shapeId="0" xr:uid="{00000000-0006-0000-0100-00007C000000}">
      <text>
        <r>
          <rPr>
            <sz val="11"/>
            <color indexed="8"/>
            <rFont val="맑은 고딕"/>
            <family val="3"/>
            <charset val="129"/>
          </rPr>
          <t xml:space="preserve">토스증권 수수료 무료
25.12.15~26.6.30
</t>
        </r>
      </text>
    </comment>
    <comment ref="L1076" authorId="0" shapeId="0" xr:uid="{00000000-0006-0000-0100-00007D000000}">
      <text>
        <r>
          <rPr>
            <sz val="11"/>
            <color indexed="8"/>
            <rFont val="맑은 고딕"/>
            <family val="3"/>
            <charset val="129"/>
          </rPr>
          <t xml:space="preserve">토스증권 수수료 무료
25.12.15~26.6.30
</t>
        </r>
      </text>
    </comment>
    <comment ref="L1077" authorId="0" shapeId="0" xr:uid="{00000000-0006-0000-0100-00007E000000}">
      <text>
        <r>
          <rPr>
            <sz val="11"/>
            <color indexed="8"/>
            <rFont val="맑은 고딕"/>
            <family val="3"/>
            <charset val="129"/>
          </rPr>
          <t xml:space="preserve">토스증권 수수료 무료
25.12.15~26.6.30
</t>
        </r>
      </text>
    </comment>
    <comment ref="L1078" authorId="0" shapeId="0" xr:uid="{00000000-0006-0000-0100-00007F000000}">
      <text>
        <r>
          <rPr>
            <sz val="11"/>
            <color indexed="8"/>
            <rFont val="맑은 고딕"/>
            <family val="3"/>
            <charset val="129"/>
          </rPr>
          <t xml:space="preserve">토스증권 수수료 무료
25.12.15~26.6.30
</t>
        </r>
      </text>
    </comment>
    <comment ref="K1079" authorId="0" shapeId="0" xr:uid="{00000000-0006-0000-0100-000080000000}">
      <text>
        <r>
          <rPr>
            <sz val="11"/>
            <color indexed="8"/>
            <rFont val="맑은 고딕"/>
            <family val="3"/>
            <charset val="129"/>
          </rPr>
          <t xml:space="preserve">토스증권 수수료 무료
25.12.15~26.6.30
</t>
        </r>
      </text>
    </comment>
    <comment ref="L1079" authorId="0" shapeId="0" xr:uid="{00000000-0006-0000-0100-000081000000}">
      <text>
        <r>
          <rPr>
            <sz val="11"/>
            <color indexed="8"/>
            <rFont val="맑은 고딕"/>
            <family val="3"/>
            <charset val="129"/>
          </rPr>
          <t xml:space="preserve">토스증권 수수료 무료
25.12.15~26.6.30
</t>
        </r>
      </text>
    </comment>
    <comment ref="K1080" authorId="0" shapeId="0" xr:uid="{00000000-0006-0000-0100-000082000000}">
      <text>
        <r>
          <rPr>
            <sz val="11"/>
            <color indexed="8"/>
            <rFont val="맑은 고딕"/>
            <family val="3"/>
            <charset val="129"/>
          </rPr>
          <t xml:space="preserve">토스증권 수수료 무료
25.12.15~26.6.30
</t>
        </r>
      </text>
    </comment>
    <comment ref="L1080" authorId="0" shapeId="0" xr:uid="{00000000-0006-0000-0100-000083000000}">
      <text>
        <r>
          <rPr>
            <sz val="11"/>
            <color indexed="8"/>
            <rFont val="맑은 고딕"/>
            <family val="3"/>
            <charset val="129"/>
          </rPr>
          <t xml:space="preserve">토스증권 수수료 무료
25.12.15~26.6.30
</t>
        </r>
      </text>
    </comment>
    <comment ref="K1160" authorId="0" shapeId="0" xr:uid="{00000000-0006-0000-0100-000084000000}">
      <text>
        <r>
          <rPr>
            <sz val="11"/>
            <color indexed="8"/>
            <rFont val="맑은 고딕"/>
            <family val="3"/>
            <charset val="129"/>
          </rPr>
          <t>011386계좌 수수료율 0.18916
+ 약관대출 이자 연4%</t>
        </r>
      </text>
    </comment>
    <comment ref="N1195" authorId="0" shapeId="0" xr:uid="{00000000-0006-0000-0100-000085000000}">
      <text>
        <r>
          <rPr>
            <sz val="11"/>
            <color indexed="8"/>
            <rFont val="맑은 고딕"/>
            <family val="3"/>
            <charset val="129"/>
          </rPr>
          <t xml:space="preserve">2023/08/14 주당 1,500원 (제세금 없음)
2023/11/14 주당 1,500원 (제세금 없음)
</t>
        </r>
      </text>
    </comment>
    <comment ref="N1196" authorId="0" shapeId="0" xr:uid="{00000000-0006-0000-0100-000086000000}">
      <text>
        <r>
          <rPr>
            <sz val="11"/>
            <color indexed="8"/>
            <rFont val="맑은 고딕"/>
            <family val="3"/>
            <charset val="129"/>
          </rPr>
          <t xml:space="preserve">2023/08/14 주당 1,500원 (제세금 없음)
2023/11/14 주당 1,500원 (제세금 없음)
</t>
        </r>
      </text>
    </comment>
    <comment ref="N1200" authorId="0" shapeId="0" xr:uid="{00000000-0006-0000-0100-000087000000}">
      <text>
        <r>
          <rPr>
            <sz val="11"/>
            <color indexed="8"/>
            <rFont val="맑은 고딕"/>
            <family val="3"/>
            <charset val="129"/>
          </rPr>
          <t>2025-06-30 주당 2,500원 배당</t>
        </r>
      </text>
    </comment>
    <comment ref="N1201" authorId="0" shapeId="0" xr:uid="{00000000-0006-0000-0100-000088000000}">
      <text>
        <r>
          <rPr>
            <sz val="11"/>
            <color indexed="8"/>
            <rFont val="맑은 고딕"/>
            <family val="3"/>
            <charset val="129"/>
          </rPr>
          <t>2025-06-30 주당 2,500원 배당</t>
        </r>
      </text>
    </comment>
    <comment ref="N1202" authorId="0" shapeId="0" xr:uid="{00000000-0006-0000-0100-000089000000}">
      <text>
        <r>
          <rPr>
            <sz val="11"/>
            <color indexed="8"/>
            <rFont val="맑은 고딕"/>
            <family val="3"/>
            <charset val="129"/>
          </rPr>
          <t>2025-06-30 주당 2,500원 배당</t>
        </r>
      </text>
    </comment>
    <comment ref="N1203" authorId="0" shapeId="0" xr:uid="{00000000-0006-0000-0100-00008A000000}">
      <text>
        <r>
          <rPr>
            <sz val="11"/>
            <color indexed="8"/>
            <rFont val="맑은 고딕"/>
            <family val="3"/>
            <charset val="129"/>
          </rPr>
          <t>2025-06-30 주당 2,500원 배당</t>
        </r>
      </text>
    </comment>
    <comment ref="N1204" authorId="0" shapeId="0" xr:uid="{00000000-0006-0000-0100-00008B000000}">
      <text>
        <r>
          <rPr>
            <sz val="11"/>
            <color indexed="8"/>
            <rFont val="맑은 고딕"/>
            <family val="3"/>
            <charset val="129"/>
          </rPr>
          <t>2025-06-30 주당 2,500원 배당</t>
        </r>
      </text>
    </comment>
    <comment ref="N1205" authorId="0" shapeId="0" xr:uid="{00000000-0006-0000-0100-00008C000000}">
      <text>
        <r>
          <rPr>
            <sz val="11"/>
            <color indexed="8"/>
            <rFont val="맑은 고딕"/>
            <family val="3"/>
            <charset val="129"/>
          </rPr>
          <t>2025-06-30 주당 2,500원 배당</t>
        </r>
      </text>
    </comment>
    <comment ref="N1206" authorId="0" shapeId="0" xr:uid="{00000000-0006-0000-0100-00008D000000}">
      <text>
        <r>
          <rPr>
            <sz val="11"/>
            <color indexed="8"/>
            <rFont val="맑은 고딕"/>
            <family val="3"/>
            <charset val="129"/>
          </rPr>
          <t>2025-06-30 주당 2,500원 배당</t>
        </r>
      </text>
    </comment>
    <comment ref="N1207" authorId="0" shapeId="0" xr:uid="{00000000-0006-0000-0100-00008E000000}">
      <text>
        <r>
          <rPr>
            <sz val="11"/>
            <color indexed="8"/>
            <rFont val="맑은 고딕"/>
            <family val="3"/>
            <charset val="129"/>
          </rPr>
          <t>2025-06-30 주당 2,500원 배당</t>
        </r>
      </text>
    </comment>
    <comment ref="N1208" authorId="0" shapeId="0" xr:uid="{00000000-0006-0000-0100-00008F000000}">
      <text>
        <r>
          <rPr>
            <sz val="11"/>
            <color indexed="8"/>
            <rFont val="맑은 고딕"/>
            <family val="3"/>
            <charset val="129"/>
          </rPr>
          <t>2025-05-30 분기배당 주당 2,500원</t>
        </r>
      </text>
    </comment>
    <comment ref="N1209" authorId="0" shapeId="0" xr:uid="{00000000-0006-0000-0100-000090000000}">
      <text>
        <r>
          <rPr>
            <sz val="11"/>
            <color indexed="8"/>
            <rFont val="맑은 고딕"/>
            <family val="3"/>
            <charset val="129"/>
          </rPr>
          <t>2025-05-30 분기배당 주당 2,500원</t>
        </r>
      </text>
    </comment>
    <comment ref="N1210" authorId="0" shapeId="0" xr:uid="{00000000-0006-0000-0100-000091000000}">
      <text>
        <r>
          <rPr>
            <sz val="11"/>
            <color indexed="8"/>
            <rFont val="맑은 고딕"/>
            <family val="3"/>
            <charset val="129"/>
          </rPr>
          <t>2025-05-30 분기배당 주당 2,500원</t>
        </r>
      </text>
    </comment>
    <comment ref="N1211" authorId="0" shapeId="0" xr:uid="{00000000-0006-0000-0100-000092000000}">
      <text>
        <r>
          <rPr>
            <sz val="11"/>
            <color indexed="8"/>
            <rFont val="맑은 고딕"/>
            <family val="3"/>
            <charset val="129"/>
          </rPr>
          <t>2025-05-30 분기배당 주당 2,500원</t>
        </r>
      </text>
    </comment>
    <comment ref="N1242" authorId="0" shapeId="0" xr:uid="{00000000-0006-0000-0100-000093000000}">
      <text>
        <r>
          <rPr>
            <sz val="11"/>
            <color indexed="8"/>
            <rFont val="맑은 고딕"/>
            <family val="3"/>
            <charset val="129"/>
          </rPr>
          <t>ggulb:
배당</t>
        </r>
      </text>
    </comment>
    <comment ref="N1243" authorId="0" shapeId="0" xr:uid="{00000000-0006-0000-0100-000094000000}">
      <text>
        <r>
          <rPr>
            <sz val="11"/>
            <color indexed="8"/>
            <rFont val="맑은 고딕"/>
            <family val="3"/>
            <charset val="129"/>
          </rPr>
          <t>ggulb:
단수주대금</t>
        </r>
      </text>
    </comment>
    <comment ref="N1246" authorId="0" shapeId="0" xr:uid="{00000000-0006-0000-0100-000095000000}">
      <text>
        <r>
          <rPr>
            <sz val="11"/>
            <color indexed="8"/>
            <rFont val="맑은 고딕"/>
            <family val="3"/>
            <charset val="129"/>
          </rPr>
          <t>ggulb:
배당</t>
        </r>
      </text>
    </comment>
    <comment ref="N1247" authorId="0" shapeId="0" xr:uid="{00000000-0006-0000-0100-000096000000}">
      <text>
        <r>
          <rPr>
            <sz val="11"/>
            <color indexed="8"/>
            <rFont val="맑은 고딕"/>
            <family val="3"/>
            <charset val="129"/>
          </rPr>
          <t xml:space="preserve">ggulb:
배당
</t>
        </r>
      </text>
    </comment>
    <comment ref="N1251" authorId="0" shapeId="0" xr:uid="{00000000-0006-0000-0100-000097000000}">
      <text>
        <r>
          <rPr>
            <sz val="11"/>
            <color indexed="8"/>
            <rFont val="맑은 고딕"/>
            <family val="3"/>
            <charset val="129"/>
          </rPr>
          <t>ggulb:
23년+24년 배당</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ggulb</author>
    <author>정민준</author>
  </authors>
  <commentList>
    <comment ref="N4" authorId="0" shapeId="0" xr:uid="{00000000-0006-0000-0200-000001000000}">
      <text>
        <r>
          <rPr>
            <sz val="11"/>
            <color indexed="8"/>
            <rFont val="맑은 고딕"/>
            <family val="3"/>
            <charset val="129"/>
          </rPr>
          <t>배당금
26.01.05 주당 236원</t>
        </r>
      </text>
    </comment>
    <comment ref="N8" authorId="0" shapeId="0" xr:uid="{00000000-0006-0000-0200-000002000000}">
      <text>
        <r>
          <rPr>
            <sz val="11"/>
            <color indexed="8"/>
            <rFont val="맑은 고딕"/>
            <family val="3"/>
            <charset val="129"/>
          </rPr>
          <t>배당금
25.8.20 주당 750원
26.4.23 주당 1100원</t>
        </r>
      </text>
    </comment>
    <comment ref="N9" authorId="1" shapeId="0" xr:uid="{00000000-0006-0000-0200-000003000000}">
      <text>
        <r>
          <rPr>
            <sz val="11"/>
            <color indexed="8"/>
            <rFont val="맑은 고딕"/>
            <family val="3"/>
            <charset val="129"/>
          </rPr>
          <t xml:space="preserve">2026-03-30 주당 1100원
</t>
        </r>
      </text>
    </comment>
    <comment ref="N10" authorId="1" shapeId="0" xr:uid="{00000000-0006-0000-0200-000004000000}">
      <text>
        <r>
          <rPr>
            <sz val="11"/>
            <color indexed="8"/>
            <rFont val="맑은 고딕"/>
            <family val="3"/>
            <charset val="129"/>
          </rPr>
          <t xml:space="preserve">2026-03-30 주당 1100원
</t>
        </r>
      </text>
    </comment>
    <comment ref="N11" authorId="1" shapeId="0" xr:uid="{00000000-0006-0000-0200-000005000000}">
      <text>
        <r>
          <rPr>
            <sz val="11"/>
            <color indexed="8"/>
            <rFont val="맑은 고딕"/>
            <family val="3"/>
            <charset val="129"/>
          </rPr>
          <t xml:space="preserve">2026-03-30 주당 1100원
</t>
        </r>
      </text>
    </comment>
    <comment ref="N12" authorId="1" shapeId="0" xr:uid="{00000000-0006-0000-0200-000006000000}">
      <text>
        <r>
          <rPr>
            <sz val="11"/>
            <color indexed="8"/>
            <rFont val="맑은 고딕"/>
            <family val="3"/>
            <charset val="129"/>
          </rPr>
          <t xml:space="preserve">2026-03-30 주당 1100원
</t>
        </r>
      </text>
    </comment>
    <comment ref="N13" authorId="1" shapeId="0" xr:uid="{00000000-0006-0000-0200-000007000000}">
      <text>
        <r>
          <rPr>
            <sz val="11"/>
            <color indexed="8"/>
            <rFont val="맑은 고딕"/>
            <family val="3"/>
            <charset val="129"/>
          </rPr>
          <t xml:space="preserve">2026-03-30 주당 1100원
</t>
        </r>
      </text>
    </comment>
    <comment ref="N14" authorId="1" shapeId="0" xr:uid="{00000000-0006-0000-0200-000008000000}">
      <text>
        <r>
          <rPr>
            <sz val="11"/>
            <color indexed="8"/>
            <rFont val="맑은 고딕"/>
            <family val="3"/>
            <charset val="129"/>
          </rPr>
          <t xml:space="preserve">2026-03-30 주당 1100원
</t>
        </r>
      </text>
    </comment>
    <comment ref="N15" authorId="1" shapeId="0" xr:uid="{00000000-0006-0000-0200-000009000000}">
      <text>
        <r>
          <rPr>
            <sz val="11"/>
            <color indexed="8"/>
            <rFont val="맑은 고딕"/>
            <family val="3"/>
            <charset val="129"/>
          </rPr>
          <t xml:space="preserve">2026-03-30 주당 1100원
</t>
        </r>
      </text>
    </comment>
    <comment ref="N16" authorId="1" shapeId="0" xr:uid="{00000000-0006-0000-0200-00000A000000}">
      <text>
        <r>
          <rPr>
            <sz val="11"/>
            <color indexed="8"/>
            <rFont val="맑은 고딕"/>
            <family val="3"/>
            <charset val="129"/>
          </rPr>
          <t xml:space="preserve">2026-03-30 주당 1100원
</t>
        </r>
      </text>
    </comment>
    <comment ref="N17" authorId="1" shapeId="0" xr:uid="{00000000-0006-0000-0200-00000B000000}">
      <text>
        <r>
          <rPr>
            <sz val="11"/>
            <color indexed="8"/>
            <rFont val="맑은 고딕"/>
            <family val="3"/>
            <charset val="129"/>
          </rPr>
          <t xml:space="preserve">2026-03-30 주당 1100원
</t>
        </r>
      </text>
    </comment>
    <comment ref="N18" authorId="1" shapeId="0" xr:uid="{00000000-0006-0000-0200-00000C000000}">
      <text>
        <r>
          <rPr>
            <sz val="11"/>
            <color indexed="8"/>
            <rFont val="맑은 고딕"/>
            <family val="3"/>
            <charset val="129"/>
          </rPr>
          <t xml:space="preserve">2026-03-30 주당 1100원
</t>
        </r>
      </text>
    </comment>
    <comment ref="N19" authorId="1" shapeId="0" xr:uid="{00000000-0006-0000-0200-00000D000000}">
      <text>
        <r>
          <rPr>
            <sz val="11"/>
            <color indexed="8"/>
            <rFont val="맑은 고딕"/>
            <family val="3"/>
            <charset val="129"/>
          </rPr>
          <t xml:space="preserve">2026-03-30 주당 1100원
</t>
        </r>
      </text>
    </comment>
    <comment ref="N20" authorId="1" shapeId="0" xr:uid="{00000000-0006-0000-0200-00000E000000}">
      <text>
        <r>
          <rPr>
            <sz val="11"/>
            <color indexed="8"/>
            <rFont val="맑은 고딕"/>
            <family val="3"/>
            <charset val="129"/>
          </rPr>
          <t xml:space="preserve">2026-03-30 주당 1100원
</t>
        </r>
      </text>
    </comment>
    <comment ref="N21" authorId="1" shapeId="0" xr:uid="{00000000-0006-0000-0200-00000F000000}">
      <text>
        <r>
          <rPr>
            <sz val="11"/>
            <color indexed="8"/>
            <rFont val="맑은 고딕"/>
            <family val="3"/>
            <charset val="129"/>
          </rPr>
          <t xml:space="preserve">2026-03-30 주당 1100원
</t>
        </r>
      </text>
    </comment>
    <comment ref="N22" authorId="1" shapeId="0" xr:uid="{00000000-0006-0000-0200-000010000000}">
      <text>
        <r>
          <rPr>
            <sz val="11"/>
            <color indexed="8"/>
            <rFont val="맑은 고딕"/>
            <family val="3"/>
            <charset val="129"/>
          </rPr>
          <t xml:space="preserve">2026-03-30 주당 1100원
</t>
        </r>
      </text>
    </comment>
    <comment ref="K26" authorId="0" shapeId="0" xr:uid="{00000000-0006-0000-0200-000011000000}">
      <text>
        <r>
          <rPr>
            <sz val="11"/>
            <color indexed="8"/>
            <rFont val="맑은 고딕"/>
            <family val="3"/>
            <charset val="129"/>
          </rPr>
          <t xml:space="preserve">토스증권 수수료 무료
25.12.15~26.6.30
</t>
        </r>
      </text>
    </comment>
    <comment ref="L26" authorId="0" shapeId="0" xr:uid="{00000000-0006-0000-0200-000012000000}">
      <text>
        <r>
          <rPr>
            <sz val="11"/>
            <color indexed="8"/>
            <rFont val="맑은 고딕"/>
            <family val="3"/>
            <charset val="129"/>
          </rPr>
          <t xml:space="preserve">토스증권 수수료 무료
25.12.15~26.6.30
</t>
        </r>
      </text>
    </comment>
    <comment ref="K27" authorId="0" shapeId="0" xr:uid="{00000000-0006-0000-0200-000013000000}">
      <text>
        <r>
          <rPr>
            <sz val="11"/>
            <color indexed="8"/>
            <rFont val="맑은 고딕"/>
            <family val="3"/>
            <charset val="129"/>
          </rPr>
          <t xml:space="preserve">토스증권 수수료 무료
25.12.15~26.6.30
</t>
        </r>
      </text>
    </comment>
    <comment ref="L27" authorId="0" shapeId="0" xr:uid="{00000000-0006-0000-0200-000014000000}">
      <text>
        <r>
          <rPr>
            <sz val="11"/>
            <color indexed="8"/>
            <rFont val="맑은 고딕"/>
            <family val="3"/>
            <charset val="129"/>
          </rPr>
          <t xml:space="preserve">토스증권 수수료 무료
25.12.15~26.6.30
</t>
        </r>
      </text>
    </comment>
    <comment ref="L44" authorId="0" shapeId="0" xr:uid="{00000000-0006-0000-0200-000015000000}">
      <text>
        <r>
          <rPr>
            <sz val="11"/>
            <color indexed="8"/>
            <rFont val="맑은 고딕"/>
            <family val="3"/>
            <charset val="129"/>
          </rPr>
          <t xml:space="preserve">토스증권 수수료 무료
25.12.15~26.6.30
</t>
        </r>
      </text>
    </comment>
    <comment ref="N44" authorId="1" shapeId="0" xr:uid="{00000000-0006-0000-0200-000016000000}">
      <text>
        <r>
          <rPr>
            <sz val="11"/>
            <color indexed="8"/>
            <rFont val="맑은 고딕"/>
            <family val="3"/>
            <charset val="129"/>
          </rPr>
          <t>2026-04-23 주당 200원 배당</t>
        </r>
      </text>
    </comment>
    <comment ref="N45" authorId="1" shapeId="0" xr:uid="{00000000-0006-0000-0200-000017000000}">
      <text>
        <r>
          <rPr>
            <sz val="11"/>
            <color indexed="8"/>
            <rFont val="맑은 고딕"/>
            <family val="3"/>
            <charset val="129"/>
          </rPr>
          <t>2026-04-23 주당 200원 배당</t>
        </r>
      </text>
    </comment>
    <comment ref="N46" authorId="1" shapeId="0" xr:uid="{00000000-0006-0000-0200-000018000000}">
      <text>
        <r>
          <rPr>
            <sz val="11"/>
            <color indexed="8"/>
            <rFont val="맑은 고딕"/>
            <family val="3"/>
            <charset val="129"/>
          </rPr>
          <t>2026-04-23 주당 200원 배당</t>
        </r>
      </text>
    </comment>
    <comment ref="N47" authorId="1" shapeId="0" xr:uid="{00000000-0006-0000-0200-000019000000}">
      <text>
        <r>
          <rPr>
            <sz val="11"/>
            <color indexed="8"/>
            <rFont val="맑은 고딕"/>
            <family val="3"/>
            <charset val="129"/>
          </rPr>
          <t>2026-04-23 주당 200원 배당</t>
        </r>
      </text>
    </comment>
    <comment ref="L48" authorId="0" shapeId="0" xr:uid="{00000000-0006-0000-0200-00001A000000}">
      <text>
        <r>
          <rPr>
            <sz val="11"/>
            <color indexed="8"/>
            <rFont val="맑은 고딕"/>
            <family val="3"/>
            <charset val="129"/>
          </rPr>
          <t xml:space="preserve">토스증권 수수료 무료
25.12.15~26.6.30
</t>
        </r>
      </text>
    </comment>
    <comment ref="N48" authorId="1" shapeId="0" xr:uid="{00000000-0006-0000-0200-00001B000000}">
      <text>
        <r>
          <rPr>
            <sz val="11"/>
            <color indexed="8"/>
            <rFont val="맑은 고딕"/>
            <family val="3"/>
            <charset val="129"/>
          </rPr>
          <t>2026-04-23 주당 200원 배당</t>
        </r>
      </text>
    </comment>
    <comment ref="L49" authorId="0" shapeId="0" xr:uid="{00000000-0006-0000-0200-00001C000000}">
      <text>
        <r>
          <rPr>
            <sz val="11"/>
            <color indexed="8"/>
            <rFont val="맑은 고딕"/>
            <family val="3"/>
            <charset val="129"/>
          </rPr>
          <t xml:space="preserve">토스증권 수수료 무료
25.12.15~26.6.30
</t>
        </r>
      </text>
    </comment>
    <comment ref="N49" authorId="1" shapeId="0" xr:uid="{00000000-0006-0000-0200-00001D000000}">
      <text>
        <r>
          <rPr>
            <sz val="11"/>
            <color indexed="8"/>
            <rFont val="맑은 고딕"/>
            <family val="3"/>
            <charset val="129"/>
          </rPr>
          <t>2026-04-23 주당 200원 배당</t>
        </r>
      </text>
    </comment>
    <comment ref="L50" authorId="0" shapeId="0" xr:uid="{00000000-0006-0000-0200-00001E000000}">
      <text>
        <r>
          <rPr>
            <sz val="11"/>
            <color indexed="8"/>
            <rFont val="맑은 고딕"/>
            <family val="3"/>
            <charset val="129"/>
          </rPr>
          <t xml:space="preserve">토스증권 수수료 무료
25.12.15~26.6.30
</t>
        </r>
      </text>
    </comment>
    <comment ref="N50" authorId="1" shapeId="0" xr:uid="{00000000-0006-0000-0200-00001F000000}">
      <text>
        <r>
          <rPr>
            <sz val="11"/>
            <color indexed="8"/>
            <rFont val="맑은 고딕"/>
            <family val="3"/>
            <charset val="129"/>
          </rPr>
          <t>2026-04-23 주당 200원 배당</t>
        </r>
      </text>
    </comment>
    <comment ref="L51" authorId="0" shapeId="0" xr:uid="{00000000-0006-0000-0200-000020000000}">
      <text>
        <r>
          <rPr>
            <sz val="11"/>
            <color indexed="8"/>
            <rFont val="맑은 고딕"/>
            <family val="3"/>
            <charset val="129"/>
          </rPr>
          <t xml:space="preserve">토스증권 수수료 무료
25.12.15~26.6.30
</t>
        </r>
      </text>
    </comment>
    <comment ref="N51" authorId="1" shapeId="0" xr:uid="{00000000-0006-0000-0200-000021000000}">
      <text>
        <r>
          <rPr>
            <sz val="11"/>
            <color indexed="8"/>
            <rFont val="맑은 고딕"/>
            <family val="3"/>
            <charset val="129"/>
          </rPr>
          <t>2026-04-23 주당 200원 배당</t>
        </r>
      </text>
    </comment>
    <comment ref="L52" authorId="0" shapeId="0" xr:uid="{00000000-0006-0000-0200-000022000000}">
      <text>
        <r>
          <rPr>
            <sz val="11"/>
            <color indexed="8"/>
            <rFont val="맑은 고딕"/>
            <family val="3"/>
            <charset val="129"/>
          </rPr>
          <t xml:space="preserve">토스증권 수수료 무료
25.12.15~26.6.30
</t>
        </r>
      </text>
    </comment>
    <comment ref="N52" authorId="1" shapeId="0" xr:uid="{00000000-0006-0000-0200-000023000000}">
      <text>
        <r>
          <rPr>
            <sz val="11"/>
            <color indexed="8"/>
            <rFont val="맑은 고딕"/>
            <family val="3"/>
            <charset val="129"/>
          </rPr>
          <t>2026-04-23 주당 200원 배당</t>
        </r>
      </text>
    </comment>
    <comment ref="L53" authorId="0" shapeId="0" xr:uid="{00000000-0006-0000-0200-000024000000}">
      <text>
        <r>
          <rPr>
            <sz val="11"/>
            <color indexed="8"/>
            <rFont val="맑은 고딕"/>
            <family val="3"/>
            <charset val="129"/>
          </rPr>
          <t xml:space="preserve">토스증권 수수료 무료
25.12.15~26.6.30
</t>
        </r>
      </text>
    </comment>
    <comment ref="N53" authorId="1" shapeId="0" xr:uid="{00000000-0006-0000-0200-000025000000}">
      <text>
        <r>
          <rPr>
            <sz val="11"/>
            <color indexed="8"/>
            <rFont val="맑은 고딕"/>
            <family val="3"/>
            <charset val="129"/>
          </rPr>
          <t>2026-04-23 주당 200원 배당</t>
        </r>
      </text>
    </comment>
    <comment ref="L54" authorId="0" shapeId="0" xr:uid="{00000000-0006-0000-0200-000026000000}">
      <text>
        <r>
          <rPr>
            <sz val="11"/>
            <color indexed="8"/>
            <rFont val="맑은 고딕"/>
            <family val="3"/>
            <charset val="129"/>
          </rPr>
          <t xml:space="preserve">토스증권 수수료 무료
25.12.15~26.6.30
</t>
        </r>
      </text>
    </comment>
    <comment ref="N54" authorId="1" shapeId="0" xr:uid="{00000000-0006-0000-0200-000027000000}">
      <text>
        <r>
          <rPr>
            <sz val="11"/>
            <color indexed="8"/>
            <rFont val="맑은 고딕"/>
            <family val="3"/>
            <charset val="129"/>
          </rPr>
          <t>2026-04-23 주당 200원 배당</t>
        </r>
      </text>
    </comment>
    <comment ref="L55" authorId="0" shapeId="0" xr:uid="{00000000-0006-0000-0200-000028000000}">
      <text>
        <r>
          <rPr>
            <sz val="11"/>
            <color indexed="8"/>
            <rFont val="맑은 고딕"/>
            <family val="3"/>
            <charset val="129"/>
          </rPr>
          <t xml:space="preserve">토스증권 수수료 무료
25.12.15~26.6.30
</t>
        </r>
      </text>
    </comment>
    <comment ref="N55" authorId="1" shapeId="0" xr:uid="{00000000-0006-0000-0200-000029000000}">
      <text>
        <r>
          <rPr>
            <sz val="11"/>
            <color indexed="8"/>
            <rFont val="맑은 고딕"/>
            <family val="3"/>
            <charset val="129"/>
          </rPr>
          <t>2026-04-23 주당 200원 배당</t>
        </r>
      </text>
    </comment>
    <comment ref="L56" authorId="0" shapeId="0" xr:uid="{00000000-0006-0000-0200-00002A000000}">
      <text>
        <r>
          <rPr>
            <sz val="11"/>
            <color indexed="8"/>
            <rFont val="맑은 고딕"/>
            <family val="3"/>
            <charset val="129"/>
          </rPr>
          <t xml:space="preserve">토스증권 수수료 무료
25.12.15~26.6.30
</t>
        </r>
      </text>
    </comment>
    <comment ref="N56" authorId="1" shapeId="0" xr:uid="{00000000-0006-0000-0200-00002B000000}">
      <text>
        <r>
          <rPr>
            <sz val="11"/>
            <color indexed="8"/>
            <rFont val="맑은 고딕"/>
            <family val="3"/>
            <charset val="129"/>
          </rPr>
          <t>2026-04-23 주당 200원 배당</t>
        </r>
      </text>
    </comment>
    <comment ref="K57" authorId="0" shapeId="0" xr:uid="{00000000-0006-0000-0200-00002C000000}">
      <text>
        <r>
          <rPr>
            <sz val="11"/>
            <color indexed="8"/>
            <rFont val="맑은 고딕"/>
            <family val="3"/>
            <charset val="129"/>
          </rPr>
          <t xml:space="preserve">토스증권 수수료 무료
25.12.15~26.6.30
</t>
        </r>
      </text>
    </comment>
    <comment ref="K58" authorId="0" shapeId="0" xr:uid="{00000000-0006-0000-0200-00002D000000}">
      <text>
        <r>
          <rPr>
            <sz val="11"/>
            <color indexed="8"/>
            <rFont val="맑은 고딕"/>
            <family val="3"/>
            <charset val="129"/>
          </rPr>
          <t xml:space="preserve">토스증권 수수료 무료
25.12.15~26.6.30
</t>
        </r>
      </text>
    </comment>
    <comment ref="K59" authorId="0" shapeId="0" xr:uid="{00000000-0006-0000-0200-00002E000000}">
      <text>
        <r>
          <rPr>
            <sz val="11"/>
            <color indexed="8"/>
            <rFont val="맑은 고딕"/>
            <family val="3"/>
            <charset val="129"/>
          </rPr>
          <t xml:space="preserve">토스증권 수수료 무료
25.12.15~26.6.30
</t>
        </r>
      </text>
    </comment>
    <comment ref="K60" authorId="0" shapeId="0" xr:uid="{00000000-0006-0000-0200-00002F000000}">
      <text>
        <r>
          <rPr>
            <sz val="11"/>
            <color indexed="8"/>
            <rFont val="맑은 고딕"/>
            <family val="3"/>
            <charset val="129"/>
          </rPr>
          <t xml:space="preserve">토스증권 수수료 무료
25.12.15~26.6.30
</t>
        </r>
      </text>
    </comment>
    <comment ref="K61" authorId="0" shapeId="0" xr:uid="{00000000-0006-0000-0200-000030000000}">
      <text>
        <r>
          <rPr>
            <sz val="11"/>
            <color indexed="8"/>
            <rFont val="맑은 고딕"/>
            <family val="3"/>
            <charset val="129"/>
          </rPr>
          <t xml:space="preserve">토스증권 수수료 무료
25.12.15~26.6.30
</t>
        </r>
      </text>
    </comment>
    <comment ref="K62" authorId="0" shapeId="0" xr:uid="{00000000-0006-0000-0200-000031000000}">
      <text>
        <r>
          <rPr>
            <sz val="11"/>
            <color indexed="8"/>
            <rFont val="맑은 고딕"/>
            <family val="3"/>
            <charset val="129"/>
          </rPr>
          <t xml:space="preserve">토스증권 수수료 무료
25.12.15~26.6.30
</t>
        </r>
      </text>
    </comment>
    <comment ref="K65" authorId="0" shapeId="0" xr:uid="{00000000-0006-0000-0200-000032000000}">
      <text>
        <r>
          <rPr>
            <sz val="11"/>
            <color indexed="8"/>
            <rFont val="맑은 고딕"/>
            <family val="3"/>
            <charset val="129"/>
          </rPr>
          <t xml:space="preserve">토스증권 수수료 무료
25.12.15~26.6.30
</t>
        </r>
      </text>
    </comment>
    <comment ref="L67" authorId="0" shapeId="0" xr:uid="{00000000-0006-0000-0200-000033000000}">
      <text>
        <r>
          <rPr>
            <sz val="11"/>
            <color indexed="8"/>
            <rFont val="맑은 고딕"/>
            <family val="3"/>
            <charset val="129"/>
          </rPr>
          <t xml:space="preserve">토스증권 수수료 무료
25.12.15~26.6.30
</t>
        </r>
      </text>
    </comment>
    <comment ref="K93" authorId="0" shapeId="0" xr:uid="{00000000-0006-0000-0200-000034000000}">
      <text>
        <r>
          <rPr>
            <sz val="11"/>
            <color indexed="8"/>
            <rFont val="맑은 고딕"/>
            <family val="3"/>
            <charset val="129"/>
          </rPr>
          <t xml:space="preserve">토스증권 수수료 무료
25.12.15~26.6.30
</t>
        </r>
      </text>
    </comment>
    <comment ref="K94" authorId="0" shapeId="0" xr:uid="{00000000-0006-0000-0200-000035000000}">
      <text>
        <r>
          <rPr>
            <sz val="11"/>
            <color indexed="8"/>
            <rFont val="맑은 고딕"/>
            <family val="3"/>
            <charset val="129"/>
          </rPr>
          <t xml:space="preserve">토스증권 수수료 무료
25.12.15~26.6.30
</t>
        </r>
      </text>
    </comment>
    <comment ref="K101" authorId="0" shapeId="0" xr:uid="{00000000-0006-0000-0200-000036000000}">
      <text>
        <r>
          <rPr>
            <sz val="11"/>
            <color indexed="8"/>
            <rFont val="맑은 고딕"/>
            <family val="3"/>
            <charset val="129"/>
          </rPr>
          <t xml:space="preserve">토스증권 수수료 무료
25.12.15~26.6.30
</t>
        </r>
      </text>
    </comment>
    <comment ref="N106" authorId="0" shapeId="0" xr:uid="{00000000-0006-0000-0200-000037000000}">
      <text>
        <r>
          <rPr>
            <sz val="11"/>
            <color indexed="8"/>
            <rFont val="맑은 고딕"/>
            <family val="3"/>
            <charset val="129"/>
          </rPr>
          <t>2022/04/08 주당 250원 배당
2023/04/14 주당 150원 배당
2024/04/09 주당 150원 배당
2025/04/04 주당 150원 배당
2026/04/07 주당 240원 배당</t>
        </r>
      </text>
    </comment>
    <comment ref="N107" authorId="0" shapeId="0" xr:uid="{00000000-0006-0000-0200-000038000000}">
      <text>
        <r>
          <rPr>
            <sz val="11"/>
            <color indexed="8"/>
            <rFont val="맑은 고딕"/>
            <family val="3"/>
            <charset val="129"/>
          </rPr>
          <t>2025.04.04 주당 150원
2026.04.07 주당 240원</t>
        </r>
      </text>
    </comment>
    <comment ref="N108" authorId="0" shapeId="0" xr:uid="{00000000-0006-0000-0200-000039000000}">
      <text>
        <r>
          <rPr>
            <sz val="11"/>
            <color indexed="8"/>
            <rFont val="맑은 고딕"/>
            <family val="3"/>
            <charset val="129"/>
          </rPr>
          <t>2025.04.04 주당 150원
2026.04.07 주당 240원</t>
        </r>
      </text>
    </comment>
    <comment ref="N109" authorId="0" shapeId="0" xr:uid="{00000000-0006-0000-0200-00003A000000}">
      <text>
        <r>
          <rPr>
            <sz val="11"/>
            <color indexed="8"/>
            <rFont val="맑은 고딕"/>
            <family val="3"/>
            <charset val="129"/>
          </rPr>
          <t>2025.04.04 주당 150원
2026.04.07 주당 240원</t>
        </r>
      </text>
    </comment>
    <comment ref="N110" authorId="0" shapeId="0" xr:uid="{00000000-0006-0000-0200-00003B000000}">
      <text>
        <r>
          <rPr>
            <sz val="11"/>
            <color indexed="8"/>
            <rFont val="맑은 고딕"/>
            <family val="3"/>
            <charset val="129"/>
          </rPr>
          <t>2025.04.04 주당 150원
2026.04.07 주당 240원</t>
        </r>
      </text>
    </comment>
    <comment ref="N111" authorId="0" shapeId="0" xr:uid="{00000000-0006-0000-0200-00003C000000}">
      <text>
        <r>
          <rPr>
            <sz val="11"/>
            <color indexed="8"/>
            <rFont val="맑은 고딕"/>
            <family val="3"/>
            <charset val="129"/>
          </rPr>
          <t>2025.04.04 주당 150원
2026.04.07 주당 240원</t>
        </r>
      </text>
    </comment>
    <comment ref="N112" authorId="0" shapeId="0" xr:uid="{00000000-0006-0000-0200-00003D000000}">
      <text>
        <r>
          <rPr>
            <sz val="11"/>
            <color indexed="8"/>
            <rFont val="맑은 고딕"/>
            <family val="3"/>
            <charset val="129"/>
          </rPr>
          <t>2025.04.04 주당 150원
2026.04.07 주당 240원</t>
        </r>
      </text>
    </comment>
    <comment ref="N113" authorId="0" shapeId="0" xr:uid="{00000000-0006-0000-0200-00003E000000}">
      <text>
        <r>
          <rPr>
            <sz val="11"/>
            <color indexed="8"/>
            <rFont val="맑은 고딕"/>
            <family val="3"/>
            <charset val="129"/>
          </rPr>
          <t>2025.04.04 주당 150원
2026.04.07 주당 240원</t>
        </r>
      </text>
    </comment>
    <comment ref="N114" authorId="0" shapeId="0" xr:uid="{00000000-0006-0000-0200-00003F000000}">
      <text>
        <r>
          <rPr>
            <sz val="11"/>
            <color indexed="8"/>
            <rFont val="맑은 고딕"/>
            <family val="3"/>
            <charset val="129"/>
          </rPr>
          <t>2025.04.04 주당 150원
2026.04.07 주당 240원</t>
        </r>
      </text>
    </comment>
    <comment ref="N115" authorId="0" shapeId="0" xr:uid="{00000000-0006-0000-0200-000040000000}">
      <text>
        <r>
          <rPr>
            <sz val="11"/>
            <color indexed="8"/>
            <rFont val="맑은 고딕"/>
            <family val="3"/>
            <charset val="129"/>
          </rPr>
          <t>2025.04.04 주당 150원
2026.04.07 주당 240원</t>
        </r>
      </text>
    </comment>
    <comment ref="N116" authorId="0" shapeId="0" xr:uid="{00000000-0006-0000-0200-000041000000}">
      <text>
        <r>
          <rPr>
            <sz val="11"/>
            <color indexed="8"/>
            <rFont val="맑은 고딕"/>
            <family val="3"/>
            <charset val="129"/>
          </rPr>
          <t>2025.04.04 주당 150원
2026.04.07 주당 240원</t>
        </r>
      </text>
    </comment>
    <comment ref="N117" authorId="0" shapeId="0" xr:uid="{00000000-0006-0000-0200-000042000000}">
      <text>
        <r>
          <rPr>
            <sz val="11"/>
            <color indexed="8"/>
            <rFont val="맑은 고딕"/>
            <family val="3"/>
            <charset val="129"/>
          </rPr>
          <t>2025.04.04 주당 150원
2026.04.07 주당 240원</t>
        </r>
      </text>
    </comment>
    <comment ref="N118" authorId="0" shapeId="0" xr:uid="{00000000-0006-0000-0200-000043000000}">
      <text>
        <r>
          <rPr>
            <sz val="11"/>
            <color indexed="8"/>
            <rFont val="맑은 고딕"/>
            <family val="3"/>
            <charset val="129"/>
          </rPr>
          <t>2025.04.04 주당 150원
2026.04.07 주당 240원</t>
        </r>
      </text>
    </comment>
    <comment ref="N119" authorId="0" shapeId="0" xr:uid="{00000000-0006-0000-0200-000044000000}">
      <text>
        <r>
          <rPr>
            <sz val="11"/>
            <color indexed="8"/>
            <rFont val="맑은 고딕"/>
            <family val="3"/>
            <charset val="129"/>
          </rPr>
          <t>2023/04/17 주당 50원 배당
2024/04/15 주당 50원 배당</t>
        </r>
      </text>
    </comment>
    <comment ref="N172" authorId="0" shapeId="0" xr:uid="{00000000-0006-0000-0200-000045000000}">
      <text>
        <r>
          <rPr>
            <sz val="11"/>
            <color indexed="8"/>
            <rFont val="맑은 고딕"/>
            <family val="3"/>
            <charset val="129"/>
          </rPr>
          <t xml:space="preserve">
2023-10-25 주당 1,100원(제세금없음)
2024-10-25 주당 1,100원(제세금없음)
2025-10-30 주당 1,200원</t>
        </r>
      </text>
    </comment>
    <comment ref="N173" authorId="0" shapeId="0" xr:uid="{00000000-0006-0000-0200-000046000000}">
      <text>
        <r>
          <rPr>
            <sz val="11"/>
            <color indexed="8"/>
            <rFont val="맑은 고딕"/>
            <family val="3"/>
            <charset val="129"/>
          </rPr>
          <t>2025.10.30 주당 1,200원 배당</t>
        </r>
      </text>
    </comment>
    <comment ref="N174" authorId="0" shapeId="0" xr:uid="{00000000-0006-0000-0200-000047000000}">
      <text>
        <r>
          <rPr>
            <sz val="11"/>
            <color indexed="8"/>
            <rFont val="맑은 고딕"/>
            <family val="3"/>
            <charset val="129"/>
          </rPr>
          <t>2025.10.30 주당 1,200원 배당</t>
        </r>
      </text>
    </comment>
    <comment ref="N175" authorId="0" shapeId="0" xr:uid="{00000000-0006-0000-0200-000048000000}">
      <text>
        <r>
          <rPr>
            <sz val="11"/>
            <color indexed="8"/>
            <rFont val="맑은 고딕"/>
            <family val="3"/>
            <charset val="129"/>
          </rPr>
          <t>2025.10.30 주당 1,200원 배당</t>
        </r>
      </text>
    </comment>
    <comment ref="N176" authorId="0" shapeId="0" xr:uid="{00000000-0006-0000-0200-000049000000}">
      <text>
        <r>
          <rPr>
            <sz val="11"/>
            <color indexed="8"/>
            <rFont val="맑은 고딕"/>
            <family val="3"/>
            <charset val="129"/>
          </rPr>
          <t>2025.10.30 주당 1,200원 배당</t>
        </r>
      </text>
    </comment>
    <comment ref="N177" authorId="0" shapeId="0" xr:uid="{00000000-0006-0000-0200-00004A000000}">
      <text>
        <r>
          <rPr>
            <sz val="11"/>
            <color indexed="8"/>
            <rFont val="맑은 고딕"/>
            <family val="3"/>
            <charset val="129"/>
          </rPr>
          <t>2025.10.30 주당 1,200원 배당</t>
        </r>
      </text>
    </comment>
    <comment ref="N178" authorId="0" shapeId="0" xr:uid="{00000000-0006-0000-0200-00004B000000}">
      <text>
        <r>
          <rPr>
            <sz val="11"/>
            <color indexed="8"/>
            <rFont val="맑은 고딕"/>
            <family val="3"/>
            <charset val="129"/>
          </rPr>
          <t>2025.10.30 주당 1,200원 배당</t>
        </r>
      </text>
    </comment>
    <comment ref="K204" authorId="0" shapeId="0" xr:uid="{00000000-0006-0000-0200-00004C000000}">
      <text>
        <r>
          <rPr>
            <sz val="11"/>
            <color indexed="8"/>
            <rFont val="맑은 고딕"/>
            <family val="3"/>
            <charset val="129"/>
          </rPr>
          <t xml:space="preserve">토스증권 수수료 무료
25.12.15~26.6.30
</t>
        </r>
      </text>
    </comment>
    <comment ref="K280" authorId="0" shapeId="0" xr:uid="{00000000-0006-0000-0200-00004D000000}">
      <text>
        <r>
          <rPr>
            <sz val="11"/>
            <color indexed="8"/>
            <rFont val="맑은 고딕"/>
            <family val="3"/>
            <charset val="129"/>
          </rPr>
          <t xml:space="preserve">토스증권 수수료 무료
25.12.15~26.6.30
</t>
        </r>
      </text>
    </comment>
    <comment ref="L280" authorId="0" shapeId="0" xr:uid="{00000000-0006-0000-0200-00004E000000}">
      <text>
        <r>
          <rPr>
            <sz val="11"/>
            <color indexed="8"/>
            <rFont val="맑은 고딕"/>
            <family val="3"/>
            <charset val="129"/>
          </rPr>
          <t xml:space="preserve">토스증권 수수료 무료
25.12.15~26.6.30
</t>
        </r>
      </text>
    </comment>
    <comment ref="K281" authorId="0" shapeId="0" xr:uid="{00000000-0006-0000-0200-00004F000000}">
      <text>
        <r>
          <rPr>
            <sz val="11"/>
            <color indexed="8"/>
            <rFont val="맑은 고딕"/>
            <family val="3"/>
            <charset val="129"/>
          </rPr>
          <t xml:space="preserve">토스증권 수수료 무료
25.12.15~26.6.30
</t>
        </r>
      </text>
    </comment>
    <comment ref="L281" authorId="0" shapeId="0" xr:uid="{00000000-0006-0000-0200-000050000000}">
      <text>
        <r>
          <rPr>
            <sz val="11"/>
            <color indexed="8"/>
            <rFont val="맑은 고딕"/>
            <family val="3"/>
            <charset val="129"/>
          </rPr>
          <t xml:space="preserve">토스증권 수수료 무료
25.12.15~26.6.30
</t>
        </r>
      </text>
    </comment>
    <comment ref="K282" authorId="0" shapeId="0" xr:uid="{00000000-0006-0000-0200-000051000000}">
      <text>
        <r>
          <rPr>
            <sz val="11"/>
            <color indexed="8"/>
            <rFont val="맑은 고딕"/>
            <family val="3"/>
            <charset val="129"/>
          </rPr>
          <t xml:space="preserve">토스증권 수수료 무료
25.12.15~26.6.30
</t>
        </r>
      </text>
    </comment>
    <comment ref="L282" authorId="0" shapeId="0" xr:uid="{00000000-0006-0000-0200-000052000000}">
      <text>
        <r>
          <rPr>
            <sz val="11"/>
            <color indexed="8"/>
            <rFont val="맑은 고딕"/>
            <family val="3"/>
            <charset val="129"/>
          </rPr>
          <t xml:space="preserve">토스증권 수수료 무료
25.12.15~26.6.30
</t>
        </r>
      </text>
    </comment>
    <comment ref="K283" authorId="0" shapeId="0" xr:uid="{00000000-0006-0000-0200-000053000000}">
      <text>
        <r>
          <rPr>
            <sz val="11"/>
            <color indexed="8"/>
            <rFont val="맑은 고딕"/>
            <family val="3"/>
            <charset val="129"/>
          </rPr>
          <t xml:space="preserve">토스증권 수수료 무료
25.12.15~26.6.30
</t>
        </r>
      </text>
    </comment>
    <comment ref="K284" authorId="0" shapeId="0" xr:uid="{00000000-0006-0000-0200-000054000000}">
      <text>
        <r>
          <rPr>
            <sz val="11"/>
            <color indexed="8"/>
            <rFont val="맑은 고딕"/>
            <family val="3"/>
            <charset val="129"/>
          </rPr>
          <t xml:space="preserve">토스증권 수수료 무료
25.12.15~26.6.30
</t>
        </r>
      </text>
    </comment>
    <comment ref="K285" authorId="0" shapeId="0" xr:uid="{00000000-0006-0000-0200-000055000000}">
      <text>
        <r>
          <rPr>
            <sz val="11"/>
            <color indexed="8"/>
            <rFont val="맑은 고딕"/>
            <family val="3"/>
            <charset val="129"/>
          </rPr>
          <t xml:space="preserve">토스증권 수수료 무료
25.12.15~26.6.30
</t>
        </r>
      </text>
    </comment>
    <comment ref="K290" authorId="0" shapeId="0" xr:uid="{00000000-0006-0000-0200-000056000000}">
      <text>
        <r>
          <rPr>
            <sz val="11"/>
            <color indexed="8"/>
            <rFont val="맑은 고딕"/>
            <family val="3"/>
            <charset val="129"/>
          </rPr>
          <t xml:space="preserve">토스증권 수수료 무료
25.12.15~26.6.30
</t>
        </r>
      </text>
    </comment>
    <comment ref="L290" authorId="0" shapeId="0" xr:uid="{00000000-0006-0000-0200-000057000000}">
      <text>
        <r>
          <rPr>
            <sz val="11"/>
            <color indexed="8"/>
            <rFont val="맑은 고딕"/>
            <family val="3"/>
            <charset val="129"/>
          </rPr>
          <t xml:space="preserve">토스증권 수수료 무료
25.12.15~26.6.30
</t>
        </r>
      </text>
    </comment>
    <comment ref="K291" authorId="0" shapeId="0" xr:uid="{00000000-0006-0000-0200-000058000000}">
      <text>
        <r>
          <rPr>
            <sz val="11"/>
            <color indexed="8"/>
            <rFont val="맑은 고딕"/>
            <family val="3"/>
            <charset val="129"/>
          </rPr>
          <t xml:space="preserve">토스증권 수수료 무료
25.12.15~26.6.30
</t>
        </r>
      </text>
    </comment>
    <comment ref="L291" authorId="0" shapeId="0" xr:uid="{00000000-0006-0000-0200-000059000000}">
      <text>
        <r>
          <rPr>
            <sz val="11"/>
            <color indexed="8"/>
            <rFont val="맑은 고딕"/>
            <family val="3"/>
            <charset val="129"/>
          </rPr>
          <t xml:space="preserve">토스증권 수수료 무료
25.12.15~26.6.30
</t>
        </r>
      </text>
    </comment>
    <comment ref="K292" authorId="0" shapeId="0" xr:uid="{00000000-0006-0000-0200-00005A000000}">
      <text>
        <r>
          <rPr>
            <sz val="11"/>
            <color indexed="8"/>
            <rFont val="맑은 고딕"/>
            <family val="3"/>
            <charset val="129"/>
          </rPr>
          <t xml:space="preserve">토스증권 수수료 무료
25.12.15~26.6.30
</t>
        </r>
      </text>
    </comment>
    <comment ref="L292" authorId="0" shapeId="0" xr:uid="{00000000-0006-0000-0200-00005B000000}">
      <text>
        <r>
          <rPr>
            <sz val="11"/>
            <color indexed="8"/>
            <rFont val="맑은 고딕"/>
            <family val="3"/>
            <charset val="129"/>
          </rPr>
          <t xml:space="preserve">토스증권 수수료 무료
25.12.15~26.6.30
</t>
        </r>
      </text>
    </comment>
    <comment ref="K293" authorId="0" shapeId="0" xr:uid="{00000000-0006-0000-0200-00005C000000}">
      <text>
        <r>
          <rPr>
            <sz val="11"/>
            <color indexed="8"/>
            <rFont val="맑은 고딕"/>
            <family val="3"/>
            <charset val="129"/>
          </rPr>
          <t xml:space="preserve">토스증권 수수료 무료
25.12.15~26.6.30
</t>
        </r>
      </text>
    </comment>
    <comment ref="L293" authorId="0" shapeId="0" xr:uid="{00000000-0006-0000-0200-00005D000000}">
      <text>
        <r>
          <rPr>
            <sz val="11"/>
            <color indexed="8"/>
            <rFont val="맑은 고딕"/>
            <family val="3"/>
            <charset val="129"/>
          </rPr>
          <t xml:space="preserve">토스증권 수수료 무료
25.12.15~26.6.30
</t>
        </r>
      </text>
    </comment>
    <comment ref="K294" authorId="0" shapeId="0" xr:uid="{00000000-0006-0000-0200-00005E000000}">
      <text>
        <r>
          <rPr>
            <sz val="11"/>
            <color indexed="8"/>
            <rFont val="맑은 고딕"/>
            <family val="3"/>
            <charset val="129"/>
          </rPr>
          <t xml:space="preserve">토스증권 수수료 무료
25.12.15~26.6.30
</t>
        </r>
      </text>
    </comment>
    <comment ref="L294" authorId="0" shapeId="0" xr:uid="{00000000-0006-0000-0200-00005F000000}">
      <text>
        <r>
          <rPr>
            <sz val="11"/>
            <color indexed="8"/>
            <rFont val="맑은 고딕"/>
            <family val="3"/>
            <charset val="129"/>
          </rPr>
          <t xml:space="preserve">토스증권 수수료 무료
25.12.15~26.6.30
</t>
        </r>
      </text>
    </comment>
    <comment ref="K295" authorId="0" shapeId="0" xr:uid="{00000000-0006-0000-0200-000060000000}">
      <text>
        <r>
          <rPr>
            <sz val="11"/>
            <color indexed="8"/>
            <rFont val="맑은 고딕"/>
            <family val="3"/>
            <charset val="129"/>
          </rPr>
          <t xml:space="preserve">토스증권 수수료 무료
25.12.15~26.6.30
</t>
        </r>
      </text>
    </comment>
    <comment ref="L295" authorId="0" shapeId="0" xr:uid="{00000000-0006-0000-0200-000061000000}">
      <text>
        <r>
          <rPr>
            <sz val="11"/>
            <color indexed="8"/>
            <rFont val="맑은 고딕"/>
            <family val="3"/>
            <charset val="129"/>
          </rPr>
          <t xml:space="preserve">토스증권 수수료 무료
25.12.15~26.6.30
</t>
        </r>
      </text>
    </comment>
    <comment ref="K296" authorId="0" shapeId="0" xr:uid="{00000000-0006-0000-0200-000062000000}">
      <text>
        <r>
          <rPr>
            <sz val="11"/>
            <color indexed="8"/>
            <rFont val="맑은 고딕"/>
            <family val="3"/>
            <charset val="129"/>
          </rPr>
          <t xml:space="preserve">토스증권 수수료 무료
25.12.15~26.6.30
</t>
        </r>
      </text>
    </comment>
    <comment ref="L296" authorId="0" shapeId="0" xr:uid="{00000000-0006-0000-0200-000063000000}">
      <text>
        <r>
          <rPr>
            <sz val="11"/>
            <color indexed="8"/>
            <rFont val="맑은 고딕"/>
            <family val="3"/>
            <charset val="129"/>
          </rPr>
          <t xml:space="preserve">토스증권 수수료 무료
25.12.15~26.6.30
</t>
        </r>
      </text>
    </comment>
    <comment ref="K297" authorId="0" shapeId="0" xr:uid="{00000000-0006-0000-0200-000064000000}">
      <text>
        <r>
          <rPr>
            <sz val="11"/>
            <color indexed="8"/>
            <rFont val="맑은 고딕"/>
            <family val="3"/>
            <charset val="129"/>
          </rPr>
          <t xml:space="preserve">토스증권 수수료 무료
25.12.15~26.6.30
</t>
        </r>
      </text>
    </comment>
    <comment ref="L297" authorId="0" shapeId="0" xr:uid="{00000000-0006-0000-0200-000065000000}">
      <text>
        <r>
          <rPr>
            <sz val="11"/>
            <color indexed="8"/>
            <rFont val="맑은 고딕"/>
            <family val="3"/>
            <charset val="129"/>
          </rPr>
          <t xml:space="preserve">토스증권 수수료 무료
25.12.15~26.6.30
</t>
        </r>
      </text>
    </comment>
    <comment ref="K298" authorId="0" shapeId="0" xr:uid="{00000000-0006-0000-0200-000066000000}">
      <text>
        <r>
          <rPr>
            <sz val="11"/>
            <color indexed="8"/>
            <rFont val="맑은 고딕"/>
            <family val="3"/>
            <charset val="129"/>
          </rPr>
          <t xml:space="preserve">토스증권 수수료 무료
25.12.15~26.6.30
</t>
        </r>
      </text>
    </comment>
    <comment ref="L298" authorId="0" shapeId="0" xr:uid="{00000000-0006-0000-0200-000067000000}">
      <text>
        <r>
          <rPr>
            <sz val="11"/>
            <color indexed="8"/>
            <rFont val="맑은 고딕"/>
            <family val="3"/>
            <charset val="129"/>
          </rPr>
          <t xml:space="preserve">토스증권 수수료 무료
25.12.15~26.6.30
</t>
        </r>
      </text>
    </comment>
    <comment ref="K299" authorId="0" shapeId="0" xr:uid="{00000000-0006-0000-0200-000068000000}">
      <text>
        <r>
          <rPr>
            <sz val="11"/>
            <color indexed="8"/>
            <rFont val="맑은 고딕"/>
            <family val="3"/>
            <charset val="129"/>
          </rPr>
          <t xml:space="preserve">토스증권 수수료 무료
25.12.15~26.6.30
</t>
        </r>
      </text>
    </comment>
    <comment ref="L299" authorId="0" shapeId="0" xr:uid="{00000000-0006-0000-0200-000069000000}">
      <text>
        <r>
          <rPr>
            <sz val="11"/>
            <color indexed="8"/>
            <rFont val="맑은 고딕"/>
            <family val="3"/>
            <charset val="129"/>
          </rPr>
          <t xml:space="preserve">토스증권 수수료 무료
25.12.15~26.6.30
</t>
        </r>
      </text>
    </comment>
    <comment ref="K300" authorId="0" shapeId="0" xr:uid="{00000000-0006-0000-0200-00006A000000}">
      <text>
        <r>
          <rPr>
            <sz val="11"/>
            <color indexed="8"/>
            <rFont val="맑은 고딕"/>
            <family val="3"/>
            <charset val="129"/>
          </rPr>
          <t xml:space="preserve">토스증권 수수료 무료
25.12.15~26.6.30
</t>
        </r>
      </text>
    </comment>
    <comment ref="L300" authorId="0" shapeId="0" xr:uid="{00000000-0006-0000-0200-00006B000000}">
      <text>
        <r>
          <rPr>
            <sz val="11"/>
            <color indexed="8"/>
            <rFont val="맑은 고딕"/>
            <family val="3"/>
            <charset val="129"/>
          </rPr>
          <t xml:space="preserve">토스증권 수수료 무료
25.12.15~26.6.30
</t>
        </r>
      </text>
    </comment>
    <comment ref="K301" authorId="0" shapeId="0" xr:uid="{00000000-0006-0000-0200-00006C000000}">
      <text>
        <r>
          <rPr>
            <sz val="11"/>
            <color indexed="8"/>
            <rFont val="맑은 고딕"/>
            <family val="3"/>
            <charset val="129"/>
          </rPr>
          <t xml:space="preserve">토스증권 수수료 무료
25.12.15~26.6.30
</t>
        </r>
      </text>
    </comment>
    <comment ref="L301" authorId="0" shapeId="0" xr:uid="{00000000-0006-0000-0200-00006D000000}">
      <text>
        <r>
          <rPr>
            <sz val="11"/>
            <color indexed="8"/>
            <rFont val="맑은 고딕"/>
            <family val="3"/>
            <charset val="129"/>
          </rPr>
          <t xml:space="preserve">토스증권 수수료 무료
25.12.15~26.6.30
</t>
        </r>
      </text>
    </comment>
    <comment ref="K302" authorId="0" shapeId="0" xr:uid="{00000000-0006-0000-0200-00006E000000}">
      <text>
        <r>
          <rPr>
            <sz val="11"/>
            <color indexed="8"/>
            <rFont val="맑은 고딕"/>
            <family val="3"/>
            <charset val="129"/>
          </rPr>
          <t xml:space="preserve">토스증권 수수료 무료
25.12.15~26.6.30
</t>
        </r>
      </text>
    </comment>
    <comment ref="L302" authorId="0" shapeId="0" xr:uid="{00000000-0006-0000-0200-00006F000000}">
      <text>
        <r>
          <rPr>
            <sz val="11"/>
            <color indexed="8"/>
            <rFont val="맑은 고딕"/>
            <family val="3"/>
            <charset val="129"/>
          </rPr>
          <t xml:space="preserve">토스증권 수수료 무료
25.12.15~26.6.30
</t>
        </r>
      </text>
    </comment>
    <comment ref="K303" authorId="0" shapeId="0" xr:uid="{00000000-0006-0000-0200-000070000000}">
      <text>
        <r>
          <rPr>
            <sz val="11"/>
            <color indexed="8"/>
            <rFont val="맑은 고딕"/>
            <family val="3"/>
            <charset val="129"/>
          </rPr>
          <t xml:space="preserve">토스증권 수수료 무료
25.12.15~26.6.30
</t>
        </r>
      </text>
    </comment>
    <comment ref="L303" authorId="0" shapeId="0" xr:uid="{00000000-0006-0000-0200-000071000000}">
      <text>
        <r>
          <rPr>
            <sz val="11"/>
            <color indexed="8"/>
            <rFont val="맑은 고딕"/>
            <family val="3"/>
            <charset val="129"/>
          </rPr>
          <t xml:space="preserve">토스증권 수수료 무료
25.12.15~26.6.30
</t>
        </r>
      </text>
    </comment>
    <comment ref="K304" authorId="0" shapeId="0" xr:uid="{00000000-0006-0000-0200-000072000000}">
      <text>
        <r>
          <rPr>
            <sz val="11"/>
            <color indexed="8"/>
            <rFont val="맑은 고딕"/>
            <family val="3"/>
            <charset val="129"/>
          </rPr>
          <t xml:space="preserve">토스증권 수수료 무료
25.12.15~26.6.30
</t>
        </r>
      </text>
    </comment>
    <comment ref="L304" authorId="0" shapeId="0" xr:uid="{00000000-0006-0000-0200-000073000000}">
      <text>
        <r>
          <rPr>
            <sz val="11"/>
            <color indexed="8"/>
            <rFont val="맑은 고딕"/>
            <family val="3"/>
            <charset val="129"/>
          </rPr>
          <t xml:space="preserve">토스증권 수수료 무료
25.12.15~26.6.30
</t>
        </r>
      </text>
    </comment>
    <comment ref="N305" authorId="0" shapeId="0" xr:uid="{00000000-0006-0000-0200-000074000000}">
      <text>
        <r>
          <rPr>
            <sz val="11"/>
            <color indexed="8"/>
            <rFont val="맑은 고딕"/>
            <family val="3"/>
            <charset val="129"/>
          </rPr>
          <t xml:space="preserve">2022.04.22 주당 750원 배당
2022.04.22 단주대금 주당 3,360원
2023.04.24 주당 375원 배당
2024.04.23 주당 500원 배당
2025.04.16 주당 750원 배당
</t>
        </r>
      </text>
    </comment>
    <comment ref="N306" authorId="0" shapeId="0" xr:uid="{00000000-0006-0000-0200-000075000000}">
      <text>
        <r>
          <rPr>
            <sz val="11"/>
            <color indexed="8"/>
            <rFont val="맑은 고딕"/>
            <family val="3"/>
            <charset val="129"/>
          </rPr>
          <t>2022.04.22 주당 750원 배당
2022.04.22 단주대금 주당 3,360원
2023.04.24 주당 375원 배당
2024.04.23 주당 500원 배당
2025.04.16 주당 750원 배당</t>
        </r>
      </text>
    </comment>
    <comment ref="N307" authorId="0" shapeId="0" xr:uid="{00000000-0006-0000-0200-000076000000}">
      <text>
        <r>
          <rPr>
            <sz val="11"/>
            <color indexed="8"/>
            <rFont val="맑은 고딕"/>
            <family val="3"/>
            <charset val="129"/>
          </rPr>
          <t>2023.04.24 배당 단주대금 6,344원
2024.04.23 주당 500원
2025.04.16 주당 750원 배당</t>
        </r>
      </text>
    </comment>
    <comment ref="N308" authorId="0" shapeId="0" xr:uid="{00000000-0006-0000-0200-000077000000}">
      <text>
        <r>
          <rPr>
            <sz val="11"/>
            <color indexed="8"/>
            <rFont val="맑은 고딕"/>
            <family val="3"/>
            <charset val="129"/>
          </rPr>
          <t>2024.04.23 배당 주당 500원
2025.04.16 주당 750원 배당</t>
        </r>
      </text>
    </comment>
    <comment ref="N309" authorId="0" shapeId="0" xr:uid="{00000000-0006-0000-0200-000078000000}">
      <text>
        <r>
          <rPr>
            <sz val="11"/>
            <color indexed="8"/>
            <rFont val="맑은 고딕"/>
            <family val="3"/>
            <charset val="129"/>
          </rPr>
          <t>2024.04.23 배당 주당 500원
2025.04.16 주당 750원 배당</t>
        </r>
      </text>
    </comment>
    <comment ref="N315" authorId="0" shapeId="0" xr:uid="{00000000-0006-0000-0200-000079000000}">
      <text>
        <r>
          <rPr>
            <sz val="11"/>
            <color indexed="8"/>
            <rFont val="맑은 고딕"/>
            <family val="3"/>
            <charset val="129"/>
          </rPr>
          <t>2025.04.16 주식배당 단주대금 120,315원(0.65주 해당)</t>
        </r>
      </text>
    </comment>
    <comment ref="N331" authorId="0" shapeId="0" xr:uid="{00000000-0006-0000-0200-00007A000000}">
      <text>
        <r>
          <rPr>
            <sz val="11"/>
            <color indexed="8"/>
            <rFont val="맑은 고딕"/>
            <family val="3"/>
            <charset val="129"/>
          </rPr>
          <t>해외배당금
2021.12.09 Y2,200 (제세금 Y337)
2022.06.27 Y2,200 (제세금 Y337)
2022.12.09 Y2,200 (제세금 Y337)
2023.06.22 Y2,200 (제세금 Y337)
2023.12.08 Y2,200 (제세금 Y337)
2024.06.24 Y2,200 (제세금 Y337)
2024.12.03 Y2,200 (제세금 Y337)
2025.06.30 Y2,200 (제세금 Y337)</t>
        </r>
      </text>
    </comment>
    <comment ref="K373" authorId="0" shapeId="0" xr:uid="{00000000-0006-0000-0200-00007B000000}">
      <text>
        <r>
          <rPr>
            <sz val="11"/>
            <color indexed="8"/>
            <rFont val="맑은 고딕"/>
            <family val="3"/>
            <charset val="129"/>
          </rPr>
          <t xml:space="preserve">토스증권 수수료 무료
25.12.15~26.6.30
</t>
        </r>
      </text>
    </comment>
    <comment ref="N444" authorId="0" shapeId="0" xr:uid="{00000000-0006-0000-0200-00007C000000}">
      <text>
        <r>
          <rPr>
            <sz val="11"/>
            <color indexed="8"/>
            <rFont val="맑은 고딕"/>
            <family val="3"/>
            <charset val="129"/>
          </rPr>
          <t>2021.04.23 주당 8,550원 
2022.04.29 주당 5,860원
2023.04.28 주당 6,680원
2024.04.26 주당 3,130원
2025.04.25 주당 1,460원</t>
        </r>
      </text>
    </comment>
    <comment ref="N445" authorId="0" shapeId="0" xr:uid="{00000000-0006-0000-0200-00007D000000}">
      <text>
        <r>
          <rPr>
            <sz val="11"/>
            <color indexed="8"/>
            <rFont val="맑은 고딕"/>
            <family val="3"/>
            <charset val="129"/>
          </rPr>
          <t>2022.04.29 주당 5,860원
2023.04.28 주당 6,680원
2024.04.26 주당 3,130원
2025.04.25 주당 1,460원</t>
        </r>
      </text>
    </comment>
    <comment ref="N446" authorId="0" shapeId="0" xr:uid="{00000000-0006-0000-0200-00007E000000}">
      <text>
        <r>
          <rPr>
            <sz val="11"/>
            <color indexed="8"/>
            <rFont val="맑은 고딕"/>
            <family val="3"/>
            <charset val="129"/>
          </rPr>
          <t>2024.04.26 주당 3,130원
2025.04.25 주당 1,460원</t>
        </r>
      </text>
    </comment>
    <comment ref="N447" authorId="0" shapeId="0" xr:uid="{00000000-0006-0000-0200-00007F000000}">
      <text>
        <r>
          <rPr>
            <sz val="11"/>
            <color indexed="8"/>
            <rFont val="맑은 고딕"/>
            <family val="3"/>
            <charset val="129"/>
          </rPr>
          <t>2021.03.30 주당 500원 배당</t>
        </r>
      </text>
    </comment>
    <comment ref="N448" authorId="0" shapeId="0" xr:uid="{00000000-0006-0000-0200-000080000000}">
      <text>
        <r>
          <rPr>
            <sz val="11"/>
            <color indexed="8"/>
            <rFont val="맑은 고딕"/>
            <family val="3"/>
            <charset val="129"/>
          </rPr>
          <t>2021.03.30 주당 500원 배당</t>
        </r>
      </text>
    </comment>
    <comment ref="N449" authorId="0" shapeId="0" xr:uid="{00000000-0006-0000-0200-000081000000}">
      <text>
        <r>
          <rPr>
            <sz val="11"/>
            <color indexed="8"/>
            <rFont val="맑은 고딕"/>
            <family val="3"/>
            <charset val="129"/>
          </rPr>
          <t>2021.03.30 주당 500원 배당</t>
        </r>
      </text>
    </comment>
    <comment ref="N450" authorId="0" shapeId="0" xr:uid="{00000000-0006-0000-0200-000082000000}">
      <text>
        <r>
          <rPr>
            <sz val="11"/>
            <color indexed="8"/>
            <rFont val="맑은 고딕"/>
            <family val="3"/>
            <charset val="129"/>
          </rPr>
          <t>2021.03.30 주당 500원 배당</t>
        </r>
      </text>
    </comment>
    <comment ref="N451" authorId="0" shapeId="0" xr:uid="{00000000-0006-0000-0200-000083000000}">
      <text>
        <r>
          <rPr>
            <sz val="11"/>
            <color indexed="8"/>
            <rFont val="맑은 고딕"/>
            <family val="3"/>
            <charset val="129"/>
          </rPr>
          <t>2021.03.30 주당 500원 배당</t>
        </r>
      </text>
    </comment>
    <comment ref="N452" authorId="0" shapeId="0" xr:uid="{00000000-0006-0000-0200-000084000000}">
      <text>
        <r>
          <rPr>
            <sz val="11"/>
            <color indexed="8"/>
            <rFont val="맑은 고딕"/>
            <family val="3"/>
            <charset val="129"/>
          </rPr>
          <t>2022.03.31 주당 500원 배당
2023.03.30 주당 500원 배당
2024.04.15 주당 600원 배당
2025.04.24 주당 800원 배당
2026.04.09 주당 1000원 배당(세금X)</t>
        </r>
      </text>
    </comment>
    <comment ref="N453" authorId="0" shapeId="0" xr:uid="{00000000-0006-0000-0200-000085000000}">
      <text>
        <r>
          <rPr>
            <sz val="11"/>
            <color indexed="8"/>
            <rFont val="맑은 고딕"/>
            <family val="3"/>
            <charset val="129"/>
          </rPr>
          <t>2022.03.31 주당 500원 배당
2023.03.30 주당 500원 배당
2024.04.15 주당 600원 배당
2025.04.24 주당 800원 배당
2026.04.09 주당 1000원 배당(세금X)</t>
        </r>
      </text>
    </comment>
    <comment ref="N454" authorId="0" shapeId="0" xr:uid="{00000000-0006-0000-0200-000086000000}">
      <text>
        <r>
          <rPr>
            <sz val="11"/>
            <color indexed="8"/>
            <rFont val="맑은 고딕"/>
            <family val="3"/>
            <charset val="129"/>
          </rPr>
          <t>2022.03.31 주당 500원 배당
2023.03.30 주당 500원 배당
2024.04.15 주당 600원 배당
2025.04.24 주당 800원 배당
2026.04.09 주당 1000원 배당(세금X)</t>
        </r>
      </text>
    </comment>
    <comment ref="N455" authorId="0" shapeId="0" xr:uid="{00000000-0006-0000-0200-000087000000}">
      <text>
        <r>
          <rPr>
            <sz val="11"/>
            <color indexed="8"/>
            <rFont val="맑은 고딕"/>
            <family val="3"/>
            <charset val="129"/>
          </rPr>
          <t>2025.04.24 주당 800원 배당
2026.04.09 주당 1000원 배당(세금X)</t>
        </r>
      </text>
    </comment>
    <comment ref="N456" authorId="1" shapeId="0" xr:uid="{00000000-0006-0000-0200-000088000000}">
      <text>
        <r>
          <rPr>
            <sz val="11"/>
            <color indexed="8"/>
            <rFont val="맑은 고딕"/>
            <family val="3"/>
            <charset val="129"/>
          </rPr>
          <t>2026.04.09 주당 1000원 배당(세금X)</t>
        </r>
      </text>
    </comment>
    <comment ref="N457" authorId="1" shapeId="0" xr:uid="{00000000-0006-0000-0200-000089000000}">
      <text>
        <r>
          <rPr>
            <sz val="11"/>
            <color indexed="8"/>
            <rFont val="맑은 고딕"/>
            <family val="3"/>
            <charset val="129"/>
          </rPr>
          <t>2026.04.09 주당 1000원 배당(세금X)</t>
        </r>
      </text>
    </comment>
    <comment ref="N458" authorId="1" shapeId="0" xr:uid="{00000000-0006-0000-0200-00008A000000}">
      <text>
        <r>
          <rPr>
            <sz val="11"/>
            <color indexed="8"/>
            <rFont val="맑은 고딕"/>
            <family val="3"/>
            <charset val="129"/>
          </rPr>
          <t>2026.04.09 주당 1000원 배당(세금X)</t>
        </r>
      </text>
    </comment>
    <comment ref="N459" authorId="1" shapeId="0" xr:uid="{00000000-0006-0000-0200-00008B000000}">
      <text>
        <r>
          <rPr>
            <sz val="11"/>
            <color indexed="8"/>
            <rFont val="맑은 고딕"/>
            <family val="3"/>
            <charset val="129"/>
          </rPr>
          <t>2026.04.09 주당 1000원 배당(세금X)</t>
        </r>
      </text>
    </comment>
    <comment ref="N460" authorId="1" shapeId="0" xr:uid="{00000000-0006-0000-0200-00008C000000}">
      <text>
        <r>
          <rPr>
            <sz val="11"/>
            <color indexed="8"/>
            <rFont val="맑은 고딕"/>
            <family val="3"/>
            <charset val="129"/>
          </rPr>
          <t>2026.04.09 주당 1000원 배당(세금X)</t>
        </r>
      </text>
    </comment>
    <comment ref="N461" authorId="1" shapeId="0" xr:uid="{00000000-0006-0000-0200-00008D000000}">
      <text>
        <r>
          <rPr>
            <sz val="11"/>
            <color indexed="8"/>
            <rFont val="맑은 고딕"/>
            <family val="3"/>
            <charset val="129"/>
          </rPr>
          <t>2026.04.09 주당 1000원 배당(세금X)</t>
        </r>
      </text>
    </comment>
    <comment ref="N462" authorId="1" shapeId="0" xr:uid="{00000000-0006-0000-0200-00008E000000}">
      <text>
        <r>
          <rPr>
            <sz val="11"/>
            <color indexed="8"/>
            <rFont val="맑은 고딕"/>
            <family val="3"/>
            <charset val="129"/>
          </rPr>
          <t>2026.04.09 주당 1000원 배당(세금X)</t>
        </r>
      </text>
    </comment>
    <comment ref="N463" authorId="1" shapeId="0" xr:uid="{00000000-0006-0000-0200-00008F000000}">
      <text>
        <r>
          <rPr>
            <sz val="11"/>
            <color indexed="8"/>
            <rFont val="맑은 고딕"/>
            <family val="3"/>
            <charset val="129"/>
          </rPr>
          <t>2026.04.09 주당 1000원 배당(세금X)</t>
        </r>
      </text>
    </comment>
    <comment ref="N464" authorId="1" shapeId="0" xr:uid="{00000000-0006-0000-0200-000090000000}">
      <text>
        <r>
          <rPr>
            <sz val="11"/>
            <color indexed="8"/>
            <rFont val="맑은 고딕"/>
            <family val="3"/>
            <charset val="129"/>
          </rPr>
          <t>2026.04.09 주당 1000원 배당(세금X)</t>
        </r>
      </text>
    </comment>
    <comment ref="N465" authorId="1" shapeId="0" xr:uid="{00000000-0006-0000-0200-000091000000}">
      <text>
        <r>
          <rPr>
            <sz val="11"/>
            <color indexed="8"/>
            <rFont val="맑은 고딕"/>
            <family val="3"/>
            <charset val="129"/>
          </rPr>
          <t>2026.04.09 주당 1000원 배당(세금X)</t>
        </r>
      </text>
    </comment>
    <comment ref="N466" authorId="1" shapeId="0" xr:uid="{00000000-0006-0000-0200-000092000000}">
      <text>
        <r>
          <rPr>
            <sz val="11"/>
            <color indexed="8"/>
            <rFont val="맑은 고딕"/>
            <family val="3"/>
            <charset val="129"/>
          </rPr>
          <t>2026.04.09 주당 1000원 배당(세금X)</t>
        </r>
      </text>
    </comment>
    <comment ref="N467" authorId="1" shapeId="0" xr:uid="{00000000-0006-0000-0200-000093000000}">
      <text>
        <r>
          <rPr>
            <sz val="11"/>
            <color indexed="8"/>
            <rFont val="맑은 고딕"/>
            <family val="3"/>
            <charset val="129"/>
          </rPr>
          <t>2026.04.09 주당 1000원 배당(세금X)</t>
        </r>
      </text>
    </comment>
    <comment ref="N468" authorId="1" shapeId="0" xr:uid="{00000000-0006-0000-0200-000094000000}">
      <text>
        <r>
          <rPr>
            <sz val="11"/>
            <color indexed="8"/>
            <rFont val="맑은 고딕"/>
            <family val="3"/>
            <charset val="129"/>
          </rPr>
          <t>2026.04.09 주당 1000원 배당(세금X)</t>
        </r>
      </text>
    </comment>
    <comment ref="N469" authorId="1" shapeId="0" xr:uid="{00000000-0006-0000-0200-000095000000}">
      <text>
        <r>
          <rPr>
            <sz val="11"/>
            <color indexed="8"/>
            <rFont val="맑은 고딕"/>
            <family val="3"/>
            <charset val="129"/>
          </rPr>
          <t>2026.04.09 주당 1000원 배당(세금X)</t>
        </r>
      </text>
    </comment>
    <comment ref="N470" authorId="1" shapeId="0" xr:uid="{00000000-0006-0000-0200-000096000000}">
      <text>
        <r>
          <rPr>
            <sz val="11"/>
            <color indexed="8"/>
            <rFont val="맑은 고딕"/>
            <family val="3"/>
            <charset val="129"/>
          </rPr>
          <t>2026.04.09 주당 1000원 배당(세금X)</t>
        </r>
      </text>
    </comment>
    <comment ref="N471" authorId="1" shapeId="0" xr:uid="{00000000-0006-0000-0200-000097000000}">
      <text>
        <r>
          <rPr>
            <sz val="11"/>
            <color indexed="8"/>
            <rFont val="맑은 고딕"/>
            <family val="3"/>
            <charset val="129"/>
          </rPr>
          <t>2026.04.09 주당 1000원 배당(세금X)</t>
        </r>
      </text>
    </comment>
    <comment ref="N472" authorId="1" shapeId="0" xr:uid="{00000000-0006-0000-0200-000098000000}">
      <text>
        <r>
          <rPr>
            <sz val="11"/>
            <color indexed="8"/>
            <rFont val="맑은 고딕"/>
            <family val="3"/>
            <charset val="129"/>
          </rPr>
          <t>2026.04.09 주당 1000원 배당(세금X)</t>
        </r>
      </text>
    </comment>
    <comment ref="N473" authorId="1" shapeId="0" xr:uid="{00000000-0006-0000-0200-000099000000}">
      <text>
        <r>
          <rPr>
            <sz val="11"/>
            <color indexed="8"/>
            <rFont val="맑은 고딕"/>
            <family val="3"/>
            <charset val="129"/>
          </rPr>
          <t>2026.04.09 주당 1000원 배당(세금X)</t>
        </r>
      </text>
    </comment>
    <comment ref="N474" authorId="1" shapeId="0" xr:uid="{00000000-0006-0000-0200-00009A000000}">
      <text>
        <r>
          <rPr>
            <sz val="11"/>
            <color indexed="8"/>
            <rFont val="맑은 고딕"/>
            <family val="3"/>
            <charset val="129"/>
          </rPr>
          <t>2026.04.09 주당 1000원 배당(세금X)</t>
        </r>
      </text>
    </comment>
    <comment ref="N475" authorId="1" shapeId="0" xr:uid="{00000000-0006-0000-0200-00009B000000}">
      <text>
        <r>
          <rPr>
            <sz val="11"/>
            <color indexed="8"/>
            <rFont val="맑은 고딕"/>
            <family val="3"/>
            <charset val="129"/>
          </rPr>
          <t>2026.04.09 주당 1000원 배당(세금X)</t>
        </r>
      </text>
    </comment>
    <comment ref="N476" authorId="1" shapeId="0" xr:uid="{00000000-0006-0000-0200-00009C000000}">
      <text>
        <r>
          <rPr>
            <sz val="11"/>
            <color indexed="8"/>
            <rFont val="맑은 고딕"/>
            <family val="3"/>
            <charset val="129"/>
          </rPr>
          <t>2026.04.09 주당 1000원 배당(세금X)</t>
        </r>
      </text>
    </comment>
    <comment ref="N477" authorId="1" shapeId="0" xr:uid="{00000000-0006-0000-0200-00009D000000}">
      <text>
        <r>
          <rPr>
            <sz val="11"/>
            <color indexed="8"/>
            <rFont val="맑은 고딕"/>
            <family val="3"/>
            <charset val="129"/>
          </rPr>
          <t>2026.04.09 주당 1000원 배당(세금X)</t>
        </r>
      </text>
    </comment>
    <comment ref="N478" authorId="1" shapeId="0" xr:uid="{00000000-0006-0000-0200-00009E000000}">
      <text>
        <r>
          <rPr>
            <sz val="11"/>
            <color indexed="8"/>
            <rFont val="맑은 고딕"/>
            <family val="3"/>
            <charset val="129"/>
          </rPr>
          <t>2026.04.09 주당 1000원 배당(세금X)</t>
        </r>
      </text>
    </comment>
    <comment ref="N479" authorId="1" shapeId="0" xr:uid="{00000000-0006-0000-0200-00009F000000}">
      <text>
        <r>
          <rPr>
            <sz val="11"/>
            <color indexed="8"/>
            <rFont val="맑은 고딕"/>
            <family val="3"/>
            <charset val="129"/>
          </rPr>
          <t>2026.04.09 주당 1000원 배당(세금X)</t>
        </r>
      </text>
    </comment>
    <comment ref="N480" authorId="1" shapeId="0" xr:uid="{00000000-0006-0000-0200-0000A0000000}">
      <text>
        <r>
          <rPr>
            <sz val="11"/>
            <color indexed="8"/>
            <rFont val="맑은 고딕"/>
            <family val="3"/>
            <charset val="129"/>
          </rPr>
          <t>2026.04.09 주당 1000원 배당(세금X)</t>
        </r>
      </text>
    </comment>
    <comment ref="N481" authorId="1" shapeId="0" xr:uid="{00000000-0006-0000-0200-0000A1000000}">
      <text>
        <r>
          <rPr>
            <sz val="11"/>
            <color indexed="8"/>
            <rFont val="맑은 고딕"/>
            <family val="3"/>
            <charset val="129"/>
          </rPr>
          <t>2026.04.09 주당 1000원 배당(세금X)</t>
        </r>
      </text>
    </comment>
    <comment ref="N482" authorId="1" shapeId="0" xr:uid="{00000000-0006-0000-0200-0000A2000000}">
      <text>
        <r>
          <rPr>
            <sz val="11"/>
            <color indexed="8"/>
            <rFont val="맑은 고딕"/>
            <family val="3"/>
            <charset val="129"/>
          </rPr>
          <t>2026.04.09 주당 1000원 배당(세금X)</t>
        </r>
      </text>
    </comment>
    <comment ref="N483" authorId="1" shapeId="0" xr:uid="{00000000-0006-0000-0200-0000A3000000}">
      <text>
        <r>
          <rPr>
            <sz val="11"/>
            <color indexed="8"/>
            <rFont val="맑은 고딕"/>
            <family val="3"/>
            <charset val="129"/>
          </rPr>
          <t>2026.04.09 주당 1000원 배당(세금X)</t>
        </r>
      </text>
    </comment>
    <comment ref="N484" authorId="1" shapeId="0" xr:uid="{00000000-0006-0000-0200-0000A4000000}">
      <text>
        <r>
          <rPr>
            <sz val="11"/>
            <color indexed="8"/>
            <rFont val="맑은 고딕"/>
            <family val="3"/>
            <charset val="129"/>
          </rPr>
          <t>2026.04.09 주당 1000원 배당(세금X)</t>
        </r>
      </text>
    </comment>
    <comment ref="N485" authorId="1" shapeId="0" xr:uid="{00000000-0006-0000-0200-0000A5000000}">
      <text>
        <r>
          <rPr>
            <sz val="11"/>
            <color indexed="8"/>
            <rFont val="맑은 고딕"/>
            <family val="3"/>
            <charset val="129"/>
          </rPr>
          <t>2026.04.09 주당 1000원 배당(세금X)</t>
        </r>
      </text>
    </comment>
    <comment ref="N486" authorId="1" shapeId="0" xr:uid="{00000000-0006-0000-0200-0000A6000000}">
      <text>
        <r>
          <rPr>
            <sz val="11"/>
            <color indexed="8"/>
            <rFont val="맑은 고딕"/>
            <family val="3"/>
            <charset val="129"/>
          </rPr>
          <t>2026.04.09 주당 1000원 배당(세금X)</t>
        </r>
      </text>
    </comment>
    <comment ref="N487" authorId="1" shapeId="0" xr:uid="{00000000-0006-0000-0200-0000A7000000}">
      <text>
        <r>
          <rPr>
            <sz val="11"/>
            <color indexed="8"/>
            <rFont val="맑은 고딕"/>
            <family val="3"/>
            <charset val="129"/>
          </rPr>
          <t>2026.04.09 주당 1000원 배당(세금X)</t>
        </r>
      </text>
    </comment>
    <comment ref="N488" authorId="1" shapeId="0" xr:uid="{00000000-0006-0000-0200-0000A8000000}">
      <text>
        <r>
          <rPr>
            <sz val="11"/>
            <color indexed="8"/>
            <rFont val="맑은 고딕"/>
            <family val="3"/>
            <charset val="129"/>
          </rPr>
          <t>2026.04.09 주당 1000원 배당(세금X)</t>
        </r>
      </text>
    </comment>
    <comment ref="N489" authorId="1" shapeId="0" xr:uid="{00000000-0006-0000-0200-0000A9000000}">
      <text>
        <r>
          <rPr>
            <sz val="11"/>
            <color indexed="8"/>
            <rFont val="맑은 고딕"/>
            <family val="3"/>
            <charset val="129"/>
          </rPr>
          <t>2026.04.09 주당 1000원 배당(세금X)</t>
        </r>
      </text>
    </comment>
    <comment ref="N490" authorId="1" shapeId="0" xr:uid="{00000000-0006-0000-0200-0000AA000000}">
      <text>
        <r>
          <rPr>
            <sz val="11"/>
            <color indexed="8"/>
            <rFont val="맑은 고딕"/>
            <family val="3"/>
            <charset val="129"/>
          </rPr>
          <t>2026.04.09 주당 1000원 배당(세금X)</t>
        </r>
      </text>
    </comment>
    <comment ref="N491" authorId="1" shapeId="0" xr:uid="{00000000-0006-0000-0200-0000AB000000}">
      <text>
        <r>
          <rPr>
            <sz val="11"/>
            <color indexed="8"/>
            <rFont val="맑은 고딕"/>
            <family val="3"/>
            <charset val="129"/>
          </rPr>
          <t>2026.04.09 주당 1000원 배당(세금X)</t>
        </r>
      </text>
    </comment>
    <comment ref="N492" authorId="1" shapeId="0" xr:uid="{00000000-0006-0000-0200-0000AC000000}">
      <text>
        <r>
          <rPr>
            <sz val="11"/>
            <color indexed="8"/>
            <rFont val="맑은 고딕"/>
            <family val="3"/>
            <charset val="129"/>
          </rPr>
          <t>2026.04.09 주당 1000원 배당(세금X)</t>
        </r>
      </text>
    </comment>
    <comment ref="N493" authorId="1" shapeId="0" xr:uid="{00000000-0006-0000-0200-0000AD000000}">
      <text>
        <r>
          <rPr>
            <sz val="11"/>
            <color indexed="8"/>
            <rFont val="맑은 고딕"/>
            <family val="3"/>
            <charset val="129"/>
          </rPr>
          <t>2026.04.09 주당 1000원 배당(세금X)</t>
        </r>
      </text>
    </comment>
    <comment ref="N494" authorId="1" shapeId="0" xr:uid="{00000000-0006-0000-0200-0000AE000000}">
      <text>
        <r>
          <rPr>
            <sz val="11"/>
            <color indexed="8"/>
            <rFont val="맑은 고딕"/>
            <family val="3"/>
            <charset val="129"/>
          </rPr>
          <t>2026.04.09 주당 1000원 배당(세금X)</t>
        </r>
      </text>
    </comment>
    <comment ref="N495" authorId="1" shapeId="0" xr:uid="{00000000-0006-0000-0200-0000AF000000}">
      <text>
        <r>
          <rPr>
            <sz val="11"/>
            <color indexed="8"/>
            <rFont val="맑은 고딕"/>
            <family val="3"/>
            <charset val="129"/>
          </rPr>
          <t>2026.04.09 주당 1000원 배당(세금X)</t>
        </r>
      </text>
    </comment>
    <comment ref="N496" authorId="1" shapeId="0" xr:uid="{00000000-0006-0000-0200-0000B0000000}">
      <text>
        <r>
          <rPr>
            <sz val="11"/>
            <color indexed="8"/>
            <rFont val="맑은 고딕"/>
            <family val="3"/>
            <charset val="129"/>
          </rPr>
          <t>2026.04.09 주당 1000원 배당(세금X)</t>
        </r>
      </text>
    </comment>
    <comment ref="N497" authorId="1" shapeId="0" xr:uid="{00000000-0006-0000-0200-0000B1000000}">
      <text>
        <r>
          <rPr>
            <sz val="11"/>
            <color indexed="8"/>
            <rFont val="맑은 고딕"/>
            <family val="3"/>
            <charset val="129"/>
          </rPr>
          <t>2026.04.09 주당 1000원 배당(세금X)</t>
        </r>
      </text>
    </comment>
    <comment ref="N498" authorId="1" shapeId="0" xr:uid="{00000000-0006-0000-0200-0000B2000000}">
      <text>
        <r>
          <rPr>
            <sz val="11"/>
            <color indexed="8"/>
            <rFont val="맑은 고딕"/>
            <family val="3"/>
            <charset val="129"/>
          </rPr>
          <t>2026.04.09 주당 1000원 배당(세금X)</t>
        </r>
      </text>
    </comment>
    <comment ref="N499" authorId="1" shapeId="0" xr:uid="{00000000-0006-0000-0200-0000B3000000}">
      <text>
        <r>
          <rPr>
            <sz val="11"/>
            <color indexed="8"/>
            <rFont val="맑은 고딕"/>
            <family val="3"/>
            <charset val="129"/>
          </rPr>
          <t>2026.04.09 주당 1000원 배당(세금X)</t>
        </r>
      </text>
    </comment>
    <comment ref="N500" authorId="1" shapeId="0" xr:uid="{00000000-0006-0000-0200-0000B4000000}">
      <text>
        <r>
          <rPr>
            <sz val="11"/>
            <color indexed="8"/>
            <rFont val="맑은 고딕"/>
            <family val="3"/>
            <charset val="129"/>
          </rPr>
          <t>2026.04.09 주당 1000원 배당(세금X)</t>
        </r>
      </text>
    </comment>
    <comment ref="N501" authorId="1" shapeId="0" xr:uid="{00000000-0006-0000-0200-0000B5000000}">
      <text>
        <r>
          <rPr>
            <sz val="11"/>
            <color indexed="8"/>
            <rFont val="맑은 고딕"/>
            <family val="3"/>
            <charset val="129"/>
          </rPr>
          <t>2026.04.09 주당 1000원 배당(세금X)</t>
        </r>
      </text>
    </comment>
    <comment ref="N502" authorId="1" shapeId="0" xr:uid="{00000000-0006-0000-0200-0000B6000000}">
      <text>
        <r>
          <rPr>
            <sz val="11"/>
            <color indexed="8"/>
            <rFont val="맑은 고딕"/>
            <family val="3"/>
            <charset val="129"/>
          </rPr>
          <t>2026.04.09 주당 1000원 배당(세금X)</t>
        </r>
      </text>
    </comment>
    <comment ref="N503" authorId="1" shapeId="0" xr:uid="{00000000-0006-0000-0200-0000B7000000}">
      <text>
        <r>
          <rPr>
            <sz val="11"/>
            <color indexed="8"/>
            <rFont val="맑은 고딕"/>
            <family val="3"/>
            <charset val="129"/>
          </rPr>
          <t>2026.04.09 주당 1000원 배당(세금X)</t>
        </r>
      </text>
    </comment>
    <comment ref="N504" authorId="1" shapeId="0" xr:uid="{00000000-0006-0000-0200-0000B8000000}">
      <text>
        <r>
          <rPr>
            <sz val="11"/>
            <color indexed="8"/>
            <rFont val="맑은 고딕"/>
            <family val="3"/>
            <charset val="129"/>
          </rPr>
          <t>2026.04.09 주당 1000원 배당(세금X)</t>
        </r>
      </text>
    </comment>
    <comment ref="N505" authorId="1" shapeId="0" xr:uid="{00000000-0006-0000-0200-0000B9000000}">
      <text>
        <r>
          <rPr>
            <sz val="11"/>
            <color indexed="8"/>
            <rFont val="맑은 고딕"/>
            <family val="3"/>
            <charset val="129"/>
          </rPr>
          <t>2026.04.09 주당 1000원 배당(세금X)</t>
        </r>
      </text>
    </comment>
    <comment ref="N506" authorId="1" shapeId="0" xr:uid="{00000000-0006-0000-0200-0000BA000000}">
      <text>
        <r>
          <rPr>
            <sz val="11"/>
            <color indexed="8"/>
            <rFont val="맑은 고딕"/>
            <family val="3"/>
            <charset val="129"/>
          </rPr>
          <t>2026.04.09 주당 1000원 배당(세금X)</t>
        </r>
      </text>
    </comment>
    <comment ref="N507" authorId="1" shapeId="0" xr:uid="{00000000-0006-0000-0200-0000BB000000}">
      <text>
        <r>
          <rPr>
            <sz val="11"/>
            <color indexed="8"/>
            <rFont val="맑은 고딕"/>
            <family val="3"/>
            <charset val="129"/>
          </rPr>
          <t>2026.04.09 주당 1000원 배당(세금X)</t>
        </r>
      </text>
    </comment>
    <comment ref="K508" authorId="0" shapeId="0" xr:uid="{00000000-0006-0000-0200-0000BC000000}">
      <text>
        <r>
          <rPr>
            <sz val="11"/>
            <color indexed="8"/>
            <rFont val="맑은 고딕"/>
            <family val="3"/>
            <charset val="129"/>
          </rPr>
          <t>토스증권 이전 수수료</t>
        </r>
      </text>
    </comment>
    <comment ref="N508" authorId="0" shapeId="0" xr:uid="{00000000-0006-0000-0200-0000BD000000}">
      <text>
        <r>
          <rPr>
            <sz val="11"/>
            <color indexed="8"/>
            <rFont val="맑은 고딕"/>
            <family val="3"/>
            <charset val="129"/>
          </rPr>
          <t>2023.09.25 액면병합 단주대금</t>
        </r>
      </text>
    </comment>
    <comment ref="Q508" authorId="0" shapeId="0" xr:uid="{00000000-0006-0000-0200-0000BE000000}">
      <text>
        <r>
          <rPr>
            <sz val="11"/>
            <color indexed="8"/>
            <rFont val="맑은 고딕"/>
            <family val="3"/>
            <charset val="129"/>
          </rPr>
          <t>2021.03.19 감자(200-&gt;99)
2023.09.12 액면병합 (99-&gt;19)</t>
        </r>
      </text>
    </comment>
    <comment ref="N626" authorId="1" shapeId="0" xr:uid="{00000000-0006-0000-0200-0000BF000000}">
      <text>
        <r>
          <rPr>
            <sz val="11"/>
            <color indexed="8"/>
            <rFont val="맑은 고딕"/>
            <family val="3"/>
            <charset val="129"/>
          </rPr>
          <t xml:space="preserve">2026.04.03 주당 600원
</t>
        </r>
      </text>
    </comment>
    <comment ref="N627" authorId="1" shapeId="0" xr:uid="{00000000-0006-0000-0200-0000C0000000}">
      <text>
        <r>
          <rPr>
            <sz val="11"/>
            <color indexed="8"/>
            <rFont val="맑은 고딕"/>
            <family val="3"/>
            <charset val="129"/>
          </rPr>
          <t xml:space="preserve">2026.04.03 주당 600원
</t>
        </r>
      </text>
    </comment>
    <comment ref="N628" authorId="1" shapeId="0" xr:uid="{00000000-0006-0000-0200-0000C1000000}">
      <text>
        <r>
          <rPr>
            <sz val="11"/>
            <color indexed="8"/>
            <rFont val="맑은 고딕"/>
            <family val="3"/>
            <charset val="129"/>
          </rPr>
          <t xml:space="preserve">2026.04.03 주당 600원
</t>
        </r>
      </text>
    </comment>
    <comment ref="N629" authorId="1" shapeId="0" xr:uid="{00000000-0006-0000-0200-0000C2000000}">
      <text>
        <r>
          <rPr>
            <sz val="11"/>
            <color indexed="8"/>
            <rFont val="맑은 고딕"/>
            <family val="3"/>
            <charset val="129"/>
          </rPr>
          <t xml:space="preserve">2026.04.03 주당 600원
</t>
        </r>
      </text>
    </comment>
    <comment ref="N630" authorId="1" shapeId="0" xr:uid="{00000000-0006-0000-0200-0000C3000000}">
      <text>
        <r>
          <rPr>
            <sz val="11"/>
            <color indexed="8"/>
            <rFont val="맑은 고딕"/>
            <family val="3"/>
            <charset val="129"/>
          </rPr>
          <t xml:space="preserve">2026.04.03 주당 600원
</t>
        </r>
      </text>
    </comment>
    <comment ref="N631" authorId="1" shapeId="0" xr:uid="{00000000-0006-0000-0200-0000C4000000}">
      <text>
        <r>
          <rPr>
            <sz val="11"/>
            <color indexed="8"/>
            <rFont val="맑은 고딕"/>
            <family val="3"/>
            <charset val="129"/>
          </rPr>
          <t xml:space="preserve">2026.04.03 주당 600원
</t>
        </r>
      </text>
    </comment>
    <comment ref="N637" authorId="0" shapeId="0" xr:uid="{00000000-0006-0000-0200-0000C5000000}">
      <text>
        <r>
          <rPr>
            <sz val="11"/>
            <color indexed="8"/>
            <rFont val="맑은 고딕"/>
            <family val="3"/>
            <charset val="129"/>
          </rPr>
          <t>2023.02.07 무상증자 단주대금 13,895원</t>
        </r>
      </text>
    </comment>
    <comment ref="L652" authorId="0" shapeId="0" xr:uid="{00000000-0006-0000-0200-0000C6000000}">
      <text>
        <r>
          <rPr>
            <sz val="11"/>
            <color indexed="8"/>
            <rFont val="맑은 고딕"/>
            <family val="3"/>
            <charset val="129"/>
          </rPr>
          <t xml:space="preserve">토스증권 수수료 무료
25.12.15~26.6.30
</t>
        </r>
      </text>
    </comment>
    <comment ref="N652" authorId="1" shapeId="0" xr:uid="{00000000-0006-0000-0200-0000C7000000}">
      <text>
        <r>
          <rPr>
            <sz val="11"/>
            <color indexed="8"/>
            <rFont val="맑은 고딕"/>
            <family val="3"/>
            <charset val="129"/>
          </rPr>
          <t xml:space="preserve">2026-04-10 주당 350원 배당
</t>
        </r>
      </text>
    </comment>
    <comment ref="K653" authorId="0" shapeId="0" xr:uid="{00000000-0006-0000-0200-0000C8000000}">
      <text>
        <r>
          <rPr>
            <sz val="11"/>
            <color indexed="8"/>
            <rFont val="맑은 고딕"/>
            <family val="3"/>
            <charset val="129"/>
          </rPr>
          <t xml:space="preserve">토스증권 수수료 무료
25.12.15~26.6.30
</t>
        </r>
      </text>
    </comment>
    <comment ref="L653" authorId="0" shapeId="0" xr:uid="{00000000-0006-0000-0200-0000C9000000}">
      <text>
        <r>
          <rPr>
            <sz val="11"/>
            <color indexed="8"/>
            <rFont val="맑은 고딕"/>
            <family val="3"/>
            <charset val="129"/>
          </rPr>
          <t xml:space="preserve">토스증권 수수료 무료
25.12.15~26.6.30
</t>
        </r>
      </text>
    </comment>
    <comment ref="N653" authorId="1" shapeId="0" xr:uid="{00000000-0006-0000-0200-0000CA000000}">
      <text>
        <r>
          <rPr>
            <sz val="11"/>
            <color indexed="8"/>
            <rFont val="맑은 고딕"/>
            <family val="3"/>
            <charset val="129"/>
          </rPr>
          <t xml:space="preserve">2026-04-10 주당 350원 배당
</t>
        </r>
      </text>
    </comment>
    <comment ref="K654" authorId="0" shapeId="0" xr:uid="{00000000-0006-0000-0200-0000CB000000}">
      <text>
        <r>
          <rPr>
            <sz val="11"/>
            <color indexed="8"/>
            <rFont val="맑은 고딕"/>
            <family val="3"/>
            <charset val="129"/>
          </rPr>
          <t xml:space="preserve">토스증권 수수료 무료
25.12.15~26.6.30
</t>
        </r>
      </text>
    </comment>
    <comment ref="L654" authorId="0" shapeId="0" xr:uid="{00000000-0006-0000-0200-0000CC000000}">
      <text>
        <r>
          <rPr>
            <sz val="11"/>
            <color indexed="8"/>
            <rFont val="맑은 고딕"/>
            <family val="3"/>
            <charset val="129"/>
          </rPr>
          <t xml:space="preserve">토스증권 수수료 무료
25.12.15~26.6.30
</t>
        </r>
      </text>
    </comment>
    <comment ref="N654" authorId="1" shapeId="0" xr:uid="{00000000-0006-0000-0200-0000CD000000}">
      <text>
        <r>
          <rPr>
            <sz val="11"/>
            <color indexed="8"/>
            <rFont val="맑은 고딕"/>
            <family val="3"/>
            <charset val="129"/>
          </rPr>
          <t xml:space="preserve">2026-04-10 주당 350원 배당
</t>
        </r>
      </text>
    </comment>
    <comment ref="K655" authorId="0" shapeId="0" xr:uid="{00000000-0006-0000-0200-0000CE000000}">
      <text>
        <r>
          <rPr>
            <sz val="11"/>
            <color indexed="8"/>
            <rFont val="맑은 고딕"/>
            <family val="3"/>
            <charset val="129"/>
          </rPr>
          <t xml:space="preserve">토스증권 수수료 무료
25.12.15~26.6.30
</t>
        </r>
      </text>
    </comment>
    <comment ref="L655" authorId="0" shapeId="0" xr:uid="{00000000-0006-0000-0200-0000CF000000}">
      <text>
        <r>
          <rPr>
            <sz val="11"/>
            <color indexed="8"/>
            <rFont val="맑은 고딕"/>
            <family val="3"/>
            <charset val="129"/>
          </rPr>
          <t xml:space="preserve">토스증권 수수료 무료
25.12.15~26.6.30
</t>
        </r>
      </text>
    </comment>
    <comment ref="N655" authorId="1" shapeId="0" xr:uid="{00000000-0006-0000-0200-0000D0000000}">
      <text>
        <r>
          <rPr>
            <sz val="11"/>
            <color indexed="8"/>
            <rFont val="맑은 고딕"/>
            <family val="3"/>
            <charset val="129"/>
          </rPr>
          <t xml:space="preserve">2026-04-10 주당 350원 배당
</t>
        </r>
      </text>
    </comment>
    <comment ref="K656" authorId="0" shapeId="0" xr:uid="{00000000-0006-0000-0200-0000D1000000}">
      <text>
        <r>
          <rPr>
            <sz val="11"/>
            <color indexed="8"/>
            <rFont val="맑은 고딕"/>
            <family val="3"/>
            <charset val="129"/>
          </rPr>
          <t xml:space="preserve">토스증권 수수료 무료
25.12.15~26.6.30
</t>
        </r>
      </text>
    </comment>
    <comment ref="L656" authorId="0" shapeId="0" xr:uid="{00000000-0006-0000-0200-0000D2000000}">
      <text>
        <r>
          <rPr>
            <sz val="11"/>
            <color indexed="8"/>
            <rFont val="맑은 고딕"/>
            <family val="3"/>
            <charset val="129"/>
          </rPr>
          <t xml:space="preserve">토스증권 수수료 무료
25.12.15~26.6.30
</t>
        </r>
      </text>
    </comment>
    <comment ref="N656" authorId="1" shapeId="0" xr:uid="{00000000-0006-0000-0200-0000D3000000}">
      <text>
        <r>
          <rPr>
            <sz val="11"/>
            <color indexed="8"/>
            <rFont val="맑은 고딕"/>
            <family val="3"/>
            <charset val="129"/>
          </rPr>
          <t xml:space="preserve">2026-04-10 주당 350원 배당
</t>
        </r>
      </text>
    </comment>
    <comment ref="K657" authorId="0" shapeId="0" xr:uid="{00000000-0006-0000-0200-0000D4000000}">
      <text>
        <r>
          <rPr>
            <sz val="11"/>
            <color indexed="8"/>
            <rFont val="맑은 고딕"/>
            <family val="3"/>
            <charset val="129"/>
          </rPr>
          <t xml:space="preserve">토스증권 수수료 무료
25.12.15~26.6.30
</t>
        </r>
      </text>
    </comment>
    <comment ref="L657" authorId="0" shapeId="0" xr:uid="{00000000-0006-0000-0200-0000D5000000}">
      <text>
        <r>
          <rPr>
            <sz val="11"/>
            <color indexed="8"/>
            <rFont val="맑은 고딕"/>
            <family val="3"/>
            <charset val="129"/>
          </rPr>
          <t xml:space="preserve">토스증권 수수료 무료
25.12.15~26.6.30
</t>
        </r>
      </text>
    </comment>
    <comment ref="N657" authorId="1" shapeId="0" xr:uid="{00000000-0006-0000-0200-0000D6000000}">
      <text>
        <r>
          <rPr>
            <sz val="11"/>
            <color indexed="8"/>
            <rFont val="맑은 고딕"/>
            <family val="3"/>
            <charset val="129"/>
          </rPr>
          <t xml:space="preserve">2026-04-10 주당 350원 배당
</t>
        </r>
      </text>
    </comment>
    <comment ref="K658" authorId="0" shapeId="0" xr:uid="{00000000-0006-0000-0200-0000D7000000}">
      <text>
        <r>
          <rPr>
            <sz val="11"/>
            <color indexed="8"/>
            <rFont val="맑은 고딕"/>
            <family val="3"/>
            <charset val="129"/>
          </rPr>
          <t xml:space="preserve">토스증권 수수료 무료
25.12.15~26.6.30
</t>
        </r>
      </text>
    </comment>
    <comment ref="L658" authorId="0" shapeId="0" xr:uid="{00000000-0006-0000-0200-0000D8000000}">
      <text>
        <r>
          <rPr>
            <sz val="11"/>
            <color indexed="8"/>
            <rFont val="맑은 고딕"/>
            <family val="3"/>
            <charset val="129"/>
          </rPr>
          <t xml:space="preserve">토스증권 수수료 무료
25.12.15~26.6.30
</t>
        </r>
      </text>
    </comment>
    <comment ref="N658" authorId="1" shapeId="0" xr:uid="{00000000-0006-0000-0200-0000D9000000}">
      <text>
        <r>
          <rPr>
            <sz val="11"/>
            <color indexed="8"/>
            <rFont val="맑은 고딕"/>
            <family val="3"/>
            <charset val="129"/>
          </rPr>
          <t xml:space="preserve">2026-04-10 주당 350원 배당
</t>
        </r>
      </text>
    </comment>
    <comment ref="K659" authorId="0" shapeId="0" xr:uid="{00000000-0006-0000-0200-0000DA000000}">
      <text>
        <r>
          <rPr>
            <sz val="11"/>
            <color indexed="8"/>
            <rFont val="맑은 고딕"/>
            <family val="3"/>
            <charset val="129"/>
          </rPr>
          <t xml:space="preserve">토스증권 수수료 무료
25.12.15~26.6.30
</t>
        </r>
      </text>
    </comment>
    <comment ref="L659" authorId="0" shapeId="0" xr:uid="{00000000-0006-0000-0200-0000DB000000}">
      <text>
        <r>
          <rPr>
            <sz val="11"/>
            <color indexed="8"/>
            <rFont val="맑은 고딕"/>
            <family val="3"/>
            <charset val="129"/>
          </rPr>
          <t xml:space="preserve">토스증권 수수료 무료
25.12.15~26.6.30
</t>
        </r>
      </text>
    </comment>
    <comment ref="N659" authorId="1" shapeId="0" xr:uid="{00000000-0006-0000-0200-0000DC000000}">
      <text>
        <r>
          <rPr>
            <sz val="11"/>
            <color indexed="8"/>
            <rFont val="맑은 고딕"/>
            <family val="3"/>
            <charset val="129"/>
          </rPr>
          <t xml:space="preserve">2026-04-10 주당 350원 배당
</t>
        </r>
      </text>
    </comment>
    <comment ref="K660" authorId="0" shapeId="0" xr:uid="{00000000-0006-0000-0200-0000DD000000}">
      <text>
        <r>
          <rPr>
            <sz val="11"/>
            <color indexed="8"/>
            <rFont val="맑은 고딕"/>
            <family val="3"/>
            <charset val="129"/>
          </rPr>
          <t xml:space="preserve">토스증권 수수료 무료
25.12.15~26.6.30
</t>
        </r>
      </text>
    </comment>
    <comment ref="L660" authorId="0" shapeId="0" xr:uid="{00000000-0006-0000-0200-0000DE000000}">
      <text>
        <r>
          <rPr>
            <sz val="11"/>
            <color indexed="8"/>
            <rFont val="맑은 고딕"/>
            <family val="3"/>
            <charset val="129"/>
          </rPr>
          <t xml:space="preserve">토스증권 수수료 무료
25.12.15~26.6.30
</t>
        </r>
      </text>
    </comment>
    <comment ref="L661" authorId="0" shapeId="0" xr:uid="{00000000-0006-0000-0200-0000DF000000}">
      <text>
        <r>
          <rPr>
            <sz val="11"/>
            <color indexed="8"/>
            <rFont val="맑은 고딕"/>
            <family val="3"/>
            <charset val="129"/>
          </rPr>
          <t xml:space="preserve">토스증권 수수료 무료
25.12.15~26.6.30
</t>
        </r>
      </text>
    </comment>
    <comment ref="L662" authorId="0" shapeId="0" xr:uid="{00000000-0006-0000-0200-0000E0000000}">
      <text>
        <r>
          <rPr>
            <sz val="11"/>
            <color indexed="8"/>
            <rFont val="맑은 고딕"/>
            <family val="3"/>
            <charset val="129"/>
          </rPr>
          <t xml:space="preserve">토스증권 수수료 무료
25.12.15~26.6.30
</t>
        </r>
      </text>
    </comment>
    <comment ref="L663" authorId="0" shapeId="0" xr:uid="{00000000-0006-0000-0200-0000E1000000}">
      <text>
        <r>
          <rPr>
            <sz val="11"/>
            <color indexed="8"/>
            <rFont val="맑은 고딕"/>
            <family val="3"/>
            <charset val="129"/>
          </rPr>
          <t xml:space="preserve">토스증권 수수료 무료
25.12.15~26.6.30
</t>
        </r>
      </text>
    </comment>
    <comment ref="L664" authorId="0" shapeId="0" xr:uid="{00000000-0006-0000-0200-0000E2000000}">
      <text>
        <r>
          <rPr>
            <sz val="11"/>
            <color indexed="8"/>
            <rFont val="맑은 고딕"/>
            <family val="3"/>
            <charset val="129"/>
          </rPr>
          <t xml:space="preserve">토스증권 수수료 무료
25.12.15~26.6.30
</t>
        </r>
      </text>
    </comment>
    <comment ref="L665" authorId="0" shapeId="0" xr:uid="{00000000-0006-0000-0200-0000E3000000}">
      <text>
        <r>
          <rPr>
            <sz val="11"/>
            <color indexed="8"/>
            <rFont val="맑은 고딕"/>
            <family val="3"/>
            <charset val="129"/>
          </rPr>
          <t xml:space="preserve">토스증권 수수료 무료
25.12.15~26.6.30
</t>
        </r>
      </text>
    </comment>
    <comment ref="K666" authorId="0" shapeId="0" xr:uid="{00000000-0006-0000-0200-0000E4000000}">
      <text>
        <r>
          <rPr>
            <sz val="11"/>
            <color indexed="8"/>
            <rFont val="맑은 고딕"/>
            <family val="3"/>
            <charset val="129"/>
          </rPr>
          <t xml:space="preserve">토스증권 수수료 무료
25.12.15~26.6.30
</t>
        </r>
      </text>
    </comment>
    <comment ref="L666" authorId="0" shapeId="0" xr:uid="{00000000-0006-0000-0200-0000E5000000}">
      <text>
        <r>
          <rPr>
            <sz val="11"/>
            <color indexed="8"/>
            <rFont val="맑은 고딕"/>
            <family val="3"/>
            <charset val="129"/>
          </rPr>
          <t xml:space="preserve">토스증권 수수료 무료
25.12.15~26.6.30
</t>
        </r>
      </text>
    </comment>
    <comment ref="L667" authorId="0" shapeId="0" xr:uid="{00000000-0006-0000-0200-0000E6000000}">
      <text>
        <r>
          <rPr>
            <sz val="11"/>
            <color indexed="8"/>
            <rFont val="맑은 고딕"/>
            <family val="3"/>
            <charset val="129"/>
          </rPr>
          <t xml:space="preserve">토스증권 수수료 무료
25.12.15~26.6.30
</t>
        </r>
      </text>
    </comment>
    <comment ref="K668" authorId="0" shapeId="0" xr:uid="{00000000-0006-0000-0200-0000E7000000}">
      <text>
        <r>
          <rPr>
            <sz val="11"/>
            <color indexed="8"/>
            <rFont val="맑은 고딕"/>
            <family val="3"/>
            <charset val="129"/>
          </rPr>
          <t xml:space="preserve">토스증권 수수료 무료
25.12.15~26.6.30
</t>
        </r>
      </text>
    </comment>
    <comment ref="L668" authorId="0" shapeId="0" xr:uid="{00000000-0006-0000-0200-0000E8000000}">
      <text>
        <r>
          <rPr>
            <sz val="11"/>
            <color indexed="8"/>
            <rFont val="맑은 고딕"/>
            <family val="3"/>
            <charset val="129"/>
          </rPr>
          <t xml:space="preserve">토스증권 수수료 무료
25.12.15~26.6.30
</t>
        </r>
      </text>
    </comment>
    <comment ref="L669" authorId="0" shapeId="0" xr:uid="{00000000-0006-0000-0200-0000E9000000}">
      <text>
        <r>
          <rPr>
            <sz val="11"/>
            <color indexed="8"/>
            <rFont val="맑은 고딕"/>
            <family val="3"/>
            <charset val="129"/>
          </rPr>
          <t xml:space="preserve">토스증권 수수료 무료
25.12.15~26.6.30
</t>
        </r>
      </text>
    </comment>
    <comment ref="L670" authorId="0" shapeId="0" xr:uid="{00000000-0006-0000-0200-0000EA000000}">
      <text>
        <r>
          <rPr>
            <sz val="11"/>
            <color indexed="8"/>
            <rFont val="맑은 고딕"/>
            <family val="3"/>
            <charset val="129"/>
          </rPr>
          <t xml:space="preserve">토스증권 수수료 무료
25.12.15~26.6.30
</t>
        </r>
      </text>
    </comment>
    <comment ref="N680" authorId="0" shapeId="0" xr:uid="{00000000-0006-0000-0200-0000EB000000}">
      <text>
        <r>
          <rPr>
            <sz val="11"/>
            <color indexed="8"/>
            <rFont val="맑은 고딕"/>
            <family val="3"/>
            <charset val="129"/>
          </rPr>
          <t>2025.01.31. 무상증자-무상단수주 입금
*0.05:1 무상증자
2025.04.11. 주당 1,100원 배당(소액 비과세)
2026-04-10 주당 500원 배당</t>
        </r>
      </text>
    </comment>
    <comment ref="N681" authorId="1" shapeId="0" xr:uid="{00000000-0006-0000-0200-0000EC000000}">
      <text>
        <r>
          <rPr>
            <sz val="11"/>
            <color indexed="8"/>
            <rFont val="맑은 고딕"/>
            <family val="3"/>
            <charset val="129"/>
          </rPr>
          <t xml:space="preserve">2026-04-10 주당 500원 배당
</t>
        </r>
      </text>
    </comment>
    <comment ref="N682" authorId="1" shapeId="0" xr:uid="{00000000-0006-0000-0200-0000ED000000}">
      <text>
        <r>
          <rPr>
            <sz val="11"/>
            <color indexed="8"/>
            <rFont val="맑은 고딕"/>
            <family val="3"/>
            <charset val="129"/>
          </rPr>
          <t xml:space="preserve">2026-04-10 주당 500원 배당
</t>
        </r>
      </text>
    </comment>
    <comment ref="N683" authorId="1" shapeId="0" xr:uid="{00000000-0006-0000-0200-0000EE000000}">
      <text>
        <r>
          <rPr>
            <sz val="11"/>
            <color indexed="8"/>
            <rFont val="맑은 고딕"/>
            <family val="3"/>
            <charset val="129"/>
          </rPr>
          <t xml:space="preserve">2026-04-10 주당 500원 배당
</t>
        </r>
      </text>
    </comment>
    <comment ref="N684" authorId="1" shapeId="0" xr:uid="{00000000-0006-0000-0200-0000EF000000}">
      <text>
        <r>
          <rPr>
            <sz val="11"/>
            <color indexed="8"/>
            <rFont val="맑은 고딕"/>
            <family val="3"/>
            <charset val="129"/>
          </rPr>
          <t xml:space="preserve">2026-04-10 주당 500원 배당
</t>
        </r>
      </text>
    </comment>
    <comment ref="N685" authorId="1" shapeId="0" xr:uid="{00000000-0006-0000-0200-0000F0000000}">
      <text>
        <r>
          <rPr>
            <sz val="11"/>
            <color indexed="8"/>
            <rFont val="맑은 고딕"/>
            <family val="3"/>
            <charset val="129"/>
          </rPr>
          <t xml:space="preserve">2026-04-10 주당 500원 배당
</t>
        </r>
      </text>
    </comment>
    <comment ref="N686" authorId="1" shapeId="0" xr:uid="{00000000-0006-0000-0200-0000F1000000}">
      <text>
        <r>
          <rPr>
            <sz val="11"/>
            <color indexed="8"/>
            <rFont val="맑은 고딕"/>
            <family val="3"/>
            <charset val="129"/>
          </rPr>
          <t xml:space="preserve">2026-04-10 주당 500원 배당
</t>
        </r>
      </text>
    </comment>
    <comment ref="N687" authorId="1" shapeId="0" xr:uid="{00000000-0006-0000-0200-0000F2000000}">
      <text>
        <r>
          <rPr>
            <sz val="11"/>
            <color indexed="8"/>
            <rFont val="맑은 고딕"/>
            <family val="3"/>
            <charset val="129"/>
          </rPr>
          <t xml:space="preserve">2026-04-10 주당 500원 배당
</t>
        </r>
      </text>
    </comment>
    <comment ref="N688" authorId="1" shapeId="0" xr:uid="{00000000-0006-0000-0200-0000F3000000}">
      <text>
        <r>
          <rPr>
            <sz val="11"/>
            <color indexed="8"/>
            <rFont val="맑은 고딕"/>
            <family val="3"/>
            <charset val="129"/>
          </rPr>
          <t xml:space="preserve">2026-04-10 주당 500원 배당
</t>
        </r>
      </text>
    </comment>
    <comment ref="N689" authorId="1" shapeId="0" xr:uid="{00000000-0006-0000-0200-0000F4000000}">
      <text>
        <r>
          <rPr>
            <sz val="11"/>
            <color indexed="8"/>
            <rFont val="맑은 고딕"/>
            <family val="3"/>
            <charset val="129"/>
          </rPr>
          <t xml:space="preserve">2026-04-10 주당 500원 배당
</t>
        </r>
      </text>
    </comment>
    <comment ref="N690" authorId="1" shapeId="0" xr:uid="{00000000-0006-0000-0200-0000F5000000}">
      <text>
        <r>
          <rPr>
            <sz val="11"/>
            <color indexed="8"/>
            <rFont val="맑은 고딕"/>
            <family val="3"/>
            <charset val="129"/>
          </rPr>
          <t xml:space="preserve">2026-04-10 주당 500원 배당
</t>
        </r>
      </text>
    </comment>
    <comment ref="N691" authorId="1" shapeId="0" xr:uid="{00000000-0006-0000-0200-0000F6000000}">
      <text>
        <r>
          <rPr>
            <sz val="11"/>
            <color indexed="8"/>
            <rFont val="맑은 고딕"/>
            <family val="3"/>
            <charset val="129"/>
          </rPr>
          <t xml:space="preserve">2026-04-10 주당 500원 배당
</t>
        </r>
      </text>
    </comment>
    <comment ref="N692" authorId="1" shapeId="0" xr:uid="{00000000-0006-0000-0200-0000F7000000}">
      <text>
        <r>
          <rPr>
            <sz val="11"/>
            <color indexed="8"/>
            <rFont val="맑은 고딕"/>
            <family val="3"/>
            <charset val="129"/>
          </rPr>
          <t xml:space="preserve">2026-04-10 주당 500원 배당
</t>
        </r>
      </text>
    </comment>
    <comment ref="K696" authorId="0" shapeId="0" xr:uid="{00000000-0006-0000-0200-0000F8000000}">
      <text>
        <r>
          <rPr>
            <sz val="11"/>
            <color indexed="8"/>
            <rFont val="맑은 고딕"/>
            <family val="3"/>
            <charset val="129"/>
          </rPr>
          <t xml:space="preserve">토스증권 수수료 무료
25.12.15~26.6.30
</t>
        </r>
      </text>
    </comment>
    <comment ref="K726" authorId="0" shapeId="0" xr:uid="{00000000-0006-0000-0200-0000F9000000}">
      <text>
        <r>
          <rPr>
            <sz val="11"/>
            <color indexed="8"/>
            <rFont val="맑은 고딕"/>
            <family val="3"/>
            <charset val="129"/>
          </rPr>
          <t xml:space="preserve">토스증권 수수료 무료
25.12.15~26.6.30
</t>
        </r>
      </text>
    </comment>
    <comment ref="L726" authorId="0" shapeId="0" xr:uid="{00000000-0006-0000-0200-0000FA000000}">
      <text>
        <r>
          <rPr>
            <sz val="11"/>
            <color indexed="8"/>
            <rFont val="맑은 고딕"/>
            <family val="3"/>
            <charset val="129"/>
          </rPr>
          <t xml:space="preserve">토스증권 수수료 무료
25.12.15~26.6.30
</t>
        </r>
      </text>
    </comment>
    <comment ref="N732" authorId="1" shapeId="0" xr:uid="{00000000-0006-0000-0200-0000FB000000}">
      <text>
        <r>
          <rPr>
            <sz val="11"/>
            <color indexed="8"/>
            <rFont val="맑은 고딕"/>
            <family val="3"/>
            <charset val="129"/>
          </rPr>
          <t>2026-03-31 주당 1200원 배당</t>
        </r>
      </text>
    </comment>
    <comment ref="N733" authorId="1" shapeId="0" xr:uid="{00000000-0006-0000-0200-0000FC000000}">
      <text>
        <r>
          <rPr>
            <sz val="11"/>
            <color indexed="8"/>
            <rFont val="맑은 고딕"/>
            <family val="3"/>
            <charset val="129"/>
          </rPr>
          <t>2026-03-31 주당 1200원 배당</t>
        </r>
      </text>
    </comment>
    <comment ref="N734" authorId="1" shapeId="0" xr:uid="{00000000-0006-0000-0200-0000FD000000}">
      <text>
        <r>
          <rPr>
            <sz val="11"/>
            <color indexed="8"/>
            <rFont val="맑은 고딕"/>
            <family val="3"/>
            <charset val="129"/>
          </rPr>
          <t>2026-03-31 주당 1200원 배당</t>
        </r>
      </text>
    </comment>
    <comment ref="N735" authorId="1" shapeId="0" xr:uid="{00000000-0006-0000-0200-0000FE000000}">
      <text>
        <r>
          <rPr>
            <sz val="11"/>
            <color indexed="8"/>
            <rFont val="맑은 고딕"/>
            <family val="3"/>
            <charset val="129"/>
          </rPr>
          <t>2026-03-31 주당 1200원 배당</t>
        </r>
      </text>
    </comment>
    <comment ref="N736" authorId="1" shapeId="0" xr:uid="{00000000-0006-0000-0200-0000FF000000}">
      <text>
        <r>
          <rPr>
            <sz val="11"/>
            <color indexed="8"/>
            <rFont val="맑은 고딕"/>
            <family val="3"/>
            <charset val="129"/>
          </rPr>
          <t>2026-03-31 주당 1200원 배당</t>
        </r>
      </text>
    </comment>
    <comment ref="N737" authorId="1" shapeId="0" xr:uid="{00000000-0006-0000-0200-000000010000}">
      <text>
        <r>
          <rPr>
            <sz val="11"/>
            <color indexed="8"/>
            <rFont val="맑은 고딕"/>
            <family val="3"/>
            <charset val="129"/>
          </rPr>
          <t>2026-03-31 주당 1200원 배당</t>
        </r>
      </text>
    </comment>
    <comment ref="N738" authorId="1" shapeId="0" xr:uid="{00000000-0006-0000-0200-000001010000}">
      <text>
        <r>
          <rPr>
            <sz val="11"/>
            <color indexed="8"/>
            <rFont val="맑은 고딕"/>
            <family val="3"/>
            <charset val="129"/>
          </rPr>
          <t>2026-03-31 주당 1200원 배당</t>
        </r>
      </text>
    </comment>
    <comment ref="N740" authorId="0" shapeId="0" xr:uid="{00000000-0006-0000-0200-000002010000}">
      <text>
        <r>
          <rPr>
            <sz val="11"/>
            <color indexed="8"/>
            <rFont val="맑은 고딕"/>
            <family val="3"/>
            <charset val="129"/>
          </rPr>
          <t>2021.04.12 주당 320원 배당
2022.04.18 주당 385원 배당
2023.04.26 주당 308원 배당
2024.04.12 주당 308원 배당
2025.04.16 주당 308원 배당(세금x)
2025.09.12 주당 75원 배당(세금x)</t>
        </r>
      </text>
    </comment>
    <comment ref="N741" authorId="0" shapeId="0" xr:uid="{00000000-0006-0000-0200-000003010000}">
      <text>
        <r>
          <rPr>
            <sz val="11"/>
            <color indexed="8"/>
            <rFont val="맑은 고딕"/>
            <family val="3"/>
            <charset val="129"/>
          </rPr>
          <t>2021.04.12 주당 320원 배당
2022.04.18 주당 385원 배당
2023.04.26 주당 308원 배당
2024.04.12 주당 308원 배당
2025.04.16 주당 308원 배당(세금x)
2025.09.12 주당 75원 배당(세금x)</t>
        </r>
      </text>
    </comment>
    <comment ref="N742" authorId="0" shapeId="0" xr:uid="{00000000-0006-0000-0200-000004010000}">
      <text>
        <r>
          <rPr>
            <sz val="11"/>
            <color indexed="8"/>
            <rFont val="맑은 고딕"/>
            <family val="3"/>
            <charset val="129"/>
          </rPr>
          <t>2021.04.12 주당 320원 배당
2022.04.18 주당 385원 배당
2023.04.26 주당 308원 배당
2024.04.12 주당 308원 배당
2025.04.16 주당 308원 배당(세금x)
2025.09.12 주당 75원 배당(세금x)</t>
        </r>
      </text>
    </comment>
    <comment ref="N743" authorId="0" shapeId="0" xr:uid="{00000000-0006-0000-0200-000005010000}">
      <text>
        <r>
          <rPr>
            <sz val="11"/>
            <color indexed="8"/>
            <rFont val="맑은 고딕"/>
            <family val="3"/>
            <charset val="129"/>
          </rPr>
          <t>2021.04.12 주당 320원 배당
2022.04.18 주당 385원 배당
2023.04.26 주당 308원 배당
2024.04.12 주당 308원 배당
2025.04.16 주당 308원 배당(세금x)
2025.09.12 주당 75원 배당(세금x)</t>
        </r>
      </text>
    </comment>
    <comment ref="N744" authorId="0" shapeId="0" xr:uid="{00000000-0006-0000-0200-000006010000}">
      <text>
        <r>
          <rPr>
            <sz val="11"/>
            <color indexed="8"/>
            <rFont val="맑은 고딕"/>
            <family val="3"/>
            <charset val="129"/>
          </rPr>
          <t xml:space="preserve">
2022.04.18 주당 385원 배당
2023.04.26 주당 308원 배당
2024.04.12 주당 308원 배당
2025.04.16 주당 308원 배당(세금x)
2025.09.12 주당 75원 배당(세금x)</t>
        </r>
      </text>
    </comment>
    <comment ref="N745" authorId="0" shapeId="0" xr:uid="{00000000-0006-0000-0200-000007010000}">
      <text>
        <r>
          <rPr>
            <sz val="11"/>
            <color indexed="8"/>
            <rFont val="맑은 고딕"/>
            <family val="3"/>
            <charset val="129"/>
          </rPr>
          <t xml:space="preserve">
2022.04.18 주당 385원 배당
2023.04.26 주당 308원 배당
2024.04.12 주당 308원 배당
2025.04.16 주당 308원 배당(세금x)
2025.09.12 주당 75원 배당(세금x)</t>
        </r>
      </text>
    </comment>
    <comment ref="N746" authorId="0" shapeId="0" xr:uid="{00000000-0006-0000-0200-000008010000}">
      <text>
        <r>
          <rPr>
            <sz val="11"/>
            <color indexed="8"/>
            <rFont val="맑은 고딕"/>
            <family val="3"/>
            <charset val="129"/>
          </rPr>
          <t>2025.04.16. 주당 308원 배당(세금x)
2025.09.12 주당 75원 배당(세금x)</t>
        </r>
      </text>
    </comment>
    <comment ref="N747" authorId="0" shapeId="0" xr:uid="{00000000-0006-0000-0200-000009010000}">
      <text>
        <r>
          <rPr>
            <sz val="11"/>
            <color indexed="8"/>
            <rFont val="맑은 고딕"/>
            <family val="3"/>
            <charset val="129"/>
          </rPr>
          <t>2025.04.16. 주당 308원 배당(세금x)
2025.09.12 주당 75원 배당(세금x)</t>
        </r>
      </text>
    </comment>
    <comment ref="N748" authorId="0" shapeId="0" xr:uid="{00000000-0006-0000-0200-00000A010000}">
      <text>
        <r>
          <rPr>
            <sz val="11"/>
            <color indexed="8"/>
            <rFont val="맑은 고딕"/>
            <family val="3"/>
            <charset val="129"/>
          </rPr>
          <t>2025.04.16. 주당 308원 배당(세금x)
2025.09.12 주당 75원 배당(세금x)</t>
        </r>
      </text>
    </comment>
    <comment ref="N749" authorId="0" shapeId="0" xr:uid="{00000000-0006-0000-0200-00000B010000}">
      <text>
        <r>
          <rPr>
            <sz val="11"/>
            <color indexed="8"/>
            <rFont val="맑은 고딕"/>
            <family val="3"/>
            <charset val="129"/>
          </rPr>
          <t>2025.04.16. 주당 308원 배당(세금x)
2025.09.12 주당 75원 배당(세금x)</t>
        </r>
      </text>
    </comment>
    <comment ref="N750" authorId="0" shapeId="0" xr:uid="{00000000-0006-0000-0200-00000C010000}">
      <text>
        <r>
          <rPr>
            <sz val="11"/>
            <color indexed="8"/>
            <rFont val="맑은 고딕"/>
            <family val="3"/>
            <charset val="129"/>
          </rPr>
          <t>2025.04.16. 주당 308원 배당(세금x)
2025.09.12 주당 75원 배당(세금x)</t>
        </r>
      </text>
    </comment>
    <comment ref="N751" authorId="0" shapeId="0" xr:uid="{00000000-0006-0000-0200-00000D010000}">
      <text>
        <r>
          <rPr>
            <sz val="11"/>
            <color indexed="8"/>
            <rFont val="맑은 고딕"/>
            <family val="3"/>
            <charset val="129"/>
          </rPr>
          <t>2025.04.16. 주당 308원 배당(세금x)
2025.09.12 주당 75원 배당(세금x)</t>
        </r>
      </text>
    </comment>
    <comment ref="N752" authorId="0" shapeId="0" xr:uid="{00000000-0006-0000-0200-00000E010000}">
      <text>
        <r>
          <rPr>
            <sz val="11"/>
            <color indexed="8"/>
            <rFont val="맑은 고딕"/>
            <family val="3"/>
            <charset val="129"/>
          </rPr>
          <t>2025.04.16. 주당 308원 배당(세금x)
2025.09.12 주당 75원 배당(세금x)</t>
        </r>
      </text>
    </comment>
    <comment ref="N753" authorId="0" shapeId="0" xr:uid="{00000000-0006-0000-0200-00000F010000}">
      <text>
        <r>
          <rPr>
            <sz val="11"/>
            <color indexed="8"/>
            <rFont val="맑은 고딕"/>
            <family val="3"/>
            <charset val="129"/>
          </rPr>
          <t>2025.04.16. 주당 308원 배당(세금x)
2025.09.12 주당 75원 배당(세금x)</t>
        </r>
      </text>
    </comment>
    <comment ref="N754" authorId="0" shapeId="0" xr:uid="{00000000-0006-0000-0200-000010010000}">
      <text>
        <r>
          <rPr>
            <sz val="11"/>
            <color indexed="8"/>
            <rFont val="맑은 고딕"/>
            <family val="3"/>
            <charset val="129"/>
          </rPr>
          <t xml:space="preserve">
2025.09.12 주당 75원 배당(세금x)</t>
        </r>
      </text>
    </comment>
    <comment ref="N755" authorId="0" shapeId="0" xr:uid="{00000000-0006-0000-0200-000011010000}">
      <text>
        <r>
          <rPr>
            <sz val="11"/>
            <color indexed="8"/>
            <rFont val="맑은 고딕"/>
            <family val="3"/>
            <charset val="129"/>
          </rPr>
          <t xml:space="preserve">
2025.09.12 주당 75원 배당(세금x)</t>
        </r>
      </text>
    </comment>
    <comment ref="N756" authorId="0" shapeId="0" xr:uid="{00000000-0006-0000-0200-000012010000}">
      <text>
        <r>
          <rPr>
            <sz val="11"/>
            <color indexed="8"/>
            <rFont val="맑은 고딕"/>
            <family val="3"/>
            <charset val="129"/>
          </rPr>
          <t xml:space="preserve">
2025.09.12 주당 75원 배당(세금x)</t>
        </r>
      </text>
    </comment>
    <comment ref="N757" authorId="0" shapeId="0" xr:uid="{00000000-0006-0000-0200-000013010000}">
      <text>
        <r>
          <rPr>
            <sz val="11"/>
            <color indexed="8"/>
            <rFont val="맑은 고딕"/>
            <family val="3"/>
            <charset val="129"/>
          </rPr>
          <t xml:space="preserve">
2025.09.12 주당 75원 배당(세금x)</t>
        </r>
      </text>
    </comment>
    <comment ref="N758" authorId="0" shapeId="0" xr:uid="{00000000-0006-0000-0200-000014010000}">
      <text>
        <r>
          <rPr>
            <sz val="11"/>
            <color indexed="8"/>
            <rFont val="맑은 고딕"/>
            <family val="3"/>
            <charset val="129"/>
          </rPr>
          <t xml:space="preserve">
2025.09.12 주당 75원 배당(세금x)</t>
        </r>
      </text>
    </comment>
    <comment ref="N759" authorId="0" shapeId="0" xr:uid="{00000000-0006-0000-0200-000015010000}">
      <text>
        <r>
          <rPr>
            <sz val="11"/>
            <color indexed="8"/>
            <rFont val="맑은 고딕"/>
            <family val="3"/>
            <charset val="129"/>
          </rPr>
          <t xml:space="preserve">
2025.09.12 주당 75원 배당(세금x)</t>
        </r>
      </text>
    </comment>
    <comment ref="N760" authorId="0" shapeId="0" xr:uid="{00000000-0006-0000-0200-000016010000}">
      <text>
        <r>
          <rPr>
            <sz val="11"/>
            <color indexed="8"/>
            <rFont val="맑은 고딕"/>
            <family val="3"/>
            <charset val="129"/>
          </rPr>
          <t xml:space="preserve">
2025.09.12 주당 75원 배당(세금x)</t>
        </r>
      </text>
    </comment>
    <comment ref="N761" authorId="0" shapeId="0" xr:uid="{00000000-0006-0000-0200-000017010000}">
      <text>
        <r>
          <rPr>
            <sz val="11"/>
            <color indexed="8"/>
            <rFont val="맑은 고딕"/>
            <family val="3"/>
            <charset val="129"/>
          </rPr>
          <t xml:space="preserve">
2025.09.12 주당 75원 배당(세금x)</t>
        </r>
      </text>
    </comment>
    <comment ref="N762" authorId="0" shapeId="0" xr:uid="{00000000-0006-0000-0200-000018010000}">
      <text>
        <r>
          <rPr>
            <sz val="11"/>
            <color indexed="8"/>
            <rFont val="맑은 고딕"/>
            <family val="3"/>
            <charset val="129"/>
          </rPr>
          <t xml:space="preserve">
2025.09.12 주당 75원 배당(세금x)</t>
        </r>
      </text>
    </comment>
    <comment ref="N763" authorId="0" shapeId="0" xr:uid="{00000000-0006-0000-0200-000019010000}">
      <text>
        <r>
          <rPr>
            <sz val="11"/>
            <color indexed="8"/>
            <rFont val="맑은 고딕"/>
            <family val="3"/>
            <charset val="129"/>
          </rPr>
          <t xml:space="preserve">
2025.09.12 주당 75원 배당(세금x)</t>
        </r>
      </text>
    </comment>
    <comment ref="N764" authorId="0" shapeId="0" xr:uid="{00000000-0006-0000-0200-00001A010000}">
      <text>
        <r>
          <rPr>
            <sz val="11"/>
            <color indexed="8"/>
            <rFont val="맑은 고딕"/>
            <family val="3"/>
            <charset val="129"/>
          </rPr>
          <t xml:space="preserve">
2025.09.12 주당 75원 배당(세금x)</t>
        </r>
      </text>
    </comment>
    <comment ref="N765" authorId="0" shapeId="0" xr:uid="{00000000-0006-0000-0200-00001B010000}">
      <text>
        <r>
          <rPr>
            <sz val="11"/>
            <color indexed="8"/>
            <rFont val="맑은 고딕"/>
            <family val="3"/>
            <charset val="129"/>
          </rPr>
          <t xml:space="preserve">
2025.09.12 주당 75원 배당(세금x)</t>
        </r>
      </text>
    </comment>
    <comment ref="N766" authorId="0" shapeId="0" xr:uid="{00000000-0006-0000-0200-00001C010000}">
      <text>
        <r>
          <rPr>
            <sz val="11"/>
            <color indexed="8"/>
            <rFont val="맑은 고딕"/>
            <family val="3"/>
            <charset val="129"/>
          </rPr>
          <t xml:space="preserve">
2025.09.12 주당 75원 배당(세금x)</t>
        </r>
      </text>
    </comment>
    <comment ref="N767" authorId="0" shapeId="0" xr:uid="{00000000-0006-0000-0200-00001D010000}">
      <text>
        <r>
          <rPr>
            <sz val="11"/>
            <color indexed="8"/>
            <rFont val="맑은 고딕"/>
            <family val="3"/>
            <charset val="129"/>
          </rPr>
          <t xml:space="preserve">
2025.09.12 주당 75원 배당(세금x)</t>
        </r>
      </text>
    </comment>
    <comment ref="N768" authorId="0" shapeId="0" xr:uid="{00000000-0006-0000-0200-00001E010000}">
      <text>
        <r>
          <rPr>
            <sz val="11"/>
            <color indexed="8"/>
            <rFont val="맑은 고딕"/>
            <family val="3"/>
            <charset val="129"/>
          </rPr>
          <t xml:space="preserve">
2025.09.12 주당 75원 배당(세금x)</t>
        </r>
      </text>
    </comment>
    <comment ref="N769" authorId="0" shapeId="0" xr:uid="{00000000-0006-0000-0200-00001F010000}">
      <text>
        <r>
          <rPr>
            <sz val="11"/>
            <color indexed="8"/>
            <rFont val="맑은 고딕"/>
            <family val="3"/>
            <charset val="129"/>
          </rPr>
          <t xml:space="preserve">
2025.09.12 주당 75원 배당(세금x)</t>
        </r>
      </text>
    </comment>
    <comment ref="N770" authorId="0" shapeId="0" xr:uid="{00000000-0006-0000-0200-000020010000}">
      <text>
        <r>
          <rPr>
            <sz val="11"/>
            <color indexed="8"/>
            <rFont val="맑은 고딕"/>
            <family val="3"/>
            <charset val="129"/>
          </rPr>
          <t xml:space="preserve">
2025.09.12 주당 75원 배당(세금x)</t>
        </r>
      </text>
    </comment>
    <comment ref="N771" authorId="0" shapeId="0" xr:uid="{00000000-0006-0000-0200-000021010000}">
      <text>
        <r>
          <rPr>
            <sz val="11"/>
            <color indexed="8"/>
            <rFont val="맑은 고딕"/>
            <family val="3"/>
            <charset val="129"/>
          </rPr>
          <t xml:space="preserve">
2025.09.12 주당 75원 배당(세금x)</t>
        </r>
      </text>
    </comment>
    <comment ref="N772" authorId="0" shapeId="0" xr:uid="{00000000-0006-0000-0200-000022010000}">
      <text>
        <r>
          <rPr>
            <sz val="11"/>
            <color indexed="8"/>
            <rFont val="맑은 고딕"/>
            <family val="3"/>
            <charset val="129"/>
          </rPr>
          <t xml:space="preserve">
2025.09.12 주당 75원 배당(세금x)</t>
        </r>
      </text>
    </comment>
    <comment ref="N810" authorId="0" shapeId="0" xr:uid="{00000000-0006-0000-0200-000023010000}">
      <text>
        <r>
          <rPr>
            <sz val="11"/>
            <color indexed="8"/>
            <rFont val="맑은 고딕"/>
            <family val="3"/>
            <charset val="129"/>
          </rPr>
          <t xml:space="preserve">해외배당금
2021.07.01 $19.2 (제세금 $2.88)
2021.10.01 $19.2 (제세금 $2.88)
2022.01.01 $19.2 (제세금 $2.88)
2022.04.01 $19.2 (제세금 $2.88)
2022.07.01 $19.2 (제세금 $2.88)
2022.10.01 $19.2 (제세금 $2.88)
2023.01.01 $19.2 (제세금 $2.88)
2023.04.01 $19.2 (제세금 $2.88)
2023.07.01 $4.0 (제세금 $0.60)
2023.10.01 $4.0 (제세금 $0.60)
2024.01.01 $4.0 (제세금 $0.60)
2024.04.01 $4.0 (제세금 $0.60)
2023.07.02 $4.0 (제세금 $0.60)
2024.10.02 $4.0 (제세금 $0.60)
2025.01.01 $4.0 (제세금 $0.60)
2025.07.09 $4.0 (제세금 $0.60)
2025.08.11 $7.79 합병단주대금
</t>
        </r>
      </text>
    </comment>
    <comment ref="P810" authorId="0" shapeId="0" xr:uid="{00000000-0006-0000-0200-000024010000}">
      <text>
        <r>
          <rPr>
            <sz val="11"/>
            <color indexed="8"/>
            <rFont val="맑은 고딕"/>
            <family val="3"/>
            <charset val="129"/>
          </rPr>
          <t>21.4.5) PARAA -&gt; 주당$47.6 x 80주 매수
25.8.11) 합병으로 PARAB 122주 입고
환율 무시하면 주당 $31.2가 BEP</t>
        </r>
      </text>
    </comment>
    <comment ref="N811" authorId="0" shapeId="0" xr:uid="{00000000-0006-0000-0200-000025010000}">
      <text>
        <r>
          <rPr>
            <sz val="11"/>
            <color indexed="8"/>
            <rFont val="맑은 고딕"/>
            <family val="3"/>
            <charset val="129"/>
          </rPr>
          <t>해외배당금
2025.10.02 $6.1 (제세금 $0.92)
2026.01.02 $6.1 (제세금 $0.92)
2026.04.02 $6.1 (제세금 $0.92)</t>
        </r>
      </text>
    </comment>
    <comment ref="P811" authorId="0" shapeId="0" xr:uid="{00000000-0006-0000-0200-000026010000}">
      <text>
        <r>
          <rPr>
            <sz val="11"/>
            <color indexed="8"/>
            <rFont val="맑은 고딕"/>
            <family val="3"/>
            <charset val="129"/>
          </rPr>
          <t>21.4.5) PARAA -&gt; 주당$47.6 x 80주 매수
25.8.11) 합병으로 PARAB 122주 입고
환율 무시하면 주당 $31.2가 BEP</t>
        </r>
      </text>
    </comment>
    <comment ref="L816" authorId="0" shapeId="0" xr:uid="{00000000-0006-0000-0200-000027010000}">
      <text>
        <r>
          <rPr>
            <sz val="11"/>
            <color indexed="8"/>
            <rFont val="맑은 고딕"/>
            <family val="3"/>
            <charset val="129"/>
          </rPr>
          <t xml:space="preserve">토스증권 수수료 무료
25.12.15~26.6.30
</t>
        </r>
      </text>
    </comment>
    <comment ref="N816" authorId="1" shapeId="0" xr:uid="{00000000-0006-0000-0200-000028010000}">
      <text>
        <r>
          <rPr>
            <sz val="11"/>
            <color indexed="8"/>
            <rFont val="맑은 고딕"/>
            <family val="3"/>
            <charset val="129"/>
          </rPr>
          <t>2026-04-17 주당 100원 배당</t>
        </r>
      </text>
    </comment>
    <comment ref="L817" authorId="0" shapeId="0" xr:uid="{00000000-0006-0000-0200-000029010000}">
      <text>
        <r>
          <rPr>
            <sz val="11"/>
            <color indexed="8"/>
            <rFont val="맑은 고딕"/>
            <family val="3"/>
            <charset val="129"/>
          </rPr>
          <t xml:space="preserve">토스증권 수수료 무료
25.12.15~26.6.30
</t>
        </r>
      </text>
    </comment>
    <comment ref="N817" authorId="1" shapeId="0" xr:uid="{00000000-0006-0000-0200-00002A010000}">
      <text>
        <r>
          <rPr>
            <sz val="11"/>
            <color indexed="8"/>
            <rFont val="맑은 고딕"/>
            <family val="3"/>
            <charset val="129"/>
          </rPr>
          <t>2026-04-17 주당 100원 배당</t>
        </r>
      </text>
    </comment>
    <comment ref="L818" authorId="0" shapeId="0" xr:uid="{00000000-0006-0000-0200-00002B010000}">
      <text>
        <r>
          <rPr>
            <sz val="11"/>
            <color indexed="8"/>
            <rFont val="맑은 고딕"/>
            <family val="3"/>
            <charset val="129"/>
          </rPr>
          <t xml:space="preserve">토스증권 수수료 무료
25.12.15~26.6.30
</t>
        </r>
      </text>
    </comment>
    <comment ref="N818" authorId="1" shapeId="0" xr:uid="{00000000-0006-0000-0200-00002C010000}">
      <text>
        <r>
          <rPr>
            <sz val="11"/>
            <color indexed="8"/>
            <rFont val="맑은 고딕"/>
            <family val="3"/>
            <charset val="129"/>
          </rPr>
          <t>2026-04-17 주당 100원 배당</t>
        </r>
      </text>
    </comment>
    <comment ref="L819" authorId="0" shapeId="0" xr:uid="{00000000-0006-0000-0200-00002D010000}">
      <text>
        <r>
          <rPr>
            <sz val="11"/>
            <color indexed="8"/>
            <rFont val="맑은 고딕"/>
            <family val="3"/>
            <charset val="129"/>
          </rPr>
          <t xml:space="preserve">토스증권 수수료 무료
25.12.15~26.6.30
</t>
        </r>
      </text>
    </comment>
    <comment ref="N819" authorId="1" shapeId="0" xr:uid="{00000000-0006-0000-0200-00002E010000}">
      <text>
        <r>
          <rPr>
            <sz val="11"/>
            <color indexed="8"/>
            <rFont val="맑은 고딕"/>
            <family val="3"/>
            <charset val="129"/>
          </rPr>
          <t>2026-04-17 주당 100원 배당</t>
        </r>
      </text>
    </comment>
    <comment ref="L820" authorId="0" shapeId="0" xr:uid="{00000000-0006-0000-0200-00002F010000}">
      <text>
        <r>
          <rPr>
            <sz val="11"/>
            <color indexed="8"/>
            <rFont val="맑은 고딕"/>
            <family val="3"/>
            <charset val="129"/>
          </rPr>
          <t xml:space="preserve">토스증권 수수료 무료
25.12.15~26.6.30
</t>
        </r>
      </text>
    </comment>
    <comment ref="N820" authorId="1" shapeId="0" xr:uid="{00000000-0006-0000-0200-000030010000}">
      <text>
        <r>
          <rPr>
            <sz val="11"/>
            <color indexed="8"/>
            <rFont val="맑은 고딕"/>
            <family val="3"/>
            <charset val="129"/>
          </rPr>
          <t>2026-04-17 주당 100원 배당</t>
        </r>
      </text>
    </comment>
    <comment ref="L821" authorId="0" shapeId="0" xr:uid="{00000000-0006-0000-0200-000031010000}">
      <text>
        <r>
          <rPr>
            <sz val="11"/>
            <color indexed="8"/>
            <rFont val="맑은 고딕"/>
            <family val="3"/>
            <charset val="129"/>
          </rPr>
          <t xml:space="preserve">토스증권 수수료 무료
25.12.15~26.6.30
</t>
        </r>
      </text>
    </comment>
    <comment ref="N821" authorId="1" shapeId="0" xr:uid="{00000000-0006-0000-0200-000032010000}">
      <text>
        <r>
          <rPr>
            <sz val="11"/>
            <color indexed="8"/>
            <rFont val="맑은 고딕"/>
            <family val="3"/>
            <charset val="129"/>
          </rPr>
          <t>2026-04-17 주당 100원 배당</t>
        </r>
      </text>
    </comment>
    <comment ref="L822" authorId="0" shapeId="0" xr:uid="{00000000-0006-0000-0200-000033010000}">
      <text>
        <r>
          <rPr>
            <sz val="11"/>
            <color indexed="8"/>
            <rFont val="맑은 고딕"/>
            <family val="3"/>
            <charset val="129"/>
          </rPr>
          <t xml:space="preserve">토스증권 수수료 무료
25.12.15~26.6.30
</t>
        </r>
      </text>
    </comment>
    <comment ref="N822" authorId="1" shapeId="0" xr:uid="{00000000-0006-0000-0200-000034010000}">
      <text>
        <r>
          <rPr>
            <sz val="11"/>
            <color indexed="8"/>
            <rFont val="맑은 고딕"/>
            <family val="3"/>
            <charset val="129"/>
          </rPr>
          <t>2026-04-17 주당 100원 배당</t>
        </r>
      </text>
    </comment>
    <comment ref="L823" authorId="0" shapeId="0" xr:uid="{00000000-0006-0000-0200-000035010000}">
      <text>
        <r>
          <rPr>
            <sz val="11"/>
            <color indexed="8"/>
            <rFont val="맑은 고딕"/>
            <family val="3"/>
            <charset val="129"/>
          </rPr>
          <t xml:space="preserve">토스증권 수수료 무료
25.12.15~26.6.30
</t>
        </r>
      </text>
    </comment>
    <comment ref="N823" authorId="1" shapeId="0" xr:uid="{00000000-0006-0000-0200-000036010000}">
      <text>
        <r>
          <rPr>
            <sz val="11"/>
            <color indexed="8"/>
            <rFont val="맑은 고딕"/>
            <family val="3"/>
            <charset val="129"/>
          </rPr>
          <t>2026-04-17 주당 100원 배당</t>
        </r>
      </text>
    </comment>
    <comment ref="L824" authorId="0" shapeId="0" xr:uid="{00000000-0006-0000-0200-000037010000}">
      <text>
        <r>
          <rPr>
            <sz val="11"/>
            <color indexed="8"/>
            <rFont val="맑은 고딕"/>
            <family val="3"/>
            <charset val="129"/>
          </rPr>
          <t xml:space="preserve">토스증권 수수료 무료
25.12.15~26.6.30
</t>
        </r>
      </text>
    </comment>
    <comment ref="N824" authorId="1" shapeId="0" xr:uid="{00000000-0006-0000-0200-000038010000}">
      <text>
        <r>
          <rPr>
            <sz val="11"/>
            <color indexed="8"/>
            <rFont val="맑은 고딕"/>
            <family val="3"/>
            <charset val="129"/>
          </rPr>
          <t>2026-04-17 주당 100원 배당</t>
        </r>
      </text>
    </comment>
    <comment ref="L825" authorId="0" shapeId="0" xr:uid="{00000000-0006-0000-0200-000039010000}">
      <text>
        <r>
          <rPr>
            <sz val="11"/>
            <color indexed="8"/>
            <rFont val="맑은 고딕"/>
            <family val="3"/>
            <charset val="129"/>
          </rPr>
          <t xml:space="preserve">토스증권 수수료 무료
25.12.15~26.6.30
</t>
        </r>
      </text>
    </comment>
    <comment ref="N825" authorId="1" shapeId="0" xr:uid="{00000000-0006-0000-0200-00003A010000}">
      <text>
        <r>
          <rPr>
            <sz val="11"/>
            <color indexed="8"/>
            <rFont val="맑은 고딕"/>
            <family val="3"/>
            <charset val="129"/>
          </rPr>
          <t>2026-04-17 주당 100원 배당</t>
        </r>
      </text>
    </comment>
    <comment ref="L826" authorId="0" shapeId="0" xr:uid="{00000000-0006-0000-0200-00003B010000}">
      <text>
        <r>
          <rPr>
            <sz val="11"/>
            <color indexed="8"/>
            <rFont val="맑은 고딕"/>
            <family val="3"/>
            <charset val="129"/>
          </rPr>
          <t xml:space="preserve">토스증권 수수료 무료
25.12.15~26.6.30
</t>
        </r>
      </text>
    </comment>
    <comment ref="N826" authorId="1" shapeId="0" xr:uid="{00000000-0006-0000-0200-00003C010000}">
      <text>
        <r>
          <rPr>
            <sz val="11"/>
            <color indexed="8"/>
            <rFont val="맑은 고딕"/>
            <family val="3"/>
            <charset val="129"/>
          </rPr>
          <t>2026-04-17 주당 100원 배당</t>
        </r>
      </text>
    </comment>
    <comment ref="L827" authorId="0" shapeId="0" xr:uid="{00000000-0006-0000-0200-00003D010000}">
      <text>
        <r>
          <rPr>
            <sz val="11"/>
            <color indexed="8"/>
            <rFont val="맑은 고딕"/>
            <family val="3"/>
            <charset val="129"/>
          </rPr>
          <t xml:space="preserve">토스증권 수수료 무료
25.12.15~26.6.30
</t>
        </r>
      </text>
    </comment>
    <comment ref="N827" authorId="1" shapeId="0" xr:uid="{00000000-0006-0000-0200-00003E010000}">
      <text>
        <r>
          <rPr>
            <sz val="11"/>
            <color indexed="8"/>
            <rFont val="맑은 고딕"/>
            <family val="3"/>
            <charset val="129"/>
          </rPr>
          <t>2026-04-17 주당 100원 배당</t>
        </r>
      </text>
    </comment>
    <comment ref="L828" authorId="0" shapeId="0" xr:uid="{00000000-0006-0000-0200-00003F010000}">
      <text>
        <r>
          <rPr>
            <sz val="11"/>
            <color indexed="8"/>
            <rFont val="맑은 고딕"/>
            <family val="3"/>
            <charset val="129"/>
          </rPr>
          <t xml:space="preserve">토스증권 수수료 무료
25.12.15~26.6.30
</t>
        </r>
      </text>
    </comment>
    <comment ref="N828" authorId="1" shapeId="0" xr:uid="{00000000-0006-0000-0200-000040010000}">
      <text>
        <r>
          <rPr>
            <sz val="11"/>
            <color indexed="8"/>
            <rFont val="맑은 고딕"/>
            <family val="3"/>
            <charset val="129"/>
          </rPr>
          <t>2026-04-17 주당 100원 배당</t>
        </r>
      </text>
    </comment>
    <comment ref="L829" authorId="0" shapeId="0" xr:uid="{00000000-0006-0000-0200-000041010000}">
      <text>
        <r>
          <rPr>
            <sz val="11"/>
            <color indexed="8"/>
            <rFont val="맑은 고딕"/>
            <family val="3"/>
            <charset val="129"/>
          </rPr>
          <t xml:space="preserve">토스증권 수수료 무료
25.12.15~26.6.30
</t>
        </r>
      </text>
    </comment>
    <comment ref="N829" authorId="1" shapeId="0" xr:uid="{00000000-0006-0000-0200-000042010000}">
      <text>
        <r>
          <rPr>
            <sz val="11"/>
            <color indexed="8"/>
            <rFont val="맑은 고딕"/>
            <family val="3"/>
            <charset val="129"/>
          </rPr>
          <t>2026-04-17 주당 100원 배당</t>
        </r>
      </text>
    </comment>
    <comment ref="K830" authorId="0" shapeId="0" xr:uid="{00000000-0006-0000-0200-000043010000}">
      <text>
        <r>
          <rPr>
            <sz val="11"/>
            <color indexed="8"/>
            <rFont val="맑은 고딕"/>
            <family val="3"/>
            <charset val="129"/>
          </rPr>
          <t xml:space="preserve">토스증권 수수료 무료
25.12.15~26.6.30
</t>
        </r>
      </text>
    </comment>
    <comment ref="L830" authorId="0" shapeId="0" xr:uid="{00000000-0006-0000-0200-000044010000}">
      <text>
        <r>
          <rPr>
            <sz val="11"/>
            <color indexed="8"/>
            <rFont val="맑은 고딕"/>
            <family val="3"/>
            <charset val="129"/>
          </rPr>
          <t xml:space="preserve">토스증권 수수료 무료
25.12.15~26.6.30
</t>
        </r>
      </text>
    </comment>
    <comment ref="K831" authorId="0" shapeId="0" xr:uid="{00000000-0006-0000-0200-000045010000}">
      <text>
        <r>
          <rPr>
            <sz val="11"/>
            <color indexed="8"/>
            <rFont val="맑은 고딕"/>
            <family val="3"/>
            <charset val="129"/>
          </rPr>
          <t xml:space="preserve">토스증권 수수료 무료
25.12.15~26.6.30
</t>
        </r>
      </text>
    </comment>
    <comment ref="L831" authorId="0" shapeId="0" xr:uid="{00000000-0006-0000-0200-000046010000}">
      <text>
        <r>
          <rPr>
            <sz val="11"/>
            <color indexed="8"/>
            <rFont val="맑은 고딕"/>
            <family val="3"/>
            <charset val="129"/>
          </rPr>
          <t xml:space="preserve">토스증권 수수료 무료
25.12.15~26.6.30
</t>
        </r>
      </text>
    </comment>
    <comment ref="K835" authorId="0" shapeId="0" xr:uid="{00000000-0006-0000-0200-000047010000}">
      <text>
        <r>
          <rPr>
            <sz val="11"/>
            <color indexed="8"/>
            <rFont val="맑은 고딕"/>
            <family val="3"/>
            <charset val="129"/>
          </rPr>
          <t xml:space="preserve">토스증권 수수료 무료
25.12.15~26.6.30
</t>
        </r>
      </text>
    </comment>
    <comment ref="L835" authorId="0" shapeId="0" xr:uid="{00000000-0006-0000-0200-000048010000}">
      <text>
        <r>
          <rPr>
            <sz val="11"/>
            <color indexed="8"/>
            <rFont val="맑은 고딕"/>
            <family val="3"/>
            <charset val="129"/>
          </rPr>
          <t xml:space="preserve">토스증권 수수료 무료
25.12.15~26.6.30
</t>
        </r>
      </text>
    </comment>
    <comment ref="K836" authorId="0" shapeId="0" xr:uid="{00000000-0006-0000-0200-000049010000}">
      <text>
        <r>
          <rPr>
            <sz val="11"/>
            <color indexed="8"/>
            <rFont val="맑은 고딕"/>
            <family val="3"/>
            <charset val="129"/>
          </rPr>
          <t xml:space="preserve">토스증권 수수료 무료
25.12.15~26.6.30
</t>
        </r>
      </text>
    </comment>
    <comment ref="L836" authorId="0" shapeId="0" xr:uid="{00000000-0006-0000-0200-00004A010000}">
      <text>
        <r>
          <rPr>
            <sz val="11"/>
            <color indexed="8"/>
            <rFont val="맑은 고딕"/>
            <family val="3"/>
            <charset val="129"/>
          </rPr>
          <t xml:space="preserve">토스증권 수수료 무료
25.12.15~26.6.30
</t>
        </r>
      </text>
    </comment>
    <comment ref="K837" authorId="0" shapeId="0" xr:uid="{00000000-0006-0000-0200-00004B010000}">
      <text>
        <r>
          <rPr>
            <sz val="11"/>
            <color indexed="8"/>
            <rFont val="맑은 고딕"/>
            <family val="3"/>
            <charset val="129"/>
          </rPr>
          <t xml:space="preserve">토스증권 수수료 무료
25.12.15~26.6.30
</t>
        </r>
      </text>
    </comment>
    <comment ref="L837" authorId="0" shapeId="0" xr:uid="{00000000-0006-0000-0200-00004C010000}">
      <text>
        <r>
          <rPr>
            <sz val="11"/>
            <color indexed="8"/>
            <rFont val="맑은 고딕"/>
            <family val="3"/>
            <charset val="129"/>
          </rPr>
          <t xml:space="preserve">토스증권 수수료 무료
25.12.15~26.6.30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ggulb</author>
    <author>정민준</author>
  </authors>
  <commentList>
    <comment ref="K96" authorId="0" shapeId="0" xr:uid="{00000000-0006-0000-0400-000001000000}">
      <text>
        <r>
          <rPr>
            <sz val="11"/>
            <color indexed="8"/>
            <rFont val="맑은 고딕"/>
            <family val="3"/>
            <charset val="129"/>
          </rPr>
          <t>2022/04/27 주당 53원
2023/04/25 주당 60원
2024/04/25 주당 61원
2025/04/24 주당 68원</t>
        </r>
      </text>
    </comment>
    <comment ref="AB96" authorId="0" shapeId="0" xr:uid="{00000000-0006-0000-0400-000002000000}">
      <text>
        <r>
          <rPr>
            <sz val="11"/>
            <color indexed="8"/>
            <rFont val="맑은 고딕"/>
            <family val="3"/>
            <charset val="129"/>
          </rPr>
          <t>2022/04/27 주당 53원
2023/04/25 주당 60원
2024/04/25 주당 61원
2025/04/24 주당 68원</t>
        </r>
      </text>
    </comment>
    <comment ref="K100" authorId="0" shapeId="0" xr:uid="{00000000-0006-0000-0400-000003000000}">
      <text>
        <r>
          <rPr>
            <sz val="11"/>
            <color indexed="8"/>
            <rFont val="맑은 고딕"/>
            <family val="3"/>
            <charset val="129"/>
          </rPr>
          <t>2025/05/19 주당 92원
2025/06/17 주당 90원
2025/07/17 주당 91원
2025/08/19 주당 92원
2025/09/17 주당 92원
2025/10/17 주당 93원
2025/11/18 주당 96원
2025/12/17 주당 98원
2026/01/19 주당 98원
2026/02/20 주당 99원
2026/03/17 주당 99원</t>
        </r>
      </text>
    </comment>
    <comment ref="AB100" authorId="0" shapeId="0" xr:uid="{00000000-0006-0000-0400-000004000000}">
      <text>
        <r>
          <rPr>
            <sz val="11"/>
            <color indexed="8"/>
            <rFont val="맑은 고딕"/>
            <family val="3"/>
            <charset val="129"/>
          </rPr>
          <t>2025/05/19 주당 92원
2025/06/17 주당 90원
2025/07/17 주당 91원
2025/08/19 주당 92원
2025/09/17 주당 92원
2025/10/17 주당 93원
2025/11/18 주당 96원
2025/12/17 주당 98원
2026/01/19 주당 98원
2026/02/20 주당 99원
2026/03/17 주당 99원</t>
        </r>
      </text>
    </comment>
    <comment ref="K101" authorId="0" shapeId="0" xr:uid="{00000000-0006-0000-0400-000005000000}">
      <text>
        <r>
          <rPr>
            <sz val="11"/>
            <color indexed="8"/>
            <rFont val="맑은 고딕"/>
            <family val="3"/>
            <charset val="129"/>
          </rPr>
          <t>2025/05/19 주당 92원
2025/06/17 주당 90원
2025/07/17 주당 91원
2025/08/19 주당 92원
2025/09/17 주당 92원
2025/10/17 주당 93원
2025/11/18 주당 96원
2025/12/17 주당 98원
2026/01/19 주당 98원
2026/02/20 주당 99원
2026/03/17 주당 99원</t>
        </r>
      </text>
    </comment>
    <comment ref="AB101" authorId="0" shapeId="0" xr:uid="{00000000-0006-0000-0400-000006000000}">
      <text>
        <r>
          <rPr>
            <sz val="11"/>
            <color indexed="8"/>
            <rFont val="맑은 고딕"/>
            <family val="3"/>
            <charset val="129"/>
          </rPr>
          <t>2025/05/19 주당 92원
2025/06/17 주당 90원
2025/07/17 주당 91원
2025/08/19 주당 92원
2025/09/17 주당 92원
2025/10/17 주당 93원
2025/11/18 주당 96원
2025/12/17 주당 98원
2026/01/19 주당 98원
2026/02/20 주당 99원
2026/03/17 주당 99원</t>
        </r>
      </text>
    </comment>
    <comment ref="K102" authorId="0" shapeId="0" xr:uid="{00000000-0006-0000-0400-000007000000}">
      <text>
        <r>
          <rPr>
            <sz val="11"/>
            <color indexed="8"/>
            <rFont val="맑은 고딕"/>
            <family val="3"/>
            <charset val="129"/>
          </rPr>
          <t>2025/05/19 주당 92원
2025/06/17 주당 90원
2025/07/17 주당 91원
2025/08/19 주당 92원
2025/09/17 주당 92원
2025/10/17 주당 93원
2025/11/18 주당 96원
2025/12/17 주당 98원
2026/01/19 주당 98원
2026/02/20 주당 99원
2026/03/17 주당 99원</t>
        </r>
      </text>
    </comment>
    <comment ref="AB102" authorId="0" shapeId="0" xr:uid="{00000000-0006-0000-0400-000008000000}">
      <text>
        <r>
          <rPr>
            <sz val="11"/>
            <color indexed="8"/>
            <rFont val="맑은 고딕"/>
            <family val="3"/>
            <charset val="129"/>
          </rPr>
          <t>2025/05/19 주당 92원
2025/06/17 주당 90원
2025/07/17 주당 91원
2025/08/19 주당 92원
2025/09/17 주당 92원
2025/10/17 주당 93원
2025/11/18 주당 96원
2025/12/17 주당 98원
2026/01/19 주당 98원
2026/02/20 주당 99원
2026/03/17 주당 99원</t>
        </r>
      </text>
    </comment>
    <comment ref="K103" authorId="0" shapeId="0" xr:uid="{00000000-0006-0000-0400-000009000000}">
      <text>
        <r>
          <rPr>
            <sz val="11"/>
            <color indexed="8"/>
            <rFont val="맑은 고딕"/>
            <family val="3"/>
            <charset val="129"/>
          </rPr>
          <t xml:space="preserve">2025/06/17 주당 90원
2025/07/17 주당 91원
2025/08/19 주당 92원
2025/09/17 주당 92원
2025/10/17 주당 93원
2025/11/18 주당 96원
2025/12/17 주당 98원
2026/01/19 주당 98원
2026/02/20 주당 99원
2026/03/17 주당 99원
</t>
        </r>
      </text>
    </comment>
    <comment ref="AB103" authorId="0" shapeId="0" xr:uid="{00000000-0006-0000-0400-00000A000000}">
      <text>
        <r>
          <rPr>
            <sz val="11"/>
            <color indexed="8"/>
            <rFont val="맑은 고딕"/>
            <family val="3"/>
            <charset val="129"/>
          </rPr>
          <t xml:space="preserve">2025/06/17 주당 90원
2025/07/17 주당 91원
2025/08/19 주당 92원
2025/09/17 주당 92원
2025/10/17 주당 93원
2025/11/18 주당 96원
2025/12/17 주당 98원
2026/01/19 주당 98원
2026/02/20 주당 99원
2026/03/17 주당 99원
</t>
        </r>
      </text>
    </comment>
    <comment ref="K104" authorId="0" shapeId="0" xr:uid="{00000000-0006-0000-0400-00000B000000}">
      <text>
        <r>
          <rPr>
            <sz val="11"/>
            <color indexed="8"/>
            <rFont val="맑은 고딕"/>
            <family val="3"/>
            <charset val="129"/>
          </rPr>
          <t xml:space="preserve">2025/06/17 주당 90원
2025/07/17 주당 91원
2025/08/19 주당 92원
2025/09/17 주당 92원
2025/10/17 주당 93원
2025/11/18 주당 96원
2025/12/17 주당 98원
2026/01/19 주당 98원
2026/02/20 주당 99원
2026/03/17 주당 99원
</t>
        </r>
      </text>
    </comment>
    <comment ref="AB104" authorId="0" shapeId="0" xr:uid="{00000000-0006-0000-0400-00000C000000}">
      <text>
        <r>
          <rPr>
            <sz val="11"/>
            <color indexed="8"/>
            <rFont val="맑은 고딕"/>
            <family val="3"/>
            <charset val="129"/>
          </rPr>
          <t xml:space="preserve">2025/06/17 주당 90원
2025/07/17 주당 91원
2025/08/19 주당 92원
2025/09/17 주당 92원
2025/10/17 주당 93원
2025/11/18 주당 96원
2025/12/17 주당 98원
2026/01/19 주당 98원
2026/02/20 주당 99원
2026/03/17 주당 99원
</t>
        </r>
      </text>
    </comment>
    <comment ref="K105" authorId="0" shapeId="0" xr:uid="{00000000-0006-0000-0400-00000D000000}">
      <text>
        <r>
          <rPr>
            <sz val="11"/>
            <color indexed="8"/>
            <rFont val="맑은 고딕"/>
            <family val="3"/>
            <charset val="129"/>
          </rPr>
          <t xml:space="preserve">2025/06/17 주당 90원
2025/07/17 주당 91원
2025/08/19 주당 92원
2025/09/17 주당 92원
2025/10/17 주당 93원
2025/11/18 주당 96원
2025/12/17 주당 98원
2026/01/19 주당 98원
2026/02/20 주당 99원
2026/03/17 주당 99원
</t>
        </r>
      </text>
    </comment>
    <comment ref="AB105" authorId="0" shapeId="0" xr:uid="{00000000-0006-0000-0400-00000E000000}">
      <text>
        <r>
          <rPr>
            <sz val="11"/>
            <color indexed="8"/>
            <rFont val="맑은 고딕"/>
            <family val="3"/>
            <charset val="129"/>
          </rPr>
          <t xml:space="preserve">2025/06/17 주당 90원
2025/07/17 주당 91원
2025/08/19 주당 92원
2025/09/17 주당 92원
2025/10/17 주당 93원
2025/11/18 주당 96원
2025/12/17 주당 98원
2026/01/19 주당 98원
2026/02/20 주당 99원
2026/03/17 주당 99원
</t>
        </r>
      </text>
    </comment>
    <comment ref="K106" authorId="0" shapeId="0" xr:uid="{00000000-0006-0000-0400-00000F000000}">
      <text>
        <r>
          <rPr>
            <sz val="11"/>
            <color indexed="8"/>
            <rFont val="맑은 고딕"/>
            <family val="3"/>
            <charset val="129"/>
          </rPr>
          <t xml:space="preserve">2025/06/17 주당 90원
2025/07/17 주당 91원
2025/08/19 주당 92원
2025/09/17 주당 92원
2025/10/17 주당 93원
2025/11/18 주당 96원
2025/12/17 주당 98원
2026/01/19 주당 98원
2026/02/20 주당 99원
2026/03/17 주당 99원
</t>
        </r>
      </text>
    </comment>
    <comment ref="AB106" authorId="0" shapeId="0" xr:uid="{00000000-0006-0000-0400-000010000000}">
      <text>
        <r>
          <rPr>
            <sz val="11"/>
            <color indexed="8"/>
            <rFont val="맑은 고딕"/>
            <family val="3"/>
            <charset val="129"/>
          </rPr>
          <t xml:space="preserve">2025/06/17 주당 90원
2025/07/17 주당 91원
2025/08/19 주당 92원
2025/09/17 주당 92원
2025/10/17 주당 93원
2025/11/18 주당 96원
2025/12/17 주당 98원
2026/01/19 주당 98원
2026/02/20 주당 99원
2026/03/17 주당 99원
</t>
        </r>
      </text>
    </comment>
    <comment ref="K107" authorId="0" shapeId="0" xr:uid="{00000000-0006-0000-0400-000011000000}">
      <text>
        <r>
          <rPr>
            <sz val="11"/>
            <color indexed="8"/>
            <rFont val="맑은 고딕"/>
            <family val="3"/>
            <charset val="129"/>
          </rPr>
          <t xml:space="preserve">2025/07/17 주당 91원
2025/08/19 주당 92원
2025/09/17 주당 92원
2025/10/17 주당 93원
2025/11/18 주당 96원
2025/12/17 주당 98원
2026/01/19 주당 98원
2026/02/20 주당 99원
2026/03/17 주당 99원
</t>
        </r>
      </text>
    </comment>
    <comment ref="AB107" authorId="0" shapeId="0" xr:uid="{00000000-0006-0000-0400-000012000000}">
      <text>
        <r>
          <rPr>
            <sz val="11"/>
            <color indexed="8"/>
            <rFont val="맑은 고딕"/>
            <family val="3"/>
            <charset val="129"/>
          </rPr>
          <t xml:space="preserve">2025/07/17 주당 91원
2025/08/19 주당 92원
2025/09/17 주당 92원
2025/10/17 주당 93원
2025/11/18 주당 96원
2025/12/17 주당 98원
2026/01/19 주당 98원
2026/02/20 주당 99원
2026/03/17 주당 99원
</t>
        </r>
      </text>
    </comment>
    <comment ref="K108" authorId="0" shapeId="0" xr:uid="{00000000-0006-0000-0400-000013000000}">
      <text>
        <r>
          <rPr>
            <sz val="11"/>
            <color indexed="8"/>
            <rFont val="맑은 고딕"/>
            <family val="3"/>
            <charset val="129"/>
          </rPr>
          <t xml:space="preserve">2025/07/17 주당 91원
2025/08/19 주당 92원
2025/09/17 주당 92원
2025/10/17 주당 93원
2025/11/18 주당 96원
2025/12/17 주당 98원
2026/01/19 주당 98원
2026/02/20 주당 99원
2026/03/17 주당 99원
</t>
        </r>
      </text>
    </comment>
    <comment ref="AB108" authorId="0" shapeId="0" xr:uid="{00000000-0006-0000-0400-000014000000}">
      <text>
        <r>
          <rPr>
            <sz val="11"/>
            <color indexed="8"/>
            <rFont val="맑은 고딕"/>
            <family val="3"/>
            <charset val="129"/>
          </rPr>
          <t xml:space="preserve">2025/07/17 주당 91원
2025/08/19 주당 92원
2025/09/17 주당 92원
2025/10/17 주당 93원
2025/11/18 주당 96원
2025/12/17 주당 98원
2026/01/19 주당 98원
2026/02/20 주당 99원
2026/03/17 주당 99원
</t>
        </r>
      </text>
    </comment>
    <comment ref="K109" authorId="0" shapeId="0" xr:uid="{00000000-0006-0000-0400-000015000000}">
      <text>
        <r>
          <rPr>
            <sz val="11"/>
            <color indexed="8"/>
            <rFont val="맑은 고딕"/>
            <family val="3"/>
            <charset val="129"/>
          </rPr>
          <t xml:space="preserve">2025/07/17 주당 91원
2025/08/19 주당 92원
2025/09/17 주당 92원
2025/10/17 주당 93원
2025/11/18 주당 96원
2025/12/17 주당 98원
2026/01/19 주당 98원
2026/02/20 주당 99원
2026/03/17 주당 99원
</t>
        </r>
      </text>
    </comment>
    <comment ref="AB109" authorId="0" shapeId="0" xr:uid="{00000000-0006-0000-0400-000016000000}">
      <text>
        <r>
          <rPr>
            <sz val="11"/>
            <color indexed="8"/>
            <rFont val="맑은 고딕"/>
            <family val="3"/>
            <charset val="129"/>
          </rPr>
          <t xml:space="preserve">2025/07/17 주당 91원
2025/08/19 주당 92원
2025/09/17 주당 92원
2025/10/17 주당 93원
2025/11/18 주당 96원
2025/12/17 주당 98원
2026/01/19 주당 98원
2026/02/20 주당 99원
2026/03/17 주당 99원
</t>
        </r>
      </text>
    </comment>
    <comment ref="K110" authorId="0" shapeId="0" xr:uid="{00000000-0006-0000-0400-000017000000}">
      <text>
        <r>
          <rPr>
            <sz val="11"/>
            <color indexed="8"/>
            <rFont val="맑은 고딕"/>
            <family val="3"/>
            <charset val="129"/>
          </rPr>
          <t xml:space="preserve">2025/07/17 주당 91원
2025/08/19 주당 92원
2025/09/17 주당 92원
2025/10/17 주당 93원
2025/11/18 주당 96원
2025/12/17 주당 98원
2026/01/19 주당 98원
2026/02/20 주당 99원
2026/03/17 주당 99원
</t>
        </r>
      </text>
    </comment>
    <comment ref="AB110" authorId="0" shapeId="0" xr:uid="{00000000-0006-0000-0400-000018000000}">
      <text>
        <r>
          <rPr>
            <sz val="11"/>
            <color indexed="8"/>
            <rFont val="맑은 고딕"/>
            <family val="3"/>
            <charset val="129"/>
          </rPr>
          <t xml:space="preserve">2025/07/17 주당 91원
2025/08/19 주당 92원
2025/09/17 주당 92원
2025/10/17 주당 93원
2025/11/18 주당 96원
2025/12/17 주당 98원
2026/01/19 주당 98원
2026/02/20 주당 99원
2026/03/17 주당 99원
</t>
        </r>
      </text>
    </comment>
    <comment ref="K111" authorId="0" shapeId="0" xr:uid="{00000000-0006-0000-0400-000019000000}">
      <text>
        <r>
          <rPr>
            <sz val="11"/>
            <color indexed="8"/>
            <rFont val="맑은 고딕"/>
            <family val="3"/>
            <charset val="129"/>
          </rPr>
          <t xml:space="preserve">2025/07/17 주당 91원
2025/08/19 주당 92원
2025/09/17 주당 92원
2025/10/17 주당 93원
2025/11/18 주당 96원
2025/12/17 주당 98원
2026/01/19 주당 98원
2026/02/20 주당 99원
2026/03/17 주당 99원
</t>
        </r>
      </text>
    </comment>
    <comment ref="AB111" authorId="0" shapeId="0" xr:uid="{00000000-0006-0000-0400-00001A000000}">
      <text>
        <r>
          <rPr>
            <sz val="11"/>
            <color indexed="8"/>
            <rFont val="맑은 고딕"/>
            <family val="3"/>
            <charset val="129"/>
          </rPr>
          <t xml:space="preserve">2025/07/17 주당 91원
2025/08/19 주당 92원
2025/09/17 주당 92원
2025/10/17 주당 93원
2025/11/18 주당 96원
2025/12/17 주당 98원
2026/01/19 주당 98원
2026/02/20 주당 99원
2026/03/17 주당 99원
</t>
        </r>
      </text>
    </comment>
    <comment ref="K112" authorId="0" shapeId="0" xr:uid="{00000000-0006-0000-0400-00001B000000}">
      <text>
        <r>
          <rPr>
            <sz val="11"/>
            <color indexed="8"/>
            <rFont val="맑은 고딕"/>
            <family val="3"/>
            <charset val="129"/>
          </rPr>
          <t>2025/08/19 주당 92원
2025/09/17 주당 92원
2025/10/17 주당 93원
2025/11/18 주당 96원
2025/12/17 주당 98원
2026/01/19 주당 98원
2026/02/20 주당 99원
2026/03/17 주당 99원</t>
        </r>
      </text>
    </comment>
    <comment ref="AB112" authorId="0" shapeId="0" xr:uid="{00000000-0006-0000-0400-00001C000000}">
      <text>
        <r>
          <rPr>
            <sz val="11"/>
            <color indexed="8"/>
            <rFont val="맑은 고딕"/>
            <family val="3"/>
            <charset val="129"/>
          </rPr>
          <t>2025/08/19 주당 92원
2025/09/17 주당 92원
2025/10/17 주당 93원
2025/11/18 주당 96원
2025/12/17 주당 98원
2026/01/19 주당 98원
2026/02/20 주당 99원
2026/03/17 주당 99원</t>
        </r>
      </text>
    </comment>
    <comment ref="K113" authorId="0" shapeId="0" xr:uid="{00000000-0006-0000-0400-00001D000000}">
      <text>
        <r>
          <rPr>
            <sz val="11"/>
            <color indexed="8"/>
            <rFont val="맑은 고딕"/>
            <family val="3"/>
            <charset val="129"/>
          </rPr>
          <t>2025/08/19 주당 92원
2025/09/17 주당 92원
2025/10/17 주당 93원
2025/11/18 주당 96원
2025/12/17 주당 98원
2026/01/19 주당 98원
2026/02/20 주당 99원
2026/03/17 주당 99원</t>
        </r>
      </text>
    </comment>
    <comment ref="AB113" authorId="0" shapeId="0" xr:uid="{00000000-0006-0000-0400-00001E000000}">
      <text>
        <r>
          <rPr>
            <sz val="11"/>
            <color indexed="8"/>
            <rFont val="맑은 고딕"/>
            <family val="3"/>
            <charset val="129"/>
          </rPr>
          <t>2025/08/19 주당 92원
2025/09/17 주당 92원
2025/10/17 주당 93원
2025/11/18 주당 96원
2025/12/17 주당 98원
2026/01/19 주당 98원
2026/02/20 주당 99원
2026/03/17 주당 99원</t>
        </r>
      </text>
    </comment>
    <comment ref="K114" authorId="0" shapeId="0" xr:uid="{00000000-0006-0000-0400-00001F000000}">
      <text>
        <r>
          <rPr>
            <sz val="11"/>
            <color indexed="8"/>
            <rFont val="맑은 고딕"/>
            <family val="3"/>
            <charset val="129"/>
          </rPr>
          <t>2025/08/19 주당 92원
2025/09/17 주당 92원
2025/10/17 주당 93원
2025/11/18 주당 96원
2025/12/17 주당 98원
2026/01/19 주당 98원
2026/02/20 주당 99원
2026/03/17 주당 99원</t>
        </r>
      </text>
    </comment>
    <comment ref="AB114" authorId="0" shapeId="0" xr:uid="{00000000-0006-0000-0400-000020000000}">
      <text>
        <r>
          <rPr>
            <sz val="11"/>
            <color indexed="8"/>
            <rFont val="맑은 고딕"/>
            <family val="3"/>
            <charset val="129"/>
          </rPr>
          <t>2025/08/19 주당 92원
2025/09/17 주당 92원
2025/10/17 주당 93원
2025/11/18 주당 96원
2025/12/17 주당 98원
2026/01/19 주당 98원
2026/02/20 주당 99원
2026/03/17 주당 99원</t>
        </r>
      </text>
    </comment>
    <comment ref="K115" authorId="0" shapeId="0" xr:uid="{00000000-0006-0000-0400-000021000000}">
      <text>
        <r>
          <rPr>
            <sz val="11"/>
            <color indexed="8"/>
            <rFont val="맑은 고딕"/>
            <family val="3"/>
            <charset val="129"/>
          </rPr>
          <t>2025/08/19 주당 92원
2025/09/17 주당 92원
2025/10/17 주당 93원
2025/11/18 주당 96원
2025/12/17 주당 98원
2026/01/19 주당 98원
2026/02/20 주당 99원
2026/03/17 주당 99원</t>
        </r>
      </text>
    </comment>
    <comment ref="AB115" authorId="0" shapeId="0" xr:uid="{00000000-0006-0000-0400-000022000000}">
      <text>
        <r>
          <rPr>
            <sz val="11"/>
            <color indexed="8"/>
            <rFont val="맑은 고딕"/>
            <family val="3"/>
            <charset val="129"/>
          </rPr>
          <t>2025/08/19 주당 92원
2025/09/17 주당 92원
2025/10/17 주당 93원
2025/11/18 주당 96원
2025/12/17 주당 98원
2026/01/19 주당 98원
2026/02/20 주당 99원
2026/03/17 주당 99원</t>
        </r>
      </text>
    </comment>
    <comment ref="K116" authorId="0" shapeId="0" xr:uid="{00000000-0006-0000-0400-000023000000}">
      <text>
        <r>
          <rPr>
            <sz val="11"/>
            <color indexed="8"/>
            <rFont val="맑은 고딕"/>
            <family val="3"/>
            <charset val="129"/>
          </rPr>
          <t>2025/09/17 주당 92원
2025/10/17 주당 93원
2025/11/18 주당 96원
2025/12/17 주당 98원
2026/01/19 주당 98원
2026/02/20 주당 99원
2026/03/17 주당 99원</t>
        </r>
      </text>
    </comment>
    <comment ref="AB116" authorId="0" shapeId="0" xr:uid="{00000000-0006-0000-0400-000024000000}">
      <text>
        <r>
          <rPr>
            <sz val="11"/>
            <color indexed="8"/>
            <rFont val="맑은 고딕"/>
            <family val="3"/>
            <charset val="129"/>
          </rPr>
          <t>2025/09/17 주당 92원
2025/10/17 주당 93원
2025/11/18 주당 96원
2025/12/17 주당 98원
2026/01/19 주당 98원
2026/02/20 주당 99원
2026/03/17 주당 99원</t>
        </r>
      </text>
    </comment>
    <comment ref="K117" authorId="0" shapeId="0" xr:uid="{00000000-0006-0000-0400-000025000000}">
      <text>
        <r>
          <rPr>
            <sz val="11"/>
            <color indexed="8"/>
            <rFont val="맑은 고딕"/>
            <family val="3"/>
            <charset val="129"/>
          </rPr>
          <t>2025/09/17 주당 92원
2025/10/17 주당 93원
2025/11/18 주당 96원
2025/12/17 주당 98원
2026/01/19 주당 98원
2026/02/20 주당 99원
2026/03/17 주당 99원</t>
        </r>
      </text>
    </comment>
    <comment ref="AB117" authorId="0" shapeId="0" xr:uid="{00000000-0006-0000-0400-000026000000}">
      <text>
        <r>
          <rPr>
            <sz val="11"/>
            <color indexed="8"/>
            <rFont val="맑은 고딕"/>
            <family val="3"/>
            <charset val="129"/>
          </rPr>
          <t>2025/09/17 주당 92원
2025/10/17 주당 93원
2025/11/18 주당 96원
2025/12/17 주당 98원
2026/01/19 주당 98원
2026/02/20 주당 99원
2026/03/17 주당 99원</t>
        </r>
      </text>
    </comment>
    <comment ref="K118" authorId="0" shapeId="0" xr:uid="{00000000-0006-0000-0400-000027000000}">
      <text>
        <r>
          <rPr>
            <sz val="11"/>
            <color indexed="8"/>
            <rFont val="맑은 고딕"/>
            <family val="3"/>
            <charset val="129"/>
          </rPr>
          <t>2025/09/17 주당 92원
2025/10/17 주당 93원
2025/11/18 주당 96원
2025/12/17 주당 98원
2026/01/19 주당 98원
2026/02/20 주당 99원
2026/03/17 주당 99원</t>
        </r>
      </text>
    </comment>
    <comment ref="AB118" authorId="0" shapeId="0" xr:uid="{00000000-0006-0000-0400-000028000000}">
      <text>
        <r>
          <rPr>
            <sz val="11"/>
            <color indexed="8"/>
            <rFont val="맑은 고딕"/>
            <family val="3"/>
            <charset val="129"/>
          </rPr>
          <t>2025/09/17 주당 92원
2025/10/17 주당 93원
2025/11/18 주당 96원
2025/12/17 주당 98원
2026/01/19 주당 98원
2026/02/20 주당 99원
2026/03/17 주당 99원</t>
        </r>
      </text>
    </comment>
    <comment ref="K119" authorId="0" shapeId="0" xr:uid="{00000000-0006-0000-0400-000029000000}">
      <text>
        <r>
          <rPr>
            <sz val="11"/>
            <color indexed="8"/>
            <rFont val="맑은 고딕"/>
            <family val="3"/>
            <charset val="129"/>
          </rPr>
          <t>2025/09/17 주당 92원
2025/10/17 주당 93원
2025/11/18 주당 96원
2025/12/17 주당 98원
2026/01/19 주당 98원
2026/02/20 주당 99원
2026/03/17 주당 99원</t>
        </r>
      </text>
    </comment>
    <comment ref="AB119" authorId="0" shapeId="0" xr:uid="{00000000-0006-0000-0400-00002A000000}">
      <text>
        <r>
          <rPr>
            <sz val="11"/>
            <color indexed="8"/>
            <rFont val="맑은 고딕"/>
            <family val="3"/>
            <charset val="129"/>
          </rPr>
          <t>2025/09/17 주당 92원
2025/10/17 주당 93원
2025/11/18 주당 96원
2025/12/17 주당 98원
2026/01/19 주당 98원
2026/02/20 주당 99원
2026/03/17 주당 99원</t>
        </r>
      </text>
    </comment>
    <comment ref="K120" authorId="0" shapeId="0" xr:uid="{00000000-0006-0000-0400-00002B000000}">
      <text>
        <r>
          <rPr>
            <sz val="11"/>
            <color indexed="8"/>
            <rFont val="맑은 고딕"/>
            <family val="3"/>
            <charset val="129"/>
          </rPr>
          <t>2025/09/17 주당 92원
2025/10/17 주당 93원
2025/11/18 주당 96원
2025/12/17 주당 98원
2026/01/19 주당 98원
2026/02/20 주당 99원
2026/03/17 주당 99원</t>
        </r>
      </text>
    </comment>
    <comment ref="AB120" authorId="0" shapeId="0" xr:uid="{00000000-0006-0000-0400-00002C000000}">
      <text>
        <r>
          <rPr>
            <sz val="11"/>
            <color indexed="8"/>
            <rFont val="맑은 고딕"/>
            <family val="3"/>
            <charset val="129"/>
          </rPr>
          <t>2025/09/17 주당 92원
2025/10/17 주당 93원
2025/11/18 주당 96원
2025/12/17 주당 98원
2026/01/19 주당 98원
2026/02/20 주당 99원
2026/03/17 주당 99원</t>
        </r>
      </text>
    </comment>
    <comment ref="K121" authorId="0" shapeId="0" xr:uid="{00000000-0006-0000-0400-00002D000000}">
      <text>
        <r>
          <rPr>
            <sz val="11"/>
            <color indexed="8"/>
            <rFont val="맑은 고딕"/>
            <family val="3"/>
            <charset val="129"/>
          </rPr>
          <t>2025/10/17 주당 93원
2025/11/18 주당 96원
2025/12/17 주당 98원
2026/01/19 주당 98원
2026/02/20 주당 99원
2026/03/17 주당 99원</t>
        </r>
      </text>
    </comment>
    <comment ref="AB121" authorId="0" shapeId="0" xr:uid="{00000000-0006-0000-0400-00002E000000}">
      <text>
        <r>
          <rPr>
            <sz val="11"/>
            <color indexed="8"/>
            <rFont val="맑은 고딕"/>
            <family val="3"/>
            <charset val="129"/>
          </rPr>
          <t>2025/10/17 주당 93원
2025/11/18 주당 96원
2025/12/17 주당 98원
2026/01/19 주당 98원
2026/02/20 주당 99원
2026/03/17 주당 99원</t>
        </r>
      </text>
    </comment>
    <comment ref="K122" authorId="0" shapeId="0" xr:uid="{00000000-0006-0000-0400-00002F000000}">
      <text>
        <r>
          <rPr>
            <sz val="11"/>
            <color indexed="8"/>
            <rFont val="맑은 고딕"/>
            <family val="3"/>
            <charset val="129"/>
          </rPr>
          <t>2025/10/17 주당 93원
2025/11/18 주당 96원
2025/12/17 주당 98원
2026/01/19 주당 98원
2026/02/20 주당 99원
2026/03/17 주당 99원</t>
        </r>
      </text>
    </comment>
    <comment ref="AB122" authorId="0" shapeId="0" xr:uid="{00000000-0006-0000-0400-000030000000}">
      <text>
        <r>
          <rPr>
            <sz val="11"/>
            <color indexed="8"/>
            <rFont val="맑은 고딕"/>
            <family val="3"/>
            <charset val="129"/>
          </rPr>
          <t>2025/10/17 주당 93원
2025/11/18 주당 96원
2025/12/17 주당 98원
2026/01/19 주당 98원
2026/02/20 주당 99원
2026/03/17 주당 99원</t>
        </r>
      </text>
    </comment>
    <comment ref="K123" authorId="0" shapeId="0" xr:uid="{00000000-0006-0000-0400-000031000000}">
      <text>
        <r>
          <rPr>
            <sz val="11"/>
            <color indexed="8"/>
            <rFont val="맑은 고딕"/>
            <family val="3"/>
            <charset val="129"/>
          </rPr>
          <t>2025/10/17 주당 93원
2025/11/18 주당 96원
2025/12/17 주당 98원
2026/01/19 주당 98원
2026/02/20 주당 99원
2026/03/17 주당 99원</t>
        </r>
      </text>
    </comment>
    <comment ref="AB123" authorId="0" shapeId="0" xr:uid="{00000000-0006-0000-0400-000032000000}">
      <text>
        <r>
          <rPr>
            <sz val="11"/>
            <color indexed="8"/>
            <rFont val="맑은 고딕"/>
            <family val="3"/>
            <charset val="129"/>
          </rPr>
          <t>2025/10/17 주당 93원
2025/11/18 주당 96원
2025/12/17 주당 98원
2026/01/19 주당 98원
2026/02/20 주당 99원
2026/03/17 주당 99원</t>
        </r>
      </text>
    </comment>
    <comment ref="K124" authorId="0" shapeId="0" xr:uid="{00000000-0006-0000-0400-000033000000}">
      <text>
        <r>
          <rPr>
            <sz val="11"/>
            <color indexed="8"/>
            <rFont val="맑은 고딕"/>
            <family val="3"/>
            <charset val="129"/>
          </rPr>
          <t>2025/10/17 주당 93원
2025/11/18 주당 96원
2025/12/17 주당 98원
2026/01/19 주당 98원
2026/02/20 주당 99원
2026/03/17 주당 99원</t>
        </r>
      </text>
    </comment>
    <comment ref="AB124" authorId="0" shapeId="0" xr:uid="{00000000-0006-0000-0400-000034000000}">
      <text>
        <r>
          <rPr>
            <sz val="11"/>
            <color indexed="8"/>
            <rFont val="맑은 고딕"/>
            <family val="3"/>
            <charset val="129"/>
          </rPr>
          <t>2025/10/17 주당 93원
2025/11/18 주당 96원
2025/12/17 주당 98원
2026/01/19 주당 98원
2026/02/20 주당 99원
2026/03/17 주당 99원</t>
        </r>
      </text>
    </comment>
    <comment ref="K125" authorId="0" shapeId="0" xr:uid="{00000000-0006-0000-0400-000035000000}">
      <text>
        <r>
          <rPr>
            <sz val="11"/>
            <color indexed="8"/>
            <rFont val="맑은 고딕"/>
            <family val="3"/>
            <charset val="129"/>
          </rPr>
          <t>2025/11/18 주당 96원
2025/12/17 주당 98원
2026/01/19 주당 98원
2026/02/20 주당 99원
2026/03/17 주당 99원</t>
        </r>
      </text>
    </comment>
    <comment ref="AB125" authorId="0" shapeId="0" xr:uid="{00000000-0006-0000-0400-000036000000}">
      <text>
        <r>
          <rPr>
            <sz val="11"/>
            <color indexed="8"/>
            <rFont val="맑은 고딕"/>
            <family val="3"/>
            <charset val="129"/>
          </rPr>
          <t>2025/11/18 주당 96원
2025/12/17 주당 98원
2026/01/19 주당 98원
2026/02/20 주당 99원
2026/03/17 주당 99원</t>
        </r>
      </text>
    </comment>
    <comment ref="K126" authorId="0" shapeId="0" xr:uid="{00000000-0006-0000-0400-000037000000}">
      <text>
        <r>
          <rPr>
            <sz val="11"/>
            <color indexed="8"/>
            <rFont val="맑은 고딕"/>
            <family val="3"/>
            <charset val="129"/>
          </rPr>
          <t>2025/11/18 주당 96원
2025/12/17 주당 98원
2026/01/19 주당 98원
2026/02/20 주당 99원
2026/03/17 주당 99원</t>
        </r>
      </text>
    </comment>
    <comment ref="AB126" authorId="0" shapeId="0" xr:uid="{00000000-0006-0000-0400-000038000000}">
      <text>
        <r>
          <rPr>
            <sz val="11"/>
            <color indexed="8"/>
            <rFont val="맑은 고딕"/>
            <family val="3"/>
            <charset val="129"/>
          </rPr>
          <t>2025/11/18 주당 96원
2025/12/17 주당 98원
2026/01/19 주당 98원
2026/02/20 주당 99원
2026/03/17 주당 99원</t>
        </r>
      </text>
    </comment>
    <comment ref="K127" authorId="0" shapeId="0" xr:uid="{00000000-0006-0000-0400-000039000000}">
      <text>
        <r>
          <rPr>
            <sz val="11"/>
            <color indexed="8"/>
            <rFont val="맑은 고딕"/>
            <family val="3"/>
            <charset val="129"/>
          </rPr>
          <t>2025/11/18 주당 96원
2025/12/17 주당 98원
2026/01/19 주당 98원
2026/02/20 주당 99원
2026/03/17 주당 99원</t>
        </r>
      </text>
    </comment>
    <comment ref="AB127" authorId="0" shapeId="0" xr:uid="{00000000-0006-0000-0400-00003A000000}">
      <text>
        <r>
          <rPr>
            <sz val="11"/>
            <color indexed="8"/>
            <rFont val="맑은 고딕"/>
            <family val="3"/>
            <charset val="129"/>
          </rPr>
          <t>2025/11/18 주당 96원
2025/12/17 주당 98원
2026/01/19 주당 98원
2026/02/20 주당 99원
2026/03/17 주당 99원</t>
        </r>
      </text>
    </comment>
    <comment ref="K128" authorId="0" shapeId="0" xr:uid="{00000000-0006-0000-0400-00003B000000}">
      <text>
        <r>
          <rPr>
            <sz val="11"/>
            <color indexed="8"/>
            <rFont val="맑은 고딕"/>
            <family val="3"/>
            <charset val="129"/>
          </rPr>
          <t>2025/11/18 주당 96원
2025/12/17 주당 98원
2026/01/19 주당 98원
2026/02/20 주당 99원
2026/03/17 주당 99원</t>
        </r>
      </text>
    </comment>
    <comment ref="AB128" authorId="0" shapeId="0" xr:uid="{00000000-0006-0000-0400-00003C000000}">
      <text>
        <r>
          <rPr>
            <sz val="11"/>
            <color indexed="8"/>
            <rFont val="맑은 고딕"/>
            <family val="3"/>
            <charset val="129"/>
          </rPr>
          <t>2025/11/18 주당 96원
2025/12/17 주당 98원
2026/01/19 주당 98원
2026/02/20 주당 99원
2026/03/17 주당 99원</t>
        </r>
      </text>
    </comment>
    <comment ref="K129" authorId="0" shapeId="0" xr:uid="{00000000-0006-0000-0400-00003D000000}">
      <text>
        <r>
          <rPr>
            <sz val="11"/>
            <color indexed="8"/>
            <rFont val="맑은 고딕"/>
            <family val="3"/>
            <charset val="129"/>
          </rPr>
          <t>2025/12/17 주당 98원
2026/01/19 주당 98원
2026/02/20 주당 99원
2026/03/17 주당 99원</t>
        </r>
      </text>
    </comment>
    <comment ref="AB129" authorId="0" shapeId="0" xr:uid="{00000000-0006-0000-0400-00003E000000}">
      <text>
        <r>
          <rPr>
            <sz val="11"/>
            <color indexed="8"/>
            <rFont val="맑은 고딕"/>
            <family val="3"/>
            <charset val="129"/>
          </rPr>
          <t>2025/12/17 주당 98원
2026/01/19 주당 98원
2026/02/20 주당 99원
2026/03/17 주당 99원</t>
        </r>
      </text>
    </comment>
    <comment ref="K130" authorId="0" shapeId="0" xr:uid="{00000000-0006-0000-0400-00003F000000}">
      <text>
        <r>
          <rPr>
            <sz val="11"/>
            <color indexed="8"/>
            <rFont val="맑은 고딕"/>
            <family val="3"/>
            <charset val="129"/>
          </rPr>
          <t>2025/12/17 주당 98원
2026/01/19 주당 98원
2026/02/20 주당 99원
2026/03/17 주당 99원</t>
        </r>
      </text>
    </comment>
    <comment ref="AB130" authorId="0" shapeId="0" xr:uid="{00000000-0006-0000-0400-000040000000}">
      <text>
        <r>
          <rPr>
            <sz val="11"/>
            <color indexed="8"/>
            <rFont val="맑은 고딕"/>
            <family val="3"/>
            <charset val="129"/>
          </rPr>
          <t>2025/12/17 주당 98원
2026/01/19 주당 98원
2026/02/20 주당 99원
2026/03/17 주당 99원</t>
        </r>
      </text>
    </comment>
    <comment ref="K131" authorId="0" shapeId="0" xr:uid="{00000000-0006-0000-0400-000041000000}">
      <text>
        <r>
          <rPr>
            <sz val="11"/>
            <color indexed="8"/>
            <rFont val="맑은 고딕"/>
            <family val="3"/>
            <charset val="129"/>
          </rPr>
          <t>2025/12/17 주당 98원
2026/01/19 주당 98원
2026/02/20 주당 99원
2026/03/17 주당 99원</t>
        </r>
      </text>
    </comment>
    <comment ref="AB131" authorId="0" shapeId="0" xr:uid="{00000000-0006-0000-0400-000042000000}">
      <text>
        <r>
          <rPr>
            <sz val="11"/>
            <color indexed="8"/>
            <rFont val="맑은 고딕"/>
            <family val="3"/>
            <charset val="129"/>
          </rPr>
          <t>2025/12/17 주당 98원
2026/01/19 주당 98원
2026/02/20 주당 99원
2026/03/17 주당 99원</t>
        </r>
      </text>
    </comment>
    <comment ref="K132" authorId="0" shapeId="0" xr:uid="{00000000-0006-0000-0400-000043000000}">
      <text>
        <r>
          <rPr>
            <sz val="11"/>
            <color indexed="8"/>
            <rFont val="맑은 고딕"/>
            <family val="3"/>
            <charset val="129"/>
          </rPr>
          <t>2025/12/17 주당 98원
2026/01/19 주당 98원
2026/02/20 주당 99원
2026/03/17 주당 99원</t>
        </r>
      </text>
    </comment>
    <comment ref="AB132" authorId="0" shapeId="0" xr:uid="{00000000-0006-0000-0400-000044000000}">
      <text>
        <r>
          <rPr>
            <sz val="11"/>
            <color indexed="8"/>
            <rFont val="맑은 고딕"/>
            <family val="3"/>
            <charset val="129"/>
          </rPr>
          <t>2025/12/17 주당 98원
2026/01/19 주당 98원
2026/02/20 주당 99원
2026/03/17 주당 99원</t>
        </r>
      </text>
    </comment>
    <comment ref="K133" authorId="0" shapeId="0" xr:uid="{00000000-0006-0000-0400-000045000000}">
      <text>
        <r>
          <rPr>
            <sz val="11"/>
            <color indexed="8"/>
            <rFont val="맑은 고딕"/>
            <family val="3"/>
            <charset val="129"/>
          </rPr>
          <t>2025/12/17 주당 98원
2026/01/19 주당 98원
2026/02/20 주당 99원
2026/03/17 주당 99원</t>
        </r>
      </text>
    </comment>
    <comment ref="AB133" authorId="0" shapeId="0" xr:uid="{00000000-0006-0000-0400-000046000000}">
      <text>
        <r>
          <rPr>
            <sz val="11"/>
            <color indexed="8"/>
            <rFont val="맑은 고딕"/>
            <family val="3"/>
            <charset val="129"/>
          </rPr>
          <t>2025/12/17 주당 98원
2026/01/19 주당 98원
2026/02/20 주당 99원
2026/03/17 주당 99원</t>
        </r>
      </text>
    </comment>
    <comment ref="K134" authorId="0" shapeId="0" xr:uid="{00000000-0006-0000-0400-000047000000}">
      <text>
        <r>
          <rPr>
            <sz val="11"/>
            <color indexed="8"/>
            <rFont val="맑은 고딕"/>
            <family val="3"/>
            <charset val="129"/>
          </rPr>
          <t>2026/01/19 주당 98원
2026/02/20 주당 99원
2026/03/17 주당 99원</t>
        </r>
      </text>
    </comment>
    <comment ref="AB134" authorId="0" shapeId="0" xr:uid="{00000000-0006-0000-0400-000048000000}">
      <text>
        <r>
          <rPr>
            <sz val="11"/>
            <color indexed="8"/>
            <rFont val="맑은 고딕"/>
            <family val="3"/>
            <charset val="129"/>
          </rPr>
          <t>2026/01/19 주당 98원
2026/02/20 주당 99원
2026/03/17 주당 99원</t>
        </r>
      </text>
    </comment>
    <comment ref="K135" authorId="0" shapeId="0" xr:uid="{00000000-0006-0000-0400-000049000000}">
      <text>
        <r>
          <rPr>
            <sz val="11"/>
            <color indexed="8"/>
            <rFont val="맑은 고딕"/>
            <family val="3"/>
            <charset val="129"/>
          </rPr>
          <t>2026/01/19 주당 98원
2026/02/20 주당 99원
2026/03/17 주당 99원</t>
        </r>
      </text>
    </comment>
    <comment ref="AB135" authorId="0" shapeId="0" xr:uid="{00000000-0006-0000-0400-00004A000000}">
      <text>
        <r>
          <rPr>
            <sz val="11"/>
            <color indexed="8"/>
            <rFont val="맑은 고딕"/>
            <family val="3"/>
            <charset val="129"/>
          </rPr>
          <t>2026/01/19 주당 98원
2026/02/20 주당 99원
2026/03/17 주당 99원</t>
        </r>
      </text>
    </comment>
    <comment ref="K136" authorId="0" shapeId="0" xr:uid="{00000000-0006-0000-0400-00004B000000}">
      <text>
        <r>
          <rPr>
            <sz val="11"/>
            <color indexed="8"/>
            <rFont val="맑은 고딕"/>
            <family val="3"/>
            <charset val="129"/>
          </rPr>
          <t>2026/01/19 주당 98원
2026/02/20 주당 99원
2026/03/17 주당 99원</t>
        </r>
      </text>
    </comment>
    <comment ref="AB136" authorId="0" shapeId="0" xr:uid="{00000000-0006-0000-0400-00004C000000}">
      <text>
        <r>
          <rPr>
            <sz val="11"/>
            <color indexed="8"/>
            <rFont val="맑은 고딕"/>
            <family val="3"/>
            <charset val="129"/>
          </rPr>
          <t>2026/01/19 주당 98원
2026/02/20 주당 99원
2026/03/17 주당 99원</t>
        </r>
      </text>
    </comment>
    <comment ref="K137" authorId="0" shapeId="0" xr:uid="{00000000-0006-0000-0400-00004D000000}">
      <text>
        <r>
          <rPr>
            <sz val="11"/>
            <color indexed="8"/>
            <rFont val="맑은 고딕"/>
            <family val="3"/>
            <charset val="129"/>
          </rPr>
          <t>2026/01/19 주당 98원
2026/02/20 주당 99원
2026/03/17 주당 99원</t>
        </r>
      </text>
    </comment>
    <comment ref="AB137" authorId="0" shapeId="0" xr:uid="{00000000-0006-0000-0400-00004E000000}">
      <text>
        <r>
          <rPr>
            <sz val="11"/>
            <color indexed="8"/>
            <rFont val="맑은 고딕"/>
            <family val="3"/>
            <charset val="129"/>
          </rPr>
          <t>2026/01/19 주당 98원
2026/02/20 주당 99원
2026/03/17 주당 99원</t>
        </r>
      </text>
    </comment>
    <comment ref="K138" authorId="0" shapeId="0" xr:uid="{00000000-0006-0000-0400-00004F000000}">
      <text>
        <r>
          <rPr>
            <sz val="11"/>
            <color indexed="8"/>
            <rFont val="맑은 고딕"/>
            <family val="3"/>
            <charset val="129"/>
          </rPr>
          <t>2026/02/20 주당 99원
2026/03/17 주당 99원</t>
        </r>
      </text>
    </comment>
    <comment ref="AB138" authorId="0" shapeId="0" xr:uid="{00000000-0006-0000-0400-000050000000}">
      <text>
        <r>
          <rPr>
            <sz val="11"/>
            <color indexed="8"/>
            <rFont val="맑은 고딕"/>
            <family val="3"/>
            <charset val="129"/>
          </rPr>
          <t>2026/02/20 주당 99원
2026/03/17 주당 99원</t>
        </r>
      </text>
    </comment>
    <comment ref="K139" authorId="0" shapeId="0" xr:uid="{00000000-0006-0000-0400-000051000000}">
      <text>
        <r>
          <rPr>
            <sz val="11"/>
            <color indexed="8"/>
            <rFont val="맑은 고딕"/>
            <family val="3"/>
            <charset val="129"/>
          </rPr>
          <t>2026/02/20 주당 99원
2026/03/17 주당 99원</t>
        </r>
      </text>
    </comment>
    <comment ref="AB139" authorId="0" shapeId="0" xr:uid="{00000000-0006-0000-0400-000052000000}">
      <text>
        <r>
          <rPr>
            <sz val="11"/>
            <color indexed="8"/>
            <rFont val="맑은 고딕"/>
            <family val="3"/>
            <charset val="129"/>
          </rPr>
          <t>2026/02/20 주당 99원
2026/03/17 주당 99원</t>
        </r>
      </text>
    </comment>
    <comment ref="K140" authorId="0" shapeId="0" xr:uid="{00000000-0006-0000-0400-000053000000}">
      <text>
        <r>
          <rPr>
            <sz val="11"/>
            <color indexed="8"/>
            <rFont val="맑은 고딕"/>
            <family val="3"/>
            <charset val="129"/>
          </rPr>
          <t>2026/02/20 주당 99원
2026/03/17 주당 99원</t>
        </r>
      </text>
    </comment>
    <comment ref="AB140" authorId="0" shapeId="0" xr:uid="{00000000-0006-0000-0400-000054000000}">
      <text>
        <r>
          <rPr>
            <sz val="11"/>
            <color indexed="8"/>
            <rFont val="맑은 고딕"/>
            <family val="3"/>
            <charset val="129"/>
          </rPr>
          <t>2026/02/20 주당 99원
2026/03/17 주당 99원</t>
        </r>
      </text>
    </comment>
    <comment ref="K141" authorId="0" shapeId="0" xr:uid="{00000000-0006-0000-0400-000055000000}">
      <text>
        <r>
          <rPr>
            <sz val="11"/>
            <color indexed="8"/>
            <rFont val="맑은 고딕"/>
            <family val="3"/>
            <charset val="129"/>
          </rPr>
          <t>2026/02/20 주당 99원
2026/03/17 주당 99원</t>
        </r>
      </text>
    </comment>
    <comment ref="AB141" authorId="0" shapeId="0" xr:uid="{00000000-0006-0000-0400-000056000000}">
      <text>
        <r>
          <rPr>
            <sz val="11"/>
            <color indexed="8"/>
            <rFont val="맑은 고딕"/>
            <family val="3"/>
            <charset val="129"/>
          </rPr>
          <t>2026/02/20 주당 99원
2026/03/17 주당 99원</t>
        </r>
      </text>
    </comment>
    <comment ref="K142" authorId="1" shapeId="0" xr:uid="{00000000-0006-0000-0400-000057000000}">
      <text>
        <r>
          <rPr>
            <sz val="11"/>
            <color indexed="8"/>
            <rFont val="맑은 고딕"/>
            <family val="3"/>
            <charset val="129"/>
          </rPr>
          <t>2026/03/17 주당 99원</t>
        </r>
      </text>
    </comment>
    <comment ref="AB142" authorId="1" shapeId="0" xr:uid="{00000000-0006-0000-0400-000058000000}">
      <text>
        <r>
          <rPr>
            <sz val="11"/>
            <color indexed="8"/>
            <rFont val="맑은 고딕"/>
            <family val="3"/>
            <charset val="129"/>
          </rPr>
          <t>2026/03/17 주당 99원</t>
        </r>
      </text>
    </comment>
    <comment ref="K143" authorId="1" shapeId="0" xr:uid="{00000000-0006-0000-0400-000059000000}">
      <text>
        <r>
          <rPr>
            <sz val="11"/>
            <color indexed="8"/>
            <rFont val="맑은 고딕"/>
            <family val="3"/>
            <charset val="129"/>
          </rPr>
          <t>2026/03/17 주당 99원</t>
        </r>
      </text>
    </comment>
    <comment ref="AB143" authorId="1" shapeId="0" xr:uid="{00000000-0006-0000-0400-00005A000000}">
      <text>
        <r>
          <rPr>
            <sz val="11"/>
            <color indexed="8"/>
            <rFont val="맑은 고딕"/>
            <family val="3"/>
            <charset val="129"/>
          </rPr>
          <t>2026/03/17 주당 99원</t>
        </r>
      </text>
    </comment>
    <comment ref="K144" authorId="1" shapeId="0" xr:uid="{00000000-0006-0000-0400-00005B000000}">
      <text>
        <r>
          <rPr>
            <sz val="11"/>
            <color indexed="8"/>
            <rFont val="맑은 고딕"/>
            <family val="3"/>
            <charset val="129"/>
          </rPr>
          <t>2026/03/17 주당 99원</t>
        </r>
      </text>
    </comment>
    <comment ref="AB144" authorId="1" shapeId="0" xr:uid="{00000000-0006-0000-0400-00005C000000}">
      <text>
        <r>
          <rPr>
            <sz val="11"/>
            <color indexed="8"/>
            <rFont val="맑은 고딕"/>
            <family val="3"/>
            <charset val="129"/>
          </rPr>
          <t>2026/03/17 주당 99원</t>
        </r>
      </text>
    </comment>
    <comment ref="K145" authorId="1" shapeId="0" xr:uid="{00000000-0006-0000-0400-00005D000000}">
      <text>
        <r>
          <rPr>
            <sz val="11"/>
            <color indexed="8"/>
            <rFont val="맑은 고딕"/>
            <family val="3"/>
            <charset val="129"/>
          </rPr>
          <t>2026/03/17 주당 99원</t>
        </r>
      </text>
    </comment>
    <comment ref="AB145" authorId="1" shapeId="0" xr:uid="{00000000-0006-0000-0400-00005E000000}">
      <text>
        <r>
          <rPr>
            <sz val="11"/>
            <color indexed="8"/>
            <rFont val="맑은 고딕"/>
            <family val="3"/>
            <charset val="129"/>
          </rPr>
          <t>2026/03/17 주당 99원</t>
        </r>
      </text>
    </comment>
    <comment ref="K151" authorId="0" shapeId="0" xr:uid="{00000000-0006-0000-0400-00005F000000}">
      <text>
        <r>
          <rPr>
            <sz val="11"/>
            <color indexed="8"/>
            <rFont val="맑은 고딕"/>
            <family val="3"/>
            <charset val="129"/>
          </rPr>
          <t xml:space="preserve">2025/05/07 주당 20원
2025/08/04 주당 35원
2025/11/04 주당 15원
2026/02/03 주당 10원
</t>
        </r>
      </text>
    </comment>
    <comment ref="AB151" authorId="0" shapeId="0" xr:uid="{00000000-0006-0000-0400-000060000000}">
      <text>
        <r>
          <rPr>
            <sz val="11"/>
            <color indexed="8"/>
            <rFont val="맑은 고딕"/>
            <family val="3"/>
            <charset val="129"/>
          </rPr>
          <t xml:space="preserve">2025/05/07 주당 20원
2025/08/04 주당 35원
2025/11/04 주당 15원
2026/02/03 주당 10원
</t>
        </r>
      </text>
    </comment>
    <comment ref="K152" authorId="0" shapeId="0" xr:uid="{00000000-0006-0000-0400-000061000000}">
      <text>
        <r>
          <rPr>
            <sz val="11"/>
            <color indexed="8"/>
            <rFont val="맑은 고딕"/>
            <family val="3"/>
            <charset val="129"/>
          </rPr>
          <t xml:space="preserve">2025/05/07 주당 20원
2025/08/04 주당 35원
2025/11/04 주당 15원
2026/02/03 주당 10원
</t>
        </r>
      </text>
    </comment>
    <comment ref="AB152" authorId="0" shapeId="0" xr:uid="{00000000-0006-0000-0400-000062000000}">
      <text>
        <r>
          <rPr>
            <sz val="11"/>
            <color indexed="8"/>
            <rFont val="맑은 고딕"/>
            <family val="3"/>
            <charset val="129"/>
          </rPr>
          <t xml:space="preserve">2025/05/07 주당 20원
2025/08/04 주당 35원
2025/11/04 주당 15원
2026/02/03 주당 10원
</t>
        </r>
      </text>
    </comment>
    <comment ref="K153" authorId="0" shapeId="0" xr:uid="{00000000-0006-0000-0400-000063000000}">
      <text>
        <r>
          <rPr>
            <sz val="11"/>
            <color indexed="8"/>
            <rFont val="맑은 고딕"/>
            <family val="3"/>
            <charset val="129"/>
          </rPr>
          <t xml:space="preserve">2025/05/07 주당 20원
2025/08/04 주당 35원
2025/11/04 주당 15원
2026/02/03 주당 10원
</t>
        </r>
      </text>
    </comment>
    <comment ref="AB153" authorId="0" shapeId="0" xr:uid="{00000000-0006-0000-0400-000064000000}">
      <text>
        <r>
          <rPr>
            <sz val="11"/>
            <color indexed="8"/>
            <rFont val="맑은 고딕"/>
            <family val="3"/>
            <charset val="129"/>
          </rPr>
          <t xml:space="preserve">2025/05/07 주당 20원
2025/08/04 주당 35원
2025/11/04 주당 15원
2026/02/03 주당 10원
</t>
        </r>
      </text>
    </comment>
    <comment ref="K154" authorId="0" shapeId="0" xr:uid="{00000000-0006-0000-0400-000065000000}">
      <text>
        <r>
          <rPr>
            <sz val="11"/>
            <color indexed="8"/>
            <rFont val="맑은 고딕"/>
            <family val="3"/>
            <charset val="129"/>
          </rPr>
          <t xml:space="preserve">2025/05/07 주당 20원
2025/08/04 주당 35원
2025/11/04 주당 15원
2026/02/03 주당 10원
</t>
        </r>
      </text>
    </comment>
    <comment ref="AB154" authorId="0" shapeId="0" xr:uid="{00000000-0006-0000-0400-000066000000}">
      <text>
        <r>
          <rPr>
            <sz val="11"/>
            <color indexed="8"/>
            <rFont val="맑은 고딕"/>
            <family val="3"/>
            <charset val="129"/>
          </rPr>
          <t xml:space="preserve">2025/05/07 주당 20원
2025/08/04 주당 35원
2025/11/04 주당 15원
2026/02/03 주당 10원
</t>
        </r>
      </text>
    </comment>
    <comment ref="K155" authorId="0" shapeId="0" xr:uid="{00000000-0006-0000-0400-000067000000}">
      <text>
        <r>
          <rPr>
            <sz val="11"/>
            <color indexed="8"/>
            <rFont val="맑은 고딕"/>
            <family val="3"/>
            <charset val="129"/>
          </rPr>
          <t xml:space="preserve">2025/08/04 주당 35원
2025/11/04 주당 15원
2026/02/03 주당 10원
</t>
        </r>
      </text>
    </comment>
    <comment ref="AB155" authorId="0" shapeId="0" xr:uid="{00000000-0006-0000-0400-000068000000}">
      <text>
        <r>
          <rPr>
            <sz val="11"/>
            <color indexed="8"/>
            <rFont val="맑은 고딕"/>
            <family val="3"/>
            <charset val="129"/>
          </rPr>
          <t xml:space="preserve">2025/08/04 주당 35원
2025/11/04 주당 15원
2026/02/03 주당 10원
</t>
        </r>
      </text>
    </comment>
    <comment ref="K156" authorId="0" shapeId="0" xr:uid="{00000000-0006-0000-0400-000069000000}">
      <text>
        <r>
          <rPr>
            <sz val="11"/>
            <color indexed="8"/>
            <rFont val="맑은 고딕"/>
            <family val="3"/>
            <charset val="129"/>
          </rPr>
          <t xml:space="preserve">2025/08/04 주당 35원
2025/11/04 주당 15원
2026/02/03 주당 10원
</t>
        </r>
      </text>
    </comment>
    <comment ref="AB156" authorId="0" shapeId="0" xr:uid="{00000000-0006-0000-0400-00006A000000}">
      <text>
        <r>
          <rPr>
            <sz val="11"/>
            <color indexed="8"/>
            <rFont val="맑은 고딕"/>
            <family val="3"/>
            <charset val="129"/>
          </rPr>
          <t xml:space="preserve">2025/08/04 주당 35원
2025/11/04 주당 15원
2026/02/03 주당 10원
</t>
        </r>
      </text>
    </comment>
    <comment ref="K157" authorId="0" shapeId="0" xr:uid="{00000000-0006-0000-0400-00006B000000}">
      <text>
        <r>
          <rPr>
            <sz val="11"/>
            <color indexed="8"/>
            <rFont val="맑은 고딕"/>
            <family val="3"/>
            <charset val="129"/>
          </rPr>
          <t xml:space="preserve">2025/08/04 주당 35원
2025/11/04 주당 15원
2026/02/03 주당 10원
</t>
        </r>
      </text>
    </comment>
    <comment ref="AB157" authorId="0" shapeId="0" xr:uid="{00000000-0006-0000-0400-00006C000000}">
      <text>
        <r>
          <rPr>
            <sz val="11"/>
            <color indexed="8"/>
            <rFont val="맑은 고딕"/>
            <family val="3"/>
            <charset val="129"/>
          </rPr>
          <t xml:space="preserve">2025/08/04 주당 35원
2025/11/04 주당 15원
2026/02/03 주당 10원
</t>
        </r>
      </text>
    </comment>
    <comment ref="K158" authorId="0" shapeId="0" xr:uid="{00000000-0006-0000-0400-00006D000000}">
      <text>
        <r>
          <rPr>
            <sz val="11"/>
            <color indexed="8"/>
            <rFont val="맑은 고딕"/>
            <family val="3"/>
            <charset val="129"/>
          </rPr>
          <t xml:space="preserve">2025/08/04 주당 35원
2025/11/04 주당 15원
2026/02/03 주당 10원
</t>
        </r>
      </text>
    </comment>
    <comment ref="AB158" authorId="0" shapeId="0" xr:uid="{00000000-0006-0000-0400-00006E000000}">
      <text>
        <r>
          <rPr>
            <sz val="11"/>
            <color indexed="8"/>
            <rFont val="맑은 고딕"/>
            <family val="3"/>
            <charset val="129"/>
          </rPr>
          <t xml:space="preserve">2025/08/04 주당 35원
2025/11/04 주당 15원
2026/02/03 주당 10원
</t>
        </r>
      </text>
    </comment>
    <comment ref="K159" authorId="0" shapeId="0" xr:uid="{00000000-0006-0000-0400-00006F000000}">
      <text>
        <r>
          <rPr>
            <sz val="11"/>
            <color indexed="8"/>
            <rFont val="맑은 고딕"/>
            <family val="3"/>
            <charset val="129"/>
          </rPr>
          <t xml:space="preserve">2025/08/04 주당 35원
2025/11/04 주당 15원
2026/02/03 주당 10원
</t>
        </r>
      </text>
    </comment>
    <comment ref="AB159" authorId="0" shapeId="0" xr:uid="{00000000-0006-0000-0400-000070000000}">
      <text>
        <r>
          <rPr>
            <sz val="11"/>
            <color indexed="8"/>
            <rFont val="맑은 고딕"/>
            <family val="3"/>
            <charset val="129"/>
          </rPr>
          <t xml:space="preserve">2025/08/04 주당 35원
2025/11/04 주당 15원
2026/02/03 주당 10원
</t>
        </r>
      </text>
    </comment>
    <comment ref="K160" authorId="0" shapeId="0" xr:uid="{00000000-0006-0000-0400-000071000000}">
      <text>
        <r>
          <rPr>
            <sz val="11"/>
            <color indexed="8"/>
            <rFont val="맑은 고딕"/>
            <family val="3"/>
            <charset val="129"/>
          </rPr>
          <t xml:space="preserve">2025/08/04 주당 35원
2025/11/04 주당 15원
2026/02/03 주당 10원
</t>
        </r>
      </text>
    </comment>
    <comment ref="AB160" authorId="0" shapeId="0" xr:uid="{00000000-0006-0000-0400-000072000000}">
      <text>
        <r>
          <rPr>
            <sz val="11"/>
            <color indexed="8"/>
            <rFont val="맑은 고딕"/>
            <family val="3"/>
            <charset val="129"/>
          </rPr>
          <t xml:space="preserve">2025/08/04 주당 35원
2025/11/04 주당 15원
2026/02/03 주당 10원
</t>
        </r>
      </text>
    </comment>
    <comment ref="K161" authorId="0" shapeId="0" xr:uid="{00000000-0006-0000-0400-000073000000}">
      <text>
        <r>
          <rPr>
            <sz val="11"/>
            <color indexed="8"/>
            <rFont val="맑은 고딕"/>
            <family val="3"/>
            <charset val="129"/>
          </rPr>
          <t xml:space="preserve">2025/08/04 주당 35원
2025/11/04 주당 15원
2026/02/03 주당 10원
</t>
        </r>
      </text>
    </comment>
    <comment ref="AB161" authorId="0" shapeId="0" xr:uid="{00000000-0006-0000-0400-000074000000}">
      <text>
        <r>
          <rPr>
            <sz val="11"/>
            <color indexed="8"/>
            <rFont val="맑은 고딕"/>
            <family val="3"/>
            <charset val="129"/>
          </rPr>
          <t xml:space="preserve">2025/08/04 주당 35원
2025/11/04 주당 15원
2026/02/03 주당 10원
</t>
        </r>
      </text>
    </comment>
    <comment ref="K162" authorId="0" shapeId="0" xr:uid="{00000000-0006-0000-0400-000075000000}">
      <text>
        <r>
          <rPr>
            <sz val="11"/>
            <color indexed="8"/>
            <rFont val="맑은 고딕"/>
            <family val="3"/>
            <charset val="129"/>
          </rPr>
          <t xml:space="preserve">2025/08/04 주당 35원
2025/11/04 주당 15원
2026/02/03 주당 10원
</t>
        </r>
      </text>
    </comment>
    <comment ref="AB162" authorId="0" shapeId="0" xr:uid="{00000000-0006-0000-0400-000076000000}">
      <text>
        <r>
          <rPr>
            <sz val="11"/>
            <color indexed="8"/>
            <rFont val="맑은 고딕"/>
            <family val="3"/>
            <charset val="129"/>
          </rPr>
          <t xml:space="preserve">2025/08/04 주당 35원
2025/11/04 주당 15원
2026/02/03 주당 10원
</t>
        </r>
      </text>
    </comment>
    <comment ref="K163" authorId="0" shapeId="0" xr:uid="{00000000-0006-0000-0400-000077000000}">
      <text>
        <r>
          <rPr>
            <sz val="11"/>
            <color indexed="8"/>
            <rFont val="맑은 고딕"/>
            <family val="3"/>
            <charset val="129"/>
          </rPr>
          <t xml:space="preserve">2025/08/04 주당 35원
2025/11/04 주당 15원
2026/02/03 주당 10원
</t>
        </r>
      </text>
    </comment>
    <comment ref="AB163" authorId="0" shapeId="0" xr:uid="{00000000-0006-0000-0400-000078000000}">
      <text>
        <r>
          <rPr>
            <sz val="11"/>
            <color indexed="8"/>
            <rFont val="맑은 고딕"/>
            <family val="3"/>
            <charset val="129"/>
          </rPr>
          <t xml:space="preserve">2025/08/04 주당 35원
2025/11/04 주당 15원
2026/02/03 주당 10원
</t>
        </r>
      </text>
    </comment>
    <comment ref="K164" authorId="0" shapeId="0" xr:uid="{00000000-0006-0000-0400-000079000000}">
      <text>
        <r>
          <rPr>
            <sz val="11"/>
            <color indexed="8"/>
            <rFont val="맑은 고딕"/>
            <family val="3"/>
            <charset val="129"/>
          </rPr>
          <t xml:space="preserve">2025/08/04 주당 35원
2025/11/04 주당 15원
2026/02/03 주당 10원
</t>
        </r>
      </text>
    </comment>
    <comment ref="AB164" authorId="0" shapeId="0" xr:uid="{00000000-0006-0000-0400-00007A000000}">
      <text>
        <r>
          <rPr>
            <sz val="11"/>
            <color indexed="8"/>
            <rFont val="맑은 고딕"/>
            <family val="3"/>
            <charset val="129"/>
          </rPr>
          <t xml:space="preserve">2025/08/04 주당 35원
2025/11/04 주당 15원
2026/02/03 주당 10원
</t>
        </r>
      </text>
    </comment>
    <comment ref="K165" authorId="0" shapeId="0" xr:uid="{00000000-0006-0000-0400-00007B000000}">
      <text>
        <r>
          <rPr>
            <sz val="11"/>
            <color indexed="8"/>
            <rFont val="맑은 고딕"/>
            <family val="3"/>
            <charset val="129"/>
          </rPr>
          <t xml:space="preserve">2025/08/04 주당 35원
2025/11/04 주당 15원
2026/02/03 주당 10원
</t>
        </r>
      </text>
    </comment>
    <comment ref="AB165" authorId="0" shapeId="0" xr:uid="{00000000-0006-0000-0400-00007C000000}">
      <text>
        <r>
          <rPr>
            <sz val="11"/>
            <color indexed="8"/>
            <rFont val="맑은 고딕"/>
            <family val="3"/>
            <charset val="129"/>
          </rPr>
          <t xml:space="preserve">2025/08/04 주당 35원
2025/11/04 주당 15원
2026/02/03 주당 10원
</t>
        </r>
      </text>
    </comment>
    <comment ref="K166" authorId="0" shapeId="0" xr:uid="{00000000-0006-0000-0400-00007D000000}">
      <text>
        <r>
          <rPr>
            <sz val="11"/>
            <color indexed="8"/>
            <rFont val="맑은 고딕"/>
            <family val="3"/>
            <charset val="129"/>
          </rPr>
          <t xml:space="preserve">2025/08/04 주당 35원
2025/11/04 주당 15원
2026/02/03 주당 10원
</t>
        </r>
      </text>
    </comment>
    <comment ref="AB166" authorId="0" shapeId="0" xr:uid="{00000000-0006-0000-0400-00007E000000}">
      <text>
        <r>
          <rPr>
            <sz val="11"/>
            <color indexed="8"/>
            <rFont val="맑은 고딕"/>
            <family val="3"/>
            <charset val="129"/>
          </rPr>
          <t xml:space="preserve">2025/08/04 주당 35원
2025/11/04 주당 15원
2026/02/03 주당 10원
</t>
        </r>
      </text>
    </comment>
    <comment ref="K167" authorId="0" shapeId="0" xr:uid="{00000000-0006-0000-0400-00007F000000}">
      <text>
        <r>
          <rPr>
            <sz val="11"/>
            <color indexed="8"/>
            <rFont val="맑은 고딕"/>
            <family val="3"/>
            <charset val="129"/>
          </rPr>
          <t xml:space="preserve">2025/08/04 주당 35원
2025/11/04 주당 15원
2026/02/03 주당 10원
</t>
        </r>
      </text>
    </comment>
    <comment ref="AB167" authorId="0" shapeId="0" xr:uid="{00000000-0006-0000-0400-000080000000}">
      <text>
        <r>
          <rPr>
            <sz val="11"/>
            <color indexed="8"/>
            <rFont val="맑은 고딕"/>
            <family val="3"/>
            <charset val="129"/>
          </rPr>
          <t xml:space="preserve">2025/08/04 주당 35원
2025/11/04 주당 15원
2026/02/03 주당 10원
</t>
        </r>
      </text>
    </comment>
    <comment ref="K168" authorId="0" shapeId="0" xr:uid="{00000000-0006-0000-0400-000081000000}">
      <text>
        <r>
          <rPr>
            <sz val="11"/>
            <color indexed="8"/>
            <rFont val="맑은 고딕"/>
            <family val="3"/>
            <charset val="129"/>
          </rPr>
          <t xml:space="preserve">2025/11/04 주당 15원
2026/02/03 주당 10원
</t>
        </r>
      </text>
    </comment>
    <comment ref="AB168" authorId="0" shapeId="0" xr:uid="{00000000-0006-0000-0400-000082000000}">
      <text>
        <r>
          <rPr>
            <sz val="11"/>
            <color indexed="8"/>
            <rFont val="맑은 고딕"/>
            <family val="3"/>
            <charset val="129"/>
          </rPr>
          <t xml:space="preserve">2025/11/04 주당 15원
2026/02/03 주당 10원
</t>
        </r>
      </text>
    </comment>
    <comment ref="K169" authorId="0" shapeId="0" xr:uid="{00000000-0006-0000-0400-000083000000}">
      <text>
        <r>
          <rPr>
            <sz val="11"/>
            <color indexed="8"/>
            <rFont val="맑은 고딕"/>
            <family val="3"/>
            <charset val="129"/>
          </rPr>
          <t xml:space="preserve">2025/11/04 주당 15원
2026/02/03 주당 10원
</t>
        </r>
      </text>
    </comment>
    <comment ref="AB169" authorId="0" shapeId="0" xr:uid="{00000000-0006-0000-0400-000084000000}">
      <text>
        <r>
          <rPr>
            <sz val="11"/>
            <color indexed="8"/>
            <rFont val="맑은 고딕"/>
            <family val="3"/>
            <charset val="129"/>
          </rPr>
          <t xml:space="preserve">2025/11/04 주당 15원
2026/02/03 주당 10원
</t>
        </r>
      </text>
    </comment>
    <comment ref="K170" authorId="0" shapeId="0" xr:uid="{00000000-0006-0000-0400-000085000000}">
      <text>
        <r>
          <rPr>
            <sz val="11"/>
            <color indexed="8"/>
            <rFont val="맑은 고딕"/>
            <family val="3"/>
            <charset val="129"/>
          </rPr>
          <t xml:space="preserve">2025/11/04 주당 15원
2026/02/03 주당 10원
</t>
        </r>
      </text>
    </comment>
    <comment ref="AB170" authorId="0" shapeId="0" xr:uid="{00000000-0006-0000-0400-000086000000}">
      <text>
        <r>
          <rPr>
            <sz val="11"/>
            <color indexed="8"/>
            <rFont val="맑은 고딕"/>
            <family val="3"/>
            <charset val="129"/>
          </rPr>
          <t xml:space="preserve">2025/11/04 주당 15원
2026/02/03 주당 10원
</t>
        </r>
      </text>
    </comment>
    <comment ref="K171" authorId="0" shapeId="0" xr:uid="{00000000-0006-0000-0400-000087000000}">
      <text>
        <r>
          <rPr>
            <sz val="11"/>
            <color indexed="8"/>
            <rFont val="맑은 고딕"/>
            <family val="3"/>
            <charset val="129"/>
          </rPr>
          <t xml:space="preserve">2025/11/04 주당 15원
2026/02/03 주당 10원
</t>
        </r>
      </text>
    </comment>
    <comment ref="AB171" authorId="0" shapeId="0" xr:uid="{00000000-0006-0000-0400-000088000000}">
      <text>
        <r>
          <rPr>
            <sz val="11"/>
            <color indexed="8"/>
            <rFont val="맑은 고딕"/>
            <family val="3"/>
            <charset val="129"/>
          </rPr>
          <t xml:space="preserve">2025/11/04 주당 15원
2026/02/03 주당 10원
</t>
        </r>
      </text>
    </comment>
    <comment ref="K172" authorId="0" shapeId="0" xr:uid="{00000000-0006-0000-0400-000089000000}">
      <text>
        <r>
          <rPr>
            <sz val="11"/>
            <color indexed="8"/>
            <rFont val="맑은 고딕"/>
            <family val="3"/>
            <charset val="129"/>
          </rPr>
          <t xml:space="preserve">2025/11/04 주당 15원
2026/02/03 주당 10원
</t>
        </r>
      </text>
    </comment>
    <comment ref="AB172" authorId="0" shapeId="0" xr:uid="{00000000-0006-0000-0400-00008A000000}">
      <text>
        <r>
          <rPr>
            <sz val="11"/>
            <color indexed="8"/>
            <rFont val="맑은 고딕"/>
            <family val="3"/>
            <charset val="129"/>
          </rPr>
          <t xml:space="preserve">2025/11/04 주당 15원
2026/02/03 주당 10원
</t>
        </r>
      </text>
    </comment>
    <comment ref="K173" authorId="0" shapeId="0" xr:uid="{00000000-0006-0000-0400-00008B000000}">
      <text>
        <r>
          <rPr>
            <sz val="11"/>
            <color indexed="8"/>
            <rFont val="맑은 고딕"/>
            <family val="3"/>
            <charset val="129"/>
          </rPr>
          <t xml:space="preserve">2025/11/04 주당 15원
2026/02/03 주당 10원
</t>
        </r>
      </text>
    </comment>
    <comment ref="AB173" authorId="0" shapeId="0" xr:uid="{00000000-0006-0000-0400-00008C000000}">
      <text>
        <r>
          <rPr>
            <sz val="11"/>
            <color indexed="8"/>
            <rFont val="맑은 고딕"/>
            <family val="3"/>
            <charset val="129"/>
          </rPr>
          <t xml:space="preserve">2025/11/04 주당 15원
2026/02/03 주당 10원
</t>
        </r>
      </text>
    </comment>
    <comment ref="K174" authorId="0" shapeId="0" xr:uid="{00000000-0006-0000-0400-00008D000000}">
      <text>
        <r>
          <rPr>
            <sz val="11"/>
            <color indexed="8"/>
            <rFont val="맑은 고딕"/>
            <family val="3"/>
            <charset val="129"/>
          </rPr>
          <t xml:space="preserve">2025/11/04 주당 15원
2026/02/03 주당 10원
</t>
        </r>
      </text>
    </comment>
    <comment ref="AB174" authorId="0" shapeId="0" xr:uid="{00000000-0006-0000-0400-00008E000000}">
      <text>
        <r>
          <rPr>
            <sz val="11"/>
            <color indexed="8"/>
            <rFont val="맑은 고딕"/>
            <family val="3"/>
            <charset val="129"/>
          </rPr>
          <t xml:space="preserve">2025/11/04 주당 15원
2026/02/03 주당 10원
</t>
        </r>
      </text>
    </comment>
    <comment ref="K175" authorId="0" shapeId="0" xr:uid="{00000000-0006-0000-0400-00008F000000}">
      <text>
        <r>
          <rPr>
            <sz val="11"/>
            <color indexed="8"/>
            <rFont val="맑은 고딕"/>
            <family val="3"/>
            <charset val="129"/>
          </rPr>
          <t xml:space="preserve">2025/11/04 주당 15원
2026/02/03 주당 10원
</t>
        </r>
      </text>
    </comment>
    <comment ref="AB175" authorId="0" shapeId="0" xr:uid="{00000000-0006-0000-0400-000090000000}">
      <text>
        <r>
          <rPr>
            <sz val="11"/>
            <color indexed="8"/>
            <rFont val="맑은 고딕"/>
            <family val="3"/>
            <charset val="129"/>
          </rPr>
          <t xml:space="preserve">2025/11/04 주당 15원
2026/02/03 주당 10원
</t>
        </r>
      </text>
    </comment>
    <comment ref="K176" authorId="0" shapeId="0" xr:uid="{00000000-0006-0000-0400-000091000000}">
      <text>
        <r>
          <rPr>
            <sz val="11"/>
            <color indexed="8"/>
            <rFont val="맑은 고딕"/>
            <family val="3"/>
            <charset val="129"/>
          </rPr>
          <t xml:space="preserve">2025/11/04 주당 15원
2026/02/03 주당 10원
</t>
        </r>
      </text>
    </comment>
    <comment ref="AB176" authorId="0" shapeId="0" xr:uid="{00000000-0006-0000-0400-000092000000}">
      <text>
        <r>
          <rPr>
            <sz val="11"/>
            <color indexed="8"/>
            <rFont val="맑은 고딕"/>
            <family val="3"/>
            <charset val="129"/>
          </rPr>
          <t xml:space="preserve">2025/11/04 주당 15원
2026/02/03 주당 10원
</t>
        </r>
      </text>
    </comment>
    <comment ref="K177" authorId="0" shapeId="0" xr:uid="{00000000-0006-0000-0400-000093000000}">
      <text>
        <r>
          <rPr>
            <sz val="11"/>
            <color indexed="8"/>
            <rFont val="맑은 고딕"/>
            <family val="3"/>
            <charset val="129"/>
          </rPr>
          <t xml:space="preserve">2025/11/04 주당 15원
2026/02/03 주당 10원
</t>
        </r>
      </text>
    </comment>
    <comment ref="AB177" authorId="0" shapeId="0" xr:uid="{00000000-0006-0000-0400-000094000000}">
      <text>
        <r>
          <rPr>
            <sz val="11"/>
            <color indexed="8"/>
            <rFont val="맑은 고딕"/>
            <family val="3"/>
            <charset val="129"/>
          </rPr>
          <t xml:space="preserve">2025/11/04 주당 15원
2026/02/03 주당 10원
</t>
        </r>
      </text>
    </comment>
    <comment ref="K178" authorId="0" shapeId="0" xr:uid="{00000000-0006-0000-0400-000095000000}">
      <text>
        <r>
          <rPr>
            <sz val="11"/>
            <color indexed="8"/>
            <rFont val="맑은 고딕"/>
            <family val="3"/>
            <charset val="129"/>
          </rPr>
          <t xml:space="preserve">2025/11/04 주당 15원
2026/02/03 주당 10원
</t>
        </r>
      </text>
    </comment>
    <comment ref="AB178" authorId="0" shapeId="0" xr:uid="{00000000-0006-0000-0400-000096000000}">
      <text>
        <r>
          <rPr>
            <sz val="11"/>
            <color indexed="8"/>
            <rFont val="맑은 고딕"/>
            <family val="3"/>
            <charset val="129"/>
          </rPr>
          <t xml:space="preserve">2025/11/04 주당 15원
2026/02/03 주당 10원
</t>
        </r>
      </text>
    </comment>
    <comment ref="K179" authorId="0" shapeId="0" xr:uid="{00000000-0006-0000-0400-000097000000}">
      <text>
        <r>
          <rPr>
            <sz val="11"/>
            <color indexed="8"/>
            <rFont val="맑은 고딕"/>
            <family val="3"/>
            <charset val="129"/>
          </rPr>
          <t xml:space="preserve">2025/11/04 주당 15원
2026/02/03 주당 10원
</t>
        </r>
      </text>
    </comment>
    <comment ref="AB179" authorId="0" shapeId="0" xr:uid="{00000000-0006-0000-0400-000098000000}">
      <text>
        <r>
          <rPr>
            <sz val="11"/>
            <color indexed="8"/>
            <rFont val="맑은 고딕"/>
            <family val="3"/>
            <charset val="129"/>
          </rPr>
          <t xml:space="preserve">2025/11/04 주당 15원
2026/02/03 주당 10원
</t>
        </r>
      </text>
    </comment>
    <comment ref="K180" authorId="0" shapeId="0" xr:uid="{00000000-0006-0000-0400-000099000000}">
      <text>
        <r>
          <rPr>
            <sz val="11"/>
            <color indexed="8"/>
            <rFont val="맑은 고딕"/>
            <family val="3"/>
            <charset val="129"/>
          </rPr>
          <t xml:space="preserve">2025/11/04 주당 15원
2026/02/03 주당 10원
</t>
        </r>
      </text>
    </comment>
    <comment ref="AB180" authorId="0" shapeId="0" xr:uid="{00000000-0006-0000-0400-00009A000000}">
      <text>
        <r>
          <rPr>
            <sz val="11"/>
            <color indexed="8"/>
            <rFont val="맑은 고딕"/>
            <family val="3"/>
            <charset val="129"/>
          </rPr>
          <t xml:space="preserve">2025/11/04 주당 15원
2026/02/03 주당 10원
</t>
        </r>
      </text>
    </comment>
    <comment ref="K181" authorId="0" shapeId="0" xr:uid="{00000000-0006-0000-0400-00009B000000}">
      <text>
        <r>
          <rPr>
            <sz val="11"/>
            <color indexed="8"/>
            <rFont val="맑은 고딕"/>
            <family val="3"/>
            <charset val="129"/>
          </rPr>
          <t xml:space="preserve">2025/11/04 주당 15원
2026/02/03 주당 10원
</t>
        </r>
      </text>
    </comment>
    <comment ref="AB181" authorId="0" shapeId="0" xr:uid="{00000000-0006-0000-0400-00009C000000}">
      <text>
        <r>
          <rPr>
            <sz val="11"/>
            <color indexed="8"/>
            <rFont val="맑은 고딕"/>
            <family val="3"/>
            <charset val="129"/>
          </rPr>
          <t xml:space="preserve">2025/11/04 주당 15원
2026/02/03 주당 10원
</t>
        </r>
      </text>
    </comment>
    <comment ref="K182" authorId="0" shapeId="0" xr:uid="{00000000-0006-0000-0400-00009D000000}">
      <text>
        <r>
          <rPr>
            <sz val="11"/>
            <color indexed="8"/>
            <rFont val="맑은 고딕"/>
            <family val="3"/>
            <charset val="129"/>
          </rPr>
          <t xml:space="preserve">
2026/02/03 주당 10원
</t>
        </r>
      </text>
    </comment>
    <comment ref="AB182" authorId="0" shapeId="0" xr:uid="{00000000-0006-0000-0400-00009E000000}">
      <text>
        <r>
          <rPr>
            <sz val="11"/>
            <color indexed="8"/>
            <rFont val="맑은 고딕"/>
            <family val="3"/>
            <charset val="129"/>
          </rPr>
          <t xml:space="preserve">
2026/02/03 주당 10원
</t>
        </r>
      </text>
    </comment>
    <comment ref="K183" authorId="0" shapeId="0" xr:uid="{00000000-0006-0000-0400-00009F000000}">
      <text>
        <r>
          <rPr>
            <sz val="11"/>
            <color indexed="8"/>
            <rFont val="맑은 고딕"/>
            <family val="3"/>
            <charset val="129"/>
          </rPr>
          <t xml:space="preserve">
2026/02/03 주당 10원
</t>
        </r>
      </text>
    </comment>
    <comment ref="AB183" authorId="0" shapeId="0" xr:uid="{00000000-0006-0000-0400-0000A0000000}">
      <text>
        <r>
          <rPr>
            <sz val="11"/>
            <color indexed="8"/>
            <rFont val="맑은 고딕"/>
            <family val="3"/>
            <charset val="129"/>
          </rPr>
          <t xml:space="preserve">
2026/02/03 주당 10원
</t>
        </r>
      </text>
    </comment>
    <comment ref="K184" authorId="0" shapeId="0" xr:uid="{00000000-0006-0000-0400-0000A1000000}">
      <text>
        <r>
          <rPr>
            <sz val="11"/>
            <color indexed="8"/>
            <rFont val="맑은 고딕"/>
            <family val="3"/>
            <charset val="129"/>
          </rPr>
          <t xml:space="preserve">
2026/02/03 주당 10원
</t>
        </r>
      </text>
    </comment>
    <comment ref="AB184" authorId="0" shapeId="0" xr:uid="{00000000-0006-0000-0400-0000A2000000}">
      <text>
        <r>
          <rPr>
            <sz val="11"/>
            <color indexed="8"/>
            <rFont val="맑은 고딕"/>
            <family val="3"/>
            <charset val="129"/>
          </rPr>
          <t xml:space="preserve">
2026/02/03 주당 10원
</t>
        </r>
      </text>
    </comment>
    <comment ref="K185" authorId="0" shapeId="0" xr:uid="{00000000-0006-0000-0400-0000A3000000}">
      <text>
        <r>
          <rPr>
            <sz val="11"/>
            <color indexed="8"/>
            <rFont val="맑은 고딕"/>
            <family val="3"/>
            <charset val="129"/>
          </rPr>
          <t xml:space="preserve">
2026/02/03 주당 10원
</t>
        </r>
      </text>
    </comment>
    <comment ref="AB185" authorId="0" shapeId="0" xr:uid="{00000000-0006-0000-0400-0000A4000000}">
      <text>
        <r>
          <rPr>
            <sz val="11"/>
            <color indexed="8"/>
            <rFont val="맑은 고딕"/>
            <family val="3"/>
            <charset val="129"/>
          </rPr>
          <t xml:space="preserve">
2026/02/03 주당 10원
</t>
        </r>
      </text>
    </comment>
    <comment ref="K186" authorId="0" shapeId="0" xr:uid="{00000000-0006-0000-0400-0000A5000000}">
      <text>
        <r>
          <rPr>
            <sz val="11"/>
            <color indexed="8"/>
            <rFont val="맑은 고딕"/>
            <family val="3"/>
            <charset val="129"/>
          </rPr>
          <t xml:space="preserve">
2026/02/03 주당 10원
</t>
        </r>
      </text>
    </comment>
    <comment ref="AB186" authorId="0" shapeId="0" xr:uid="{00000000-0006-0000-0400-0000A6000000}">
      <text>
        <r>
          <rPr>
            <sz val="11"/>
            <color indexed="8"/>
            <rFont val="맑은 고딕"/>
            <family val="3"/>
            <charset val="129"/>
          </rPr>
          <t xml:space="preserve">
2026/02/03 주당 10원
</t>
        </r>
      </text>
    </comment>
    <comment ref="K187" authorId="0" shapeId="0" xr:uid="{00000000-0006-0000-0400-0000A7000000}">
      <text>
        <r>
          <rPr>
            <sz val="11"/>
            <color indexed="8"/>
            <rFont val="맑은 고딕"/>
            <family val="3"/>
            <charset val="129"/>
          </rPr>
          <t xml:space="preserve">
2026/02/03 주당 10원
</t>
        </r>
      </text>
    </comment>
    <comment ref="AB187" authorId="0" shapeId="0" xr:uid="{00000000-0006-0000-0400-0000A8000000}">
      <text>
        <r>
          <rPr>
            <sz val="11"/>
            <color indexed="8"/>
            <rFont val="맑은 고딕"/>
            <family val="3"/>
            <charset val="129"/>
          </rPr>
          <t xml:space="preserve">
2026/02/03 주당 10원
</t>
        </r>
      </text>
    </comment>
    <comment ref="K188" authorId="0" shapeId="0" xr:uid="{00000000-0006-0000-0400-0000A9000000}">
      <text>
        <r>
          <rPr>
            <sz val="11"/>
            <color indexed="8"/>
            <rFont val="맑은 고딕"/>
            <family val="3"/>
            <charset val="129"/>
          </rPr>
          <t xml:space="preserve">
2026/02/03 주당 10원
</t>
        </r>
      </text>
    </comment>
    <comment ref="AB188" authorId="0" shapeId="0" xr:uid="{00000000-0006-0000-0400-0000AA000000}">
      <text>
        <r>
          <rPr>
            <sz val="11"/>
            <color indexed="8"/>
            <rFont val="맑은 고딕"/>
            <family val="3"/>
            <charset val="129"/>
          </rPr>
          <t xml:space="preserve">
2026/02/03 주당 10원
</t>
        </r>
      </text>
    </comment>
    <comment ref="K189" authorId="0" shapeId="0" xr:uid="{00000000-0006-0000-0400-0000AB000000}">
      <text>
        <r>
          <rPr>
            <sz val="11"/>
            <color indexed="8"/>
            <rFont val="맑은 고딕"/>
            <family val="3"/>
            <charset val="129"/>
          </rPr>
          <t xml:space="preserve">
2026/02/03 주당 10원
</t>
        </r>
      </text>
    </comment>
    <comment ref="AB189" authorId="0" shapeId="0" xr:uid="{00000000-0006-0000-0400-0000AC000000}">
      <text>
        <r>
          <rPr>
            <sz val="11"/>
            <color indexed="8"/>
            <rFont val="맑은 고딕"/>
            <family val="3"/>
            <charset val="129"/>
          </rPr>
          <t xml:space="preserve">
2026/02/03 주당 10원
</t>
        </r>
      </text>
    </comment>
    <comment ref="K190" authorId="0" shapeId="0" xr:uid="{00000000-0006-0000-0400-0000AD000000}">
      <text>
        <r>
          <rPr>
            <sz val="11"/>
            <color indexed="8"/>
            <rFont val="맑은 고딕"/>
            <family val="3"/>
            <charset val="129"/>
          </rPr>
          <t xml:space="preserve">
2026/02/03 주당 10원
</t>
        </r>
      </text>
    </comment>
    <comment ref="AB190" authorId="0" shapeId="0" xr:uid="{00000000-0006-0000-0400-0000AE000000}">
      <text>
        <r>
          <rPr>
            <sz val="11"/>
            <color indexed="8"/>
            <rFont val="맑은 고딕"/>
            <family val="3"/>
            <charset val="129"/>
          </rPr>
          <t xml:space="preserve">
2026/02/03 주당 10원
</t>
        </r>
      </text>
    </comment>
    <comment ref="K191" authorId="0" shapeId="0" xr:uid="{00000000-0006-0000-0400-0000AF000000}">
      <text>
        <r>
          <rPr>
            <sz val="11"/>
            <color indexed="8"/>
            <rFont val="맑은 고딕"/>
            <family val="3"/>
            <charset val="129"/>
          </rPr>
          <t xml:space="preserve">
2026/02/03 주당 10원
</t>
        </r>
      </text>
    </comment>
    <comment ref="AB191" authorId="0" shapeId="0" xr:uid="{00000000-0006-0000-0400-0000B0000000}">
      <text>
        <r>
          <rPr>
            <sz val="11"/>
            <color indexed="8"/>
            <rFont val="맑은 고딕"/>
            <family val="3"/>
            <charset val="129"/>
          </rPr>
          <t xml:space="preserve">
2026/02/03 주당 10원
</t>
        </r>
      </text>
    </comment>
    <comment ref="K192" authorId="0" shapeId="0" xr:uid="{00000000-0006-0000-0400-0000B1000000}">
      <text>
        <r>
          <rPr>
            <sz val="11"/>
            <color indexed="8"/>
            <rFont val="맑은 고딕"/>
            <family val="3"/>
            <charset val="129"/>
          </rPr>
          <t xml:space="preserve">
2026/02/03 주당 10원
</t>
        </r>
      </text>
    </comment>
    <comment ref="AB192" authorId="0" shapeId="0" xr:uid="{00000000-0006-0000-0400-0000B2000000}">
      <text>
        <r>
          <rPr>
            <sz val="11"/>
            <color indexed="8"/>
            <rFont val="맑은 고딕"/>
            <family val="3"/>
            <charset val="129"/>
          </rPr>
          <t xml:space="preserve">
2026/02/03 주당 10원
</t>
        </r>
      </text>
    </comment>
    <comment ref="K193" authorId="0" shapeId="0" xr:uid="{00000000-0006-0000-0400-0000B3000000}">
      <text>
        <r>
          <rPr>
            <sz val="11"/>
            <color indexed="8"/>
            <rFont val="맑은 고딕"/>
            <family val="3"/>
            <charset val="129"/>
          </rPr>
          <t xml:space="preserve">
2026/02/03 주당 10원
</t>
        </r>
      </text>
    </comment>
    <comment ref="AB193" authorId="0" shapeId="0" xr:uid="{00000000-0006-0000-0400-0000B4000000}">
      <text>
        <r>
          <rPr>
            <sz val="11"/>
            <color indexed="8"/>
            <rFont val="맑은 고딕"/>
            <family val="3"/>
            <charset val="129"/>
          </rPr>
          <t xml:space="preserve">
2026/02/03 주당 10원
</t>
        </r>
      </text>
    </comment>
    <comment ref="K194" authorId="0" shapeId="0" xr:uid="{00000000-0006-0000-0400-0000B5000000}">
      <text>
        <r>
          <rPr>
            <sz val="11"/>
            <color indexed="8"/>
            <rFont val="맑은 고딕"/>
            <family val="3"/>
            <charset val="129"/>
          </rPr>
          <t xml:space="preserve">
2026/02/03 주당 10원
</t>
        </r>
      </text>
    </comment>
    <comment ref="AB194" authorId="0" shapeId="0" xr:uid="{00000000-0006-0000-0400-0000B6000000}">
      <text>
        <r>
          <rPr>
            <sz val="11"/>
            <color indexed="8"/>
            <rFont val="맑은 고딕"/>
            <family val="3"/>
            <charset val="129"/>
          </rPr>
          <t xml:space="preserve">
2026/02/03 주당 10원
</t>
        </r>
      </text>
    </comment>
    <comment ref="K204" authorId="0" shapeId="0" xr:uid="{00000000-0006-0000-0400-0000B7000000}">
      <text>
        <r>
          <rPr>
            <sz val="11"/>
            <color indexed="8"/>
            <rFont val="맑은 고딕"/>
            <family val="3"/>
            <charset val="129"/>
          </rPr>
          <t xml:space="preserve">2026/01/02 주당 20원
</t>
        </r>
      </text>
    </comment>
    <comment ref="AB204" authorId="0" shapeId="0" xr:uid="{00000000-0006-0000-0400-0000B8000000}">
      <text>
        <r>
          <rPr>
            <sz val="11"/>
            <color indexed="8"/>
            <rFont val="맑은 고딕"/>
            <family val="3"/>
            <charset val="129"/>
          </rPr>
          <t xml:space="preserve">2026/01/02 주당 20원
</t>
        </r>
      </text>
    </comment>
    <comment ref="K205" authorId="0" shapeId="0" xr:uid="{00000000-0006-0000-0400-0000B9000000}">
      <text>
        <r>
          <rPr>
            <sz val="11"/>
            <color indexed="8"/>
            <rFont val="맑은 고딕"/>
            <family val="3"/>
            <charset val="129"/>
          </rPr>
          <t xml:space="preserve">2026/01/02 주당 20원
</t>
        </r>
      </text>
    </comment>
    <comment ref="AB205" authorId="0" shapeId="0" xr:uid="{00000000-0006-0000-0400-0000BA000000}">
      <text>
        <r>
          <rPr>
            <sz val="11"/>
            <color indexed="8"/>
            <rFont val="맑은 고딕"/>
            <family val="3"/>
            <charset val="129"/>
          </rPr>
          <t xml:space="preserve">2026/01/02 주당 20원
</t>
        </r>
      </text>
    </comment>
    <comment ref="K206" authorId="0" shapeId="0" xr:uid="{00000000-0006-0000-0400-0000BB000000}">
      <text>
        <r>
          <rPr>
            <sz val="11"/>
            <color indexed="8"/>
            <rFont val="맑은 고딕"/>
            <family val="3"/>
            <charset val="129"/>
          </rPr>
          <t xml:space="preserve">2026/01/02 주당 20원
</t>
        </r>
      </text>
    </comment>
    <comment ref="AB206" authorId="0" shapeId="0" xr:uid="{00000000-0006-0000-0400-0000BC000000}">
      <text>
        <r>
          <rPr>
            <sz val="11"/>
            <color indexed="8"/>
            <rFont val="맑은 고딕"/>
            <family val="3"/>
            <charset val="129"/>
          </rPr>
          <t xml:space="preserve">2026/01/02 주당 20원
</t>
        </r>
      </text>
    </comment>
    <comment ref="K207" authorId="0" shapeId="0" xr:uid="{00000000-0006-0000-0400-0000BD000000}">
      <text>
        <r>
          <rPr>
            <sz val="11"/>
            <color indexed="8"/>
            <rFont val="맑은 고딕"/>
            <family val="3"/>
            <charset val="129"/>
          </rPr>
          <t xml:space="preserve">2026/01/02 주당 20원
</t>
        </r>
      </text>
    </comment>
    <comment ref="AB207" authorId="0" shapeId="0" xr:uid="{00000000-0006-0000-0400-0000BE000000}">
      <text>
        <r>
          <rPr>
            <sz val="11"/>
            <color indexed="8"/>
            <rFont val="맑은 고딕"/>
            <family val="3"/>
            <charset val="129"/>
          </rPr>
          <t xml:space="preserve">2026/01/02 주당 20원
</t>
        </r>
      </text>
    </comment>
    <comment ref="K208" authorId="0" shapeId="0" xr:uid="{00000000-0006-0000-0400-0000BF000000}">
      <text>
        <r>
          <rPr>
            <sz val="11"/>
            <color indexed="8"/>
            <rFont val="맑은 고딕"/>
            <family val="3"/>
            <charset val="129"/>
          </rPr>
          <t xml:space="preserve">2026/01/02 주당 20원
</t>
        </r>
      </text>
    </comment>
    <comment ref="AB208" authorId="0" shapeId="0" xr:uid="{00000000-0006-0000-0400-0000C0000000}">
      <text>
        <r>
          <rPr>
            <sz val="11"/>
            <color indexed="8"/>
            <rFont val="맑은 고딕"/>
            <family val="3"/>
            <charset val="129"/>
          </rPr>
          <t xml:space="preserve">2026/01/02 주당 20원
</t>
        </r>
      </text>
    </comment>
    <comment ref="K209" authorId="0" shapeId="0" xr:uid="{00000000-0006-0000-0400-0000C1000000}">
      <text>
        <r>
          <rPr>
            <sz val="11"/>
            <color indexed="8"/>
            <rFont val="맑은 고딕"/>
            <family val="3"/>
            <charset val="129"/>
          </rPr>
          <t xml:space="preserve">2026/01/02 주당 20원
</t>
        </r>
      </text>
    </comment>
    <comment ref="AB209" authorId="0" shapeId="0" xr:uid="{00000000-0006-0000-0400-0000C2000000}">
      <text>
        <r>
          <rPr>
            <sz val="11"/>
            <color indexed="8"/>
            <rFont val="맑은 고딕"/>
            <family val="3"/>
            <charset val="129"/>
          </rPr>
          <t xml:space="preserve">2026/01/02 주당 20원
</t>
        </r>
      </text>
    </comment>
    <comment ref="K210" authorId="0" shapeId="0" xr:uid="{00000000-0006-0000-0400-0000C3000000}">
      <text>
        <r>
          <rPr>
            <sz val="11"/>
            <color indexed="8"/>
            <rFont val="맑은 고딕"/>
            <family val="3"/>
            <charset val="129"/>
          </rPr>
          <t xml:space="preserve">2026/01/02 주당 20원
</t>
        </r>
      </text>
    </comment>
    <comment ref="AB210" authorId="0" shapeId="0" xr:uid="{00000000-0006-0000-0400-0000C4000000}">
      <text>
        <r>
          <rPr>
            <sz val="11"/>
            <color indexed="8"/>
            <rFont val="맑은 고딕"/>
            <family val="3"/>
            <charset val="129"/>
          </rPr>
          <t xml:space="preserve">2026/01/02 주당 20원
</t>
        </r>
      </text>
    </comment>
    <comment ref="K211" authorId="0" shapeId="0" xr:uid="{00000000-0006-0000-0400-0000C5000000}">
      <text>
        <r>
          <rPr>
            <sz val="11"/>
            <color indexed="8"/>
            <rFont val="맑은 고딕"/>
            <family val="3"/>
            <charset val="129"/>
          </rPr>
          <t xml:space="preserve">2026/01/02 주당 20원
</t>
        </r>
      </text>
    </comment>
    <comment ref="AB211" authorId="0" shapeId="0" xr:uid="{00000000-0006-0000-0400-0000C6000000}">
      <text>
        <r>
          <rPr>
            <sz val="11"/>
            <color indexed="8"/>
            <rFont val="맑은 고딕"/>
            <family val="3"/>
            <charset val="129"/>
          </rPr>
          <t xml:space="preserve">2026/01/02 주당 20원
</t>
        </r>
      </text>
    </comment>
    <comment ref="K212" authorId="0" shapeId="0" xr:uid="{00000000-0006-0000-0400-0000C7000000}">
      <text>
        <r>
          <rPr>
            <sz val="11"/>
            <color indexed="8"/>
            <rFont val="맑은 고딕"/>
            <family val="3"/>
            <charset val="129"/>
          </rPr>
          <t xml:space="preserve">2026/01/02 주당 20원
</t>
        </r>
      </text>
    </comment>
    <comment ref="AB212" authorId="0" shapeId="0" xr:uid="{00000000-0006-0000-0400-0000C8000000}">
      <text>
        <r>
          <rPr>
            <sz val="11"/>
            <color indexed="8"/>
            <rFont val="맑은 고딕"/>
            <family val="3"/>
            <charset val="129"/>
          </rPr>
          <t xml:space="preserve">2026/01/02 주당 20원
</t>
        </r>
      </text>
    </comment>
    <comment ref="K213" authorId="0" shapeId="0" xr:uid="{00000000-0006-0000-0400-0000C9000000}">
      <text>
        <r>
          <rPr>
            <sz val="11"/>
            <color indexed="8"/>
            <rFont val="맑은 고딕"/>
            <family val="3"/>
            <charset val="129"/>
          </rPr>
          <t xml:space="preserve">2026/01/02 주당 20원
</t>
        </r>
      </text>
    </comment>
    <comment ref="AB213" authorId="0" shapeId="0" xr:uid="{00000000-0006-0000-0400-0000CA000000}">
      <text>
        <r>
          <rPr>
            <sz val="11"/>
            <color indexed="8"/>
            <rFont val="맑은 고딕"/>
            <family val="3"/>
            <charset val="129"/>
          </rPr>
          <t xml:space="preserve">2026/01/02 주당 20원
</t>
        </r>
      </text>
    </comment>
    <comment ref="K214" authorId="0" shapeId="0" xr:uid="{00000000-0006-0000-0400-0000CB000000}">
      <text>
        <r>
          <rPr>
            <sz val="11"/>
            <color indexed="8"/>
            <rFont val="맑은 고딕"/>
            <family val="3"/>
            <charset val="129"/>
          </rPr>
          <t xml:space="preserve">2026/01/02 주당 20원
</t>
        </r>
      </text>
    </comment>
    <comment ref="AB214" authorId="0" shapeId="0" xr:uid="{00000000-0006-0000-0400-0000CC000000}">
      <text>
        <r>
          <rPr>
            <sz val="11"/>
            <color indexed="8"/>
            <rFont val="맑은 고딕"/>
            <family val="3"/>
            <charset val="129"/>
          </rPr>
          <t xml:space="preserve">2026/01/02 주당 20원
</t>
        </r>
      </text>
    </comment>
    <comment ref="K215" authorId="0" shapeId="0" xr:uid="{00000000-0006-0000-0400-0000CD000000}">
      <text>
        <r>
          <rPr>
            <sz val="11"/>
            <color indexed="8"/>
            <rFont val="맑은 고딕"/>
            <family val="3"/>
            <charset val="129"/>
          </rPr>
          <t xml:space="preserve">2026/01/02 주당 20원
</t>
        </r>
      </text>
    </comment>
    <comment ref="AB215" authorId="0" shapeId="0" xr:uid="{00000000-0006-0000-0400-0000CE000000}">
      <text>
        <r>
          <rPr>
            <sz val="11"/>
            <color indexed="8"/>
            <rFont val="맑은 고딕"/>
            <family val="3"/>
            <charset val="129"/>
          </rPr>
          <t xml:space="preserve">2026/01/02 주당 20원
</t>
        </r>
      </text>
    </comment>
    <comment ref="K216" authorId="0" shapeId="0" xr:uid="{00000000-0006-0000-0400-0000CF000000}">
      <text>
        <r>
          <rPr>
            <sz val="11"/>
            <color indexed="8"/>
            <rFont val="맑은 고딕"/>
            <family val="3"/>
            <charset val="129"/>
          </rPr>
          <t xml:space="preserve">2026/01/02 주당 20원
</t>
        </r>
      </text>
    </comment>
    <comment ref="AB216" authorId="0" shapeId="0" xr:uid="{00000000-0006-0000-0400-0000D0000000}">
      <text>
        <r>
          <rPr>
            <sz val="11"/>
            <color indexed="8"/>
            <rFont val="맑은 고딕"/>
            <family val="3"/>
            <charset val="129"/>
          </rPr>
          <t xml:space="preserve">2026/01/02 주당 20원
</t>
        </r>
      </text>
    </comment>
    <comment ref="K217" authorId="0" shapeId="0" xr:uid="{00000000-0006-0000-0400-0000D1000000}">
      <text>
        <r>
          <rPr>
            <sz val="11"/>
            <color indexed="8"/>
            <rFont val="맑은 고딕"/>
            <family val="3"/>
            <charset val="129"/>
          </rPr>
          <t xml:space="preserve">2026/01/02 주당 20원
</t>
        </r>
      </text>
    </comment>
    <comment ref="AB217" authorId="0" shapeId="0" xr:uid="{00000000-0006-0000-0400-0000D2000000}">
      <text>
        <r>
          <rPr>
            <sz val="11"/>
            <color indexed="8"/>
            <rFont val="맑은 고딕"/>
            <family val="3"/>
            <charset val="129"/>
          </rPr>
          <t xml:space="preserve">2026/01/02 주당 20원
</t>
        </r>
      </text>
    </comment>
    <comment ref="K218" authorId="0" shapeId="0" xr:uid="{00000000-0006-0000-0400-0000D3000000}">
      <text>
        <r>
          <rPr>
            <sz val="11"/>
            <color indexed="8"/>
            <rFont val="맑은 고딕"/>
            <family val="3"/>
            <charset val="129"/>
          </rPr>
          <t xml:space="preserve">2026/01/02 주당 20원
</t>
        </r>
      </text>
    </comment>
    <comment ref="AB218" authorId="0" shapeId="0" xr:uid="{00000000-0006-0000-0400-0000D4000000}">
      <text>
        <r>
          <rPr>
            <sz val="11"/>
            <color indexed="8"/>
            <rFont val="맑은 고딕"/>
            <family val="3"/>
            <charset val="129"/>
          </rPr>
          <t xml:space="preserve">2026/01/02 주당 20원
</t>
        </r>
      </text>
    </comment>
    <comment ref="K219" authorId="0" shapeId="0" xr:uid="{00000000-0006-0000-0400-0000D5000000}">
      <text>
        <r>
          <rPr>
            <sz val="11"/>
            <color indexed="8"/>
            <rFont val="맑은 고딕"/>
            <family val="3"/>
            <charset val="129"/>
          </rPr>
          <t xml:space="preserve">2026/01/02 주당 20원
</t>
        </r>
      </text>
    </comment>
    <comment ref="AB219" authorId="0" shapeId="0" xr:uid="{00000000-0006-0000-0400-0000D6000000}">
      <text>
        <r>
          <rPr>
            <sz val="11"/>
            <color indexed="8"/>
            <rFont val="맑은 고딕"/>
            <family val="3"/>
            <charset val="129"/>
          </rPr>
          <t xml:space="preserve">2026/01/02 주당 20원
</t>
        </r>
      </text>
    </comment>
    <comment ref="K220" authorId="0" shapeId="0" xr:uid="{00000000-0006-0000-0400-0000D7000000}">
      <text>
        <r>
          <rPr>
            <sz val="11"/>
            <color indexed="8"/>
            <rFont val="맑은 고딕"/>
            <family val="3"/>
            <charset val="129"/>
          </rPr>
          <t xml:space="preserve">2026/01/02 주당 20원
</t>
        </r>
      </text>
    </comment>
    <comment ref="AB220" authorId="0" shapeId="0" xr:uid="{00000000-0006-0000-0400-0000D8000000}">
      <text>
        <r>
          <rPr>
            <sz val="11"/>
            <color indexed="8"/>
            <rFont val="맑은 고딕"/>
            <family val="3"/>
            <charset val="129"/>
          </rPr>
          <t xml:space="preserve">2026/01/02 주당 20원
</t>
        </r>
      </text>
    </comment>
    <comment ref="K221" authorId="0" shapeId="0" xr:uid="{00000000-0006-0000-0400-0000D9000000}">
      <text>
        <r>
          <rPr>
            <sz val="11"/>
            <color indexed="8"/>
            <rFont val="맑은 고딕"/>
            <family val="3"/>
            <charset val="129"/>
          </rPr>
          <t xml:space="preserve">2026/01/02 주당 20원
</t>
        </r>
      </text>
    </comment>
    <comment ref="AB221" authorId="0" shapeId="0" xr:uid="{00000000-0006-0000-0400-0000DA000000}">
      <text>
        <r>
          <rPr>
            <sz val="11"/>
            <color indexed="8"/>
            <rFont val="맑은 고딕"/>
            <family val="3"/>
            <charset val="129"/>
          </rPr>
          <t xml:space="preserve">2026/01/02 주당 20원
</t>
        </r>
      </text>
    </comment>
    <comment ref="K222" authorId="0" shapeId="0" xr:uid="{00000000-0006-0000-0400-0000DB000000}">
      <text>
        <r>
          <rPr>
            <sz val="11"/>
            <color indexed="8"/>
            <rFont val="맑은 고딕"/>
            <family val="3"/>
            <charset val="129"/>
          </rPr>
          <t xml:space="preserve">2026/01/02 주당 20원
</t>
        </r>
      </text>
    </comment>
    <comment ref="AB222" authorId="0" shapeId="0" xr:uid="{00000000-0006-0000-0400-0000DC000000}">
      <text>
        <r>
          <rPr>
            <sz val="11"/>
            <color indexed="8"/>
            <rFont val="맑은 고딕"/>
            <family val="3"/>
            <charset val="129"/>
          </rPr>
          <t xml:space="preserve">2026/01/02 주당 20원
</t>
        </r>
      </text>
    </comment>
    <comment ref="K223" authorId="0" shapeId="0" xr:uid="{00000000-0006-0000-0400-0000DD000000}">
      <text>
        <r>
          <rPr>
            <sz val="11"/>
            <color indexed="8"/>
            <rFont val="맑은 고딕"/>
            <family val="3"/>
            <charset val="129"/>
          </rPr>
          <t xml:space="preserve">2026/01/02 주당 20원
</t>
        </r>
      </text>
    </comment>
    <comment ref="AB223" authorId="0" shapeId="0" xr:uid="{00000000-0006-0000-0400-0000DE000000}">
      <text>
        <r>
          <rPr>
            <sz val="11"/>
            <color indexed="8"/>
            <rFont val="맑은 고딕"/>
            <family val="3"/>
            <charset val="129"/>
          </rPr>
          <t xml:space="preserve">2026/01/02 주당 20원
</t>
        </r>
      </text>
    </comment>
    <comment ref="K224" authorId="0" shapeId="0" xr:uid="{00000000-0006-0000-0400-0000DF000000}">
      <text>
        <r>
          <rPr>
            <sz val="11"/>
            <color indexed="8"/>
            <rFont val="맑은 고딕"/>
            <family val="3"/>
            <charset val="129"/>
          </rPr>
          <t xml:space="preserve">2026/01/02 주당 20원
</t>
        </r>
      </text>
    </comment>
    <comment ref="AB224" authorId="0" shapeId="0" xr:uid="{00000000-0006-0000-0400-0000E0000000}">
      <text>
        <r>
          <rPr>
            <sz val="11"/>
            <color indexed="8"/>
            <rFont val="맑은 고딕"/>
            <family val="3"/>
            <charset val="129"/>
          </rPr>
          <t xml:space="preserve">2026/01/02 주당 20원
</t>
        </r>
      </text>
    </comment>
    <comment ref="K225" authorId="0" shapeId="0" xr:uid="{00000000-0006-0000-0400-0000E1000000}">
      <text>
        <r>
          <rPr>
            <sz val="11"/>
            <color indexed="8"/>
            <rFont val="맑은 고딕"/>
            <family val="3"/>
            <charset val="129"/>
          </rPr>
          <t xml:space="preserve">2026/01/02 주당 20원
</t>
        </r>
      </text>
    </comment>
    <comment ref="AB225" authorId="0" shapeId="0" xr:uid="{00000000-0006-0000-0400-0000E2000000}">
      <text>
        <r>
          <rPr>
            <sz val="11"/>
            <color indexed="8"/>
            <rFont val="맑은 고딕"/>
            <family val="3"/>
            <charset val="129"/>
          </rPr>
          <t xml:space="preserve">2026/01/02 주당 20원
</t>
        </r>
      </text>
    </comment>
    <comment ref="K226" authorId="0" shapeId="0" xr:uid="{00000000-0006-0000-0400-0000E3000000}">
      <text>
        <r>
          <rPr>
            <sz val="11"/>
            <color indexed="8"/>
            <rFont val="맑은 고딕"/>
            <family val="3"/>
            <charset val="129"/>
          </rPr>
          <t xml:space="preserve">2026/01/02 주당 20원
</t>
        </r>
      </text>
    </comment>
    <comment ref="AB226" authorId="0" shapeId="0" xr:uid="{00000000-0006-0000-0400-0000E4000000}">
      <text>
        <r>
          <rPr>
            <sz val="11"/>
            <color indexed="8"/>
            <rFont val="맑은 고딕"/>
            <family val="3"/>
            <charset val="129"/>
          </rPr>
          <t xml:space="preserve">2026/01/02 주당 20원
</t>
        </r>
      </text>
    </comment>
    <comment ref="K227" authorId="0" shapeId="0" xr:uid="{00000000-0006-0000-0400-0000E5000000}">
      <text>
        <r>
          <rPr>
            <sz val="11"/>
            <color indexed="8"/>
            <rFont val="맑은 고딕"/>
            <family val="3"/>
            <charset val="129"/>
          </rPr>
          <t xml:space="preserve">2026/01/02 주당 20원
</t>
        </r>
      </text>
    </comment>
    <comment ref="AB227" authorId="0" shapeId="0" xr:uid="{00000000-0006-0000-0400-0000E6000000}">
      <text>
        <r>
          <rPr>
            <sz val="11"/>
            <color indexed="8"/>
            <rFont val="맑은 고딕"/>
            <family val="3"/>
            <charset val="129"/>
          </rPr>
          <t xml:space="preserve">2026/01/02 주당 20원
</t>
        </r>
      </text>
    </comment>
    <comment ref="K228" authorId="0" shapeId="0" xr:uid="{00000000-0006-0000-0400-0000E7000000}">
      <text>
        <r>
          <rPr>
            <sz val="11"/>
            <color indexed="8"/>
            <rFont val="맑은 고딕"/>
            <family val="3"/>
            <charset val="129"/>
          </rPr>
          <t xml:space="preserve">2026/01/02 주당 20원
</t>
        </r>
      </text>
    </comment>
    <comment ref="AB228" authorId="0" shapeId="0" xr:uid="{00000000-0006-0000-0400-0000E8000000}">
      <text>
        <r>
          <rPr>
            <sz val="11"/>
            <color indexed="8"/>
            <rFont val="맑은 고딕"/>
            <family val="3"/>
            <charset val="129"/>
          </rPr>
          <t xml:space="preserve">2026/01/02 주당 20원
</t>
        </r>
      </text>
    </comment>
    <comment ref="K229" authorId="0" shapeId="0" xr:uid="{00000000-0006-0000-0400-0000E9000000}">
      <text>
        <r>
          <rPr>
            <sz val="11"/>
            <color indexed="8"/>
            <rFont val="맑은 고딕"/>
            <family val="3"/>
            <charset val="129"/>
          </rPr>
          <t xml:space="preserve">2026/01/02 주당 20원
</t>
        </r>
      </text>
    </comment>
    <comment ref="AB229" authorId="0" shapeId="0" xr:uid="{00000000-0006-0000-0400-0000EA000000}">
      <text>
        <r>
          <rPr>
            <sz val="11"/>
            <color indexed="8"/>
            <rFont val="맑은 고딕"/>
            <family val="3"/>
            <charset val="129"/>
          </rPr>
          <t xml:space="preserve">2026/01/02 주당 20원
</t>
        </r>
      </text>
    </comment>
    <comment ref="K230" authorId="0" shapeId="0" xr:uid="{00000000-0006-0000-0400-0000EB000000}">
      <text>
        <r>
          <rPr>
            <sz val="11"/>
            <color indexed="8"/>
            <rFont val="맑은 고딕"/>
            <family val="3"/>
            <charset val="129"/>
          </rPr>
          <t xml:space="preserve">2026/01/02 주당 20원
</t>
        </r>
      </text>
    </comment>
    <comment ref="AB230" authorId="0" shapeId="0" xr:uid="{00000000-0006-0000-0400-0000EC000000}">
      <text>
        <r>
          <rPr>
            <sz val="11"/>
            <color indexed="8"/>
            <rFont val="맑은 고딕"/>
            <family val="3"/>
            <charset val="129"/>
          </rPr>
          <t xml:space="preserve">2026/01/02 주당 20원
</t>
        </r>
      </text>
    </comment>
    <comment ref="K231" authorId="0" shapeId="0" xr:uid="{00000000-0006-0000-0400-0000ED000000}">
      <text>
        <r>
          <rPr>
            <sz val="11"/>
            <color indexed="8"/>
            <rFont val="맑은 고딕"/>
            <family val="3"/>
            <charset val="129"/>
          </rPr>
          <t xml:space="preserve">2026/01/02 주당 20원
</t>
        </r>
      </text>
    </comment>
    <comment ref="AB231" authorId="0" shapeId="0" xr:uid="{00000000-0006-0000-0400-0000EE000000}">
      <text>
        <r>
          <rPr>
            <sz val="11"/>
            <color indexed="8"/>
            <rFont val="맑은 고딕"/>
            <family val="3"/>
            <charset val="129"/>
          </rPr>
          <t xml:space="preserve">2026/01/02 주당 20원
</t>
        </r>
      </text>
    </comment>
    <comment ref="K232" authorId="0" shapeId="0" xr:uid="{00000000-0006-0000-0400-0000EF000000}">
      <text>
        <r>
          <rPr>
            <sz val="11"/>
            <color indexed="8"/>
            <rFont val="맑은 고딕"/>
            <family val="3"/>
            <charset val="129"/>
          </rPr>
          <t xml:space="preserve">2026/01/02 주당 20원
</t>
        </r>
      </text>
    </comment>
    <comment ref="AB232" authorId="0" shapeId="0" xr:uid="{00000000-0006-0000-0400-0000F0000000}">
      <text>
        <r>
          <rPr>
            <sz val="11"/>
            <color indexed="8"/>
            <rFont val="맑은 고딕"/>
            <family val="3"/>
            <charset val="129"/>
          </rPr>
          <t xml:space="preserve">2026/01/02 주당 20원
</t>
        </r>
      </text>
    </comment>
    <comment ref="K233" authorId="0" shapeId="0" xr:uid="{00000000-0006-0000-0400-0000F1000000}">
      <text>
        <r>
          <rPr>
            <sz val="11"/>
            <color indexed="8"/>
            <rFont val="맑은 고딕"/>
            <family val="3"/>
            <charset val="129"/>
          </rPr>
          <t xml:space="preserve">2026/01/02 주당 20원
</t>
        </r>
      </text>
    </comment>
    <comment ref="AB233" authorId="0" shapeId="0" xr:uid="{00000000-0006-0000-0400-0000F2000000}">
      <text>
        <r>
          <rPr>
            <sz val="11"/>
            <color indexed="8"/>
            <rFont val="맑은 고딕"/>
            <family val="3"/>
            <charset val="129"/>
          </rPr>
          <t xml:space="preserve">2026/01/02 주당 20원
</t>
        </r>
      </text>
    </comment>
    <comment ref="K234" authorId="0" shapeId="0" xr:uid="{00000000-0006-0000-0400-0000F3000000}">
      <text>
        <r>
          <rPr>
            <sz val="11"/>
            <color indexed="8"/>
            <rFont val="맑은 고딕"/>
            <family val="3"/>
            <charset val="129"/>
          </rPr>
          <t xml:space="preserve">2026/01/02 주당 20원
</t>
        </r>
      </text>
    </comment>
    <comment ref="AB234" authorId="0" shapeId="0" xr:uid="{00000000-0006-0000-0400-0000F4000000}">
      <text>
        <r>
          <rPr>
            <sz val="11"/>
            <color indexed="8"/>
            <rFont val="맑은 고딕"/>
            <family val="3"/>
            <charset val="129"/>
          </rPr>
          <t xml:space="preserve">2026/01/02 주당 20원
</t>
        </r>
      </text>
    </comment>
    <comment ref="K349" authorId="0" shapeId="0" xr:uid="{00000000-0006-0000-0400-0000F5000000}">
      <text>
        <r>
          <rPr>
            <sz val="11"/>
            <color indexed="8"/>
            <rFont val="맑은 고딕"/>
            <family val="3"/>
            <charset val="129"/>
          </rPr>
          <t xml:space="preserve">2025/12/30 주당 375원
</t>
        </r>
      </text>
    </comment>
    <comment ref="AB349" authorId="0" shapeId="0" xr:uid="{00000000-0006-0000-0400-0000F6000000}">
      <text>
        <r>
          <rPr>
            <sz val="11"/>
            <color indexed="8"/>
            <rFont val="맑은 고딕"/>
            <family val="3"/>
            <charset val="129"/>
          </rPr>
          <t xml:space="preserve">2025/12/30 주당 375원
</t>
        </r>
      </text>
    </comment>
    <comment ref="K350" authorId="0" shapeId="0" xr:uid="{00000000-0006-0000-0400-0000F7000000}">
      <text>
        <r>
          <rPr>
            <sz val="11"/>
            <color indexed="8"/>
            <rFont val="맑은 고딕"/>
            <family val="3"/>
            <charset val="129"/>
          </rPr>
          <t xml:space="preserve">2025/12/30 주당 375원
</t>
        </r>
      </text>
    </comment>
    <comment ref="AB350" authorId="0" shapeId="0" xr:uid="{00000000-0006-0000-0400-0000F8000000}">
      <text>
        <r>
          <rPr>
            <sz val="11"/>
            <color indexed="8"/>
            <rFont val="맑은 고딕"/>
            <family val="3"/>
            <charset val="129"/>
          </rPr>
          <t xml:space="preserve">2025/12/30 주당 375원
</t>
        </r>
      </text>
    </comment>
    <comment ref="K351" authorId="0" shapeId="0" xr:uid="{00000000-0006-0000-0400-0000F9000000}">
      <text>
        <r>
          <rPr>
            <sz val="11"/>
            <color indexed="8"/>
            <rFont val="맑은 고딕"/>
            <family val="3"/>
            <charset val="129"/>
          </rPr>
          <t xml:space="preserve">2025/12/30 주당 375원
</t>
        </r>
      </text>
    </comment>
    <comment ref="AB351" authorId="0" shapeId="0" xr:uid="{00000000-0006-0000-0400-0000FA000000}">
      <text>
        <r>
          <rPr>
            <sz val="11"/>
            <color indexed="8"/>
            <rFont val="맑은 고딕"/>
            <family val="3"/>
            <charset val="129"/>
          </rPr>
          <t xml:space="preserve">2025/12/30 주당 375원
</t>
        </r>
      </text>
    </comment>
    <comment ref="H354" authorId="0" shapeId="0" xr:uid="{00000000-0006-0000-0400-0000FB000000}">
      <text>
        <r>
          <rPr>
            <sz val="11"/>
            <color indexed="8"/>
            <rFont val="맑은 고딕"/>
            <family val="3"/>
            <charset val="129"/>
          </rPr>
          <t xml:space="preserve">ggulb:
웹거래 수수료 0.499%
</t>
        </r>
      </text>
    </comment>
    <comment ref="K354" authorId="0" shapeId="0" xr:uid="{00000000-0006-0000-0400-0000FC000000}">
      <text>
        <r>
          <rPr>
            <sz val="11"/>
            <color indexed="8"/>
            <rFont val="맑은 고딕"/>
            <family val="3"/>
            <charset val="129"/>
          </rPr>
          <t>2021/08/18 주당 361원
2021/11/17 주당 361원
2022/04/15 주당 362원
2022/05/17 주당 361원
2022/08/16 주당 361원
2022/11/15 주당 361원
2023/04/14 주당 362원
2023/05/17 주당 361원
2023/08/16 주당 361원
2023/11/20 주당 361원
2024/04/19 주당 362원
2025/04/18 주당 364원
2025/05/20 주당 365원
2025/08/20 주당 367원
2025/11/19 주당 370원</t>
        </r>
      </text>
    </comment>
    <comment ref="Y354" authorId="0" shapeId="0" xr:uid="{00000000-0006-0000-0400-0000FD000000}">
      <text>
        <r>
          <rPr>
            <sz val="11"/>
            <color indexed="8"/>
            <rFont val="맑은 고딕"/>
            <family val="3"/>
            <charset val="129"/>
          </rPr>
          <t xml:space="preserve">ggulb:
웹거래 수수료 0.499%
</t>
        </r>
      </text>
    </comment>
    <comment ref="AB354" authorId="0" shapeId="0" xr:uid="{00000000-0006-0000-0400-0000FE000000}">
      <text>
        <r>
          <rPr>
            <sz val="11"/>
            <color indexed="8"/>
            <rFont val="맑은 고딕"/>
            <family val="3"/>
            <charset val="129"/>
          </rPr>
          <t>2021/08/18 주당 361원
2021/11/17 주당 361원
2022/04/15 주당 362원
2022/05/17 주당 361원
2022/08/16 주당 361원
2022/11/15 주당 361원
2023/04/14 주당 362원
2023/05/17 주당 361원
2023/08/16 주당 361원
2023/11/20 주당 361원
2024/04/19 주당 362원
2025/04/18 주당 364원
2025/05/20 주당 365원
2025/08/20 주당 367원
2025/11/19 주당 370원</t>
        </r>
      </text>
    </comment>
    <comment ref="K355" authorId="0" shapeId="0" xr:uid="{00000000-0006-0000-0400-0000FF000000}">
      <text>
        <r>
          <rPr>
            <sz val="11"/>
            <color indexed="8"/>
            <rFont val="맑은 고딕"/>
            <family val="3"/>
            <charset val="129"/>
          </rPr>
          <t>2022/05/17 주당 361원
2022/08/16 주당 361원
2022/11/15 주당 361원
2023/04/14 주당 362원
2023/05/17 주당 361원
2023/08/16 주당 361원
2023/11/20 주당 361원
2024/04/19 주당 362원
2025/04/18 주당 364원
2025/05/20 주당 365원
2025/08/20 주당 367원
2025/11/19 주당 370원</t>
        </r>
      </text>
    </comment>
    <comment ref="AB355" authorId="0" shapeId="0" xr:uid="{00000000-0006-0000-0400-000000010000}">
      <text>
        <r>
          <rPr>
            <sz val="11"/>
            <color indexed="8"/>
            <rFont val="맑은 고딕"/>
            <family val="3"/>
            <charset val="129"/>
          </rPr>
          <t>2022/05/17 주당 361원
2022/08/16 주당 361원
2022/11/15 주당 361원
2023/04/14 주당 362원
2023/05/17 주당 361원
2023/08/16 주당 361원
2023/11/20 주당 361원
2024/04/19 주당 362원
2025/04/18 주당 364원
2025/05/20 주당 365원
2025/08/20 주당 367원
2025/11/19 주당 370원</t>
        </r>
      </text>
    </comment>
    <comment ref="K356" authorId="0" shapeId="0" xr:uid="{00000000-0006-0000-0400-000001010000}">
      <text>
        <r>
          <rPr>
            <sz val="11"/>
            <color indexed="8"/>
            <rFont val="맑은 고딕"/>
            <family val="3"/>
            <charset val="129"/>
          </rPr>
          <t xml:space="preserve">2025/08/20 주당 367원
2025/11/19 주당 370원
</t>
        </r>
      </text>
    </comment>
    <comment ref="AB356" authorId="0" shapeId="0" xr:uid="{00000000-0006-0000-0400-000002010000}">
      <text>
        <r>
          <rPr>
            <sz val="11"/>
            <color indexed="8"/>
            <rFont val="맑은 고딕"/>
            <family val="3"/>
            <charset val="129"/>
          </rPr>
          <t xml:space="preserve">2025/08/20 주당 367원
2025/11/19 주당 370원
</t>
        </r>
      </text>
    </comment>
    <comment ref="K362" authorId="0" shapeId="0" xr:uid="{00000000-0006-0000-0400-000003010000}">
      <text>
        <r>
          <rPr>
            <sz val="11"/>
            <color indexed="8"/>
            <rFont val="맑은 고딕"/>
            <family val="3"/>
            <charset val="129"/>
          </rPr>
          <t>2022/04/22 주당 450원
2023/04/21 주당 123원
2024/04/19 주당 217원
2025/04/24 주당 477원</t>
        </r>
      </text>
    </comment>
    <comment ref="AB362" authorId="0" shapeId="0" xr:uid="{00000000-0006-0000-0400-000004010000}">
      <text>
        <r>
          <rPr>
            <sz val="11"/>
            <color indexed="8"/>
            <rFont val="맑은 고딕"/>
            <family val="3"/>
            <charset val="129"/>
          </rPr>
          <t>2022/04/22 주당 450원
2023/04/21 주당 123원
2024/04/19 주당 217원
2025/04/24 주당 477원</t>
        </r>
      </text>
    </comment>
    <comment ref="K363" authorId="0" shapeId="0" xr:uid="{00000000-0006-0000-0400-000005010000}">
      <text>
        <r>
          <rPr>
            <sz val="11"/>
            <color indexed="8"/>
            <rFont val="맑은 고딕"/>
            <family val="3"/>
            <charset val="129"/>
          </rPr>
          <t xml:space="preserve">2025/04/24 주당 477원
</t>
        </r>
      </text>
    </comment>
    <comment ref="AB363" authorId="0" shapeId="0" xr:uid="{00000000-0006-0000-0400-000006010000}">
      <text>
        <r>
          <rPr>
            <sz val="11"/>
            <color indexed="8"/>
            <rFont val="맑은 고딕"/>
            <family val="3"/>
            <charset val="129"/>
          </rPr>
          <t xml:space="preserve">2025/04/24 주당 477원
</t>
        </r>
      </text>
    </comment>
    <comment ref="K364" authorId="0" shapeId="0" xr:uid="{00000000-0006-0000-0400-000007010000}">
      <text>
        <r>
          <rPr>
            <sz val="11"/>
            <color indexed="8"/>
            <rFont val="맑은 고딕"/>
            <family val="3"/>
            <charset val="129"/>
          </rPr>
          <t>2023/04/07 종목변경 단주대금 201원</t>
        </r>
      </text>
    </comment>
    <comment ref="AB364" authorId="0" shapeId="0" xr:uid="{00000000-0006-0000-0400-000008010000}">
      <text>
        <r>
          <rPr>
            <sz val="11"/>
            <color indexed="8"/>
            <rFont val="맑은 고딕"/>
            <family val="3"/>
            <charset val="129"/>
          </rPr>
          <t>2023/04/07 종목변경 단주대금 201원</t>
        </r>
      </text>
    </comment>
    <comment ref="K365" authorId="0" shapeId="0" xr:uid="{00000000-0006-0000-0400-000009010000}">
      <text>
        <r>
          <rPr>
            <sz val="11"/>
            <color indexed="8"/>
            <rFont val="맑은 고딕"/>
            <family val="3"/>
            <charset val="129"/>
          </rPr>
          <t xml:space="preserve">
2023/04/07 종목변경 단주대금 15,602원
2024/04/09 주당 300원
2025/04/09 주당 300원
</t>
        </r>
      </text>
    </comment>
    <comment ref="AB365" authorId="0" shapeId="0" xr:uid="{00000000-0006-0000-0400-00000A010000}">
      <text>
        <r>
          <rPr>
            <sz val="11"/>
            <color indexed="8"/>
            <rFont val="맑은 고딕"/>
            <family val="3"/>
            <charset val="129"/>
          </rPr>
          <t xml:space="preserve">
2023/04/07 종목변경 단주대금 15,602원
2024/04/09 주당 300원
2025/04/09 주당 300원
</t>
        </r>
      </text>
    </comment>
    <comment ref="K366" authorId="0" shapeId="0" xr:uid="{00000000-0006-0000-0400-00000B010000}">
      <text>
        <r>
          <rPr>
            <sz val="11"/>
            <color indexed="8"/>
            <rFont val="맑은 고딕"/>
            <family val="3"/>
            <charset val="129"/>
          </rPr>
          <t>2024/04/09 주당 300원
2025/04/09 주당 300원</t>
        </r>
      </text>
    </comment>
    <comment ref="AB366" authorId="0" shapeId="0" xr:uid="{00000000-0006-0000-0400-00000C010000}">
      <text>
        <r>
          <rPr>
            <sz val="11"/>
            <color indexed="8"/>
            <rFont val="맑은 고딕"/>
            <family val="3"/>
            <charset val="129"/>
          </rPr>
          <t>2024/04/09 주당 300원
2025/04/09 주당 300원</t>
        </r>
      </text>
    </comment>
    <comment ref="K367" authorId="0" shapeId="0" xr:uid="{00000000-0006-0000-0400-00000D010000}">
      <text>
        <r>
          <rPr>
            <sz val="11"/>
            <color indexed="8"/>
            <rFont val="맑은 고딕"/>
            <family val="3"/>
            <charset val="129"/>
          </rPr>
          <t>2024/04/09 주당 300원
2025/04/09 주당 300원</t>
        </r>
      </text>
    </comment>
    <comment ref="AB367" authorId="0" shapeId="0" xr:uid="{00000000-0006-0000-0400-00000E010000}">
      <text>
        <r>
          <rPr>
            <sz val="11"/>
            <color indexed="8"/>
            <rFont val="맑은 고딕"/>
            <family val="3"/>
            <charset val="129"/>
          </rPr>
          <t>2024/04/09 주당 300원
2025/04/09 주당 300원</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ggulb</author>
  </authors>
  <commentList>
    <comment ref="P11" authorId="0" shapeId="0" xr:uid="{00000000-0006-0000-0500-000001000000}">
      <text>
        <r>
          <rPr>
            <sz val="11"/>
            <color indexed="8"/>
            <rFont val="맑은 고딕"/>
            <family val="3"/>
            <charset val="129"/>
          </rPr>
          <t>이사 시기 관련하여 
2주간 대출 중복으로 유지하느라 원금 3억8천 대출. 정리 후 금액</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ggulb</author>
  </authors>
  <commentList>
    <comment ref="K272" authorId="0" shapeId="0" xr:uid="{00000000-0006-0000-0F00-000001000000}">
      <text>
        <r>
          <rPr>
            <sz val="11"/>
            <color indexed="8"/>
            <rFont val="맑은 고딕"/>
            <family val="3"/>
            <charset val="129"/>
          </rPr>
          <t>배당 
2025.3.13 주당 260원</t>
        </r>
      </text>
    </comment>
    <comment ref="K274" authorId="0" shapeId="0" xr:uid="{00000000-0006-0000-0F00-000002000000}">
      <text>
        <r>
          <rPr>
            <sz val="11"/>
            <color indexed="8"/>
            <rFont val="맑은 고딕"/>
            <family val="3"/>
            <charset val="129"/>
          </rPr>
          <t>배당 
2025.3.13 주당 260원</t>
        </r>
      </text>
    </comment>
    <comment ref="K276" authorId="0" shapeId="0" xr:uid="{00000000-0006-0000-0F00-000003000000}">
      <text>
        <r>
          <rPr>
            <sz val="11"/>
            <color indexed="8"/>
            <rFont val="맑은 고딕"/>
            <family val="3"/>
            <charset val="129"/>
          </rPr>
          <t>배당 
2025.3.13 주당 260원</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future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<sst xmlns="http://schemas.openxmlformats.org/spreadsheetml/2006/main" count="9535" uniqueCount="1345">
  <si>
    <t>종목명</t>
  </si>
  <si>
    <t>고른 이유</t>
  </si>
  <si>
    <t>투자 경험</t>
  </si>
  <si>
    <t>주요 사업</t>
  </si>
  <si>
    <t>재무상태</t>
  </si>
  <si>
    <t>뉴스 상태</t>
  </si>
  <si>
    <t>전략</t>
  </si>
  <si>
    <t>주요 주가 현황</t>
  </si>
  <si>
    <t>디티씨</t>
  </si>
  <si>
    <t>2022년 물림. 아직 적자전환은 아님. 나름 사업 다각화 중.</t>
  </si>
  <si>
    <t>2022년 8000원(100주)
최대 미실현손실 55만원대</t>
  </si>
  <si>
    <t>LCD/LED</t>
  </si>
  <si>
    <t>본업은 계속 매출, 이익 감소, 루멘스 연결에 따른 효과 있을지는 분기별 확인 필요
매출은 1/7수준인데 순이익은 1/3.. 이익률은 지키는 중?</t>
  </si>
  <si>
    <t>루멘스 인수 2025.1월</t>
  </si>
  <si>
    <t>매주 1주 구매(금요일/신한)
본업LCD에 루멘스 인수를 통해 LED, 한국전기차충전서비스까지 M&amp;A로 확장 중. 
전기차 호재가 있을 때 상승 가능 
분기별 흑자/손실 확인 필요. 
3천원 아래에서는 추매</t>
  </si>
  <si>
    <t>8,000 (2022.4월)
5,800 (2023.12월)
2,470 (2025.4월)최저
3,280 (2025.6월)
3,025 (2025.9월)
3,520 (2025.12월)</t>
  </si>
  <si>
    <t>2024.12.26.현재</t>
  </si>
  <si>
    <t>최초매수일</t>
  </si>
  <si>
    <t>보유주식 수</t>
  </si>
  <si>
    <t>평단가</t>
  </si>
  <si>
    <t>현재가</t>
  </si>
  <si>
    <t>손익률</t>
  </si>
  <si>
    <t>뉴프렉스</t>
  </si>
  <si>
    <t>2024.09.27.</t>
  </si>
  <si>
    <t>비보존제약</t>
  </si>
  <si>
    <t>2024.10.30.</t>
  </si>
  <si>
    <t>와이투솔루션</t>
  </si>
  <si>
    <t>2020.02.01.</t>
  </si>
  <si>
    <t>매주 1주씩 구매(월요일)</t>
  </si>
  <si>
    <t>지노믹트리</t>
  </si>
  <si>
    <t>2019.05.09.</t>
  </si>
  <si>
    <t>강원랜드</t>
  </si>
  <si>
    <t>2019.09.27.</t>
  </si>
  <si>
    <t>비보존</t>
  </si>
  <si>
    <t>2020.12.04.</t>
  </si>
  <si>
    <t>엔씨소프트</t>
  </si>
  <si>
    <t>2020.12.20.</t>
  </si>
  <si>
    <t>미구매</t>
  </si>
  <si>
    <t>제넥신</t>
  </si>
  <si>
    <t>2021.01.05.</t>
  </si>
  <si>
    <t>콜마비앤에이치</t>
  </si>
  <si>
    <t>2020.08.24.</t>
  </si>
  <si>
    <t>매주 1주씩 구매(월요일) / 광고 시작. 조만간 건기식 다시 up?</t>
  </si>
  <si>
    <t>신테카바이오</t>
  </si>
  <si>
    <t>매주 1주씩 구매(화요일)</t>
  </si>
  <si>
    <t>우주일렉트로</t>
  </si>
  <si>
    <t>2021.07.24.</t>
  </si>
  <si>
    <t>매주 1주씩 구매(목요일)</t>
  </si>
  <si>
    <t>엠씨넥스</t>
  </si>
  <si>
    <t>2021.08.28</t>
  </si>
  <si>
    <t>잠시 중지-매주 1주씩 구매</t>
  </si>
  <si>
    <t xml:space="preserve">소형카메라모듈. 스마트폰 및 차량. 회사답게 운영 중. 2023년 기말보고서까지 긍정적으로 보임. </t>
  </si>
  <si>
    <t>산돌</t>
  </si>
  <si>
    <t>2023.05.22.</t>
  </si>
  <si>
    <t>차입금이 늘어나고 있고, 매출이 감소. 일단은 지켜봐야 할듯</t>
  </si>
  <si>
    <t>셀트리온</t>
  </si>
  <si>
    <t>2021.01.21.</t>
  </si>
  <si>
    <t>매월 1주씩 구매(매월 10일)</t>
  </si>
  <si>
    <t>다올투자증권</t>
  </si>
  <si>
    <t>2021.06.09.</t>
  </si>
  <si>
    <t>종근당</t>
  </si>
  <si>
    <t>2024.08.24.</t>
  </si>
  <si>
    <t>메디톡스</t>
  </si>
  <si>
    <t>2023.06.28.</t>
  </si>
  <si>
    <t>지아이이노베이션</t>
  </si>
  <si>
    <t>목표 2만원</t>
  </si>
  <si>
    <t xml:space="preserve"> </t>
  </si>
  <si>
    <t>토스증권 매주 5천원(매월 3만원)</t>
  </si>
  <si>
    <t>신한투자증권 매월 50만원 이상 여유자금</t>
  </si>
  <si>
    <t>해외주식 손실 만회</t>
  </si>
  <si>
    <t>매도액</t>
  </si>
  <si>
    <t>수량</t>
  </si>
  <si>
    <t>금액</t>
  </si>
  <si>
    <t>손절액</t>
  </si>
  <si>
    <t>1차 매도</t>
  </si>
  <si>
    <t>2차 매도</t>
  </si>
  <si>
    <t>Archer Aviation</t>
  </si>
  <si>
    <t>Cassava Science</t>
  </si>
  <si>
    <t>Plug Power</t>
  </si>
  <si>
    <t>Intellia Therapeutics</t>
  </si>
  <si>
    <t>S&amp;P BIO</t>
  </si>
  <si>
    <t>연금저축 정기투자</t>
  </si>
  <si>
    <t>12/10 기준 가격</t>
  </si>
  <si>
    <t>Sol 미국양자컴퓨팅Top10</t>
  </si>
  <si>
    <t>월</t>
  </si>
  <si>
    <t>Kodex 3대농산물선물</t>
  </si>
  <si>
    <t>Tiger S&amp;P글로벌헬스케어</t>
  </si>
  <si>
    <t>화</t>
  </si>
  <si>
    <t>Kodex 차이나휴머노이드로봇</t>
  </si>
  <si>
    <t>KoAct 바이오헬스케어액티브</t>
  </si>
  <si>
    <t>수</t>
  </si>
  <si>
    <t>맥쿼리인프라</t>
  </si>
  <si>
    <t>Plus 우주항공&amp;UAM</t>
  </si>
  <si>
    <t>목</t>
  </si>
  <si>
    <t>Plus 고배당주위클리고정커버드콜</t>
  </si>
  <si>
    <t>Unicorn SK하이닉스밸류체인액티브</t>
  </si>
  <si>
    <t>금</t>
  </si>
  <si>
    <t>Rise 일본섹터Top4plus</t>
  </si>
  <si>
    <t>일자</t>
  </si>
  <si>
    <t>매도단가</t>
  </si>
  <si>
    <t>손절총액</t>
  </si>
  <si>
    <t>사유</t>
  </si>
  <si>
    <t>LG씨엔에스</t>
  </si>
  <si>
    <t>익절</t>
  </si>
  <si>
    <t>자금확보(신길센트럴)</t>
  </si>
  <si>
    <t>우진</t>
  </si>
  <si>
    <t>엔씨</t>
  </si>
  <si>
    <t>TIGER코스닥150레버리지</t>
  </si>
  <si>
    <t>티엠씨</t>
  </si>
  <si>
    <t>감성코퍼레이션</t>
  </si>
  <si>
    <t>케이피에프</t>
  </si>
  <si>
    <t>사피엔반도체</t>
  </si>
  <si>
    <t>솔트룩스</t>
  </si>
  <si>
    <t>약관</t>
  </si>
  <si>
    <t>종목</t>
  </si>
  <si>
    <t>거래유형</t>
  </si>
  <si>
    <t>적용 환율</t>
  </si>
  <si>
    <t>매수금액</t>
  </si>
  <si>
    <t>매수일자</t>
  </si>
  <si>
    <t>비고</t>
  </si>
  <si>
    <t>매도금액</t>
  </si>
  <si>
    <t>매도일자</t>
  </si>
  <si>
    <t>토스</t>
  </si>
  <si>
    <t>매수총액</t>
  </si>
  <si>
    <t>매도총액</t>
  </si>
  <si>
    <t>잔액</t>
  </si>
  <si>
    <t>상환일자</t>
  </si>
  <si>
    <t>원금 금액</t>
  </si>
  <si>
    <t>코나아이</t>
  </si>
  <si>
    <t>한화손해보험</t>
  </si>
  <si>
    <t>박셀바이오</t>
  </si>
  <si>
    <t>한솔테크닉스</t>
  </si>
  <si>
    <t>한미글로벌</t>
  </si>
  <si>
    <t>한화에어로스페이스</t>
  </si>
  <si>
    <t>현대로템</t>
  </si>
  <si>
    <t>나이벡</t>
  </si>
  <si>
    <t>효성중공업</t>
  </si>
  <si>
    <t>메카로</t>
  </si>
  <si>
    <t>플리토</t>
  </si>
  <si>
    <t>현대차</t>
  </si>
  <si>
    <t>LG전자</t>
  </si>
  <si>
    <t>케이엠더블유</t>
  </si>
  <si>
    <t>HD현대일렉트릭</t>
  </si>
  <si>
    <t>미래에셋증권</t>
  </si>
  <si>
    <t>지역난방공사</t>
  </si>
  <si>
    <t>두산에너빌리티</t>
  </si>
  <si>
    <t>제이에스코퍼레이션</t>
  </si>
  <si>
    <t>비나텍</t>
  </si>
  <si>
    <t>수수료 0.015%(미래) 0.15%(한화)</t>
  </si>
  <si>
    <t>매매세 매도금액*0.3%(`19/6월부터 0.25%)</t>
  </si>
  <si>
    <t>매수 수수료</t>
  </si>
  <si>
    <t>매도 수수료</t>
  </si>
  <si>
    <t>매매세</t>
  </si>
  <si>
    <t>배당금</t>
  </si>
  <si>
    <t>보유일수</t>
  </si>
  <si>
    <t>매수액</t>
  </si>
  <si>
    <t>기타</t>
  </si>
  <si>
    <t>손익</t>
  </si>
  <si>
    <t>연간손익률</t>
  </si>
  <si>
    <t>ACE레버리지</t>
  </si>
  <si>
    <t>신한</t>
  </si>
  <si>
    <t>ARCHER AVIATION</t>
  </si>
  <si>
    <t>한화</t>
  </si>
  <si>
    <t xml:space="preserve">AT&amp;T                                                                                                </t>
  </si>
  <si>
    <t>Coupang</t>
  </si>
  <si>
    <t>R토스</t>
  </si>
  <si>
    <t>Discovery-A</t>
  </si>
  <si>
    <t>US</t>
  </si>
  <si>
    <t>Intellia Therapeautics</t>
  </si>
  <si>
    <t>LUCKIN COFFEE INC</t>
  </si>
  <si>
    <t>거래 유형</t>
  </si>
  <si>
    <t xml:space="preserve"> ㄴ장외종목변경</t>
  </si>
  <si>
    <t xml:space="preserve">LKNCY.OT    </t>
  </si>
  <si>
    <t xml:space="preserve">룰루레몬 애슬릿티카                                                                                 </t>
  </si>
  <si>
    <t>넥슨(JP:3659)</t>
  </si>
  <si>
    <t>JP</t>
  </si>
  <si>
    <t xml:space="preserve">PROETF SHORT VIX SHORT TERM FUTURES ETF                                                             </t>
  </si>
  <si>
    <t xml:space="preserve">PROETF ULTRA OIL &amp; GAS                                                                              </t>
  </si>
  <si>
    <t xml:space="preserve">PROETF VIX SHORT-TERM FUTURES ETF                                                                   </t>
  </si>
  <si>
    <t xml:space="preserve">VANGUARD HEALTH CARE ETF                                                                            </t>
  </si>
  <si>
    <t xml:space="preserve">바이오젠                                                                                            </t>
  </si>
  <si>
    <t xml:space="preserve">블랙록                                                                                              </t>
  </si>
  <si>
    <t>BNK금융지주</t>
  </si>
  <si>
    <t>C&amp;S자산관리</t>
  </si>
  <si>
    <t>C&amp;우방</t>
  </si>
  <si>
    <t>한투</t>
  </si>
  <si>
    <t>CJ인터넷</t>
  </si>
  <si>
    <t>미래에셋</t>
  </si>
  <si>
    <t>CJ제일제당</t>
  </si>
  <si>
    <t>DSC인베스트먼트</t>
  </si>
  <si>
    <t>GRT</t>
  </si>
  <si>
    <t>GS</t>
  </si>
  <si>
    <t>HMM</t>
  </si>
  <si>
    <t>JYP ent</t>
  </si>
  <si>
    <t>KB금융</t>
  </si>
  <si>
    <t>Kindex 베트남VN30</t>
  </si>
  <si>
    <t>Kodex K방산Top10레버리지</t>
  </si>
  <si>
    <t>KODEX 심천ChiNext(합성)</t>
  </si>
  <si>
    <t>KODEX 운송</t>
  </si>
  <si>
    <t>KODEX은행</t>
  </si>
  <si>
    <t>KTF</t>
  </si>
  <si>
    <t>LG</t>
  </si>
  <si>
    <t>LG디스플레이</t>
  </si>
  <si>
    <t>LG에너지솔루션</t>
  </si>
  <si>
    <t>LG이노텍</t>
  </si>
  <si>
    <t>LG하우시스</t>
  </si>
  <si>
    <t>LG화학</t>
  </si>
  <si>
    <t>LIG손해보험</t>
  </si>
  <si>
    <t>NHN</t>
  </si>
  <si>
    <t>NHN한국사이버결제</t>
  </si>
  <si>
    <t>NH투자증권</t>
  </si>
  <si>
    <t>OCI홀딩스</t>
  </si>
  <si>
    <t>RFHIC</t>
  </si>
  <si>
    <t>S&amp;K폴리텍</t>
  </si>
  <si>
    <t>SAMG엔터</t>
  </si>
  <si>
    <t>SGA솔루션즈</t>
  </si>
  <si>
    <t>SK브로드밴드</t>
  </si>
  <si>
    <t>SK스퀘어</t>
  </si>
  <si>
    <t>SK케미칼</t>
  </si>
  <si>
    <t>SK하이닉스</t>
  </si>
  <si>
    <t>S-oil</t>
  </si>
  <si>
    <t>TIGER 200 철강소재</t>
  </si>
  <si>
    <t>TIGER 미디어컨텐츠</t>
  </si>
  <si>
    <t>TIGER 방송통신</t>
  </si>
  <si>
    <t>TIGER 생활필수품</t>
  </si>
  <si>
    <t>TIGER여행레저</t>
  </si>
  <si>
    <t>YG PLUS</t>
  </si>
  <si>
    <t>가온미디어</t>
  </si>
  <si>
    <t>강스템바이오텍</t>
  </si>
  <si>
    <t>주주혜택용</t>
  </si>
  <si>
    <t>고려아연</t>
  </si>
  <si>
    <t>고바이오랩</t>
  </si>
  <si>
    <t>고영</t>
  </si>
  <si>
    <t>골프존</t>
  </si>
  <si>
    <t>골프존유원홀딩스</t>
  </si>
  <si>
    <t>국보디자인</t>
  </si>
  <si>
    <t>금호석유</t>
  </si>
  <si>
    <t>기아차</t>
  </si>
  <si>
    <t>나노켐텍</t>
  </si>
  <si>
    <t>남해화학</t>
  </si>
  <si>
    <t>넥스턴</t>
  </si>
  <si>
    <t>넷마블</t>
  </si>
  <si>
    <t>녹십자홀딩스</t>
  </si>
  <si>
    <t>농산물ETF</t>
  </si>
  <si>
    <t>농심</t>
  </si>
  <si>
    <t>뉴보텍</t>
  </si>
  <si>
    <t>뉴프라이드</t>
  </si>
  <si>
    <t>다날</t>
  </si>
  <si>
    <t>유상증자</t>
  </si>
  <si>
    <t>무상증자</t>
  </si>
  <si>
    <t>다음카카오</t>
  </si>
  <si>
    <t>대림산업</t>
  </si>
  <si>
    <t>대원미디어</t>
  </si>
  <si>
    <t>대창</t>
  </si>
  <si>
    <t>대한광통신</t>
  </si>
  <si>
    <t>대한유화</t>
  </si>
  <si>
    <t>대한전선</t>
  </si>
  <si>
    <t>일본 주식</t>
  </si>
  <si>
    <t>대한화재</t>
  </si>
  <si>
    <t>덱스터</t>
  </si>
  <si>
    <t>도이치모터스</t>
  </si>
  <si>
    <t>동진세미켐</t>
  </si>
  <si>
    <t>폴더블PF</t>
  </si>
  <si>
    <t>두산솔루스</t>
  </si>
  <si>
    <t>미국 주식</t>
  </si>
  <si>
    <t>두산인프라코어</t>
  </si>
  <si>
    <t>두산퓨얼셀</t>
  </si>
  <si>
    <t>레드로버</t>
  </si>
  <si>
    <t>레이</t>
  </si>
  <si>
    <t>레이크머티리얼즈</t>
  </si>
  <si>
    <t>로보티즈</t>
  </si>
  <si>
    <t>리드</t>
  </si>
  <si>
    <t>마니커</t>
  </si>
  <si>
    <t>맥스로텍</t>
  </si>
  <si>
    <t>메디포스트</t>
  </si>
  <si>
    <t>메지온</t>
  </si>
  <si>
    <t>명신산업</t>
  </si>
  <si>
    <t>모두투어</t>
  </si>
  <si>
    <t>무림P&amp;P</t>
  </si>
  <si>
    <t>미래에셋대우2우B</t>
  </si>
  <si>
    <t>베트남개발1</t>
  </si>
  <si>
    <t>주식배당</t>
  </si>
  <si>
    <t>보로노이</t>
  </si>
  <si>
    <t>부광약품</t>
  </si>
  <si>
    <t>뷰웍스</t>
  </si>
  <si>
    <t>브이티</t>
  </si>
  <si>
    <t>삼륭물산</t>
  </si>
  <si>
    <t>삼보판지</t>
  </si>
  <si>
    <t>삼성바이오로직스</t>
  </si>
  <si>
    <t>삼성엔지니어링</t>
  </si>
  <si>
    <t>삼성전기</t>
  </si>
  <si>
    <t>삼성전자</t>
  </si>
  <si>
    <t>삼성전자우</t>
  </si>
  <si>
    <t>삼성중공업</t>
  </si>
  <si>
    <t>삼성화재</t>
  </si>
  <si>
    <t>삼아제약</t>
  </si>
  <si>
    <t>삼양식품</t>
  </si>
  <si>
    <t>삼양컴텍</t>
  </si>
  <si>
    <t>삼양홀딩스</t>
  </si>
  <si>
    <t>삼천당제약</t>
  </si>
  <si>
    <t>서린바이오</t>
  </si>
  <si>
    <t>세경하이테크</t>
  </si>
  <si>
    <t>세경하이테크(무증)</t>
  </si>
  <si>
    <t>세코닉스</t>
  </si>
  <si>
    <t>세화피앤씨</t>
  </si>
  <si>
    <t>셀리버리</t>
  </si>
  <si>
    <t>셀바스AI</t>
  </si>
  <si>
    <t>셀트리온헬스케어</t>
  </si>
  <si>
    <t>소프트뱅크(JP:9434)</t>
  </si>
  <si>
    <t>소프트뱅크그룹(JP:3436)</t>
  </si>
  <si>
    <t>솔라에지테크</t>
  </si>
  <si>
    <t>솔루엠</t>
  </si>
  <si>
    <t>스톤브릿지벤처스</t>
  </si>
  <si>
    <t>시디즈</t>
  </si>
  <si>
    <t>시스웍</t>
  </si>
  <si>
    <t>신일산업</t>
  </si>
  <si>
    <t>신한지주</t>
  </si>
  <si>
    <t>심텍</t>
  </si>
  <si>
    <t>싸이맥스</t>
  </si>
  <si>
    <t>썸에이지</t>
  </si>
  <si>
    <t>쏠리드</t>
  </si>
  <si>
    <t>아미코젠</t>
  </si>
  <si>
    <t>아시아나IDT</t>
  </si>
  <si>
    <t>아시아나항공</t>
  </si>
  <si>
    <t>아이디스</t>
  </si>
  <si>
    <t>아이씨디</t>
  </si>
  <si>
    <t>아이씨티케이</t>
  </si>
  <si>
    <t>아이에스동서</t>
  </si>
  <si>
    <t xml:space="preserve">아즈텍WB </t>
  </si>
  <si>
    <t>아크릴</t>
  </si>
  <si>
    <t>공모주</t>
  </si>
  <si>
    <t>알에프텍</t>
  </si>
  <si>
    <t>알테오젠</t>
  </si>
  <si>
    <t>알테오젠(무상증자)</t>
  </si>
  <si>
    <t>무상증자(신한)</t>
  </si>
  <si>
    <t>앱클론</t>
  </si>
  <si>
    <t>앱클론(무상증자)</t>
  </si>
  <si>
    <t>야스</t>
  </si>
  <si>
    <t>업워크</t>
  </si>
  <si>
    <t>에스맥</t>
  </si>
  <si>
    <t>에스코넥</t>
  </si>
  <si>
    <t>에스티아이</t>
  </si>
  <si>
    <t>에스티팜</t>
  </si>
  <si>
    <t>에스폴리텍</t>
  </si>
  <si>
    <t>에이스테크</t>
  </si>
  <si>
    <t>에이치엘디앤아이한라143</t>
  </si>
  <si>
    <t>채권</t>
  </si>
  <si>
    <t>만기상환</t>
  </si>
  <si>
    <t>에이치엘디앤아이한라144</t>
  </si>
  <si>
    <t>에이피알</t>
  </si>
  <si>
    <t>에치에프알</t>
  </si>
  <si>
    <t>에코마케팅</t>
  </si>
  <si>
    <t>에코프로</t>
  </si>
  <si>
    <t>에코프로비엠</t>
  </si>
  <si>
    <t>에프티이앤이</t>
  </si>
  <si>
    <t xml:space="preserve">엔비디아                                                                                            </t>
  </si>
  <si>
    <t>엔에스엔</t>
  </si>
  <si>
    <t>엔지켐생명과학</t>
  </si>
  <si>
    <t>엔티피아</t>
  </si>
  <si>
    <t>엔피씨(JP:6255)</t>
  </si>
  <si>
    <t>엠로</t>
  </si>
  <si>
    <t>엠젠플러스</t>
  </si>
  <si>
    <t>오르비텍</t>
  </si>
  <si>
    <t>오리엔탈정공</t>
  </si>
  <si>
    <t>오리온</t>
  </si>
  <si>
    <t>오성첨단소재</t>
  </si>
  <si>
    <t>오이솔루션</t>
  </si>
  <si>
    <t>윤5월</t>
  </si>
  <si>
    <t>와이엔텍</t>
  </si>
  <si>
    <t>우리산업</t>
  </si>
  <si>
    <t>웅진홀딩스</t>
  </si>
  <si>
    <t>원익머티리얼즈</t>
  </si>
  <si>
    <t>월덱스</t>
  </si>
  <si>
    <t>웹케시</t>
  </si>
  <si>
    <t>위즈윅스튜디오</t>
  </si>
  <si>
    <t>유니드</t>
  </si>
  <si>
    <t>유양디앤유</t>
  </si>
  <si>
    <t>유진기업</t>
  </si>
  <si>
    <t>이노션</t>
  </si>
  <si>
    <t>이랜텍</t>
  </si>
  <si>
    <t>이엔에프테크놀로지</t>
  </si>
  <si>
    <t>이엠텍</t>
  </si>
  <si>
    <t>이오테크닉스</t>
  </si>
  <si>
    <t>이오플로우</t>
  </si>
  <si>
    <t>이크레더블</t>
  </si>
  <si>
    <t>인터파크</t>
  </si>
  <si>
    <t>인트로메딕</t>
  </si>
  <si>
    <t>인팩</t>
  </si>
  <si>
    <t>인포바인</t>
  </si>
  <si>
    <t>인포뱅크</t>
  </si>
  <si>
    <t>일진다이아</t>
  </si>
  <si>
    <t>재영솔루텍</t>
  </si>
  <si>
    <t>한화-&gt;토스</t>
  </si>
  <si>
    <t>재영솔루텍(W11 채권)</t>
  </si>
  <si>
    <t>제이시스메디칼</t>
  </si>
  <si>
    <t>제이씨현시스템</t>
  </si>
  <si>
    <t>제이콘텐트리</t>
  </si>
  <si>
    <t>제일모직</t>
  </si>
  <si>
    <t>제주반도체</t>
  </si>
  <si>
    <t>젬백스</t>
  </si>
  <si>
    <t>조일알미늄</t>
  </si>
  <si>
    <t>중앙백신</t>
  </si>
  <si>
    <t>무상증자(4/22)</t>
  </si>
  <si>
    <t>지엔씨에너지</t>
  </si>
  <si>
    <t>지엔코</t>
  </si>
  <si>
    <t>지엠비코리아</t>
  </si>
  <si>
    <t>지엠피</t>
  </si>
  <si>
    <t>진로발효</t>
  </si>
  <si>
    <t>카카오</t>
  </si>
  <si>
    <t>카페24</t>
  </si>
  <si>
    <t>카프로</t>
  </si>
  <si>
    <t>컴퍼니케이</t>
  </si>
  <si>
    <t>케이맥</t>
  </si>
  <si>
    <t>HB솔루션합병(1:0.1916)</t>
  </si>
  <si>
    <t>케이씨</t>
  </si>
  <si>
    <t>켐트로스</t>
  </si>
  <si>
    <t>코세스</t>
  </si>
  <si>
    <t>코오롱생명과학</t>
  </si>
  <si>
    <t>코텍</t>
  </si>
  <si>
    <t>큐리언트</t>
  </si>
  <si>
    <t>큐브엔터</t>
  </si>
  <si>
    <t>크래프톤</t>
  </si>
  <si>
    <t>크리스탈</t>
  </si>
  <si>
    <t>크린앤사이언스</t>
  </si>
  <si>
    <t>테크윙</t>
  </si>
  <si>
    <t>톱텍</t>
  </si>
  <si>
    <t>티케이케미칼</t>
  </si>
  <si>
    <t>파멥신</t>
  </si>
  <si>
    <t>퍼스텍</t>
  </si>
  <si>
    <t>펌텍코리아</t>
  </si>
  <si>
    <t>포스데이타</t>
  </si>
  <si>
    <t>포스코ICT</t>
  </si>
  <si>
    <t>풀무원</t>
  </si>
  <si>
    <t>플러그파워</t>
  </si>
  <si>
    <t>피에스텍</t>
  </si>
  <si>
    <t>하나금융지주</t>
  </si>
  <si>
    <t>하이비젼시스템</t>
  </si>
  <si>
    <t>하이셈</t>
  </si>
  <si>
    <t>한국가스공사</t>
  </si>
  <si>
    <t>한국전력공사</t>
  </si>
  <si>
    <t>한국철강</t>
  </si>
  <si>
    <t>한국캐피탈514-2</t>
  </si>
  <si>
    <t>한국콜마</t>
  </si>
  <si>
    <t>한국타이어</t>
  </si>
  <si>
    <t>한국항공우주</t>
  </si>
  <si>
    <t>한솔케미칼</t>
  </si>
  <si>
    <t>한창제지</t>
  </si>
  <si>
    <t>한화갤러리아타임월드</t>
  </si>
  <si>
    <t>한화생명</t>
  </si>
  <si>
    <t>한화테크윈</t>
  </si>
  <si>
    <t>테크윈-&gt;에어로</t>
  </si>
  <si>
    <t>한화케미칼</t>
  </si>
  <si>
    <t>한화타임월드</t>
  </si>
  <si>
    <t>한화투자증권</t>
  </si>
  <si>
    <t>해마로푸드서비스</t>
  </si>
  <si>
    <t>현대백화점</t>
  </si>
  <si>
    <t>현대일렉트릭</t>
  </si>
  <si>
    <t>현대중공업</t>
  </si>
  <si>
    <t>호텔신라</t>
  </si>
  <si>
    <t>화승인더</t>
  </si>
  <si>
    <t>후성</t>
  </si>
  <si>
    <t>휴니드</t>
  </si>
  <si>
    <t>휴젤</t>
  </si>
  <si>
    <t>흥아해운</t>
  </si>
  <si>
    <t>KB</t>
  </si>
  <si>
    <t>위메이드</t>
  </si>
  <si>
    <t>한화갤러리아</t>
  </si>
  <si>
    <t>분할</t>
  </si>
  <si>
    <t>한화솔루션</t>
  </si>
  <si>
    <t>감자+단수주</t>
  </si>
  <si>
    <t>토스증권 매수/매도 수수료 0.015% / 거래세 24년 0.18% 25년 0.15%</t>
  </si>
  <si>
    <t>신한 매수 매도 수수료는 0.003639%  (K-OTC는 0.0909187%, ETF 등 0.0042087%)/ 매도시 거래세는 0.15%  /일본주식 거래수수료 0.25% 최소 1,000엔 /미국주식 거래수수료 0.25% 최소 $0.01 +매도 시 SEC Fee 매도액x $0.000013</t>
  </si>
  <si>
    <t>적용환율</t>
  </si>
  <si>
    <t>매수단가</t>
  </si>
  <si>
    <t>매수수수료</t>
  </si>
  <si>
    <t>매도수수료</t>
  </si>
  <si>
    <t>매도제세금</t>
  </si>
  <si>
    <t>기타금액</t>
  </si>
  <si>
    <t>거래손익</t>
  </si>
  <si>
    <t>수익률</t>
  </si>
  <si>
    <t>손절만회용(15만원)/매도11달러</t>
  </si>
  <si>
    <t>손절만회용(131만원)/매도3.7달러</t>
  </si>
  <si>
    <t>손절만회용(140만원)/매도18.8달러</t>
  </si>
  <si>
    <t>Plugpower</t>
  </si>
  <si>
    <t>손절만회용(90만원)/매도 3.7달러</t>
  </si>
  <si>
    <t>손절만회용(55만원)/매도103.5달러</t>
  </si>
  <si>
    <t>Tiger 레버리지</t>
  </si>
  <si>
    <t>Tiger 코스닥150레버리지</t>
  </si>
  <si>
    <t>Upwork</t>
  </si>
  <si>
    <t>손절만회용(5만원)</t>
  </si>
  <si>
    <t>내츄럴엔도텍</t>
  </si>
  <si>
    <t>K-OTC</t>
  </si>
  <si>
    <t>종목명:KTB--&gt;다올</t>
  </si>
  <si>
    <t>Kospi/Kosdaq</t>
  </si>
  <si>
    <t>종목명: 디스플레이텍-&gt;디티씨</t>
  </si>
  <si>
    <t>미래에셋증권2우B</t>
  </si>
  <si>
    <t>미스토홀딩스</t>
  </si>
  <si>
    <t>OTC</t>
  </si>
  <si>
    <t>삼성E&amp;A</t>
  </si>
  <si>
    <t>선익시스템</t>
  </si>
  <si>
    <t>무상주</t>
  </si>
  <si>
    <t>종목명변경:유양디앤유-&gt;와이투솔루션/ 감자 200-&gt;99-&gt;19</t>
  </si>
  <si>
    <t>유한양행</t>
  </si>
  <si>
    <t>클로봇</t>
  </si>
  <si>
    <t>파라마운트글로벌(Viacomcbs)</t>
  </si>
  <si>
    <t>주당 $31.2되어야 본전</t>
  </si>
  <si>
    <t>한미약품</t>
  </si>
  <si>
    <t>환전(달러)</t>
  </si>
  <si>
    <t>환전(엔화)</t>
  </si>
  <si>
    <t>구분</t>
  </si>
  <si>
    <t>거래대금</t>
  </si>
  <si>
    <t>미수발생/변제</t>
  </si>
  <si>
    <t>가격</t>
  </si>
  <si>
    <t>예탁금이용료</t>
  </si>
  <si>
    <t>종목번호</t>
  </si>
  <si>
    <t>2021/04/07</t>
  </si>
  <si>
    <t>환전출금</t>
  </si>
  <si>
    <t>KRW</t>
  </si>
  <si>
    <t>환전입금</t>
  </si>
  <si>
    <t>USD</t>
  </si>
  <si>
    <t>2021/06/18</t>
  </si>
  <si>
    <t>JPY</t>
  </si>
  <si>
    <t>2021/11/05</t>
  </si>
  <si>
    <t>2021/12/06</t>
  </si>
  <si>
    <t>연금-미래</t>
  </si>
  <si>
    <t>연금-신한</t>
  </si>
  <si>
    <t>재투자-신한</t>
  </si>
  <si>
    <t>상환-약관</t>
  </si>
  <si>
    <t>ISA-신한</t>
  </si>
  <si>
    <t>Wish 1(여행)</t>
  </si>
  <si>
    <t>Wish 2(자산)</t>
  </si>
  <si>
    <t>Wish 3(비상)</t>
  </si>
  <si>
    <t>기부</t>
  </si>
  <si>
    <t>증여-카카오</t>
  </si>
  <si>
    <t>상환-전세</t>
  </si>
  <si>
    <t>증권-토스</t>
  </si>
  <si>
    <t>물타기</t>
  </si>
  <si>
    <t>적금-하나</t>
  </si>
  <si>
    <t>하나적금검증</t>
  </si>
  <si>
    <t>투자원금</t>
  </si>
  <si>
    <t>수익</t>
  </si>
  <si>
    <t>수익 20%</t>
  </si>
  <si>
    <t>수익 23%</t>
  </si>
  <si>
    <t>원금20/수익50</t>
  </si>
  <si>
    <t>원금15/수익5</t>
  </si>
  <si>
    <t>원금 20%</t>
  </si>
  <si>
    <t>원금 5%</t>
  </si>
  <si>
    <t>원금 10%</t>
  </si>
  <si>
    <t>수익 2%</t>
  </si>
  <si>
    <t>하나 5%</t>
  </si>
  <si>
    <t>하나 10%</t>
  </si>
  <si>
    <t>원금 25%</t>
  </si>
  <si>
    <t>체결</t>
  </si>
  <si>
    <t>계좌이체</t>
  </si>
  <si>
    <t>기준일자</t>
  </si>
  <si>
    <t>정유주</t>
  </si>
  <si>
    <t>001-11-551354</t>
  </si>
  <si>
    <t>정인우</t>
  </si>
  <si>
    <t>001-11-551362</t>
  </si>
  <si>
    <t>이체 일자</t>
  </si>
  <si>
    <t>수신계좌</t>
  </si>
  <si>
    <t>이체금액</t>
  </si>
  <si>
    <t>추가 금액</t>
  </si>
  <si>
    <t>송금 계좌</t>
  </si>
  <si>
    <t>송금명</t>
  </si>
  <si>
    <t>관련 종목</t>
  </si>
  <si>
    <t>증여세</t>
  </si>
  <si>
    <t>신고 일자</t>
  </si>
  <si>
    <t>10년 해제</t>
  </si>
  <si>
    <t>누적금액</t>
  </si>
  <si>
    <t>카카오뱅크</t>
  </si>
  <si>
    <t>아빠</t>
  </si>
  <si>
    <t>신고</t>
  </si>
  <si>
    <t>2021.12.29.</t>
  </si>
  <si>
    <t>정민준</t>
  </si>
  <si>
    <t>아빠엄마</t>
  </si>
  <si>
    <t>엄마아빠</t>
  </si>
  <si>
    <t>2025.06.25.</t>
  </si>
  <si>
    <t>더존비즈온</t>
  </si>
  <si>
    <t>종목변경단수주대금</t>
  </si>
  <si>
    <t>ETF분배금</t>
  </si>
  <si>
    <t>TIGER 차이나항셍테크</t>
  </si>
  <si>
    <t>KODEX 미국배당커버드콜액티브</t>
  </si>
  <si>
    <t>정민준　　　　　　　</t>
  </si>
  <si>
    <t>2025.10.02</t>
  </si>
  <si>
    <t>2025.10.27</t>
  </si>
  <si>
    <t>매수 &amp; 매도</t>
  </si>
  <si>
    <t>모바일 거래 수수료는 0.1891639%</t>
  </si>
  <si>
    <t>쎄트렉아이</t>
  </si>
  <si>
    <t>회사분할</t>
  </si>
  <si>
    <t>Tiger차이나항셍테크</t>
  </si>
  <si>
    <t>Sol미국양자컴퓨팅TOP10</t>
  </si>
  <si>
    <t>한화3우B</t>
  </si>
  <si>
    <t>삼성카드</t>
  </si>
  <si>
    <t>감자</t>
  </si>
  <si>
    <t>미래에셋2우B(매주 월 1주)-2026년4월까지</t>
  </si>
  <si>
    <t>한화3우B(매주 화 1주)-2026년3월까지</t>
  </si>
  <si>
    <t>Tiger 항셍테크(매주 금 1주)-2026년3월까지</t>
  </si>
  <si>
    <t>SOL 미국양자컴퓨팅TOP10(매주 수 1주) -2026년3월까지</t>
  </si>
  <si>
    <t>KODEX 미국배당커버드콜액티브(매주 목 1주) -2026년4월까지</t>
  </si>
  <si>
    <t>[상속세및증여세법 제53조]</t>
  </si>
  <si>
    <t xml:space="preserve">거주자가 다음 각 호의 어느 하나에 해당하는 사람으로부터 증여를 받은 경우에는 다음 각 호의 구분에 따른 금액을 증여세 과세가액에서 공제한다. </t>
  </si>
  <si>
    <t>이 경우 수증자를 기준으로 그 증여를 받기 전 10년 이내에 공제받은 금액과 해당 증여가액에서 공제받을 금액을 합친 금액이 다음 각 호의 구분에 따른 금액을 초과하는 경우에는 그 초과하는 부분은 공제하지 아니한다.</t>
  </si>
  <si>
    <t>1. 배우자로부터 증여를 받은 경우: 6억원</t>
  </si>
  <si>
    <t>2. 직계존속[수증자의 직계존속과 혼인(사실혼은 제외한다. 이하 이 조에서 같다) 중인 배우자를 포함한다]으로부터 증여를 받은 경우: 5천만원. 다만, 미성년자가 직계존속으로부터 증여를 받은 경우에는 2천만원으로 한다.</t>
  </si>
  <si>
    <t>3. 직계비속(수증자와 혼인 중인 배우자의 직계비속을 포함한다)으로부터 증여를 받은 경우: 5천만원</t>
  </si>
  <si>
    <t>4. 제2호 및 제3호의 경우 외에 6촌 이내의 혈족, 4촌 이내의 인척으로부터 증여를 받은 경우: 1천만원</t>
  </si>
  <si>
    <t>증여 금액</t>
  </si>
  <si>
    <t>배당금 등</t>
  </si>
  <si>
    <t>비용 및 출금</t>
  </si>
  <si>
    <t>증여 잔액</t>
  </si>
  <si>
    <t>매수</t>
  </si>
  <si>
    <t>매도</t>
  </si>
  <si>
    <t>예수금 잔액</t>
  </si>
  <si>
    <t>대출</t>
  </si>
  <si>
    <t>상품명</t>
  </si>
  <si>
    <t>대출원금</t>
  </si>
  <si>
    <t>상환</t>
  </si>
  <si>
    <t>이자율</t>
  </si>
  <si>
    <t>월 이자</t>
  </si>
  <si>
    <t>하나은행-전세자금대출</t>
  </si>
  <si>
    <t>보증금</t>
  </si>
  <si>
    <t>월세</t>
  </si>
  <si>
    <t>환산보증금</t>
  </si>
  <si>
    <t>만기 상환액</t>
  </si>
  <si>
    <t>약관-엔터프라이즈</t>
  </si>
  <si>
    <t>2014.12~2016.11</t>
  </si>
  <si>
    <t>월드빌라 (내발산동)</t>
  </si>
  <si>
    <t>공항대로36가길 55 월드빌라 501호</t>
  </si>
  <si>
    <t>약관-변액</t>
  </si>
  <si>
    <t>2016.11~2018.11</t>
  </si>
  <si>
    <t>예지움 (등촌동)</t>
  </si>
  <si>
    <t>등촌동 365-7 예지움 102동 402호</t>
  </si>
  <si>
    <t>2018.11~2020.11</t>
  </si>
  <si>
    <t>휴먼빌 (가양동)</t>
  </si>
  <si>
    <t>강서로 490 휴먼빌아파트 101동 1406호</t>
  </si>
  <si>
    <t>2020.11~2022.11</t>
  </si>
  <si>
    <t>신세계 (내발산동)</t>
  </si>
  <si>
    <t>강서로 50길 72, 신세계아파트 303호</t>
  </si>
  <si>
    <t>2022.11~2024.9</t>
  </si>
  <si>
    <t>마곡 1313 (공항동)</t>
  </si>
  <si>
    <t>마곡중앙1로 71, 힐스테이트마스터 1313-501</t>
  </si>
  <si>
    <t>2024.9~</t>
  </si>
  <si>
    <t>마곡 1310 (공항동)</t>
  </si>
  <si>
    <t>마곡중앙1로 71, 힐스테이트마스터 1310-1302</t>
  </si>
  <si>
    <t>월 이자 10만원 줄이려면 대략 3천만원 상환이 필요함(하지만 3천만원 상환 시 중도상환수수료 21만원 소요(24개월 기준)</t>
  </si>
  <si>
    <t>월에 0.27% 부담한다고 생각하면 됨</t>
  </si>
  <si>
    <t>약관대출 총이자</t>
  </si>
  <si>
    <t>대출일자</t>
  </si>
  <si>
    <t>이자 금액</t>
  </si>
  <si>
    <t>재원(원금)</t>
  </si>
  <si>
    <t>재원(수익)</t>
  </si>
  <si>
    <t>약관대출 상환 내역</t>
  </si>
  <si>
    <t>기간이자</t>
  </si>
  <si>
    <t>신한수익</t>
  </si>
  <si>
    <t>2018년</t>
  </si>
  <si>
    <t>1월</t>
  </si>
  <si>
    <t>2월</t>
  </si>
  <si>
    <t>3월</t>
  </si>
  <si>
    <t>4월</t>
  </si>
  <si>
    <t>5월</t>
  </si>
  <si>
    <t>6월</t>
  </si>
  <si>
    <t>7월</t>
  </si>
  <si>
    <t>8월</t>
  </si>
  <si>
    <t>9월</t>
  </si>
  <si>
    <t>10월</t>
  </si>
  <si>
    <t>11월</t>
  </si>
  <si>
    <t>12월</t>
  </si>
  <si>
    <t>월 합계</t>
  </si>
  <si>
    <t>고지서 부과액</t>
  </si>
  <si>
    <t>순 관리비</t>
  </si>
  <si>
    <t>도시가스</t>
  </si>
  <si>
    <t>세대 전기료</t>
  </si>
  <si>
    <t>수도요금</t>
  </si>
  <si>
    <t>공동전기료</t>
  </si>
  <si>
    <t>음식물쓰레기</t>
  </si>
  <si>
    <t>장기수선충당금</t>
  </si>
  <si>
    <t>2019년</t>
  </si>
  <si>
    <t>2020년</t>
  </si>
  <si>
    <t>신세계</t>
  </si>
  <si>
    <t>2021년</t>
  </si>
  <si>
    <t>2022년</t>
  </si>
  <si>
    <t>(공동열)</t>
  </si>
  <si>
    <t>주방가스</t>
  </si>
  <si>
    <t>(공동전기)</t>
  </si>
  <si>
    <t>(공동수도)</t>
  </si>
  <si>
    <t>2023년</t>
  </si>
  <si>
    <t>열에너지</t>
  </si>
  <si>
    <t>전기에너지</t>
  </si>
  <si>
    <t>2024년</t>
  </si>
  <si>
    <t>1310-1302 이사</t>
  </si>
  <si>
    <t>GX이용료</t>
  </si>
  <si>
    <t>2025년</t>
  </si>
  <si>
    <t>실현손익</t>
  </si>
  <si>
    <t>누적손익</t>
  </si>
  <si>
    <t>34만</t>
  </si>
  <si>
    <t>160만</t>
  </si>
  <si>
    <t>30만</t>
  </si>
  <si>
    <t>650만</t>
  </si>
  <si>
    <t>52만</t>
  </si>
  <si>
    <t>단위:천원</t>
  </si>
  <si>
    <t>2020.07.10.기준</t>
  </si>
  <si>
    <t>전세보증금</t>
  </si>
  <si>
    <t>KB전세보증대출</t>
  </si>
  <si>
    <t>카뱅 예금</t>
  </si>
  <si>
    <t>신한대출</t>
  </si>
  <si>
    <t>한화 주식</t>
  </si>
  <si>
    <t>카카오뱅크마통</t>
  </si>
  <si>
    <t>신한 주식</t>
  </si>
  <si>
    <t>약관대출</t>
  </si>
  <si>
    <t>한화 해외 주식</t>
  </si>
  <si>
    <t>한화 주식(정지)</t>
  </si>
  <si>
    <t>계</t>
  </si>
  <si>
    <t>실질 유동성</t>
  </si>
  <si>
    <t>약관대출가능액</t>
  </si>
  <si>
    <t>매매</t>
  </si>
  <si>
    <t>전세</t>
  </si>
  <si>
    <t>회사 대출 가능액</t>
  </si>
  <si>
    <t>최대금액</t>
  </si>
  <si>
    <t>자본금</t>
  </si>
  <si>
    <t>대출비율</t>
  </si>
  <si>
    <t>2020.07.14.기준</t>
  </si>
  <si>
    <t>2020.07.21.기준</t>
  </si>
  <si>
    <t>2020.07.30.기준</t>
  </si>
  <si>
    <t>2020.08.06.기준</t>
  </si>
  <si>
    <t>신한 해외 주식</t>
  </si>
  <si>
    <t>2020.08.14.기준</t>
  </si>
  <si>
    <t>2020.08.21.기준</t>
  </si>
  <si>
    <t>2020.08.25.기준</t>
  </si>
  <si>
    <t>2020.08.28.기준</t>
  </si>
  <si>
    <t>2020.09.01.기준</t>
  </si>
  <si>
    <t>신세계 3차 303호</t>
  </si>
  <si>
    <t>8/31</t>
  </si>
  <si>
    <t>계약 선금</t>
  </si>
  <si>
    <t>9/3</t>
  </si>
  <si>
    <t>계약금</t>
  </si>
  <si>
    <t>9/27</t>
  </si>
  <si>
    <t>중도금?</t>
  </si>
  <si>
    <t>11/2</t>
  </si>
  <si>
    <t>잔금</t>
  </si>
  <si>
    <t>2020.10.05.기준</t>
  </si>
  <si>
    <t>5개월 현금흐름(`21년 2월까지)</t>
  </si>
  <si>
    <t>급여</t>
  </si>
  <si>
    <t>혜윤급여</t>
  </si>
  <si>
    <t>연말정산</t>
  </si>
  <si>
    <t>기납부</t>
  </si>
  <si>
    <t>이사비용</t>
  </si>
  <si>
    <t>신규 대출</t>
  </si>
  <si>
    <t>조리원비용</t>
  </si>
  <si>
    <t>보증금 반환</t>
  </si>
  <si>
    <t>부동산비</t>
  </si>
  <si>
    <t>매월 생활비</t>
  </si>
  <si>
    <t>2020.12.14.기준</t>
  </si>
  <si>
    <t>우리전세대출</t>
  </si>
  <si>
    <t>2021.2.25.기준</t>
  </si>
  <si>
    <t>2021.8.3.기준</t>
  </si>
  <si>
    <t>2022.2.3.기준</t>
  </si>
  <si>
    <t>2022.3.2.기준</t>
  </si>
  <si>
    <t>코인원</t>
  </si>
  <si>
    <t>2022.8.2.기준</t>
  </si>
  <si>
    <t>2022.10.25.기준</t>
  </si>
  <si>
    <t>전세보증금(신)</t>
  </si>
  <si>
    <t>전세보증금(힐)</t>
  </si>
  <si>
    <t>토뱅 예금</t>
  </si>
  <si>
    <t>신규 전세 대출</t>
  </si>
  <si>
    <t>최대</t>
  </si>
  <si>
    <t>차액</t>
  </si>
  <si>
    <t>계좌잔액</t>
  </si>
  <si>
    <t>부동산</t>
  </si>
  <si>
    <t>인지대</t>
  </si>
  <si>
    <t>신용대출</t>
  </si>
  <si>
    <t>11월15일</t>
  </si>
  <si>
    <t>반환</t>
  </si>
  <si>
    <t>우리은행</t>
  </si>
  <si>
    <t>2023.2.21.기준</t>
  </si>
  <si>
    <t>KB전세대출</t>
  </si>
  <si>
    <t>토스 예금</t>
  </si>
  <si>
    <t>2023.5.1.기준</t>
  </si>
  <si>
    <t>2024.2.19.기준</t>
  </si>
  <si>
    <t>넥쏘</t>
  </si>
  <si>
    <t>2024.07.29.기준</t>
  </si>
  <si>
    <t>토스증권</t>
  </si>
  <si>
    <t>2024.9.26.기준</t>
  </si>
  <si>
    <t>하나 전세 대출</t>
  </si>
  <si>
    <t>신한 예금</t>
  </si>
  <si>
    <t>하나 예금</t>
  </si>
  <si>
    <t>토스 해외 주식</t>
  </si>
  <si>
    <t>실질 자산</t>
  </si>
  <si>
    <t>2024.10.8.기준</t>
  </si>
  <si>
    <t>토스 주식</t>
  </si>
  <si>
    <t>2024.11.26.기준</t>
  </si>
  <si>
    <t>2025.01.13.기준</t>
  </si>
  <si>
    <t>2025.03.14.기준</t>
  </si>
  <si>
    <t>2025.06.11.기준</t>
  </si>
  <si>
    <t>정지영</t>
  </si>
  <si>
    <t>3333-01-0316433</t>
  </si>
  <si>
    <t>약관대출-엔터</t>
  </si>
  <si>
    <t>1000-4302-1014</t>
  </si>
  <si>
    <t>약관대출-변액</t>
  </si>
  <si>
    <t xml:space="preserve"> ㄴ토스 위시</t>
  </si>
  <si>
    <t>신한 저축예금</t>
  </si>
  <si>
    <t>329-04-944493</t>
  </si>
  <si>
    <t>신한 주택청약저축</t>
  </si>
  <si>
    <t>223-063-666427</t>
  </si>
  <si>
    <t>신한 연금저축</t>
  </si>
  <si>
    <t>290-002-121625</t>
  </si>
  <si>
    <t>229-910442-77907</t>
  </si>
  <si>
    <t>하나 적금</t>
  </si>
  <si>
    <t>229-910410-37621</t>
  </si>
  <si>
    <t>157-01-052478</t>
  </si>
  <si>
    <t>270-26-331598</t>
  </si>
  <si>
    <t xml:space="preserve"> ㄴ신한 비상장</t>
  </si>
  <si>
    <t>270-46-011386</t>
  </si>
  <si>
    <t xml:space="preserve"> ㄴ신한 해외 주식</t>
  </si>
  <si>
    <t>038-11-637713</t>
  </si>
  <si>
    <t xml:space="preserve"> ㄴ해외 주식</t>
  </si>
  <si>
    <t>미래에셋 주식</t>
  </si>
  <si>
    <t>011-99-014433</t>
  </si>
  <si>
    <t xml:space="preserve"> ㄴ미래에셋 연금저축</t>
  </si>
  <si>
    <t>011-46-012021</t>
  </si>
  <si>
    <t>유동성 계</t>
  </si>
  <si>
    <t>2025.07.10.기준</t>
  </si>
  <si>
    <t>2025.09.23.기준</t>
  </si>
  <si>
    <t>2025.10.13.기준</t>
  </si>
  <si>
    <t xml:space="preserve"> ㄴ중개형 ISA</t>
  </si>
  <si>
    <t>270-85-113762</t>
  </si>
  <si>
    <t>2025.12.01.기준</t>
  </si>
  <si>
    <t>한화-신청가능: 28,600</t>
  </si>
  <si>
    <t>DB-신청가능: 3,500</t>
  </si>
  <si>
    <t>2026.01.30.기준</t>
  </si>
  <si>
    <t>드파인 연희 74A</t>
  </si>
  <si>
    <t>3층</t>
  </si>
  <si>
    <t>고층</t>
  </si>
  <si>
    <t>최대 14.4억원 필요</t>
  </si>
  <si>
    <t>26.2월</t>
  </si>
  <si>
    <t>주택청약, 적금, 주식으로 해결 가능</t>
  </si>
  <si>
    <t>중도금(1)</t>
  </si>
  <si>
    <t>중도금대출</t>
  </si>
  <si>
    <t>중도금(2)</t>
  </si>
  <si>
    <t>중도금(3)</t>
  </si>
  <si>
    <t>중도금(4)</t>
  </si>
  <si>
    <t>중도금(5)</t>
  </si>
  <si>
    <t>자납(28.1?)</t>
  </si>
  <si>
    <t>금융상품 5천, 금 2천</t>
  </si>
  <si>
    <t>중도금(6)</t>
  </si>
  <si>
    <t>자납(28.6?)</t>
  </si>
  <si>
    <t>혜윤 년 12백, 민준 년 3천=1.26억</t>
  </si>
  <si>
    <t>29.1월</t>
  </si>
  <si>
    <t>보증금 2.5억</t>
  </si>
  <si>
    <t>총 분양가</t>
  </si>
  <si>
    <t>부족액 약 1.5억+취등록세+옵션</t>
  </si>
  <si>
    <t>발코니확장</t>
  </si>
  <si>
    <t>시스템에어컨</t>
  </si>
  <si>
    <t>인지세</t>
  </si>
  <si>
    <t>빌트인냉장고</t>
  </si>
  <si>
    <t>식기세척기</t>
  </si>
  <si>
    <t>인덕션</t>
  </si>
  <si>
    <t>월패드</t>
  </si>
  <si>
    <t>중문</t>
  </si>
  <si>
    <t>바닥재</t>
  </si>
  <si>
    <t>벽마감</t>
  </si>
  <si>
    <t>주방마감</t>
  </si>
  <si>
    <t>조명</t>
  </si>
  <si>
    <t>욕실</t>
  </si>
  <si>
    <t>드레스룸</t>
  </si>
  <si>
    <t>욕실환풍기</t>
  </si>
  <si>
    <t>방음</t>
  </si>
  <si>
    <t>인테리어full</t>
  </si>
  <si>
    <t>2026.04.17.기준</t>
  </si>
  <si>
    <t>신길센트럴 74B</t>
  </si>
  <si>
    <t>대지비</t>
  </si>
  <si>
    <t>중도금</t>
  </si>
  <si>
    <t>건축비</t>
  </si>
  <si>
    <t>공급금액</t>
  </si>
  <si>
    <t>현재 보증금</t>
  </si>
  <si>
    <t>주식 처분</t>
  </si>
  <si>
    <t>금 처분</t>
  </si>
  <si>
    <t>3년간 저축</t>
  </si>
  <si>
    <t>발코니</t>
  </si>
  <si>
    <t>혜윤 신용</t>
  </si>
  <si>
    <t>퇴직금 중도</t>
  </si>
  <si>
    <t>엄빠</t>
  </si>
  <si>
    <t>전기오븐</t>
  </si>
  <si>
    <t>대출금</t>
  </si>
  <si>
    <t>욕실복합환풍기</t>
  </si>
  <si>
    <t>스마트홈시큐리티</t>
  </si>
  <si>
    <t>실링팬(루미나 必)</t>
  </si>
  <si>
    <t>프리미엄키친</t>
  </si>
  <si>
    <t>올인원드레스룸</t>
  </si>
  <si>
    <t>안방붙박이장</t>
  </si>
  <si>
    <t>자녀방붙박이장</t>
  </si>
  <si>
    <t>SPC바닥재</t>
  </si>
  <si>
    <t>와이드강마루</t>
  </si>
  <si>
    <t>주방마감(프리미엄미선택시)</t>
  </si>
  <si>
    <t>욕실 바스</t>
  </si>
  <si>
    <t>현관중문</t>
  </si>
  <si>
    <t>디자인월</t>
  </si>
  <si>
    <t>청정환기</t>
  </si>
  <si>
    <t>감성조명(루미나)</t>
  </si>
  <si>
    <t>베르판조명</t>
  </si>
  <si>
    <t>동/호수</t>
  </si>
  <si>
    <t>주담대</t>
  </si>
  <si>
    <t>회사대출</t>
  </si>
  <si>
    <t>신용대출(혜윤)</t>
  </si>
  <si>
    <t>약관대출(혜윤)</t>
  </si>
  <si>
    <t>합계</t>
  </si>
  <si>
    <t>4-2026</t>
  </si>
  <si>
    <t>5-2026</t>
  </si>
  <si>
    <t>6-2026</t>
  </si>
  <si>
    <t>7-2026</t>
  </si>
  <si>
    <t>8-2026</t>
  </si>
  <si>
    <t>9-2026</t>
  </si>
  <si>
    <t>10-2026</t>
  </si>
  <si>
    <t>11-2026</t>
  </si>
  <si>
    <t>12-2026</t>
  </si>
  <si>
    <t>1-2027</t>
  </si>
  <si>
    <t>2-2027</t>
  </si>
  <si>
    <t>3-2027</t>
  </si>
  <si>
    <t>4-2027</t>
  </si>
  <si>
    <t>5-2027</t>
  </si>
  <si>
    <t>6-2027</t>
  </si>
  <si>
    <t>7-2027</t>
  </si>
  <si>
    <t>8-2027</t>
  </si>
  <si>
    <t>9-2027</t>
  </si>
  <si>
    <t>10-2027</t>
  </si>
  <si>
    <t>11-2027</t>
  </si>
  <si>
    <t>12-2027</t>
  </si>
  <si>
    <t>1-2028</t>
  </si>
  <si>
    <t>2-2028</t>
  </si>
  <si>
    <t>3-2028</t>
  </si>
  <si>
    <t>4-2028</t>
  </si>
  <si>
    <t>5-2028</t>
  </si>
  <si>
    <t>6-2028</t>
  </si>
  <si>
    <t>7-2028</t>
  </si>
  <si>
    <t>8-2028</t>
  </si>
  <si>
    <t>9-2028</t>
  </si>
  <si>
    <t>10-2028</t>
  </si>
  <si>
    <t>11-2028</t>
  </si>
  <si>
    <t>12-2028</t>
  </si>
  <si>
    <t>1-2029</t>
  </si>
  <si>
    <t>2-2029</t>
  </si>
  <si>
    <t>3-2029</t>
  </si>
  <si>
    <t>4-2029</t>
  </si>
  <si>
    <t>5-2029</t>
  </si>
  <si>
    <t>6-2029</t>
  </si>
  <si>
    <t>7-2029</t>
  </si>
  <si>
    <t>8-2029</t>
  </si>
  <si>
    <t>9-2029</t>
  </si>
  <si>
    <t>10-2029</t>
  </si>
  <si>
    <t>11-2029</t>
  </si>
  <si>
    <t>12-2029</t>
  </si>
  <si>
    <t>1-2030</t>
  </si>
  <si>
    <t>2-2030</t>
  </si>
  <si>
    <t>3-2030</t>
  </si>
  <si>
    <t>4-2030</t>
  </si>
  <si>
    <t>5-2030</t>
  </si>
  <si>
    <t>6-2030</t>
  </si>
  <si>
    <t>7-2030</t>
  </si>
  <si>
    <t>8-2030</t>
  </si>
  <si>
    <t>9-2030</t>
  </si>
  <si>
    <t>10-2030</t>
  </si>
  <si>
    <t>11-2030</t>
  </si>
  <si>
    <t>12-2030</t>
  </si>
  <si>
    <t>수입</t>
  </si>
  <si>
    <t>명절상여/연차보상</t>
  </si>
  <si>
    <t>성과급</t>
  </si>
  <si>
    <t>혜윤 급여</t>
  </si>
  <si>
    <t xml:space="preserve">  + )</t>
  </si>
  <si>
    <t>지출</t>
  </si>
  <si>
    <t>대출 이자(전세)</t>
  </si>
  <si>
    <t>주담대 이자</t>
  </si>
  <si>
    <t>주담대 원금</t>
  </si>
  <si>
    <t>생활비</t>
  </si>
  <si>
    <t>학원비</t>
  </si>
  <si>
    <t xml:space="preserve">  - )</t>
  </si>
  <si>
    <t>조달</t>
  </si>
  <si>
    <t>누적 대출금</t>
  </si>
  <si>
    <t>전세자금대출</t>
  </si>
  <si>
    <t>신용대출(민준)</t>
  </si>
  <si>
    <t>약관대출(민준)</t>
  </si>
  <si>
    <t>주택담보대출</t>
  </si>
  <si>
    <t>계약금(26.4.26)</t>
  </si>
  <si>
    <t>1차</t>
  </si>
  <si>
    <t>2차</t>
  </si>
  <si>
    <t>3차</t>
  </si>
  <si>
    <t>4차</t>
  </si>
  <si>
    <t>5차</t>
  </si>
  <si>
    <t>6차</t>
  </si>
  <si>
    <t>잔금(29.7.31)</t>
  </si>
  <si>
    <t>최소</t>
  </si>
  <si>
    <t>엄빠 지원</t>
  </si>
  <si>
    <t>현금</t>
  </si>
  <si>
    <t>주식</t>
  </si>
  <si>
    <t>적금</t>
  </si>
  <si>
    <t>중도금대출 상환</t>
  </si>
  <si>
    <t>퇴직금정산(민준)</t>
  </si>
  <si>
    <t>취득세(3%)</t>
  </si>
  <si>
    <t>퇴직연금(MAX)</t>
  </si>
  <si>
    <t>멤버스론</t>
  </si>
  <si>
    <t>급여 저축</t>
  </si>
  <si>
    <t>지방교육세(0.3%)</t>
  </si>
  <si>
    <t>연금저축</t>
  </si>
  <si>
    <t>보유 현금</t>
  </si>
  <si>
    <t>농어촌특별세(0.5%)</t>
  </si>
  <si>
    <t>주식 매도</t>
  </si>
  <si>
    <t>국민주택채권(3.1%x할인율)</t>
  </si>
  <si>
    <t>증지세</t>
  </si>
  <si>
    <t>필요 금액</t>
  </si>
  <si>
    <t>잔금날 대금 합계</t>
  </si>
  <si>
    <t>유상옵션</t>
  </si>
  <si>
    <t>혜윤 신용대출</t>
  </si>
  <si>
    <t>엄빠찬스</t>
  </si>
  <si>
    <t>퇴직금 정산</t>
  </si>
  <si>
    <t>모으기</t>
  </si>
  <si>
    <t>중도금 상환</t>
  </si>
  <si>
    <t>퇴직금(혜윤)</t>
  </si>
  <si>
    <t>혜윤퇴직금</t>
  </si>
  <si>
    <t>이사비</t>
  </si>
  <si>
    <t>퇴직금정산</t>
  </si>
  <si>
    <t>10층 아래만 남았을 때 추첨 참여</t>
  </si>
  <si>
    <t>10층 기준 16.2억원</t>
  </si>
  <si>
    <t>계약금 확보 필요 1.65억원</t>
  </si>
  <si>
    <t>토스계좌 잔액</t>
  </si>
  <si>
    <t>모으기 잔액</t>
  </si>
  <si>
    <t>약관대출(한화)</t>
  </si>
  <si>
    <t>약관대출(DB)</t>
  </si>
  <si>
    <t>토스 미수금</t>
  </si>
  <si>
    <t>신한 미수금</t>
  </si>
  <si>
    <t>ISA 예수금(금요일)</t>
  </si>
  <si>
    <t>중도금대출과 자납 시기 문의하기.</t>
  </si>
  <si>
    <t>계약 현황</t>
  </si>
  <si>
    <t>발코니 확장</t>
  </si>
  <si>
    <t>가능 동 호수</t>
  </si>
  <si>
    <t>동</t>
  </si>
  <si>
    <t>호수</t>
  </si>
  <si>
    <t>1 9 0 4</t>
  </si>
  <si>
    <t xml:space="preserve"> 9 0 4</t>
  </si>
  <si>
    <t>5 0 4</t>
  </si>
  <si>
    <t>2 4 0 4</t>
  </si>
  <si>
    <t>2 2 0 4</t>
  </si>
  <si>
    <t>1 2 0 4</t>
  </si>
  <si>
    <t>2 0 4</t>
  </si>
  <si>
    <t>A</t>
  </si>
  <si>
    <t>B</t>
  </si>
  <si>
    <t>C</t>
  </si>
  <si>
    <t>XKRX:00</t>
  </si>
  <si>
    <t>티커</t>
  </si>
  <si>
    <t>변동</t>
  </si>
  <si>
    <t>1일 低</t>
  </si>
  <si>
    <t>1일 高</t>
  </si>
  <si>
    <t>52주 低</t>
  </si>
  <si>
    <t>52주 高</t>
  </si>
  <si>
    <t>시총(억원)</t>
  </si>
  <si>
    <t>회사내용</t>
  </si>
  <si>
    <t>손실액</t>
  </si>
  <si>
    <t>마지막 매도액</t>
  </si>
  <si>
    <t>손익분기점</t>
  </si>
  <si>
    <t>의견</t>
  </si>
  <si>
    <t>매수 목표가</t>
  </si>
  <si>
    <t>손실 高</t>
  </si>
  <si>
    <t>KRX-294090</t>
  </si>
  <si>
    <t>25년 3월 거래정지. 상장폐지 사유(미국 회사와 소송. 1심 패소). 26/3/24 신주 상장되는 유상증자 진행. 2000원으로 할증발행했으나 사용처가 경비 인건비 등..아마 회생불가할듯</t>
  </si>
  <si>
    <t>엘지디스플레이</t>
  </si>
  <si>
    <t>에스오일</t>
  </si>
  <si>
    <t>아즈텍WB</t>
  </si>
  <si>
    <t>결혼 준비</t>
  </si>
  <si>
    <t>월드 빌라 전세</t>
  </si>
  <si>
    <t xml:space="preserve">대출 </t>
  </si>
  <si>
    <t>가전</t>
  </si>
  <si>
    <t>냉장고</t>
  </si>
  <si>
    <t>지급완료</t>
  </si>
  <si>
    <t>지급예정</t>
  </si>
  <si>
    <t>세탁기</t>
  </si>
  <si>
    <t>청소기</t>
  </si>
  <si>
    <t>밥솥+다리미</t>
  </si>
  <si>
    <t>가구</t>
  </si>
  <si>
    <t>매트리스</t>
  </si>
  <si>
    <t>침실가구(화장대+침대+협탁)</t>
  </si>
  <si>
    <t>커튼</t>
  </si>
  <si>
    <t>식탁</t>
  </si>
  <si>
    <t>렌지대</t>
  </si>
  <si>
    <t>쇼파</t>
  </si>
  <si>
    <t>거실장</t>
  </si>
  <si>
    <t>서재 책상</t>
  </si>
  <si>
    <t>11번가 (15.8월)</t>
  </si>
  <si>
    <t>주방</t>
  </si>
  <si>
    <t>식기</t>
  </si>
  <si>
    <t>집</t>
  </si>
  <si>
    <t>도배</t>
  </si>
  <si>
    <t>예식장</t>
  </si>
  <si>
    <t>예식홀+스+드+메(혼주미용 추가)</t>
  </si>
  <si>
    <t>스튜디오 추가비</t>
  </si>
  <si>
    <t>청첩장</t>
  </si>
  <si>
    <t>신혼여행</t>
  </si>
  <si>
    <t>항공+리조트+두바이</t>
  </si>
  <si>
    <t>추가 익스커션 등</t>
  </si>
  <si>
    <t>택시+기념품+팁 등</t>
  </si>
  <si>
    <t>함</t>
  </si>
  <si>
    <t>옷</t>
  </si>
  <si>
    <t>구두</t>
  </si>
  <si>
    <t>가방</t>
  </si>
  <si>
    <t>로즈몽 시계</t>
  </si>
  <si>
    <t>11번가(15.4월)</t>
  </si>
  <si>
    <t>e</t>
  </si>
  <si>
    <t>예물</t>
  </si>
  <si>
    <t>예단</t>
  </si>
  <si>
    <t>예복</t>
  </si>
  <si>
    <t>정장, 구두</t>
  </si>
  <si>
    <t>한복</t>
  </si>
  <si>
    <t>답례품</t>
  </si>
  <si>
    <t>레노버 노트북</t>
  </si>
  <si>
    <t>Lenovo Flex5 14ARE R5</t>
  </si>
  <si>
    <t>11번가(20.6월)</t>
  </si>
  <si>
    <t>라이젠4500, 8기가램</t>
  </si>
  <si>
    <t>핸드폰</t>
  </si>
  <si>
    <t>아이폰13</t>
  </si>
  <si>
    <t>11번가(21.10월)</t>
  </si>
  <si>
    <t>256g</t>
  </si>
  <si>
    <t>주변기기</t>
  </si>
  <si>
    <t>로지텍K780 키보드</t>
  </si>
  <si>
    <t>G마켓(17.4월)</t>
  </si>
  <si>
    <t>로지텍Mxanywhere2 마우스</t>
  </si>
  <si>
    <t>에어프라이기-442-AF13L</t>
  </si>
  <si>
    <t>G마켓(20.8월)</t>
  </si>
  <si>
    <t>아이폰Xs</t>
  </si>
  <si>
    <t>위메프(18.9월)</t>
  </si>
  <si>
    <t>COFIX + 1.48%</t>
  </si>
  <si>
    <t>최초(2020.10.19.승인)</t>
  </si>
  <si>
    <t>우리전세론[전세안심]잔금대출</t>
  </si>
  <si>
    <t>보증료</t>
  </si>
  <si>
    <t>부대비용</t>
  </si>
  <si>
    <t>우대조건</t>
  </si>
  <si>
    <t>카드</t>
  </si>
  <si>
    <t>할인쿠폰</t>
  </si>
  <si>
    <t>오픈뱅킹</t>
  </si>
  <si>
    <t>공과금 자동이체</t>
  </si>
  <si>
    <t>1건</t>
  </si>
  <si>
    <t>급여이체</t>
  </si>
  <si>
    <t>매월 25일</t>
  </si>
  <si>
    <t>복비</t>
  </si>
  <si>
    <t>부가세 포함</t>
  </si>
  <si>
    <t>5억원x 0.4%</t>
  </si>
  <si>
    <t>11/2 이체 완료 : 현금영수증 발급 처리</t>
  </si>
  <si>
    <t>총견적(10/9)</t>
  </si>
  <si>
    <t>GS24</t>
  </si>
  <si>
    <t>010-9360-1524</t>
  </si>
  <si>
    <t>계약금(10/12)</t>
  </si>
  <si>
    <t>잔금(11/2)</t>
  </si>
  <si>
    <t>추가 용달비(11/2)</t>
  </si>
  <si>
    <t>에어컨 설치</t>
  </si>
  <si>
    <t>유주방 에어컨</t>
  </si>
  <si>
    <t>신규 구매</t>
  </si>
  <si>
    <t>침대</t>
  </si>
  <si>
    <t>삼분의일</t>
  </si>
  <si>
    <t>11/3 배송 완료</t>
  </si>
  <si>
    <t>LG-DFB22S (CJ몰에서 구매)</t>
  </si>
  <si>
    <t>11/9 설치 완료(11/3 실사 완료)</t>
  </si>
  <si>
    <t>장롱</t>
  </si>
  <si>
    <t>한샘 아임빅 120 긴옷장</t>
  </si>
  <si>
    <t>일부 스마일캐쉬 사용 실카드결제액 241,605원</t>
  </si>
  <si>
    <t>소파</t>
  </si>
  <si>
    <t>리바트 뉴 레가토 4인 리클라이너 홈바형 스모키네이비</t>
  </si>
  <si>
    <t>신세계 상품권 45만원 사용 (실 카드결제액 743,352)</t>
  </si>
  <si>
    <t>유주 책상+의자</t>
  </si>
  <si>
    <t>이케아 책상+의자+수납장</t>
  </si>
  <si>
    <t>행거</t>
  </si>
  <si>
    <t>쿠팡 아이리스 프리미엄 모던 선반 스탠드 행거 화이트</t>
  </si>
  <si>
    <t>LED등 교체</t>
  </si>
  <si>
    <t>25W 형광등 4개, 18W 형광등 9개, 꼬마전구 4W 1개</t>
  </si>
  <si>
    <t>에어프라이어</t>
  </si>
  <si>
    <t>거실 장식장</t>
  </si>
  <si>
    <t>유주 책장</t>
  </si>
  <si>
    <t>화장대</t>
  </si>
  <si>
    <t>매수 단가</t>
  </si>
  <si>
    <t>매수 수량</t>
  </si>
  <si>
    <t>매도 단가</t>
  </si>
  <si>
    <t>매도 수량</t>
  </si>
  <si>
    <t>매도 총액</t>
  </si>
  <si>
    <t>루나</t>
  </si>
  <si>
    <t>솔라나</t>
  </si>
  <si>
    <t>클레이튼</t>
  </si>
  <si>
    <t>플로우</t>
  </si>
  <si>
    <t>비트코인</t>
  </si>
  <si>
    <t>보라</t>
  </si>
  <si>
    <t>입금</t>
  </si>
  <si>
    <t>연금저축-신한</t>
  </si>
  <si>
    <t>270-85-802042</t>
  </si>
  <si>
    <t>계좌 개설</t>
  </si>
  <si>
    <t>전환 입금 여부</t>
  </si>
  <si>
    <t>누적입금액</t>
  </si>
  <si>
    <t>신한은행-연금저축 이전</t>
  </si>
  <si>
    <t>PLUS 고배당주위클리고정커버드콜</t>
  </si>
  <si>
    <t>SOL 미국양자컴퓨팅TOP10</t>
  </si>
  <si>
    <t>TIGER S&amp;P글로벌헬스케어</t>
  </si>
  <si>
    <t>RISE 일본섹터TOP4Plus</t>
  </si>
  <si>
    <t>KODEX 차이나휴머노이드로봇</t>
  </si>
  <si>
    <t>ISA</t>
  </si>
  <si>
    <t>고려신용정보</t>
  </si>
  <si>
    <t>연금저축-미래에셋</t>
  </si>
  <si>
    <t>예탁금 이용료</t>
  </si>
  <si>
    <t>OK</t>
  </si>
  <si>
    <t>출금</t>
  </si>
  <si>
    <t>ISA - 신한</t>
  </si>
  <si>
    <t>투자가능금액</t>
  </si>
  <si>
    <t>RISE바이오TOP10액티브</t>
  </si>
  <si>
    <t>PLUS고배당주위클리고정커버드콜</t>
  </si>
  <si>
    <t>SOL미국양자컴퓨팅TOP10</t>
  </si>
  <si>
    <t>KODEX차이나휴머노이드로봇</t>
  </si>
  <si>
    <t>TIGER S&amp;P글로벌헬스케어(합성)</t>
  </si>
  <si>
    <t>KODEX 3대농산물선물(H)</t>
  </si>
  <si>
    <t>PLUS 우주항공&amp;UAM</t>
  </si>
  <si>
    <t>UNICORN SK하이닉스밸류체인액티브</t>
  </si>
  <si>
    <t>RISE 바이오TOP10액티브</t>
  </si>
  <si>
    <t>한국투자연금베트남증권자투자신탁(주식혼합) 종류 Ce</t>
  </si>
  <si>
    <t>미래에셋성장유망중소형주연금저축증권전환형자투자신탁1호(주식)</t>
  </si>
  <si>
    <t>미래에셋AI스마트베타EMP증권자투자신탁(주식-재간접형)종류</t>
  </si>
  <si>
    <t>미래에셋배당과롱숏증권자투자신탁(주식혼합)C-Pe</t>
  </si>
  <si>
    <t>삼성미국인덱스증권자UH[주식]_C-Pe</t>
  </si>
  <si>
    <t>NH-Amundi 글로벌 혁신기업 증권자투자신탁(H)[주식</t>
  </si>
  <si>
    <t>미래에셋스마트롱숏30증권자투자신탁1호(채권혼합)C-Pe</t>
  </si>
  <si>
    <t>KCGI샐러리맨증권자투자신탁[주식-재간접형]종류C-Pe</t>
  </si>
  <si>
    <t>미래에셋로저스농산물지수특별자산자투자신탁(일반상품-파생형)</t>
  </si>
  <si>
    <t>DB바이오헬스케어30증권투자신탁 제1호[채권혼합] Clas</t>
  </si>
  <si>
    <t>미래에셋연금글로벌헬스케어증권자투자신탁1호(주식)C-e</t>
  </si>
  <si>
    <t>타임폴리오위드타임증권자투자신탁(사모투자재간접형) 종류 C-</t>
  </si>
  <si>
    <t>미래에셋 TIGER 차이나휴머노이드로봇증권상장지수투자신탁(</t>
  </si>
  <si>
    <t>미래에셋 TIGER 중국소비테마 증권상장지수투자신탁(주식)</t>
  </si>
  <si>
    <t>미래에셋TIGER배당성장증권상장지수투자신탁(주식)</t>
  </si>
  <si>
    <t>미래에셋 TIGER AI반도체핵심공정증권상장지수투자신탁(주</t>
  </si>
  <si>
    <t>삼성 KODEX 경기소비재증권상장지수투자신탁[주식형]</t>
  </si>
  <si>
    <t>한화 PLUS 우주항공&amp;UAM 증권상장지수투자신탁(주식)</t>
  </si>
  <si>
    <t>📊 순자산 대시보드 (월별)</t>
  </si>
  <si>
    <t>★ 파란색 셀에만 숫자를 입력하세요 (단위: 만원)</t>
  </si>
  <si>
    <t>▌자산 (Assets)</t>
  </si>
  <si>
    <t>자산 항목</t>
  </si>
  <si>
    <t>2026-01</t>
  </si>
  <si>
    <t>2026-02</t>
  </si>
  <si>
    <t>2026-03</t>
  </si>
  <si>
    <t>2026-04</t>
  </si>
  <si>
    <t>2026-05</t>
  </si>
  <si>
    <t>2026-06</t>
  </si>
  <si>
    <t>2026-07</t>
  </si>
  <si>
    <t>2026-08</t>
  </si>
  <si>
    <t>2026-09</t>
  </si>
  <si>
    <t>2026-10</t>
  </si>
  <si>
    <t>2026-11</t>
  </si>
  <si>
    <t>2026-12</t>
  </si>
  <si>
    <t>국내주식 (신한/토스/한화)</t>
  </si>
  <si>
    <t>ING 시트 현재가 합산</t>
  </si>
  <si>
    <t>해외주식 (달러환산)</t>
  </si>
  <si>
    <t>ING 시트 해외종목</t>
  </si>
  <si>
    <t>연금계좌 (연금저축+IRP)</t>
  </si>
  <si>
    <t>연금&amp;ISA 시트 평가액</t>
  </si>
  <si>
    <t>ISA 계좌</t>
  </si>
  <si>
    <t>예적금·현금</t>
  </si>
  <si>
    <t>통장 잔액 합계</t>
  </si>
  <si>
    <t>아파트(분양가 기준)</t>
  </si>
  <si>
    <t>중도금 납입액 누계</t>
  </si>
  <si>
    <t>기타 부동산·실물자산</t>
  </si>
  <si>
    <t>자산 합계</t>
  </si>
  <si>
    <t>SUM 자동계산</t>
  </si>
  <si>
    <t>▌부채 (Liabilities)</t>
  </si>
  <si>
    <t>부채 항목</t>
  </si>
  <si>
    <t>전세자금 대출</t>
  </si>
  <si>
    <t>대출 시트 잔액</t>
  </si>
  <si>
    <t>약관 대출</t>
  </si>
  <si>
    <t>아파트 중도금 (미납)</t>
  </si>
  <si>
    <t>26.5/11 · 27.5/11 · 28.5</t>
  </si>
  <si>
    <t>기타 부채</t>
  </si>
  <si>
    <t>부채 합계</t>
  </si>
  <si>
    <t>▌순자산 = 자산 합계 − 부채 합계</t>
  </si>
  <si>
    <t>순자산</t>
  </si>
  <si>
    <t>전월 대비 증감</t>
  </si>
  <si>
    <t>💰 월별 지출 관리표 (단위: 만원)</t>
  </si>
  <si>
    <t>★ 숫자 입력 셀은 파란색 · 고정비는 매월 자동복사 권장</t>
  </si>
  <si>
    <t>카테고리</t>
  </si>
  <si>
    <t>연간합계</t>
  </si>
  <si>
    <t>── 고정 지출 ──</t>
  </si>
  <si>
    <t>아파트 관리비</t>
  </si>
  <si>
    <t>관리비 시트</t>
  </si>
  <si>
    <t>전기/가스/수도</t>
  </si>
  <si>
    <t>통신비 (휴대폰·인터넷)</t>
  </si>
  <si>
    <t>대출 이자 (전세+약관)</t>
  </si>
  <si>
    <t>대출 시트 이자 합계</t>
  </si>
  <si>
    <t>보험료</t>
  </si>
  <si>
    <t>교육비 (학원·책 등)</t>
  </si>
  <si>
    <t>구독 서비스</t>
  </si>
  <si>
    <t>OTT·앱·클라우드</t>
  </si>
  <si>
    <t>── 변동 지출 ──</t>
  </si>
  <si>
    <t>식비</t>
  </si>
  <si>
    <t>외식·카페</t>
  </si>
  <si>
    <t>교통비</t>
  </si>
  <si>
    <t>의류·잡화</t>
  </si>
  <si>
    <t>의료·건강</t>
  </si>
  <si>
    <t>여가·여행·취미</t>
  </si>
  <si>
    <t>육아·자녀 (유주·인우)</t>
  </si>
  <si>
    <t>경조사·선물</t>
  </si>
  <si>
    <t>── 저축·투자 ──</t>
  </si>
  <si>
    <t>연금 납입 (ISA 포함)</t>
  </si>
  <si>
    <t>주식 매수 (순유입)</t>
  </si>
  <si>
    <t>매수금 - 매도금</t>
  </si>
  <si>
    <t>적금·예금 납입</t>
  </si>
  <si>
    <t>아파트 중도금 납입</t>
  </si>
  <si>
    <t>월 지출 합계</t>
  </si>
  <si>
    <t>▌월 수입 (세후)</t>
  </si>
  <si>
    <t>급여 (본인)</t>
  </si>
  <si>
    <t>배우자 급여</t>
  </si>
  <si>
    <t>임대·기타 수입</t>
  </si>
  <si>
    <t>투자 배당·이자</t>
  </si>
  <si>
    <t>수입 합계</t>
  </si>
  <si>
    <t>잉여 (수입 - 지출)</t>
  </si>
  <si>
    <t>📈 포트폴리오 현황 요약 (매월 말 업데이트)</t>
  </si>
  <si>
    <t>★ ING 시트 데이터를 월말에 이 시트에 복사해 스냅샷으로 보관하세요</t>
  </si>
  <si>
    <t>▌계좌별 보유 현황 (입력일: )</t>
  </si>
  <si>
    <t>티커/코드</t>
  </si>
  <si>
    <t>계좌</t>
  </si>
  <si>
    <t>평균단가</t>
  </si>
  <si>
    <t>보유수량</t>
  </si>
  <si>
    <t>매입금액</t>
  </si>
  <si>
    <t>평가금액</t>
  </si>
  <si>
    <t>수익률(%)</t>
  </si>
  <si>
    <t>005930</t>
  </si>
  <si>
    <t>신한증권</t>
  </si>
  <si>
    <t>NVDA</t>
  </si>
  <si>
    <t>035720</t>
  </si>
  <si>
    <t>한화투자</t>
  </si>
  <si>
    <t>(직접 입력)</t>
  </si>
  <si>
    <t>▌계좌별 비중 (자동계산)</t>
  </si>
  <si>
    <t>평가금액 (만원)</t>
  </si>
  <si>
    <t>비중 (%)</t>
  </si>
  <si>
    <t>← ING 시트 기준 수동 입력 또는 SUMIF 연결</t>
  </si>
  <si>
    <t>연금저축/IRP</t>
  </si>
  <si>
    <t>▌자산배분 가이드 (목표 vs 실제)</t>
  </si>
  <si>
    <t>자산군</t>
  </si>
  <si>
    <t>목표 비중(%)</t>
  </si>
  <si>
    <t>실제 비중(%)</t>
  </si>
  <si>
    <t>목표 금액(만)</t>
  </si>
  <si>
    <t>실제 금액(만)</t>
  </si>
  <si>
    <t>차이</t>
  </si>
  <si>
    <t>국내주식</t>
  </si>
  <si>
    <t>해외주식</t>
  </si>
  <si>
    <t>연금/ISA</t>
  </si>
  <si>
    <t>현금·채권</t>
  </si>
  <si>
    <t>부동산·실물</t>
  </si>
  <si>
    <t>※ 목표 비중은 자유롭게 수정 · 실제 비중/금액은 위 계좌별 요약에서 계산 후 복사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</si>
</sst>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6" formatCode="&quot;₩&quot;#,##0;[Red]\-&quot;₩&quot;#,##0"/>
    <numFmt numFmtId="41" formatCode="_-* #,##0_-;\-* #,##0_-;_-* &quot;-&quot;_-;_-@_-"/>
    <numFmt numFmtId="176" formatCode="#,##0_ ;[Red]\-#,##0\ "/>
    <numFmt numFmtId="177" formatCode="0.0%"/>
    <numFmt numFmtId="178" formatCode="#,##0_ "/>
    <numFmt numFmtId="179" formatCode="#,##0.00_ ;[Red]\-#,##0.00\ "/>
    <numFmt numFmtId="180" formatCode="#,##0.0_ "/>
    <numFmt numFmtId="181" formatCode="#,##0.0_);[Red]\(#,##0.0\)"/>
    <numFmt numFmtId="182" formatCode="#,##0.0000000_ ;[Red]\-#,##0.0000000\ "/>
    <numFmt numFmtId="183" formatCode="yyyy&quot;-&quot;m&quot;-&quot;d;@"/>
    <numFmt numFmtId="184" formatCode="#,##0.0000_ "/>
    <numFmt numFmtId="185" formatCode="#,##0.00000_ "/>
    <numFmt numFmtId="186" formatCode="#,##0.000000_ "/>
    <numFmt numFmtId="187" formatCode="#,##0.0000_ ;[Red]\-#,##0.0000\ "/>
    <numFmt numFmtId="188" formatCode="#,##0.00000"/>
    <numFmt numFmtId="189" formatCode="_-* #,##0.0000_-;\-* #,##0.0000_-;_-* &quot;-&quot;????_-;_-@_-"/>
    <numFmt numFmtId="190" formatCode="#,##0.00_ "/>
    <numFmt numFmtId="191" formatCode="#,##0.0_ ;[Red]\-#,##0.0\ "/>
    <numFmt numFmtId="192" formatCode="[$₩-412]#,##0;[Red]\-[$₩-412]#,##0"/>
    <numFmt numFmtId="193" formatCode="0.00%;[Red]\-0.00%"/>
    <numFmt numFmtId="194" formatCode="[$$-409]#,##0.00;[Red]\-[$$-409]#,##0.00"/>
    <numFmt numFmtId="195" formatCode="_([$$-409]* #,##0.00_);_([$$-409]* \(#,##0.00\);_([$$-409]* &quot;-&quot;??_);_(@_)"/>
    <numFmt numFmtId="196" formatCode="0.0%;[Red]\-0.0%"/>
    <numFmt numFmtId="197" formatCode="\+#,##0;\-#,##0;&quot;-&quot;"/>
    <numFmt numFmtId="198" formatCode="\+0.00%;\-0.00%"/>
  </numFmts>
  <fonts count="44" x14ac:knownFonts="1">
    <font>
      <sz val="11"/>
      <color indexed="8"/>
      <name val="맑은 고딕"/>
      <family val="3"/>
      <charset val="129"/>
    </font>
    <font>
      <sz val="11"/>
      <color theme="1"/>
      <name val="맑은 고딕"/>
      <family val="2"/>
      <charset val="129"/>
      <scheme val="minor"/>
    </font>
    <font>
      <sz val="11"/>
      <color theme="1"/>
      <name val="맑은 고딕"/>
      <family val="2"/>
      <charset val="129"/>
      <scheme val="minor"/>
    </font>
    <font>
      <sz val="9"/>
      <color theme="1"/>
      <name val="맑은 고딕"/>
      <family val="2"/>
      <charset val="129"/>
    </font>
    <font>
      <sz val="11"/>
      <color theme="1"/>
      <name val="맑은 고딕"/>
      <family val="2"/>
      <charset val="129"/>
      <scheme val="minor"/>
    </font>
    <font>
      <sz val="10"/>
      <color indexed="8"/>
      <name val="맑은 고딕"/>
      <family val="3"/>
      <charset val="129"/>
    </font>
    <font>
      <b/>
      <sz val="11"/>
      <color indexed="8"/>
      <name val="맑은 고딕"/>
      <family val="3"/>
      <charset val="129"/>
    </font>
    <font>
      <b/>
      <sz val="9"/>
      <color indexed="8"/>
      <name val="맑은 고딕"/>
      <family val="3"/>
      <charset val="129"/>
    </font>
    <font>
      <sz val="9"/>
      <color indexed="8"/>
      <name val="맑은 고딕"/>
      <family val="3"/>
      <charset val="129"/>
    </font>
    <font>
      <sz val="8"/>
      <name val="맑은 고딕"/>
      <family val="3"/>
      <charset val="129"/>
    </font>
    <font>
      <sz val="11"/>
      <color indexed="8"/>
      <name val="맑은 고딕"/>
      <family val="3"/>
      <charset val="129"/>
    </font>
    <font>
      <sz val="8"/>
      <color indexed="8"/>
      <name val="맑은 고딕"/>
      <family val="3"/>
      <charset val="129"/>
    </font>
    <font>
      <i/>
      <sz val="9"/>
      <color indexed="8"/>
      <name val="맑은 고딕"/>
      <family val="3"/>
      <charset val="129"/>
    </font>
    <font>
      <sz val="8"/>
      <color theme="1"/>
      <name val="맑은 고딕"/>
      <family val="3"/>
      <charset val="129"/>
      <scheme val="minor"/>
    </font>
    <font>
      <b/>
      <sz val="8"/>
      <color indexed="8"/>
      <name val="맑은 고딕"/>
      <family val="3"/>
      <charset val="129"/>
    </font>
    <font>
      <sz val="11"/>
      <color theme="3"/>
      <name val="맑은 고딕"/>
      <family val="3"/>
      <charset val="129"/>
    </font>
    <font>
      <sz val="11"/>
      <color rgb="FFFF0000"/>
      <name val="맑은 고딕"/>
      <family val="3"/>
      <charset val="129"/>
    </font>
    <font>
      <sz val="9"/>
      <color rgb="FF000000"/>
      <name val="돋움"/>
      <family val="3"/>
      <charset val="129"/>
    </font>
    <font>
      <b/>
      <u/>
      <sz val="11"/>
      <color indexed="8"/>
      <name val="맑은 고딕"/>
      <family val="3"/>
      <charset val="129"/>
    </font>
    <font>
      <b/>
      <sz val="14"/>
      <color indexed="8"/>
      <name val="맑은 고딕"/>
      <family val="3"/>
      <charset val="129"/>
    </font>
    <font>
      <sz val="11"/>
      <color theme="9" tint="-0.249977111117893"/>
      <name val="맑은 고딕"/>
      <family val="3"/>
      <charset val="129"/>
    </font>
    <font>
      <sz val="11"/>
      <color theme="4" tint="-0.249977111117893"/>
      <name val="맑은 고딕"/>
      <family val="3"/>
      <charset val="129"/>
    </font>
    <font>
      <sz val="11"/>
      <color theme="1"/>
      <name val="맑은 고딕"/>
      <family val="3"/>
      <charset val="129"/>
      <scheme val="minor"/>
    </font>
    <font>
      <b/>
      <sz val="11"/>
      <color theme="1"/>
      <name val="맑은 고딕"/>
      <family val="3"/>
      <charset val="129"/>
      <scheme val="minor"/>
    </font>
    <font>
      <sz val="10"/>
      <color theme="1"/>
      <name val="맑은 고딕"/>
      <family val="2"/>
      <charset val="129"/>
      <scheme val="minor"/>
    </font>
    <font>
      <sz val="10"/>
      <color theme="1"/>
      <name val="맑은 고딕"/>
      <family val="3"/>
      <charset val="129"/>
      <scheme val="minor"/>
    </font>
    <font>
      <sz val="9"/>
      <name val="맑은 고딕"/>
      <family val="3"/>
      <charset val="129"/>
    </font>
    <font>
      <b/>
      <sz val="9"/>
      <color rgb="FFFFC000"/>
      <name val="맑은 고딕"/>
      <family val="3"/>
      <charset val="129"/>
    </font>
    <font>
      <sz val="9"/>
      <color rgb="FFFF0000"/>
      <name val="맑은 고딕"/>
      <family val="3"/>
      <charset val="129"/>
    </font>
    <font>
      <sz val="9"/>
      <color theme="1"/>
      <name val="맑은 고딕"/>
      <family val="3"/>
      <charset val="129"/>
    </font>
    <font>
      <sz val="9"/>
      <color theme="0"/>
      <name val="맑은 고딕"/>
      <family val="3"/>
      <charset val="129"/>
    </font>
    <font>
      <sz val="8"/>
      <color rgb="FFC00000"/>
      <name val="맑은 고딕"/>
      <family val="3"/>
      <charset val="129"/>
    </font>
    <font>
      <sz val="11"/>
      <color theme="1"/>
      <name val="맑은 고딕"/>
      <family val="3"/>
      <charset val="129"/>
    </font>
    <font>
      <sz val="9"/>
      <color rgb="FF000000"/>
      <name val="맑은 고딕"/>
      <family val="3"/>
      <charset val="129"/>
    </font>
    <font>
      <sz val="11"/>
      <color theme="0"/>
      <name val="맑은 고딕"/>
      <family val="3"/>
      <charset val="129"/>
    </font>
    <font>
      <b/>
      <sz val="13"/>
      <color rgb="FFFFFFFF"/>
      <name val="맑은 고딕"/>
      <family val="3"/>
      <charset val="129"/>
    </font>
    <font>
      <i/>
      <sz val="9"/>
      <color rgb="FF888888"/>
      <name val="맑은 고딕"/>
      <family val="3"/>
      <charset val="129"/>
    </font>
    <font>
      <b/>
      <sz val="11"/>
      <color rgb="FFFFFFFF"/>
      <name val="맑은 고딕"/>
      <family val="3"/>
      <charset val="129"/>
    </font>
    <font>
      <b/>
      <sz val="9"/>
      <color rgb="FFFFFFFF"/>
      <name val="맑은 고딕"/>
      <family val="3"/>
      <charset val="129"/>
    </font>
    <font>
      <sz val="10"/>
      <name val="맑은 고딕"/>
      <family val="3"/>
      <charset val="129"/>
    </font>
    <font>
      <b/>
      <sz val="10"/>
      <name val="맑은 고딕"/>
      <family val="3"/>
      <charset val="129"/>
    </font>
    <font>
      <b/>
      <sz val="11"/>
      <name val="맑은 고딕"/>
      <family val="3"/>
      <charset val="129"/>
    </font>
    <font>
      <b/>
      <sz val="11"/>
      <name val="맑은 고딕"/>
      <family val="3"/>
      <charset val="129"/>
    </font>
    <font>
      <b/>
      <sz val="10"/>
      <color rgb="FFFFFFFF"/>
      <name val="맑은 고딕"/>
      <family val="3"/>
      <charset val="129"/>
    </font>
  </fonts>
  <fills count="46">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rgb="FFFFC00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7" tint="0.59999389629810485"/>
        <bgColor indexed="64"/>
      </patternFill>
    </fill>
    <fill>
      <patternFill patternType="solid">
        <fgColor rgb="FF92D050"/>
        <bgColor indexed="64"/>
      </patternFill>
    </fill>
    <fill>
      <patternFill patternType="solid">
        <fgColor theme="4"/>
        <bgColor indexed="64"/>
      </patternFill>
    </fill>
    <fill>
      <patternFill patternType="solid">
        <fgColor rgb="FFFF0000"/>
        <bgColor indexed="64"/>
      </patternFill>
    </fill>
    <fill>
      <patternFill patternType="solid">
        <fgColor rgb="FFFFFFCC"/>
        <bgColor indexed="64"/>
      </patternFill>
    </fill>
    <fill>
      <patternFill patternType="solid">
        <fgColor theme="1"/>
        <bgColor indexed="64"/>
      </patternFill>
    </fill>
    <fill>
      <patternFill patternType="solid">
        <fgColor rgb="FFFFFF66"/>
        <bgColor indexed="64"/>
      </patternFill>
    </fill>
    <fill>
      <patternFill patternType="solid">
        <fgColor rgb="FF3333FF"/>
        <bgColor indexed="64"/>
      </patternFill>
    </fill>
    <fill>
      <patternFill patternType="solid">
        <fgColor theme="8"/>
        <bgColor indexed="64"/>
      </patternFill>
    </fill>
    <fill>
      <patternFill patternType="solid">
        <fgColor theme="2" tint="-0.499984740745262"/>
        <bgColor indexed="64"/>
      </patternFill>
    </fill>
    <fill>
      <patternFill patternType="solid">
        <fgColor theme="5" tint="0.79998168889431442"/>
        <bgColor indexed="64"/>
      </patternFill>
    </fill>
    <fill>
      <patternFill patternType="solid">
        <fgColor theme="1" tint="0.34998626667073579"/>
        <bgColor indexed="64"/>
      </patternFill>
    </fill>
    <fill>
      <patternFill patternType="solid">
        <fgColor rgb="FF1F497D"/>
      </patternFill>
    </fill>
    <fill>
      <patternFill patternType="solid">
        <fgColor rgb="FF17375E"/>
      </patternFill>
    </fill>
    <fill>
      <patternFill patternType="solid">
        <fgColor rgb="FF2E75B6"/>
      </patternFill>
    </fill>
    <fill>
      <patternFill patternType="solid">
        <fgColor rgb="FFEEF3FA"/>
      </patternFill>
    </fill>
    <fill>
      <patternFill patternType="solid">
        <fgColor rgb="FFBDD7EE"/>
      </patternFill>
    </fill>
    <fill>
      <patternFill patternType="solid">
        <fgColor rgb="FF843C0C"/>
      </patternFill>
    </fill>
    <fill>
      <patternFill patternType="solid">
        <fgColor rgb="FFC55A11"/>
      </patternFill>
    </fill>
    <fill>
      <patternFill patternType="solid">
        <fgColor rgb="FFFBE4D5"/>
      </patternFill>
    </fill>
    <fill>
      <patternFill patternType="solid">
        <fgColor rgb="FFF4B183"/>
      </patternFill>
    </fill>
    <fill>
      <patternFill patternType="solid">
        <fgColor rgb="FF375623"/>
      </patternFill>
    </fill>
    <fill>
      <patternFill patternType="solid">
        <fgColor rgb="FFE2EFDA"/>
      </patternFill>
    </fill>
    <fill>
      <patternFill patternType="solid">
        <fgColor rgb="FFF2F2F2"/>
      </patternFill>
    </fill>
    <fill>
      <patternFill patternType="solid">
        <fgColor rgb="FF1F4E79"/>
      </patternFill>
    </fill>
    <fill>
      <patternFill patternType="solid">
        <fgColor rgb="FFD9E1F2"/>
      </patternFill>
    </fill>
    <fill>
      <patternFill patternType="solid">
        <fgColor rgb="FFDEEAF1"/>
      </patternFill>
    </fill>
    <fill>
      <patternFill patternType="solid">
        <fgColor rgb="FF9DC3E6"/>
      </patternFill>
    </fill>
    <fill>
      <patternFill patternType="solid">
        <fgColor rgb="FFC6E0B4"/>
      </patternFill>
    </fill>
    <fill>
      <patternFill patternType="solid">
        <fgColor rgb="FFFFF2CC"/>
      </patternFill>
    </fill>
    <fill>
      <patternFill patternType="solid">
        <fgColor rgb="FF548235"/>
      </patternFill>
    </fill>
  </fills>
  <borders count="84">
    <border>
      <left/>
      <right/>
      <top/>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dashed">
        <color auto="1"/>
      </top>
      <bottom/>
      <diagonal/>
    </border>
    <border>
      <left/>
      <right style="thin">
        <color auto="1"/>
      </right>
      <top/>
      <bottom/>
      <diagonal/>
    </border>
    <border>
      <left/>
      <right style="double">
        <color auto="1"/>
      </right>
      <top/>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thin">
        <color auto="1"/>
      </right>
      <top style="medium">
        <color indexed="64"/>
      </top>
      <bottom style="medium">
        <color indexed="64"/>
      </bottom>
      <diagonal/>
    </border>
    <border>
      <left/>
      <right style="double">
        <color auto="1"/>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auto="1"/>
      </bottom>
      <diagonal/>
    </border>
    <border>
      <left/>
      <right style="double">
        <color indexed="64"/>
      </right>
      <top style="thin">
        <color indexed="64"/>
      </top>
      <bottom/>
      <diagonal/>
    </border>
    <border>
      <left/>
      <right style="double">
        <color indexed="64"/>
      </right>
      <top/>
      <bottom style="medium">
        <color auto="1"/>
      </bottom>
      <diagonal/>
    </border>
    <border>
      <left/>
      <right style="double">
        <color indexed="64"/>
      </right>
      <top/>
      <bottom style="thin">
        <color auto="1"/>
      </bottom>
      <diagonal/>
    </border>
    <border>
      <left style="double">
        <color indexed="64"/>
      </left>
      <right/>
      <top/>
      <bottom style="thin">
        <color indexed="64"/>
      </bottom>
      <diagonal/>
    </border>
    <border>
      <left style="double">
        <color indexed="64"/>
      </left>
      <right/>
      <top/>
      <bottom style="double">
        <color indexed="64"/>
      </bottom>
      <diagonal/>
    </border>
    <border>
      <left/>
      <right style="thin">
        <color indexed="64"/>
      </right>
      <top/>
      <bottom style="double">
        <color indexed="64"/>
      </bottom>
      <diagonal/>
    </border>
    <border>
      <left style="double">
        <color auto="1"/>
      </left>
      <right/>
      <top/>
      <bottom/>
      <diagonal/>
    </border>
    <border>
      <left/>
      <right/>
      <top/>
      <bottom style="dotted">
        <color auto="1"/>
      </bottom>
      <diagonal/>
    </border>
    <border>
      <left style="thin">
        <color indexed="64"/>
      </left>
      <right/>
      <top style="medium">
        <color indexed="64"/>
      </top>
      <bottom style="medium">
        <color indexed="64"/>
      </bottom>
      <diagonal/>
    </border>
    <border>
      <left style="double">
        <color auto="1"/>
      </left>
      <right style="double">
        <color auto="1"/>
      </right>
      <top style="medium">
        <color indexed="64"/>
      </top>
      <bottom style="medium">
        <color indexed="64"/>
      </bottom>
      <diagonal/>
    </border>
    <border>
      <left style="double">
        <color auto="1"/>
      </left>
      <right style="double">
        <color auto="1"/>
      </right>
      <top/>
      <bottom/>
      <diagonal/>
    </border>
    <border>
      <left style="thin">
        <color indexed="64"/>
      </left>
      <right style="medium">
        <color indexed="64"/>
      </right>
      <top style="medium">
        <color indexed="64"/>
      </top>
      <bottom style="medium">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n">
        <color auto="1"/>
      </left>
      <right/>
      <top style="thick">
        <color auto="1"/>
      </top>
      <bottom/>
      <diagonal/>
    </border>
    <border>
      <left/>
      <right style="thin">
        <color auto="1"/>
      </right>
      <top style="thick">
        <color auto="1"/>
      </top>
      <bottom/>
      <diagonal/>
    </border>
    <border>
      <left/>
      <right style="double">
        <color auto="1"/>
      </right>
      <top style="thick">
        <color auto="1"/>
      </top>
      <bottom/>
      <diagonal/>
    </border>
    <border>
      <left style="thick">
        <color auto="1"/>
      </left>
      <right style="thin">
        <color indexed="64"/>
      </right>
      <top style="thick">
        <color auto="1"/>
      </top>
      <bottom/>
      <diagonal/>
    </border>
    <border>
      <left style="thick">
        <color auto="1"/>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dashed">
        <color auto="1"/>
      </top>
      <bottom/>
      <diagonal/>
    </border>
    <border>
      <left style="thin">
        <color indexed="64"/>
      </left>
      <right style="double">
        <color auto="1"/>
      </right>
      <top/>
      <bottom/>
      <diagonal/>
    </border>
    <border>
      <left/>
      <right style="double">
        <color auto="1"/>
      </right>
      <top style="dashed">
        <color auto="1"/>
      </top>
      <bottom/>
      <diagonal/>
    </border>
    <border>
      <left/>
      <right style="thin">
        <color auto="1"/>
      </right>
      <top style="dashed">
        <color auto="1"/>
      </top>
      <bottom/>
      <diagonal/>
    </border>
    <border>
      <left style="medium">
        <color indexed="64"/>
      </left>
      <right style="thin">
        <color auto="1"/>
      </right>
      <top style="medium">
        <color indexed="64"/>
      </top>
      <bottom/>
      <diagonal/>
    </border>
    <border>
      <left/>
      <right style="thin">
        <color auto="1"/>
      </right>
      <top style="medium">
        <color indexed="64"/>
      </top>
      <bottom/>
      <diagonal/>
    </border>
    <border>
      <left style="medium">
        <color indexed="64"/>
      </left>
      <right style="thin">
        <color auto="1"/>
      </right>
      <top/>
      <bottom style="medium">
        <color indexed="64"/>
      </bottom>
      <diagonal/>
    </border>
    <border>
      <left/>
      <right style="thin">
        <color auto="1"/>
      </right>
      <top/>
      <bottom style="medium">
        <color indexed="64"/>
      </bottom>
      <diagonal/>
    </border>
    <border>
      <left style="medium">
        <color indexed="64"/>
      </left>
      <right style="thin">
        <color auto="1"/>
      </right>
      <top/>
      <bottom/>
      <diagonal/>
    </border>
    <border>
      <left style="thin">
        <color auto="1"/>
      </left>
      <right style="dotted">
        <color auto="1"/>
      </right>
      <top style="medium">
        <color indexed="64"/>
      </top>
      <bottom/>
      <diagonal/>
    </border>
    <border>
      <left style="dotted">
        <color auto="1"/>
      </left>
      <right style="dotted">
        <color auto="1"/>
      </right>
      <top style="medium">
        <color indexed="64"/>
      </top>
      <bottom/>
      <diagonal/>
    </border>
    <border>
      <left style="dotted">
        <color auto="1"/>
      </left>
      <right style="medium">
        <color indexed="64"/>
      </right>
      <top style="medium">
        <color indexed="64"/>
      </top>
      <bottom/>
      <diagonal/>
    </border>
    <border>
      <left style="thin">
        <color auto="1"/>
      </left>
      <right style="dotted">
        <color auto="1"/>
      </right>
      <top/>
      <bottom style="medium">
        <color indexed="64"/>
      </bottom>
      <diagonal/>
    </border>
    <border>
      <left style="dotted">
        <color auto="1"/>
      </left>
      <right style="dotted">
        <color auto="1"/>
      </right>
      <top/>
      <bottom style="medium">
        <color indexed="64"/>
      </bottom>
      <diagonal/>
    </border>
    <border>
      <left style="dotted">
        <color auto="1"/>
      </left>
      <right style="medium">
        <color indexed="64"/>
      </right>
      <top/>
      <bottom style="medium">
        <color indexed="64"/>
      </bottom>
      <diagonal/>
    </border>
    <border>
      <left style="thin">
        <color auto="1"/>
      </left>
      <right style="dotted">
        <color auto="1"/>
      </right>
      <top/>
      <bottom/>
      <diagonal/>
    </border>
    <border>
      <left style="dotted">
        <color auto="1"/>
      </left>
      <right style="dotted">
        <color auto="1"/>
      </right>
      <top/>
      <bottom/>
      <diagonal/>
    </border>
    <border>
      <left style="dotted">
        <color auto="1"/>
      </left>
      <right style="medium">
        <color indexed="64"/>
      </right>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medium">
        <color rgb="FFD8D8D8"/>
      </right>
      <top/>
      <bottom style="medium">
        <color rgb="FFD8D8D8"/>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8">
    <xf numFmtId="0" fontId="0" fillId="0" borderId="0">
      <alignment vertical="center"/>
    </xf>
    <xf numFmtId="9" fontId="10" fillId="0" borderId="0">
      <alignment vertical="center"/>
    </xf>
    <xf numFmtId="0" fontId="3" fillId="0" borderId="0">
      <alignment vertical="center"/>
    </xf>
    <xf numFmtId="0" fontId="4" fillId="0" borderId="0">
      <alignment vertical="center"/>
    </xf>
    <xf numFmtId="0" fontId="22" fillId="0" borderId="0">
      <alignment vertical="center"/>
    </xf>
    <xf numFmtId="0" fontId="4" fillId="0" borderId="0">
      <alignment vertical="center"/>
    </xf>
    <xf numFmtId="41" fontId="10" fillId="0" borderId="0">
      <alignment vertical="center"/>
    </xf>
    <xf numFmtId="0" fontId="4" fillId="0" borderId="0">
      <alignment vertical="center"/>
    </xf>
  </cellStyleXfs>
  <cellXfs count="455">
    <xf numFmtId="0" fontId="0" fillId="0" borderId="0" xfId="0">
      <alignment vertical="center"/>
    </xf>
    <xf numFmtId="14" fontId="0" fillId="0" borderId="0" xfId="0" applyNumberFormat="1">
      <alignment vertical="center"/>
    </xf>
    <xf numFmtId="176" fontId="0" fillId="0" borderId="0" xfId="0" applyNumberFormat="1">
      <alignment vertical="center"/>
    </xf>
    <xf numFmtId="0" fontId="11" fillId="2" borderId="2" xfId="0" applyFont="1" applyFill="1" applyBorder="1">
      <alignment vertical="center"/>
    </xf>
    <xf numFmtId="176" fontId="11" fillId="2" borderId="2" xfId="0" applyNumberFormat="1" applyFont="1" applyFill="1" applyBorder="1">
      <alignment vertical="center"/>
    </xf>
    <xf numFmtId="176" fontId="11" fillId="2" borderId="3" xfId="0" applyNumberFormat="1" applyFont="1" applyFill="1" applyBorder="1">
      <alignment vertical="center"/>
    </xf>
    <xf numFmtId="0" fontId="11" fillId="0" borderId="0" xfId="0" applyFont="1">
      <alignment vertical="center"/>
    </xf>
    <xf numFmtId="176" fontId="11" fillId="0" borderId="0" xfId="0" applyNumberFormat="1" applyFont="1">
      <alignment vertical="center"/>
    </xf>
    <xf numFmtId="14" fontId="11" fillId="0" borderId="0" xfId="0" applyNumberFormat="1" applyFont="1">
      <alignment vertical="center"/>
    </xf>
    <xf numFmtId="177" fontId="11" fillId="0" borderId="0" xfId="1" applyNumberFormat="1" applyFont="1">
      <alignment vertical="center"/>
    </xf>
    <xf numFmtId="0" fontId="0" fillId="4" borderId="0" xfId="0" applyFill="1">
      <alignment vertical="center"/>
    </xf>
    <xf numFmtId="0" fontId="11" fillId="4" borderId="0" xfId="0" applyFont="1" applyFill="1">
      <alignment vertical="center"/>
    </xf>
    <xf numFmtId="176" fontId="11" fillId="4" borderId="0" xfId="0" applyNumberFormat="1" applyFont="1" applyFill="1">
      <alignment vertical="center"/>
    </xf>
    <xf numFmtId="14" fontId="11" fillId="4" borderId="0" xfId="0" applyNumberFormat="1" applyFont="1" applyFill="1">
      <alignment vertical="center"/>
    </xf>
    <xf numFmtId="178" fontId="11" fillId="4" borderId="0" xfId="0" applyNumberFormat="1" applyFont="1" applyFill="1">
      <alignment vertical="center"/>
    </xf>
    <xf numFmtId="0" fontId="9" fillId="0" borderId="0" xfId="0" applyFont="1">
      <alignment vertical="center"/>
    </xf>
    <xf numFmtId="178" fontId="0" fillId="0" borderId="0" xfId="0" applyNumberFormat="1">
      <alignment vertical="center"/>
    </xf>
    <xf numFmtId="10" fontId="0" fillId="0" borderId="0" xfId="0" applyNumberFormat="1">
      <alignment vertical="center"/>
    </xf>
    <xf numFmtId="0" fontId="6" fillId="0" borderId="0" xfId="0" applyFont="1">
      <alignment vertical="center"/>
    </xf>
    <xf numFmtId="0" fontId="6" fillId="5" borderId="0" xfId="0" applyFont="1" applyFill="1" applyAlignment="1">
      <alignment horizontal="center" vertical="center"/>
    </xf>
    <xf numFmtId="178" fontId="6" fillId="0" borderId="0" xfId="0" applyNumberFormat="1" applyFont="1">
      <alignment vertical="center"/>
    </xf>
    <xf numFmtId="10" fontId="6" fillId="0" borderId="0" xfId="1" applyNumberFormat="1" applyFont="1">
      <alignment vertical="center"/>
    </xf>
    <xf numFmtId="9" fontId="0" fillId="0" borderId="0" xfId="0" applyNumberFormat="1">
      <alignment vertical="center"/>
    </xf>
    <xf numFmtId="178" fontId="11" fillId="0" borderId="0" xfId="0" applyNumberFormat="1" applyFont="1">
      <alignment vertical="center"/>
    </xf>
    <xf numFmtId="9" fontId="11" fillId="0" borderId="0" xfId="0" applyNumberFormat="1" applyFont="1">
      <alignment vertical="center"/>
    </xf>
    <xf numFmtId="176" fontId="5" fillId="0" borderId="0" xfId="0" applyNumberFormat="1" applyFont="1">
      <alignment vertical="center"/>
    </xf>
    <xf numFmtId="38" fontId="0" fillId="0" borderId="0" xfId="0" applyNumberFormat="1">
      <alignment vertical="center"/>
    </xf>
    <xf numFmtId="176" fontId="11" fillId="0" borderId="4" xfId="0" applyNumberFormat="1" applyFont="1" applyBorder="1">
      <alignment vertical="center"/>
    </xf>
    <xf numFmtId="14" fontId="11" fillId="0" borderId="4" xfId="0" applyNumberFormat="1" applyFont="1" applyBorder="1">
      <alignment vertical="center"/>
    </xf>
    <xf numFmtId="0" fontId="11" fillId="0" borderId="4" xfId="0" applyFont="1" applyBorder="1">
      <alignment vertical="center"/>
    </xf>
    <xf numFmtId="179" fontId="11" fillId="0" borderId="0" xfId="0" applyNumberFormat="1" applyFont="1">
      <alignment vertical="center"/>
    </xf>
    <xf numFmtId="180" fontId="0" fillId="0" borderId="0" xfId="0" applyNumberFormat="1">
      <alignment vertical="center"/>
    </xf>
    <xf numFmtId="181" fontId="0" fillId="0" borderId="0" xfId="0" applyNumberFormat="1">
      <alignment vertical="center"/>
    </xf>
    <xf numFmtId="0" fontId="8" fillId="0" borderId="0" xfId="0" applyFont="1">
      <alignment vertical="center"/>
    </xf>
    <xf numFmtId="178" fontId="8" fillId="0" borderId="0" xfId="0" applyNumberFormat="1" applyFont="1">
      <alignment vertical="center"/>
    </xf>
    <xf numFmtId="14" fontId="8" fillId="0" borderId="0" xfId="0" applyNumberFormat="1" applyFont="1">
      <alignment vertical="center"/>
    </xf>
    <xf numFmtId="176" fontId="8" fillId="0" borderId="0" xfId="0" applyNumberFormat="1" applyFont="1">
      <alignment vertical="center"/>
    </xf>
    <xf numFmtId="14" fontId="8" fillId="0" borderId="5" xfId="0" applyNumberFormat="1" applyFont="1" applyBorder="1">
      <alignment vertical="center"/>
    </xf>
    <xf numFmtId="0" fontId="8" fillId="0" borderId="3" xfId="0" applyFont="1" applyBorder="1">
      <alignment vertical="center"/>
    </xf>
    <xf numFmtId="178" fontId="8" fillId="0" borderId="5" xfId="0" applyNumberFormat="1" applyFont="1" applyBorder="1">
      <alignment vertical="center"/>
    </xf>
    <xf numFmtId="178" fontId="8" fillId="0" borderId="6" xfId="0" applyNumberFormat="1" applyFont="1" applyBorder="1">
      <alignment vertical="center"/>
    </xf>
    <xf numFmtId="176" fontId="7" fillId="8" borderId="0" xfId="0" applyNumberFormat="1" applyFont="1" applyFill="1">
      <alignment vertical="center"/>
    </xf>
    <xf numFmtId="0" fontId="7" fillId="7" borderId="7" xfId="0" applyFont="1" applyFill="1" applyBorder="1" applyAlignment="1">
      <alignment horizontal="center" vertical="center"/>
    </xf>
    <xf numFmtId="0" fontId="7" fillId="7" borderId="8" xfId="0" applyFont="1" applyFill="1" applyBorder="1" applyAlignment="1">
      <alignment horizontal="center" vertical="center"/>
    </xf>
    <xf numFmtId="0" fontId="7" fillId="7" borderId="9" xfId="0" applyFont="1" applyFill="1" applyBorder="1" applyAlignment="1">
      <alignment horizontal="center" vertical="center"/>
    </xf>
    <xf numFmtId="0" fontId="7" fillId="7" borderId="10" xfId="0" applyFont="1" applyFill="1" applyBorder="1" applyAlignment="1">
      <alignment horizontal="center" vertical="center"/>
    </xf>
    <xf numFmtId="0" fontId="7" fillId="7" borderId="11" xfId="0" applyFont="1" applyFill="1" applyBorder="1" applyAlignment="1">
      <alignment horizontal="center" vertical="center"/>
    </xf>
    <xf numFmtId="0" fontId="0" fillId="0" borderId="12" xfId="0" applyBorder="1">
      <alignment vertical="center"/>
    </xf>
    <xf numFmtId="0" fontId="12" fillId="0" borderId="12" xfId="0" applyFont="1" applyBorder="1" applyAlignment="1">
      <alignment horizontal="right" vertical="center"/>
    </xf>
    <xf numFmtId="0" fontId="12" fillId="0" borderId="0" xfId="0" applyFont="1" applyAlignment="1">
      <alignment horizontal="righ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5" xfId="0" applyBorder="1">
      <alignment vertical="center"/>
    </xf>
    <xf numFmtId="0" fontId="0" fillId="0" borderId="17" xfId="0" applyBorder="1">
      <alignment vertical="center"/>
    </xf>
    <xf numFmtId="0" fontId="0" fillId="0" borderId="1" xfId="0" applyBorder="1">
      <alignment vertical="center"/>
    </xf>
    <xf numFmtId="178" fontId="0" fillId="0" borderId="1" xfId="0" applyNumberFormat="1" applyBorder="1">
      <alignment vertical="center"/>
    </xf>
    <xf numFmtId="178" fontId="0" fillId="0" borderId="5" xfId="0" applyNumberFormat="1" applyBorder="1">
      <alignment vertical="center"/>
    </xf>
    <xf numFmtId="177" fontId="0" fillId="0" borderId="1" xfId="1" applyNumberFormat="1" applyFont="1" applyBorder="1">
      <alignment vertical="center"/>
    </xf>
    <xf numFmtId="177" fontId="0" fillId="0" borderId="18" xfId="1" applyNumberFormat="1" applyFont="1" applyBorder="1">
      <alignment vertical="center"/>
    </xf>
    <xf numFmtId="0" fontId="0" fillId="0" borderId="19" xfId="0" applyBorder="1">
      <alignment vertical="center"/>
    </xf>
    <xf numFmtId="178" fontId="0" fillId="0" borderId="19" xfId="0" applyNumberFormat="1" applyBorder="1">
      <alignment vertical="center"/>
    </xf>
    <xf numFmtId="0" fontId="13" fillId="0" borderId="0" xfId="3" applyFont="1">
      <alignment vertical="center"/>
    </xf>
    <xf numFmtId="4" fontId="13" fillId="0" borderId="0" xfId="3" applyNumberFormat="1" applyFont="1">
      <alignment vertical="center"/>
    </xf>
    <xf numFmtId="14" fontId="13" fillId="0" borderId="0" xfId="3" applyNumberFormat="1" applyFont="1">
      <alignment vertical="center"/>
    </xf>
    <xf numFmtId="179" fontId="13" fillId="0" borderId="0" xfId="3" applyNumberFormat="1" applyFont="1">
      <alignment vertical="center"/>
    </xf>
    <xf numFmtId="179" fontId="13" fillId="9" borderId="0" xfId="3" applyNumberFormat="1" applyFont="1" applyFill="1">
      <alignment vertical="center"/>
    </xf>
    <xf numFmtId="179" fontId="11" fillId="9" borderId="0" xfId="0" applyNumberFormat="1" applyFont="1" applyFill="1">
      <alignment vertical="center"/>
    </xf>
    <xf numFmtId="176" fontId="13" fillId="0" borderId="0" xfId="3" applyNumberFormat="1" applyFont="1">
      <alignment vertical="center"/>
    </xf>
    <xf numFmtId="177" fontId="8" fillId="0" borderId="5" xfId="1" applyNumberFormat="1" applyFont="1" applyBorder="1">
      <alignment vertical="center"/>
    </xf>
    <xf numFmtId="10" fontId="0" fillId="0" borderId="0" xfId="1" applyNumberFormat="1" applyFont="1">
      <alignment vertical="center"/>
    </xf>
    <xf numFmtId="0" fontId="6" fillId="10" borderId="0" xfId="0" applyFont="1" applyFill="1" applyAlignment="1">
      <alignment horizontal="center" vertical="center"/>
    </xf>
    <xf numFmtId="49" fontId="0" fillId="0" borderId="0" xfId="0" applyNumberFormat="1">
      <alignment vertical="center"/>
    </xf>
    <xf numFmtId="49" fontId="0" fillId="0" borderId="14" xfId="0" applyNumberFormat="1" applyBorder="1">
      <alignment vertical="center"/>
    </xf>
    <xf numFmtId="178" fontId="0" fillId="0" borderId="15" xfId="0" applyNumberFormat="1" applyBorder="1">
      <alignment vertical="center"/>
    </xf>
    <xf numFmtId="0" fontId="0" fillId="6" borderId="1" xfId="0" applyFill="1" applyBorder="1">
      <alignment vertical="center"/>
    </xf>
    <xf numFmtId="178" fontId="0" fillId="6" borderId="18" xfId="0" applyNumberFormat="1" applyFill="1" applyBorder="1">
      <alignment vertical="center"/>
    </xf>
    <xf numFmtId="0" fontId="0" fillId="0" borderId="20" xfId="0" applyBorder="1">
      <alignment vertical="center"/>
    </xf>
    <xf numFmtId="0" fontId="12" fillId="0" borderId="21" xfId="0" applyFont="1" applyBorder="1" applyAlignment="1">
      <alignment horizontal="right" vertical="center"/>
    </xf>
    <xf numFmtId="178" fontId="0" fillId="0" borderId="6" xfId="0" applyNumberFormat="1" applyBorder="1">
      <alignment vertical="center"/>
    </xf>
    <xf numFmtId="0" fontId="0" fillId="0" borderId="6" xfId="0" applyBorder="1">
      <alignment vertical="center"/>
    </xf>
    <xf numFmtId="178" fontId="0" fillId="0" borderId="22" xfId="0" applyNumberFormat="1" applyBorder="1">
      <alignment vertical="center"/>
    </xf>
    <xf numFmtId="0" fontId="0" fillId="0" borderId="23" xfId="0" applyBorder="1">
      <alignment vertical="center"/>
    </xf>
    <xf numFmtId="0" fontId="0" fillId="0" borderId="18" xfId="0" applyBorder="1">
      <alignment vertical="center"/>
    </xf>
    <xf numFmtId="0" fontId="0" fillId="0" borderId="24" xfId="0" applyBorder="1">
      <alignment vertical="center"/>
    </xf>
    <xf numFmtId="0" fontId="0" fillId="0" borderId="25" xfId="0" applyBorder="1">
      <alignment vertical="center"/>
    </xf>
    <xf numFmtId="49" fontId="0" fillId="0" borderId="26" xfId="0" applyNumberFormat="1" applyBorder="1">
      <alignment vertical="center"/>
    </xf>
    <xf numFmtId="178" fontId="15" fillId="0" borderId="0" xfId="0" applyNumberFormat="1" applyFont="1">
      <alignment vertical="center"/>
    </xf>
    <xf numFmtId="178" fontId="16" fillId="0" borderId="0" xfId="0" applyNumberFormat="1" applyFont="1">
      <alignment vertical="center"/>
    </xf>
    <xf numFmtId="0" fontId="8" fillId="2" borderId="3" xfId="0" applyFont="1" applyFill="1" applyBorder="1">
      <alignment vertical="center"/>
    </xf>
    <xf numFmtId="178" fontId="8" fillId="2" borderId="0" xfId="0" applyNumberFormat="1" applyFont="1" applyFill="1">
      <alignment vertical="center"/>
    </xf>
    <xf numFmtId="176" fontId="8" fillId="2" borderId="0" xfId="0" applyNumberFormat="1" applyFont="1" applyFill="1">
      <alignment vertical="center"/>
    </xf>
    <xf numFmtId="182" fontId="11" fillId="0" borderId="0" xfId="0" applyNumberFormat="1" applyFont="1">
      <alignment vertical="center"/>
    </xf>
    <xf numFmtId="180" fontId="8" fillId="2" borderId="0" xfId="0" applyNumberFormat="1" applyFont="1" applyFill="1">
      <alignment vertical="center"/>
    </xf>
    <xf numFmtId="180" fontId="8" fillId="0" borderId="0" xfId="0" applyNumberFormat="1" applyFont="1">
      <alignment vertical="center"/>
    </xf>
    <xf numFmtId="0" fontId="17" fillId="0" borderId="0" xfId="0" applyFont="1">
      <alignment vertical="center"/>
    </xf>
    <xf numFmtId="0" fontId="18" fillId="0" borderId="0" xfId="0" applyFont="1">
      <alignment vertical="center"/>
    </xf>
    <xf numFmtId="0" fontId="19" fillId="0" borderId="0" xfId="0" applyFont="1">
      <alignment vertical="center"/>
    </xf>
    <xf numFmtId="176" fontId="8" fillId="0" borderId="5" xfId="0" applyNumberFormat="1" applyFont="1" applyBorder="1">
      <alignment vertical="center"/>
    </xf>
    <xf numFmtId="14" fontId="8" fillId="0" borderId="6" xfId="0" applyNumberFormat="1" applyFont="1" applyBorder="1">
      <alignment vertical="center"/>
    </xf>
    <xf numFmtId="0" fontId="7" fillId="7" borderId="28" xfId="0" applyFont="1" applyFill="1" applyBorder="1" applyAlignment="1">
      <alignment horizontal="center" vertical="center"/>
    </xf>
    <xf numFmtId="178" fontId="8" fillId="0" borderId="16" xfId="0" applyNumberFormat="1" applyFont="1" applyBorder="1">
      <alignment vertical="center"/>
    </xf>
    <xf numFmtId="0" fontId="7" fillId="0" borderId="0" xfId="0" applyFont="1" applyAlignment="1">
      <alignment horizontal="center" vertical="center"/>
    </xf>
    <xf numFmtId="176" fontId="7" fillId="0" borderId="0" xfId="0" applyNumberFormat="1" applyFont="1">
      <alignment vertical="center"/>
    </xf>
    <xf numFmtId="177" fontId="8" fillId="0" borderId="0" xfId="1" applyNumberFormat="1" applyFont="1">
      <alignment vertical="center"/>
    </xf>
    <xf numFmtId="0" fontId="7" fillId="7" borderId="29" xfId="0" applyFont="1" applyFill="1" applyBorder="1" applyAlignment="1">
      <alignment horizontal="center" vertical="center"/>
    </xf>
    <xf numFmtId="178" fontId="8" fillId="0" borderId="30" xfId="0" applyNumberFormat="1" applyFont="1" applyBorder="1">
      <alignment vertical="center"/>
    </xf>
    <xf numFmtId="183" fontId="0" fillId="0" borderId="0" xfId="0" applyNumberFormat="1">
      <alignment vertical="center"/>
    </xf>
    <xf numFmtId="14" fontId="8" fillId="0" borderId="3" xfId="0" applyNumberFormat="1" applyFont="1" applyBorder="1">
      <alignment vertical="center"/>
    </xf>
    <xf numFmtId="14" fontId="0" fillId="0" borderId="35" xfId="0" applyNumberFormat="1" applyBorder="1">
      <alignment vertical="center"/>
    </xf>
    <xf numFmtId="176" fontId="0" fillId="0" borderId="16" xfId="0" applyNumberFormat="1" applyBorder="1">
      <alignment vertical="center"/>
    </xf>
    <xf numFmtId="176" fontId="0" fillId="0" borderId="5" xfId="0" applyNumberFormat="1" applyBorder="1">
      <alignment vertical="center"/>
    </xf>
    <xf numFmtId="176" fontId="0" fillId="0" borderId="6" xfId="0" applyNumberFormat="1" applyBorder="1">
      <alignment vertical="center"/>
    </xf>
    <xf numFmtId="0" fontId="0" fillId="6" borderId="32" xfId="0" applyFill="1" applyBorder="1">
      <alignment vertical="center"/>
    </xf>
    <xf numFmtId="0" fontId="0" fillId="6" borderId="33" xfId="0" applyFill="1" applyBorder="1">
      <alignment vertical="center"/>
    </xf>
    <xf numFmtId="0" fontId="0" fillId="6" borderId="37" xfId="0" applyFill="1" applyBorder="1">
      <alignment vertical="center"/>
    </xf>
    <xf numFmtId="0" fontId="0" fillId="6" borderId="38" xfId="0" applyFill="1" applyBorder="1">
      <alignment vertical="center"/>
    </xf>
    <xf numFmtId="0" fontId="0" fillId="6" borderId="39" xfId="0" applyFill="1" applyBorder="1">
      <alignment vertical="center"/>
    </xf>
    <xf numFmtId="0" fontId="0" fillId="6" borderId="34" xfId="0" applyFill="1" applyBorder="1">
      <alignment vertical="center"/>
    </xf>
    <xf numFmtId="0" fontId="0" fillId="6" borderId="40" xfId="0" applyFill="1" applyBorder="1">
      <alignment vertical="center"/>
    </xf>
    <xf numFmtId="176" fontId="20" fillId="0" borderId="36" xfId="0" applyNumberFormat="1" applyFont="1" applyBorder="1">
      <alignment vertical="center"/>
    </xf>
    <xf numFmtId="176" fontId="21" fillId="0" borderId="0" xfId="0" applyNumberFormat="1" applyFont="1">
      <alignment vertical="center"/>
    </xf>
    <xf numFmtId="176" fontId="21" fillId="0" borderId="41" xfId="0" applyNumberFormat="1" applyFont="1" applyBorder="1">
      <alignment vertical="center"/>
    </xf>
    <xf numFmtId="178" fontId="0" fillId="0" borderId="18" xfId="0" applyNumberFormat="1" applyBorder="1">
      <alignment vertical="center"/>
    </xf>
    <xf numFmtId="0" fontId="0" fillId="0" borderId="42" xfId="0" applyBorder="1">
      <alignment vertical="center"/>
    </xf>
    <xf numFmtId="0" fontId="0" fillId="0" borderId="45" xfId="0" applyBorder="1">
      <alignment vertical="center"/>
    </xf>
    <xf numFmtId="0" fontId="0" fillId="0" borderId="47" xfId="0" applyBorder="1">
      <alignment vertical="center"/>
    </xf>
    <xf numFmtId="0" fontId="22" fillId="0" borderId="0" xfId="4">
      <alignment vertical="center"/>
    </xf>
    <xf numFmtId="176" fontId="22" fillId="0" borderId="0" xfId="4" applyNumberFormat="1">
      <alignment vertical="center"/>
    </xf>
    <xf numFmtId="176" fontId="22" fillId="0" borderId="0" xfId="4" applyNumberFormat="1" applyAlignment="1">
      <alignment horizontal="right" vertical="center"/>
    </xf>
    <xf numFmtId="178" fontId="22" fillId="0" borderId="0" xfId="4" applyNumberFormat="1">
      <alignment vertical="center"/>
    </xf>
    <xf numFmtId="178" fontId="23" fillId="0" borderId="0" xfId="4" applyNumberFormat="1" applyFont="1">
      <alignment vertical="center"/>
    </xf>
    <xf numFmtId="0" fontId="23" fillId="0" borderId="0" xfId="4" applyFont="1">
      <alignment vertical="center"/>
    </xf>
    <xf numFmtId="178" fontId="22" fillId="0" borderId="2" xfId="4" applyNumberFormat="1" applyBorder="1">
      <alignment vertical="center"/>
    </xf>
    <xf numFmtId="0" fontId="22" fillId="0" borderId="2" xfId="4" applyBorder="1">
      <alignment vertical="center"/>
    </xf>
    <xf numFmtId="178" fontId="22" fillId="0" borderId="49" xfId="4" applyNumberFormat="1" applyBorder="1">
      <alignment vertical="center"/>
    </xf>
    <xf numFmtId="0" fontId="22" fillId="0" borderId="49" xfId="4" applyBorder="1">
      <alignment vertical="center"/>
    </xf>
    <xf numFmtId="178" fontId="22" fillId="0" borderId="31" xfId="4" applyNumberFormat="1" applyBorder="1">
      <alignment vertical="center"/>
    </xf>
    <xf numFmtId="0" fontId="22" fillId="0" borderId="7" xfId="4" applyBorder="1">
      <alignment vertical="center"/>
    </xf>
    <xf numFmtId="10" fontId="22" fillId="0" borderId="0" xfId="4" applyNumberFormat="1">
      <alignment vertical="center"/>
    </xf>
    <xf numFmtId="10" fontId="22" fillId="0" borderId="2" xfId="4" applyNumberFormat="1" applyBorder="1">
      <alignment vertical="center"/>
    </xf>
    <xf numFmtId="178" fontId="22" fillId="0" borderId="22" xfId="4" applyNumberFormat="1" applyBorder="1">
      <alignment vertical="center"/>
    </xf>
    <xf numFmtId="0" fontId="22" fillId="0" borderId="1" xfId="4" applyBorder="1">
      <alignment vertical="center"/>
    </xf>
    <xf numFmtId="178" fontId="22" fillId="0" borderId="1" xfId="4" applyNumberFormat="1" applyBorder="1">
      <alignment vertical="center"/>
    </xf>
    <xf numFmtId="0" fontId="22" fillId="0" borderId="17" xfId="4" applyBorder="1">
      <alignment vertical="center"/>
    </xf>
    <xf numFmtId="178" fontId="22" fillId="0" borderId="6" xfId="4" applyNumberFormat="1" applyBorder="1">
      <alignment vertical="center"/>
    </xf>
    <xf numFmtId="0" fontId="22" fillId="0" borderId="16" xfId="4" applyBorder="1">
      <alignment vertical="center"/>
    </xf>
    <xf numFmtId="178" fontId="22" fillId="0" borderId="18" xfId="4" applyNumberFormat="1" applyBorder="1">
      <alignment vertical="center"/>
    </xf>
    <xf numFmtId="178" fontId="22" fillId="0" borderId="15" xfId="4" applyNumberFormat="1" applyBorder="1">
      <alignment vertical="center"/>
    </xf>
    <xf numFmtId="0" fontId="22" fillId="0" borderId="13" xfId="4" applyBorder="1">
      <alignment vertical="center"/>
    </xf>
    <xf numFmtId="0" fontId="22" fillId="0" borderId="6" xfId="4" applyBorder="1">
      <alignment vertical="center"/>
    </xf>
    <xf numFmtId="0" fontId="12" fillId="0" borderId="21" xfId="4" applyFont="1" applyBorder="1" applyAlignment="1">
      <alignment horizontal="right" vertical="center"/>
    </xf>
    <xf numFmtId="0" fontId="22" fillId="0" borderId="12" xfId="4" applyBorder="1">
      <alignment vertical="center"/>
    </xf>
    <xf numFmtId="0" fontId="22" fillId="0" borderId="20" xfId="4" applyBorder="1">
      <alignment vertical="center"/>
    </xf>
    <xf numFmtId="0" fontId="22" fillId="0" borderId="14" xfId="4" applyBorder="1">
      <alignment vertical="center"/>
    </xf>
    <xf numFmtId="178" fontId="22" fillId="11" borderId="0" xfId="4" applyNumberFormat="1" applyFill="1">
      <alignment vertical="center"/>
    </xf>
    <xf numFmtId="178" fontId="22" fillId="12" borderId="0" xfId="4" applyNumberFormat="1" applyFill="1">
      <alignment vertical="center"/>
    </xf>
    <xf numFmtId="184" fontId="0" fillId="0" borderId="0" xfId="0" applyNumberFormat="1">
      <alignment vertical="center"/>
    </xf>
    <xf numFmtId="185" fontId="0" fillId="0" borderId="0" xfId="0" applyNumberFormat="1">
      <alignment vertical="center"/>
    </xf>
    <xf numFmtId="186" fontId="0" fillId="0" borderId="0" xfId="0" applyNumberFormat="1">
      <alignment vertical="center"/>
    </xf>
    <xf numFmtId="9" fontId="0" fillId="0" borderId="0" xfId="1" applyFont="1">
      <alignment vertical="center"/>
    </xf>
    <xf numFmtId="176" fontId="0" fillId="0" borderId="43" xfId="0" applyNumberFormat="1" applyBorder="1">
      <alignment vertical="center"/>
    </xf>
    <xf numFmtId="176" fontId="0" fillId="0" borderId="44" xfId="0" applyNumberFormat="1" applyBorder="1">
      <alignment vertical="center"/>
    </xf>
    <xf numFmtId="176" fontId="0" fillId="0" borderId="46" xfId="0" applyNumberFormat="1" applyBorder="1">
      <alignment vertical="center"/>
    </xf>
    <xf numFmtId="176" fontId="0" fillId="0" borderId="12" xfId="0" applyNumberFormat="1" applyBorder="1">
      <alignment vertical="center"/>
    </xf>
    <xf numFmtId="176" fontId="0" fillId="0" borderId="48" xfId="0" applyNumberFormat="1" applyBorder="1">
      <alignment vertical="center"/>
    </xf>
    <xf numFmtId="176" fontId="16" fillId="0" borderId="0" xfId="0" applyNumberFormat="1" applyFont="1">
      <alignment vertical="center"/>
    </xf>
    <xf numFmtId="0" fontId="0" fillId="6" borderId="0" xfId="0" applyFill="1">
      <alignment vertical="center"/>
    </xf>
    <xf numFmtId="0" fontId="0" fillId="6" borderId="2" xfId="0" applyFill="1" applyBorder="1">
      <alignment vertical="center"/>
    </xf>
    <xf numFmtId="176" fontId="0" fillId="0" borderId="2" xfId="0" applyNumberFormat="1" applyBorder="1">
      <alignment vertical="center"/>
    </xf>
    <xf numFmtId="0" fontId="0" fillId="6" borderId="53" xfId="0" applyFill="1" applyBorder="1">
      <alignment vertical="center"/>
    </xf>
    <xf numFmtId="0" fontId="0" fillId="6" borderId="54" xfId="0" applyFill="1" applyBorder="1">
      <alignment vertical="center"/>
    </xf>
    <xf numFmtId="176" fontId="0" fillId="0" borderId="53" xfId="0" applyNumberFormat="1" applyBorder="1">
      <alignment vertical="center"/>
    </xf>
    <xf numFmtId="10" fontId="0" fillId="0" borderId="54" xfId="1" applyNumberFormat="1" applyFont="1" applyBorder="1">
      <alignment vertical="center"/>
    </xf>
    <xf numFmtId="176" fontId="0" fillId="0" borderId="55" xfId="0" applyNumberFormat="1" applyBorder="1">
      <alignment vertical="center"/>
    </xf>
    <xf numFmtId="176" fontId="0" fillId="0" borderId="56" xfId="0" applyNumberFormat="1" applyBorder="1">
      <alignment vertical="center"/>
    </xf>
    <xf numFmtId="10" fontId="0" fillId="0" borderId="57" xfId="1" applyNumberFormat="1" applyFont="1" applyBorder="1">
      <alignment vertical="center"/>
    </xf>
    <xf numFmtId="187" fontId="0" fillId="0" borderId="0" xfId="0" applyNumberFormat="1">
      <alignment vertical="center"/>
    </xf>
    <xf numFmtId="49" fontId="24" fillId="0" borderId="0" xfId="5" applyNumberFormat="1" applyFont="1" applyAlignment="1">
      <alignment horizontal="center" vertical="center"/>
    </xf>
    <xf numFmtId="49" fontId="25" fillId="0" borderId="0" xfId="5" applyNumberFormat="1" applyFont="1" applyAlignment="1">
      <alignment horizontal="left" vertical="center"/>
    </xf>
    <xf numFmtId="188" fontId="25" fillId="0" borderId="0" xfId="5" applyNumberFormat="1" applyFont="1" applyAlignment="1">
      <alignment horizontal="right" vertical="center"/>
    </xf>
    <xf numFmtId="0" fontId="24" fillId="0" borderId="0" xfId="5" applyFont="1" applyAlignment="1">
      <alignment horizontal="center" vertical="center"/>
    </xf>
    <xf numFmtId="0" fontId="25" fillId="0" borderId="0" xfId="5" applyFont="1" applyAlignment="1">
      <alignment horizontal="center" vertical="center"/>
    </xf>
    <xf numFmtId="10" fontId="8" fillId="0" borderId="0" xfId="0" applyNumberFormat="1" applyFont="1">
      <alignment vertical="center"/>
    </xf>
    <xf numFmtId="41" fontId="8" fillId="0" borderId="0" xfId="6" applyFont="1">
      <alignment vertical="center"/>
    </xf>
    <xf numFmtId="189" fontId="8" fillId="0" borderId="0" xfId="0" applyNumberFormat="1" applyFont="1">
      <alignment vertical="center"/>
    </xf>
    <xf numFmtId="0" fontId="11" fillId="2" borderId="58" xfId="0" applyFont="1" applyFill="1" applyBorder="1">
      <alignment vertical="center"/>
    </xf>
    <xf numFmtId="0" fontId="0" fillId="0" borderId="4" xfId="0" applyBorder="1">
      <alignment vertical="center"/>
    </xf>
    <xf numFmtId="176" fontId="11" fillId="2" borderId="5" xfId="0" applyNumberFormat="1" applyFont="1" applyFill="1" applyBorder="1">
      <alignment vertical="center"/>
    </xf>
    <xf numFmtId="176" fontId="11" fillId="2" borderId="60" xfId="0" applyNumberFormat="1" applyFont="1" applyFill="1" applyBorder="1">
      <alignment vertical="center"/>
    </xf>
    <xf numFmtId="176" fontId="11" fillId="0" borderId="6" xfId="0" applyNumberFormat="1" applyFont="1" applyBorder="1">
      <alignment vertical="center"/>
    </xf>
    <xf numFmtId="176" fontId="11" fillId="0" borderId="61" xfId="0" applyNumberFormat="1" applyFont="1" applyBorder="1">
      <alignment vertical="center"/>
    </xf>
    <xf numFmtId="177" fontId="11" fillId="0" borderId="3" xfId="1" applyNumberFormat="1" applyFont="1" applyBorder="1">
      <alignment vertical="center"/>
    </xf>
    <xf numFmtId="177" fontId="11" fillId="0" borderId="59" xfId="1" applyNumberFormat="1" applyFont="1" applyBorder="1">
      <alignment vertical="center"/>
    </xf>
    <xf numFmtId="14" fontId="11" fillId="0" borderId="5" xfId="0" applyNumberFormat="1" applyFont="1" applyBorder="1">
      <alignment vertical="center"/>
    </xf>
    <xf numFmtId="176" fontId="11" fillId="0" borderId="5" xfId="0" applyNumberFormat="1" applyFont="1" applyBorder="1">
      <alignment vertical="center"/>
    </xf>
    <xf numFmtId="0" fontId="8" fillId="2" borderId="2" xfId="0" applyFont="1" applyFill="1" applyBorder="1">
      <alignment vertical="center"/>
    </xf>
    <xf numFmtId="0" fontId="26" fillId="0" borderId="3" xfId="0" applyFont="1" applyBorder="1">
      <alignment vertical="center"/>
    </xf>
    <xf numFmtId="0" fontId="8" fillId="0" borderId="59" xfId="0" applyFont="1" applyBorder="1">
      <alignment vertical="center"/>
    </xf>
    <xf numFmtId="0" fontId="14" fillId="7" borderId="8" xfId="0" applyFont="1" applyFill="1" applyBorder="1" applyAlignment="1">
      <alignment horizontal="center" vertical="center"/>
    </xf>
    <xf numFmtId="0" fontId="11" fillId="2" borderId="0" xfId="0" applyFont="1" applyFill="1">
      <alignment vertical="center"/>
    </xf>
    <xf numFmtId="0" fontId="14" fillId="7" borderId="9" xfId="0" applyFont="1" applyFill="1" applyBorder="1" applyAlignment="1">
      <alignment horizontal="center" vertical="center"/>
    </xf>
    <xf numFmtId="14" fontId="11" fillId="2" borderId="5" xfId="0" applyNumberFormat="1" applyFont="1" applyFill="1" applyBorder="1">
      <alignment vertical="center"/>
    </xf>
    <xf numFmtId="14" fontId="11" fillId="2" borderId="0" xfId="0" applyNumberFormat="1" applyFont="1" applyFill="1">
      <alignment vertical="center"/>
    </xf>
    <xf numFmtId="180" fontId="11" fillId="2" borderId="5" xfId="0" applyNumberFormat="1" applyFont="1" applyFill="1" applyBorder="1">
      <alignment vertical="center"/>
    </xf>
    <xf numFmtId="178" fontId="11" fillId="0" borderId="5" xfId="0" applyNumberFormat="1" applyFont="1" applyBorder="1">
      <alignment vertical="center"/>
    </xf>
    <xf numFmtId="0" fontId="14" fillId="7" borderId="10" xfId="0" applyFont="1" applyFill="1" applyBorder="1" applyAlignment="1">
      <alignment horizontal="center" vertical="center"/>
    </xf>
    <xf numFmtId="178" fontId="11" fillId="2" borderId="6" xfId="0" applyNumberFormat="1" applyFont="1" applyFill="1" applyBorder="1">
      <alignment vertical="center"/>
    </xf>
    <xf numFmtId="178" fontId="11" fillId="0" borderId="6" xfId="0" applyNumberFormat="1" applyFont="1" applyBorder="1">
      <alignment vertical="center"/>
    </xf>
    <xf numFmtId="176" fontId="8" fillId="2" borderId="2" xfId="0" applyNumberFormat="1" applyFont="1" applyFill="1" applyBorder="1" applyAlignment="1">
      <alignment horizontal="center" vertical="center"/>
    </xf>
    <xf numFmtId="178" fontId="8" fillId="2" borderId="2" xfId="0" applyNumberFormat="1" applyFont="1" applyFill="1" applyBorder="1">
      <alignment vertical="center"/>
    </xf>
    <xf numFmtId="178" fontId="8" fillId="3" borderId="0" xfId="0" applyNumberFormat="1" applyFont="1" applyFill="1">
      <alignment vertical="center"/>
    </xf>
    <xf numFmtId="0" fontId="8" fillId="0" borderId="4" xfId="0" applyFont="1" applyBorder="1">
      <alignment vertical="center"/>
    </xf>
    <xf numFmtId="178" fontId="8" fillId="3" borderId="4" xfId="0" applyNumberFormat="1" applyFont="1" applyFill="1" applyBorder="1">
      <alignment vertical="center"/>
    </xf>
    <xf numFmtId="176" fontId="8" fillId="0" borderId="4" xfId="0" applyNumberFormat="1" applyFont="1" applyBorder="1">
      <alignment vertical="center"/>
    </xf>
    <xf numFmtId="3" fontId="8" fillId="0" borderId="0" xfId="0" applyNumberFormat="1" applyFont="1">
      <alignment vertical="center"/>
    </xf>
    <xf numFmtId="178" fontId="11" fillId="2" borderId="0" xfId="0" applyNumberFormat="1" applyFont="1" applyFill="1">
      <alignment vertical="center"/>
    </xf>
    <xf numFmtId="176" fontId="8" fillId="2" borderId="5" xfId="0" applyNumberFormat="1" applyFont="1" applyFill="1" applyBorder="1">
      <alignment vertical="center"/>
    </xf>
    <xf numFmtId="176" fontId="8" fillId="2" borderId="3" xfId="0" applyNumberFormat="1" applyFont="1" applyFill="1" applyBorder="1">
      <alignment vertical="center"/>
    </xf>
    <xf numFmtId="176" fontId="8" fillId="4" borderId="0" xfId="0" applyNumberFormat="1" applyFont="1" applyFill="1">
      <alignment vertical="center"/>
    </xf>
    <xf numFmtId="177" fontId="8" fillId="4" borderId="0" xfId="1" applyNumberFormat="1" applyFont="1" applyFill="1">
      <alignment vertical="center"/>
    </xf>
    <xf numFmtId="3" fontId="8" fillId="4" borderId="0" xfId="0" applyNumberFormat="1" applyFont="1" applyFill="1">
      <alignment vertical="center"/>
    </xf>
    <xf numFmtId="180" fontId="8" fillId="3" borderId="0" xfId="0" applyNumberFormat="1" applyFont="1" applyFill="1">
      <alignment vertical="center"/>
    </xf>
    <xf numFmtId="14" fontId="11" fillId="0" borderId="62" xfId="0" applyNumberFormat="1" applyFont="1" applyBorder="1">
      <alignment vertical="center"/>
    </xf>
    <xf numFmtId="176" fontId="8" fillId="2" borderId="58" xfId="0" applyNumberFormat="1" applyFont="1" applyFill="1" applyBorder="1">
      <alignment vertical="center"/>
    </xf>
    <xf numFmtId="176" fontId="11" fillId="0" borderId="62" xfId="0" applyNumberFormat="1" applyFont="1" applyBorder="1">
      <alignment vertical="center"/>
    </xf>
    <xf numFmtId="176" fontId="7" fillId="13" borderId="0" xfId="0" applyNumberFormat="1" applyFont="1" applyFill="1">
      <alignment vertical="center"/>
    </xf>
    <xf numFmtId="176" fontId="7" fillId="13" borderId="4" xfId="0" applyNumberFormat="1" applyFont="1" applyFill="1" applyBorder="1">
      <alignment vertical="center"/>
    </xf>
    <xf numFmtId="176" fontId="27" fillId="13" borderId="0" xfId="0" applyNumberFormat="1" applyFont="1" applyFill="1">
      <alignment vertical="center"/>
    </xf>
    <xf numFmtId="176" fontId="8" fillId="14" borderId="0" xfId="0" applyNumberFormat="1" applyFont="1" applyFill="1">
      <alignment vertical="center"/>
    </xf>
    <xf numFmtId="0" fontId="0" fillId="0" borderId="3" xfId="0" applyBorder="1">
      <alignment vertical="center"/>
    </xf>
    <xf numFmtId="14" fontId="8" fillId="15" borderId="5" xfId="0" applyNumberFormat="1" applyFont="1" applyFill="1" applyBorder="1">
      <alignment vertical="center"/>
    </xf>
    <xf numFmtId="0" fontId="8" fillId="6" borderId="63" xfId="0" applyFont="1" applyFill="1" applyBorder="1">
      <alignment vertical="center"/>
    </xf>
    <xf numFmtId="0" fontId="8" fillId="6" borderId="64" xfId="0" applyFont="1" applyFill="1" applyBorder="1">
      <alignment vertical="center"/>
    </xf>
    <xf numFmtId="0" fontId="8" fillId="6" borderId="43" xfId="0" applyFont="1" applyFill="1" applyBorder="1">
      <alignment vertical="center"/>
    </xf>
    <xf numFmtId="0" fontId="8" fillId="6" borderId="65" xfId="0" applyFont="1" applyFill="1" applyBorder="1">
      <alignment vertical="center"/>
    </xf>
    <xf numFmtId="0" fontId="8" fillId="6" borderId="66" xfId="0" applyFont="1" applyFill="1" applyBorder="1">
      <alignment vertical="center"/>
    </xf>
    <xf numFmtId="0" fontId="8" fillId="6" borderId="12" xfId="0" applyFont="1" applyFill="1" applyBorder="1">
      <alignment vertical="center"/>
    </xf>
    <xf numFmtId="0" fontId="8" fillId="15" borderId="67" xfId="0" applyFont="1" applyFill="1" applyBorder="1">
      <alignment vertical="center"/>
    </xf>
    <xf numFmtId="0" fontId="5" fillId="0" borderId="14" xfId="0" applyFont="1" applyBorder="1">
      <alignment vertical="center"/>
    </xf>
    <xf numFmtId="0" fontId="5" fillId="0" borderId="1" xfId="0" applyFont="1" applyBorder="1">
      <alignment vertical="center"/>
    </xf>
    <xf numFmtId="0" fontId="12" fillId="0" borderId="66" xfId="0" applyFont="1" applyBorder="1" applyAlignment="1">
      <alignment horizontal="right" vertical="center"/>
    </xf>
    <xf numFmtId="0" fontId="5" fillId="0" borderId="0" xfId="0" applyFont="1">
      <alignment vertical="center"/>
    </xf>
    <xf numFmtId="0" fontId="0" fillId="0" borderId="0" xfId="0" applyAlignment="1">
      <alignment vertical="center" wrapText="1"/>
    </xf>
    <xf numFmtId="177" fontId="0" fillId="0" borderId="0" xfId="1" applyNumberFormat="1" applyFont="1">
      <alignment vertical="center"/>
    </xf>
    <xf numFmtId="0" fontId="11" fillId="0" borderId="5" xfId="0" applyFont="1" applyBorder="1">
      <alignment vertical="center"/>
    </xf>
    <xf numFmtId="176" fontId="11" fillId="0" borderId="27" xfId="0" applyNumberFormat="1" applyFont="1" applyBorder="1">
      <alignment vertical="center"/>
    </xf>
    <xf numFmtId="177" fontId="11" fillId="0" borderId="5" xfId="1" applyNumberFormat="1" applyFont="1" applyBorder="1">
      <alignment vertical="center"/>
    </xf>
    <xf numFmtId="177" fontId="11" fillId="0" borderId="5" xfId="0" applyNumberFormat="1" applyFont="1" applyBorder="1">
      <alignment vertical="center"/>
    </xf>
    <xf numFmtId="177" fontId="11" fillId="0" borderId="62" xfId="1" applyNumberFormat="1" applyFont="1" applyBorder="1">
      <alignment vertical="center"/>
    </xf>
    <xf numFmtId="190" fontId="11" fillId="2" borderId="0" xfId="0" applyNumberFormat="1" applyFont="1" applyFill="1">
      <alignment vertical="center"/>
    </xf>
    <xf numFmtId="176" fontId="8" fillId="0" borderId="16" xfId="0" applyNumberFormat="1" applyFont="1" applyBorder="1">
      <alignment vertical="center"/>
    </xf>
    <xf numFmtId="0" fontId="8" fillId="6" borderId="0" xfId="0" applyFont="1" applyFill="1">
      <alignment vertical="center"/>
    </xf>
    <xf numFmtId="41" fontId="0" fillId="0" borderId="0" xfId="6" applyFont="1">
      <alignment vertical="center"/>
    </xf>
    <xf numFmtId="178" fontId="28" fillId="3" borderId="0" xfId="0" applyNumberFormat="1" applyFont="1" applyFill="1">
      <alignment vertical="center"/>
    </xf>
    <xf numFmtId="0" fontId="13" fillId="18" borderId="0" xfId="3" applyFont="1" applyFill="1">
      <alignment vertical="center"/>
    </xf>
    <xf numFmtId="179" fontId="13" fillId="18" borderId="0" xfId="3" applyNumberFormat="1" applyFont="1" applyFill="1">
      <alignment vertical="center"/>
    </xf>
    <xf numFmtId="0" fontId="11" fillId="18" borderId="0" xfId="0" applyFont="1" applyFill="1">
      <alignment vertical="center"/>
    </xf>
    <xf numFmtId="179" fontId="11" fillId="18" borderId="0" xfId="0" applyNumberFormat="1" applyFont="1" applyFill="1">
      <alignment vertical="center"/>
    </xf>
    <xf numFmtId="176" fontId="11" fillId="18" borderId="0" xfId="0" applyNumberFormat="1" applyFont="1" applyFill="1">
      <alignment vertical="center"/>
    </xf>
    <xf numFmtId="178" fontId="8" fillId="18" borderId="0" xfId="0" applyNumberFormat="1" applyFont="1" applyFill="1">
      <alignment vertical="center"/>
    </xf>
    <xf numFmtId="0" fontId="8" fillId="19" borderId="3" xfId="0" applyFont="1" applyFill="1" applyBorder="1">
      <alignment vertical="center"/>
    </xf>
    <xf numFmtId="0" fontId="11" fillId="19" borderId="0" xfId="0" applyFont="1" applyFill="1">
      <alignment vertical="center"/>
    </xf>
    <xf numFmtId="178" fontId="8" fillId="19" borderId="0" xfId="0" applyNumberFormat="1" applyFont="1" applyFill="1">
      <alignment vertical="center"/>
    </xf>
    <xf numFmtId="14" fontId="11" fillId="19" borderId="5" xfId="0" applyNumberFormat="1" applyFont="1" applyFill="1" applyBorder="1">
      <alignment vertical="center"/>
    </xf>
    <xf numFmtId="14" fontId="11" fillId="19" borderId="0" xfId="0" applyNumberFormat="1" applyFont="1" applyFill="1">
      <alignment vertical="center"/>
    </xf>
    <xf numFmtId="190" fontId="11" fillId="19" borderId="0" xfId="0" applyNumberFormat="1" applyFont="1" applyFill="1">
      <alignment vertical="center"/>
    </xf>
    <xf numFmtId="178" fontId="11" fillId="19" borderId="6" xfId="0" applyNumberFormat="1" applyFont="1" applyFill="1" applyBorder="1">
      <alignment vertical="center"/>
    </xf>
    <xf numFmtId="180" fontId="8" fillId="19" borderId="0" xfId="0" applyNumberFormat="1" applyFont="1" applyFill="1">
      <alignment vertical="center"/>
    </xf>
    <xf numFmtId="0" fontId="13" fillId="19" borderId="0" xfId="3" applyFont="1" applyFill="1">
      <alignment vertical="center"/>
    </xf>
    <xf numFmtId="179" fontId="13" fillId="19" borderId="0" xfId="3" applyNumberFormat="1" applyFont="1" applyFill="1">
      <alignment vertical="center"/>
    </xf>
    <xf numFmtId="14" fontId="13" fillId="19" borderId="0" xfId="3" applyNumberFormat="1" applyFont="1" applyFill="1">
      <alignment vertical="center"/>
    </xf>
    <xf numFmtId="176" fontId="11" fillId="19" borderId="0" xfId="0" applyNumberFormat="1" applyFont="1" applyFill="1">
      <alignment vertical="center"/>
    </xf>
    <xf numFmtId="179" fontId="11" fillId="19" borderId="0" xfId="0" applyNumberFormat="1" applyFont="1" applyFill="1">
      <alignment vertical="center"/>
    </xf>
    <xf numFmtId="178" fontId="11" fillId="19" borderId="0" xfId="0" applyNumberFormat="1" applyFont="1" applyFill="1">
      <alignment vertical="center"/>
    </xf>
    <xf numFmtId="178" fontId="11" fillId="19" borderId="5" xfId="0" applyNumberFormat="1" applyFont="1" applyFill="1" applyBorder="1">
      <alignment vertical="center"/>
    </xf>
    <xf numFmtId="176" fontId="30" fillId="20" borderId="0" xfId="0" applyNumberFormat="1" applyFont="1" applyFill="1">
      <alignment vertical="center"/>
    </xf>
    <xf numFmtId="178" fontId="11" fillId="2" borderId="5" xfId="0" applyNumberFormat="1" applyFont="1" applyFill="1" applyBorder="1">
      <alignment vertical="center"/>
    </xf>
    <xf numFmtId="0" fontId="0" fillId="2" borderId="0" xfId="0" applyFill="1">
      <alignment vertical="center"/>
    </xf>
    <xf numFmtId="176" fontId="0" fillId="2" borderId="0" xfId="0" applyNumberFormat="1" applyFill="1">
      <alignment vertical="center"/>
    </xf>
    <xf numFmtId="176" fontId="0" fillId="19" borderId="0" xfId="0" applyNumberFormat="1" applyFill="1">
      <alignment vertical="center"/>
    </xf>
    <xf numFmtId="176" fontId="0" fillId="13" borderId="0" xfId="0" applyNumberFormat="1" applyFill="1">
      <alignment vertical="center"/>
    </xf>
    <xf numFmtId="191" fontId="8" fillId="0" borderId="0" xfId="0" applyNumberFormat="1" applyFont="1">
      <alignment vertical="center"/>
    </xf>
    <xf numFmtId="176" fontId="28" fillId="3" borderId="5" xfId="0" applyNumberFormat="1" applyFont="1" applyFill="1" applyBorder="1">
      <alignment vertical="center"/>
    </xf>
    <xf numFmtId="176" fontId="28" fillId="17" borderId="5" xfId="0" applyNumberFormat="1" applyFont="1" applyFill="1" applyBorder="1">
      <alignment vertical="center"/>
    </xf>
    <xf numFmtId="176" fontId="28" fillId="22" borderId="5" xfId="0" applyNumberFormat="1" applyFont="1" applyFill="1" applyBorder="1">
      <alignment vertical="center"/>
    </xf>
    <xf numFmtId="176" fontId="28" fillId="23" borderId="5" xfId="0" applyNumberFormat="1" applyFont="1" applyFill="1" applyBorder="1">
      <alignment vertical="center"/>
    </xf>
    <xf numFmtId="0" fontId="8" fillId="15" borderId="65" xfId="0" applyFont="1" applyFill="1" applyBorder="1">
      <alignment vertical="center"/>
    </xf>
    <xf numFmtId="14" fontId="8" fillId="15" borderId="66" xfId="0" applyNumberFormat="1" applyFont="1" applyFill="1" applyBorder="1">
      <alignment vertical="center"/>
    </xf>
    <xf numFmtId="176" fontId="8" fillId="0" borderId="12" xfId="0" applyNumberFormat="1" applyFont="1" applyBorder="1">
      <alignment vertical="center"/>
    </xf>
    <xf numFmtId="176" fontId="8" fillId="0" borderId="66" xfId="0" applyNumberFormat="1" applyFont="1" applyBorder="1">
      <alignment vertical="center"/>
    </xf>
    <xf numFmtId="176" fontId="28" fillId="0" borderId="66" xfId="0" applyNumberFormat="1" applyFont="1" applyBorder="1">
      <alignment vertical="center"/>
    </xf>
    <xf numFmtId="0" fontId="8" fillId="16" borderId="68" xfId="0" applyFont="1" applyFill="1" applyBorder="1">
      <alignment vertical="center"/>
    </xf>
    <xf numFmtId="0" fontId="8" fillId="16" borderId="69" xfId="0" applyFont="1" applyFill="1" applyBorder="1">
      <alignment vertical="center"/>
    </xf>
    <xf numFmtId="0" fontId="8" fillId="16" borderId="70" xfId="0" applyFont="1" applyFill="1" applyBorder="1">
      <alignment vertical="center"/>
    </xf>
    <xf numFmtId="0" fontId="8" fillId="16" borderId="71" xfId="0" applyFont="1" applyFill="1" applyBorder="1">
      <alignment vertical="center"/>
    </xf>
    <xf numFmtId="0" fontId="8" fillId="16" borderId="72" xfId="0" applyFont="1" applyFill="1" applyBorder="1">
      <alignment vertical="center"/>
    </xf>
    <xf numFmtId="0" fontId="8" fillId="16" borderId="73" xfId="0" applyFont="1" applyFill="1" applyBorder="1">
      <alignment vertical="center"/>
    </xf>
    <xf numFmtId="176" fontId="28" fillId="23" borderId="75" xfId="0" applyNumberFormat="1" applyFont="1" applyFill="1" applyBorder="1">
      <alignment vertical="center"/>
    </xf>
    <xf numFmtId="176" fontId="28" fillId="21" borderId="74" xfId="0" applyNumberFormat="1" applyFont="1" applyFill="1" applyBorder="1">
      <alignment vertical="center"/>
    </xf>
    <xf numFmtId="176" fontId="28" fillId="16" borderId="75" xfId="0" applyNumberFormat="1" applyFont="1" applyFill="1" applyBorder="1">
      <alignment vertical="center"/>
    </xf>
    <xf numFmtId="176" fontId="28" fillId="22" borderId="75" xfId="0" applyNumberFormat="1" applyFont="1" applyFill="1" applyBorder="1">
      <alignment vertical="center"/>
    </xf>
    <xf numFmtId="176" fontId="28" fillId="16" borderId="76" xfId="0" applyNumberFormat="1" applyFont="1" applyFill="1" applyBorder="1">
      <alignment vertical="center"/>
    </xf>
    <xf numFmtId="176" fontId="8" fillId="0" borderId="71" xfId="0" applyNumberFormat="1" applyFont="1" applyBorder="1">
      <alignment vertical="center"/>
    </xf>
    <xf numFmtId="176" fontId="8" fillId="0" borderId="72" xfId="0" applyNumberFormat="1" applyFont="1" applyBorder="1">
      <alignment vertical="center"/>
    </xf>
    <xf numFmtId="176" fontId="29" fillId="0" borderId="73" xfId="0" applyNumberFormat="1" applyFont="1" applyBorder="1">
      <alignment vertical="center"/>
    </xf>
    <xf numFmtId="178" fontId="31" fillId="0" borderId="0" xfId="0" applyNumberFormat="1" applyFont="1">
      <alignment vertical="center"/>
    </xf>
    <xf numFmtId="176" fontId="0" fillId="4" borderId="0" xfId="0" applyNumberFormat="1" applyFill="1">
      <alignment vertical="center"/>
    </xf>
    <xf numFmtId="14" fontId="13" fillId="0" borderId="5" xfId="3" applyNumberFormat="1" applyFont="1" applyBorder="1">
      <alignment vertical="center"/>
    </xf>
    <xf numFmtId="0" fontId="8" fillId="0" borderId="5" xfId="0" applyFont="1" applyBorder="1">
      <alignment vertical="center"/>
    </xf>
    <xf numFmtId="0" fontId="8" fillId="0" borderId="6" xfId="0" applyFont="1" applyBorder="1">
      <alignment vertical="center"/>
    </xf>
    <xf numFmtId="177" fontId="8" fillId="0" borderId="0" xfId="0" applyNumberFormat="1" applyFont="1">
      <alignment vertical="center"/>
    </xf>
    <xf numFmtId="177" fontId="11" fillId="0" borderId="0" xfId="0" applyNumberFormat="1" applyFont="1">
      <alignment vertical="center"/>
    </xf>
    <xf numFmtId="14" fontId="0" fillId="4" borderId="0" xfId="0" applyNumberFormat="1" applyFill="1">
      <alignment vertical="center"/>
    </xf>
    <xf numFmtId="0" fontId="13" fillId="18" borderId="3" xfId="3" applyFont="1" applyFill="1" applyBorder="1">
      <alignment vertical="center"/>
    </xf>
    <xf numFmtId="0" fontId="13" fillId="19" borderId="3" xfId="3" applyFont="1" applyFill="1" applyBorder="1">
      <alignment vertical="center"/>
    </xf>
    <xf numFmtId="0" fontId="26" fillId="0" borderId="0" xfId="0" applyFont="1">
      <alignment vertical="center"/>
    </xf>
    <xf numFmtId="0" fontId="8" fillId="19" borderId="0" xfId="0" applyFont="1" applyFill="1">
      <alignment vertical="center"/>
    </xf>
    <xf numFmtId="178" fontId="8" fillId="0" borderId="4" xfId="0" applyNumberFormat="1" applyFont="1" applyBorder="1">
      <alignment vertical="center"/>
    </xf>
    <xf numFmtId="14" fontId="13" fillId="18" borderId="5" xfId="3" applyNumberFormat="1" applyFont="1" applyFill="1" applyBorder="1">
      <alignment vertical="center"/>
    </xf>
    <xf numFmtId="14" fontId="13" fillId="19" borderId="5" xfId="3" applyNumberFormat="1" applyFont="1" applyFill="1" applyBorder="1">
      <alignment vertical="center"/>
    </xf>
    <xf numFmtId="178" fontId="11" fillId="0" borderId="4" xfId="0" applyNumberFormat="1" applyFont="1" applyBorder="1">
      <alignment vertical="center"/>
    </xf>
    <xf numFmtId="179" fontId="11" fillId="18" borderId="5" xfId="0" applyNumberFormat="1" applyFont="1" applyFill="1" applyBorder="1">
      <alignment vertical="center"/>
    </xf>
    <xf numFmtId="179" fontId="11" fillId="19" borderId="5" xfId="0" applyNumberFormat="1" applyFont="1" applyFill="1" applyBorder="1">
      <alignment vertical="center"/>
    </xf>
    <xf numFmtId="179" fontId="13" fillId="19" borderId="5" xfId="3" applyNumberFormat="1" applyFont="1" applyFill="1" applyBorder="1">
      <alignment vertical="center"/>
    </xf>
    <xf numFmtId="180" fontId="11" fillId="19" borderId="0" xfId="0" applyNumberFormat="1" applyFont="1" applyFill="1">
      <alignment vertical="center"/>
    </xf>
    <xf numFmtId="178" fontId="11" fillId="0" borderId="62" xfId="0" applyNumberFormat="1" applyFont="1" applyBorder="1">
      <alignment vertical="center"/>
    </xf>
    <xf numFmtId="0" fontId="13" fillId="18" borderId="6" xfId="3" applyFont="1" applyFill="1" applyBorder="1">
      <alignment vertical="center"/>
    </xf>
    <xf numFmtId="0" fontId="13" fillId="19" borderId="6" xfId="3" applyFont="1" applyFill="1" applyBorder="1">
      <alignment vertical="center"/>
    </xf>
    <xf numFmtId="176" fontId="11" fillId="19" borderId="6" xfId="0" applyNumberFormat="1" applyFont="1" applyFill="1" applyBorder="1">
      <alignment vertical="center"/>
    </xf>
    <xf numFmtId="178" fontId="11" fillId="0" borderId="61" xfId="0" applyNumberFormat="1" applyFont="1" applyBorder="1">
      <alignment vertical="center"/>
    </xf>
    <xf numFmtId="177" fontId="13" fillId="0" borderId="5" xfId="1" applyNumberFormat="1" applyFont="1" applyBorder="1">
      <alignment vertical="center"/>
    </xf>
    <xf numFmtId="177" fontId="11" fillId="0" borderId="62" xfId="0" applyNumberFormat="1" applyFont="1" applyBorder="1">
      <alignment vertical="center"/>
    </xf>
    <xf numFmtId="176" fontId="11" fillId="0" borderId="3" xfId="0" applyNumberFormat="1" applyFont="1" applyBorder="1">
      <alignment vertical="center"/>
    </xf>
    <xf numFmtId="178" fontId="8" fillId="0" borderId="3" xfId="0" applyNumberFormat="1" applyFont="1" applyBorder="1">
      <alignment vertical="center"/>
    </xf>
    <xf numFmtId="0" fontId="2" fillId="0" borderId="0" xfId="7" applyFont="1">
      <alignment vertical="center"/>
    </xf>
    <xf numFmtId="6" fontId="2" fillId="0" borderId="57" xfId="7" applyNumberFormat="1" applyFont="1" applyBorder="1">
      <alignment vertical="center"/>
    </xf>
    <xf numFmtId="0" fontId="2" fillId="0" borderId="56" xfId="7" applyFont="1" applyBorder="1">
      <alignment vertical="center"/>
    </xf>
    <xf numFmtId="192" fontId="2" fillId="0" borderId="56" xfId="7" applyNumberFormat="1" applyFont="1" applyBorder="1">
      <alignment vertical="center"/>
    </xf>
    <xf numFmtId="6" fontId="2" fillId="0" borderId="56" xfId="7" applyNumberFormat="1" applyFont="1" applyBorder="1">
      <alignment vertical="center"/>
    </xf>
    <xf numFmtId="10" fontId="2" fillId="0" borderId="56" xfId="7" applyNumberFormat="1" applyFont="1" applyBorder="1">
      <alignment vertical="center"/>
    </xf>
    <xf numFmtId="0" fontId="2" fillId="0" borderId="55" xfId="7" applyFont="1" applyBorder="1">
      <alignment vertical="center"/>
    </xf>
    <xf numFmtId="6" fontId="2" fillId="0" borderId="77" xfId="7" applyNumberFormat="1" applyFont="1" applyBorder="1">
      <alignment vertical="center"/>
    </xf>
    <xf numFmtId="0" fontId="2" fillId="0" borderId="78" xfId="7" applyFont="1" applyBorder="1">
      <alignment vertical="center"/>
    </xf>
    <xf numFmtId="192" fontId="2" fillId="0" borderId="78" xfId="7" applyNumberFormat="1" applyFont="1" applyBorder="1">
      <alignment vertical="center"/>
    </xf>
    <xf numFmtId="6" fontId="2" fillId="0" borderId="78" xfId="7" applyNumberFormat="1" applyFont="1" applyBorder="1">
      <alignment vertical="center"/>
    </xf>
    <xf numFmtId="10" fontId="2" fillId="0" borderId="78" xfId="7" applyNumberFormat="1" applyFont="1" applyBorder="1">
      <alignment vertical="center"/>
    </xf>
    <xf numFmtId="0" fontId="2" fillId="0" borderId="79" xfId="7" applyFont="1" applyBorder="1">
      <alignment vertical="center"/>
    </xf>
    <xf numFmtId="176" fontId="2" fillId="0" borderId="0" xfId="7" applyNumberFormat="1" applyFont="1">
      <alignment vertical="center"/>
    </xf>
    <xf numFmtId="6" fontId="2" fillId="0" borderId="54" xfId="7" applyNumberFormat="1" applyFont="1" applyBorder="1">
      <alignment vertical="center"/>
    </xf>
    <xf numFmtId="0" fontId="2" fillId="0" borderId="2" xfId="7" applyFont="1" applyBorder="1">
      <alignment vertical="center"/>
    </xf>
    <xf numFmtId="192" fontId="2" fillId="0" borderId="2" xfId="7" applyNumberFormat="1" applyFont="1" applyBorder="1">
      <alignment vertical="center"/>
    </xf>
    <xf numFmtId="6" fontId="2" fillId="0" borderId="2" xfId="7" applyNumberFormat="1" applyFont="1" applyBorder="1">
      <alignment vertical="center"/>
    </xf>
    <xf numFmtId="193" fontId="2" fillId="0" borderId="2" xfId="7" applyNumberFormat="1" applyFont="1" applyBorder="1">
      <alignment vertical="center"/>
    </xf>
    <xf numFmtId="0" fontId="2" fillId="0" borderId="53" xfId="7" applyFont="1" applyBorder="1" applyAlignment="1">
      <alignment horizontal="right" vertical="center"/>
    </xf>
    <xf numFmtId="10" fontId="2" fillId="0" borderId="2" xfId="7" applyNumberFormat="1" applyFont="1" applyBorder="1">
      <alignment vertical="center"/>
    </xf>
    <xf numFmtId="0" fontId="2" fillId="0" borderId="53" xfId="7" applyFont="1" applyBorder="1">
      <alignment vertical="center"/>
    </xf>
    <xf numFmtId="194" fontId="2" fillId="0" borderId="0" xfId="7" applyNumberFormat="1" applyFont="1">
      <alignment vertical="center"/>
    </xf>
    <xf numFmtId="195" fontId="2" fillId="0" borderId="2" xfId="7" applyNumberFormat="1" applyFont="1" applyBorder="1">
      <alignment vertical="center"/>
    </xf>
    <xf numFmtId="194" fontId="2" fillId="0" borderId="2" xfId="7" applyNumberFormat="1" applyFont="1" applyBorder="1">
      <alignment vertical="center"/>
    </xf>
    <xf numFmtId="0" fontId="2" fillId="0" borderId="53" xfId="7" applyFont="1" applyBorder="1" applyAlignment="1">
      <alignment horizontal="left" vertical="center"/>
    </xf>
    <xf numFmtId="196" fontId="2" fillId="0" borderId="0" xfId="7" applyNumberFormat="1" applyFont="1">
      <alignment vertical="center"/>
    </xf>
    <xf numFmtId="6" fontId="2" fillId="0" borderId="52" xfId="7" applyNumberFormat="1" applyFont="1" applyBorder="1">
      <alignment vertical="center"/>
    </xf>
    <xf numFmtId="0" fontId="2" fillId="0" borderId="51" xfId="7" applyFont="1" applyBorder="1">
      <alignment vertical="center"/>
    </xf>
    <xf numFmtId="192" fontId="2" fillId="0" borderId="51" xfId="7" applyNumberFormat="1" applyFont="1" applyBorder="1">
      <alignment vertical="center"/>
    </xf>
    <xf numFmtId="6" fontId="2" fillId="0" borderId="51" xfId="7" applyNumberFormat="1" applyFont="1" applyBorder="1">
      <alignment vertical="center"/>
    </xf>
    <xf numFmtId="193" fontId="2" fillId="0" borderId="51" xfId="7" applyNumberFormat="1" applyFont="1" applyBorder="1">
      <alignment vertical="center"/>
    </xf>
    <xf numFmtId="0" fontId="2" fillId="0" borderId="50" xfId="7" applyFont="1" applyBorder="1" applyAlignment="1">
      <alignment horizontal="right" vertical="center"/>
    </xf>
    <xf numFmtId="0" fontId="2" fillId="19" borderId="0" xfId="7" applyFont="1" applyFill="1" applyAlignment="1">
      <alignment horizontal="center" vertical="center"/>
    </xf>
    <xf numFmtId="0" fontId="2" fillId="19" borderId="31" xfId="7" applyFont="1" applyFill="1" applyBorder="1" applyAlignment="1">
      <alignment horizontal="center" vertical="center"/>
    </xf>
    <xf numFmtId="0" fontId="2" fillId="19" borderId="80" xfId="7" applyFont="1" applyFill="1" applyBorder="1" applyAlignment="1">
      <alignment horizontal="center" vertical="center"/>
    </xf>
    <xf numFmtId="0" fontId="2" fillId="19" borderId="7" xfId="7" applyFont="1" applyFill="1" applyBorder="1" applyAlignment="1">
      <alignment horizontal="center" vertical="center"/>
    </xf>
    <xf numFmtId="176" fontId="28" fillId="0" borderId="5" xfId="0" applyNumberFormat="1" applyFont="1" applyBorder="1">
      <alignment vertical="center"/>
    </xf>
    <xf numFmtId="14" fontId="32" fillId="0" borderId="0" xfId="0" applyNumberFormat="1" applyFont="1">
      <alignment vertical="center"/>
    </xf>
    <xf numFmtId="176" fontId="32" fillId="0" borderId="0" xfId="0" applyNumberFormat="1" applyFont="1">
      <alignment vertical="center"/>
    </xf>
    <xf numFmtId="178" fontId="9" fillId="0" borderId="0" xfId="0" applyNumberFormat="1" applyFont="1">
      <alignment vertical="center"/>
    </xf>
    <xf numFmtId="14" fontId="8" fillId="0" borderId="16" xfId="0" applyNumberFormat="1" applyFont="1" applyBorder="1">
      <alignment vertical="center"/>
    </xf>
    <xf numFmtId="0" fontId="0" fillId="24" borderId="16" xfId="0" applyFill="1" applyBorder="1">
      <alignment vertical="center"/>
    </xf>
    <xf numFmtId="178" fontId="8" fillId="24" borderId="0" xfId="0" applyNumberFormat="1" applyFont="1" applyFill="1">
      <alignment vertical="center"/>
    </xf>
    <xf numFmtId="178" fontId="8" fillId="24" borderId="6" xfId="0" applyNumberFormat="1" applyFont="1" applyFill="1" applyBorder="1">
      <alignment vertical="center"/>
    </xf>
    <xf numFmtId="178" fontId="8" fillId="24" borderId="16" xfId="0" applyNumberFormat="1" applyFont="1" applyFill="1" applyBorder="1">
      <alignment vertical="center"/>
    </xf>
    <xf numFmtId="14" fontId="33" fillId="0" borderId="81" xfId="0" applyNumberFormat="1" applyFont="1" applyBorder="1" applyAlignment="1">
      <alignment vertical="center" wrapText="1"/>
    </xf>
    <xf numFmtId="178" fontId="28" fillId="0" borderId="5" xfId="0" applyNumberFormat="1" applyFont="1" applyBorder="1">
      <alignment vertical="center"/>
    </xf>
    <xf numFmtId="0" fontId="1" fillId="0" borderId="53" xfId="7" applyFont="1" applyBorder="1" applyAlignment="1">
      <alignment horizontal="right" vertical="center"/>
    </xf>
    <xf numFmtId="178" fontId="0" fillId="25" borderId="0" xfId="0" applyNumberFormat="1" applyFill="1">
      <alignment vertical="center"/>
    </xf>
    <xf numFmtId="176" fontId="0" fillId="25" borderId="0" xfId="0" applyNumberFormat="1" applyFill="1">
      <alignment vertical="center"/>
    </xf>
    <xf numFmtId="0" fontId="0" fillId="0" borderId="0" xfId="0" applyAlignment="1">
      <alignment horizontal="right" vertical="center"/>
    </xf>
    <xf numFmtId="176" fontId="0" fillId="0" borderId="1" xfId="0" applyNumberFormat="1" applyBorder="1">
      <alignment vertical="center"/>
    </xf>
    <xf numFmtId="176" fontId="6" fillId="6" borderId="0" xfId="0" applyNumberFormat="1" applyFont="1" applyFill="1">
      <alignment vertical="center"/>
    </xf>
    <xf numFmtId="176" fontId="6" fillId="0" borderId="0" xfId="0" applyNumberFormat="1" applyFont="1">
      <alignment vertical="center"/>
    </xf>
    <xf numFmtId="0" fontId="0" fillId="20" borderId="0" xfId="0" applyFill="1">
      <alignment vertical="center"/>
    </xf>
    <xf numFmtId="176" fontId="0" fillId="20" borderId="0" xfId="0" applyNumberFormat="1" applyFill="1">
      <alignment vertical="center"/>
    </xf>
    <xf numFmtId="176" fontId="0" fillId="5" borderId="0" xfId="0" applyNumberFormat="1" applyFill="1">
      <alignment vertical="center"/>
    </xf>
    <xf numFmtId="0" fontId="34" fillId="20" borderId="0" xfId="0" applyFont="1" applyFill="1">
      <alignment vertical="center"/>
    </xf>
    <xf numFmtId="176" fontId="34" fillId="20" borderId="0" xfId="0" applyNumberFormat="1" applyFont="1" applyFill="1">
      <alignment vertical="center"/>
    </xf>
    <xf numFmtId="176" fontId="0" fillId="26" borderId="0" xfId="0" applyNumberFormat="1" applyFill="1">
      <alignment vertical="center"/>
    </xf>
    <xf numFmtId="176" fontId="6" fillId="26" borderId="0" xfId="0" applyNumberFormat="1" applyFont="1" applyFill="1">
      <alignment vertical="center"/>
    </xf>
    <xf numFmtId="176" fontId="16" fillId="26" borderId="0" xfId="0" applyNumberFormat="1" applyFont="1" applyFill="1">
      <alignment vertical="center"/>
    </xf>
    <xf numFmtId="0" fontId="16" fillId="20" borderId="0" xfId="0" applyFont="1" applyFill="1">
      <alignment vertical="center"/>
    </xf>
    <xf numFmtId="176" fontId="16" fillId="20" borderId="0" xfId="0" applyNumberFormat="1" applyFont="1" applyFill="1">
      <alignment vertical="center"/>
    </xf>
    <xf numFmtId="177" fontId="16" fillId="20" borderId="0" xfId="1" applyNumberFormat="1" applyFont="1" applyFill="1">
      <alignment vertical="center"/>
    </xf>
    <xf numFmtId="0" fontId="16" fillId="0" borderId="0" xfId="0" applyFont="1">
      <alignment vertical="center"/>
    </xf>
    <xf numFmtId="0" fontId="0" fillId="25" borderId="0" xfId="0" applyFill="1">
      <alignment vertical="center"/>
    </xf>
    <xf numFmtId="0" fontId="0" fillId="25" borderId="0" xfId="0" applyFill="1" applyAlignment="1">
      <alignment horizontal="right" vertical="center"/>
    </xf>
    <xf numFmtId="0" fontId="0" fillId="0" borderId="0" xfId="0" applyAlignment="1"/>
    <xf numFmtId="0" fontId="36" fillId="0" borderId="0" xfId="0" applyFont="1">
      <alignment vertical="center"/>
    </xf>
    <xf numFmtId="0" fontId="37" fillId="29" borderId="0" xfId="0" applyFont="1" applyFill="1" applyAlignment="1">
      <alignment horizontal="center" vertical="center" wrapText="1"/>
    </xf>
    <xf numFmtId="0" fontId="38" fillId="29" borderId="0" xfId="0" applyFont="1" applyFill="1" applyAlignment="1">
      <alignment horizontal="center" vertical="center" wrapText="1"/>
    </xf>
    <xf numFmtId="0" fontId="39" fillId="0" borderId="0" xfId="0" applyFont="1" applyAlignment="1">
      <alignment vertical="center" indent="1"/>
    </xf>
    <xf numFmtId="3" fontId="0" fillId="30" borderId="0" xfId="0" applyNumberFormat="1" applyFill="1" applyAlignment="1">
      <alignment horizontal="right" vertical="center"/>
    </xf>
    <xf numFmtId="0" fontId="40" fillId="31" borderId="0" xfId="0" applyFont="1" applyFill="1">
      <alignment vertical="center"/>
    </xf>
    <xf numFmtId="3" fontId="41" fillId="31" borderId="0" xfId="0" applyNumberFormat="1" applyFont="1" applyFill="1" applyAlignment="1">
      <alignment horizontal="right" vertical="center"/>
    </xf>
    <xf numFmtId="0" fontId="37" fillId="33" borderId="0" xfId="0" applyFont="1" applyFill="1" applyAlignment="1">
      <alignment horizontal="center" vertical="center" wrapText="1"/>
    </xf>
    <xf numFmtId="0" fontId="38" fillId="33" borderId="0" xfId="0" applyFont="1" applyFill="1" applyAlignment="1">
      <alignment horizontal="center" vertical="center" wrapText="1"/>
    </xf>
    <xf numFmtId="3" fontId="0" fillId="34" borderId="0" xfId="0" applyNumberFormat="1" applyFill="1" applyAlignment="1">
      <alignment horizontal="right" vertical="center"/>
    </xf>
    <xf numFmtId="0" fontId="40" fillId="35" borderId="0" xfId="0" applyFont="1" applyFill="1">
      <alignment vertical="center"/>
    </xf>
    <xf numFmtId="3" fontId="41" fillId="35" borderId="0" xfId="0" applyNumberFormat="1" applyFont="1" applyFill="1" applyAlignment="1">
      <alignment horizontal="right" vertical="center"/>
    </xf>
    <xf numFmtId="0" fontId="40" fillId="37" borderId="0" xfId="0" applyFont="1" applyFill="1">
      <alignment vertical="center"/>
    </xf>
    <xf numFmtId="3" fontId="42" fillId="37" borderId="0" xfId="0" applyNumberFormat="1" applyFont="1" applyFill="1" applyAlignment="1">
      <alignment horizontal="right" vertical="center"/>
    </xf>
    <xf numFmtId="0" fontId="39" fillId="38" borderId="0" xfId="0" applyFont="1" applyFill="1">
      <alignment vertical="center"/>
    </xf>
    <xf numFmtId="197" fontId="0" fillId="0" borderId="0" xfId="0" applyNumberFormat="1" applyAlignment="1">
      <alignment horizontal="right" vertical="center"/>
    </xf>
    <xf numFmtId="0" fontId="37" fillId="39" borderId="0" xfId="0" applyFont="1" applyFill="1" applyAlignment="1">
      <alignment horizontal="center" vertical="center" wrapText="1"/>
    </xf>
    <xf numFmtId="0" fontId="39" fillId="0" borderId="0" xfId="0" applyFont="1" applyAlignment="1">
      <alignment vertical="center" indent="2"/>
    </xf>
    <xf numFmtId="3" fontId="41" fillId="41" borderId="0" xfId="0" applyNumberFormat="1" applyFont="1" applyFill="1" applyAlignment="1">
      <alignment horizontal="right" vertical="center"/>
    </xf>
    <xf numFmtId="3" fontId="41" fillId="42" borderId="0" xfId="0" applyNumberFormat="1" applyFont="1" applyFill="1" applyAlignment="1">
      <alignment horizontal="right" vertical="center"/>
    </xf>
    <xf numFmtId="3" fontId="0" fillId="37" borderId="0" xfId="0" applyNumberFormat="1" applyFill="1" applyAlignment="1">
      <alignment horizontal="right" vertical="center"/>
    </xf>
    <xf numFmtId="3" fontId="0" fillId="43" borderId="0" xfId="0" applyNumberFormat="1" applyFill="1" applyAlignment="1">
      <alignment horizontal="right" vertical="center"/>
    </xf>
    <xf numFmtId="0" fontId="40" fillId="43" borderId="0" xfId="0" applyFont="1" applyFill="1">
      <alignment vertical="center"/>
    </xf>
    <xf numFmtId="3" fontId="41" fillId="43" borderId="0" xfId="0" applyNumberFormat="1" applyFont="1" applyFill="1" applyAlignment="1">
      <alignment horizontal="right" vertical="center"/>
    </xf>
    <xf numFmtId="0" fontId="40" fillId="44" borderId="0" xfId="0" applyFont="1" applyFill="1">
      <alignment vertical="center"/>
    </xf>
    <xf numFmtId="197" fontId="41" fillId="44" borderId="0" xfId="0" applyNumberFormat="1" applyFont="1" applyFill="1" applyAlignment="1">
      <alignment horizontal="right" vertical="center"/>
    </xf>
    <xf numFmtId="0" fontId="43" fillId="29" borderId="0" xfId="0" applyFont="1" applyFill="1" applyAlignment="1">
      <alignment horizontal="center" vertical="center" wrapText="1"/>
    </xf>
    <xf numFmtId="0" fontId="39" fillId="0" borderId="0" xfId="0" applyFont="1">
      <alignment vertical="center"/>
    </xf>
    <xf numFmtId="198" fontId="0" fillId="0" borderId="0" xfId="0" applyNumberFormat="1" applyAlignment="1">
      <alignment horizontal="right" vertical="center"/>
    </xf>
    <xf numFmtId="197" fontId="41" fillId="31" borderId="0" xfId="0" applyNumberFormat="1" applyFont="1" applyFill="1" applyAlignment="1">
      <alignment horizontal="right" vertical="center"/>
    </xf>
    <xf numFmtId="198" fontId="41" fillId="31" borderId="0" xfId="0" applyNumberFormat="1" applyFont="1" applyFill="1" applyAlignment="1">
      <alignment horizontal="right" vertical="center"/>
    </xf>
    <xf numFmtId="177" fontId="0" fillId="0" borderId="0" xfId="0" applyNumberFormat="1" applyAlignment="1">
      <alignment horizontal="right" vertical="center"/>
    </xf>
    <xf numFmtId="0" fontId="43" fillId="45" borderId="0" xfId="0" applyFont="1" applyFill="1" applyAlignment="1">
      <alignment horizontal="center" vertical="center" wrapText="1"/>
    </xf>
    <xf numFmtId="3" fontId="0" fillId="0" borderId="0" xfId="0" applyNumberFormat="1" applyAlignment="1">
      <alignment horizontal="right" vertical="center"/>
    </xf>
    <xf numFmtId="3" fontId="0" fillId="38" borderId="0" xfId="0" applyNumberFormat="1" applyFill="1" applyAlignment="1">
      <alignment horizontal="right" vertical="center"/>
    </xf>
    <xf numFmtId="0" fontId="0" fillId="6" borderId="50" xfId="0" applyFill="1" applyBorder="1" applyAlignment="1">
      <alignment horizontal="center" vertical="center"/>
    </xf>
    <xf numFmtId="0" fontId="0" fillId="0" borderId="82" xfId="0" applyBorder="1" applyAlignment="1"/>
    <xf numFmtId="0" fontId="0" fillId="0" borderId="83" xfId="0" applyBorder="1" applyAlignment="1"/>
    <xf numFmtId="176" fontId="0" fillId="0" borderId="0" xfId="0" applyNumberFormat="1">
      <alignment vertical="center"/>
    </xf>
    <xf numFmtId="0" fontId="0" fillId="0" borderId="0" xfId="0" applyAlignment="1"/>
    <xf numFmtId="41" fontId="0" fillId="0" borderId="0" xfId="6" applyFont="1" applyAlignment="1">
      <alignment horizontal="center" vertical="center"/>
    </xf>
    <xf numFmtId="176" fontId="0" fillId="0" borderId="0" xfId="0" applyNumberFormat="1" applyAlignment="1">
      <alignment horizontal="right" vertical="center"/>
    </xf>
    <xf numFmtId="0" fontId="35" fillId="32" borderId="0" xfId="0" applyFont="1" applyFill="1" applyAlignment="1">
      <alignment horizontal="center" vertical="center"/>
    </xf>
    <xf numFmtId="0" fontId="0" fillId="0" borderId="0" xfId="0">
      <alignment vertical="center"/>
    </xf>
    <xf numFmtId="0" fontId="35" fillId="27" borderId="0" xfId="0" applyFont="1" applyFill="1" applyAlignment="1">
      <alignment horizontal="center" vertical="center"/>
    </xf>
    <xf numFmtId="0" fontId="35" fillId="36" borderId="0" xfId="0" applyFont="1" applyFill="1" applyAlignment="1">
      <alignment horizontal="center" vertical="center"/>
    </xf>
    <xf numFmtId="0" fontId="35" fillId="28" borderId="0" xfId="0" applyFont="1" applyFill="1" applyAlignment="1">
      <alignment horizontal="center" vertical="center"/>
    </xf>
    <xf numFmtId="0" fontId="40" fillId="40" borderId="0" xfId="0" applyFont="1" applyFill="1" applyAlignment="1">
      <alignment vertical="center" indent="1"/>
    </xf>
    <xf numFmtId="0" fontId="40" fillId="37" borderId="0" xfId="0" applyFont="1" applyFill="1" applyAlignment="1">
      <alignment vertical="center" indent="1"/>
    </xf>
  </cellXfs>
  <cellStyles count="8">
    <cellStyle name="백분율" xfId="1" builtinId="5"/>
    <cellStyle name="쉼표 [0]" xfId="6" builtinId="6"/>
    <cellStyle name="표준" xfId="0" builtinId="0"/>
    <cellStyle name="표준 2" xfId="2" xr:uid="{00000000-0005-0000-0000-00002B000000}"/>
    <cellStyle name="표준 3" xfId="3" xr:uid="{00000000-0005-0000-0000-00002C000000}"/>
    <cellStyle name="표준 4" xfId="4" xr:uid="{00000000-0005-0000-0000-00002D000000}"/>
    <cellStyle name="표준 5" xfId="5" xr:uid="{00000000-0005-0000-0000-00002E000000}"/>
    <cellStyle name="표준 6" xfId="7" xr:uid="{00000000-0005-0000-0000-000030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22</xdr:col>
      <xdr:colOff>0</xdr:colOff>
      <xdr:row>3</xdr:row>
      <xdr:rowOff>0</xdr:rowOff>
    </xdr:from>
    <xdr:to>
      <xdr:col>33</xdr:col>
      <xdr:colOff>48735</xdr:colOff>
      <xdr:row>24</xdr:row>
      <xdr:rowOff>105359</xdr:rowOff>
    </xdr:to>
    <xdr:pic>
      <xdr:nvPicPr>
        <xdr:cNvPr id="2" name="그림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7002125" y="400050"/>
          <a:ext cx="7954485" cy="4182059"/>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0</xdr:colOff>
      <xdr:row>3</xdr:row>
      <xdr:rowOff>0</xdr:rowOff>
    </xdr:from>
    <xdr:to>
      <xdr:col>32</xdr:col>
      <xdr:colOff>155426</xdr:colOff>
      <xdr:row>27</xdr:row>
      <xdr:rowOff>0</xdr:rowOff>
    </xdr:to>
    <xdr:pic>
      <xdr:nvPicPr>
        <xdr:cNvPr id="2" name="그림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6630650" y="504825"/>
          <a:ext cx="8030696" cy="4582164"/>
        </a:xfrm>
        <a:prstGeom prst="rect">
          <a:avLst/>
        </a:prstGeom>
        <a:ln>
          <a:prstDash val="solid"/>
        </a:ln>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
  <rv s="0">
    <v>12</v>
    <v>Official name</v>
    <v>0</v>
  </rv>
  <rv s="0">
    <v>12</v>
    <v>Price</v>
    <v>0</v>
  </rv>
  <rv s="0">
    <v>12</v>
    <v>Change (%)</v>
    <v>0</v>
  </rv>
  <rv s="0">
    <v>12</v>
    <v>Low</v>
    <v>0</v>
  </rv>
  <rv s="0">
    <v>12</v>
    <v>High</v>
    <v>0</v>
  </rv>
  <rv s="0">
    <v>12</v>
    <v>52 week low</v>
    <v>0</v>
  </rv>
  <rv s="0">
    <v>12</v>
    <v>52 week high</v>
    <v>0</v>
  </rv>
  <rv s="0">
    <v>12</v>
    <v>Market cap</v>
    <v>0</v>
  </rv>
  <rv s="0">
    <v>12</v>
    <v>Description</v>
    <v>0</v>
  </rv>
  <rv s="1">
    <v>12</v>
    <v>1</v>
  </rv>
</rvData>
</file>

<file path=xl/richData/rdrichvaluestructure.xml><?xml version="1.0" encoding="utf-8"?>
<rvStructures xmlns="http://schemas.microsoft.com/office/spreadsheetml/2017/richdata" count="2">
  <s t="_error">
    <k n="errorType" t="i"/>
    <k n="field" t="s"/>
    <k n="subType" t="i"/>
  </s>
  <s t="_error">
    <k n="errorType" t="i"/>
    <k n="propagated" t="b"/>
  </s>
</rvStructur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4:V491"/>
  <sheetViews>
    <sheetView workbookViewId="0">
      <selection activeCell="K280" sqref="K280"/>
    </sheetView>
  </sheetViews>
  <sheetFormatPr defaultRowHeight="17.399999999999999" x14ac:dyDescent="0.4"/>
  <cols>
    <col min="3" max="3" width="11.09765625" style="405" bestFit="1" customWidth="1"/>
    <col min="4" max="4" width="11" style="405" bestFit="1" customWidth="1"/>
    <col min="5" max="5" width="11.8984375" style="405" customWidth="1"/>
    <col min="6" max="7" width="11" style="405" bestFit="1" customWidth="1"/>
    <col min="8" max="8" width="9" style="405" bestFit="1" customWidth="1"/>
    <col min="9" max="9" width="12.19921875" style="405" customWidth="1"/>
    <col min="22" max="22" width="9.8984375" style="405" bestFit="1" customWidth="1"/>
  </cols>
  <sheetData>
    <row r="4" spans="3:22" x14ac:dyDescent="0.4">
      <c r="C4" t="s">
        <v>113</v>
      </c>
      <c r="M4" s="197" t="s">
        <v>114</v>
      </c>
      <c r="N4" s="187" t="s">
        <v>115</v>
      </c>
      <c r="O4" s="3" t="s">
        <v>116</v>
      </c>
      <c r="P4" s="210" t="s">
        <v>71</v>
      </c>
      <c r="Q4" s="211" t="s">
        <v>117</v>
      </c>
      <c r="R4" s="3" t="s">
        <v>118</v>
      </c>
      <c r="S4" s="187" t="s">
        <v>119</v>
      </c>
      <c r="T4" s="211" t="s">
        <v>120</v>
      </c>
      <c r="U4" s="3" t="s">
        <v>121</v>
      </c>
    </row>
    <row r="5" spans="3:22" x14ac:dyDescent="0.4">
      <c r="M5" s="38" t="s">
        <v>112</v>
      </c>
      <c r="N5" s="6" t="s">
        <v>122</v>
      </c>
      <c r="O5" s="6">
        <v>1</v>
      </c>
      <c r="P5" s="34">
        <v>100</v>
      </c>
      <c r="Q5" s="212">
        <v>56500</v>
      </c>
      <c r="R5" s="195">
        <v>45817</v>
      </c>
      <c r="S5" s="8" t="s">
        <v>113</v>
      </c>
      <c r="T5" s="212"/>
      <c r="U5" s="6"/>
      <c r="V5" s="2">
        <f t="shared" ref="V5:V16" si="0">P5*Q5</f>
        <v>5650000</v>
      </c>
    </row>
    <row r="6" spans="3:22" x14ac:dyDescent="0.4">
      <c r="D6" t="s">
        <v>123</v>
      </c>
      <c r="E6" t="s">
        <v>124</v>
      </c>
      <c r="F6" t="s">
        <v>125</v>
      </c>
      <c r="G6" s="2">
        <v>45000000</v>
      </c>
      <c r="H6" s="2"/>
      <c r="I6" t="s">
        <v>126</v>
      </c>
      <c r="J6" t="s">
        <v>127</v>
      </c>
      <c r="M6" s="38" t="s">
        <v>112</v>
      </c>
      <c r="N6" s="6" t="s">
        <v>122</v>
      </c>
      <c r="O6" s="6">
        <v>1</v>
      </c>
      <c r="P6" s="34">
        <v>20</v>
      </c>
      <c r="Q6" s="212">
        <v>56100</v>
      </c>
      <c r="R6" s="195">
        <v>45817</v>
      </c>
      <c r="S6" s="8" t="s">
        <v>113</v>
      </c>
      <c r="T6" s="212"/>
      <c r="U6" s="6"/>
      <c r="V6" s="2">
        <f t="shared" si="0"/>
        <v>1122000</v>
      </c>
    </row>
    <row r="7" spans="3:22" x14ac:dyDescent="0.4">
      <c r="C7" s="1">
        <v>45807</v>
      </c>
      <c r="D7" s="2">
        <f t="shared" ref="D7:D70" si="1">SUMIF($R$5:$R$269,$C7,$V$5:$V$269)</f>
        <v>24867800</v>
      </c>
      <c r="E7" s="2">
        <f t="shared" ref="E7:E70" si="2">SUMIF($U$5:$U$269,$C7,$V$5:$V$269)</f>
        <v>0</v>
      </c>
      <c r="F7" s="2">
        <f>D7-E7</f>
        <v>24867800</v>
      </c>
      <c r="G7" s="2">
        <f t="shared" ref="G7:G70" si="3">G6-H7</f>
        <v>44620000</v>
      </c>
      <c r="H7" s="2">
        <f t="shared" ref="H7:H70" si="4">SUMIF($I$7:$I$49,$C7,$J$7:$J$49)</f>
        <v>380000</v>
      </c>
      <c r="I7" s="1">
        <v>45807</v>
      </c>
      <c r="J7" s="2">
        <v>200000</v>
      </c>
      <c r="M7" s="38" t="s">
        <v>112</v>
      </c>
      <c r="N7" s="6" t="s">
        <v>122</v>
      </c>
      <c r="O7" s="6">
        <v>1</v>
      </c>
      <c r="P7" s="34">
        <v>17</v>
      </c>
      <c r="Q7" s="212">
        <v>52900</v>
      </c>
      <c r="R7" s="195">
        <v>45818</v>
      </c>
      <c r="S7" s="8" t="s">
        <v>113</v>
      </c>
      <c r="T7" s="212"/>
      <c r="U7" s="6"/>
      <c r="V7" s="2">
        <f t="shared" si="0"/>
        <v>899300</v>
      </c>
    </row>
    <row r="8" spans="3:22" x14ac:dyDescent="0.4">
      <c r="C8" s="1">
        <v>45808</v>
      </c>
      <c r="D8" s="2">
        <f t="shared" si="1"/>
        <v>0</v>
      </c>
      <c r="E8" s="2">
        <f t="shared" si="2"/>
        <v>0</v>
      </c>
      <c r="F8" s="2">
        <f t="shared" ref="F8:F71" si="5">F7+D8-E8</f>
        <v>24867800</v>
      </c>
      <c r="G8" s="2">
        <f t="shared" si="3"/>
        <v>44620000</v>
      </c>
      <c r="H8" s="2">
        <f t="shared" si="4"/>
        <v>0</v>
      </c>
      <c r="I8" s="1">
        <v>45807</v>
      </c>
      <c r="J8" s="2">
        <v>180000</v>
      </c>
      <c r="M8" s="38" t="s">
        <v>128</v>
      </c>
      <c r="N8" s="6" t="s">
        <v>122</v>
      </c>
      <c r="O8" s="6">
        <v>1</v>
      </c>
      <c r="P8" s="34">
        <v>10</v>
      </c>
      <c r="Q8" s="212">
        <v>70500</v>
      </c>
      <c r="R8" s="195">
        <v>45818</v>
      </c>
      <c r="S8" s="8" t="s">
        <v>113</v>
      </c>
      <c r="T8" s="212">
        <v>80500</v>
      </c>
      <c r="U8" s="8">
        <v>45826</v>
      </c>
      <c r="V8" s="2">
        <f t="shared" si="0"/>
        <v>705000</v>
      </c>
    </row>
    <row r="9" spans="3:22" x14ac:dyDescent="0.4">
      <c r="C9" s="1">
        <v>45809</v>
      </c>
      <c r="D9" s="2">
        <f t="shared" si="1"/>
        <v>0</v>
      </c>
      <c r="E9" s="2">
        <f t="shared" si="2"/>
        <v>0</v>
      </c>
      <c r="F9" s="2">
        <f t="shared" si="5"/>
        <v>24867800</v>
      </c>
      <c r="G9" s="2">
        <f t="shared" si="3"/>
        <v>44620000</v>
      </c>
      <c r="H9" s="2">
        <f t="shared" si="4"/>
        <v>0</v>
      </c>
      <c r="I9" s="1">
        <v>45810</v>
      </c>
      <c r="J9" s="2">
        <v>1460000</v>
      </c>
      <c r="M9" s="38" t="s">
        <v>112</v>
      </c>
      <c r="N9" s="6" t="s">
        <v>122</v>
      </c>
      <c r="O9" s="6">
        <v>1</v>
      </c>
      <c r="P9" s="34">
        <v>30</v>
      </c>
      <c r="Q9" s="212">
        <v>55300</v>
      </c>
      <c r="R9" s="195">
        <v>45819</v>
      </c>
      <c r="S9" s="8" t="s">
        <v>113</v>
      </c>
      <c r="T9" s="212"/>
      <c r="U9" s="6"/>
      <c r="V9" s="2">
        <f t="shared" si="0"/>
        <v>1659000</v>
      </c>
    </row>
    <row r="10" spans="3:22" x14ac:dyDescent="0.4">
      <c r="C10" s="1">
        <v>45810</v>
      </c>
      <c r="D10" s="2">
        <f t="shared" si="1"/>
        <v>7909180</v>
      </c>
      <c r="E10" s="2">
        <f t="shared" si="2"/>
        <v>15870500</v>
      </c>
      <c r="F10" s="2">
        <f t="shared" si="5"/>
        <v>16906480</v>
      </c>
      <c r="G10" s="2">
        <f t="shared" si="3"/>
        <v>43160000</v>
      </c>
      <c r="H10" s="2">
        <f t="shared" si="4"/>
        <v>1460000</v>
      </c>
      <c r="I10" s="1">
        <v>45812</v>
      </c>
      <c r="J10" s="2">
        <v>220000</v>
      </c>
      <c r="M10" s="38" t="s">
        <v>128</v>
      </c>
      <c r="N10" s="6" t="s">
        <v>122</v>
      </c>
      <c r="O10" s="6">
        <v>1</v>
      </c>
      <c r="P10" s="34">
        <v>10</v>
      </c>
      <c r="Q10" s="212">
        <v>71100</v>
      </c>
      <c r="R10" s="195">
        <v>45819</v>
      </c>
      <c r="S10" s="8" t="s">
        <v>113</v>
      </c>
      <c r="T10" s="212">
        <v>80500</v>
      </c>
      <c r="U10" s="8">
        <v>45826</v>
      </c>
      <c r="V10" s="2">
        <f t="shared" si="0"/>
        <v>711000</v>
      </c>
    </row>
    <row r="11" spans="3:22" x14ac:dyDescent="0.4">
      <c r="C11" s="1">
        <v>45811</v>
      </c>
      <c r="D11" s="2">
        <f t="shared" si="1"/>
        <v>0</v>
      </c>
      <c r="E11" s="2">
        <f t="shared" si="2"/>
        <v>0</v>
      </c>
      <c r="F11" s="2">
        <f t="shared" si="5"/>
        <v>16906480</v>
      </c>
      <c r="G11" s="2">
        <f t="shared" si="3"/>
        <v>43160000</v>
      </c>
      <c r="H11" s="2">
        <f t="shared" si="4"/>
        <v>0</v>
      </c>
      <c r="I11" s="1">
        <v>45813</v>
      </c>
      <c r="J11" s="2">
        <v>170000</v>
      </c>
      <c r="M11" s="38" t="s">
        <v>128</v>
      </c>
      <c r="N11" s="6" t="s">
        <v>122</v>
      </c>
      <c r="O11" s="6">
        <v>1</v>
      </c>
      <c r="P11" s="34">
        <v>13</v>
      </c>
      <c r="Q11" s="212">
        <v>71300</v>
      </c>
      <c r="R11" s="195">
        <v>45819</v>
      </c>
      <c r="S11" s="8" t="s">
        <v>113</v>
      </c>
      <c r="T11" s="212">
        <v>80500</v>
      </c>
      <c r="U11" s="8">
        <v>45826</v>
      </c>
      <c r="V11" s="2">
        <f t="shared" si="0"/>
        <v>926900</v>
      </c>
    </row>
    <row r="12" spans="3:22" x14ac:dyDescent="0.4">
      <c r="C12" s="1">
        <v>45812</v>
      </c>
      <c r="D12" s="2">
        <f t="shared" si="1"/>
        <v>13408600</v>
      </c>
      <c r="E12" s="2">
        <f t="shared" si="2"/>
        <v>9754300</v>
      </c>
      <c r="F12" s="2">
        <f t="shared" si="5"/>
        <v>20560780</v>
      </c>
      <c r="G12" s="2">
        <f t="shared" si="3"/>
        <v>42940000</v>
      </c>
      <c r="H12" s="2">
        <f t="shared" si="4"/>
        <v>220000</v>
      </c>
      <c r="I12" s="1">
        <v>45817</v>
      </c>
      <c r="J12" s="2">
        <v>270000</v>
      </c>
      <c r="M12" s="38" t="s">
        <v>112</v>
      </c>
      <c r="N12" s="6" t="s">
        <v>122</v>
      </c>
      <c r="O12" s="6">
        <v>1</v>
      </c>
      <c r="P12" s="34">
        <v>10</v>
      </c>
      <c r="Q12" s="212">
        <v>52700</v>
      </c>
      <c r="R12" s="195">
        <v>45820</v>
      </c>
      <c r="S12" s="8" t="s">
        <v>113</v>
      </c>
      <c r="T12" s="212"/>
      <c r="U12" s="6"/>
      <c r="V12" s="2">
        <f t="shared" si="0"/>
        <v>527000</v>
      </c>
    </row>
    <row r="13" spans="3:22" x14ac:dyDescent="0.4">
      <c r="C13" s="1">
        <v>45813</v>
      </c>
      <c r="D13" s="2">
        <f t="shared" si="1"/>
        <v>19892150</v>
      </c>
      <c r="E13" s="2">
        <f t="shared" si="2"/>
        <v>4536300</v>
      </c>
      <c r="F13" s="2">
        <f t="shared" si="5"/>
        <v>35916630</v>
      </c>
      <c r="G13" s="2">
        <f t="shared" si="3"/>
        <v>42770000</v>
      </c>
      <c r="H13" s="2">
        <f t="shared" si="4"/>
        <v>170000</v>
      </c>
      <c r="I13" s="1">
        <v>45818</v>
      </c>
      <c r="J13" s="2">
        <v>900000</v>
      </c>
      <c r="M13" s="38" t="s">
        <v>112</v>
      </c>
      <c r="N13" s="6" t="s">
        <v>122</v>
      </c>
      <c r="O13" s="6">
        <v>1</v>
      </c>
      <c r="P13" s="34">
        <v>6</v>
      </c>
      <c r="Q13" s="212">
        <v>51000</v>
      </c>
      <c r="R13" s="195">
        <v>45820</v>
      </c>
      <c r="S13" s="8" t="s">
        <v>113</v>
      </c>
      <c r="T13" s="212"/>
      <c r="U13" s="6"/>
      <c r="V13" s="2">
        <f t="shared" si="0"/>
        <v>306000</v>
      </c>
    </row>
    <row r="14" spans="3:22" x14ac:dyDescent="0.4">
      <c r="C14" s="1">
        <v>45814</v>
      </c>
      <c r="D14" s="2">
        <f t="shared" si="1"/>
        <v>0</v>
      </c>
      <c r="E14" s="2">
        <f t="shared" si="2"/>
        <v>0</v>
      </c>
      <c r="F14" s="2">
        <f t="shared" si="5"/>
        <v>35916630</v>
      </c>
      <c r="G14" s="2">
        <f t="shared" si="3"/>
        <v>42770000</v>
      </c>
      <c r="H14" s="2">
        <f t="shared" si="4"/>
        <v>0</v>
      </c>
      <c r="I14" s="1">
        <v>45819</v>
      </c>
      <c r="J14" s="2">
        <v>300000</v>
      </c>
      <c r="M14" s="38" t="s">
        <v>43</v>
      </c>
      <c r="N14" s="6" t="s">
        <v>122</v>
      </c>
      <c r="O14" s="6">
        <v>1</v>
      </c>
      <c r="P14" s="34">
        <v>300</v>
      </c>
      <c r="Q14" s="212">
        <v>7940</v>
      </c>
      <c r="R14" s="195">
        <v>45820</v>
      </c>
      <c r="S14" s="8" t="s">
        <v>113</v>
      </c>
      <c r="T14" s="212"/>
      <c r="U14" s="8"/>
      <c r="V14" s="2">
        <f t="shared" si="0"/>
        <v>2382000</v>
      </c>
    </row>
    <row r="15" spans="3:22" x14ac:dyDescent="0.4">
      <c r="C15" s="1">
        <v>45815</v>
      </c>
      <c r="D15" s="2">
        <f t="shared" si="1"/>
        <v>0</v>
      </c>
      <c r="E15" s="2">
        <f t="shared" si="2"/>
        <v>0</v>
      </c>
      <c r="F15" s="2">
        <f t="shared" si="5"/>
        <v>35916630</v>
      </c>
      <c r="G15" s="2">
        <f t="shared" si="3"/>
        <v>42770000</v>
      </c>
      <c r="H15" s="2">
        <f t="shared" si="4"/>
        <v>0</v>
      </c>
      <c r="I15" s="1">
        <v>45820</v>
      </c>
      <c r="J15" s="2">
        <v>410000</v>
      </c>
      <c r="M15" s="38" t="s">
        <v>128</v>
      </c>
      <c r="N15" s="6" t="s">
        <v>122</v>
      </c>
      <c r="O15" s="6">
        <v>1</v>
      </c>
      <c r="P15" s="34">
        <v>10</v>
      </c>
      <c r="Q15" s="212">
        <v>69300</v>
      </c>
      <c r="R15" s="195">
        <v>45820</v>
      </c>
      <c r="S15" s="8" t="s">
        <v>113</v>
      </c>
      <c r="T15" s="212">
        <v>80500</v>
      </c>
      <c r="U15" s="8">
        <v>45826</v>
      </c>
      <c r="V15" s="2">
        <f t="shared" si="0"/>
        <v>693000</v>
      </c>
    </row>
    <row r="16" spans="3:22" x14ac:dyDescent="0.4">
      <c r="C16" s="1">
        <v>45816</v>
      </c>
      <c r="D16" s="2">
        <f t="shared" si="1"/>
        <v>0</v>
      </c>
      <c r="E16" s="2">
        <f t="shared" si="2"/>
        <v>0</v>
      </c>
      <c r="F16" s="2">
        <f t="shared" si="5"/>
        <v>35916630</v>
      </c>
      <c r="G16" s="2">
        <f t="shared" si="3"/>
        <v>42770000</v>
      </c>
      <c r="H16" s="2">
        <f t="shared" si="4"/>
        <v>0</v>
      </c>
      <c r="I16" s="1">
        <v>45824</v>
      </c>
      <c r="J16" s="2">
        <v>450000</v>
      </c>
      <c r="M16" s="38" t="s">
        <v>128</v>
      </c>
      <c r="N16" s="6" t="s">
        <v>122</v>
      </c>
      <c r="O16" s="6">
        <v>1</v>
      </c>
      <c r="P16" s="34">
        <v>9</v>
      </c>
      <c r="Q16" s="212">
        <v>69400</v>
      </c>
      <c r="R16" s="195">
        <v>45820</v>
      </c>
      <c r="S16" s="8" t="s">
        <v>113</v>
      </c>
      <c r="T16" s="212">
        <v>80500</v>
      </c>
      <c r="U16" s="8">
        <v>45826</v>
      </c>
      <c r="V16" s="2">
        <f t="shared" si="0"/>
        <v>624600</v>
      </c>
    </row>
    <row r="17" spans="3:22" x14ac:dyDescent="0.4">
      <c r="C17" s="1">
        <v>45817</v>
      </c>
      <c r="D17" s="2">
        <f t="shared" si="1"/>
        <v>30274000</v>
      </c>
      <c r="E17" s="2">
        <f t="shared" si="2"/>
        <v>23034500</v>
      </c>
      <c r="F17" s="2">
        <f t="shared" si="5"/>
        <v>43156130</v>
      </c>
      <c r="G17" s="2">
        <f t="shared" si="3"/>
        <v>42500000</v>
      </c>
      <c r="H17" s="2">
        <f t="shared" si="4"/>
        <v>270000</v>
      </c>
      <c r="I17" s="1">
        <v>45826</v>
      </c>
      <c r="J17" s="2">
        <v>800000</v>
      </c>
      <c r="M17" s="38"/>
      <c r="N17" s="6"/>
      <c r="O17" s="6"/>
      <c r="P17" s="34"/>
      <c r="Q17" s="212"/>
      <c r="R17" s="195"/>
      <c r="S17" s="8"/>
      <c r="T17" s="212"/>
      <c r="U17" s="8"/>
      <c r="V17" s="2"/>
    </row>
    <row r="18" spans="3:22" x14ac:dyDescent="0.4">
      <c r="C18" s="1">
        <v>45818</v>
      </c>
      <c r="D18" s="2">
        <f t="shared" si="1"/>
        <v>7966300</v>
      </c>
      <c r="E18" s="2">
        <f t="shared" si="2"/>
        <v>18068450</v>
      </c>
      <c r="F18" s="2">
        <f t="shared" si="5"/>
        <v>33053980</v>
      </c>
      <c r="G18" s="2">
        <f t="shared" si="3"/>
        <v>41600000</v>
      </c>
      <c r="H18" s="2">
        <f t="shared" si="4"/>
        <v>900000</v>
      </c>
      <c r="I18" s="1">
        <v>45832</v>
      </c>
      <c r="J18" s="2">
        <v>200000</v>
      </c>
      <c r="M18" s="38"/>
      <c r="N18" s="6"/>
      <c r="O18" s="6"/>
      <c r="P18" s="34"/>
      <c r="Q18" s="212"/>
      <c r="R18" s="195"/>
      <c r="S18" s="8"/>
      <c r="T18" s="212"/>
      <c r="U18" s="8"/>
      <c r="V18" s="2"/>
    </row>
    <row r="19" spans="3:22" x14ac:dyDescent="0.4">
      <c r="C19" s="1">
        <v>45819</v>
      </c>
      <c r="D19" s="2">
        <f t="shared" si="1"/>
        <v>16033900</v>
      </c>
      <c r="E19" s="2">
        <f t="shared" si="2"/>
        <v>12183000</v>
      </c>
      <c r="F19" s="2">
        <f t="shared" si="5"/>
        <v>36904880</v>
      </c>
      <c r="G19" s="2">
        <f t="shared" si="3"/>
        <v>41300000</v>
      </c>
      <c r="H19" s="2">
        <f t="shared" si="4"/>
        <v>300000</v>
      </c>
      <c r="I19" s="1">
        <v>45834</v>
      </c>
      <c r="J19" s="2">
        <v>440000</v>
      </c>
      <c r="M19" s="38" t="s">
        <v>102</v>
      </c>
      <c r="N19" s="6" t="s">
        <v>122</v>
      </c>
      <c r="O19" s="6">
        <v>1</v>
      </c>
      <c r="P19" s="34">
        <v>3</v>
      </c>
      <c r="Q19" s="212">
        <v>66000</v>
      </c>
      <c r="R19" s="195">
        <v>45824</v>
      </c>
      <c r="S19" s="6" t="s">
        <v>113</v>
      </c>
      <c r="T19" s="212"/>
      <c r="U19" s="8"/>
      <c r="V19" s="2">
        <f t="shared" ref="V19:V26" si="6">P19*Q19</f>
        <v>198000</v>
      </c>
    </row>
    <row r="20" spans="3:22" x14ac:dyDescent="0.4">
      <c r="C20" s="1">
        <v>45820</v>
      </c>
      <c r="D20" s="2">
        <f t="shared" si="1"/>
        <v>6858600</v>
      </c>
      <c r="E20" s="2">
        <f t="shared" si="2"/>
        <v>10424280</v>
      </c>
      <c r="F20" s="2">
        <f t="shared" si="5"/>
        <v>33339200</v>
      </c>
      <c r="G20" s="2">
        <f t="shared" si="3"/>
        <v>40890000</v>
      </c>
      <c r="H20" s="2">
        <f t="shared" si="4"/>
        <v>410000</v>
      </c>
      <c r="I20" s="1">
        <v>45838</v>
      </c>
      <c r="J20" s="2">
        <v>750000</v>
      </c>
      <c r="M20" s="38" t="s">
        <v>43</v>
      </c>
      <c r="N20" s="6" t="s">
        <v>122</v>
      </c>
      <c r="O20" s="6">
        <v>1</v>
      </c>
      <c r="P20" s="34">
        <v>65</v>
      </c>
      <c r="Q20" s="212">
        <v>7450</v>
      </c>
      <c r="R20" s="195">
        <v>45824</v>
      </c>
      <c r="S20" s="8" t="s">
        <v>113</v>
      </c>
      <c r="T20" s="212"/>
      <c r="U20" s="8"/>
      <c r="V20" s="2">
        <f t="shared" si="6"/>
        <v>484250</v>
      </c>
    </row>
    <row r="21" spans="3:22" x14ac:dyDescent="0.4">
      <c r="C21" s="1">
        <v>45821</v>
      </c>
      <c r="D21" s="2">
        <f t="shared" si="1"/>
        <v>7616500</v>
      </c>
      <c r="E21" s="2">
        <f t="shared" si="2"/>
        <v>0</v>
      </c>
      <c r="F21" s="2">
        <f t="shared" si="5"/>
        <v>40955700</v>
      </c>
      <c r="G21" s="2">
        <f t="shared" si="3"/>
        <v>40890000</v>
      </c>
      <c r="H21" s="2">
        <f t="shared" si="4"/>
        <v>0</v>
      </c>
      <c r="I21" s="1">
        <v>45841</v>
      </c>
      <c r="J21" s="2">
        <v>90000</v>
      </c>
      <c r="M21" s="38" t="s">
        <v>112</v>
      </c>
      <c r="N21" s="6" t="s">
        <v>122</v>
      </c>
      <c r="O21" s="6">
        <v>1</v>
      </c>
      <c r="P21" s="34">
        <v>10</v>
      </c>
      <c r="Q21" s="212">
        <v>48100</v>
      </c>
      <c r="R21" s="195">
        <v>45825</v>
      </c>
      <c r="S21" s="8" t="s">
        <v>113</v>
      </c>
      <c r="T21" s="212"/>
      <c r="U21" s="6"/>
      <c r="V21" s="2">
        <f t="shared" si="6"/>
        <v>481000</v>
      </c>
    </row>
    <row r="22" spans="3:22" x14ac:dyDescent="0.4">
      <c r="C22" s="1">
        <v>45822</v>
      </c>
      <c r="D22" s="2">
        <f t="shared" si="1"/>
        <v>0</v>
      </c>
      <c r="E22" s="2">
        <f t="shared" si="2"/>
        <v>0</v>
      </c>
      <c r="F22" s="2">
        <f t="shared" si="5"/>
        <v>40955700</v>
      </c>
      <c r="G22" s="2">
        <f t="shared" si="3"/>
        <v>40890000</v>
      </c>
      <c r="H22" s="2">
        <f t="shared" si="4"/>
        <v>0</v>
      </c>
      <c r="I22" s="1">
        <v>45848</v>
      </c>
      <c r="J22" s="2">
        <v>500000</v>
      </c>
      <c r="M22" s="38" t="s">
        <v>22</v>
      </c>
      <c r="N22" s="6" t="s">
        <v>122</v>
      </c>
      <c r="O22" s="6">
        <v>1</v>
      </c>
      <c r="P22" s="34">
        <v>100</v>
      </c>
      <c r="Q22" s="212">
        <v>4530</v>
      </c>
      <c r="R22" s="195">
        <v>45826</v>
      </c>
      <c r="S22" s="8" t="s">
        <v>113</v>
      </c>
      <c r="T22" s="212"/>
      <c r="U22" s="8"/>
      <c r="V22" s="2">
        <f t="shared" si="6"/>
        <v>453000</v>
      </c>
    </row>
    <row r="23" spans="3:22" x14ac:dyDescent="0.4">
      <c r="C23" s="1">
        <v>45823</v>
      </c>
      <c r="D23" s="2">
        <f t="shared" si="1"/>
        <v>0</v>
      </c>
      <c r="E23" s="2">
        <f t="shared" si="2"/>
        <v>0</v>
      </c>
      <c r="F23" s="2">
        <f t="shared" si="5"/>
        <v>40955700</v>
      </c>
      <c r="G23" s="2">
        <f t="shared" si="3"/>
        <v>40890000</v>
      </c>
      <c r="H23" s="2">
        <f t="shared" si="4"/>
        <v>0</v>
      </c>
      <c r="I23" s="1">
        <v>45867</v>
      </c>
      <c r="J23" s="2">
        <v>260000</v>
      </c>
      <c r="M23" s="38" t="s">
        <v>112</v>
      </c>
      <c r="N23" s="6" t="s">
        <v>122</v>
      </c>
      <c r="O23" s="6">
        <v>1</v>
      </c>
      <c r="P23" s="34">
        <v>31</v>
      </c>
      <c r="Q23" s="212">
        <v>51000</v>
      </c>
      <c r="R23" s="195">
        <v>45826</v>
      </c>
      <c r="S23" s="8" t="s">
        <v>113</v>
      </c>
      <c r="T23" s="212"/>
      <c r="U23" s="6"/>
      <c r="V23" s="2">
        <f t="shared" si="6"/>
        <v>1581000</v>
      </c>
    </row>
    <row r="24" spans="3:22" x14ac:dyDescent="0.4">
      <c r="C24" s="1">
        <v>45824</v>
      </c>
      <c r="D24" s="2">
        <f t="shared" si="1"/>
        <v>7620770</v>
      </c>
      <c r="E24" s="2">
        <f t="shared" si="2"/>
        <v>11333000</v>
      </c>
      <c r="F24" s="2">
        <f t="shared" si="5"/>
        <v>37243470</v>
      </c>
      <c r="G24" s="2">
        <f t="shared" si="3"/>
        <v>40440000</v>
      </c>
      <c r="H24" s="2">
        <f t="shared" si="4"/>
        <v>450000</v>
      </c>
      <c r="I24" s="1">
        <v>45916</v>
      </c>
      <c r="J24" s="2">
        <v>800000</v>
      </c>
      <c r="M24" s="38" t="s">
        <v>112</v>
      </c>
      <c r="N24" s="6" t="s">
        <v>122</v>
      </c>
      <c r="O24" s="6">
        <v>1</v>
      </c>
      <c r="P24" s="34">
        <v>5</v>
      </c>
      <c r="Q24" s="212">
        <v>49800</v>
      </c>
      <c r="R24" s="195">
        <v>45826</v>
      </c>
      <c r="S24" s="8" t="s">
        <v>113</v>
      </c>
      <c r="T24" s="212"/>
      <c r="U24" s="6"/>
      <c r="V24" s="2">
        <f t="shared" si="6"/>
        <v>249000</v>
      </c>
    </row>
    <row r="25" spans="3:22" x14ac:dyDescent="0.4">
      <c r="C25" s="1">
        <v>45825</v>
      </c>
      <c r="D25" s="2">
        <f t="shared" si="1"/>
        <v>4239250</v>
      </c>
      <c r="E25" s="2">
        <f t="shared" si="2"/>
        <v>0</v>
      </c>
      <c r="F25" s="2">
        <f t="shared" si="5"/>
        <v>41482720</v>
      </c>
      <c r="G25" s="2">
        <f t="shared" si="3"/>
        <v>40440000</v>
      </c>
      <c r="H25" s="2">
        <f t="shared" si="4"/>
        <v>0</v>
      </c>
      <c r="I25" s="1">
        <v>45919</v>
      </c>
      <c r="J25" s="254">
        <v>400000</v>
      </c>
      <c r="M25" s="38" t="s">
        <v>128</v>
      </c>
      <c r="N25" s="6" t="s">
        <v>122</v>
      </c>
      <c r="O25" s="6">
        <v>1</v>
      </c>
      <c r="P25" s="34">
        <v>15</v>
      </c>
      <c r="Q25" s="212">
        <v>78000</v>
      </c>
      <c r="R25" s="195">
        <v>45826</v>
      </c>
      <c r="S25" s="8" t="s">
        <v>113</v>
      </c>
      <c r="T25" s="212"/>
      <c r="U25" s="8"/>
      <c r="V25" s="2">
        <f t="shared" si="6"/>
        <v>1170000</v>
      </c>
    </row>
    <row r="26" spans="3:22" x14ac:dyDescent="0.4">
      <c r="C26" s="1">
        <v>45826</v>
      </c>
      <c r="D26" s="2">
        <f t="shared" si="1"/>
        <v>4555000</v>
      </c>
      <c r="E26" s="2">
        <f t="shared" si="2"/>
        <v>6659270</v>
      </c>
      <c r="F26" s="2">
        <f t="shared" si="5"/>
        <v>39378450</v>
      </c>
      <c r="G26" s="2">
        <f t="shared" si="3"/>
        <v>39640000</v>
      </c>
      <c r="H26" s="2">
        <f t="shared" si="4"/>
        <v>800000</v>
      </c>
      <c r="I26" s="1">
        <v>45922</v>
      </c>
      <c r="J26" s="254">
        <v>780000</v>
      </c>
      <c r="M26" s="38" t="s">
        <v>128</v>
      </c>
      <c r="N26" s="6" t="s">
        <v>122</v>
      </c>
      <c r="O26" s="6">
        <v>1</v>
      </c>
      <c r="P26" s="34">
        <v>10</v>
      </c>
      <c r="Q26" s="212">
        <v>78400</v>
      </c>
      <c r="R26" s="195">
        <v>45826</v>
      </c>
      <c r="S26" s="8" t="s">
        <v>113</v>
      </c>
      <c r="T26" s="212"/>
      <c r="U26" s="8"/>
      <c r="V26" s="2">
        <f t="shared" si="6"/>
        <v>784000</v>
      </c>
    </row>
    <row r="27" spans="3:22" x14ac:dyDescent="0.4">
      <c r="C27" s="1">
        <v>45827</v>
      </c>
      <c r="D27" s="2">
        <f t="shared" si="1"/>
        <v>556000</v>
      </c>
      <c r="E27" s="2">
        <f t="shared" si="2"/>
        <v>0</v>
      </c>
      <c r="F27" s="2">
        <f t="shared" si="5"/>
        <v>39934450</v>
      </c>
      <c r="G27" s="2">
        <f t="shared" si="3"/>
        <v>39640000</v>
      </c>
      <c r="H27" s="2">
        <f t="shared" si="4"/>
        <v>0</v>
      </c>
      <c r="I27" s="1">
        <v>45926</v>
      </c>
      <c r="J27" s="2">
        <v>200000</v>
      </c>
      <c r="M27" s="38"/>
      <c r="N27" s="6"/>
      <c r="O27" s="6"/>
      <c r="P27" s="34"/>
      <c r="Q27" s="212"/>
      <c r="R27" s="195"/>
      <c r="S27" s="8"/>
      <c r="T27" s="212"/>
      <c r="U27" s="8"/>
      <c r="V27" s="2"/>
    </row>
    <row r="28" spans="3:22" x14ac:dyDescent="0.4">
      <c r="C28" s="1">
        <v>45828</v>
      </c>
      <c r="D28" s="2">
        <f t="shared" si="1"/>
        <v>0</v>
      </c>
      <c r="E28" s="2">
        <f t="shared" si="2"/>
        <v>0</v>
      </c>
      <c r="F28" s="2">
        <f t="shared" si="5"/>
        <v>39934450</v>
      </c>
      <c r="G28" s="2">
        <f t="shared" si="3"/>
        <v>39640000</v>
      </c>
      <c r="H28" s="2">
        <f t="shared" si="4"/>
        <v>0</v>
      </c>
      <c r="I28" s="1">
        <v>45926</v>
      </c>
      <c r="J28" s="2">
        <v>464000</v>
      </c>
      <c r="M28" s="38"/>
      <c r="N28" s="6"/>
      <c r="O28" s="6"/>
      <c r="P28" s="34"/>
      <c r="Q28" s="212"/>
      <c r="R28" s="195"/>
      <c r="S28" s="8"/>
      <c r="T28" s="212"/>
      <c r="U28" s="8"/>
      <c r="V28" s="2"/>
    </row>
    <row r="29" spans="3:22" x14ac:dyDescent="0.4">
      <c r="C29" s="1">
        <v>45829</v>
      </c>
      <c r="D29" s="2">
        <f t="shared" si="1"/>
        <v>0</v>
      </c>
      <c r="E29" s="2">
        <f t="shared" si="2"/>
        <v>0</v>
      </c>
      <c r="F29" s="2">
        <f t="shared" si="5"/>
        <v>39934450</v>
      </c>
      <c r="G29" s="2">
        <f t="shared" si="3"/>
        <v>39640000</v>
      </c>
      <c r="H29" s="2">
        <f t="shared" si="4"/>
        <v>0</v>
      </c>
      <c r="I29" s="1">
        <v>45931</v>
      </c>
      <c r="J29" s="2">
        <v>900700</v>
      </c>
      <c r="M29" s="38"/>
      <c r="N29" s="6"/>
      <c r="O29" s="6"/>
      <c r="P29" s="34"/>
      <c r="Q29" s="212"/>
      <c r="R29" s="195"/>
      <c r="S29" s="8"/>
      <c r="T29" s="212"/>
      <c r="U29" s="8"/>
      <c r="V29" s="2"/>
    </row>
    <row r="30" spans="3:22" x14ac:dyDescent="0.4">
      <c r="C30" s="1">
        <v>45830</v>
      </c>
      <c r="D30" s="2">
        <f t="shared" si="1"/>
        <v>0</v>
      </c>
      <c r="E30" s="2">
        <f t="shared" si="2"/>
        <v>0</v>
      </c>
      <c r="F30" s="2">
        <f t="shared" si="5"/>
        <v>39934450</v>
      </c>
      <c r="G30" s="2">
        <f t="shared" si="3"/>
        <v>39640000</v>
      </c>
      <c r="H30" s="2">
        <f t="shared" si="4"/>
        <v>0</v>
      </c>
      <c r="I30" s="1">
        <v>45940</v>
      </c>
      <c r="J30" s="2">
        <v>100000</v>
      </c>
      <c r="M30" s="38"/>
      <c r="N30" s="6"/>
      <c r="O30" s="6"/>
      <c r="P30" s="34"/>
      <c r="Q30" s="212"/>
      <c r="R30" s="195"/>
      <c r="S30" s="8"/>
      <c r="T30" s="212"/>
      <c r="U30" s="6"/>
      <c r="V30" s="2"/>
    </row>
    <row r="31" spans="3:22" x14ac:dyDescent="0.4">
      <c r="C31" s="1">
        <v>45831</v>
      </c>
      <c r="D31" s="2">
        <f t="shared" si="1"/>
        <v>0</v>
      </c>
      <c r="E31" s="2">
        <f t="shared" si="2"/>
        <v>0</v>
      </c>
      <c r="F31" s="2">
        <f t="shared" si="5"/>
        <v>39934450</v>
      </c>
      <c r="G31" s="2">
        <f t="shared" si="3"/>
        <v>39640000</v>
      </c>
      <c r="H31" s="2">
        <f t="shared" si="4"/>
        <v>0</v>
      </c>
      <c r="I31" s="1">
        <v>45940</v>
      </c>
      <c r="J31" s="2">
        <v>455100</v>
      </c>
      <c r="M31" s="38" t="s">
        <v>43</v>
      </c>
      <c r="N31" s="6" t="s">
        <v>122</v>
      </c>
      <c r="O31" s="6">
        <v>1</v>
      </c>
      <c r="P31" s="34">
        <v>10</v>
      </c>
      <c r="Q31" s="212">
        <v>6780</v>
      </c>
      <c r="R31" s="195">
        <v>45848</v>
      </c>
      <c r="S31" s="8" t="s">
        <v>113</v>
      </c>
      <c r="T31" s="212"/>
      <c r="U31" s="8"/>
      <c r="V31" s="2">
        <f t="shared" ref="V31:V46" si="7">P31*Q31</f>
        <v>67800</v>
      </c>
    </row>
    <row r="32" spans="3:22" x14ac:dyDescent="0.4">
      <c r="C32" s="1">
        <v>45832</v>
      </c>
      <c r="D32" s="2">
        <f t="shared" si="1"/>
        <v>0</v>
      </c>
      <c r="E32" s="2">
        <f t="shared" si="2"/>
        <v>2580200</v>
      </c>
      <c r="F32" s="2">
        <f t="shared" si="5"/>
        <v>37354250</v>
      </c>
      <c r="G32" s="2">
        <f t="shared" si="3"/>
        <v>39440000</v>
      </c>
      <c r="H32" s="2">
        <f t="shared" si="4"/>
        <v>200000</v>
      </c>
      <c r="I32" s="1">
        <v>45945</v>
      </c>
      <c r="J32" s="2">
        <v>520000</v>
      </c>
      <c r="M32" s="38" t="s">
        <v>128</v>
      </c>
      <c r="N32" s="6" t="s">
        <v>122</v>
      </c>
      <c r="O32" s="6">
        <v>1</v>
      </c>
      <c r="P32" s="34">
        <v>4</v>
      </c>
      <c r="Q32" s="212">
        <v>59300</v>
      </c>
      <c r="R32" s="195">
        <v>45848</v>
      </c>
      <c r="S32" s="8" t="s">
        <v>113</v>
      </c>
      <c r="T32" s="212"/>
      <c r="U32" s="8"/>
      <c r="V32" s="2">
        <f t="shared" si="7"/>
        <v>237200</v>
      </c>
    </row>
    <row r="33" spans="3:22" x14ac:dyDescent="0.4">
      <c r="C33" s="1">
        <v>45833</v>
      </c>
      <c r="D33" s="2">
        <f t="shared" si="1"/>
        <v>2485000</v>
      </c>
      <c r="E33" s="2">
        <f t="shared" si="2"/>
        <v>0</v>
      </c>
      <c r="F33" s="2">
        <f t="shared" si="5"/>
        <v>39839250</v>
      </c>
      <c r="G33" s="2">
        <f t="shared" si="3"/>
        <v>39440000</v>
      </c>
      <c r="H33" s="2">
        <f t="shared" si="4"/>
        <v>0</v>
      </c>
      <c r="I33" s="1">
        <v>45950</v>
      </c>
      <c r="J33" s="2">
        <v>72300</v>
      </c>
      <c r="M33" s="38" t="s">
        <v>129</v>
      </c>
      <c r="N33" s="6" t="s">
        <v>122</v>
      </c>
      <c r="O33" s="6">
        <v>1</v>
      </c>
      <c r="P33" s="34">
        <v>50</v>
      </c>
      <c r="Q33" s="212">
        <v>7320</v>
      </c>
      <c r="R33" s="195">
        <v>45855</v>
      </c>
      <c r="S33" s="8" t="s">
        <v>113</v>
      </c>
      <c r="T33" s="212">
        <v>6600</v>
      </c>
      <c r="U33" s="8">
        <v>46057</v>
      </c>
      <c r="V33" s="2">
        <f t="shared" si="7"/>
        <v>366000</v>
      </c>
    </row>
    <row r="34" spans="3:22" x14ac:dyDescent="0.4">
      <c r="C34" s="1">
        <v>45834</v>
      </c>
      <c r="D34" s="2">
        <f t="shared" si="1"/>
        <v>0</v>
      </c>
      <c r="E34" s="2">
        <f t="shared" si="2"/>
        <v>2611000</v>
      </c>
      <c r="F34" s="2">
        <f t="shared" si="5"/>
        <v>37228250</v>
      </c>
      <c r="G34" s="2">
        <f t="shared" si="3"/>
        <v>39000000</v>
      </c>
      <c r="H34" s="2">
        <f t="shared" si="4"/>
        <v>440000</v>
      </c>
      <c r="I34" s="1">
        <v>45957</v>
      </c>
      <c r="J34" s="2">
        <v>315000</v>
      </c>
      <c r="M34" s="38" t="s">
        <v>129</v>
      </c>
      <c r="N34" s="6" t="s">
        <v>122</v>
      </c>
      <c r="O34" s="6">
        <v>1</v>
      </c>
      <c r="P34" s="34">
        <v>20</v>
      </c>
      <c r="Q34" s="212">
        <v>6450</v>
      </c>
      <c r="R34" s="195">
        <v>45861</v>
      </c>
      <c r="S34" s="8" t="s">
        <v>113</v>
      </c>
      <c r="T34" s="212">
        <v>6600</v>
      </c>
      <c r="U34" s="8">
        <v>46057</v>
      </c>
      <c r="V34" s="2">
        <f t="shared" si="7"/>
        <v>129000</v>
      </c>
    </row>
    <row r="35" spans="3:22" x14ac:dyDescent="0.4">
      <c r="C35" s="1">
        <v>45835</v>
      </c>
      <c r="D35" s="2">
        <f t="shared" si="1"/>
        <v>307500</v>
      </c>
      <c r="E35" s="2">
        <f t="shared" si="2"/>
        <v>0</v>
      </c>
      <c r="F35" s="2">
        <f t="shared" si="5"/>
        <v>37535750</v>
      </c>
      <c r="G35" s="2">
        <f t="shared" si="3"/>
        <v>39000000</v>
      </c>
      <c r="H35" s="2">
        <f t="shared" si="4"/>
        <v>0</v>
      </c>
      <c r="I35" s="1">
        <v>45958</v>
      </c>
      <c r="J35" s="2">
        <v>570000</v>
      </c>
      <c r="M35" s="38" t="s">
        <v>129</v>
      </c>
      <c r="N35" s="6" t="s">
        <v>122</v>
      </c>
      <c r="O35" s="6">
        <v>1</v>
      </c>
      <c r="P35" s="34">
        <v>20</v>
      </c>
      <c r="Q35" s="212">
        <v>5930</v>
      </c>
      <c r="R35" s="195">
        <v>45880</v>
      </c>
      <c r="S35" s="8" t="s">
        <v>113</v>
      </c>
      <c r="T35" s="212">
        <v>6600</v>
      </c>
      <c r="U35" s="8">
        <v>46057</v>
      </c>
      <c r="V35" s="2">
        <f t="shared" si="7"/>
        <v>118600</v>
      </c>
    </row>
    <row r="36" spans="3:22" x14ac:dyDescent="0.4">
      <c r="C36" s="1">
        <v>45836</v>
      </c>
      <c r="D36" s="2">
        <f t="shared" si="1"/>
        <v>0</v>
      </c>
      <c r="E36" s="2">
        <f t="shared" si="2"/>
        <v>0</v>
      </c>
      <c r="F36" s="2">
        <f t="shared" si="5"/>
        <v>37535750</v>
      </c>
      <c r="G36" s="2">
        <f t="shared" si="3"/>
        <v>39000000</v>
      </c>
      <c r="H36" s="2">
        <f t="shared" si="4"/>
        <v>0</v>
      </c>
      <c r="I36" s="1">
        <v>45961</v>
      </c>
      <c r="J36" s="2">
        <v>1500000</v>
      </c>
      <c r="M36" s="38" t="s">
        <v>43</v>
      </c>
      <c r="N36" s="6" t="s">
        <v>122</v>
      </c>
      <c r="O36" s="6">
        <v>1</v>
      </c>
      <c r="P36" s="34">
        <v>22</v>
      </c>
      <c r="Q36" s="212">
        <v>5750</v>
      </c>
      <c r="R36" s="195">
        <v>45894</v>
      </c>
      <c r="S36" s="8" t="s">
        <v>113</v>
      </c>
      <c r="T36" s="212"/>
      <c r="U36" s="8"/>
      <c r="V36" s="2">
        <f t="shared" si="7"/>
        <v>126500</v>
      </c>
    </row>
    <row r="37" spans="3:22" x14ac:dyDescent="0.4">
      <c r="C37" s="1">
        <v>45837</v>
      </c>
      <c r="D37" s="2">
        <f t="shared" si="1"/>
        <v>0</v>
      </c>
      <c r="E37" s="2">
        <f t="shared" si="2"/>
        <v>0</v>
      </c>
      <c r="F37" s="2">
        <f t="shared" si="5"/>
        <v>37535750</v>
      </c>
      <c r="G37" s="2">
        <f t="shared" si="3"/>
        <v>39000000</v>
      </c>
      <c r="H37" s="2">
        <f t="shared" si="4"/>
        <v>0</v>
      </c>
      <c r="I37" s="1">
        <v>45971</v>
      </c>
      <c r="J37" s="2">
        <v>105400</v>
      </c>
      <c r="M37" s="38" t="s">
        <v>128</v>
      </c>
      <c r="N37" s="6" t="s">
        <v>122</v>
      </c>
      <c r="O37" s="6">
        <v>1</v>
      </c>
      <c r="P37" s="34">
        <v>7</v>
      </c>
      <c r="Q37" s="212">
        <v>52800</v>
      </c>
      <c r="R37" s="195">
        <v>45894</v>
      </c>
      <c r="S37" s="8" t="s">
        <v>113</v>
      </c>
      <c r="T37" s="212"/>
      <c r="U37" s="8"/>
      <c r="V37" s="2">
        <f t="shared" si="7"/>
        <v>369600</v>
      </c>
    </row>
    <row r="38" spans="3:22" x14ac:dyDescent="0.4">
      <c r="C38" s="1">
        <v>45838</v>
      </c>
      <c r="D38" s="2">
        <f t="shared" si="1"/>
        <v>2548000</v>
      </c>
      <c r="E38" s="2">
        <f t="shared" si="2"/>
        <v>3456500</v>
      </c>
      <c r="F38" s="2">
        <f t="shared" si="5"/>
        <v>36627250</v>
      </c>
      <c r="G38" s="2">
        <f t="shared" si="3"/>
        <v>38250000</v>
      </c>
      <c r="H38" s="2">
        <f t="shared" si="4"/>
        <v>750000</v>
      </c>
      <c r="I38" s="1">
        <v>45973</v>
      </c>
      <c r="J38" s="2">
        <v>937009</v>
      </c>
      <c r="M38" s="38" t="s">
        <v>129</v>
      </c>
      <c r="N38" s="6" t="s">
        <v>122</v>
      </c>
      <c r="O38" s="6">
        <v>1</v>
      </c>
      <c r="P38" s="34">
        <v>30</v>
      </c>
      <c r="Q38" s="212">
        <v>5350</v>
      </c>
      <c r="R38" s="195">
        <v>45894</v>
      </c>
      <c r="S38" s="8" t="s">
        <v>113</v>
      </c>
      <c r="T38" s="212">
        <v>6600</v>
      </c>
      <c r="U38" s="8">
        <v>46057</v>
      </c>
      <c r="V38" s="2">
        <f t="shared" si="7"/>
        <v>160500</v>
      </c>
    </row>
    <row r="39" spans="3:22" x14ac:dyDescent="0.4">
      <c r="C39" s="1">
        <v>45839</v>
      </c>
      <c r="D39" s="2">
        <f t="shared" si="1"/>
        <v>2574700</v>
      </c>
      <c r="E39" s="2">
        <f t="shared" si="2"/>
        <v>0</v>
      </c>
      <c r="F39" s="2">
        <f t="shared" si="5"/>
        <v>39201950</v>
      </c>
      <c r="G39" s="2">
        <f t="shared" si="3"/>
        <v>38250000</v>
      </c>
      <c r="H39" s="2">
        <f t="shared" si="4"/>
        <v>0</v>
      </c>
      <c r="I39" s="1">
        <v>45987</v>
      </c>
      <c r="J39" s="2">
        <v>400000</v>
      </c>
      <c r="M39" s="38" t="s">
        <v>129</v>
      </c>
      <c r="N39" s="6" t="s">
        <v>122</v>
      </c>
      <c r="O39" s="6">
        <v>1</v>
      </c>
      <c r="P39" s="34">
        <v>150</v>
      </c>
      <c r="Q39" s="212">
        <v>6370</v>
      </c>
      <c r="R39" s="195">
        <v>45916</v>
      </c>
      <c r="S39" s="8" t="s">
        <v>113</v>
      </c>
      <c r="T39" s="212">
        <v>6600</v>
      </c>
      <c r="U39" s="8">
        <v>46057</v>
      </c>
      <c r="V39" s="2">
        <f t="shared" si="7"/>
        <v>955500</v>
      </c>
    </row>
    <row r="40" spans="3:22" x14ac:dyDescent="0.4">
      <c r="C40" s="1">
        <v>45840</v>
      </c>
      <c r="D40" s="2">
        <f t="shared" si="1"/>
        <v>0</v>
      </c>
      <c r="E40" s="2">
        <f t="shared" si="2"/>
        <v>0</v>
      </c>
      <c r="F40" s="2">
        <f t="shared" si="5"/>
        <v>39201950</v>
      </c>
      <c r="G40" s="2">
        <f t="shared" si="3"/>
        <v>38250000</v>
      </c>
      <c r="H40" s="2">
        <f t="shared" si="4"/>
        <v>0</v>
      </c>
      <c r="I40" s="1">
        <v>45994</v>
      </c>
      <c r="J40" s="2">
        <v>530000</v>
      </c>
      <c r="M40" s="38" t="s">
        <v>129</v>
      </c>
      <c r="N40" s="6" t="s">
        <v>122</v>
      </c>
      <c r="O40" s="6">
        <v>1</v>
      </c>
      <c r="P40" s="34">
        <v>80</v>
      </c>
      <c r="Q40" s="212">
        <v>6070</v>
      </c>
      <c r="R40" s="195">
        <v>45917</v>
      </c>
      <c r="S40" s="8" t="s">
        <v>113</v>
      </c>
      <c r="T40" s="212">
        <v>7000</v>
      </c>
      <c r="U40" s="8">
        <v>46063</v>
      </c>
      <c r="V40" s="2">
        <f t="shared" si="7"/>
        <v>485600</v>
      </c>
    </row>
    <row r="41" spans="3:22" x14ac:dyDescent="0.4">
      <c r="C41" s="1">
        <v>45841</v>
      </c>
      <c r="D41" s="2">
        <f t="shared" si="1"/>
        <v>0</v>
      </c>
      <c r="E41" s="2">
        <f t="shared" si="2"/>
        <v>1839000</v>
      </c>
      <c r="F41" s="2">
        <f t="shared" si="5"/>
        <v>37362950</v>
      </c>
      <c r="G41" s="2">
        <f t="shared" si="3"/>
        <v>38160000</v>
      </c>
      <c r="H41" s="2">
        <f t="shared" si="4"/>
        <v>90000</v>
      </c>
      <c r="I41" s="1">
        <v>46003</v>
      </c>
      <c r="J41" s="2">
        <v>680000</v>
      </c>
      <c r="M41" s="38" t="s">
        <v>24</v>
      </c>
      <c r="N41" s="6" t="s">
        <v>122</v>
      </c>
      <c r="O41" s="6">
        <v>1</v>
      </c>
      <c r="P41" s="34">
        <v>70</v>
      </c>
      <c r="Q41" s="212">
        <v>7240</v>
      </c>
      <c r="R41" s="195">
        <v>45918</v>
      </c>
      <c r="S41" s="8"/>
      <c r="T41" s="212"/>
      <c r="U41" s="8"/>
      <c r="V41" s="2">
        <f t="shared" si="7"/>
        <v>506800</v>
      </c>
    </row>
    <row r="42" spans="3:22" x14ac:dyDescent="0.4">
      <c r="C42" s="1">
        <v>45842</v>
      </c>
      <c r="D42" s="2">
        <f t="shared" si="1"/>
        <v>365400</v>
      </c>
      <c r="E42" s="2">
        <f t="shared" si="2"/>
        <v>0</v>
      </c>
      <c r="F42" s="2">
        <f t="shared" si="5"/>
        <v>37728350</v>
      </c>
      <c r="G42" s="2">
        <f t="shared" si="3"/>
        <v>38160000</v>
      </c>
      <c r="H42" s="2">
        <f t="shared" si="4"/>
        <v>0</v>
      </c>
      <c r="I42" s="1">
        <v>46010</v>
      </c>
      <c r="J42" s="2">
        <v>1050491</v>
      </c>
      <c r="M42" s="38" t="s">
        <v>24</v>
      </c>
      <c r="N42" s="6" t="s">
        <v>122</v>
      </c>
      <c r="O42" s="6">
        <v>1</v>
      </c>
      <c r="P42" s="34">
        <v>50</v>
      </c>
      <c r="Q42" s="212">
        <v>7140</v>
      </c>
      <c r="R42" s="195">
        <v>45919</v>
      </c>
      <c r="S42" s="8"/>
      <c r="T42" s="212"/>
      <c r="U42" s="8"/>
      <c r="V42" s="2">
        <f t="shared" si="7"/>
        <v>357000</v>
      </c>
    </row>
    <row r="43" spans="3:22" x14ac:dyDescent="0.4">
      <c r="C43" s="1">
        <v>45843</v>
      </c>
      <c r="D43" s="2">
        <f t="shared" si="1"/>
        <v>0</v>
      </c>
      <c r="E43" s="2">
        <f t="shared" si="2"/>
        <v>0</v>
      </c>
      <c r="F43" s="2">
        <f t="shared" si="5"/>
        <v>37728350</v>
      </c>
      <c r="G43" s="2">
        <f t="shared" si="3"/>
        <v>38160000</v>
      </c>
      <c r="H43" s="2">
        <f t="shared" si="4"/>
        <v>0</v>
      </c>
      <c r="I43" s="1">
        <v>46021</v>
      </c>
      <c r="J43" s="2">
        <v>800000</v>
      </c>
      <c r="M43" s="38" t="s">
        <v>24</v>
      </c>
      <c r="N43" s="6" t="s">
        <v>122</v>
      </c>
      <c r="O43" s="6">
        <v>1</v>
      </c>
      <c r="P43" s="34">
        <v>50</v>
      </c>
      <c r="Q43" s="212">
        <v>7000</v>
      </c>
      <c r="R43" s="195">
        <v>45919</v>
      </c>
      <c r="S43" s="8"/>
      <c r="T43" s="212"/>
      <c r="U43" s="8"/>
      <c r="V43" s="2">
        <f t="shared" si="7"/>
        <v>350000</v>
      </c>
    </row>
    <row r="44" spans="3:22" x14ac:dyDescent="0.4">
      <c r="C44" s="1">
        <v>45844</v>
      </c>
      <c r="D44" s="2">
        <f t="shared" si="1"/>
        <v>0</v>
      </c>
      <c r="E44" s="2">
        <f t="shared" si="2"/>
        <v>0</v>
      </c>
      <c r="F44" s="2">
        <f t="shared" si="5"/>
        <v>37728350</v>
      </c>
      <c r="G44" s="2">
        <f t="shared" si="3"/>
        <v>38160000</v>
      </c>
      <c r="H44" s="2">
        <f t="shared" si="4"/>
        <v>0</v>
      </c>
      <c r="I44" s="1">
        <v>46058</v>
      </c>
      <c r="J44" s="2">
        <v>310000</v>
      </c>
      <c r="M44" s="38" t="s">
        <v>22</v>
      </c>
      <c r="N44" s="6" t="s">
        <v>122</v>
      </c>
      <c r="O44" s="6">
        <v>1</v>
      </c>
      <c r="P44" s="34">
        <v>20</v>
      </c>
      <c r="Q44" s="212">
        <v>5480</v>
      </c>
      <c r="R44" s="195">
        <v>45922</v>
      </c>
      <c r="S44" s="8"/>
      <c r="T44" s="212"/>
      <c r="U44" s="8"/>
      <c r="V44" s="2">
        <f t="shared" si="7"/>
        <v>109600</v>
      </c>
    </row>
    <row r="45" spans="3:22" x14ac:dyDescent="0.4">
      <c r="C45" s="1">
        <v>45845</v>
      </c>
      <c r="D45" s="2">
        <f t="shared" si="1"/>
        <v>0</v>
      </c>
      <c r="E45" s="2">
        <f t="shared" si="2"/>
        <v>0</v>
      </c>
      <c r="F45" s="2">
        <f t="shared" si="5"/>
        <v>37728350</v>
      </c>
      <c r="G45" s="2">
        <f t="shared" si="3"/>
        <v>38160000</v>
      </c>
      <c r="H45" s="2">
        <f t="shared" si="4"/>
        <v>0</v>
      </c>
      <c r="I45" s="1">
        <v>46063</v>
      </c>
      <c r="J45" s="2">
        <v>630000</v>
      </c>
      <c r="M45" s="38" t="s">
        <v>24</v>
      </c>
      <c r="N45" s="6" t="s">
        <v>122</v>
      </c>
      <c r="O45" s="6">
        <v>1</v>
      </c>
      <c r="P45" s="34">
        <v>30</v>
      </c>
      <c r="Q45" s="212">
        <v>6970</v>
      </c>
      <c r="R45" s="195">
        <v>45922</v>
      </c>
      <c r="S45" s="8"/>
      <c r="T45" s="212"/>
      <c r="U45" s="8"/>
      <c r="V45" s="2">
        <f t="shared" si="7"/>
        <v>209100</v>
      </c>
    </row>
    <row r="46" spans="3:22" x14ac:dyDescent="0.4">
      <c r="C46" s="1">
        <v>45846</v>
      </c>
      <c r="D46" s="2">
        <f t="shared" si="1"/>
        <v>0</v>
      </c>
      <c r="E46" s="2">
        <f t="shared" si="2"/>
        <v>0</v>
      </c>
      <c r="F46" s="2">
        <f t="shared" si="5"/>
        <v>37728350</v>
      </c>
      <c r="G46" s="2">
        <f t="shared" si="3"/>
        <v>38160000</v>
      </c>
      <c r="H46" s="2">
        <f t="shared" si="4"/>
        <v>0</v>
      </c>
      <c r="I46" s="1">
        <v>46063</v>
      </c>
      <c r="J46" s="2">
        <v>350000</v>
      </c>
      <c r="M46" s="38" t="s">
        <v>129</v>
      </c>
      <c r="N46" s="6" t="s">
        <v>122</v>
      </c>
      <c r="O46" s="6">
        <v>1</v>
      </c>
      <c r="P46" s="34">
        <v>60</v>
      </c>
      <c r="Q46" s="212">
        <v>5950</v>
      </c>
      <c r="R46" s="195">
        <v>45922</v>
      </c>
      <c r="S46" s="8" t="s">
        <v>113</v>
      </c>
      <c r="T46" s="212">
        <v>7000</v>
      </c>
      <c r="U46" s="8">
        <v>46063</v>
      </c>
      <c r="V46" s="2">
        <f t="shared" si="7"/>
        <v>357000</v>
      </c>
    </row>
    <row r="47" spans="3:22" x14ac:dyDescent="0.4">
      <c r="C47" s="1">
        <v>45847</v>
      </c>
      <c r="D47" s="2">
        <f t="shared" si="1"/>
        <v>0</v>
      </c>
      <c r="E47" s="2">
        <f t="shared" si="2"/>
        <v>3715500</v>
      </c>
      <c r="F47" s="2">
        <f t="shared" si="5"/>
        <v>34012850</v>
      </c>
      <c r="G47" s="2">
        <f t="shared" si="3"/>
        <v>38160000</v>
      </c>
      <c r="H47" s="2">
        <f t="shared" si="4"/>
        <v>0</v>
      </c>
      <c r="I47" s="1">
        <v>46067</v>
      </c>
      <c r="J47" s="2">
        <v>270000</v>
      </c>
      <c r="M47" s="38"/>
      <c r="N47" s="6"/>
      <c r="O47" s="6"/>
      <c r="P47" s="34"/>
      <c r="Q47" s="212"/>
      <c r="R47" s="195"/>
      <c r="S47" s="8"/>
      <c r="T47" s="212"/>
      <c r="U47" s="8"/>
      <c r="V47" s="2"/>
    </row>
    <row r="48" spans="3:22" x14ac:dyDescent="0.4">
      <c r="C48" s="1">
        <v>45848</v>
      </c>
      <c r="D48" s="2">
        <f t="shared" si="1"/>
        <v>5434000</v>
      </c>
      <c r="E48" s="2">
        <f t="shared" si="2"/>
        <v>2835300</v>
      </c>
      <c r="F48" s="2">
        <f t="shared" si="5"/>
        <v>36611550</v>
      </c>
      <c r="G48" s="2">
        <f t="shared" si="3"/>
        <v>37660000</v>
      </c>
      <c r="H48" s="2">
        <f t="shared" si="4"/>
        <v>500000</v>
      </c>
      <c r="I48" s="1">
        <v>46076</v>
      </c>
      <c r="J48" s="2">
        <v>650000</v>
      </c>
      <c r="M48" s="38"/>
      <c r="N48" s="6"/>
      <c r="O48" s="6"/>
      <c r="P48" s="34"/>
      <c r="Q48" s="212"/>
      <c r="R48" s="195"/>
      <c r="S48" s="8"/>
      <c r="T48" s="212"/>
      <c r="U48" s="8"/>
      <c r="V48" s="2"/>
    </row>
    <row r="49" spans="3:22" x14ac:dyDescent="0.4">
      <c r="C49" s="1">
        <v>45849</v>
      </c>
      <c r="D49" s="2">
        <f t="shared" si="1"/>
        <v>841500</v>
      </c>
      <c r="E49" s="2">
        <f t="shared" si="2"/>
        <v>0</v>
      </c>
      <c r="F49" s="2">
        <f t="shared" si="5"/>
        <v>37453050</v>
      </c>
      <c r="G49" s="2">
        <f t="shared" si="3"/>
        <v>37660000</v>
      </c>
      <c r="H49" s="2">
        <f t="shared" si="4"/>
        <v>0</v>
      </c>
      <c r="I49" s="1">
        <v>46085</v>
      </c>
      <c r="J49" s="2">
        <v>1800000</v>
      </c>
      <c r="M49" s="38" t="s">
        <v>22</v>
      </c>
      <c r="N49" s="6" t="s">
        <v>122</v>
      </c>
      <c r="O49" s="6">
        <v>1</v>
      </c>
      <c r="P49" s="34">
        <v>50</v>
      </c>
      <c r="Q49" s="212">
        <v>5300</v>
      </c>
      <c r="R49" s="195">
        <v>45924</v>
      </c>
      <c r="S49" s="8"/>
      <c r="T49" s="212"/>
      <c r="U49" s="8"/>
      <c r="V49" s="2">
        <f t="shared" ref="V49:V65" si="8">P49*Q49</f>
        <v>265000</v>
      </c>
    </row>
    <row r="50" spans="3:22" x14ac:dyDescent="0.4">
      <c r="C50" s="1">
        <v>45850</v>
      </c>
      <c r="D50" s="2">
        <f t="shared" si="1"/>
        <v>0</v>
      </c>
      <c r="E50" s="2">
        <f t="shared" si="2"/>
        <v>0</v>
      </c>
      <c r="F50" s="2">
        <f t="shared" si="5"/>
        <v>37453050</v>
      </c>
      <c r="G50" s="2">
        <f t="shared" si="3"/>
        <v>37660000</v>
      </c>
      <c r="H50" s="2">
        <f t="shared" si="4"/>
        <v>0</v>
      </c>
      <c r="J50" s="2"/>
      <c r="M50" s="38" t="s">
        <v>130</v>
      </c>
      <c r="N50" s="6" t="s">
        <v>122</v>
      </c>
      <c r="O50" s="6">
        <v>1</v>
      </c>
      <c r="P50" s="34">
        <v>10</v>
      </c>
      <c r="Q50" s="212">
        <v>9700</v>
      </c>
      <c r="R50" s="195">
        <v>45924</v>
      </c>
      <c r="S50" s="8"/>
      <c r="T50" s="212"/>
      <c r="U50" s="8"/>
      <c r="V50" s="2">
        <f t="shared" si="8"/>
        <v>97000</v>
      </c>
    </row>
    <row r="51" spans="3:22" x14ac:dyDescent="0.4">
      <c r="C51" s="1">
        <v>45851</v>
      </c>
      <c r="D51" s="2">
        <f t="shared" si="1"/>
        <v>0</v>
      </c>
      <c r="E51" s="2">
        <f t="shared" si="2"/>
        <v>0</v>
      </c>
      <c r="F51" s="2">
        <f t="shared" si="5"/>
        <v>37453050</v>
      </c>
      <c r="G51" s="2">
        <f t="shared" si="3"/>
        <v>37660000</v>
      </c>
      <c r="H51" s="2">
        <f t="shared" si="4"/>
        <v>0</v>
      </c>
      <c r="M51" s="38" t="s">
        <v>109</v>
      </c>
      <c r="N51" s="6" t="s">
        <v>122</v>
      </c>
      <c r="O51" s="6">
        <v>1</v>
      </c>
      <c r="P51" s="34">
        <v>100</v>
      </c>
      <c r="Q51" s="212">
        <v>6400</v>
      </c>
      <c r="R51" s="195">
        <v>45924</v>
      </c>
      <c r="S51" s="8" t="s">
        <v>113</v>
      </c>
      <c r="T51" s="212">
        <v>7250</v>
      </c>
      <c r="U51" s="8">
        <v>46063</v>
      </c>
      <c r="V51" s="2">
        <f t="shared" si="8"/>
        <v>640000</v>
      </c>
    </row>
    <row r="52" spans="3:22" x14ac:dyDescent="0.4">
      <c r="C52" s="1">
        <v>45852</v>
      </c>
      <c r="D52" s="2">
        <f t="shared" si="1"/>
        <v>0</v>
      </c>
      <c r="E52" s="2">
        <f t="shared" si="2"/>
        <v>0</v>
      </c>
      <c r="F52" s="2">
        <f t="shared" si="5"/>
        <v>37453050</v>
      </c>
      <c r="G52" s="2">
        <f t="shared" si="3"/>
        <v>37660000</v>
      </c>
      <c r="H52" s="2">
        <f t="shared" si="4"/>
        <v>0</v>
      </c>
      <c r="M52" s="38" t="s">
        <v>131</v>
      </c>
      <c r="N52" s="6" t="s">
        <v>122</v>
      </c>
      <c r="O52" s="6">
        <v>1</v>
      </c>
      <c r="P52" s="34">
        <v>10</v>
      </c>
      <c r="Q52" s="212">
        <v>6800</v>
      </c>
      <c r="R52" s="195">
        <v>45929</v>
      </c>
      <c r="S52" s="8"/>
      <c r="T52" s="212"/>
      <c r="U52" s="8"/>
      <c r="V52" s="2">
        <f t="shared" si="8"/>
        <v>68000</v>
      </c>
    </row>
    <row r="53" spans="3:22" x14ac:dyDescent="0.4">
      <c r="C53" s="1">
        <v>45853</v>
      </c>
      <c r="D53" s="2">
        <f t="shared" si="1"/>
        <v>0</v>
      </c>
      <c r="E53" s="2">
        <f t="shared" si="2"/>
        <v>0</v>
      </c>
      <c r="F53" s="2">
        <f t="shared" si="5"/>
        <v>37453050</v>
      </c>
      <c r="G53" s="2">
        <f t="shared" si="3"/>
        <v>37660000</v>
      </c>
      <c r="H53" s="2">
        <f t="shared" si="4"/>
        <v>0</v>
      </c>
      <c r="M53" s="38" t="s">
        <v>131</v>
      </c>
      <c r="N53" s="6" t="s">
        <v>122</v>
      </c>
      <c r="O53" s="6">
        <v>1</v>
      </c>
      <c r="P53" s="34">
        <v>10</v>
      </c>
      <c r="Q53" s="212">
        <v>6300</v>
      </c>
      <c r="R53" s="195">
        <v>45929</v>
      </c>
      <c r="S53" s="8"/>
      <c r="T53" s="212"/>
      <c r="U53" s="8"/>
      <c r="V53" s="2">
        <f t="shared" si="8"/>
        <v>63000</v>
      </c>
    </row>
    <row r="54" spans="3:22" x14ac:dyDescent="0.4">
      <c r="C54" s="1">
        <v>45854</v>
      </c>
      <c r="D54" s="2">
        <f t="shared" si="1"/>
        <v>0</v>
      </c>
      <c r="E54" s="2">
        <f t="shared" si="2"/>
        <v>0</v>
      </c>
      <c r="F54" s="2">
        <f t="shared" si="5"/>
        <v>37453050</v>
      </c>
      <c r="G54" s="2">
        <f t="shared" si="3"/>
        <v>37660000</v>
      </c>
      <c r="H54" s="2">
        <f t="shared" si="4"/>
        <v>0</v>
      </c>
      <c r="M54" s="38" t="s">
        <v>109</v>
      </c>
      <c r="N54" s="6" t="s">
        <v>122</v>
      </c>
      <c r="O54" s="6">
        <v>1</v>
      </c>
      <c r="P54" s="34">
        <v>50</v>
      </c>
      <c r="Q54" s="212">
        <v>5900</v>
      </c>
      <c r="R54" s="195">
        <v>45930</v>
      </c>
      <c r="S54" s="8"/>
      <c r="T54" s="212"/>
      <c r="U54" s="8"/>
      <c r="V54" s="2">
        <f t="shared" si="8"/>
        <v>295000</v>
      </c>
    </row>
    <row r="55" spans="3:22" x14ac:dyDescent="0.4">
      <c r="C55" s="1">
        <v>45855</v>
      </c>
      <c r="D55" s="2">
        <f t="shared" si="1"/>
        <v>366000</v>
      </c>
      <c r="E55" s="2">
        <f t="shared" si="2"/>
        <v>0</v>
      </c>
      <c r="F55" s="2">
        <f t="shared" si="5"/>
        <v>37819050</v>
      </c>
      <c r="G55" s="2">
        <f t="shared" si="3"/>
        <v>37660000</v>
      </c>
      <c r="H55" s="2">
        <f t="shared" si="4"/>
        <v>0</v>
      </c>
      <c r="M55" s="38" t="s">
        <v>43</v>
      </c>
      <c r="N55" s="6" t="s">
        <v>122</v>
      </c>
      <c r="O55" s="6">
        <v>1</v>
      </c>
      <c r="P55" s="34">
        <v>50</v>
      </c>
      <c r="Q55" s="212">
        <v>4110</v>
      </c>
      <c r="R55" s="195">
        <v>45930</v>
      </c>
      <c r="S55" s="8"/>
      <c r="T55" s="212"/>
      <c r="U55" s="8"/>
      <c r="V55" s="2">
        <f t="shared" si="8"/>
        <v>205500</v>
      </c>
    </row>
    <row r="56" spans="3:22" x14ac:dyDescent="0.4">
      <c r="C56" s="1">
        <v>45856</v>
      </c>
      <c r="D56" s="2">
        <f t="shared" si="1"/>
        <v>0</v>
      </c>
      <c r="E56" s="2">
        <f t="shared" si="2"/>
        <v>0</v>
      </c>
      <c r="F56" s="2">
        <f t="shared" si="5"/>
        <v>37819050</v>
      </c>
      <c r="G56" s="2">
        <f t="shared" si="3"/>
        <v>37660000</v>
      </c>
      <c r="H56" s="2">
        <f t="shared" si="4"/>
        <v>0</v>
      </c>
      <c r="M56" s="38" t="s">
        <v>129</v>
      </c>
      <c r="N56" s="6" t="s">
        <v>122</v>
      </c>
      <c r="O56" s="6">
        <v>1</v>
      </c>
      <c r="P56" s="34">
        <v>10</v>
      </c>
      <c r="Q56" s="212">
        <v>5600</v>
      </c>
      <c r="R56" s="195">
        <v>45930</v>
      </c>
      <c r="S56" s="8" t="s">
        <v>113</v>
      </c>
      <c r="T56" s="212">
        <v>6600</v>
      </c>
      <c r="U56" s="8">
        <v>46057</v>
      </c>
      <c r="V56" s="2">
        <f t="shared" si="8"/>
        <v>56000</v>
      </c>
    </row>
    <row r="57" spans="3:22" x14ac:dyDescent="0.4">
      <c r="C57" s="1">
        <v>45857</v>
      </c>
      <c r="D57" s="2">
        <f t="shared" si="1"/>
        <v>0</v>
      </c>
      <c r="E57" s="2">
        <f t="shared" si="2"/>
        <v>0</v>
      </c>
      <c r="F57" s="2">
        <f t="shared" si="5"/>
        <v>37819050</v>
      </c>
      <c r="G57" s="2">
        <f t="shared" si="3"/>
        <v>37660000</v>
      </c>
      <c r="H57" s="2">
        <f t="shared" si="4"/>
        <v>0</v>
      </c>
      <c r="M57" s="38" t="s">
        <v>131</v>
      </c>
      <c r="N57" s="6" t="s">
        <v>122</v>
      </c>
      <c r="O57" s="6">
        <v>1</v>
      </c>
      <c r="P57" s="34">
        <v>20</v>
      </c>
      <c r="Q57" s="212">
        <v>7050</v>
      </c>
      <c r="R57" s="195">
        <v>45930</v>
      </c>
      <c r="S57" s="8"/>
      <c r="T57" s="212"/>
      <c r="U57" s="8"/>
      <c r="V57" s="2">
        <f t="shared" si="8"/>
        <v>141000</v>
      </c>
    </row>
    <row r="58" spans="3:22" x14ac:dyDescent="0.4">
      <c r="C58" s="1">
        <v>45858</v>
      </c>
      <c r="D58" s="2">
        <f t="shared" si="1"/>
        <v>0</v>
      </c>
      <c r="E58" s="2">
        <f t="shared" si="2"/>
        <v>0</v>
      </c>
      <c r="F58" s="2">
        <f t="shared" si="5"/>
        <v>37819050</v>
      </c>
      <c r="G58" s="2">
        <f t="shared" si="3"/>
        <v>37660000</v>
      </c>
      <c r="H58" s="2">
        <f t="shared" si="4"/>
        <v>0</v>
      </c>
      <c r="M58" s="38" t="s">
        <v>131</v>
      </c>
      <c r="N58" s="6" t="s">
        <v>122</v>
      </c>
      <c r="O58" s="6">
        <v>1</v>
      </c>
      <c r="P58" s="34">
        <v>30</v>
      </c>
      <c r="Q58" s="212">
        <v>6700</v>
      </c>
      <c r="R58" s="195">
        <v>45930</v>
      </c>
      <c r="S58" s="8"/>
      <c r="T58" s="212"/>
      <c r="U58" s="8"/>
      <c r="V58" s="2">
        <f t="shared" si="8"/>
        <v>201000</v>
      </c>
    </row>
    <row r="59" spans="3:22" x14ac:dyDescent="0.4">
      <c r="C59" s="1">
        <v>45859</v>
      </c>
      <c r="D59" s="2">
        <f t="shared" si="1"/>
        <v>240000</v>
      </c>
      <c r="E59" s="2">
        <f t="shared" si="2"/>
        <v>0</v>
      </c>
      <c r="F59" s="2">
        <f t="shared" si="5"/>
        <v>38059050</v>
      </c>
      <c r="G59" s="2">
        <f t="shared" si="3"/>
        <v>37660000</v>
      </c>
      <c r="H59" s="2">
        <f t="shared" si="4"/>
        <v>0</v>
      </c>
      <c r="M59" s="38" t="s">
        <v>131</v>
      </c>
      <c r="N59" s="6" t="s">
        <v>122</v>
      </c>
      <c r="O59" s="6">
        <v>1</v>
      </c>
      <c r="P59" s="34">
        <v>100</v>
      </c>
      <c r="Q59" s="212">
        <v>6600</v>
      </c>
      <c r="R59" s="195">
        <v>45930</v>
      </c>
      <c r="S59" s="8"/>
      <c r="T59" s="212"/>
      <c r="U59" s="8"/>
      <c r="V59" s="2">
        <f t="shared" si="8"/>
        <v>660000</v>
      </c>
    </row>
    <row r="60" spans="3:22" x14ac:dyDescent="0.4">
      <c r="C60" s="1">
        <v>45860</v>
      </c>
      <c r="D60" s="2">
        <f t="shared" si="1"/>
        <v>0</v>
      </c>
      <c r="E60" s="2">
        <f t="shared" si="2"/>
        <v>0</v>
      </c>
      <c r="F60" s="2">
        <f t="shared" si="5"/>
        <v>38059050</v>
      </c>
      <c r="G60" s="2">
        <f t="shared" si="3"/>
        <v>37660000</v>
      </c>
      <c r="H60" s="2">
        <f t="shared" si="4"/>
        <v>0</v>
      </c>
      <c r="M60" s="38" t="s">
        <v>131</v>
      </c>
      <c r="N60" s="6" t="s">
        <v>122</v>
      </c>
      <c r="O60" s="6">
        <v>1</v>
      </c>
      <c r="P60" s="34">
        <v>30</v>
      </c>
      <c r="Q60" s="212">
        <v>6450</v>
      </c>
      <c r="R60" s="195">
        <v>45930</v>
      </c>
      <c r="S60" s="8"/>
      <c r="T60" s="212"/>
      <c r="U60" s="8"/>
      <c r="V60" s="2">
        <f t="shared" si="8"/>
        <v>193500</v>
      </c>
    </row>
    <row r="61" spans="3:22" x14ac:dyDescent="0.4">
      <c r="C61" s="1">
        <v>45861</v>
      </c>
      <c r="D61" s="2">
        <f t="shared" si="1"/>
        <v>332150</v>
      </c>
      <c r="E61" s="2">
        <f t="shared" si="2"/>
        <v>0</v>
      </c>
      <c r="F61" s="2">
        <f t="shared" si="5"/>
        <v>38391200</v>
      </c>
      <c r="G61" s="2">
        <f t="shared" si="3"/>
        <v>37660000</v>
      </c>
      <c r="H61" s="2">
        <f t="shared" si="4"/>
        <v>0</v>
      </c>
      <c r="M61" s="38" t="s">
        <v>131</v>
      </c>
      <c r="N61" s="6" t="s">
        <v>122</v>
      </c>
      <c r="O61" s="6">
        <v>1</v>
      </c>
      <c r="P61" s="34">
        <v>30</v>
      </c>
      <c r="Q61" s="212">
        <v>6600</v>
      </c>
      <c r="R61" s="195">
        <v>45931</v>
      </c>
      <c r="S61" s="8"/>
      <c r="T61" s="212"/>
      <c r="U61" s="8"/>
      <c r="V61" s="2">
        <f t="shared" si="8"/>
        <v>198000</v>
      </c>
    </row>
    <row r="62" spans="3:22" x14ac:dyDescent="0.4">
      <c r="C62" s="1">
        <v>45862</v>
      </c>
      <c r="D62" s="2">
        <f t="shared" si="1"/>
        <v>0</v>
      </c>
      <c r="E62" s="2">
        <f t="shared" si="2"/>
        <v>0</v>
      </c>
      <c r="F62" s="2">
        <f t="shared" si="5"/>
        <v>38391200</v>
      </c>
      <c r="G62" s="2">
        <f t="shared" si="3"/>
        <v>37660000</v>
      </c>
      <c r="H62" s="2">
        <f t="shared" si="4"/>
        <v>0</v>
      </c>
      <c r="M62" s="38" t="s">
        <v>131</v>
      </c>
      <c r="N62" s="6" t="s">
        <v>122</v>
      </c>
      <c r="O62" s="6">
        <v>1</v>
      </c>
      <c r="P62" s="34">
        <v>30</v>
      </c>
      <c r="Q62" s="212">
        <v>6500</v>
      </c>
      <c r="R62" s="195">
        <v>45932</v>
      </c>
      <c r="S62" s="8"/>
      <c r="T62" s="212"/>
      <c r="U62" s="8"/>
      <c r="V62" s="2">
        <f t="shared" si="8"/>
        <v>195000</v>
      </c>
    </row>
    <row r="63" spans="3:22" x14ac:dyDescent="0.4">
      <c r="C63" s="1">
        <v>45863</v>
      </c>
      <c r="D63" s="2">
        <f t="shared" si="1"/>
        <v>0</v>
      </c>
      <c r="E63" s="2">
        <f t="shared" si="2"/>
        <v>0</v>
      </c>
      <c r="F63" s="2">
        <f t="shared" si="5"/>
        <v>38391200</v>
      </c>
      <c r="G63" s="2">
        <f t="shared" si="3"/>
        <v>37660000</v>
      </c>
      <c r="H63" s="2">
        <f t="shared" si="4"/>
        <v>0</v>
      </c>
      <c r="M63" s="38" t="s">
        <v>109</v>
      </c>
      <c r="N63" s="6" t="s">
        <v>122</v>
      </c>
      <c r="O63" s="6">
        <v>1</v>
      </c>
      <c r="P63" s="34">
        <v>35</v>
      </c>
      <c r="Q63" s="212">
        <v>5800</v>
      </c>
      <c r="R63" s="195">
        <v>45940</v>
      </c>
      <c r="S63" s="8"/>
      <c r="T63" s="212"/>
      <c r="U63" s="8"/>
      <c r="V63" s="2">
        <f t="shared" si="8"/>
        <v>203000</v>
      </c>
    </row>
    <row r="64" spans="3:22" x14ac:dyDescent="0.4">
      <c r="C64" s="1">
        <v>45864</v>
      </c>
      <c r="D64" s="2">
        <f t="shared" si="1"/>
        <v>0</v>
      </c>
      <c r="E64" s="2">
        <f t="shared" si="2"/>
        <v>0</v>
      </c>
      <c r="F64" s="2">
        <f t="shared" si="5"/>
        <v>38391200</v>
      </c>
      <c r="G64" s="2">
        <f t="shared" si="3"/>
        <v>37660000</v>
      </c>
      <c r="H64" s="2">
        <f t="shared" si="4"/>
        <v>0</v>
      </c>
      <c r="M64" s="38" t="s">
        <v>130</v>
      </c>
      <c r="N64" s="6" t="s">
        <v>122</v>
      </c>
      <c r="O64" s="6">
        <v>1</v>
      </c>
      <c r="P64" s="34">
        <v>8</v>
      </c>
      <c r="Q64" s="212">
        <v>9000</v>
      </c>
      <c r="R64" s="195">
        <v>45940</v>
      </c>
      <c r="S64" s="8"/>
      <c r="T64" s="212"/>
      <c r="U64" s="8"/>
      <c r="V64" s="2">
        <f t="shared" si="8"/>
        <v>72000</v>
      </c>
    </row>
    <row r="65" spans="3:22" x14ac:dyDescent="0.4">
      <c r="C65" s="1">
        <v>45865</v>
      </c>
      <c r="D65" s="2">
        <f t="shared" si="1"/>
        <v>0</v>
      </c>
      <c r="E65" s="2">
        <f t="shared" si="2"/>
        <v>0</v>
      </c>
      <c r="F65" s="2">
        <f t="shared" si="5"/>
        <v>38391200</v>
      </c>
      <c r="G65" s="2">
        <f t="shared" si="3"/>
        <v>37660000</v>
      </c>
      <c r="H65" s="2">
        <f t="shared" si="4"/>
        <v>0</v>
      </c>
      <c r="M65" s="38" t="s">
        <v>129</v>
      </c>
      <c r="N65" s="6" t="s">
        <v>122</v>
      </c>
      <c r="O65" s="6">
        <v>1</v>
      </c>
      <c r="P65" s="34">
        <v>20</v>
      </c>
      <c r="Q65" s="212">
        <v>5580</v>
      </c>
      <c r="R65" s="195">
        <v>45940</v>
      </c>
      <c r="S65" s="8" t="s">
        <v>113</v>
      </c>
      <c r="T65" s="212">
        <v>6600</v>
      </c>
      <c r="U65" s="8">
        <v>46057</v>
      </c>
      <c r="V65" s="2">
        <f t="shared" si="8"/>
        <v>111600</v>
      </c>
    </row>
    <row r="66" spans="3:22" x14ac:dyDescent="0.4">
      <c r="C66" s="1">
        <v>45866</v>
      </c>
      <c r="D66" s="2">
        <f t="shared" si="1"/>
        <v>0</v>
      </c>
      <c r="E66" s="2">
        <f t="shared" si="2"/>
        <v>0</v>
      </c>
      <c r="F66" s="2">
        <f t="shared" si="5"/>
        <v>38391200</v>
      </c>
      <c r="G66" s="2">
        <f t="shared" si="3"/>
        <v>37660000</v>
      </c>
      <c r="H66" s="2">
        <f t="shared" si="4"/>
        <v>0</v>
      </c>
      <c r="M66" s="38"/>
      <c r="N66" s="6"/>
      <c r="O66" s="6"/>
      <c r="P66" s="34"/>
      <c r="Q66" s="212"/>
      <c r="R66" s="195"/>
      <c r="S66" s="8"/>
      <c r="T66" s="212"/>
      <c r="U66" s="8"/>
      <c r="V66" s="2"/>
    </row>
    <row r="67" spans="3:22" x14ac:dyDescent="0.4">
      <c r="C67" s="1">
        <v>45867</v>
      </c>
      <c r="D67" s="2">
        <f t="shared" si="1"/>
        <v>0</v>
      </c>
      <c r="E67" s="2">
        <f t="shared" si="2"/>
        <v>2567000</v>
      </c>
      <c r="F67" s="2">
        <f t="shared" si="5"/>
        <v>35824200</v>
      </c>
      <c r="G67" s="2">
        <f t="shared" si="3"/>
        <v>37400000</v>
      </c>
      <c r="H67" s="2">
        <f t="shared" si="4"/>
        <v>260000</v>
      </c>
      <c r="M67" s="38"/>
      <c r="N67" s="6"/>
      <c r="O67" s="6"/>
      <c r="P67" s="34"/>
      <c r="Q67" s="212"/>
      <c r="R67" s="195"/>
      <c r="S67" s="8"/>
      <c r="T67" s="212"/>
      <c r="U67" s="8"/>
      <c r="V67" s="2"/>
    </row>
    <row r="68" spans="3:22" x14ac:dyDescent="0.4">
      <c r="C68" s="1">
        <v>45868</v>
      </c>
      <c r="D68" s="2">
        <f t="shared" si="1"/>
        <v>0</v>
      </c>
      <c r="E68" s="2">
        <f t="shared" si="2"/>
        <v>0</v>
      </c>
      <c r="F68" s="2">
        <f t="shared" si="5"/>
        <v>35824200</v>
      </c>
      <c r="G68" s="2">
        <f t="shared" si="3"/>
        <v>37400000</v>
      </c>
      <c r="H68" s="2">
        <f t="shared" si="4"/>
        <v>0</v>
      </c>
      <c r="M68" s="38"/>
      <c r="N68" s="6"/>
      <c r="O68" s="6"/>
      <c r="P68" s="34"/>
      <c r="Q68" s="212"/>
      <c r="R68" s="195"/>
      <c r="S68" s="8"/>
      <c r="T68" s="212"/>
      <c r="U68" s="8"/>
      <c r="V68" s="2"/>
    </row>
    <row r="69" spans="3:22" x14ac:dyDescent="0.4">
      <c r="C69" s="1">
        <v>45869</v>
      </c>
      <c r="D69" s="2">
        <f t="shared" si="1"/>
        <v>0</v>
      </c>
      <c r="E69" s="2">
        <f t="shared" si="2"/>
        <v>0</v>
      </c>
      <c r="F69" s="2">
        <f t="shared" si="5"/>
        <v>35824200</v>
      </c>
      <c r="G69" s="2">
        <f t="shared" si="3"/>
        <v>37400000</v>
      </c>
      <c r="H69" s="2">
        <f t="shared" si="4"/>
        <v>0</v>
      </c>
      <c r="M69" s="38"/>
      <c r="N69" s="6"/>
      <c r="O69" s="6"/>
      <c r="P69" s="34"/>
      <c r="Q69" s="212"/>
      <c r="R69" s="195"/>
      <c r="S69" s="8"/>
      <c r="T69" s="212"/>
      <c r="U69" s="8"/>
      <c r="V69" s="2"/>
    </row>
    <row r="70" spans="3:22" x14ac:dyDescent="0.4">
      <c r="C70" s="1">
        <v>45870</v>
      </c>
      <c r="D70" s="2">
        <f t="shared" si="1"/>
        <v>0</v>
      </c>
      <c r="E70" s="2">
        <f t="shared" si="2"/>
        <v>0</v>
      </c>
      <c r="F70" s="2">
        <f t="shared" si="5"/>
        <v>35824200</v>
      </c>
      <c r="G70" s="2">
        <f t="shared" si="3"/>
        <v>37400000</v>
      </c>
      <c r="H70" s="2">
        <f t="shared" si="4"/>
        <v>0</v>
      </c>
      <c r="M70" s="38"/>
      <c r="N70" s="6"/>
      <c r="O70" s="6"/>
      <c r="P70" s="34"/>
      <c r="Q70" s="212"/>
      <c r="R70" s="195"/>
      <c r="S70" s="8"/>
      <c r="T70" s="212"/>
      <c r="U70" s="8"/>
      <c r="V70" s="2"/>
    </row>
    <row r="71" spans="3:22" x14ac:dyDescent="0.4">
      <c r="C71" s="1">
        <v>45871</v>
      </c>
      <c r="D71" s="2">
        <f t="shared" ref="D71:D134" si="9">SUMIF($R$5:$R$269,$C71,$V$5:$V$269)</f>
        <v>0</v>
      </c>
      <c r="E71" s="2">
        <f t="shared" ref="E71:E134" si="10">SUMIF($U$5:$U$269,$C71,$V$5:$V$269)</f>
        <v>0</v>
      </c>
      <c r="F71" s="2">
        <f t="shared" si="5"/>
        <v>35824200</v>
      </c>
      <c r="G71" s="2">
        <f t="shared" ref="G71:G134" si="11">G70-H71</f>
        <v>37400000</v>
      </c>
      <c r="H71" s="2">
        <f t="shared" ref="H71:H134" si="12">SUMIF($I$7:$I$49,$C71,$J$7:$J$49)</f>
        <v>0</v>
      </c>
      <c r="M71" s="38"/>
      <c r="N71" s="6"/>
      <c r="O71" s="6"/>
      <c r="P71" s="34"/>
      <c r="Q71" s="212"/>
      <c r="R71" s="195"/>
      <c r="S71" s="8"/>
      <c r="T71" s="212"/>
      <c r="U71" s="8"/>
      <c r="V71" s="2"/>
    </row>
    <row r="72" spans="3:22" x14ac:dyDescent="0.4">
      <c r="C72" s="1">
        <v>45872</v>
      </c>
      <c r="D72" s="2">
        <f t="shared" si="9"/>
        <v>0</v>
      </c>
      <c r="E72" s="2">
        <f t="shared" si="10"/>
        <v>0</v>
      </c>
      <c r="F72" s="2">
        <f t="shared" ref="F72:F135" si="13">F71+D72-E72</f>
        <v>35824200</v>
      </c>
      <c r="G72" s="2">
        <f t="shared" si="11"/>
        <v>37400000</v>
      </c>
      <c r="H72" s="2">
        <f t="shared" si="12"/>
        <v>0</v>
      </c>
      <c r="M72" s="38"/>
      <c r="N72" s="6"/>
      <c r="O72" s="6"/>
      <c r="P72" s="34"/>
      <c r="Q72" s="212"/>
      <c r="R72" s="195"/>
      <c r="S72" s="8"/>
      <c r="T72" s="212"/>
      <c r="U72" s="8"/>
      <c r="V72" s="2"/>
    </row>
    <row r="73" spans="3:22" x14ac:dyDescent="0.4">
      <c r="C73" s="1">
        <v>45873</v>
      </c>
      <c r="D73" s="2">
        <f t="shared" si="9"/>
        <v>0</v>
      </c>
      <c r="E73" s="2">
        <f t="shared" si="10"/>
        <v>0</v>
      </c>
      <c r="F73" s="2">
        <f t="shared" si="13"/>
        <v>35824200</v>
      </c>
      <c r="G73" s="2">
        <f t="shared" si="11"/>
        <v>37400000</v>
      </c>
      <c r="H73" s="2">
        <f t="shared" si="12"/>
        <v>0</v>
      </c>
      <c r="M73" s="38"/>
      <c r="N73" s="6"/>
      <c r="O73" s="6"/>
      <c r="P73" s="34"/>
      <c r="Q73" s="212"/>
      <c r="R73" s="195"/>
      <c r="S73" s="8"/>
      <c r="T73" s="212"/>
      <c r="U73" s="8"/>
      <c r="V73" s="2"/>
    </row>
    <row r="74" spans="3:22" x14ac:dyDescent="0.4">
      <c r="C74" s="1">
        <v>45874</v>
      </c>
      <c r="D74" s="2">
        <f t="shared" si="9"/>
        <v>0</v>
      </c>
      <c r="E74" s="2">
        <f t="shared" si="10"/>
        <v>0</v>
      </c>
      <c r="F74" s="2">
        <f t="shared" si="13"/>
        <v>35824200</v>
      </c>
      <c r="G74" s="2">
        <f t="shared" si="11"/>
        <v>37400000</v>
      </c>
      <c r="H74" s="2">
        <f t="shared" si="12"/>
        <v>0</v>
      </c>
      <c r="M74" s="38"/>
      <c r="N74" s="6"/>
      <c r="O74" s="6"/>
      <c r="P74" s="34"/>
      <c r="Q74" s="212"/>
      <c r="R74" s="195"/>
      <c r="S74" s="8"/>
      <c r="T74" s="212"/>
      <c r="U74" s="8"/>
      <c r="V74" s="2"/>
    </row>
    <row r="75" spans="3:22" x14ac:dyDescent="0.4">
      <c r="C75" s="1">
        <v>45875</v>
      </c>
      <c r="D75" s="2">
        <f t="shared" si="9"/>
        <v>0</v>
      </c>
      <c r="E75" s="2">
        <f t="shared" si="10"/>
        <v>0</v>
      </c>
      <c r="F75" s="2">
        <f t="shared" si="13"/>
        <v>35824200</v>
      </c>
      <c r="G75" s="2">
        <f t="shared" si="11"/>
        <v>37400000</v>
      </c>
      <c r="H75" s="2">
        <f t="shared" si="12"/>
        <v>0</v>
      </c>
      <c r="M75" s="38"/>
      <c r="N75" s="6"/>
      <c r="O75" s="6"/>
      <c r="P75" s="34"/>
      <c r="Q75" s="212"/>
      <c r="R75" s="195"/>
      <c r="S75" s="8"/>
      <c r="T75" s="212"/>
      <c r="U75" s="8"/>
      <c r="V75" s="2"/>
    </row>
    <row r="76" spans="3:22" x14ac:dyDescent="0.4">
      <c r="C76" s="1">
        <v>45876</v>
      </c>
      <c r="D76" s="2">
        <f t="shared" si="9"/>
        <v>0</v>
      </c>
      <c r="E76" s="2">
        <f t="shared" si="10"/>
        <v>0</v>
      </c>
      <c r="F76" s="2">
        <f t="shared" si="13"/>
        <v>35824200</v>
      </c>
      <c r="G76" s="2">
        <f t="shared" si="11"/>
        <v>37400000</v>
      </c>
      <c r="H76" s="2">
        <f t="shared" si="12"/>
        <v>0</v>
      </c>
      <c r="M76" s="38"/>
      <c r="N76" s="6"/>
      <c r="O76" s="6"/>
      <c r="P76" s="34"/>
      <c r="Q76" s="212"/>
      <c r="R76" s="195"/>
      <c r="S76" s="8"/>
      <c r="T76" s="212"/>
      <c r="U76" s="8"/>
      <c r="V76" s="2"/>
    </row>
    <row r="77" spans="3:22" x14ac:dyDescent="0.4">
      <c r="C77" s="1">
        <v>45877</v>
      </c>
      <c r="D77" s="2">
        <f t="shared" si="9"/>
        <v>0</v>
      </c>
      <c r="E77" s="2">
        <f t="shared" si="10"/>
        <v>0</v>
      </c>
      <c r="F77" s="2">
        <f t="shared" si="13"/>
        <v>35824200</v>
      </c>
      <c r="G77" s="2">
        <f t="shared" si="11"/>
        <v>37400000</v>
      </c>
      <c r="H77" s="2">
        <f t="shared" si="12"/>
        <v>0</v>
      </c>
      <c r="M77" s="38"/>
      <c r="N77" s="6"/>
      <c r="O77" s="6"/>
      <c r="P77" s="34"/>
      <c r="Q77" s="212"/>
      <c r="R77" s="195"/>
      <c r="S77" s="8"/>
      <c r="T77" s="212"/>
      <c r="U77" s="8"/>
      <c r="V77" s="2"/>
    </row>
    <row r="78" spans="3:22" x14ac:dyDescent="0.4">
      <c r="C78" s="1">
        <v>45878</v>
      </c>
      <c r="D78" s="2">
        <f t="shared" si="9"/>
        <v>0</v>
      </c>
      <c r="E78" s="2">
        <f t="shared" si="10"/>
        <v>0</v>
      </c>
      <c r="F78" s="2">
        <f t="shared" si="13"/>
        <v>35824200</v>
      </c>
      <c r="G78" s="2">
        <f t="shared" si="11"/>
        <v>37400000</v>
      </c>
      <c r="H78" s="2">
        <f t="shared" si="12"/>
        <v>0</v>
      </c>
      <c r="M78" s="38"/>
      <c r="N78" s="6"/>
      <c r="O78" s="6"/>
      <c r="P78" s="34"/>
      <c r="Q78" s="212"/>
      <c r="R78" s="195"/>
      <c r="S78" s="8"/>
      <c r="T78" s="212"/>
      <c r="U78" s="8"/>
      <c r="V78" s="2"/>
    </row>
    <row r="79" spans="3:22" x14ac:dyDescent="0.4">
      <c r="C79" s="1">
        <v>45879</v>
      </c>
      <c r="D79" s="2">
        <f t="shared" si="9"/>
        <v>0</v>
      </c>
      <c r="E79" s="2">
        <f t="shared" si="10"/>
        <v>0</v>
      </c>
      <c r="F79" s="2">
        <f t="shared" si="13"/>
        <v>35824200</v>
      </c>
      <c r="G79" s="2">
        <f t="shared" si="11"/>
        <v>37400000</v>
      </c>
      <c r="H79" s="2">
        <f t="shared" si="12"/>
        <v>0</v>
      </c>
      <c r="M79" s="38"/>
      <c r="N79" s="6"/>
      <c r="O79" s="6"/>
      <c r="P79" s="34"/>
      <c r="Q79" s="212"/>
      <c r="R79" s="195"/>
      <c r="S79" s="8"/>
      <c r="T79" s="212"/>
      <c r="U79" s="8"/>
      <c r="V79" s="2"/>
    </row>
    <row r="80" spans="3:22" x14ac:dyDescent="0.4">
      <c r="C80" s="1">
        <v>45880</v>
      </c>
      <c r="D80" s="2">
        <f t="shared" si="9"/>
        <v>224600</v>
      </c>
      <c r="E80" s="2">
        <f t="shared" si="10"/>
        <v>0</v>
      </c>
      <c r="F80" s="2">
        <f t="shared" si="13"/>
        <v>36048800</v>
      </c>
      <c r="G80" s="2">
        <f t="shared" si="11"/>
        <v>37400000</v>
      </c>
      <c r="H80" s="2">
        <f t="shared" si="12"/>
        <v>0</v>
      </c>
      <c r="M80" s="38"/>
      <c r="N80" s="6"/>
      <c r="O80" s="6"/>
      <c r="P80" s="34"/>
      <c r="Q80" s="212"/>
      <c r="R80" s="195"/>
      <c r="S80" s="8"/>
      <c r="T80" s="212"/>
      <c r="U80" s="8"/>
      <c r="V80" s="2"/>
    </row>
    <row r="81" spans="3:22" x14ac:dyDescent="0.4">
      <c r="C81" s="1">
        <v>45881</v>
      </c>
      <c r="D81" s="2">
        <f t="shared" si="9"/>
        <v>0</v>
      </c>
      <c r="E81" s="2">
        <f t="shared" si="10"/>
        <v>0</v>
      </c>
      <c r="F81" s="2">
        <f t="shared" si="13"/>
        <v>36048800</v>
      </c>
      <c r="G81" s="2">
        <f t="shared" si="11"/>
        <v>37400000</v>
      </c>
      <c r="H81" s="2">
        <f t="shared" si="12"/>
        <v>0</v>
      </c>
      <c r="M81" s="38"/>
      <c r="N81" s="6"/>
      <c r="O81" s="6"/>
      <c r="P81" s="34"/>
      <c r="Q81" s="212"/>
      <c r="R81" s="195"/>
      <c r="S81" s="8"/>
      <c r="T81" s="212"/>
      <c r="U81" s="8"/>
      <c r="V81" s="2"/>
    </row>
    <row r="82" spans="3:22" x14ac:dyDescent="0.4">
      <c r="C82" s="1">
        <v>45882</v>
      </c>
      <c r="D82" s="2">
        <f t="shared" si="9"/>
        <v>0</v>
      </c>
      <c r="E82" s="2">
        <f t="shared" si="10"/>
        <v>0</v>
      </c>
      <c r="F82" s="2">
        <f t="shared" si="13"/>
        <v>36048800</v>
      </c>
      <c r="G82" s="2">
        <f t="shared" si="11"/>
        <v>37400000</v>
      </c>
      <c r="H82" s="2">
        <f t="shared" si="12"/>
        <v>0</v>
      </c>
      <c r="M82" s="38"/>
      <c r="N82" s="6"/>
      <c r="O82" s="6"/>
      <c r="P82" s="34"/>
      <c r="Q82" s="212"/>
      <c r="R82" s="195"/>
      <c r="S82" s="8"/>
      <c r="T82" s="212"/>
      <c r="U82" s="8"/>
      <c r="V82" s="2"/>
    </row>
    <row r="83" spans="3:22" x14ac:dyDescent="0.4">
      <c r="C83" s="1">
        <v>45883</v>
      </c>
      <c r="D83" s="2">
        <f t="shared" si="9"/>
        <v>0</v>
      </c>
      <c r="E83" s="2">
        <f t="shared" si="10"/>
        <v>0</v>
      </c>
      <c r="F83" s="2">
        <f t="shared" si="13"/>
        <v>36048800</v>
      </c>
      <c r="G83" s="2">
        <f t="shared" si="11"/>
        <v>37400000</v>
      </c>
      <c r="H83" s="2">
        <f t="shared" si="12"/>
        <v>0</v>
      </c>
      <c r="M83" s="38"/>
      <c r="N83" s="6"/>
      <c r="O83" s="6"/>
      <c r="P83" s="34"/>
      <c r="Q83" s="212"/>
      <c r="R83" s="195"/>
      <c r="S83" s="8"/>
      <c r="T83" s="212"/>
      <c r="U83" s="8"/>
      <c r="V83" s="2"/>
    </row>
    <row r="84" spans="3:22" x14ac:dyDescent="0.4">
      <c r="C84" s="1">
        <v>45884</v>
      </c>
      <c r="D84" s="2">
        <f t="shared" si="9"/>
        <v>0</v>
      </c>
      <c r="E84" s="2">
        <f t="shared" si="10"/>
        <v>0</v>
      </c>
      <c r="F84" s="2">
        <f t="shared" si="13"/>
        <v>36048800</v>
      </c>
      <c r="G84" s="2">
        <f t="shared" si="11"/>
        <v>37400000</v>
      </c>
      <c r="H84" s="2">
        <f t="shared" si="12"/>
        <v>0</v>
      </c>
      <c r="M84" s="38"/>
      <c r="N84" s="6"/>
      <c r="O84" s="6"/>
      <c r="P84" s="34"/>
      <c r="Q84" s="212"/>
      <c r="R84" s="195"/>
      <c r="S84" s="8"/>
      <c r="T84" s="212"/>
      <c r="U84" s="8"/>
      <c r="V84" s="2"/>
    </row>
    <row r="85" spans="3:22" x14ac:dyDescent="0.4">
      <c r="C85" s="1">
        <v>45885</v>
      </c>
      <c r="D85" s="2">
        <f t="shared" si="9"/>
        <v>0</v>
      </c>
      <c r="E85" s="2">
        <f t="shared" si="10"/>
        <v>0</v>
      </c>
      <c r="F85" s="2">
        <f t="shared" si="13"/>
        <v>36048800</v>
      </c>
      <c r="G85" s="2">
        <f t="shared" si="11"/>
        <v>37400000</v>
      </c>
      <c r="H85" s="2">
        <f t="shared" si="12"/>
        <v>0</v>
      </c>
      <c r="M85" s="38"/>
      <c r="N85" s="6"/>
      <c r="O85" s="6"/>
      <c r="P85" s="34"/>
      <c r="Q85" s="212"/>
      <c r="R85" s="195"/>
      <c r="S85" s="8"/>
      <c r="T85" s="212"/>
      <c r="U85" s="8"/>
      <c r="V85" s="2"/>
    </row>
    <row r="86" spans="3:22" x14ac:dyDescent="0.4">
      <c r="C86" s="1">
        <v>45886</v>
      </c>
      <c r="D86" s="2">
        <f t="shared" si="9"/>
        <v>0</v>
      </c>
      <c r="E86" s="2">
        <f t="shared" si="10"/>
        <v>0</v>
      </c>
      <c r="F86" s="2">
        <f t="shared" si="13"/>
        <v>36048800</v>
      </c>
      <c r="G86" s="2">
        <f t="shared" si="11"/>
        <v>37400000</v>
      </c>
      <c r="H86" s="2">
        <f t="shared" si="12"/>
        <v>0</v>
      </c>
      <c r="M86" s="38"/>
      <c r="N86" s="6"/>
      <c r="O86" s="6"/>
      <c r="P86" s="34"/>
      <c r="Q86" s="212"/>
      <c r="R86" s="195"/>
      <c r="S86" s="8"/>
      <c r="T86" s="212"/>
      <c r="U86" s="8"/>
      <c r="V86" s="2"/>
    </row>
    <row r="87" spans="3:22" x14ac:dyDescent="0.4">
      <c r="C87" s="1">
        <v>45887</v>
      </c>
      <c r="D87" s="2">
        <f t="shared" si="9"/>
        <v>0</v>
      </c>
      <c r="E87" s="2">
        <f t="shared" si="10"/>
        <v>0</v>
      </c>
      <c r="F87" s="2">
        <f t="shared" si="13"/>
        <v>36048800</v>
      </c>
      <c r="G87" s="2">
        <f t="shared" si="11"/>
        <v>37400000</v>
      </c>
      <c r="H87" s="2">
        <f t="shared" si="12"/>
        <v>0</v>
      </c>
      <c r="M87" s="38"/>
      <c r="N87" s="6"/>
      <c r="O87" s="6"/>
      <c r="P87" s="34"/>
      <c r="Q87" s="212"/>
      <c r="R87" s="195"/>
      <c r="S87" s="8"/>
      <c r="T87" s="212"/>
      <c r="U87" s="8"/>
      <c r="V87" s="2"/>
    </row>
    <row r="88" spans="3:22" x14ac:dyDescent="0.4">
      <c r="C88" s="1">
        <v>45888</v>
      </c>
      <c r="D88" s="2">
        <f t="shared" si="9"/>
        <v>0</v>
      </c>
      <c r="E88" s="2">
        <f t="shared" si="10"/>
        <v>0</v>
      </c>
      <c r="F88" s="2">
        <f t="shared" si="13"/>
        <v>36048800</v>
      </c>
      <c r="G88" s="2">
        <f t="shared" si="11"/>
        <v>37400000</v>
      </c>
      <c r="H88" s="2">
        <f t="shared" si="12"/>
        <v>0</v>
      </c>
      <c r="M88" s="38"/>
      <c r="N88" s="6"/>
      <c r="O88" s="6"/>
      <c r="P88" s="34"/>
      <c r="Q88" s="212"/>
      <c r="R88" s="195"/>
      <c r="S88" s="8"/>
      <c r="T88" s="212"/>
      <c r="U88" s="8"/>
      <c r="V88" s="2"/>
    </row>
    <row r="89" spans="3:22" x14ac:dyDescent="0.4">
      <c r="C89" s="1">
        <v>45889</v>
      </c>
      <c r="D89" s="2">
        <f t="shared" si="9"/>
        <v>0</v>
      </c>
      <c r="E89" s="2">
        <f t="shared" si="10"/>
        <v>0</v>
      </c>
      <c r="F89" s="2">
        <f t="shared" si="13"/>
        <v>36048800</v>
      </c>
      <c r="G89" s="2">
        <f t="shared" si="11"/>
        <v>37400000</v>
      </c>
      <c r="H89" s="2">
        <f t="shared" si="12"/>
        <v>0</v>
      </c>
      <c r="M89" s="38"/>
      <c r="N89" s="6"/>
      <c r="O89" s="6"/>
      <c r="P89" s="34"/>
      <c r="Q89" s="212"/>
      <c r="R89" s="195"/>
      <c r="S89" s="8"/>
      <c r="T89" s="212"/>
      <c r="U89" s="8"/>
      <c r="V89" s="2"/>
    </row>
    <row r="90" spans="3:22" x14ac:dyDescent="0.4">
      <c r="C90" s="1">
        <v>45890</v>
      </c>
      <c r="D90" s="2">
        <f t="shared" si="9"/>
        <v>0</v>
      </c>
      <c r="E90" s="2">
        <f t="shared" si="10"/>
        <v>0</v>
      </c>
      <c r="F90" s="2">
        <f t="shared" si="13"/>
        <v>36048800</v>
      </c>
      <c r="G90" s="2">
        <f t="shared" si="11"/>
        <v>37400000</v>
      </c>
      <c r="H90" s="2">
        <f t="shared" si="12"/>
        <v>0</v>
      </c>
      <c r="M90" s="38"/>
      <c r="N90" s="6"/>
      <c r="O90" s="6"/>
      <c r="P90" s="34"/>
      <c r="Q90" s="212"/>
      <c r="R90" s="195"/>
      <c r="S90" s="8"/>
      <c r="T90" s="212"/>
      <c r="U90" s="8"/>
      <c r="V90" s="2"/>
    </row>
    <row r="91" spans="3:22" x14ac:dyDescent="0.4">
      <c r="C91" s="1">
        <v>45891</v>
      </c>
      <c r="D91" s="2">
        <f t="shared" si="9"/>
        <v>0</v>
      </c>
      <c r="E91" s="2">
        <f t="shared" si="10"/>
        <v>0</v>
      </c>
      <c r="F91" s="2">
        <f t="shared" si="13"/>
        <v>36048800</v>
      </c>
      <c r="G91" s="2">
        <f t="shared" si="11"/>
        <v>37400000</v>
      </c>
      <c r="H91" s="2">
        <f t="shared" si="12"/>
        <v>0</v>
      </c>
      <c r="M91" s="38"/>
      <c r="N91" s="6"/>
      <c r="O91" s="6"/>
      <c r="P91" s="34"/>
      <c r="Q91" s="212"/>
      <c r="R91" s="195"/>
      <c r="S91" s="8"/>
      <c r="T91" s="212"/>
      <c r="U91" s="8"/>
      <c r="V91" s="2"/>
    </row>
    <row r="92" spans="3:22" x14ac:dyDescent="0.4">
      <c r="C92" s="1">
        <v>45892</v>
      </c>
      <c r="D92" s="2">
        <f t="shared" si="9"/>
        <v>0</v>
      </c>
      <c r="E92" s="2">
        <f t="shared" si="10"/>
        <v>0</v>
      </c>
      <c r="F92" s="2">
        <f t="shared" si="13"/>
        <v>36048800</v>
      </c>
      <c r="G92" s="2">
        <f t="shared" si="11"/>
        <v>37400000</v>
      </c>
      <c r="H92" s="2">
        <f t="shared" si="12"/>
        <v>0</v>
      </c>
      <c r="M92" s="38"/>
      <c r="N92" s="6"/>
      <c r="O92" s="6"/>
      <c r="P92" s="34"/>
      <c r="Q92" s="212"/>
      <c r="R92" s="195"/>
      <c r="S92" s="8"/>
      <c r="T92" s="212"/>
      <c r="U92" s="8"/>
      <c r="V92" s="2"/>
    </row>
    <row r="93" spans="3:22" x14ac:dyDescent="0.4">
      <c r="C93" s="1">
        <v>45893</v>
      </c>
      <c r="D93" s="2">
        <f t="shared" si="9"/>
        <v>0</v>
      </c>
      <c r="E93" s="2">
        <f t="shared" si="10"/>
        <v>0</v>
      </c>
      <c r="F93" s="2">
        <f t="shared" si="13"/>
        <v>36048800</v>
      </c>
      <c r="G93" s="2">
        <f t="shared" si="11"/>
        <v>37400000</v>
      </c>
      <c r="H93" s="2">
        <f t="shared" si="12"/>
        <v>0</v>
      </c>
      <c r="M93" s="38"/>
      <c r="N93" s="6"/>
      <c r="O93" s="6"/>
      <c r="P93" s="34"/>
      <c r="Q93" s="212"/>
      <c r="R93" s="195"/>
      <c r="S93" s="8"/>
      <c r="T93" s="212"/>
      <c r="U93" s="8"/>
      <c r="V93" s="2"/>
    </row>
    <row r="94" spans="3:22" x14ac:dyDescent="0.4">
      <c r="C94" s="1">
        <v>45894</v>
      </c>
      <c r="D94" s="2">
        <f t="shared" si="9"/>
        <v>1362300</v>
      </c>
      <c r="E94" s="2">
        <f t="shared" si="10"/>
        <v>0</v>
      </c>
      <c r="F94" s="2">
        <f t="shared" si="13"/>
        <v>37411100</v>
      </c>
      <c r="G94" s="2">
        <f t="shared" si="11"/>
        <v>37400000</v>
      </c>
      <c r="H94" s="2">
        <f t="shared" si="12"/>
        <v>0</v>
      </c>
      <c r="M94" s="38"/>
      <c r="N94" s="6"/>
      <c r="O94" s="6"/>
      <c r="P94" s="34"/>
      <c r="Q94" s="212"/>
      <c r="R94" s="195"/>
      <c r="S94" s="8"/>
      <c r="T94" s="212"/>
      <c r="U94" s="8"/>
      <c r="V94" s="2"/>
    </row>
    <row r="95" spans="3:22" x14ac:dyDescent="0.4">
      <c r="C95" s="1">
        <v>45895</v>
      </c>
      <c r="D95" s="2">
        <f t="shared" si="9"/>
        <v>0</v>
      </c>
      <c r="E95" s="2">
        <f t="shared" si="10"/>
        <v>0</v>
      </c>
      <c r="F95" s="2">
        <f t="shared" si="13"/>
        <v>37411100</v>
      </c>
      <c r="G95" s="2">
        <f t="shared" si="11"/>
        <v>37400000</v>
      </c>
      <c r="H95" s="2">
        <f t="shared" si="12"/>
        <v>0</v>
      </c>
      <c r="M95" s="38"/>
      <c r="N95" s="6"/>
      <c r="O95" s="6"/>
      <c r="P95" s="34"/>
      <c r="Q95" s="212"/>
      <c r="R95" s="195"/>
      <c r="S95" s="8"/>
      <c r="T95" s="212"/>
      <c r="U95" s="8"/>
      <c r="V95" s="2"/>
    </row>
    <row r="96" spans="3:22" x14ac:dyDescent="0.4">
      <c r="C96" s="1">
        <v>45896</v>
      </c>
      <c r="D96" s="2">
        <f t="shared" si="9"/>
        <v>0</v>
      </c>
      <c r="E96" s="2">
        <f t="shared" si="10"/>
        <v>0</v>
      </c>
      <c r="F96" s="2">
        <f t="shared" si="13"/>
        <v>37411100</v>
      </c>
      <c r="G96" s="2">
        <f t="shared" si="11"/>
        <v>37400000</v>
      </c>
      <c r="H96" s="2">
        <f t="shared" si="12"/>
        <v>0</v>
      </c>
      <c r="M96" s="38"/>
      <c r="N96" s="6"/>
      <c r="O96" s="6"/>
      <c r="P96" s="34"/>
      <c r="Q96" s="212"/>
      <c r="R96" s="195"/>
      <c r="S96" s="8"/>
      <c r="T96" s="212"/>
      <c r="U96" s="8"/>
      <c r="V96" s="2"/>
    </row>
    <row r="97" spans="3:22" x14ac:dyDescent="0.4">
      <c r="C97" s="1">
        <v>45897</v>
      </c>
      <c r="D97" s="2">
        <f t="shared" si="9"/>
        <v>0</v>
      </c>
      <c r="E97" s="2">
        <f t="shared" si="10"/>
        <v>0</v>
      </c>
      <c r="F97" s="2">
        <f t="shared" si="13"/>
        <v>37411100</v>
      </c>
      <c r="G97" s="2">
        <f t="shared" si="11"/>
        <v>37400000</v>
      </c>
      <c r="H97" s="2">
        <f t="shared" si="12"/>
        <v>0</v>
      </c>
      <c r="M97" s="38"/>
      <c r="N97" s="6"/>
      <c r="O97" s="6"/>
      <c r="P97" s="34"/>
      <c r="Q97" s="212"/>
      <c r="R97" s="195"/>
      <c r="S97" s="8"/>
      <c r="T97" s="212"/>
      <c r="U97" s="8"/>
      <c r="V97" s="2"/>
    </row>
    <row r="98" spans="3:22" x14ac:dyDescent="0.4">
      <c r="C98" s="1">
        <v>45898</v>
      </c>
      <c r="D98" s="2">
        <f t="shared" si="9"/>
        <v>0</v>
      </c>
      <c r="E98" s="2">
        <f t="shared" si="10"/>
        <v>0</v>
      </c>
      <c r="F98" s="2">
        <f t="shared" si="13"/>
        <v>37411100</v>
      </c>
      <c r="G98" s="2">
        <f t="shared" si="11"/>
        <v>37400000</v>
      </c>
      <c r="H98" s="2">
        <f t="shared" si="12"/>
        <v>0</v>
      </c>
      <c r="M98" s="38"/>
      <c r="N98" s="6"/>
      <c r="O98" s="6"/>
      <c r="P98" s="34"/>
      <c r="Q98" s="212"/>
      <c r="R98" s="195"/>
      <c r="S98" s="8"/>
      <c r="T98" s="212"/>
      <c r="U98" s="8"/>
      <c r="V98" s="2"/>
    </row>
    <row r="99" spans="3:22" x14ac:dyDescent="0.4">
      <c r="C99" s="1">
        <v>45899</v>
      </c>
      <c r="D99" s="2">
        <f t="shared" si="9"/>
        <v>0</v>
      </c>
      <c r="E99" s="2">
        <f t="shared" si="10"/>
        <v>0</v>
      </c>
      <c r="F99" s="2">
        <f t="shared" si="13"/>
        <v>37411100</v>
      </c>
      <c r="G99" s="2">
        <f t="shared" si="11"/>
        <v>37400000</v>
      </c>
      <c r="H99" s="2">
        <f t="shared" si="12"/>
        <v>0</v>
      </c>
      <c r="M99" s="38"/>
      <c r="N99" s="6"/>
      <c r="O99" s="6"/>
      <c r="P99" s="34"/>
      <c r="Q99" s="212"/>
      <c r="R99" s="195"/>
      <c r="S99" s="8"/>
      <c r="T99" s="212"/>
      <c r="U99" s="8"/>
      <c r="V99" s="2"/>
    </row>
    <row r="100" spans="3:22" x14ac:dyDescent="0.4">
      <c r="C100" s="1">
        <v>45900</v>
      </c>
      <c r="D100" s="2">
        <f t="shared" si="9"/>
        <v>0</v>
      </c>
      <c r="E100" s="2">
        <f t="shared" si="10"/>
        <v>0</v>
      </c>
      <c r="F100" s="2">
        <f t="shared" si="13"/>
        <v>37411100</v>
      </c>
      <c r="G100" s="2">
        <f t="shared" si="11"/>
        <v>37400000</v>
      </c>
      <c r="H100" s="2">
        <f t="shared" si="12"/>
        <v>0</v>
      </c>
      <c r="M100" s="38" t="s">
        <v>109</v>
      </c>
      <c r="N100" s="6" t="s">
        <v>122</v>
      </c>
      <c r="O100" s="6">
        <v>1</v>
      </c>
      <c r="P100" s="34">
        <v>100</v>
      </c>
      <c r="Q100" s="212">
        <v>5330</v>
      </c>
      <c r="R100" s="195">
        <v>45807</v>
      </c>
      <c r="S100" s="33" t="s">
        <v>113</v>
      </c>
      <c r="T100" s="212">
        <v>6200</v>
      </c>
      <c r="U100" s="8">
        <v>45834</v>
      </c>
      <c r="V100" s="2">
        <f t="shared" ref="V100:V131" si="14">P100*Q100</f>
        <v>533000</v>
      </c>
    </row>
    <row r="101" spans="3:22" x14ac:dyDescent="0.4">
      <c r="C101" s="1">
        <v>45901</v>
      </c>
      <c r="D101" s="2">
        <f t="shared" si="9"/>
        <v>0</v>
      </c>
      <c r="E101" s="2">
        <f t="shared" si="10"/>
        <v>0</v>
      </c>
      <c r="F101" s="2">
        <f t="shared" si="13"/>
        <v>37411100</v>
      </c>
      <c r="G101" s="2">
        <f t="shared" si="11"/>
        <v>37400000</v>
      </c>
      <c r="H101" s="2">
        <f t="shared" si="12"/>
        <v>0</v>
      </c>
      <c r="M101" s="38" t="s">
        <v>109</v>
      </c>
      <c r="N101" s="6" t="s">
        <v>122</v>
      </c>
      <c r="O101" s="6">
        <v>1</v>
      </c>
      <c r="P101" s="34">
        <v>100</v>
      </c>
      <c r="Q101" s="212">
        <v>5290</v>
      </c>
      <c r="R101" s="195">
        <v>45807</v>
      </c>
      <c r="S101" s="33" t="s">
        <v>113</v>
      </c>
      <c r="T101" s="212">
        <v>6200</v>
      </c>
      <c r="U101" s="8">
        <v>45834</v>
      </c>
      <c r="V101" s="2">
        <f t="shared" si="14"/>
        <v>529000</v>
      </c>
    </row>
    <row r="102" spans="3:22" x14ac:dyDescent="0.4">
      <c r="C102" s="1">
        <v>45902</v>
      </c>
      <c r="D102" s="2">
        <f t="shared" si="9"/>
        <v>0</v>
      </c>
      <c r="E102" s="2">
        <f t="shared" si="10"/>
        <v>0</v>
      </c>
      <c r="F102" s="2">
        <f t="shared" si="13"/>
        <v>37411100</v>
      </c>
      <c r="G102" s="2">
        <f t="shared" si="11"/>
        <v>37400000</v>
      </c>
      <c r="H102" s="2">
        <f t="shared" si="12"/>
        <v>0</v>
      </c>
      <c r="M102" s="38" t="s">
        <v>109</v>
      </c>
      <c r="N102" s="6" t="s">
        <v>122</v>
      </c>
      <c r="O102" s="6">
        <v>1</v>
      </c>
      <c r="P102" s="34">
        <v>100</v>
      </c>
      <c r="Q102" s="212">
        <v>5250</v>
      </c>
      <c r="R102" s="195">
        <v>45807</v>
      </c>
      <c r="S102" s="33" t="s">
        <v>113</v>
      </c>
      <c r="T102" s="212">
        <v>6200</v>
      </c>
      <c r="U102" s="8">
        <v>45834</v>
      </c>
      <c r="V102" s="2">
        <f t="shared" si="14"/>
        <v>525000</v>
      </c>
    </row>
    <row r="103" spans="3:22" x14ac:dyDescent="0.4">
      <c r="C103" s="1">
        <v>45903</v>
      </c>
      <c r="D103" s="2">
        <f t="shared" si="9"/>
        <v>0</v>
      </c>
      <c r="E103" s="2">
        <f t="shared" si="10"/>
        <v>0</v>
      </c>
      <c r="F103" s="2">
        <f t="shared" si="13"/>
        <v>37411100</v>
      </c>
      <c r="G103" s="2">
        <f t="shared" si="11"/>
        <v>37400000</v>
      </c>
      <c r="H103" s="2">
        <f t="shared" si="12"/>
        <v>0</v>
      </c>
      <c r="M103" s="38" t="s">
        <v>109</v>
      </c>
      <c r="N103" s="6" t="s">
        <v>122</v>
      </c>
      <c r="O103" s="6">
        <v>1</v>
      </c>
      <c r="P103" s="34">
        <v>100</v>
      </c>
      <c r="Q103" s="212">
        <v>5060</v>
      </c>
      <c r="R103" s="195">
        <v>45807</v>
      </c>
      <c r="S103" s="33" t="s">
        <v>113</v>
      </c>
      <c r="T103" s="212">
        <v>6200</v>
      </c>
      <c r="U103" s="8">
        <v>45834</v>
      </c>
      <c r="V103" s="2">
        <f t="shared" si="14"/>
        <v>506000</v>
      </c>
    </row>
    <row r="104" spans="3:22" x14ac:dyDescent="0.4">
      <c r="C104" s="1">
        <v>45904</v>
      </c>
      <c r="D104" s="2">
        <f t="shared" si="9"/>
        <v>0</v>
      </c>
      <c r="E104" s="2">
        <f t="shared" si="10"/>
        <v>0</v>
      </c>
      <c r="F104" s="2">
        <f t="shared" si="13"/>
        <v>37411100</v>
      </c>
      <c r="G104" s="2">
        <f t="shared" si="11"/>
        <v>37400000</v>
      </c>
      <c r="H104" s="2">
        <f t="shared" si="12"/>
        <v>0</v>
      </c>
      <c r="M104" s="38" t="s">
        <v>109</v>
      </c>
      <c r="N104" s="6" t="s">
        <v>122</v>
      </c>
      <c r="O104" s="6">
        <v>1</v>
      </c>
      <c r="P104" s="34">
        <v>100</v>
      </c>
      <c r="Q104" s="212">
        <v>5180</v>
      </c>
      <c r="R104" s="195">
        <v>45807</v>
      </c>
      <c r="S104" s="33" t="s">
        <v>113</v>
      </c>
      <c r="T104" s="212">
        <v>6200</v>
      </c>
      <c r="U104" s="8">
        <v>45834</v>
      </c>
      <c r="V104" s="2">
        <f t="shared" si="14"/>
        <v>518000</v>
      </c>
    </row>
    <row r="105" spans="3:22" x14ac:dyDescent="0.4">
      <c r="C105" s="1">
        <v>45905</v>
      </c>
      <c r="D105" s="2">
        <f t="shared" si="9"/>
        <v>0</v>
      </c>
      <c r="E105" s="2">
        <f t="shared" si="10"/>
        <v>0</v>
      </c>
      <c r="F105" s="2">
        <f t="shared" si="13"/>
        <v>37411100</v>
      </c>
      <c r="G105" s="2">
        <f t="shared" si="11"/>
        <v>37400000</v>
      </c>
      <c r="H105" s="2">
        <f t="shared" si="12"/>
        <v>0</v>
      </c>
      <c r="M105" s="38" t="s">
        <v>109</v>
      </c>
      <c r="N105" s="6" t="s">
        <v>122</v>
      </c>
      <c r="O105" s="6">
        <v>1</v>
      </c>
      <c r="P105" s="34">
        <v>200</v>
      </c>
      <c r="Q105" s="212">
        <v>5120</v>
      </c>
      <c r="R105" s="195">
        <v>45807</v>
      </c>
      <c r="S105" s="33" t="s">
        <v>113</v>
      </c>
      <c r="T105" s="212">
        <v>6510</v>
      </c>
      <c r="U105" s="8">
        <v>45838</v>
      </c>
      <c r="V105" s="2">
        <f t="shared" si="14"/>
        <v>1024000</v>
      </c>
    </row>
    <row r="106" spans="3:22" x14ac:dyDescent="0.4">
      <c r="C106" s="1">
        <v>45906</v>
      </c>
      <c r="D106" s="2">
        <f t="shared" si="9"/>
        <v>0</v>
      </c>
      <c r="E106" s="2">
        <f t="shared" si="10"/>
        <v>0</v>
      </c>
      <c r="F106" s="2">
        <f t="shared" si="13"/>
        <v>37411100</v>
      </c>
      <c r="G106" s="2">
        <f t="shared" si="11"/>
        <v>37400000</v>
      </c>
      <c r="H106" s="2">
        <f t="shared" si="12"/>
        <v>0</v>
      </c>
      <c r="M106" s="38" t="s">
        <v>43</v>
      </c>
      <c r="N106" s="6" t="s">
        <v>122</v>
      </c>
      <c r="O106" s="6">
        <v>1</v>
      </c>
      <c r="P106" s="34">
        <v>10</v>
      </c>
      <c r="Q106" s="212">
        <v>7370</v>
      </c>
      <c r="R106" s="195">
        <v>45807</v>
      </c>
      <c r="S106" s="33" t="s">
        <v>113</v>
      </c>
      <c r="T106" s="212">
        <v>7770</v>
      </c>
      <c r="U106" s="8">
        <v>45813</v>
      </c>
      <c r="V106" s="2">
        <f t="shared" si="14"/>
        <v>73700</v>
      </c>
    </row>
    <row r="107" spans="3:22" x14ac:dyDescent="0.4">
      <c r="C107" s="1">
        <v>45907</v>
      </c>
      <c r="D107" s="2">
        <f t="shared" si="9"/>
        <v>0</v>
      </c>
      <c r="E107" s="2">
        <f t="shared" si="10"/>
        <v>0</v>
      </c>
      <c r="F107" s="2">
        <f t="shared" si="13"/>
        <v>37411100</v>
      </c>
      <c r="G107" s="2">
        <f t="shared" si="11"/>
        <v>37400000</v>
      </c>
      <c r="H107" s="2">
        <f t="shared" si="12"/>
        <v>0</v>
      </c>
      <c r="M107" s="38" t="s">
        <v>43</v>
      </c>
      <c r="N107" s="6" t="s">
        <v>122</v>
      </c>
      <c r="O107" s="6">
        <v>1</v>
      </c>
      <c r="P107" s="34">
        <v>10</v>
      </c>
      <c r="Q107" s="212">
        <v>7360</v>
      </c>
      <c r="R107" s="195">
        <v>45807</v>
      </c>
      <c r="S107" s="33" t="s">
        <v>113</v>
      </c>
      <c r="T107" s="212">
        <v>7770</v>
      </c>
      <c r="U107" s="8">
        <v>45813</v>
      </c>
      <c r="V107" s="2">
        <f t="shared" si="14"/>
        <v>73600</v>
      </c>
    </row>
    <row r="108" spans="3:22" x14ac:dyDescent="0.4">
      <c r="C108" s="1">
        <v>45908</v>
      </c>
      <c r="D108" s="2">
        <f t="shared" si="9"/>
        <v>0</v>
      </c>
      <c r="E108" s="2">
        <f t="shared" si="10"/>
        <v>0</v>
      </c>
      <c r="F108" s="2">
        <f t="shared" si="13"/>
        <v>37411100</v>
      </c>
      <c r="G108" s="2">
        <f t="shared" si="11"/>
        <v>37400000</v>
      </c>
      <c r="H108" s="2">
        <f t="shared" si="12"/>
        <v>0</v>
      </c>
      <c r="M108" s="38" t="s">
        <v>43</v>
      </c>
      <c r="N108" s="6" t="s">
        <v>122</v>
      </c>
      <c r="O108" s="6">
        <v>1</v>
      </c>
      <c r="P108" s="34">
        <v>50</v>
      </c>
      <c r="Q108" s="212">
        <v>7400</v>
      </c>
      <c r="R108" s="195">
        <v>45807</v>
      </c>
      <c r="S108" s="33" t="s">
        <v>113</v>
      </c>
      <c r="T108" s="212">
        <v>7770</v>
      </c>
      <c r="U108" s="8">
        <v>45813</v>
      </c>
      <c r="V108" s="2">
        <f t="shared" si="14"/>
        <v>370000</v>
      </c>
    </row>
    <row r="109" spans="3:22" x14ac:dyDescent="0.4">
      <c r="C109" s="1">
        <v>45909</v>
      </c>
      <c r="D109" s="2">
        <f t="shared" si="9"/>
        <v>0</v>
      </c>
      <c r="E109" s="2">
        <f t="shared" si="10"/>
        <v>0</v>
      </c>
      <c r="F109" s="2">
        <f t="shared" si="13"/>
        <v>37411100</v>
      </c>
      <c r="G109" s="2">
        <f t="shared" si="11"/>
        <v>37400000</v>
      </c>
      <c r="H109" s="2">
        <f t="shared" si="12"/>
        <v>0</v>
      </c>
      <c r="M109" s="38" t="s">
        <v>43</v>
      </c>
      <c r="N109" s="6" t="s">
        <v>122</v>
      </c>
      <c r="O109" s="6">
        <v>1</v>
      </c>
      <c r="P109" s="34">
        <v>200</v>
      </c>
      <c r="Q109" s="212">
        <v>7350</v>
      </c>
      <c r="R109" s="195">
        <v>45807</v>
      </c>
      <c r="S109" s="33" t="s">
        <v>113</v>
      </c>
      <c r="T109" s="212">
        <v>7770</v>
      </c>
      <c r="U109" s="8">
        <v>45813</v>
      </c>
      <c r="V109" s="2">
        <f t="shared" si="14"/>
        <v>1470000</v>
      </c>
    </row>
    <row r="110" spans="3:22" x14ac:dyDescent="0.4">
      <c r="C110" s="1">
        <v>45910</v>
      </c>
      <c r="D110" s="2">
        <f t="shared" si="9"/>
        <v>0</v>
      </c>
      <c r="E110" s="2">
        <f t="shared" si="10"/>
        <v>403800</v>
      </c>
      <c r="F110" s="2">
        <f t="shared" si="13"/>
        <v>37007300</v>
      </c>
      <c r="G110" s="2">
        <f t="shared" si="11"/>
        <v>37400000</v>
      </c>
      <c r="H110" s="2">
        <f t="shared" si="12"/>
        <v>0</v>
      </c>
      <c r="M110" s="38" t="s">
        <v>64</v>
      </c>
      <c r="N110" s="6" t="s">
        <v>122</v>
      </c>
      <c r="O110" s="6">
        <v>1</v>
      </c>
      <c r="P110" s="34">
        <v>100</v>
      </c>
      <c r="Q110" s="212">
        <v>18000</v>
      </c>
      <c r="R110" s="195">
        <v>45807</v>
      </c>
      <c r="S110" s="33" t="s">
        <v>113</v>
      </c>
      <c r="T110" s="212">
        <v>19450</v>
      </c>
      <c r="U110" s="8">
        <v>45810</v>
      </c>
      <c r="V110" s="2">
        <f t="shared" si="14"/>
        <v>1800000</v>
      </c>
    </row>
    <row r="111" spans="3:22" x14ac:dyDescent="0.4">
      <c r="C111" s="1">
        <v>45911</v>
      </c>
      <c r="D111" s="2">
        <f t="shared" si="9"/>
        <v>0</v>
      </c>
      <c r="E111" s="2">
        <f t="shared" si="10"/>
        <v>0</v>
      </c>
      <c r="F111" s="2">
        <f t="shared" si="13"/>
        <v>37007300</v>
      </c>
      <c r="G111" s="2">
        <f t="shared" si="11"/>
        <v>37400000</v>
      </c>
      <c r="H111" s="2">
        <f t="shared" si="12"/>
        <v>0</v>
      </c>
      <c r="M111" s="38" t="s">
        <v>64</v>
      </c>
      <c r="N111" s="6" t="s">
        <v>122</v>
      </c>
      <c r="O111" s="6">
        <v>1</v>
      </c>
      <c r="P111" s="34">
        <v>100</v>
      </c>
      <c r="Q111" s="212">
        <v>17900</v>
      </c>
      <c r="R111" s="195">
        <v>45807</v>
      </c>
      <c r="S111" s="33" t="s">
        <v>113</v>
      </c>
      <c r="T111" s="212">
        <v>19450</v>
      </c>
      <c r="U111" s="8">
        <v>45810</v>
      </c>
      <c r="V111" s="2">
        <f t="shared" si="14"/>
        <v>1790000</v>
      </c>
    </row>
    <row r="112" spans="3:22" x14ac:dyDescent="0.4">
      <c r="C112" s="1">
        <v>45912</v>
      </c>
      <c r="D112" s="2">
        <f t="shared" si="9"/>
        <v>0</v>
      </c>
      <c r="E112" s="2">
        <f t="shared" si="10"/>
        <v>3033000</v>
      </c>
      <c r="F112" s="2">
        <f t="shared" si="13"/>
        <v>33974300</v>
      </c>
      <c r="G112" s="2">
        <f t="shared" si="11"/>
        <v>37400000</v>
      </c>
      <c r="H112" s="2">
        <f t="shared" si="12"/>
        <v>0</v>
      </c>
      <c r="M112" s="38" t="s">
        <v>64</v>
      </c>
      <c r="N112" s="6" t="s">
        <v>122</v>
      </c>
      <c r="O112" s="6">
        <v>1</v>
      </c>
      <c r="P112" s="34">
        <v>100</v>
      </c>
      <c r="Q112" s="212">
        <v>17800</v>
      </c>
      <c r="R112" s="195">
        <v>45807</v>
      </c>
      <c r="S112" s="33" t="s">
        <v>113</v>
      </c>
      <c r="T112" s="212">
        <v>19450</v>
      </c>
      <c r="U112" s="8">
        <v>45810</v>
      </c>
      <c r="V112" s="2">
        <f t="shared" si="14"/>
        <v>1780000</v>
      </c>
    </row>
    <row r="113" spans="3:22" x14ac:dyDescent="0.4">
      <c r="C113" s="1">
        <v>45913</v>
      </c>
      <c r="D113" s="2">
        <f t="shared" si="9"/>
        <v>0</v>
      </c>
      <c r="E113" s="2">
        <f t="shared" si="10"/>
        <v>0</v>
      </c>
      <c r="F113" s="2">
        <f t="shared" si="13"/>
        <v>33974300</v>
      </c>
      <c r="G113" s="2">
        <f t="shared" si="11"/>
        <v>37400000</v>
      </c>
      <c r="H113" s="2">
        <f t="shared" si="12"/>
        <v>0</v>
      </c>
      <c r="M113" s="38" t="s">
        <v>64</v>
      </c>
      <c r="N113" s="6" t="s">
        <v>122</v>
      </c>
      <c r="O113" s="6">
        <v>1</v>
      </c>
      <c r="P113" s="34">
        <v>100</v>
      </c>
      <c r="Q113" s="212">
        <v>17500</v>
      </c>
      <c r="R113" s="195">
        <v>45807</v>
      </c>
      <c r="S113" s="33" t="s">
        <v>113</v>
      </c>
      <c r="T113" s="212">
        <v>19450</v>
      </c>
      <c r="U113" s="8">
        <v>45810</v>
      </c>
      <c r="V113" s="2">
        <f t="shared" si="14"/>
        <v>1750000</v>
      </c>
    </row>
    <row r="114" spans="3:22" x14ac:dyDescent="0.4">
      <c r="C114" s="1">
        <v>45914</v>
      </c>
      <c r="D114" s="2">
        <f t="shared" si="9"/>
        <v>0</v>
      </c>
      <c r="E114" s="2">
        <f t="shared" si="10"/>
        <v>0</v>
      </c>
      <c r="F114" s="2">
        <f t="shared" si="13"/>
        <v>33974300</v>
      </c>
      <c r="G114" s="2">
        <f t="shared" si="11"/>
        <v>37400000</v>
      </c>
      <c r="H114" s="2">
        <f t="shared" si="12"/>
        <v>0</v>
      </c>
      <c r="M114" s="38" t="s">
        <v>132</v>
      </c>
      <c r="N114" s="6" t="s">
        <v>122</v>
      </c>
      <c r="O114" s="6">
        <v>1</v>
      </c>
      <c r="P114" s="34">
        <v>100</v>
      </c>
      <c r="Q114" s="212">
        <v>17350</v>
      </c>
      <c r="R114" s="195">
        <v>45807</v>
      </c>
      <c r="S114" s="33" t="s">
        <v>113</v>
      </c>
      <c r="T114" s="212">
        <v>17910</v>
      </c>
      <c r="U114" s="8">
        <v>45820</v>
      </c>
      <c r="V114" s="2">
        <f t="shared" si="14"/>
        <v>1735000</v>
      </c>
    </row>
    <row r="115" spans="3:22" x14ac:dyDescent="0.4">
      <c r="C115" s="1">
        <v>45915</v>
      </c>
      <c r="D115" s="2">
        <f t="shared" si="9"/>
        <v>0</v>
      </c>
      <c r="E115" s="2">
        <f t="shared" si="10"/>
        <v>0</v>
      </c>
      <c r="F115" s="2">
        <f t="shared" si="13"/>
        <v>33974300</v>
      </c>
      <c r="G115" s="2">
        <f t="shared" si="11"/>
        <v>37400000</v>
      </c>
      <c r="H115" s="2">
        <f t="shared" si="12"/>
        <v>0</v>
      </c>
      <c r="M115" s="38" t="s">
        <v>133</v>
      </c>
      <c r="N115" s="6" t="s">
        <v>122</v>
      </c>
      <c r="O115" s="6">
        <v>1</v>
      </c>
      <c r="P115" s="34">
        <v>2</v>
      </c>
      <c r="Q115" s="212">
        <v>820000</v>
      </c>
      <c r="R115" s="195">
        <v>45807</v>
      </c>
      <c r="S115" s="33" t="s">
        <v>113</v>
      </c>
      <c r="T115" s="212">
        <v>845000</v>
      </c>
      <c r="U115" s="8">
        <v>45812</v>
      </c>
      <c r="V115" s="2">
        <f t="shared" si="14"/>
        <v>1640000</v>
      </c>
    </row>
    <row r="116" spans="3:22" x14ac:dyDescent="0.4">
      <c r="C116" s="1">
        <v>45916</v>
      </c>
      <c r="D116" s="2">
        <f t="shared" si="9"/>
        <v>955500</v>
      </c>
      <c r="E116" s="2">
        <f t="shared" si="10"/>
        <v>0</v>
      </c>
      <c r="F116" s="2">
        <f t="shared" si="13"/>
        <v>34929800</v>
      </c>
      <c r="G116" s="2">
        <f t="shared" si="11"/>
        <v>36600000</v>
      </c>
      <c r="H116" s="2">
        <f t="shared" si="12"/>
        <v>800000</v>
      </c>
      <c r="M116" s="38" t="s">
        <v>134</v>
      </c>
      <c r="N116" s="6" t="s">
        <v>122</v>
      </c>
      <c r="O116" s="6">
        <v>1</v>
      </c>
      <c r="P116" s="34">
        <v>10</v>
      </c>
      <c r="Q116" s="212">
        <v>147000</v>
      </c>
      <c r="R116" s="195">
        <v>45807</v>
      </c>
      <c r="S116" s="33" t="s">
        <v>113</v>
      </c>
      <c r="T116" s="212">
        <v>155000</v>
      </c>
      <c r="U116" s="8">
        <v>45810</v>
      </c>
      <c r="V116" s="2">
        <f t="shared" si="14"/>
        <v>1470000</v>
      </c>
    </row>
    <row r="117" spans="3:22" x14ac:dyDescent="0.4">
      <c r="C117" s="1">
        <v>45917</v>
      </c>
      <c r="D117" s="2">
        <f t="shared" si="9"/>
        <v>1264700</v>
      </c>
      <c r="E117" s="2">
        <f t="shared" si="10"/>
        <v>0</v>
      </c>
      <c r="F117" s="2">
        <f t="shared" si="13"/>
        <v>36194500</v>
      </c>
      <c r="G117" s="2">
        <f t="shared" si="11"/>
        <v>36600000</v>
      </c>
      <c r="H117" s="2">
        <f t="shared" si="12"/>
        <v>0</v>
      </c>
      <c r="M117" s="38" t="s">
        <v>134</v>
      </c>
      <c r="N117" s="6" t="s">
        <v>122</v>
      </c>
      <c r="O117" s="6">
        <v>1</v>
      </c>
      <c r="P117" s="34">
        <v>5</v>
      </c>
      <c r="Q117" s="212">
        <v>147800</v>
      </c>
      <c r="R117" s="195">
        <v>45807</v>
      </c>
      <c r="S117" s="33" t="s">
        <v>113</v>
      </c>
      <c r="T117" s="212">
        <v>155000</v>
      </c>
      <c r="U117" s="8">
        <v>45810</v>
      </c>
      <c r="V117" s="2">
        <f t="shared" si="14"/>
        <v>739000</v>
      </c>
    </row>
    <row r="118" spans="3:22" x14ac:dyDescent="0.4">
      <c r="C118" s="1">
        <v>45918</v>
      </c>
      <c r="D118" s="2">
        <f t="shared" si="9"/>
        <v>841900</v>
      </c>
      <c r="E118" s="2">
        <f t="shared" si="10"/>
        <v>0</v>
      </c>
      <c r="F118" s="2">
        <f t="shared" si="13"/>
        <v>37036400</v>
      </c>
      <c r="G118" s="2">
        <f t="shared" si="11"/>
        <v>36600000</v>
      </c>
      <c r="H118" s="2">
        <f t="shared" si="12"/>
        <v>0</v>
      </c>
      <c r="M118" s="38" t="s">
        <v>134</v>
      </c>
      <c r="N118" s="6" t="s">
        <v>122</v>
      </c>
      <c r="O118" s="6">
        <v>1</v>
      </c>
      <c r="P118" s="34">
        <v>5</v>
      </c>
      <c r="Q118" s="212">
        <v>147300</v>
      </c>
      <c r="R118" s="195">
        <v>45807</v>
      </c>
      <c r="S118" s="33" t="s">
        <v>113</v>
      </c>
      <c r="T118" s="212">
        <v>155000</v>
      </c>
      <c r="U118" s="8">
        <v>45810</v>
      </c>
      <c r="V118" s="2">
        <f t="shared" si="14"/>
        <v>736500</v>
      </c>
    </row>
    <row r="119" spans="3:22" x14ac:dyDescent="0.4">
      <c r="C119" s="1">
        <v>45919</v>
      </c>
      <c r="D119" s="2">
        <f t="shared" si="9"/>
        <v>707000</v>
      </c>
      <c r="E119" s="2">
        <f t="shared" si="10"/>
        <v>4845000</v>
      </c>
      <c r="F119" s="2">
        <f t="shared" si="13"/>
        <v>32898400</v>
      </c>
      <c r="G119" s="2">
        <f t="shared" si="11"/>
        <v>36200000</v>
      </c>
      <c r="H119" s="2">
        <f t="shared" si="12"/>
        <v>400000</v>
      </c>
      <c r="M119" s="38" t="s">
        <v>134</v>
      </c>
      <c r="N119" s="6" t="s">
        <v>122</v>
      </c>
      <c r="O119" s="6">
        <v>1</v>
      </c>
      <c r="P119" s="34">
        <v>10</v>
      </c>
      <c r="Q119" s="212">
        <v>146300</v>
      </c>
      <c r="R119" s="195">
        <v>45807</v>
      </c>
      <c r="S119" s="33" t="s">
        <v>113</v>
      </c>
      <c r="T119" s="212">
        <v>155000</v>
      </c>
      <c r="U119" s="8">
        <v>45810</v>
      </c>
      <c r="V119" s="2">
        <f t="shared" si="14"/>
        <v>1463000</v>
      </c>
    </row>
    <row r="120" spans="3:22" x14ac:dyDescent="0.4">
      <c r="C120" s="1">
        <v>45920</v>
      </c>
      <c r="D120" s="2">
        <f t="shared" si="9"/>
        <v>0</v>
      </c>
      <c r="E120" s="2">
        <f t="shared" si="10"/>
        <v>0</v>
      </c>
      <c r="F120" s="2">
        <f t="shared" si="13"/>
        <v>32898400</v>
      </c>
      <c r="G120" s="2">
        <f t="shared" si="11"/>
        <v>36200000</v>
      </c>
      <c r="H120" s="2">
        <f t="shared" si="12"/>
        <v>0</v>
      </c>
      <c r="M120" s="38" t="s">
        <v>134</v>
      </c>
      <c r="N120" s="6" t="s">
        <v>122</v>
      </c>
      <c r="O120" s="6">
        <v>1</v>
      </c>
      <c r="P120" s="34">
        <v>10</v>
      </c>
      <c r="Q120" s="212">
        <v>145700</v>
      </c>
      <c r="R120" s="195">
        <v>45807</v>
      </c>
      <c r="S120" s="33" t="s">
        <v>113</v>
      </c>
      <c r="T120" s="212">
        <v>155000</v>
      </c>
      <c r="U120" s="8">
        <v>45810</v>
      </c>
      <c r="V120" s="2">
        <f t="shared" si="14"/>
        <v>1457000</v>
      </c>
    </row>
    <row r="121" spans="3:22" x14ac:dyDescent="0.4">
      <c r="C121" s="1">
        <v>45921</v>
      </c>
      <c r="D121" s="2">
        <f t="shared" si="9"/>
        <v>0</v>
      </c>
      <c r="E121" s="2">
        <f t="shared" si="10"/>
        <v>0</v>
      </c>
      <c r="F121" s="2">
        <f t="shared" si="13"/>
        <v>32898400</v>
      </c>
      <c r="G121" s="2">
        <f t="shared" si="11"/>
        <v>36200000</v>
      </c>
      <c r="H121" s="2">
        <f t="shared" si="12"/>
        <v>0</v>
      </c>
      <c r="M121" s="38" t="s">
        <v>134</v>
      </c>
      <c r="N121" s="6" t="s">
        <v>122</v>
      </c>
      <c r="O121" s="6">
        <v>1</v>
      </c>
      <c r="P121" s="34">
        <v>10</v>
      </c>
      <c r="Q121" s="212">
        <v>145000</v>
      </c>
      <c r="R121" s="195">
        <v>45807</v>
      </c>
      <c r="S121" s="33" t="s">
        <v>113</v>
      </c>
      <c r="T121" s="212">
        <v>155000</v>
      </c>
      <c r="U121" s="8">
        <v>45810</v>
      </c>
      <c r="V121" s="2">
        <f t="shared" si="14"/>
        <v>1450000</v>
      </c>
    </row>
    <row r="122" spans="3:22" x14ac:dyDescent="0.4">
      <c r="C122" s="1">
        <v>45922</v>
      </c>
      <c r="D122" s="2">
        <f t="shared" si="9"/>
        <v>1258300</v>
      </c>
      <c r="E122" s="2">
        <f t="shared" si="10"/>
        <v>0</v>
      </c>
      <c r="F122" s="2">
        <f t="shared" si="13"/>
        <v>34156700</v>
      </c>
      <c r="G122" s="2">
        <f t="shared" si="11"/>
        <v>35420000</v>
      </c>
      <c r="H122" s="2">
        <f t="shared" si="12"/>
        <v>780000</v>
      </c>
      <c r="M122" s="38" t="s">
        <v>134</v>
      </c>
      <c r="N122" s="6" t="s">
        <v>122</v>
      </c>
      <c r="O122" s="6">
        <v>1</v>
      </c>
      <c r="P122" s="34">
        <v>10</v>
      </c>
      <c r="Q122" s="212">
        <v>143500</v>
      </c>
      <c r="R122" s="195">
        <v>45807</v>
      </c>
      <c r="S122" s="33" t="s">
        <v>113</v>
      </c>
      <c r="T122" s="212">
        <v>155000</v>
      </c>
      <c r="U122" s="8">
        <v>45810</v>
      </c>
      <c r="V122" s="2">
        <f t="shared" si="14"/>
        <v>1435000</v>
      </c>
    </row>
    <row r="123" spans="3:22" x14ac:dyDescent="0.4">
      <c r="C123" s="1">
        <v>45923</v>
      </c>
      <c r="D123" s="2">
        <f t="shared" si="9"/>
        <v>0</v>
      </c>
      <c r="E123" s="2">
        <f t="shared" si="10"/>
        <v>0</v>
      </c>
      <c r="F123" s="2">
        <f t="shared" si="13"/>
        <v>34156700</v>
      </c>
      <c r="G123" s="2">
        <f t="shared" si="11"/>
        <v>35420000</v>
      </c>
      <c r="H123" s="2">
        <f t="shared" si="12"/>
        <v>0</v>
      </c>
      <c r="M123" s="38" t="s">
        <v>43</v>
      </c>
      <c r="N123" s="6" t="s">
        <v>122</v>
      </c>
      <c r="O123" s="6">
        <v>1</v>
      </c>
      <c r="P123" s="34">
        <v>70</v>
      </c>
      <c r="Q123" s="212">
        <v>7300</v>
      </c>
      <c r="R123" s="195">
        <v>45810</v>
      </c>
      <c r="S123" s="33" t="s">
        <v>113</v>
      </c>
      <c r="T123" s="212">
        <v>7770</v>
      </c>
      <c r="U123" s="8">
        <v>45813</v>
      </c>
      <c r="V123" s="2">
        <f t="shared" si="14"/>
        <v>511000</v>
      </c>
    </row>
    <row r="124" spans="3:22" x14ac:dyDescent="0.4">
      <c r="C124" s="1">
        <v>45924</v>
      </c>
      <c r="D124" s="2">
        <f t="shared" si="9"/>
        <v>1002000</v>
      </c>
      <c r="E124" s="2">
        <f t="shared" si="10"/>
        <v>0</v>
      </c>
      <c r="F124" s="2">
        <f t="shared" si="13"/>
        <v>35158700</v>
      </c>
      <c r="G124" s="2">
        <f t="shared" si="11"/>
        <v>35420000</v>
      </c>
      <c r="H124" s="2">
        <f t="shared" si="12"/>
        <v>0</v>
      </c>
      <c r="M124" s="38" t="s">
        <v>64</v>
      </c>
      <c r="N124" s="6" t="s">
        <v>122</v>
      </c>
      <c r="O124" s="6">
        <v>1</v>
      </c>
      <c r="P124" s="34">
        <v>50</v>
      </c>
      <c r="Q124" s="212">
        <v>19130</v>
      </c>
      <c r="R124" s="195">
        <v>45810</v>
      </c>
      <c r="S124" s="33" t="s">
        <v>113</v>
      </c>
      <c r="T124" s="212">
        <v>19450</v>
      </c>
      <c r="U124" s="8">
        <v>45818</v>
      </c>
      <c r="V124" s="2">
        <f t="shared" si="14"/>
        <v>956500</v>
      </c>
    </row>
    <row r="125" spans="3:22" x14ac:dyDescent="0.4">
      <c r="C125" s="1">
        <v>45925</v>
      </c>
      <c r="D125" s="2">
        <f t="shared" si="9"/>
        <v>0</v>
      </c>
      <c r="E125" s="2">
        <f t="shared" si="10"/>
        <v>2498900</v>
      </c>
      <c r="F125" s="2">
        <f t="shared" si="13"/>
        <v>32659800</v>
      </c>
      <c r="G125" s="2">
        <f t="shared" si="11"/>
        <v>35420000</v>
      </c>
      <c r="H125" s="2">
        <f t="shared" si="12"/>
        <v>0</v>
      </c>
      <c r="M125" s="38" t="s">
        <v>64</v>
      </c>
      <c r="N125" s="6" t="s">
        <v>122</v>
      </c>
      <c r="O125" s="6">
        <v>1</v>
      </c>
      <c r="P125" s="34">
        <v>50</v>
      </c>
      <c r="Q125" s="212">
        <v>19250</v>
      </c>
      <c r="R125" s="195">
        <v>45810</v>
      </c>
      <c r="S125" s="33" t="s">
        <v>113</v>
      </c>
      <c r="T125" s="212">
        <v>19450</v>
      </c>
      <c r="U125" s="8">
        <v>45818</v>
      </c>
      <c r="V125" s="2">
        <f t="shared" si="14"/>
        <v>962500</v>
      </c>
    </row>
    <row r="126" spans="3:22" x14ac:dyDescent="0.4">
      <c r="C126" s="1">
        <v>45926</v>
      </c>
      <c r="D126" s="2">
        <f t="shared" si="9"/>
        <v>0</v>
      </c>
      <c r="E126" s="2">
        <f t="shared" si="10"/>
        <v>2745000</v>
      </c>
      <c r="F126" s="2">
        <f t="shared" si="13"/>
        <v>29914800</v>
      </c>
      <c r="G126" s="2">
        <f t="shared" si="11"/>
        <v>34756000</v>
      </c>
      <c r="H126" s="2">
        <f t="shared" si="12"/>
        <v>664000</v>
      </c>
      <c r="M126" s="38" t="s">
        <v>64</v>
      </c>
      <c r="N126" s="6" t="s">
        <v>122</v>
      </c>
      <c r="O126" s="6">
        <v>1</v>
      </c>
      <c r="P126" s="34">
        <v>40</v>
      </c>
      <c r="Q126" s="212">
        <v>18940</v>
      </c>
      <c r="R126" s="195">
        <v>45810</v>
      </c>
      <c r="S126" s="33" t="s">
        <v>113</v>
      </c>
      <c r="T126" s="212">
        <v>19450</v>
      </c>
      <c r="U126" s="8">
        <v>45818</v>
      </c>
      <c r="V126" s="2">
        <f t="shared" si="14"/>
        <v>757600</v>
      </c>
    </row>
    <row r="127" spans="3:22" x14ac:dyDescent="0.4">
      <c r="C127" s="1">
        <v>45927</v>
      </c>
      <c r="D127" s="2">
        <f t="shared" si="9"/>
        <v>0</v>
      </c>
      <c r="E127" s="2">
        <f t="shared" si="10"/>
        <v>0</v>
      </c>
      <c r="F127" s="2">
        <f t="shared" si="13"/>
        <v>29914800</v>
      </c>
      <c r="G127" s="2">
        <f t="shared" si="11"/>
        <v>34756000</v>
      </c>
      <c r="H127" s="2">
        <f t="shared" si="12"/>
        <v>0</v>
      </c>
      <c r="M127" s="38" t="s">
        <v>132</v>
      </c>
      <c r="N127" s="6" t="s">
        <v>122</v>
      </c>
      <c r="O127" s="6">
        <v>1</v>
      </c>
      <c r="P127" s="34">
        <v>40</v>
      </c>
      <c r="Q127" s="212">
        <v>17342</v>
      </c>
      <c r="R127" s="195">
        <v>45810</v>
      </c>
      <c r="S127" s="33" t="s">
        <v>113</v>
      </c>
      <c r="T127" s="212">
        <v>17910</v>
      </c>
      <c r="U127" s="8">
        <v>45820</v>
      </c>
      <c r="V127" s="2">
        <f t="shared" si="14"/>
        <v>693680</v>
      </c>
    </row>
    <row r="128" spans="3:22" x14ac:dyDescent="0.4">
      <c r="C128" s="1">
        <v>45928</v>
      </c>
      <c r="D128" s="2">
        <f t="shared" si="9"/>
        <v>0</v>
      </c>
      <c r="E128" s="2">
        <f t="shared" si="10"/>
        <v>0</v>
      </c>
      <c r="F128" s="2">
        <f t="shared" si="13"/>
        <v>29914800</v>
      </c>
      <c r="G128" s="2">
        <f t="shared" si="11"/>
        <v>34756000</v>
      </c>
      <c r="H128" s="2">
        <f t="shared" si="12"/>
        <v>0</v>
      </c>
      <c r="M128" s="38" t="s">
        <v>133</v>
      </c>
      <c r="N128" s="6" t="s">
        <v>122</v>
      </c>
      <c r="O128" s="6">
        <v>1</v>
      </c>
      <c r="P128" s="34">
        <v>1</v>
      </c>
      <c r="Q128" s="212">
        <v>817000</v>
      </c>
      <c r="R128" s="195">
        <v>45810</v>
      </c>
      <c r="S128" s="33" t="s">
        <v>113</v>
      </c>
      <c r="T128" s="212">
        <v>845000</v>
      </c>
      <c r="U128" s="8">
        <v>45812</v>
      </c>
      <c r="V128" s="2">
        <f t="shared" si="14"/>
        <v>817000</v>
      </c>
    </row>
    <row r="129" spans="3:22" x14ac:dyDescent="0.4">
      <c r="C129" s="1">
        <v>45929</v>
      </c>
      <c r="D129" s="2">
        <f t="shared" si="9"/>
        <v>131000</v>
      </c>
      <c r="E129" s="2">
        <f t="shared" si="10"/>
        <v>0</v>
      </c>
      <c r="F129" s="2">
        <f t="shared" si="13"/>
        <v>30045800</v>
      </c>
      <c r="G129" s="2">
        <f t="shared" si="11"/>
        <v>34756000</v>
      </c>
      <c r="H129" s="2">
        <f t="shared" si="12"/>
        <v>0</v>
      </c>
      <c r="M129" s="38" t="s">
        <v>134</v>
      </c>
      <c r="N129" s="6" t="s">
        <v>122</v>
      </c>
      <c r="O129" s="6">
        <v>1</v>
      </c>
      <c r="P129" s="34">
        <v>7</v>
      </c>
      <c r="Q129" s="212">
        <v>153500</v>
      </c>
      <c r="R129" s="195">
        <v>45810</v>
      </c>
      <c r="S129" s="33" t="s">
        <v>113</v>
      </c>
      <c r="T129" s="212">
        <v>156000</v>
      </c>
      <c r="U129" s="8">
        <v>45812</v>
      </c>
      <c r="V129" s="2">
        <f t="shared" si="14"/>
        <v>1074500</v>
      </c>
    </row>
    <row r="130" spans="3:22" x14ac:dyDescent="0.4">
      <c r="C130" s="1">
        <v>45930</v>
      </c>
      <c r="D130" s="2">
        <f t="shared" si="9"/>
        <v>1953600</v>
      </c>
      <c r="E130" s="2">
        <f t="shared" si="10"/>
        <v>0</v>
      </c>
      <c r="F130" s="2">
        <f t="shared" si="13"/>
        <v>31999400</v>
      </c>
      <c r="G130" s="2">
        <f t="shared" si="11"/>
        <v>34756000</v>
      </c>
      <c r="H130" s="2">
        <f t="shared" si="12"/>
        <v>0</v>
      </c>
      <c r="M130" s="38" t="s">
        <v>134</v>
      </c>
      <c r="N130" s="6" t="s">
        <v>122</v>
      </c>
      <c r="O130" s="6">
        <v>1</v>
      </c>
      <c r="P130" s="34">
        <v>7</v>
      </c>
      <c r="Q130" s="212">
        <v>153200</v>
      </c>
      <c r="R130" s="195">
        <v>45810</v>
      </c>
      <c r="S130" s="33" t="s">
        <v>113</v>
      </c>
      <c r="T130" s="212">
        <v>156000</v>
      </c>
      <c r="U130" s="8">
        <v>45812</v>
      </c>
      <c r="V130" s="2">
        <f t="shared" si="14"/>
        <v>1072400</v>
      </c>
    </row>
    <row r="131" spans="3:22" x14ac:dyDescent="0.4">
      <c r="C131" s="1">
        <v>45931</v>
      </c>
      <c r="D131" s="2">
        <f t="shared" si="9"/>
        <v>198000</v>
      </c>
      <c r="E131" s="2">
        <f t="shared" si="10"/>
        <v>424400</v>
      </c>
      <c r="F131" s="2">
        <f t="shared" si="13"/>
        <v>31773000</v>
      </c>
      <c r="G131" s="2">
        <f t="shared" si="11"/>
        <v>33855300</v>
      </c>
      <c r="H131" s="2">
        <f t="shared" si="12"/>
        <v>900700</v>
      </c>
      <c r="M131" s="38" t="s">
        <v>134</v>
      </c>
      <c r="N131" s="6" t="s">
        <v>122</v>
      </c>
      <c r="O131" s="6">
        <v>1</v>
      </c>
      <c r="P131" s="34">
        <v>7</v>
      </c>
      <c r="Q131" s="212">
        <v>152000</v>
      </c>
      <c r="R131" s="195">
        <v>45810</v>
      </c>
      <c r="S131" s="33" t="s">
        <v>113</v>
      </c>
      <c r="T131" s="212">
        <v>156000</v>
      </c>
      <c r="U131" s="8">
        <v>45812</v>
      </c>
      <c r="V131" s="2">
        <f t="shared" si="14"/>
        <v>1064000</v>
      </c>
    </row>
    <row r="132" spans="3:22" x14ac:dyDescent="0.4">
      <c r="C132" s="1">
        <v>45932</v>
      </c>
      <c r="D132" s="2">
        <f t="shared" si="9"/>
        <v>195000</v>
      </c>
      <c r="E132" s="2">
        <f t="shared" si="10"/>
        <v>0</v>
      </c>
      <c r="F132" s="2">
        <f t="shared" si="13"/>
        <v>31968000</v>
      </c>
      <c r="G132" s="2">
        <f t="shared" si="11"/>
        <v>33855300</v>
      </c>
      <c r="H132" s="2">
        <f t="shared" si="12"/>
        <v>0</v>
      </c>
      <c r="M132" s="38" t="s">
        <v>135</v>
      </c>
      <c r="N132" s="6" t="s">
        <v>122</v>
      </c>
      <c r="O132" s="6">
        <v>1</v>
      </c>
      <c r="P132" s="34">
        <v>3</v>
      </c>
      <c r="Q132" s="212">
        <v>31000</v>
      </c>
      <c r="R132" s="195">
        <v>45812</v>
      </c>
      <c r="S132" s="33" t="s">
        <v>113</v>
      </c>
      <c r="T132" s="212">
        <v>29000</v>
      </c>
      <c r="U132" s="8">
        <v>45925</v>
      </c>
      <c r="V132" s="2">
        <f t="shared" ref="V132:V163" si="15">P132*Q132</f>
        <v>93000</v>
      </c>
    </row>
    <row r="133" spans="3:22" x14ac:dyDescent="0.4">
      <c r="C133" s="1">
        <v>45933</v>
      </c>
      <c r="D133" s="2">
        <f t="shared" si="9"/>
        <v>0</v>
      </c>
      <c r="E133" s="2">
        <f t="shared" si="10"/>
        <v>0</v>
      </c>
      <c r="F133" s="2">
        <f t="shared" si="13"/>
        <v>31968000</v>
      </c>
      <c r="G133" s="2">
        <f t="shared" si="11"/>
        <v>33855300</v>
      </c>
      <c r="H133" s="2">
        <f t="shared" si="12"/>
        <v>0</v>
      </c>
      <c r="M133" s="38" t="s">
        <v>135</v>
      </c>
      <c r="N133" s="6" t="s">
        <v>122</v>
      </c>
      <c r="O133" s="6">
        <v>1</v>
      </c>
      <c r="P133" s="34">
        <v>10</v>
      </c>
      <c r="Q133" s="212">
        <v>30500</v>
      </c>
      <c r="R133" s="195">
        <v>45812</v>
      </c>
      <c r="S133" s="33" t="s">
        <v>113</v>
      </c>
      <c r="T133" s="212">
        <v>29000</v>
      </c>
      <c r="U133" s="8">
        <v>45925</v>
      </c>
      <c r="V133" s="2">
        <f t="shared" si="15"/>
        <v>305000</v>
      </c>
    </row>
    <row r="134" spans="3:22" x14ac:dyDescent="0.4">
      <c r="C134" s="1">
        <v>45934</v>
      </c>
      <c r="D134" s="2">
        <f t="shared" si="9"/>
        <v>0</v>
      </c>
      <c r="E134" s="2">
        <f t="shared" si="10"/>
        <v>0</v>
      </c>
      <c r="F134" s="2">
        <f t="shared" si="13"/>
        <v>31968000</v>
      </c>
      <c r="G134" s="2">
        <f t="shared" si="11"/>
        <v>33855300</v>
      </c>
      <c r="H134" s="2">
        <f t="shared" si="12"/>
        <v>0</v>
      </c>
      <c r="M134" s="38" t="s">
        <v>43</v>
      </c>
      <c r="N134" s="6" t="s">
        <v>122</v>
      </c>
      <c r="O134" s="6">
        <v>1</v>
      </c>
      <c r="P134" s="34">
        <v>100</v>
      </c>
      <c r="Q134" s="212">
        <v>7380</v>
      </c>
      <c r="R134" s="195">
        <v>45812</v>
      </c>
      <c r="S134" s="33" t="s">
        <v>113</v>
      </c>
      <c r="T134" s="212">
        <v>7770</v>
      </c>
      <c r="U134" s="8">
        <v>45813</v>
      </c>
      <c r="V134" s="2">
        <f t="shared" si="15"/>
        <v>738000</v>
      </c>
    </row>
    <row r="135" spans="3:22" x14ac:dyDescent="0.4">
      <c r="C135" s="1">
        <v>45935</v>
      </c>
      <c r="D135" s="2">
        <f t="shared" ref="D135:D198" si="16">SUMIF($R$5:$R$269,$C135,$V$5:$V$269)</f>
        <v>0</v>
      </c>
      <c r="E135" s="2">
        <f t="shared" ref="E135:E198" si="17">SUMIF($U$5:$U$269,$C135,$V$5:$V$269)</f>
        <v>0</v>
      </c>
      <c r="F135" s="2">
        <f t="shared" si="13"/>
        <v>31968000</v>
      </c>
      <c r="G135" s="2">
        <f t="shared" ref="G135:G198" si="18">G134-H135</f>
        <v>33855300</v>
      </c>
      <c r="H135" s="2">
        <f t="shared" ref="H135:H198" si="19">SUMIF($I$7:$I$49,$C135,$J$7:$J$49)</f>
        <v>0</v>
      </c>
      <c r="M135" s="38" t="s">
        <v>64</v>
      </c>
      <c r="N135" s="6" t="s">
        <v>122</v>
      </c>
      <c r="O135" s="6">
        <v>1</v>
      </c>
      <c r="P135" s="34">
        <v>60</v>
      </c>
      <c r="Q135" s="212">
        <v>18620</v>
      </c>
      <c r="R135" s="195">
        <v>45812</v>
      </c>
      <c r="S135" s="33" t="s">
        <v>113</v>
      </c>
      <c r="T135" s="212">
        <v>19450</v>
      </c>
      <c r="U135" s="8">
        <v>45818</v>
      </c>
      <c r="V135" s="2">
        <f t="shared" si="15"/>
        <v>1117200</v>
      </c>
    </row>
    <row r="136" spans="3:22" x14ac:dyDescent="0.4">
      <c r="C136" s="1">
        <v>45936</v>
      </c>
      <c r="D136" s="2">
        <f t="shared" si="16"/>
        <v>0</v>
      </c>
      <c r="E136" s="2">
        <f t="shared" si="17"/>
        <v>0</v>
      </c>
      <c r="F136" s="2">
        <f t="shared" ref="F136:F199" si="20">F135+D136-E136</f>
        <v>31968000</v>
      </c>
      <c r="G136" s="2">
        <f t="shared" si="18"/>
        <v>33855300</v>
      </c>
      <c r="H136" s="2">
        <f t="shared" si="19"/>
        <v>0</v>
      </c>
      <c r="M136" s="38" t="s">
        <v>64</v>
      </c>
      <c r="N136" s="6" t="s">
        <v>122</v>
      </c>
      <c r="O136" s="6">
        <v>1</v>
      </c>
      <c r="P136" s="34">
        <v>60</v>
      </c>
      <c r="Q136" s="212">
        <v>18500</v>
      </c>
      <c r="R136" s="195">
        <v>45812</v>
      </c>
      <c r="S136" s="33" t="s">
        <v>113</v>
      </c>
      <c r="T136" s="212">
        <v>19450</v>
      </c>
      <c r="U136" s="8">
        <v>45818</v>
      </c>
      <c r="V136" s="2">
        <f t="shared" si="15"/>
        <v>1110000</v>
      </c>
    </row>
    <row r="137" spans="3:22" x14ac:dyDescent="0.4">
      <c r="C137" s="1">
        <v>45937</v>
      </c>
      <c r="D137" s="2">
        <f t="shared" si="16"/>
        <v>0</v>
      </c>
      <c r="E137" s="2">
        <f t="shared" si="17"/>
        <v>0</v>
      </c>
      <c r="F137" s="2">
        <f t="shared" si="20"/>
        <v>31968000</v>
      </c>
      <c r="G137" s="2">
        <f t="shared" si="18"/>
        <v>33855300</v>
      </c>
      <c r="H137" s="2">
        <f t="shared" si="19"/>
        <v>0</v>
      </c>
      <c r="M137" s="38" t="s">
        <v>64</v>
      </c>
      <c r="N137" s="6" t="s">
        <v>122</v>
      </c>
      <c r="O137" s="6">
        <v>1</v>
      </c>
      <c r="P137" s="34">
        <v>40</v>
      </c>
      <c r="Q137" s="212">
        <v>18220</v>
      </c>
      <c r="R137" s="195">
        <v>45812</v>
      </c>
      <c r="S137" s="33" t="s">
        <v>113</v>
      </c>
      <c r="T137" s="212">
        <v>19450</v>
      </c>
      <c r="U137" s="8">
        <v>45818</v>
      </c>
      <c r="V137" s="2">
        <f t="shared" si="15"/>
        <v>728800</v>
      </c>
    </row>
    <row r="138" spans="3:22" x14ac:dyDescent="0.4">
      <c r="C138" s="1">
        <v>45938</v>
      </c>
      <c r="D138" s="2">
        <f t="shared" si="16"/>
        <v>0</v>
      </c>
      <c r="E138" s="2">
        <f t="shared" si="17"/>
        <v>0</v>
      </c>
      <c r="F138" s="2">
        <f t="shared" si="20"/>
        <v>31968000</v>
      </c>
      <c r="G138" s="2">
        <f t="shared" si="18"/>
        <v>33855300</v>
      </c>
      <c r="H138" s="2">
        <f t="shared" si="19"/>
        <v>0</v>
      </c>
      <c r="M138" s="38" t="s">
        <v>64</v>
      </c>
      <c r="N138" s="6" t="s">
        <v>122</v>
      </c>
      <c r="O138" s="6">
        <v>1</v>
      </c>
      <c r="P138" s="34">
        <v>30</v>
      </c>
      <c r="Q138" s="212">
        <v>18000</v>
      </c>
      <c r="R138" s="195">
        <v>45812</v>
      </c>
      <c r="S138" s="33" t="s">
        <v>113</v>
      </c>
      <c r="T138" s="212">
        <v>19450</v>
      </c>
      <c r="U138" s="8">
        <v>45818</v>
      </c>
      <c r="V138" s="2">
        <f t="shared" si="15"/>
        <v>540000</v>
      </c>
    </row>
    <row r="139" spans="3:22" x14ac:dyDescent="0.4">
      <c r="C139" s="1">
        <v>45939</v>
      </c>
      <c r="D139" s="2">
        <f t="shared" si="16"/>
        <v>0</v>
      </c>
      <c r="E139" s="2">
        <f t="shared" si="17"/>
        <v>0</v>
      </c>
      <c r="F139" s="2">
        <f t="shared" si="20"/>
        <v>31968000</v>
      </c>
      <c r="G139" s="2">
        <f t="shared" si="18"/>
        <v>33855300</v>
      </c>
      <c r="H139" s="2">
        <f t="shared" si="19"/>
        <v>0</v>
      </c>
      <c r="M139" s="38" t="s">
        <v>132</v>
      </c>
      <c r="N139" s="6" t="s">
        <v>122</v>
      </c>
      <c r="O139" s="6">
        <v>1</v>
      </c>
      <c r="P139" s="34">
        <v>60</v>
      </c>
      <c r="Q139" s="212">
        <v>17500</v>
      </c>
      <c r="R139" s="195">
        <v>45812</v>
      </c>
      <c r="S139" s="33" t="s">
        <v>113</v>
      </c>
      <c r="T139" s="212">
        <v>17910</v>
      </c>
      <c r="U139" s="8">
        <v>45820</v>
      </c>
      <c r="V139" s="2">
        <f t="shared" si="15"/>
        <v>1050000</v>
      </c>
    </row>
    <row r="140" spans="3:22" x14ac:dyDescent="0.4">
      <c r="C140" s="1">
        <v>45940</v>
      </c>
      <c r="D140" s="2">
        <f t="shared" si="16"/>
        <v>1517350</v>
      </c>
      <c r="E140" s="2">
        <f t="shared" si="17"/>
        <v>585600</v>
      </c>
      <c r="F140" s="2">
        <f t="shared" si="20"/>
        <v>32899750</v>
      </c>
      <c r="G140" s="2">
        <f t="shared" si="18"/>
        <v>33300200</v>
      </c>
      <c r="H140" s="2">
        <f t="shared" si="19"/>
        <v>555100</v>
      </c>
      <c r="M140" s="38" t="s">
        <v>132</v>
      </c>
      <c r="N140" s="6" t="s">
        <v>122</v>
      </c>
      <c r="O140" s="6">
        <v>1</v>
      </c>
      <c r="P140" s="34">
        <v>60</v>
      </c>
      <c r="Q140" s="212">
        <v>17470</v>
      </c>
      <c r="R140" s="195">
        <v>45812</v>
      </c>
      <c r="S140" s="33" t="s">
        <v>113</v>
      </c>
      <c r="T140" s="212">
        <v>17910</v>
      </c>
      <c r="U140" s="8">
        <v>45820</v>
      </c>
      <c r="V140" s="2">
        <f t="shared" si="15"/>
        <v>1048200</v>
      </c>
    </row>
    <row r="141" spans="3:22" x14ac:dyDescent="0.4">
      <c r="C141" s="1">
        <v>45941</v>
      </c>
      <c r="D141" s="2">
        <f t="shared" si="16"/>
        <v>0</v>
      </c>
      <c r="E141" s="2">
        <f t="shared" si="17"/>
        <v>0</v>
      </c>
      <c r="F141" s="2">
        <f t="shared" si="20"/>
        <v>32899750</v>
      </c>
      <c r="G141" s="2">
        <f t="shared" si="18"/>
        <v>33300200</v>
      </c>
      <c r="H141" s="2">
        <f t="shared" si="19"/>
        <v>0</v>
      </c>
      <c r="M141" s="38" t="s">
        <v>133</v>
      </c>
      <c r="N141" s="6" t="s">
        <v>122</v>
      </c>
      <c r="O141" s="6">
        <v>1</v>
      </c>
      <c r="P141" s="34">
        <v>2</v>
      </c>
      <c r="Q141" s="212">
        <v>828000</v>
      </c>
      <c r="R141" s="195">
        <v>45812</v>
      </c>
      <c r="S141" s="33" t="s">
        <v>113</v>
      </c>
      <c r="T141" s="212">
        <v>845000</v>
      </c>
      <c r="U141" s="8">
        <v>45812</v>
      </c>
      <c r="V141" s="2">
        <f t="shared" si="15"/>
        <v>1656000</v>
      </c>
    </row>
    <row r="142" spans="3:22" x14ac:dyDescent="0.4">
      <c r="C142" s="1">
        <v>45942</v>
      </c>
      <c r="D142" s="2">
        <f t="shared" si="16"/>
        <v>0</v>
      </c>
      <c r="E142" s="2">
        <f t="shared" si="17"/>
        <v>0</v>
      </c>
      <c r="F142" s="2">
        <f t="shared" si="20"/>
        <v>32899750</v>
      </c>
      <c r="G142" s="2">
        <f t="shared" si="18"/>
        <v>33300200</v>
      </c>
      <c r="H142" s="2">
        <f t="shared" si="19"/>
        <v>0</v>
      </c>
      <c r="M142" s="38" t="s">
        <v>134</v>
      </c>
      <c r="N142" s="6" t="s">
        <v>122</v>
      </c>
      <c r="O142" s="6">
        <v>1</v>
      </c>
      <c r="P142" s="34">
        <v>8</v>
      </c>
      <c r="Q142" s="212">
        <v>151800</v>
      </c>
      <c r="R142" s="195">
        <v>45812</v>
      </c>
      <c r="S142" s="33" t="s">
        <v>113</v>
      </c>
      <c r="T142" s="212">
        <v>156000</v>
      </c>
      <c r="U142" s="8">
        <v>45812</v>
      </c>
      <c r="V142" s="2">
        <f t="shared" si="15"/>
        <v>1214400</v>
      </c>
    </row>
    <row r="143" spans="3:22" x14ac:dyDescent="0.4">
      <c r="C143" s="1">
        <v>45943</v>
      </c>
      <c r="D143" s="2">
        <f t="shared" si="16"/>
        <v>0</v>
      </c>
      <c r="E143" s="2">
        <f t="shared" si="17"/>
        <v>0</v>
      </c>
      <c r="F143" s="2">
        <f t="shared" si="20"/>
        <v>32899750</v>
      </c>
      <c r="G143" s="2">
        <f t="shared" si="18"/>
        <v>33300200</v>
      </c>
      <c r="H143" s="2">
        <f t="shared" si="19"/>
        <v>0</v>
      </c>
      <c r="M143" s="38" t="s">
        <v>134</v>
      </c>
      <c r="N143" s="6" t="s">
        <v>122</v>
      </c>
      <c r="O143" s="6">
        <v>1</v>
      </c>
      <c r="P143" s="34">
        <v>8</v>
      </c>
      <c r="Q143" s="212">
        <v>152000</v>
      </c>
      <c r="R143" s="195">
        <v>45812</v>
      </c>
      <c r="S143" s="33" t="s">
        <v>113</v>
      </c>
      <c r="T143" s="212">
        <v>156000</v>
      </c>
      <c r="U143" s="8">
        <v>45812</v>
      </c>
      <c r="V143" s="2">
        <f t="shared" si="15"/>
        <v>1216000</v>
      </c>
    </row>
    <row r="144" spans="3:22" x14ac:dyDescent="0.4">
      <c r="C144" s="1">
        <v>45944</v>
      </c>
      <c r="D144" s="2">
        <f t="shared" si="16"/>
        <v>0</v>
      </c>
      <c r="E144" s="2">
        <f t="shared" si="17"/>
        <v>0</v>
      </c>
      <c r="F144" s="2">
        <f t="shared" si="20"/>
        <v>32899750</v>
      </c>
      <c r="G144" s="2">
        <f t="shared" si="18"/>
        <v>33300200</v>
      </c>
      <c r="H144" s="2">
        <f t="shared" si="19"/>
        <v>0</v>
      </c>
      <c r="M144" s="38" t="s">
        <v>136</v>
      </c>
      <c r="N144" s="6" t="s">
        <v>122</v>
      </c>
      <c r="O144" s="6">
        <v>1</v>
      </c>
      <c r="P144" s="34">
        <v>2</v>
      </c>
      <c r="Q144" s="212">
        <v>650000</v>
      </c>
      <c r="R144" s="195">
        <v>45812</v>
      </c>
      <c r="S144" s="33" t="s">
        <v>113</v>
      </c>
      <c r="T144" s="212">
        <v>651000</v>
      </c>
      <c r="U144" s="8">
        <v>45813</v>
      </c>
      <c r="V144" s="2">
        <f t="shared" si="15"/>
        <v>1300000</v>
      </c>
    </row>
    <row r="145" spans="3:22" x14ac:dyDescent="0.4">
      <c r="C145" s="1">
        <v>45945</v>
      </c>
      <c r="D145" s="2">
        <f t="shared" si="16"/>
        <v>0</v>
      </c>
      <c r="E145" s="2">
        <f t="shared" si="17"/>
        <v>0</v>
      </c>
      <c r="F145" s="2">
        <f t="shared" si="20"/>
        <v>32899750</v>
      </c>
      <c r="G145" s="2">
        <f t="shared" si="18"/>
        <v>32780200</v>
      </c>
      <c r="H145" s="2">
        <f t="shared" si="19"/>
        <v>520000</v>
      </c>
      <c r="M145" s="38" t="s">
        <v>136</v>
      </c>
      <c r="N145" s="6" t="s">
        <v>122</v>
      </c>
      <c r="O145" s="6">
        <v>1</v>
      </c>
      <c r="P145" s="34">
        <v>2</v>
      </c>
      <c r="Q145" s="212">
        <v>646000</v>
      </c>
      <c r="R145" s="195">
        <v>45812</v>
      </c>
      <c r="S145" s="33" t="s">
        <v>113</v>
      </c>
      <c r="T145" s="212">
        <v>682000</v>
      </c>
      <c r="U145" s="8">
        <v>45818</v>
      </c>
      <c r="V145" s="2">
        <f t="shared" si="15"/>
        <v>1292000</v>
      </c>
    </row>
    <row r="146" spans="3:22" x14ac:dyDescent="0.4">
      <c r="C146" s="1">
        <v>45946</v>
      </c>
      <c r="D146" s="2">
        <f t="shared" si="16"/>
        <v>0</v>
      </c>
      <c r="E146" s="2">
        <f t="shared" si="17"/>
        <v>0</v>
      </c>
      <c r="F146" s="2">
        <f t="shared" si="20"/>
        <v>32899750</v>
      </c>
      <c r="G146" s="2">
        <f t="shared" si="18"/>
        <v>32780200</v>
      </c>
      <c r="H146" s="2">
        <f t="shared" si="19"/>
        <v>0</v>
      </c>
      <c r="M146" s="38" t="s">
        <v>109</v>
      </c>
      <c r="N146" s="6" t="s">
        <v>122</v>
      </c>
      <c r="O146" s="6">
        <v>1</v>
      </c>
      <c r="P146" s="34">
        <v>100</v>
      </c>
      <c r="Q146" s="212">
        <v>5100</v>
      </c>
      <c r="R146" s="195">
        <v>45813</v>
      </c>
      <c r="S146" s="33" t="s">
        <v>113</v>
      </c>
      <c r="T146" s="212">
        <v>6510</v>
      </c>
      <c r="U146" s="8">
        <v>45838</v>
      </c>
      <c r="V146" s="2">
        <f t="shared" si="15"/>
        <v>510000</v>
      </c>
    </row>
    <row r="147" spans="3:22" x14ac:dyDescent="0.4">
      <c r="C147" s="1">
        <v>45947</v>
      </c>
      <c r="D147" s="2">
        <f t="shared" si="16"/>
        <v>0</v>
      </c>
      <c r="E147" s="2">
        <f t="shared" si="17"/>
        <v>0</v>
      </c>
      <c r="F147" s="2">
        <f t="shared" si="20"/>
        <v>32899750</v>
      </c>
      <c r="G147" s="2">
        <f t="shared" si="18"/>
        <v>32780200</v>
      </c>
      <c r="H147" s="2">
        <f t="shared" si="19"/>
        <v>0</v>
      </c>
      <c r="M147" s="38" t="s">
        <v>109</v>
      </c>
      <c r="N147" s="6" t="s">
        <v>122</v>
      </c>
      <c r="O147" s="6">
        <v>1</v>
      </c>
      <c r="P147" s="34">
        <v>100</v>
      </c>
      <c r="Q147" s="212">
        <v>5050</v>
      </c>
      <c r="R147" s="195">
        <v>45813</v>
      </c>
      <c r="S147" s="33" t="s">
        <v>113</v>
      </c>
      <c r="T147" s="212">
        <v>6510</v>
      </c>
      <c r="U147" s="8">
        <v>45838</v>
      </c>
      <c r="V147" s="2">
        <f t="shared" si="15"/>
        <v>505000</v>
      </c>
    </row>
    <row r="148" spans="3:22" x14ac:dyDescent="0.4">
      <c r="C148" s="1">
        <v>45948</v>
      </c>
      <c r="D148" s="2">
        <f t="shared" si="16"/>
        <v>0</v>
      </c>
      <c r="E148" s="2">
        <f t="shared" si="17"/>
        <v>0</v>
      </c>
      <c r="F148" s="2">
        <f t="shared" si="20"/>
        <v>32899750</v>
      </c>
      <c r="G148" s="2">
        <f t="shared" si="18"/>
        <v>32780200</v>
      </c>
      <c r="H148" s="2">
        <f t="shared" si="19"/>
        <v>0</v>
      </c>
      <c r="M148" s="38" t="s">
        <v>135</v>
      </c>
      <c r="N148" s="6" t="s">
        <v>122</v>
      </c>
      <c r="O148" s="6">
        <v>1</v>
      </c>
      <c r="P148" s="34">
        <v>3</v>
      </c>
      <c r="Q148" s="212">
        <v>28500</v>
      </c>
      <c r="R148" s="195">
        <v>45813</v>
      </c>
      <c r="S148" s="33" t="s">
        <v>113</v>
      </c>
      <c r="T148" s="212">
        <v>29000</v>
      </c>
      <c r="U148" s="8">
        <v>45925</v>
      </c>
      <c r="V148" s="2">
        <f t="shared" si="15"/>
        <v>85500</v>
      </c>
    </row>
    <row r="149" spans="3:22" x14ac:dyDescent="0.4">
      <c r="C149" s="1">
        <v>45949</v>
      </c>
      <c r="D149" s="2">
        <f t="shared" si="16"/>
        <v>0</v>
      </c>
      <c r="E149" s="2">
        <f t="shared" si="17"/>
        <v>0</v>
      </c>
      <c r="F149" s="2">
        <f t="shared" si="20"/>
        <v>32899750</v>
      </c>
      <c r="G149" s="2">
        <f t="shared" si="18"/>
        <v>32780200</v>
      </c>
      <c r="H149" s="2">
        <f t="shared" si="19"/>
        <v>0</v>
      </c>
      <c r="M149" s="38" t="s">
        <v>137</v>
      </c>
      <c r="N149" s="6" t="s">
        <v>122</v>
      </c>
      <c r="O149" s="6">
        <v>1</v>
      </c>
      <c r="P149" s="34">
        <v>200</v>
      </c>
      <c r="Q149" s="212">
        <v>11850</v>
      </c>
      <c r="R149" s="195">
        <v>45813</v>
      </c>
      <c r="S149" s="33" t="s">
        <v>113</v>
      </c>
      <c r="T149" s="212">
        <v>12400</v>
      </c>
      <c r="U149" s="8">
        <v>45819</v>
      </c>
      <c r="V149" s="2">
        <f t="shared" si="15"/>
        <v>2370000</v>
      </c>
    </row>
    <row r="150" spans="3:22" x14ac:dyDescent="0.4">
      <c r="C150" s="1">
        <v>45950</v>
      </c>
      <c r="D150" s="2">
        <f t="shared" si="16"/>
        <v>0</v>
      </c>
      <c r="E150" s="2">
        <f t="shared" si="17"/>
        <v>0</v>
      </c>
      <c r="F150" s="2">
        <f t="shared" si="20"/>
        <v>32899750</v>
      </c>
      <c r="G150" s="2">
        <f t="shared" si="18"/>
        <v>32707900</v>
      </c>
      <c r="H150" s="2">
        <f t="shared" si="19"/>
        <v>72300</v>
      </c>
      <c r="M150" s="38" t="s">
        <v>64</v>
      </c>
      <c r="N150" s="6" t="s">
        <v>122</v>
      </c>
      <c r="O150" s="6">
        <v>1</v>
      </c>
      <c r="P150" s="34">
        <v>25</v>
      </c>
      <c r="Q150" s="212">
        <v>17750</v>
      </c>
      <c r="R150" s="195">
        <v>45813</v>
      </c>
      <c r="S150" s="33" t="s">
        <v>113</v>
      </c>
      <c r="T150" s="212">
        <v>19450</v>
      </c>
      <c r="U150" s="8">
        <v>45818</v>
      </c>
      <c r="V150" s="2">
        <f t="shared" si="15"/>
        <v>443750</v>
      </c>
    </row>
    <row r="151" spans="3:22" x14ac:dyDescent="0.4">
      <c r="C151" s="1">
        <v>45951</v>
      </c>
      <c r="D151" s="2">
        <f t="shared" si="16"/>
        <v>0</v>
      </c>
      <c r="E151" s="2">
        <f t="shared" si="17"/>
        <v>0</v>
      </c>
      <c r="F151" s="2">
        <f t="shared" si="20"/>
        <v>32899750</v>
      </c>
      <c r="G151" s="2">
        <f t="shared" si="18"/>
        <v>32707900</v>
      </c>
      <c r="H151" s="2">
        <f t="shared" si="19"/>
        <v>0</v>
      </c>
      <c r="M151" s="38" t="s">
        <v>64</v>
      </c>
      <c r="N151" s="6" t="s">
        <v>122</v>
      </c>
      <c r="O151" s="6">
        <v>1</v>
      </c>
      <c r="P151" s="34">
        <v>100</v>
      </c>
      <c r="Q151" s="212">
        <v>18500</v>
      </c>
      <c r="R151" s="195">
        <v>45813</v>
      </c>
      <c r="S151" s="33" t="s">
        <v>113</v>
      </c>
      <c r="T151" s="212">
        <v>19450</v>
      </c>
      <c r="U151" s="8">
        <v>45818</v>
      </c>
      <c r="V151" s="2">
        <f t="shared" si="15"/>
        <v>1850000</v>
      </c>
    </row>
    <row r="152" spans="3:22" x14ac:dyDescent="0.4">
      <c r="C152" s="1">
        <v>45952</v>
      </c>
      <c r="D152" s="2">
        <f t="shared" si="16"/>
        <v>0</v>
      </c>
      <c r="E152" s="2">
        <f t="shared" si="17"/>
        <v>0</v>
      </c>
      <c r="F152" s="2">
        <f t="shared" si="20"/>
        <v>32899750</v>
      </c>
      <c r="G152" s="2">
        <f t="shared" si="18"/>
        <v>32707900</v>
      </c>
      <c r="H152" s="2">
        <f t="shared" si="19"/>
        <v>0</v>
      </c>
      <c r="M152" s="38" t="s">
        <v>64</v>
      </c>
      <c r="N152" s="6" t="s">
        <v>122</v>
      </c>
      <c r="O152" s="6">
        <v>1</v>
      </c>
      <c r="P152" s="34">
        <v>60</v>
      </c>
      <c r="Q152" s="212">
        <v>17730</v>
      </c>
      <c r="R152" s="195">
        <v>45813</v>
      </c>
      <c r="S152" s="33" t="s">
        <v>113</v>
      </c>
      <c r="T152" s="212">
        <v>19450</v>
      </c>
      <c r="U152" s="8">
        <v>45818</v>
      </c>
      <c r="V152" s="2">
        <f t="shared" si="15"/>
        <v>1063800</v>
      </c>
    </row>
    <row r="153" spans="3:22" x14ac:dyDescent="0.4">
      <c r="C153" s="1">
        <v>45953</v>
      </c>
      <c r="D153" s="2">
        <f t="shared" si="16"/>
        <v>0</v>
      </c>
      <c r="E153" s="2">
        <f t="shared" si="17"/>
        <v>0</v>
      </c>
      <c r="F153" s="2">
        <f t="shared" si="20"/>
        <v>32899750</v>
      </c>
      <c r="G153" s="2">
        <f t="shared" si="18"/>
        <v>32707900</v>
      </c>
      <c r="H153" s="2">
        <f t="shared" si="19"/>
        <v>0</v>
      </c>
      <c r="M153" s="38" t="s">
        <v>138</v>
      </c>
      <c r="N153" s="6" t="s">
        <v>122</v>
      </c>
      <c r="O153" s="6">
        <v>1</v>
      </c>
      <c r="P153" s="34">
        <v>150</v>
      </c>
      <c r="Q153" s="212">
        <v>22850</v>
      </c>
      <c r="R153" s="195">
        <v>45813</v>
      </c>
      <c r="S153" s="33" t="s">
        <v>113</v>
      </c>
      <c r="T153" s="212">
        <v>24000</v>
      </c>
      <c r="U153" s="8">
        <v>45817</v>
      </c>
      <c r="V153" s="2">
        <f t="shared" si="15"/>
        <v>3427500</v>
      </c>
    </row>
    <row r="154" spans="3:22" x14ac:dyDescent="0.4">
      <c r="C154" s="1">
        <v>45954</v>
      </c>
      <c r="D154" s="2">
        <f t="shared" si="16"/>
        <v>0</v>
      </c>
      <c r="E154" s="2">
        <f t="shared" si="17"/>
        <v>0</v>
      </c>
      <c r="F154" s="2">
        <f t="shared" si="20"/>
        <v>32899750</v>
      </c>
      <c r="G154" s="2">
        <f t="shared" si="18"/>
        <v>32707900</v>
      </c>
      <c r="H154" s="2">
        <f t="shared" si="19"/>
        <v>0</v>
      </c>
      <c r="M154" s="38" t="s">
        <v>132</v>
      </c>
      <c r="N154" s="6" t="s">
        <v>122</v>
      </c>
      <c r="O154" s="6">
        <v>1</v>
      </c>
      <c r="P154" s="34">
        <v>30</v>
      </c>
      <c r="Q154" s="212">
        <v>17580</v>
      </c>
      <c r="R154" s="195">
        <v>45813</v>
      </c>
      <c r="S154" s="33" t="s">
        <v>113</v>
      </c>
      <c r="T154" s="212">
        <v>17910</v>
      </c>
      <c r="U154" s="8">
        <v>45820</v>
      </c>
      <c r="V154" s="2">
        <f t="shared" si="15"/>
        <v>527400</v>
      </c>
    </row>
    <row r="155" spans="3:22" x14ac:dyDescent="0.4">
      <c r="C155" s="1">
        <v>45955</v>
      </c>
      <c r="D155" s="2">
        <f t="shared" si="16"/>
        <v>0</v>
      </c>
      <c r="E155" s="2">
        <f t="shared" si="17"/>
        <v>0</v>
      </c>
      <c r="F155" s="2">
        <f t="shared" si="20"/>
        <v>32899750</v>
      </c>
      <c r="G155" s="2">
        <f t="shared" si="18"/>
        <v>32707900</v>
      </c>
      <c r="H155" s="2">
        <f t="shared" si="19"/>
        <v>0</v>
      </c>
      <c r="M155" s="38" t="s">
        <v>134</v>
      </c>
      <c r="N155" s="6" t="s">
        <v>122</v>
      </c>
      <c r="O155" s="6">
        <v>1</v>
      </c>
      <c r="P155" s="34">
        <v>4</v>
      </c>
      <c r="Q155" s="212">
        <v>154000</v>
      </c>
      <c r="R155" s="195">
        <v>45813</v>
      </c>
      <c r="S155" s="33" t="s">
        <v>113</v>
      </c>
      <c r="T155" s="212">
        <v>160000</v>
      </c>
      <c r="U155" s="8">
        <v>45818</v>
      </c>
      <c r="V155" s="2">
        <f t="shared" si="15"/>
        <v>616000</v>
      </c>
    </row>
    <row r="156" spans="3:22" x14ac:dyDescent="0.4">
      <c r="C156" s="1">
        <v>45956</v>
      </c>
      <c r="D156" s="2">
        <f t="shared" si="16"/>
        <v>0</v>
      </c>
      <c r="E156" s="2">
        <f t="shared" si="17"/>
        <v>0</v>
      </c>
      <c r="F156" s="2">
        <f t="shared" si="20"/>
        <v>32899750</v>
      </c>
      <c r="G156" s="2">
        <f t="shared" si="18"/>
        <v>32707900</v>
      </c>
      <c r="H156" s="2">
        <f t="shared" si="19"/>
        <v>0</v>
      </c>
      <c r="M156" s="38" t="s">
        <v>134</v>
      </c>
      <c r="N156" s="6" t="s">
        <v>122</v>
      </c>
      <c r="O156" s="6">
        <v>1</v>
      </c>
      <c r="P156" s="34">
        <v>4</v>
      </c>
      <c r="Q156" s="212">
        <v>151500</v>
      </c>
      <c r="R156" s="195">
        <v>45813</v>
      </c>
      <c r="S156" s="33" t="s">
        <v>113</v>
      </c>
      <c r="T156" s="212">
        <v>160000</v>
      </c>
      <c r="U156" s="8">
        <v>45818</v>
      </c>
      <c r="V156" s="2">
        <f t="shared" si="15"/>
        <v>606000</v>
      </c>
    </row>
    <row r="157" spans="3:22" x14ac:dyDescent="0.4">
      <c r="C157" s="1">
        <v>45957</v>
      </c>
      <c r="D157" s="2">
        <f t="shared" si="16"/>
        <v>0</v>
      </c>
      <c r="E157" s="2">
        <f t="shared" si="17"/>
        <v>0</v>
      </c>
      <c r="F157" s="2">
        <f t="shared" si="20"/>
        <v>32899750</v>
      </c>
      <c r="G157" s="2">
        <f t="shared" si="18"/>
        <v>32392900</v>
      </c>
      <c r="H157" s="2">
        <f t="shared" si="19"/>
        <v>315000</v>
      </c>
      <c r="M157" s="38" t="s">
        <v>134</v>
      </c>
      <c r="N157" s="6" t="s">
        <v>122</v>
      </c>
      <c r="O157" s="6">
        <v>1</v>
      </c>
      <c r="P157" s="34">
        <v>6</v>
      </c>
      <c r="Q157" s="212">
        <v>153700</v>
      </c>
      <c r="R157" s="195">
        <v>45813</v>
      </c>
      <c r="S157" s="33" t="s">
        <v>113</v>
      </c>
      <c r="T157" s="212">
        <v>160000</v>
      </c>
      <c r="U157" s="8">
        <v>45818</v>
      </c>
      <c r="V157" s="2">
        <f t="shared" si="15"/>
        <v>922200</v>
      </c>
    </row>
    <row r="158" spans="3:22" x14ac:dyDescent="0.4">
      <c r="C158" s="1">
        <v>45958</v>
      </c>
      <c r="D158" s="2">
        <f t="shared" si="16"/>
        <v>0</v>
      </c>
      <c r="E158" s="2">
        <f t="shared" si="17"/>
        <v>980000</v>
      </c>
      <c r="F158" s="2">
        <f t="shared" si="20"/>
        <v>31919750</v>
      </c>
      <c r="G158" s="2">
        <f t="shared" si="18"/>
        <v>31822900</v>
      </c>
      <c r="H158" s="2">
        <f t="shared" si="19"/>
        <v>570000</v>
      </c>
      <c r="M158" s="38" t="s">
        <v>139</v>
      </c>
      <c r="N158" s="6" t="s">
        <v>122</v>
      </c>
      <c r="O158" s="6">
        <v>1</v>
      </c>
      <c r="P158" s="34">
        <v>30</v>
      </c>
      <c r="Q158" s="212">
        <v>188900</v>
      </c>
      <c r="R158" s="195">
        <v>45813</v>
      </c>
      <c r="S158" s="33" t="s">
        <v>113</v>
      </c>
      <c r="T158" s="212">
        <v>197500</v>
      </c>
      <c r="U158" s="8">
        <v>45817</v>
      </c>
      <c r="V158" s="2">
        <f t="shared" si="15"/>
        <v>5667000</v>
      </c>
    </row>
    <row r="159" spans="3:22" x14ac:dyDescent="0.4">
      <c r="C159" s="1">
        <v>45959</v>
      </c>
      <c r="D159" s="2">
        <f t="shared" si="16"/>
        <v>0</v>
      </c>
      <c r="E159" s="2">
        <f t="shared" si="17"/>
        <v>0</v>
      </c>
      <c r="F159" s="2">
        <f t="shared" si="20"/>
        <v>31919750</v>
      </c>
      <c r="G159" s="2">
        <f t="shared" si="18"/>
        <v>31822900</v>
      </c>
      <c r="H159" s="2">
        <f t="shared" si="19"/>
        <v>0</v>
      </c>
      <c r="M159" s="38" t="s">
        <v>136</v>
      </c>
      <c r="N159" s="6" t="s">
        <v>122</v>
      </c>
      <c r="O159" s="6">
        <v>1</v>
      </c>
      <c r="P159" s="34">
        <v>2</v>
      </c>
      <c r="Q159" s="212">
        <v>649000</v>
      </c>
      <c r="R159" s="195">
        <v>45813</v>
      </c>
      <c r="S159" s="33" t="s">
        <v>113</v>
      </c>
      <c r="T159" s="212">
        <v>682000</v>
      </c>
      <c r="U159" s="8">
        <v>45818</v>
      </c>
      <c r="V159" s="2">
        <f t="shared" si="15"/>
        <v>1298000</v>
      </c>
    </row>
    <row r="160" spans="3:22" x14ac:dyDescent="0.4">
      <c r="C160" s="1">
        <v>45960</v>
      </c>
      <c r="D160" s="2">
        <f t="shared" si="16"/>
        <v>0</v>
      </c>
      <c r="E160" s="2">
        <f t="shared" si="17"/>
        <v>0</v>
      </c>
      <c r="F160" s="2">
        <f t="shared" si="20"/>
        <v>31919750</v>
      </c>
      <c r="G160" s="2">
        <f t="shared" si="18"/>
        <v>31822900</v>
      </c>
      <c r="H160" s="2">
        <f t="shared" si="19"/>
        <v>0</v>
      </c>
      <c r="M160" s="38" t="s">
        <v>140</v>
      </c>
      <c r="N160" s="6" t="s">
        <v>122</v>
      </c>
      <c r="O160" s="6">
        <v>1</v>
      </c>
      <c r="P160" s="34">
        <v>30</v>
      </c>
      <c r="Q160" s="212">
        <v>73000</v>
      </c>
      <c r="R160" s="195">
        <v>45817</v>
      </c>
      <c r="S160" s="33" t="s">
        <v>113</v>
      </c>
      <c r="T160" s="212">
        <v>74500</v>
      </c>
      <c r="U160" s="8">
        <v>45818</v>
      </c>
      <c r="V160" s="2">
        <f t="shared" si="15"/>
        <v>2190000</v>
      </c>
    </row>
    <row r="161" spans="3:22" x14ac:dyDescent="0.4">
      <c r="C161" s="1">
        <v>45961</v>
      </c>
      <c r="D161" s="2">
        <f t="shared" si="16"/>
        <v>0</v>
      </c>
      <c r="E161" s="2">
        <f t="shared" si="17"/>
        <v>0</v>
      </c>
      <c r="F161" s="2">
        <f t="shared" si="20"/>
        <v>31919750</v>
      </c>
      <c r="G161" s="2">
        <f t="shared" si="18"/>
        <v>30322900</v>
      </c>
      <c r="H161" s="2">
        <f t="shared" si="19"/>
        <v>1500000</v>
      </c>
      <c r="M161" s="38" t="s">
        <v>135</v>
      </c>
      <c r="N161" s="6" t="s">
        <v>122</v>
      </c>
      <c r="O161" s="6">
        <v>1</v>
      </c>
      <c r="P161" s="34">
        <v>2</v>
      </c>
      <c r="Q161" s="212">
        <v>26700</v>
      </c>
      <c r="R161" s="195">
        <v>45817</v>
      </c>
      <c r="S161" s="33" t="s">
        <v>113</v>
      </c>
      <c r="T161" s="212">
        <v>29000</v>
      </c>
      <c r="U161" s="8">
        <v>45925</v>
      </c>
      <c r="V161" s="2">
        <f t="shared" si="15"/>
        <v>53400</v>
      </c>
    </row>
    <row r="162" spans="3:22" x14ac:dyDescent="0.4">
      <c r="C162" s="1">
        <v>45962</v>
      </c>
      <c r="D162" s="2">
        <f t="shared" si="16"/>
        <v>0</v>
      </c>
      <c r="E162" s="2">
        <f t="shared" si="17"/>
        <v>0</v>
      </c>
      <c r="F162" s="2">
        <f t="shared" si="20"/>
        <v>31919750</v>
      </c>
      <c r="G162" s="2">
        <f t="shared" si="18"/>
        <v>30322900</v>
      </c>
      <c r="H162" s="2">
        <f t="shared" si="19"/>
        <v>0</v>
      </c>
      <c r="M162" s="38" t="s">
        <v>45</v>
      </c>
      <c r="N162" s="6" t="s">
        <v>122</v>
      </c>
      <c r="O162" s="6">
        <v>1</v>
      </c>
      <c r="P162" s="34">
        <v>150</v>
      </c>
      <c r="Q162" s="212">
        <v>29900</v>
      </c>
      <c r="R162" s="195">
        <v>45817</v>
      </c>
      <c r="S162" s="33" t="s">
        <v>113</v>
      </c>
      <c r="T162" s="212">
        <v>31500</v>
      </c>
      <c r="U162" s="8">
        <v>45820</v>
      </c>
      <c r="V162" s="2">
        <f t="shared" si="15"/>
        <v>4485000</v>
      </c>
    </row>
    <row r="163" spans="3:22" x14ac:dyDescent="0.4">
      <c r="C163" s="1">
        <v>45963</v>
      </c>
      <c r="D163" s="2">
        <f t="shared" si="16"/>
        <v>0</v>
      </c>
      <c r="E163" s="2">
        <f t="shared" si="17"/>
        <v>0</v>
      </c>
      <c r="F163" s="2">
        <f t="shared" si="20"/>
        <v>31919750</v>
      </c>
      <c r="G163" s="2">
        <f t="shared" si="18"/>
        <v>30322900</v>
      </c>
      <c r="H163" s="2">
        <f t="shared" si="19"/>
        <v>0</v>
      </c>
      <c r="M163" s="38" t="s">
        <v>64</v>
      </c>
      <c r="N163" s="6" t="s">
        <v>122</v>
      </c>
      <c r="O163" s="6">
        <v>1</v>
      </c>
      <c r="P163" s="34">
        <v>12</v>
      </c>
      <c r="Q163" s="212">
        <v>17100</v>
      </c>
      <c r="R163" s="195">
        <v>45817</v>
      </c>
      <c r="S163" s="33" t="s">
        <v>113</v>
      </c>
      <c r="T163" s="212">
        <v>19450</v>
      </c>
      <c r="U163" s="8">
        <v>45818</v>
      </c>
      <c r="V163" s="2">
        <f t="shared" si="15"/>
        <v>205200</v>
      </c>
    </row>
    <row r="164" spans="3:22" x14ac:dyDescent="0.4">
      <c r="C164" s="1">
        <v>45964</v>
      </c>
      <c r="D164" s="2">
        <f t="shared" si="16"/>
        <v>0</v>
      </c>
      <c r="E164" s="2">
        <f t="shared" si="17"/>
        <v>0</v>
      </c>
      <c r="F164" s="2">
        <f t="shared" si="20"/>
        <v>31919750</v>
      </c>
      <c r="G164" s="2">
        <f t="shared" si="18"/>
        <v>30322900</v>
      </c>
      <c r="H164" s="2">
        <f t="shared" si="19"/>
        <v>0</v>
      </c>
      <c r="M164" s="38" t="s">
        <v>128</v>
      </c>
      <c r="N164" s="6" t="s">
        <v>122</v>
      </c>
      <c r="O164" s="6">
        <v>1</v>
      </c>
      <c r="P164" s="34">
        <v>50</v>
      </c>
      <c r="Q164" s="212">
        <v>82800</v>
      </c>
      <c r="R164" s="195">
        <v>45817</v>
      </c>
      <c r="S164" s="33" t="s">
        <v>113</v>
      </c>
      <c r="T164" s="212">
        <v>81500</v>
      </c>
      <c r="U164" s="8">
        <v>45817</v>
      </c>
      <c r="V164" s="2">
        <f t="shared" ref="V164:V195" si="21">P164*Q164</f>
        <v>4140000</v>
      </c>
    </row>
    <row r="165" spans="3:22" x14ac:dyDescent="0.4">
      <c r="C165" s="1">
        <v>45965</v>
      </c>
      <c r="D165" s="2">
        <f t="shared" si="16"/>
        <v>0</v>
      </c>
      <c r="E165" s="2">
        <f t="shared" si="17"/>
        <v>0</v>
      </c>
      <c r="F165" s="2">
        <f t="shared" si="20"/>
        <v>31919750</v>
      </c>
      <c r="G165" s="2">
        <f t="shared" si="18"/>
        <v>30322900</v>
      </c>
      <c r="H165" s="2">
        <f t="shared" si="19"/>
        <v>0</v>
      </c>
      <c r="M165" s="38" t="s">
        <v>128</v>
      </c>
      <c r="N165" s="6" t="s">
        <v>122</v>
      </c>
      <c r="O165" s="6">
        <v>1</v>
      </c>
      <c r="P165" s="34">
        <v>100</v>
      </c>
      <c r="Q165" s="212">
        <v>81700</v>
      </c>
      <c r="R165" s="195">
        <v>45817</v>
      </c>
      <c r="S165" s="33" t="s">
        <v>113</v>
      </c>
      <c r="T165" s="212">
        <v>81000</v>
      </c>
      <c r="U165" s="8">
        <v>45817</v>
      </c>
      <c r="V165" s="2">
        <f t="shared" si="21"/>
        <v>8170000</v>
      </c>
    </row>
    <row r="166" spans="3:22" x14ac:dyDescent="0.4">
      <c r="C166" s="1">
        <v>45966</v>
      </c>
      <c r="D166" s="2">
        <f t="shared" si="16"/>
        <v>0</v>
      </c>
      <c r="E166" s="2">
        <f t="shared" si="17"/>
        <v>0</v>
      </c>
      <c r="F166" s="2">
        <f t="shared" si="20"/>
        <v>31919750</v>
      </c>
      <c r="G166" s="2">
        <f t="shared" si="18"/>
        <v>30322900</v>
      </c>
      <c r="H166" s="2">
        <f t="shared" si="19"/>
        <v>0</v>
      </c>
      <c r="M166" s="38" t="s">
        <v>128</v>
      </c>
      <c r="N166" s="6" t="s">
        <v>122</v>
      </c>
      <c r="O166" s="6">
        <v>1</v>
      </c>
      <c r="P166" s="34">
        <v>20</v>
      </c>
      <c r="Q166" s="212">
        <v>81500</v>
      </c>
      <c r="R166" s="195">
        <v>45817</v>
      </c>
      <c r="S166" s="33" t="s">
        <v>113</v>
      </c>
      <c r="T166" s="212">
        <v>82500</v>
      </c>
      <c r="U166" s="8">
        <v>45817</v>
      </c>
      <c r="V166" s="2">
        <f t="shared" si="21"/>
        <v>1630000</v>
      </c>
    </row>
    <row r="167" spans="3:22" x14ac:dyDescent="0.4">
      <c r="C167" s="1">
        <v>45967</v>
      </c>
      <c r="D167" s="2">
        <f t="shared" si="16"/>
        <v>0</v>
      </c>
      <c r="E167" s="2">
        <f t="shared" si="17"/>
        <v>0</v>
      </c>
      <c r="F167" s="2">
        <f t="shared" si="20"/>
        <v>31919750</v>
      </c>
      <c r="G167" s="2">
        <f t="shared" si="18"/>
        <v>30322900</v>
      </c>
      <c r="H167" s="2">
        <f t="shared" si="19"/>
        <v>0</v>
      </c>
      <c r="M167" s="38" t="s">
        <v>128</v>
      </c>
      <c r="N167" s="6" t="s">
        <v>122</v>
      </c>
      <c r="O167" s="6">
        <v>1</v>
      </c>
      <c r="P167" s="34">
        <v>15</v>
      </c>
      <c r="Q167" s="212">
        <v>81300</v>
      </c>
      <c r="R167" s="195">
        <v>45817</v>
      </c>
      <c r="S167" s="33" t="s">
        <v>113</v>
      </c>
      <c r="T167" s="212">
        <v>80500</v>
      </c>
      <c r="U167" s="8">
        <v>45826</v>
      </c>
      <c r="V167" s="2">
        <f t="shared" si="21"/>
        <v>1219500</v>
      </c>
    </row>
    <row r="168" spans="3:22" x14ac:dyDescent="0.4">
      <c r="C168" s="1">
        <v>45968</v>
      </c>
      <c r="D168" s="2">
        <f t="shared" si="16"/>
        <v>0</v>
      </c>
      <c r="E168" s="2">
        <f t="shared" si="17"/>
        <v>0</v>
      </c>
      <c r="F168" s="2">
        <f t="shared" si="20"/>
        <v>31919750</v>
      </c>
      <c r="G168" s="2">
        <f t="shared" si="18"/>
        <v>30322900</v>
      </c>
      <c r="H168" s="2">
        <f t="shared" si="19"/>
        <v>0</v>
      </c>
      <c r="M168" s="38" t="s">
        <v>134</v>
      </c>
      <c r="N168" s="6" t="s">
        <v>122</v>
      </c>
      <c r="O168" s="6">
        <v>1</v>
      </c>
      <c r="P168" s="34">
        <v>3</v>
      </c>
      <c r="Q168" s="212">
        <v>152300</v>
      </c>
      <c r="R168" s="195">
        <v>45817</v>
      </c>
      <c r="S168" s="33" t="s">
        <v>113</v>
      </c>
      <c r="T168" s="212">
        <v>160000</v>
      </c>
      <c r="U168" s="8">
        <v>45818</v>
      </c>
      <c r="V168" s="2">
        <f t="shared" si="21"/>
        <v>456900</v>
      </c>
    </row>
    <row r="169" spans="3:22" x14ac:dyDescent="0.4">
      <c r="C169" s="1">
        <v>45969</v>
      </c>
      <c r="D169" s="2">
        <f t="shared" si="16"/>
        <v>0</v>
      </c>
      <c r="E169" s="2">
        <f t="shared" si="17"/>
        <v>0</v>
      </c>
      <c r="F169" s="2">
        <f t="shared" si="20"/>
        <v>31919750</v>
      </c>
      <c r="G169" s="2">
        <f t="shared" si="18"/>
        <v>30322900</v>
      </c>
      <c r="H169" s="2">
        <f t="shared" si="19"/>
        <v>0</v>
      </c>
      <c r="M169" s="38" t="s">
        <v>134</v>
      </c>
      <c r="N169" s="6" t="s">
        <v>122</v>
      </c>
      <c r="O169" s="6">
        <v>1</v>
      </c>
      <c r="P169" s="34">
        <v>2</v>
      </c>
      <c r="Q169" s="212">
        <v>151500</v>
      </c>
      <c r="R169" s="195">
        <v>45817</v>
      </c>
      <c r="S169" s="33" t="s">
        <v>113</v>
      </c>
      <c r="T169" s="212">
        <v>160000</v>
      </c>
      <c r="U169" s="8">
        <v>45818</v>
      </c>
      <c r="V169" s="2">
        <f t="shared" si="21"/>
        <v>303000</v>
      </c>
    </row>
    <row r="170" spans="3:22" x14ac:dyDescent="0.4">
      <c r="C170" s="1">
        <v>45970</v>
      </c>
      <c r="D170" s="2">
        <f t="shared" si="16"/>
        <v>0</v>
      </c>
      <c r="E170" s="2">
        <f t="shared" si="17"/>
        <v>0</v>
      </c>
      <c r="F170" s="2">
        <f t="shared" si="20"/>
        <v>31919750</v>
      </c>
      <c r="G170" s="2">
        <f t="shared" si="18"/>
        <v>30322900</v>
      </c>
      <c r="H170" s="2">
        <f t="shared" si="19"/>
        <v>0</v>
      </c>
      <c r="M170" s="38" t="s">
        <v>136</v>
      </c>
      <c r="N170" s="6" t="s">
        <v>122</v>
      </c>
      <c r="O170" s="6">
        <v>1</v>
      </c>
      <c r="P170" s="34">
        <v>1</v>
      </c>
      <c r="Q170" s="212">
        <v>649000</v>
      </c>
      <c r="R170" s="195">
        <v>45817</v>
      </c>
      <c r="S170" s="33" t="s">
        <v>113</v>
      </c>
      <c r="T170" s="212">
        <v>682000</v>
      </c>
      <c r="U170" s="8">
        <v>45818</v>
      </c>
      <c r="V170" s="2">
        <f t="shared" si="21"/>
        <v>649000</v>
      </c>
    </row>
    <row r="171" spans="3:22" x14ac:dyDescent="0.4">
      <c r="C171" s="1">
        <v>45971</v>
      </c>
      <c r="D171" s="2">
        <f t="shared" si="16"/>
        <v>0</v>
      </c>
      <c r="E171" s="2">
        <f t="shared" si="17"/>
        <v>0</v>
      </c>
      <c r="F171" s="2">
        <f t="shared" si="20"/>
        <v>31919750</v>
      </c>
      <c r="G171" s="2">
        <f t="shared" si="18"/>
        <v>30217500</v>
      </c>
      <c r="H171" s="2">
        <f t="shared" si="19"/>
        <v>105400</v>
      </c>
      <c r="M171" s="38" t="s">
        <v>135</v>
      </c>
      <c r="N171" s="6" t="s">
        <v>122</v>
      </c>
      <c r="O171" s="6">
        <v>1</v>
      </c>
      <c r="P171" s="34">
        <v>2</v>
      </c>
      <c r="Q171" s="212">
        <v>27000</v>
      </c>
      <c r="R171" s="195">
        <v>45818</v>
      </c>
      <c r="S171" s="33" t="s">
        <v>113</v>
      </c>
      <c r="T171" s="212">
        <v>29000</v>
      </c>
      <c r="U171" s="8">
        <v>45925</v>
      </c>
      <c r="V171" s="2">
        <f t="shared" si="21"/>
        <v>54000</v>
      </c>
    </row>
    <row r="172" spans="3:22" x14ac:dyDescent="0.4">
      <c r="C172" s="1">
        <v>45972</v>
      </c>
      <c r="D172" s="2">
        <f t="shared" si="16"/>
        <v>0</v>
      </c>
      <c r="E172" s="2">
        <f t="shared" si="17"/>
        <v>0</v>
      </c>
      <c r="F172" s="2">
        <f t="shared" si="20"/>
        <v>31919750</v>
      </c>
      <c r="G172" s="2">
        <f t="shared" si="18"/>
        <v>30217500</v>
      </c>
      <c r="H172" s="2">
        <f t="shared" si="19"/>
        <v>0</v>
      </c>
      <c r="M172" s="38" t="s">
        <v>135</v>
      </c>
      <c r="N172" s="6" t="s">
        <v>122</v>
      </c>
      <c r="O172" s="6">
        <v>1</v>
      </c>
      <c r="P172" s="34">
        <v>25</v>
      </c>
      <c r="Q172" s="212">
        <v>27400</v>
      </c>
      <c r="R172" s="195">
        <v>45818</v>
      </c>
      <c r="S172" s="33" t="s">
        <v>113</v>
      </c>
      <c r="T172" s="212">
        <v>29000</v>
      </c>
      <c r="U172" s="8">
        <v>45925</v>
      </c>
      <c r="V172" s="2">
        <f t="shared" si="21"/>
        <v>685000</v>
      </c>
    </row>
    <row r="173" spans="3:22" x14ac:dyDescent="0.4">
      <c r="C173" s="1">
        <v>45973</v>
      </c>
      <c r="D173" s="2">
        <f t="shared" si="16"/>
        <v>0</v>
      </c>
      <c r="E173" s="2">
        <f t="shared" si="17"/>
        <v>0</v>
      </c>
      <c r="F173" s="2">
        <f t="shared" si="20"/>
        <v>31919750</v>
      </c>
      <c r="G173" s="2">
        <f t="shared" si="18"/>
        <v>29280491</v>
      </c>
      <c r="H173" s="2">
        <f t="shared" si="19"/>
        <v>937009</v>
      </c>
      <c r="M173" s="38" t="s">
        <v>135</v>
      </c>
      <c r="N173" s="6" t="s">
        <v>122</v>
      </c>
      <c r="O173" s="6">
        <v>1</v>
      </c>
      <c r="P173" s="34">
        <v>20</v>
      </c>
      <c r="Q173" s="212">
        <v>27200</v>
      </c>
      <c r="R173" s="195">
        <v>45818</v>
      </c>
      <c r="S173" s="33" t="s">
        <v>113</v>
      </c>
      <c r="T173" s="212">
        <v>29000</v>
      </c>
      <c r="U173" s="8">
        <v>45925</v>
      </c>
      <c r="V173" s="2">
        <f t="shared" si="21"/>
        <v>544000</v>
      </c>
    </row>
    <row r="174" spans="3:22" x14ac:dyDescent="0.4">
      <c r="C174" s="1">
        <v>45974</v>
      </c>
      <c r="D174" s="2">
        <f t="shared" si="16"/>
        <v>0</v>
      </c>
      <c r="E174" s="2">
        <f t="shared" si="17"/>
        <v>0</v>
      </c>
      <c r="F174" s="2">
        <f t="shared" si="20"/>
        <v>31919750</v>
      </c>
      <c r="G174" s="2">
        <f t="shared" si="18"/>
        <v>29280491</v>
      </c>
      <c r="H174" s="2">
        <f t="shared" si="19"/>
        <v>0</v>
      </c>
      <c r="M174" s="38" t="s">
        <v>137</v>
      </c>
      <c r="N174" s="6" t="s">
        <v>122</v>
      </c>
      <c r="O174" s="6">
        <v>1</v>
      </c>
      <c r="P174" s="34">
        <v>40</v>
      </c>
      <c r="Q174" s="212">
        <v>11700</v>
      </c>
      <c r="R174" s="195">
        <v>45818</v>
      </c>
      <c r="S174" s="33" t="s">
        <v>113</v>
      </c>
      <c r="T174" s="212">
        <v>12400</v>
      </c>
      <c r="U174" s="8">
        <v>45819</v>
      </c>
      <c r="V174" s="2">
        <f t="shared" si="21"/>
        <v>468000</v>
      </c>
    </row>
    <row r="175" spans="3:22" x14ac:dyDescent="0.4">
      <c r="C175" s="1">
        <v>45975</v>
      </c>
      <c r="D175" s="2">
        <f t="shared" si="16"/>
        <v>0</v>
      </c>
      <c r="E175" s="2">
        <f t="shared" si="17"/>
        <v>0</v>
      </c>
      <c r="F175" s="2">
        <f t="shared" si="20"/>
        <v>31919750</v>
      </c>
      <c r="G175" s="2">
        <f t="shared" si="18"/>
        <v>29280491</v>
      </c>
      <c r="H175" s="2">
        <f t="shared" si="19"/>
        <v>0</v>
      </c>
      <c r="M175" s="38" t="s">
        <v>45</v>
      </c>
      <c r="N175" s="6" t="s">
        <v>122</v>
      </c>
      <c r="O175" s="6">
        <v>1</v>
      </c>
      <c r="P175" s="34">
        <v>30</v>
      </c>
      <c r="Q175" s="212">
        <v>29500</v>
      </c>
      <c r="R175" s="195">
        <v>45818</v>
      </c>
      <c r="S175" s="33" t="s">
        <v>113</v>
      </c>
      <c r="T175" s="212">
        <v>31500</v>
      </c>
      <c r="U175" s="8">
        <v>45820</v>
      </c>
      <c r="V175" s="2">
        <f t="shared" si="21"/>
        <v>885000</v>
      </c>
    </row>
    <row r="176" spans="3:22" x14ac:dyDescent="0.4">
      <c r="C176" s="1">
        <v>45976</v>
      </c>
      <c r="D176" s="2">
        <f t="shared" si="16"/>
        <v>0</v>
      </c>
      <c r="E176" s="2">
        <f t="shared" si="17"/>
        <v>0</v>
      </c>
      <c r="F176" s="2">
        <f t="shared" si="20"/>
        <v>31919750</v>
      </c>
      <c r="G176" s="2">
        <f t="shared" si="18"/>
        <v>29280491</v>
      </c>
      <c r="H176" s="2">
        <f t="shared" si="19"/>
        <v>0</v>
      </c>
      <c r="M176" s="38" t="s">
        <v>141</v>
      </c>
      <c r="N176" s="6" t="s">
        <v>122</v>
      </c>
      <c r="O176" s="6">
        <v>1</v>
      </c>
      <c r="P176" s="34">
        <v>100</v>
      </c>
      <c r="Q176" s="212">
        <v>10400</v>
      </c>
      <c r="R176" s="195">
        <v>45818</v>
      </c>
      <c r="S176" s="33" t="s">
        <v>113</v>
      </c>
      <c r="T176" s="212">
        <v>10920</v>
      </c>
      <c r="U176" s="8">
        <v>45819</v>
      </c>
      <c r="V176" s="2">
        <f t="shared" si="21"/>
        <v>1040000</v>
      </c>
    </row>
    <row r="177" spans="3:22" x14ac:dyDescent="0.4">
      <c r="C177" s="1">
        <v>45977</v>
      </c>
      <c r="D177" s="2">
        <f t="shared" si="16"/>
        <v>0</v>
      </c>
      <c r="E177" s="2">
        <f t="shared" si="17"/>
        <v>0</v>
      </c>
      <c r="F177" s="2">
        <f t="shared" si="20"/>
        <v>31919750</v>
      </c>
      <c r="G177" s="2">
        <f t="shared" si="18"/>
        <v>29280491</v>
      </c>
      <c r="H177" s="2">
        <f t="shared" si="19"/>
        <v>0</v>
      </c>
      <c r="M177" s="38" t="s">
        <v>136</v>
      </c>
      <c r="N177" s="6" t="s">
        <v>122</v>
      </c>
      <c r="O177" s="6">
        <v>1</v>
      </c>
      <c r="P177" s="34">
        <v>2</v>
      </c>
      <c r="Q177" s="212">
        <v>675000</v>
      </c>
      <c r="R177" s="195">
        <v>45818</v>
      </c>
      <c r="S177" s="33" t="s">
        <v>113</v>
      </c>
      <c r="T177" s="212">
        <v>696000</v>
      </c>
      <c r="U177" s="8">
        <v>45824</v>
      </c>
      <c r="V177" s="2">
        <f t="shared" si="21"/>
        <v>1350000</v>
      </c>
    </row>
    <row r="178" spans="3:22" x14ac:dyDescent="0.4">
      <c r="C178" s="1">
        <v>45978</v>
      </c>
      <c r="D178" s="2">
        <f t="shared" si="16"/>
        <v>0</v>
      </c>
      <c r="E178" s="2">
        <f t="shared" si="17"/>
        <v>0</v>
      </c>
      <c r="F178" s="2">
        <f t="shared" si="20"/>
        <v>31919750</v>
      </c>
      <c r="G178" s="2">
        <f t="shared" si="18"/>
        <v>29280491</v>
      </c>
      <c r="H178" s="2">
        <f t="shared" si="19"/>
        <v>0</v>
      </c>
      <c r="M178" s="38" t="s">
        <v>136</v>
      </c>
      <c r="N178" s="6" t="s">
        <v>122</v>
      </c>
      <c r="O178" s="6">
        <v>1</v>
      </c>
      <c r="P178" s="34">
        <v>2</v>
      </c>
      <c r="Q178" s="212">
        <v>668000</v>
      </c>
      <c r="R178" s="195">
        <v>45818</v>
      </c>
      <c r="S178" s="33" t="s">
        <v>113</v>
      </c>
      <c r="T178" s="212">
        <v>696000</v>
      </c>
      <c r="U178" s="8">
        <v>45824</v>
      </c>
      <c r="V178" s="2">
        <f t="shared" si="21"/>
        <v>1336000</v>
      </c>
    </row>
    <row r="179" spans="3:22" x14ac:dyDescent="0.4">
      <c r="C179" s="1">
        <v>45979</v>
      </c>
      <c r="D179" s="2">
        <f t="shared" si="16"/>
        <v>0</v>
      </c>
      <c r="E179" s="2">
        <f t="shared" si="17"/>
        <v>0</v>
      </c>
      <c r="F179" s="2">
        <f t="shared" si="20"/>
        <v>31919750</v>
      </c>
      <c r="G179" s="2">
        <f t="shared" si="18"/>
        <v>29280491</v>
      </c>
      <c r="H179" s="2">
        <f t="shared" si="19"/>
        <v>0</v>
      </c>
      <c r="M179" s="38" t="s">
        <v>142</v>
      </c>
      <c r="N179" s="6" t="s">
        <v>122</v>
      </c>
      <c r="O179" s="6">
        <v>1</v>
      </c>
      <c r="P179" s="34">
        <v>2</v>
      </c>
      <c r="Q179" s="212">
        <v>425000</v>
      </c>
      <c r="R179" s="195">
        <v>45819</v>
      </c>
      <c r="S179" s="33" t="s">
        <v>113</v>
      </c>
      <c r="T179" s="212">
        <v>454000</v>
      </c>
      <c r="U179" s="8">
        <v>45824</v>
      </c>
      <c r="V179" s="2">
        <f t="shared" si="21"/>
        <v>850000</v>
      </c>
    </row>
    <row r="180" spans="3:22" x14ac:dyDescent="0.4">
      <c r="C180" s="1">
        <v>45980</v>
      </c>
      <c r="D180" s="2">
        <f t="shared" si="16"/>
        <v>0</v>
      </c>
      <c r="E180" s="2">
        <f t="shared" si="17"/>
        <v>0</v>
      </c>
      <c r="F180" s="2">
        <f t="shared" si="20"/>
        <v>31919750</v>
      </c>
      <c r="G180" s="2">
        <f t="shared" si="18"/>
        <v>29280491</v>
      </c>
      <c r="H180" s="2">
        <f t="shared" si="19"/>
        <v>0</v>
      </c>
      <c r="M180" s="38" t="s">
        <v>142</v>
      </c>
      <c r="N180" s="6" t="s">
        <v>122</v>
      </c>
      <c r="O180" s="6">
        <v>1</v>
      </c>
      <c r="P180" s="34">
        <v>2</v>
      </c>
      <c r="Q180" s="212">
        <v>418500</v>
      </c>
      <c r="R180" s="195">
        <v>45819</v>
      </c>
      <c r="S180" s="33" t="s">
        <v>113</v>
      </c>
      <c r="T180" s="212">
        <v>454000</v>
      </c>
      <c r="U180" s="8">
        <v>45824</v>
      </c>
      <c r="V180" s="2">
        <f t="shared" si="21"/>
        <v>837000</v>
      </c>
    </row>
    <row r="181" spans="3:22" x14ac:dyDescent="0.4">
      <c r="C181" s="1">
        <v>45981</v>
      </c>
      <c r="D181" s="2">
        <f t="shared" si="16"/>
        <v>0</v>
      </c>
      <c r="E181" s="2">
        <f t="shared" si="17"/>
        <v>0</v>
      </c>
      <c r="F181" s="2">
        <f t="shared" si="20"/>
        <v>31919750</v>
      </c>
      <c r="G181" s="2">
        <f t="shared" si="18"/>
        <v>29280491</v>
      </c>
      <c r="H181" s="2">
        <f t="shared" si="19"/>
        <v>0</v>
      </c>
      <c r="M181" s="38" t="s">
        <v>135</v>
      </c>
      <c r="N181" s="6" t="s">
        <v>122</v>
      </c>
      <c r="O181" s="6">
        <v>1</v>
      </c>
      <c r="P181" s="34">
        <v>100</v>
      </c>
      <c r="Q181" s="212">
        <v>27450</v>
      </c>
      <c r="R181" s="195">
        <v>45819</v>
      </c>
      <c r="S181" s="33" t="s">
        <v>113</v>
      </c>
      <c r="T181" s="212">
        <v>31650</v>
      </c>
      <c r="U181" s="8">
        <v>45926</v>
      </c>
      <c r="V181" s="2">
        <f t="shared" si="21"/>
        <v>2745000</v>
      </c>
    </row>
    <row r="182" spans="3:22" x14ac:dyDescent="0.4">
      <c r="C182" s="1">
        <v>45982</v>
      </c>
      <c r="D182" s="2">
        <f t="shared" si="16"/>
        <v>0</v>
      </c>
      <c r="E182" s="2">
        <f t="shared" si="17"/>
        <v>0</v>
      </c>
      <c r="F182" s="2">
        <f t="shared" si="20"/>
        <v>31919750</v>
      </c>
      <c r="G182" s="2">
        <f t="shared" si="18"/>
        <v>29280491</v>
      </c>
      <c r="H182" s="2">
        <f t="shared" si="19"/>
        <v>0</v>
      </c>
      <c r="M182" s="38" t="s">
        <v>143</v>
      </c>
      <c r="N182" s="6" t="s">
        <v>122</v>
      </c>
      <c r="O182" s="6">
        <v>1</v>
      </c>
      <c r="P182" s="34">
        <v>100</v>
      </c>
      <c r="Q182" s="212">
        <v>17950</v>
      </c>
      <c r="R182" s="195">
        <v>45819</v>
      </c>
      <c r="S182" s="33" t="s">
        <v>113</v>
      </c>
      <c r="T182" s="212">
        <v>18990</v>
      </c>
      <c r="U182" s="8">
        <v>45819</v>
      </c>
      <c r="V182" s="2">
        <f t="shared" si="21"/>
        <v>1795000</v>
      </c>
    </row>
    <row r="183" spans="3:22" x14ac:dyDescent="0.4">
      <c r="C183" s="1">
        <v>45983</v>
      </c>
      <c r="D183" s="2">
        <f t="shared" si="16"/>
        <v>0</v>
      </c>
      <c r="E183" s="2">
        <f t="shared" si="17"/>
        <v>0</v>
      </c>
      <c r="F183" s="2">
        <f t="shared" si="20"/>
        <v>31919750</v>
      </c>
      <c r="G183" s="2">
        <f t="shared" si="18"/>
        <v>29280491</v>
      </c>
      <c r="H183" s="2">
        <f t="shared" si="19"/>
        <v>0</v>
      </c>
      <c r="M183" s="38" t="s">
        <v>143</v>
      </c>
      <c r="N183" s="6" t="s">
        <v>122</v>
      </c>
      <c r="O183" s="6">
        <v>1</v>
      </c>
      <c r="P183" s="34">
        <v>50</v>
      </c>
      <c r="Q183" s="212">
        <v>17880</v>
      </c>
      <c r="R183" s="195">
        <v>45819</v>
      </c>
      <c r="S183" s="33" t="s">
        <v>113</v>
      </c>
      <c r="T183" s="212">
        <v>18990</v>
      </c>
      <c r="U183" s="8">
        <v>45819</v>
      </c>
      <c r="V183" s="2">
        <f t="shared" si="21"/>
        <v>894000</v>
      </c>
    </row>
    <row r="184" spans="3:22" x14ac:dyDescent="0.4">
      <c r="C184" s="1">
        <v>45984</v>
      </c>
      <c r="D184" s="2">
        <f t="shared" si="16"/>
        <v>0</v>
      </c>
      <c r="E184" s="2">
        <f t="shared" si="17"/>
        <v>0</v>
      </c>
      <c r="F184" s="2">
        <f t="shared" si="20"/>
        <v>31919750</v>
      </c>
      <c r="G184" s="2">
        <f t="shared" si="18"/>
        <v>29280491</v>
      </c>
      <c r="H184" s="2">
        <f t="shared" si="19"/>
        <v>0</v>
      </c>
      <c r="M184" s="38" t="s">
        <v>143</v>
      </c>
      <c r="N184" s="6" t="s">
        <v>122</v>
      </c>
      <c r="O184" s="6">
        <v>1</v>
      </c>
      <c r="P184" s="34">
        <v>300</v>
      </c>
      <c r="Q184" s="212">
        <v>18720</v>
      </c>
      <c r="R184" s="195">
        <v>45819</v>
      </c>
      <c r="S184" s="33" t="s">
        <v>113</v>
      </c>
      <c r="T184" s="212">
        <v>18990</v>
      </c>
      <c r="U184" s="8">
        <v>45819</v>
      </c>
      <c r="V184" s="2">
        <f t="shared" si="21"/>
        <v>5616000</v>
      </c>
    </row>
    <row r="185" spans="3:22" x14ac:dyDescent="0.4">
      <c r="C185" s="1">
        <v>45985</v>
      </c>
      <c r="D185" s="2">
        <f t="shared" si="16"/>
        <v>0</v>
      </c>
      <c r="E185" s="2">
        <f t="shared" si="17"/>
        <v>0</v>
      </c>
      <c r="F185" s="2">
        <f t="shared" si="20"/>
        <v>31919750</v>
      </c>
      <c r="G185" s="2">
        <f t="shared" si="18"/>
        <v>29280491</v>
      </c>
      <c r="H185" s="2">
        <f t="shared" si="19"/>
        <v>0</v>
      </c>
      <c r="M185" s="38" t="s">
        <v>102</v>
      </c>
      <c r="N185" s="6" t="s">
        <v>122</v>
      </c>
      <c r="O185" s="6">
        <v>1</v>
      </c>
      <c r="P185" s="34">
        <v>6</v>
      </c>
      <c r="Q185" s="212">
        <v>59000</v>
      </c>
      <c r="R185" s="195">
        <v>45820</v>
      </c>
      <c r="S185" s="33" t="s">
        <v>113</v>
      </c>
      <c r="T185" s="212">
        <v>67400</v>
      </c>
      <c r="U185" s="8">
        <v>45824</v>
      </c>
      <c r="V185" s="2">
        <f t="shared" si="21"/>
        <v>354000</v>
      </c>
    </row>
    <row r="186" spans="3:22" x14ac:dyDescent="0.4">
      <c r="C186" s="1">
        <v>45986</v>
      </c>
      <c r="D186" s="2">
        <f t="shared" si="16"/>
        <v>0</v>
      </c>
      <c r="E186" s="2">
        <f t="shared" si="17"/>
        <v>0</v>
      </c>
      <c r="F186" s="2">
        <f t="shared" si="20"/>
        <v>31919750</v>
      </c>
      <c r="G186" s="2">
        <f t="shared" si="18"/>
        <v>29280491</v>
      </c>
      <c r="H186" s="2">
        <f t="shared" si="19"/>
        <v>0</v>
      </c>
      <c r="M186" s="38" t="s">
        <v>24</v>
      </c>
      <c r="N186" s="6" t="s">
        <v>122</v>
      </c>
      <c r="O186" s="6">
        <v>1</v>
      </c>
      <c r="P186" s="34">
        <v>100</v>
      </c>
      <c r="Q186" s="212">
        <v>6060</v>
      </c>
      <c r="R186" s="195">
        <v>45820</v>
      </c>
      <c r="S186" s="33" t="s">
        <v>113</v>
      </c>
      <c r="T186" s="212">
        <v>7150</v>
      </c>
      <c r="U186" s="8">
        <v>45847</v>
      </c>
      <c r="V186" s="2">
        <f t="shared" si="21"/>
        <v>606000</v>
      </c>
    </row>
    <row r="187" spans="3:22" x14ac:dyDescent="0.4">
      <c r="C187" s="1">
        <v>45987</v>
      </c>
      <c r="D187" s="2">
        <f t="shared" si="16"/>
        <v>0</v>
      </c>
      <c r="E187" s="2">
        <f t="shared" si="17"/>
        <v>0</v>
      </c>
      <c r="F187" s="2">
        <f t="shared" si="20"/>
        <v>31919750</v>
      </c>
      <c r="G187" s="2">
        <f t="shared" si="18"/>
        <v>28880491</v>
      </c>
      <c r="H187" s="2">
        <f t="shared" si="19"/>
        <v>400000</v>
      </c>
      <c r="M187" s="38" t="s">
        <v>136</v>
      </c>
      <c r="N187" s="6" t="s">
        <v>122</v>
      </c>
      <c r="O187" s="6">
        <v>1</v>
      </c>
      <c r="P187" s="34">
        <v>2</v>
      </c>
      <c r="Q187" s="212">
        <v>683000</v>
      </c>
      <c r="R187" s="195">
        <v>45820</v>
      </c>
      <c r="S187" s="33" t="s">
        <v>113</v>
      </c>
      <c r="T187" s="212">
        <v>696000</v>
      </c>
      <c r="U187" s="8">
        <v>45824</v>
      </c>
      <c r="V187" s="2">
        <f t="shared" si="21"/>
        <v>1366000</v>
      </c>
    </row>
    <row r="188" spans="3:22" x14ac:dyDescent="0.4">
      <c r="C188" s="1">
        <v>45988</v>
      </c>
      <c r="D188" s="2">
        <f t="shared" si="16"/>
        <v>0</v>
      </c>
      <c r="E188" s="2">
        <f t="shared" si="17"/>
        <v>0</v>
      </c>
      <c r="F188" s="2">
        <f t="shared" si="20"/>
        <v>31919750</v>
      </c>
      <c r="G188" s="2">
        <f t="shared" si="18"/>
        <v>28880491</v>
      </c>
      <c r="H188" s="2">
        <f t="shared" si="19"/>
        <v>0</v>
      </c>
      <c r="M188" s="38" t="s">
        <v>140</v>
      </c>
      <c r="N188" s="6" t="s">
        <v>122</v>
      </c>
      <c r="O188" s="6">
        <v>1</v>
      </c>
      <c r="P188" s="34">
        <v>10</v>
      </c>
      <c r="Q188" s="212">
        <v>71900</v>
      </c>
      <c r="R188" s="195">
        <v>45821</v>
      </c>
      <c r="S188" s="33" t="s">
        <v>113</v>
      </c>
      <c r="T188" s="212">
        <v>78000</v>
      </c>
      <c r="U188" s="8">
        <v>45841</v>
      </c>
      <c r="V188" s="2">
        <f t="shared" si="21"/>
        <v>719000</v>
      </c>
    </row>
    <row r="189" spans="3:22" x14ac:dyDescent="0.4">
      <c r="C189" s="1">
        <v>45989</v>
      </c>
      <c r="D189" s="2">
        <f t="shared" si="16"/>
        <v>0</v>
      </c>
      <c r="E189" s="2">
        <f t="shared" si="17"/>
        <v>0</v>
      </c>
      <c r="F189" s="2">
        <f t="shared" si="20"/>
        <v>31919750</v>
      </c>
      <c r="G189" s="2">
        <f t="shared" si="18"/>
        <v>28880491</v>
      </c>
      <c r="H189" s="2">
        <f t="shared" si="19"/>
        <v>0</v>
      </c>
      <c r="M189" s="38" t="s">
        <v>109</v>
      </c>
      <c r="N189" s="6" t="s">
        <v>122</v>
      </c>
      <c r="O189" s="6">
        <v>1</v>
      </c>
      <c r="P189" s="34">
        <v>200</v>
      </c>
      <c r="Q189" s="212">
        <v>5550</v>
      </c>
      <c r="R189" s="195">
        <v>45821</v>
      </c>
      <c r="S189" s="33" t="s">
        <v>113</v>
      </c>
      <c r="T189" s="212">
        <v>6510</v>
      </c>
      <c r="U189" s="8">
        <v>45838</v>
      </c>
      <c r="V189" s="2">
        <f t="shared" si="21"/>
        <v>1110000</v>
      </c>
    </row>
    <row r="190" spans="3:22" x14ac:dyDescent="0.4">
      <c r="C190" s="1">
        <v>45990</v>
      </c>
      <c r="D190" s="2">
        <f t="shared" si="16"/>
        <v>0</v>
      </c>
      <c r="E190" s="2">
        <f t="shared" si="17"/>
        <v>0</v>
      </c>
      <c r="F190" s="2">
        <f t="shared" si="20"/>
        <v>31919750</v>
      </c>
      <c r="G190" s="2">
        <f t="shared" si="18"/>
        <v>28880491</v>
      </c>
      <c r="H190" s="2">
        <f t="shared" si="19"/>
        <v>0</v>
      </c>
      <c r="M190" s="38" t="s">
        <v>143</v>
      </c>
      <c r="N190" s="6" t="s">
        <v>122</v>
      </c>
      <c r="O190" s="6">
        <v>1</v>
      </c>
      <c r="P190" s="34">
        <v>50</v>
      </c>
      <c r="Q190" s="212">
        <v>18770</v>
      </c>
      <c r="R190" s="195">
        <v>45821</v>
      </c>
      <c r="S190" s="33" t="s">
        <v>113</v>
      </c>
      <c r="T190" s="212">
        <v>22500</v>
      </c>
      <c r="U190" s="8">
        <v>45848</v>
      </c>
      <c r="V190" s="2">
        <f t="shared" si="21"/>
        <v>938500</v>
      </c>
    </row>
    <row r="191" spans="3:22" x14ac:dyDescent="0.4">
      <c r="C191" s="1">
        <v>45991</v>
      </c>
      <c r="D191" s="2">
        <f t="shared" si="16"/>
        <v>0</v>
      </c>
      <c r="E191" s="2">
        <f t="shared" si="17"/>
        <v>0</v>
      </c>
      <c r="F191" s="2">
        <f t="shared" si="20"/>
        <v>31919750</v>
      </c>
      <c r="G191" s="2">
        <f t="shared" si="18"/>
        <v>28880491</v>
      </c>
      <c r="H191" s="2">
        <f t="shared" si="19"/>
        <v>0</v>
      </c>
      <c r="M191" s="38" t="s">
        <v>143</v>
      </c>
      <c r="N191" s="6" t="s">
        <v>122</v>
      </c>
      <c r="O191" s="6">
        <v>1</v>
      </c>
      <c r="P191" s="34">
        <v>80</v>
      </c>
      <c r="Q191" s="212">
        <v>18990</v>
      </c>
      <c r="R191" s="195">
        <v>45821</v>
      </c>
      <c r="S191" s="33" t="s">
        <v>113</v>
      </c>
      <c r="T191" s="212">
        <v>22500</v>
      </c>
      <c r="U191" s="8">
        <v>45848</v>
      </c>
      <c r="V191" s="2">
        <f t="shared" si="21"/>
        <v>1519200</v>
      </c>
    </row>
    <row r="192" spans="3:22" x14ac:dyDescent="0.4">
      <c r="C192" s="1">
        <v>45992</v>
      </c>
      <c r="D192" s="2">
        <f t="shared" si="16"/>
        <v>0</v>
      </c>
      <c r="E192" s="2">
        <f t="shared" si="17"/>
        <v>0</v>
      </c>
      <c r="F192" s="2">
        <f t="shared" si="20"/>
        <v>31919750</v>
      </c>
      <c r="G192" s="2">
        <f t="shared" si="18"/>
        <v>28880491</v>
      </c>
      <c r="H192" s="2">
        <f t="shared" si="19"/>
        <v>0</v>
      </c>
      <c r="M192" s="38" t="s">
        <v>143</v>
      </c>
      <c r="N192" s="6" t="s">
        <v>122</v>
      </c>
      <c r="O192" s="6">
        <v>1</v>
      </c>
      <c r="P192" s="34">
        <v>20</v>
      </c>
      <c r="Q192" s="212">
        <v>18880</v>
      </c>
      <c r="R192" s="195">
        <v>45821</v>
      </c>
      <c r="S192" s="33" t="s">
        <v>113</v>
      </c>
      <c r="T192" s="212">
        <v>22500</v>
      </c>
      <c r="U192" s="8">
        <v>45848</v>
      </c>
      <c r="V192" s="2">
        <f t="shared" si="21"/>
        <v>377600</v>
      </c>
    </row>
    <row r="193" spans="3:22" x14ac:dyDescent="0.4">
      <c r="C193" s="1">
        <v>45993</v>
      </c>
      <c r="D193" s="2">
        <f t="shared" si="16"/>
        <v>0</v>
      </c>
      <c r="E193" s="2">
        <f t="shared" si="17"/>
        <v>0</v>
      </c>
      <c r="F193" s="2">
        <f t="shared" si="20"/>
        <v>31919750</v>
      </c>
      <c r="G193" s="2">
        <f t="shared" si="18"/>
        <v>28880491</v>
      </c>
      <c r="H193" s="2">
        <f t="shared" si="19"/>
        <v>0</v>
      </c>
      <c r="M193" s="38" t="s">
        <v>24</v>
      </c>
      <c r="N193" s="6" t="s">
        <v>122</v>
      </c>
      <c r="O193" s="6">
        <v>1</v>
      </c>
      <c r="P193" s="34">
        <v>150</v>
      </c>
      <c r="Q193" s="212">
        <v>6020</v>
      </c>
      <c r="R193" s="195">
        <v>45821</v>
      </c>
      <c r="S193" s="33" t="s">
        <v>113</v>
      </c>
      <c r="T193" s="212">
        <v>7770</v>
      </c>
      <c r="U193" s="8">
        <v>45912</v>
      </c>
      <c r="V193" s="2">
        <f t="shared" si="21"/>
        <v>903000</v>
      </c>
    </row>
    <row r="194" spans="3:22" x14ac:dyDescent="0.4">
      <c r="C194" s="1">
        <v>45994</v>
      </c>
      <c r="D194" s="2">
        <f t="shared" si="16"/>
        <v>0</v>
      </c>
      <c r="E194" s="2">
        <f t="shared" si="17"/>
        <v>0</v>
      </c>
      <c r="F194" s="2">
        <f t="shared" si="20"/>
        <v>31919750</v>
      </c>
      <c r="G194" s="2">
        <f t="shared" si="18"/>
        <v>28350491</v>
      </c>
      <c r="H194" s="2">
        <f t="shared" si="19"/>
        <v>530000</v>
      </c>
      <c r="M194" s="38" t="s">
        <v>144</v>
      </c>
      <c r="N194" s="6" t="s">
        <v>122</v>
      </c>
      <c r="O194" s="6">
        <v>1</v>
      </c>
      <c r="P194" s="34">
        <v>5</v>
      </c>
      <c r="Q194" s="212">
        <v>80000</v>
      </c>
      <c r="R194" s="195">
        <v>45821</v>
      </c>
      <c r="S194" s="33" t="s">
        <v>113</v>
      </c>
      <c r="T194" s="212">
        <v>84500</v>
      </c>
      <c r="U194" s="8">
        <v>45832</v>
      </c>
      <c r="V194" s="2">
        <f t="shared" si="21"/>
        <v>400000</v>
      </c>
    </row>
    <row r="195" spans="3:22" x14ac:dyDescent="0.4">
      <c r="C195" s="1">
        <v>45995</v>
      </c>
      <c r="D195" s="2">
        <f t="shared" si="16"/>
        <v>0</v>
      </c>
      <c r="E195" s="2">
        <f t="shared" si="17"/>
        <v>0</v>
      </c>
      <c r="F195" s="2">
        <f t="shared" si="20"/>
        <v>31919750</v>
      </c>
      <c r="G195" s="2">
        <f t="shared" si="18"/>
        <v>28350491</v>
      </c>
      <c r="H195" s="2">
        <f t="shared" si="19"/>
        <v>0</v>
      </c>
      <c r="M195" s="38" t="s">
        <v>144</v>
      </c>
      <c r="N195" s="6" t="s">
        <v>122</v>
      </c>
      <c r="O195" s="6">
        <v>1</v>
      </c>
      <c r="P195" s="34">
        <v>4</v>
      </c>
      <c r="Q195" s="212">
        <v>77300</v>
      </c>
      <c r="R195" s="195">
        <v>45821</v>
      </c>
      <c r="S195" s="33" t="s">
        <v>113</v>
      </c>
      <c r="T195" s="212">
        <v>84500</v>
      </c>
      <c r="U195" s="8">
        <v>45832</v>
      </c>
      <c r="V195" s="2">
        <f t="shared" si="21"/>
        <v>309200</v>
      </c>
    </row>
    <row r="196" spans="3:22" x14ac:dyDescent="0.4">
      <c r="C196" s="1">
        <v>45996</v>
      </c>
      <c r="D196" s="2">
        <f t="shared" si="16"/>
        <v>0</v>
      </c>
      <c r="E196" s="2">
        <f t="shared" si="17"/>
        <v>0</v>
      </c>
      <c r="F196" s="2">
        <f t="shared" si="20"/>
        <v>31919750</v>
      </c>
      <c r="G196" s="2">
        <f t="shared" si="18"/>
        <v>28350491</v>
      </c>
      <c r="H196" s="2">
        <f t="shared" si="19"/>
        <v>0</v>
      </c>
      <c r="M196" s="38" t="s">
        <v>136</v>
      </c>
      <c r="N196" s="6" t="s">
        <v>122</v>
      </c>
      <c r="O196" s="6">
        <v>1</v>
      </c>
      <c r="P196" s="34">
        <v>2</v>
      </c>
      <c r="Q196" s="212">
        <v>670000</v>
      </c>
      <c r="R196" s="195">
        <v>45821</v>
      </c>
      <c r="S196" s="33" t="s">
        <v>113</v>
      </c>
      <c r="T196" s="212">
        <v>696000</v>
      </c>
      <c r="U196" s="8">
        <v>45824</v>
      </c>
      <c r="V196" s="2">
        <f t="shared" ref="V196:V211" si="22">P196*Q196</f>
        <v>1340000</v>
      </c>
    </row>
    <row r="197" spans="3:22" x14ac:dyDescent="0.4">
      <c r="C197" s="1">
        <v>45997</v>
      </c>
      <c r="D197" s="2">
        <f t="shared" si="16"/>
        <v>0</v>
      </c>
      <c r="E197" s="2">
        <f t="shared" si="17"/>
        <v>0</v>
      </c>
      <c r="F197" s="2">
        <f t="shared" si="20"/>
        <v>31919750</v>
      </c>
      <c r="G197" s="2">
        <f t="shared" si="18"/>
        <v>28350491</v>
      </c>
      <c r="H197" s="2">
        <f t="shared" si="19"/>
        <v>0</v>
      </c>
      <c r="M197" s="38" t="s">
        <v>102</v>
      </c>
      <c r="N197" s="6" t="s">
        <v>122</v>
      </c>
      <c r="O197" s="6">
        <v>1</v>
      </c>
      <c r="P197" s="34">
        <v>60</v>
      </c>
      <c r="Q197" s="212">
        <v>65000</v>
      </c>
      <c r="R197" s="195">
        <v>45824</v>
      </c>
      <c r="S197" s="33" t="s">
        <v>113</v>
      </c>
      <c r="T197" s="212">
        <v>67400</v>
      </c>
      <c r="U197" s="8">
        <v>45824</v>
      </c>
      <c r="V197" s="2">
        <f t="shared" si="22"/>
        <v>3900000</v>
      </c>
    </row>
    <row r="198" spans="3:22" x14ac:dyDescent="0.4">
      <c r="C198" s="1">
        <v>45998</v>
      </c>
      <c r="D198" s="2">
        <f t="shared" si="16"/>
        <v>0</v>
      </c>
      <c r="E198" s="2">
        <f t="shared" si="17"/>
        <v>0</v>
      </c>
      <c r="F198" s="2">
        <f t="shared" si="20"/>
        <v>31919750</v>
      </c>
      <c r="G198" s="2">
        <f t="shared" si="18"/>
        <v>28350491</v>
      </c>
      <c r="H198" s="2">
        <f t="shared" si="19"/>
        <v>0</v>
      </c>
      <c r="M198" s="38" t="s">
        <v>140</v>
      </c>
      <c r="N198" s="6" t="s">
        <v>122</v>
      </c>
      <c r="O198" s="6">
        <v>1</v>
      </c>
      <c r="P198" s="34">
        <v>5</v>
      </c>
      <c r="Q198" s="212">
        <v>71000</v>
      </c>
      <c r="R198" s="195">
        <v>45824</v>
      </c>
      <c r="S198" s="33" t="s">
        <v>113</v>
      </c>
      <c r="T198" s="212">
        <v>78000</v>
      </c>
      <c r="U198" s="8">
        <v>45841</v>
      </c>
      <c r="V198" s="2">
        <f t="shared" si="22"/>
        <v>355000</v>
      </c>
    </row>
    <row r="199" spans="3:22" x14ac:dyDescent="0.4">
      <c r="C199" s="1">
        <v>45999</v>
      </c>
      <c r="D199" s="2">
        <f t="shared" ref="D199:D262" si="23">SUMIF($R$5:$R$269,$C199,$V$5:$V$269)</f>
        <v>0</v>
      </c>
      <c r="E199" s="2">
        <f t="shared" ref="E199:E262" si="24">SUMIF($U$5:$U$269,$C199,$V$5:$V$269)</f>
        <v>0</v>
      </c>
      <c r="F199" s="2">
        <f t="shared" si="20"/>
        <v>31919750</v>
      </c>
      <c r="G199" s="2">
        <f t="shared" ref="G199:G262" si="25">G198-H199</f>
        <v>28350491</v>
      </c>
      <c r="H199" s="2">
        <f t="shared" ref="H199:H262" si="26">SUMIF($I$7:$I$49,$C199,$J$7:$J$49)</f>
        <v>0</v>
      </c>
      <c r="M199" s="38" t="s">
        <v>24</v>
      </c>
      <c r="N199" s="6" t="s">
        <v>122</v>
      </c>
      <c r="O199" s="6">
        <v>1</v>
      </c>
      <c r="P199" s="34">
        <v>200</v>
      </c>
      <c r="Q199" s="212">
        <v>5900</v>
      </c>
      <c r="R199" s="195">
        <v>45824</v>
      </c>
      <c r="S199" s="33" t="s">
        <v>113</v>
      </c>
      <c r="T199" s="212">
        <v>7150</v>
      </c>
      <c r="U199" s="8">
        <v>45847</v>
      </c>
      <c r="V199" s="2">
        <f t="shared" si="22"/>
        <v>1180000</v>
      </c>
    </row>
    <row r="200" spans="3:22" x14ac:dyDescent="0.4">
      <c r="C200" s="1">
        <v>46000</v>
      </c>
      <c r="D200" s="2">
        <f t="shared" si="23"/>
        <v>0</v>
      </c>
      <c r="E200" s="2">
        <f t="shared" si="24"/>
        <v>0</v>
      </c>
      <c r="F200" s="2">
        <f t="shared" ref="F200:F263" si="27">F199+D200-E200</f>
        <v>31919750</v>
      </c>
      <c r="G200" s="2">
        <f t="shared" si="25"/>
        <v>28350491</v>
      </c>
      <c r="H200" s="2">
        <f t="shared" si="26"/>
        <v>0</v>
      </c>
      <c r="M200" s="38" t="s">
        <v>24</v>
      </c>
      <c r="N200" s="6" t="s">
        <v>122</v>
      </c>
      <c r="O200" s="6">
        <v>1</v>
      </c>
      <c r="P200" s="34">
        <v>50</v>
      </c>
      <c r="Q200" s="212">
        <v>6290</v>
      </c>
      <c r="R200" s="195">
        <v>45824</v>
      </c>
      <c r="S200" s="33" t="s">
        <v>113</v>
      </c>
      <c r="T200" s="212">
        <v>7150</v>
      </c>
      <c r="U200" s="8">
        <v>45847</v>
      </c>
      <c r="V200" s="2">
        <f t="shared" si="22"/>
        <v>314500</v>
      </c>
    </row>
    <row r="201" spans="3:22" x14ac:dyDescent="0.4">
      <c r="C201" s="1">
        <v>46001</v>
      </c>
      <c r="D201" s="2">
        <f t="shared" si="23"/>
        <v>0</v>
      </c>
      <c r="E201" s="2">
        <f t="shared" si="24"/>
        <v>0</v>
      </c>
      <c r="F201" s="2">
        <f t="shared" si="27"/>
        <v>31919750</v>
      </c>
      <c r="G201" s="2">
        <f t="shared" si="25"/>
        <v>28350491</v>
      </c>
      <c r="H201" s="2">
        <f t="shared" si="26"/>
        <v>0</v>
      </c>
      <c r="M201" s="38" t="s">
        <v>144</v>
      </c>
      <c r="N201" s="6" t="s">
        <v>122</v>
      </c>
      <c r="O201" s="6">
        <v>1</v>
      </c>
      <c r="P201" s="34">
        <v>4</v>
      </c>
      <c r="Q201" s="212">
        <v>77000</v>
      </c>
      <c r="R201" s="195">
        <v>45824</v>
      </c>
      <c r="S201" s="33" t="s">
        <v>113</v>
      </c>
      <c r="T201" s="212">
        <v>84500</v>
      </c>
      <c r="U201" s="8">
        <v>45832</v>
      </c>
      <c r="V201" s="2">
        <f t="shared" si="22"/>
        <v>308000</v>
      </c>
    </row>
    <row r="202" spans="3:22" x14ac:dyDescent="0.4">
      <c r="C202" s="1">
        <v>46002</v>
      </c>
      <c r="D202" s="2">
        <f t="shared" si="23"/>
        <v>0</v>
      </c>
      <c r="E202" s="2">
        <f t="shared" si="24"/>
        <v>0</v>
      </c>
      <c r="F202" s="2">
        <f t="shared" si="27"/>
        <v>31919750</v>
      </c>
      <c r="G202" s="2">
        <f t="shared" si="25"/>
        <v>28350491</v>
      </c>
      <c r="H202" s="2">
        <f t="shared" si="26"/>
        <v>0</v>
      </c>
      <c r="M202" s="38" t="s">
        <v>144</v>
      </c>
      <c r="N202" s="6" t="s">
        <v>122</v>
      </c>
      <c r="O202" s="6">
        <v>1</v>
      </c>
      <c r="P202" s="34">
        <v>10</v>
      </c>
      <c r="Q202" s="212">
        <v>77800</v>
      </c>
      <c r="R202" s="195">
        <v>45824</v>
      </c>
      <c r="S202" s="33" t="s">
        <v>113</v>
      </c>
      <c r="T202" s="212">
        <v>84500</v>
      </c>
      <c r="U202" s="8">
        <v>45832</v>
      </c>
      <c r="V202" s="2">
        <f t="shared" si="22"/>
        <v>778000</v>
      </c>
    </row>
    <row r="203" spans="3:22" x14ac:dyDescent="0.4">
      <c r="C203" s="1">
        <v>46003</v>
      </c>
      <c r="D203" s="2">
        <f t="shared" si="23"/>
        <v>0</v>
      </c>
      <c r="E203" s="2">
        <f t="shared" si="24"/>
        <v>0</v>
      </c>
      <c r="F203" s="2">
        <f t="shared" si="27"/>
        <v>31919750</v>
      </c>
      <c r="G203" s="2">
        <f t="shared" si="25"/>
        <v>27670491</v>
      </c>
      <c r="H203" s="2">
        <f t="shared" si="26"/>
        <v>680000</v>
      </c>
      <c r="M203" s="38" t="s">
        <v>132</v>
      </c>
      <c r="N203" s="6" t="s">
        <v>122</v>
      </c>
      <c r="O203" s="6">
        <v>1</v>
      </c>
      <c r="P203" s="34">
        <v>6</v>
      </c>
      <c r="Q203" s="212">
        <v>17170</v>
      </c>
      <c r="R203" s="195">
        <v>45824</v>
      </c>
      <c r="S203" s="33" t="s">
        <v>113</v>
      </c>
      <c r="T203" s="212">
        <v>20800</v>
      </c>
      <c r="U203" s="8">
        <v>45826</v>
      </c>
      <c r="V203" s="2">
        <f t="shared" si="22"/>
        <v>103020</v>
      </c>
    </row>
    <row r="204" spans="3:22" x14ac:dyDescent="0.4">
      <c r="C204" s="1">
        <v>46004</v>
      </c>
      <c r="D204" s="2">
        <f t="shared" si="23"/>
        <v>0</v>
      </c>
      <c r="E204" s="2">
        <f t="shared" si="24"/>
        <v>0</v>
      </c>
      <c r="F204" s="2">
        <f t="shared" si="27"/>
        <v>31919750</v>
      </c>
      <c r="G204" s="2">
        <f t="shared" si="25"/>
        <v>27670491</v>
      </c>
      <c r="H204" s="2">
        <f t="shared" si="26"/>
        <v>0</v>
      </c>
      <c r="M204" s="38" t="s">
        <v>24</v>
      </c>
      <c r="N204" s="6" t="s">
        <v>122</v>
      </c>
      <c r="O204" s="6">
        <v>1</v>
      </c>
      <c r="P204" s="34">
        <v>100</v>
      </c>
      <c r="Q204" s="212">
        <v>6310</v>
      </c>
      <c r="R204" s="195">
        <v>45825</v>
      </c>
      <c r="S204" s="33" t="s">
        <v>113</v>
      </c>
      <c r="T204" s="212">
        <v>7150</v>
      </c>
      <c r="U204" s="8">
        <v>45847</v>
      </c>
      <c r="V204" s="2">
        <f t="shared" si="22"/>
        <v>631000</v>
      </c>
    </row>
    <row r="205" spans="3:22" x14ac:dyDescent="0.4">
      <c r="C205" s="1">
        <v>46005</v>
      </c>
      <c r="D205" s="2">
        <f t="shared" si="23"/>
        <v>0</v>
      </c>
      <c r="E205" s="2">
        <f t="shared" si="24"/>
        <v>0</v>
      </c>
      <c r="F205" s="2">
        <f t="shared" si="27"/>
        <v>31919750</v>
      </c>
      <c r="G205" s="2">
        <f t="shared" si="25"/>
        <v>27670491</v>
      </c>
      <c r="H205" s="2">
        <f t="shared" si="26"/>
        <v>0</v>
      </c>
      <c r="M205" s="38" t="s">
        <v>24</v>
      </c>
      <c r="N205" s="6" t="s">
        <v>122</v>
      </c>
      <c r="O205" s="6">
        <v>1</v>
      </c>
      <c r="P205" s="34">
        <v>100</v>
      </c>
      <c r="Q205" s="212">
        <v>6660</v>
      </c>
      <c r="R205" s="195">
        <v>45825</v>
      </c>
      <c r="S205" s="33" t="s">
        <v>113</v>
      </c>
      <c r="T205" s="212">
        <v>7150</v>
      </c>
      <c r="U205" s="8">
        <v>45847</v>
      </c>
      <c r="V205" s="2">
        <f t="shared" si="22"/>
        <v>666000</v>
      </c>
    </row>
    <row r="206" spans="3:22" x14ac:dyDescent="0.4">
      <c r="C206" s="1">
        <v>46006</v>
      </c>
      <c r="D206" s="2">
        <f t="shared" si="23"/>
        <v>0</v>
      </c>
      <c r="E206" s="2">
        <f t="shared" si="24"/>
        <v>0</v>
      </c>
      <c r="F206" s="2">
        <f t="shared" si="27"/>
        <v>31919750</v>
      </c>
      <c r="G206" s="2">
        <f t="shared" si="25"/>
        <v>27670491</v>
      </c>
      <c r="H206" s="2">
        <f t="shared" si="26"/>
        <v>0</v>
      </c>
      <c r="M206" s="38" t="s">
        <v>144</v>
      </c>
      <c r="N206" s="6" t="s">
        <v>122</v>
      </c>
      <c r="O206" s="6">
        <v>1</v>
      </c>
      <c r="P206" s="34">
        <v>10</v>
      </c>
      <c r="Q206" s="212">
        <v>78500</v>
      </c>
      <c r="R206" s="195">
        <v>45825</v>
      </c>
      <c r="S206" s="33" t="s">
        <v>113</v>
      </c>
      <c r="T206" s="212">
        <v>84500</v>
      </c>
      <c r="U206" s="8">
        <v>45832</v>
      </c>
      <c r="V206" s="2">
        <f t="shared" si="22"/>
        <v>785000</v>
      </c>
    </row>
    <row r="207" spans="3:22" x14ac:dyDescent="0.4">
      <c r="C207" s="1">
        <v>46007</v>
      </c>
      <c r="D207" s="2">
        <f t="shared" si="23"/>
        <v>0</v>
      </c>
      <c r="E207" s="2">
        <f t="shared" si="24"/>
        <v>0</v>
      </c>
      <c r="F207" s="2">
        <f t="shared" si="27"/>
        <v>31919750</v>
      </c>
      <c r="G207" s="2">
        <f t="shared" si="25"/>
        <v>27670491</v>
      </c>
      <c r="H207" s="2">
        <f t="shared" si="26"/>
        <v>0</v>
      </c>
      <c r="M207" s="38" t="s">
        <v>132</v>
      </c>
      <c r="N207" s="6" t="s">
        <v>122</v>
      </c>
      <c r="O207" s="6">
        <v>1</v>
      </c>
      <c r="P207" s="34">
        <v>70</v>
      </c>
      <c r="Q207" s="212">
        <v>17700</v>
      </c>
      <c r="R207" s="195">
        <v>45825</v>
      </c>
      <c r="S207" s="33" t="s">
        <v>113</v>
      </c>
      <c r="T207" s="212">
        <v>20800</v>
      </c>
      <c r="U207" s="8">
        <v>45826</v>
      </c>
      <c r="V207" s="2">
        <f t="shared" si="22"/>
        <v>1239000</v>
      </c>
    </row>
    <row r="208" spans="3:22" x14ac:dyDescent="0.4">
      <c r="C208" s="1">
        <v>46008</v>
      </c>
      <c r="D208" s="2">
        <f t="shared" si="23"/>
        <v>0</v>
      </c>
      <c r="E208" s="2">
        <f t="shared" si="24"/>
        <v>0</v>
      </c>
      <c r="F208" s="2">
        <f t="shared" si="27"/>
        <v>31919750</v>
      </c>
      <c r="G208" s="2">
        <f t="shared" si="25"/>
        <v>27670491</v>
      </c>
      <c r="H208" s="2">
        <f t="shared" si="26"/>
        <v>0</v>
      </c>
      <c r="M208" s="38" t="s">
        <v>132</v>
      </c>
      <c r="N208" s="6" t="s">
        <v>122</v>
      </c>
      <c r="O208" s="6">
        <v>1</v>
      </c>
      <c r="P208" s="34">
        <v>25</v>
      </c>
      <c r="Q208" s="212">
        <v>17490</v>
      </c>
      <c r="R208" s="195">
        <v>45825</v>
      </c>
      <c r="S208" s="33" t="s">
        <v>113</v>
      </c>
      <c r="T208" s="212">
        <v>20800</v>
      </c>
      <c r="U208" s="8">
        <v>45826</v>
      </c>
      <c r="V208" s="2">
        <f t="shared" si="22"/>
        <v>437250</v>
      </c>
    </row>
    <row r="209" spans="3:22" x14ac:dyDescent="0.4">
      <c r="C209" s="1">
        <v>46009</v>
      </c>
      <c r="D209" s="2">
        <f t="shared" si="23"/>
        <v>0</v>
      </c>
      <c r="E209" s="2">
        <f t="shared" si="24"/>
        <v>831850</v>
      </c>
      <c r="F209" s="2">
        <f t="shared" si="27"/>
        <v>31087900</v>
      </c>
      <c r="G209" s="2">
        <f t="shared" si="25"/>
        <v>27670491</v>
      </c>
      <c r="H209" s="2">
        <f t="shared" si="26"/>
        <v>0</v>
      </c>
      <c r="M209" s="38" t="s">
        <v>24</v>
      </c>
      <c r="N209" s="6" t="s">
        <v>122</v>
      </c>
      <c r="O209" s="6">
        <v>1</v>
      </c>
      <c r="P209" s="34">
        <v>50</v>
      </c>
      <c r="Q209" s="212">
        <v>6360</v>
      </c>
      <c r="R209" s="195">
        <v>45826</v>
      </c>
      <c r="S209" s="33" t="s">
        <v>113</v>
      </c>
      <c r="T209" s="212">
        <v>7150</v>
      </c>
      <c r="U209" s="8">
        <v>45847</v>
      </c>
      <c r="V209" s="2">
        <f t="shared" si="22"/>
        <v>318000</v>
      </c>
    </row>
    <row r="210" spans="3:22" x14ac:dyDescent="0.4">
      <c r="C210" s="1">
        <v>46010</v>
      </c>
      <c r="D210" s="2">
        <f t="shared" si="23"/>
        <v>0</v>
      </c>
      <c r="E210" s="2">
        <f t="shared" si="24"/>
        <v>4571950</v>
      </c>
      <c r="F210" s="2">
        <f t="shared" si="27"/>
        <v>26515950</v>
      </c>
      <c r="G210" s="2">
        <f t="shared" si="25"/>
        <v>26620000</v>
      </c>
      <c r="H210" s="2">
        <f t="shared" si="26"/>
        <v>1050491</v>
      </c>
      <c r="M210" s="38" t="s">
        <v>135</v>
      </c>
      <c r="N210" s="6" t="s">
        <v>122</v>
      </c>
      <c r="O210" s="6">
        <v>1</v>
      </c>
      <c r="P210" s="34">
        <v>20</v>
      </c>
      <c r="Q210" s="212">
        <v>27800</v>
      </c>
      <c r="R210" s="195">
        <v>45827</v>
      </c>
      <c r="S210" s="33" t="s">
        <v>113</v>
      </c>
      <c r="T210" s="212">
        <v>29000</v>
      </c>
      <c r="U210" s="8">
        <v>45925</v>
      </c>
      <c r="V210" s="2">
        <f t="shared" si="22"/>
        <v>556000</v>
      </c>
    </row>
    <row r="211" spans="3:22" x14ac:dyDescent="0.4">
      <c r="C211" s="1">
        <v>46011</v>
      </c>
      <c r="D211" s="2">
        <f t="shared" si="23"/>
        <v>0</v>
      </c>
      <c r="E211" s="2">
        <f t="shared" si="24"/>
        <v>0</v>
      </c>
      <c r="F211" s="2">
        <f t="shared" si="27"/>
        <v>26515950</v>
      </c>
      <c r="G211" s="2">
        <f t="shared" si="25"/>
        <v>26620000</v>
      </c>
      <c r="H211" s="2">
        <f t="shared" si="26"/>
        <v>0</v>
      </c>
      <c r="M211" s="38" t="s">
        <v>140</v>
      </c>
      <c r="N211" s="6" t="s">
        <v>122</v>
      </c>
      <c r="O211" s="6">
        <v>1</v>
      </c>
      <c r="P211" s="34">
        <v>10</v>
      </c>
      <c r="Q211" s="212">
        <v>76500</v>
      </c>
      <c r="R211" s="195">
        <v>45833</v>
      </c>
      <c r="S211" s="33" t="s">
        <v>113</v>
      </c>
      <c r="T211" s="212">
        <v>78000</v>
      </c>
      <c r="U211" s="8">
        <v>45841</v>
      </c>
      <c r="V211" s="2">
        <f t="shared" si="22"/>
        <v>765000</v>
      </c>
    </row>
    <row r="212" spans="3:22" x14ac:dyDescent="0.4">
      <c r="C212" s="1">
        <v>46012</v>
      </c>
      <c r="D212" s="2">
        <f t="shared" si="23"/>
        <v>0</v>
      </c>
      <c r="E212" s="2">
        <f t="shared" si="24"/>
        <v>0</v>
      </c>
      <c r="F212" s="2">
        <f t="shared" si="27"/>
        <v>26515950</v>
      </c>
      <c r="G212" s="2">
        <f t="shared" si="25"/>
        <v>26620000</v>
      </c>
      <c r="H212" s="2">
        <f t="shared" si="26"/>
        <v>0</v>
      </c>
      <c r="M212" s="38"/>
      <c r="N212" s="6"/>
      <c r="O212" s="6"/>
      <c r="P212" s="34"/>
      <c r="Q212" s="212"/>
      <c r="R212" s="195"/>
      <c r="S212" s="33"/>
      <c r="T212" s="212"/>
      <c r="U212" s="8"/>
      <c r="V212" s="2"/>
    </row>
    <row r="213" spans="3:22" x14ac:dyDescent="0.4">
      <c r="C213" s="1">
        <v>46013</v>
      </c>
      <c r="D213" s="2">
        <f t="shared" si="23"/>
        <v>0</v>
      </c>
      <c r="E213" s="2">
        <f t="shared" si="24"/>
        <v>0</v>
      </c>
      <c r="F213" s="2">
        <f t="shared" si="27"/>
        <v>26515950</v>
      </c>
      <c r="G213" s="2">
        <f t="shared" si="25"/>
        <v>26620000</v>
      </c>
      <c r="H213" s="2">
        <f t="shared" si="26"/>
        <v>0</v>
      </c>
      <c r="M213" s="38" t="s">
        <v>133</v>
      </c>
      <c r="N213" s="6" t="s">
        <v>122</v>
      </c>
      <c r="O213" s="6">
        <v>1</v>
      </c>
      <c r="P213" s="34">
        <v>2</v>
      </c>
      <c r="Q213" s="212">
        <v>860000</v>
      </c>
      <c r="R213" s="195">
        <v>45833</v>
      </c>
      <c r="S213" s="33" t="s">
        <v>113</v>
      </c>
      <c r="T213" s="212">
        <v>957000</v>
      </c>
      <c r="U213" s="8">
        <v>45867</v>
      </c>
      <c r="V213" s="2">
        <f>P213*Q213</f>
        <v>1720000</v>
      </c>
    </row>
    <row r="214" spans="3:22" x14ac:dyDescent="0.4">
      <c r="C214" s="1">
        <v>46014</v>
      </c>
      <c r="D214" s="2">
        <f t="shared" si="23"/>
        <v>0</v>
      </c>
      <c r="E214" s="2">
        <f t="shared" si="24"/>
        <v>0</v>
      </c>
      <c r="F214" s="2">
        <f t="shared" si="27"/>
        <v>26515950</v>
      </c>
      <c r="G214" s="2">
        <f t="shared" si="25"/>
        <v>26620000</v>
      </c>
      <c r="H214" s="2">
        <f t="shared" si="26"/>
        <v>0</v>
      </c>
      <c r="M214" s="38"/>
      <c r="N214" s="6"/>
      <c r="O214" s="6"/>
      <c r="P214" s="34"/>
      <c r="Q214" s="212"/>
      <c r="R214" s="195"/>
      <c r="S214" s="33"/>
      <c r="T214" s="212"/>
      <c r="U214" s="8"/>
      <c r="V214" s="2"/>
    </row>
    <row r="215" spans="3:22" x14ac:dyDescent="0.4">
      <c r="C215" s="1">
        <v>46015</v>
      </c>
      <c r="D215" s="2">
        <f t="shared" si="23"/>
        <v>0</v>
      </c>
      <c r="E215" s="2">
        <f t="shared" si="24"/>
        <v>0</v>
      </c>
      <c r="F215" s="2">
        <f t="shared" si="27"/>
        <v>26515950</v>
      </c>
      <c r="G215" s="2">
        <f t="shared" si="25"/>
        <v>26620000</v>
      </c>
      <c r="H215" s="2">
        <f t="shared" si="26"/>
        <v>0</v>
      </c>
      <c r="M215" s="38" t="s">
        <v>109</v>
      </c>
      <c r="N215" s="6" t="s">
        <v>122</v>
      </c>
      <c r="O215" s="6">
        <v>1</v>
      </c>
      <c r="P215" s="34">
        <v>50</v>
      </c>
      <c r="Q215" s="212">
        <v>6150</v>
      </c>
      <c r="R215" s="195">
        <v>45835</v>
      </c>
      <c r="S215" s="33" t="s">
        <v>113</v>
      </c>
      <c r="T215" s="212">
        <v>6510</v>
      </c>
      <c r="U215" s="8">
        <v>45838</v>
      </c>
      <c r="V215" s="2">
        <f t="shared" ref="V215:V231" si="28">P215*Q215</f>
        <v>307500</v>
      </c>
    </row>
    <row r="216" spans="3:22" x14ac:dyDescent="0.4">
      <c r="C216" s="1">
        <v>46016</v>
      </c>
      <c r="D216" s="2">
        <f t="shared" si="23"/>
        <v>0</v>
      </c>
      <c r="E216" s="2">
        <f t="shared" si="24"/>
        <v>0</v>
      </c>
      <c r="F216" s="2">
        <f t="shared" si="27"/>
        <v>26515950</v>
      </c>
      <c r="G216" s="2">
        <f t="shared" si="25"/>
        <v>26620000</v>
      </c>
      <c r="H216" s="2">
        <f t="shared" si="26"/>
        <v>0</v>
      </c>
      <c r="M216" s="38" t="s">
        <v>109</v>
      </c>
      <c r="N216" s="6" t="s">
        <v>122</v>
      </c>
      <c r="O216" s="6">
        <v>1</v>
      </c>
      <c r="P216" s="34">
        <v>100</v>
      </c>
      <c r="Q216" s="212">
        <v>6430</v>
      </c>
      <c r="R216" s="195">
        <v>45838</v>
      </c>
      <c r="S216" s="33" t="s">
        <v>113</v>
      </c>
      <c r="T216" s="212">
        <v>6800</v>
      </c>
      <c r="U216" s="8">
        <v>45919</v>
      </c>
      <c r="V216" s="2">
        <f t="shared" si="28"/>
        <v>643000</v>
      </c>
    </row>
    <row r="217" spans="3:22" x14ac:dyDescent="0.4">
      <c r="C217" s="1">
        <v>46017</v>
      </c>
      <c r="D217" s="2">
        <f t="shared" si="23"/>
        <v>0</v>
      </c>
      <c r="E217" s="2">
        <f t="shared" si="24"/>
        <v>0</v>
      </c>
      <c r="F217" s="2">
        <f t="shared" si="27"/>
        <v>26515950</v>
      </c>
      <c r="G217" s="2">
        <f t="shared" si="25"/>
        <v>26620000</v>
      </c>
      <c r="H217" s="2">
        <f t="shared" si="26"/>
        <v>0</v>
      </c>
      <c r="M217" s="38" t="s">
        <v>109</v>
      </c>
      <c r="N217" s="6" t="s">
        <v>122</v>
      </c>
      <c r="O217" s="6">
        <v>1</v>
      </c>
      <c r="P217" s="34">
        <v>100</v>
      </c>
      <c r="Q217" s="212">
        <v>6400</v>
      </c>
      <c r="R217" s="195">
        <v>45838</v>
      </c>
      <c r="S217" s="33" t="s">
        <v>113</v>
      </c>
      <c r="T217" s="212">
        <v>6800</v>
      </c>
      <c r="U217" s="8">
        <v>45919</v>
      </c>
      <c r="V217" s="2">
        <f t="shared" si="28"/>
        <v>640000</v>
      </c>
    </row>
    <row r="218" spans="3:22" x14ac:dyDescent="0.4">
      <c r="C218" s="1">
        <v>46018</v>
      </c>
      <c r="D218" s="2">
        <f t="shared" si="23"/>
        <v>0</v>
      </c>
      <c r="E218" s="2">
        <f t="shared" si="24"/>
        <v>0</v>
      </c>
      <c r="F218" s="2">
        <f t="shared" si="27"/>
        <v>26515950</v>
      </c>
      <c r="G218" s="2">
        <f t="shared" si="25"/>
        <v>26620000</v>
      </c>
      <c r="H218" s="2">
        <f t="shared" si="26"/>
        <v>0</v>
      </c>
      <c r="M218" s="38" t="s">
        <v>109</v>
      </c>
      <c r="N218" s="6" t="s">
        <v>122</v>
      </c>
      <c r="O218" s="6">
        <v>1</v>
      </c>
      <c r="P218" s="34">
        <v>100</v>
      </c>
      <c r="Q218" s="212">
        <v>6300</v>
      </c>
      <c r="R218" s="195">
        <v>45838</v>
      </c>
      <c r="S218" s="33" t="s">
        <v>113</v>
      </c>
      <c r="T218" s="212">
        <v>6800</v>
      </c>
      <c r="U218" s="8">
        <v>45919</v>
      </c>
      <c r="V218" s="2">
        <f t="shared" si="28"/>
        <v>630000</v>
      </c>
    </row>
    <row r="219" spans="3:22" x14ac:dyDescent="0.4">
      <c r="C219" s="1">
        <v>46019</v>
      </c>
      <c r="D219" s="2">
        <f t="shared" si="23"/>
        <v>0</v>
      </c>
      <c r="E219" s="2">
        <f t="shared" si="24"/>
        <v>0</v>
      </c>
      <c r="F219" s="2">
        <f t="shared" si="27"/>
        <v>26515950</v>
      </c>
      <c r="G219" s="2">
        <f t="shared" si="25"/>
        <v>26620000</v>
      </c>
      <c r="H219" s="2">
        <f t="shared" si="26"/>
        <v>0</v>
      </c>
      <c r="M219" s="38" t="s">
        <v>109</v>
      </c>
      <c r="N219" s="6" t="s">
        <v>122</v>
      </c>
      <c r="O219" s="6">
        <v>1</v>
      </c>
      <c r="P219" s="34">
        <v>100</v>
      </c>
      <c r="Q219" s="212">
        <v>6350</v>
      </c>
      <c r="R219" s="195">
        <v>45838</v>
      </c>
      <c r="S219" s="33" t="s">
        <v>113</v>
      </c>
      <c r="T219" s="212">
        <v>6800</v>
      </c>
      <c r="U219" s="8">
        <v>45919</v>
      </c>
      <c r="V219" s="2">
        <f t="shared" si="28"/>
        <v>635000</v>
      </c>
    </row>
    <row r="220" spans="3:22" x14ac:dyDescent="0.4">
      <c r="C220" s="1">
        <v>46020</v>
      </c>
      <c r="D220" s="2">
        <f t="shared" si="23"/>
        <v>0</v>
      </c>
      <c r="E220" s="2">
        <f t="shared" si="24"/>
        <v>0</v>
      </c>
      <c r="F220" s="2">
        <f t="shared" si="27"/>
        <v>26515950</v>
      </c>
      <c r="G220" s="2">
        <f t="shared" si="25"/>
        <v>26620000</v>
      </c>
      <c r="H220" s="2">
        <f t="shared" si="26"/>
        <v>0</v>
      </c>
      <c r="M220" s="38" t="s">
        <v>109</v>
      </c>
      <c r="N220" s="6" t="s">
        <v>122</v>
      </c>
      <c r="O220" s="6">
        <v>1</v>
      </c>
      <c r="P220" s="34">
        <v>100</v>
      </c>
      <c r="Q220" s="212">
        <v>6350</v>
      </c>
      <c r="R220" s="195">
        <v>45839</v>
      </c>
      <c r="S220" s="33" t="s">
        <v>113</v>
      </c>
      <c r="T220" s="212">
        <v>6800</v>
      </c>
      <c r="U220" s="8">
        <v>45919</v>
      </c>
      <c r="V220" s="2">
        <f t="shared" si="28"/>
        <v>635000</v>
      </c>
    </row>
    <row r="221" spans="3:22" x14ac:dyDescent="0.4">
      <c r="C221" s="1">
        <v>46021</v>
      </c>
      <c r="D221" s="2">
        <f t="shared" si="23"/>
        <v>0</v>
      </c>
      <c r="E221" s="2">
        <f t="shared" si="24"/>
        <v>0</v>
      </c>
      <c r="F221" s="2">
        <f t="shared" si="27"/>
        <v>26515950</v>
      </c>
      <c r="G221" s="2">
        <f t="shared" si="25"/>
        <v>25820000</v>
      </c>
      <c r="H221" s="2">
        <f t="shared" si="26"/>
        <v>800000</v>
      </c>
      <c r="M221" s="38" t="s">
        <v>109</v>
      </c>
      <c r="N221" s="6" t="s">
        <v>122</v>
      </c>
      <c r="O221" s="6">
        <v>1</v>
      </c>
      <c r="P221" s="34">
        <v>50</v>
      </c>
      <c r="Q221" s="212">
        <v>6280</v>
      </c>
      <c r="R221" s="195">
        <v>45839</v>
      </c>
      <c r="S221" s="33" t="s">
        <v>113</v>
      </c>
      <c r="T221" s="212">
        <v>6800</v>
      </c>
      <c r="U221" s="8">
        <v>45919</v>
      </c>
      <c r="V221" s="2">
        <f t="shared" si="28"/>
        <v>314000</v>
      </c>
    </row>
    <row r="222" spans="3:22" x14ac:dyDescent="0.4">
      <c r="C222" s="1">
        <v>46022</v>
      </c>
      <c r="D222" s="2">
        <f t="shared" si="23"/>
        <v>0</v>
      </c>
      <c r="E222" s="2">
        <f t="shared" si="24"/>
        <v>0</v>
      </c>
      <c r="F222" s="2">
        <f t="shared" si="27"/>
        <v>26515950</v>
      </c>
      <c r="G222" s="2">
        <f t="shared" si="25"/>
        <v>25820000</v>
      </c>
      <c r="H222" s="2">
        <f t="shared" si="26"/>
        <v>0</v>
      </c>
      <c r="M222" s="38" t="s">
        <v>109</v>
      </c>
      <c r="N222" s="6" t="s">
        <v>122</v>
      </c>
      <c r="O222" s="6">
        <v>1</v>
      </c>
      <c r="P222" s="34">
        <v>50</v>
      </c>
      <c r="Q222" s="212">
        <v>6250</v>
      </c>
      <c r="R222" s="195">
        <v>45839</v>
      </c>
      <c r="S222" s="33" t="s">
        <v>113</v>
      </c>
      <c r="T222" s="212">
        <v>6800</v>
      </c>
      <c r="U222" s="8">
        <v>45919</v>
      </c>
      <c r="V222" s="2">
        <f t="shared" si="28"/>
        <v>312500</v>
      </c>
    </row>
    <row r="223" spans="3:22" x14ac:dyDescent="0.4">
      <c r="C223" s="1">
        <v>46023</v>
      </c>
      <c r="D223" s="2">
        <f t="shared" si="23"/>
        <v>0</v>
      </c>
      <c r="E223" s="2">
        <f t="shared" si="24"/>
        <v>0</v>
      </c>
      <c r="F223" s="2">
        <f t="shared" si="27"/>
        <v>26515950</v>
      </c>
      <c r="G223" s="2">
        <f t="shared" si="25"/>
        <v>25820000</v>
      </c>
      <c r="H223" s="2">
        <f t="shared" si="26"/>
        <v>0</v>
      </c>
      <c r="M223" s="38" t="s">
        <v>145</v>
      </c>
      <c r="N223" s="6" t="s">
        <v>122</v>
      </c>
      <c r="O223" s="6">
        <v>1</v>
      </c>
      <c r="P223" s="34">
        <v>7</v>
      </c>
      <c r="Q223" s="212">
        <v>66600</v>
      </c>
      <c r="R223" s="195">
        <v>45839</v>
      </c>
      <c r="S223" s="33" t="s">
        <v>113</v>
      </c>
      <c r="T223" s="212">
        <v>68000</v>
      </c>
      <c r="U223" s="8">
        <v>45940</v>
      </c>
      <c r="V223" s="2">
        <f t="shared" si="28"/>
        <v>466200</v>
      </c>
    </row>
    <row r="224" spans="3:22" x14ac:dyDescent="0.4">
      <c r="C224" s="1">
        <v>46024</v>
      </c>
      <c r="D224" s="2">
        <f t="shared" si="23"/>
        <v>0</v>
      </c>
      <c r="E224" s="2">
        <f t="shared" si="24"/>
        <v>0</v>
      </c>
      <c r="F224" s="2">
        <f t="shared" si="27"/>
        <v>26515950</v>
      </c>
      <c r="G224" s="2">
        <f t="shared" si="25"/>
        <v>25820000</v>
      </c>
      <c r="H224" s="2">
        <f t="shared" si="26"/>
        <v>0</v>
      </c>
      <c r="M224" s="38" t="s">
        <v>133</v>
      </c>
      <c r="N224" s="6" t="s">
        <v>122</v>
      </c>
      <c r="O224" s="6">
        <v>1</v>
      </c>
      <c r="P224" s="34">
        <v>1</v>
      </c>
      <c r="Q224" s="212">
        <v>847000</v>
      </c>
      <c r="R224" s="195">
        <v>45839</v>
      </c>
      <c r="S224" s="33" t="s">
        <v>113</v>
      </c>
      <c r="T224" s="212">
        <v>957000</v>
      </c>
      <c r="U224" s="8">
        <v>45867</v>
      </c>
      <c r="V224" s="2">
        <f t="shared" si="28"/>
        <v>847000</v>
      </c>
    </row>
    <row r="225" spans="3:22" x14ac:dyDescent="0.4">
      <c r="C225" s="1">
        <v>46025</v>
      </c>
      <c r="D225" s="2">
        <f t="shared" si="23"/>
        <v>0</v>
      </c>
      <c r="E225" s="2">
        <f t="shared" si="24"/>
        <v>0</v>
      </c>
      <c r="F225" s="2">
        <f t="shared" si="27"/>
        <v>26515950</v>
      </c>
      <c r="G225" s="2">
        <f t="shared" si="25"/>
        <v>25820000</v>
      </c>
      <c r="H225" s="2">
        <f t="shared" si="26"/>
        <v>0</v>
      </c>
      <c r="M225" s="38" t="s">
        <v>109</v>
      </c>
      <c r="N225" s="6" t="s">
        <v>122</v>
      </c>
      <c r="O225" s="6">
        <v>1</v>
      </c>
      <c r="P225" s="34">
        <v>40</v>
      </c>
      <c r="Q225" s="212">
        <v>6150</v>
      </c>
      <c r="R225" s="195">
        <v>45842</v>
      </c>
      <c r="S225" s="33" t="s">
        <v>113</v>
      </c>
      <c r="T225" s="212">
        <v>6800</v>
      </c>
      <c r="U225" s="8">
        <v>45919</v>
      </c>
      <c r="V225" s="2">
        <f t="shared" si="28"/>
        <v>246000</v>
      </c>
    </row>
    <row r="226" spans="3:22" x14ac:dyDescent="0.4">
      <c r="C226" s="1">
        <v>46026</v>
      </c>
      <c r="D226" s="2">
        <f t="shared" si="23"/>
        <v>0</v>
      </c>
      <c r="E226" s="2">
        <f t="shared" si="24"/>
        <v>0</v>
      </c>
      <c r="F226" s="2">
        <f t="shared" si="27"/>
        <v>26515950</v>
      </c>
      <c r="G226" s="2">
        <f t="shared" si="25"/>
        <v>25820000</v>
      </c>
      <c r="H226" s="2">
        <f t="shared" si="26"/>
        <v>0</v>
      </c>
      <c r="M226" s="38" t="s">
        <v>145</v>
      </c>
      <c r="N226" s="6" t="s">
        <v>122</v>
      </c>
      <c r="O226" s="6">
        <v>1</v>
      </c>
      <c r="P226" s="34">
        <v>2</v>
      </c>
      <c r="Q226" s="212">
        <v>59700</v>
      </c>
      <c r="R226" s="195">
        <v>45842</v>
      </c>
      <c r="S226" s="33" t="s">
        <v>113</v>
      </c>
      <c r="T226" s="212">
        <v>68000</v>
      </c>
      <c r="U226" s="8">
        <v>45940</v>
      </c>
      <c r="V226" s="2">
        <f t="shared" si="28"/>
        <v>119400</v>
      </c>
    </row>
    <row r="227" spans="3:22" x14ac:dyDescent="0.4">
      <c r="C227" s="1">
        <v>46027</v>
      </c>
      <c r="D227" s="2">
        <f t="shared" si="23"/>
        <v>0</v>
      </c>
      <c r="E227" s="2">
        <f t="shared" si="24"/>
        <v>0</v>
      </c>
      <c r="F227" s="2">
        <f t="shared" si="27"/>
        <v>26515950</v>
      </c>
      <c r="G227" s="2">
        <f t="shared" si="25"/>
        <v>25820000</v>
      </c>
      <c r="H227" s="2">
        <f t="shared" si="26"/>
        <v>0</v>
      </c>
      <c r="M227" s="38" t="s">
        <v>135</v>
      </c>
      <c r="N227" s="6" t="s">
        <v>122</v>
      </c>
      <c r="O227" s="6">
        <v>1</v>
      </c>
      <c r="P227" s="34">
        <v>5</v>
      </c>
      <c r="Q227" s="212">
        <v>24600</v>
      </c>
      <c r="R227" s="195">
        <v>45848</v>
      </c>
      <c r="S227" s="33" t="s">
        <v>113</v>
      </c>
      <c r="T227" s="212">
        <v>29000</v>
      </c>
      <c r="U227" s="8">
        <v>45925</v>
      </c>
      <c r="V227" s="2">
        <f t="shared" si="28"/>
        <v>123000</v>
      </c>
    </row>
    <row r="228" spans="3:22" x14ac:dyDescent="0.4">
      <c r="C228" s="1">
        <v>46028</v>
      </c>
      <c r="D228" s="2">
        <f t="shared" si="23"/>
        <v>0</v>
      </c>
      <c r="E228" s="2">
        <f t="shared" si="24"/>
        <v>0</v>
      </c>
      <c r="F228" s="2">
        <f t="shared" si="27"/>
        <v>26515950</v>
      </c>
      <c r="G228" s="2">
        <f t="shared" si="25"/>
        <v>25820000</v>
      </c>
      <c r="H228" s="2">
        <f t="shared" si="26"/>
        <v>0</v>
      </c>
      <c r="M228" s="38" t="s">
        <v>24</v>
      </c>
      <c r="N228" s="6" t="s">
        <v>122</v>
      </c>
      <c r="O228" s="6">
        <v>1</v>
      </c>
      <c r="P228" s="34">
        <v>300</v>
      </c>
      <c r="Q228" s="212">
        <v>7100</v>
      </c>
      <c r="R228" s="195">
        <v>45848</v>
      </c>
      <c r="S228" s="33" t="s">
        <v>113</v>
      </c>
      <c r="T228" s="212">
        <v>7770</v>
      </c>
      <c r="U228" s="8">
        <v>45912</v>
      </c>
      <c r="V228" s="2">
        <f t="shared" si="28"/>
        <v>2130000</v>
      </c>
    </row>
    <row r="229" spans="3:22" x14ac:dyDescent="0.4">
      <c r="C229" s="1">
        <v>46029</v>
      </c>
      <c r="D229" s="2">
        <f t="shared" si="23"/>
        <v>0</v>
      </c>
      <c r="E229" s="2">
        <f t="shared" si="24"/>
        <v>0</v>
      </c>
      <c r="F229" s="2">
        <f t="shared" si="27"/>
        <v>26515950</v>
      </c>
      <c r="G229" s="2">
        <f t="shared" si="25"/>
        <v>25820000</v>
      </c>
      <c r="H229" s="2">
        <f t="shared" si="26"/>
        <v>0</v>
      </c>
      <c r="M229" s="38" t="s">
        <v>146</v>
      </c>
      <c r="N229" s="6" t="s">
        <v>122</v>
      </c>
      <c r="O229" s="6">
        <v>1</v>
      </c>
      <c r="P229" s="34">
        <v>200</v>
      </c>
      <c r="Q229" s="212">
        <v>14380</v>
      </c>
      <c r="R229" s="195">
        <v>45848</v>
      </c>
      <c r="S229" s="8" t="s">
        <v>113</v>
      </c>
      <c r="T229" s="212">
        <v>14540</v>
      </c>
      <c r="U229" s="8">
        <v>46010</v>
      </c>
      <c r="V229" s="2">
        <f t="shared" si="28"/>
        <v>2876000</v>
      </c>
    </row>
    <row r="230" spans="3:22" x14ac:dyDescent="0.4">
      <c r="C230" s="1">
        <v>46030</v>
      </c>
      <c r="D230" s="2">
        <f t="shared" si="23"/>
        <v>0</v>
      </c>
      <c r="E230" s="2">
        <f t="shared" si="24"/>
        <v>0</v>
      </c>
      <c r="F230" s="2">
        <f t="shared" si="27"/>
        <v>26515950</v>
      </c>
      <c r="G230" s="2">
        <f t="shared" si="25"/>
        <v>25820000</v>
      </c>
      <c r="H230" s="2">
        <f t="shared" si="26"/>
        <v>0</v>
      </c>
      <c r="M230" s="38" t="s">
        <v>109</v>
      </c>
      <c r="N230" s="6" t="s">
        <v>122</v>
      </c>
      <c r="O230" s="6">
        <v>1</v>
      </c>
      <c r="P230" s="34">
        <v>100</v>
      </c>
      <c r="Q230" s="212">
        <v>6230</v>
      </c>
      <c r="R230" s="195">
        <v>45849</v>
      </c>
      <c r="S230" s="33" t="s">
        <v>113</v>
      </c>
      <c r="T230" s="212">
        <v>6800</v>
      </c>
      <c r="U230" s="8">
        <v>45919</v>
      </c>
      <c r="V230" s="2">
        <f t="shared" si="28"/>
        <v>623000</v>
      </c>
    </row>
    <row r="231" spans="3:22" x14ac:dyDescent="0.4">
      <c r="C231" s="1">
        <v>46031</v>
      </c>
      <c r="D231" s="2">
        <f t="shared" si="23"/>
        <v>0</v>
      </c>
      <c r="E231" s="2">
        <f t="shared" si="24"/>
        <v>0</v>
      </c>
      <c r="F231" s="2">
        <f t="shared" si="27"/>
        <v>26515950</v>
      </c>
      <c r="G231" s="2">
        <f t="shared" si="25"/>
        <v>25820000</v>
      </c>
      <c r="H231" s="2">
        <f t="shared" si="26"/>
        <v>0</v>
      </c>
      <c r="M231" s="38" t="s">
        <v>143</v>
      </c>
      <c r="N231" s="6" t="s">
        <v>122</v>
      </c>
      <c r="O231" s="6">
        <v>1</v>
      </c>
      <c r="P231" s="34">
        <v>10</v>
      </c>
      <c r="Q231" s="212">
        <v>21850</v>
      </c>
      <c r="R231" s="195">
        <v>45849</v>
      </c>
      <c r="S231" s="33" t="s">
        <v>113</v>
      </c>
      <c r="T231" s="212">
        <v>22600</v>
      </c>
      <c r="U231" s="8">
        <v>45910</v>
      </c>
      <c r="V231" s="2">
        <f t="shared" si="28"/>
        <v>218500</v>
      </c>
    </row>
    <row r="232" spans="3:22" x14ac:dyDescent="0.4">
      <c r="C232" s="1">
        <v>46032</v>
      </c>
      <c r="D232" s="2">
        <f t="shared" si="23"/>
        <v>0</v>
      </c>
      <c r="E232" s="2">
        <f t="shared" si="24"/>
        <v>0</v>
      </c>
      <c r="F232" s="2">
        <f t="shared" si="27"/>
        <v>26515950</v>
      </c>
      <c r="G232" s="2">
        <f t="shared" si="25"/>
        <v>25820000</v>
      </c>
      <c r="H232" s="2">
        <f t="shared" si="26"/>
        <v>0</v>
      </c>
      <c r="M232" s="38"/>
      <c r="N232" s="6"/>
      <c r="O232" s="6"/>
      <c r="P232" s="34"/>
      <c r="Q232" s="212"/>
      <c r="R232" s="195"/>
      <c r="S232" s="33"/>
      <c r="T232" s="212"/>
      <c r="U232" s="8"/>
      <c r="V232" s="2"/>
    </row>
    <row r="233" spans="3:22" x14ac:dyDescent="0.4">
      <c r="C233" s="1">
        <v>46033</v>
      </c>
      <c r="D233" s="2">
        <f t="shared" si="23"/>
        <v>0</v>
      </c>
      <c r="E233" s="2">
        <f t="shared" si="24"/>
        <v>0</v>
      </c>
      <c r="F233" s="2">
        <f t="shared" si="27"/>
        <v>26515950</v>
      </c>
      <c r="G233" s="2">
        <f t="shared" si="25"/>
        <v>25820000</v>
      </c>
      <c r="H233" s="2">
        <f t="shared" si="26"/>
        <v>0</v>
      </c>
      <c r="M233" s="38"/>
      <c r="N233" s="6"/>
      <c r="O233" s="6"/>
      <c r="P233" s="34"/>
      <c r="Q233" s="212"/>
      <c r="R233" s="195"/>
      <c r="S233" s="33"/>
      <c r="T233" s="212"/>
      <c r="U233" s="8"/>
      <c r="V233" s="2"/>
    </row>
    <row r="234" spans="3:22" x14ac:dyDescent="0.4">
      <c r="C234" s="1">
        <v>46034</v>
      </c>
      <c r="D234" s="2">
        <f t="shared" si="23"/>
        <v>0</v>
      </c>
      <c r="E234" s="2">
        <f t="shared" si="24"/>
        <v>0</v>
      </c>
      <c r="F234" s="2">
        <f t="shared" si="27"/>
        <v>26515950</v>
      </c>
      <c r="G234" s="2">
        <f t="shared" si="25"/>
        <v>25820000</v>
      </c>
      <c r="H234" s="2">
        <f t="shared" si="26"/>
        <v>0</v>
      </c>
      <c r="M234" s="38"/>
      <c r="N234" s="6"/>
      <c r="O234" s="6"/>
      <c r="P234" s="34"/>
      <c r="Q234" s="212"/>
      <c r="R234" s="195"/>
      <c r="S234" s="33"/>
      <c r="T234" s="212"/>
      <c r="U234" s="8"/>
      <c r="V234" s="2"/>
    </row>
    <row r="235" spans="3:22" x14ac:dyDescent="0.4">
      <c r="C235" s="1">
        <v>46035</v>
      </c>
      <c r="D235" s="2">
        <f t="shared" si="23"/>
        <v>0</v>
      </c>
      <c r="E235" s="2">
        <f t="shared" si="24"/>
        <v>0</v>
      </c>
      <c r="F235" s="2">
        <f t="shared" si="27"/>
        <v>26515950</v>
      </c>
      <c r="G235" s="2">
        <f t="shared" si="25"/>
        <v>25820000</v>
      </c>
      <c r="H235" s="2">
        <f t="shared" si="26"/>
        <v>0</v>
      </c>
      <c r="M235" s="38"/>
      <c r="N235" s="6"/>
      <c r="O235" s="6"/>
      <c r="P235" s="34"/>
      <c r="Q235" s="212"/>
      <c r="R235" s="195"/>
      <c r="S235" s="33"/>
      <c r="T235" s="212"/>
      <c r="U235" s="8"/>
      <c r="V235" s="2"/>
    </row>
    <row r="236" spans="3:22" x14ac:dyDescent="0.4">
      <c r="C236" s="1">
        <v>46036</v>
      </c>
      <c r="D236" s="2">
        <f t="shared" si="23"/>
        <v>0</v>
      </c>
      <c r="E236" s="2">
        <f t="shared" si="24"/>
        <v>0</v>
      </c>
      <c r="F236" s="2">
        <f t="shared" si="27"/>
        <v>26515950</v>
      </c>
      <c r="G236" s="2">
        <f t="shared" si="25"/>
        <v>25820000</v>
      </c>
      <c r="H236" s="2">
        <f t="shared" si="26"/>
        <v>0</v>
      </c>
      <c r="M236" s="38"/>
      <c r="N236" s="6"/>
      <c r="O236" s="6"/>
      <c r="P236" s="34"/>
      <c r="Q236" s="212"/>
      <c r="R236" s="195"/>
      <c r="S236" s="33"/>
      <c r="T236" s="212"/>
      <c r="U236" s="8"/>
      <c r="V236" s="2"/>
    </row>
    <row r="237" spans="3:22" x14ac:dyDescent="0.4">
      <c r="C237" s="1">
        <v>46037</v>
      </c>
      <c r="D237" s="2">
        <f t="shared" si="23"/>
        <v>0</v>
      </c>
      <c r="E237" s="2">
        <f t="shared" si="24"/>
        <v>0</v>
      </c>
      <c r="F237" s="2">
        <f t="shared" si="27"/>
        <v>26515950</v>
      </c>
      <c r="G237" s="2">
        <f t="shared" si="25"/>
        <v>25820000</v>
      </c>
      <c r="H237" s="2">
        <f t="shared" si="26"/>
        <v>0</v>
      </c>
      <c r="M237" s="38" t="s">
        <v>146</v>
      </c>
      <c r="N237" s="6" t="s">
        <v>122</v>
      </c>
      <c r="O237" s="6">
        <v>1</v>
      </c>
      <c r="P237" s="34">
        <v>20</v>
      </c>
      <c r="Q237" s="212">
        <v>12000</v>
      </c>
      <c r="R237" s="195">
        <v>45859</v>
      </c>
      <c r="S237" s="8" t="s">
        <v>113</v>
      </c>
      <c r="T237" s="212">
        <v>13770</v>
      </c>
      <c r="U237" s="8">
        <v>46009</v>
      </c>
      <c r="V237" s="2">
        <f t="shared" ref="V237:V247" si="29">P237*Q237</f>
        <v>240000</v>
      </c>
    </row>
    <row r="238" spans="3:22" x14ac:dyDescent="0.4">
      <c r="C238" s="1">
        <v>46038</v>
      </c>
      <c r="D238" s="2">
        <f t="shared" si="23"/>
        <v>0</v>
      </c>
      <c r="E238" s="2">
        <f t="shared" si="24"/>
        <v>0</v>
      </c>
      <c r="F238" s="2">
        <f t="shared" si="27"/>
        <v>26515950</v>
      </c>
      <c r="G238" s="2">
        <f t="shared" si="25"/>
        <v>25820000</v>
      </c>
      <c r="H238" s="2">
        <f t="shared" si="26"/>
        <v>0</v>
      </c>
      <c r="M238" s="38" t="s">
        <v>146</v>
      </c>
      <c r="N238" s="6" t="s">
        <v>122</v>
      </c>
      <c r="O238" s="6">
        <v>1</v>
      </c>
      <c r="P238" s="34">
        <v>17</v>
      </c>
      <c r="Q238" s="212">
        <v>11950</v>
      </c>
      <c r="R238" s="195">
        <v>45861</v>
      </c>
      <c r="S238" s="8" t="s">
        <v>113</v>
      </c>
      <c r="T238" s="212">
        <v>14540</v>
      </c>
      <c r="U238" s="8">
        <v>46010</v>
      </c>
      <c r="V238" s="2">
        <f t="shared" si="29"/>
        <v>203150</v>
      </c>
    </row>
    <row r="239" spans="3:22" x14ac:dyDescent="0.4">
      <c r="C239" s="1">
        <v>46039</v>
      </c>
      <c r="D239" s="2">
        <f t="shared" si="23"/>
        <v>0</v>
      </c>
      <c r="E239" s="2">
        <f t="shared" si="24"/>
        <v>0</v>
      </c>
      <c r="F239" s="2">
        <f t="shared" si="27"/>
        <v>26515950</v>
      </c>
      <c r="G239" s="2">
        <f t="shared" si="25"/>
        <v>25820000</v>
      </c>
      <c r="H239" s="2">
        <f t="shared" si="26"/>
        <v>0</v>
      </c>
      <c r="M239" s="38" t="s">
        <v>146</v>
      </c>
      <c r="N239" s="6" t="s">
        <v>122</v>
      </c>
      <c r="O239" s="6">
        <v>1</v>
      </c>
      <c r="P239" s="34">
        <v>10</v>
      </c>
      <c r="Q239" s="212">
        <v>10600</v>
      </c>
      <c r="R239" s="195">
        <v>45880</v>
      </c>
      <c r="S239" s="8" t="s">
        <v>113</v>
      </c>
      <c r="T239" s="212">
        <v>13770</v>
      </c>
      <c r="U239" s="8">
        <v>46009</v>
      </c>
      <c r="V239" s="2">
        <f t="shared" si="29"/>
        <v>106000</v>
      </c>
    </row>
    <row r="240" spans="3:22" x14ac:dyDescent="0.4">
      <c r="C240" s="1">
        <v>46040</v>
      </c>
      <c r="D240" s="2">
        <f t="shared" si="23"/>
        <v>0</v>
      </c>
      <c r="E240" s="2">
        <f t="shared" si="24"/>
        <v>0</v>
      </c>
      <c r="F240" s="2">
        <f t="shared" si="27"/>
        <v>26515950</v>
      </c>
      <c r="G240" s="2">
        <f t="shared" si="25"/>
        <v>25820000</v>
      </c>
      <c r="H240" s="2">
        <f t="shared" si="26"/>
        <v>0</v>
      </c>
      <c r="M240" s="38" t="s">
        <v>109</v>
      </c>
      <c r="N240" s="6" t="s">
        <v>122</v>
      </c>
      <c r="O240" s="6">
        <v>1</v>
      </c>
      <c r="P240" s="34">
        <v>30</v>
      </c>
      <c r="Q240" s="212">
        <v>5550</v>
      </c>
      <c r="R240" s="195">
        <v>45894</v>
      </c>
      <c r="S240" s="33" t="s">
        <v>113</v>
      </c>
      <c r="T240" s="212">
        <v>6800</v>
      </c>
      <c r="U240" s="8">
        <v>45919</v>
      </c>
      <c r="V240" s="2">
        <f t="shared" si="29"/>
        <v>166500</v>
      </c>
    </row>
    <row r="241" spans="3:22" x14ac:dyDescent="0.4">
      <c r="C241" s="1">
        <v>46041</v>
      </c>
      <c r="D241" s="2">
        <f t="shared" si="23"/>
        <v>0</v>
      </c>
      <c r="E241" s="2">
        <f t="shared" si="24"/>
        <v>0</v>
      </c>
      <c r="F241" s="2">
        <f t="shared" si="27"/>
        <v>26515950</v>
      </c>
      <c r="G241" s="2">
        <f t="shared" si="25"/>
        <v>25820000</v>
      </c>
      <c r="H241" s="2">
        <f t="shared" si="26"/>
        <v>0</v>
      </c>
      <c r="M241" s="38" t="s">
        <v>135</v>
      </c>
      <c r="N241" s="6" t="s">
        <v>122</v>
      </c>
      <c r="O241" s="6">
        <v>1</v>
      </c>
      <c r="P241" s="34">
        <v>7</v>
      </c>
      <c r="Q241" s="212">
        <v>24200</v>
      </c>
      <c r="R241" s="195">
        <v>45894</v>
      </c>
      <c r="S241" s="33" t="s">
        <v>113</v>
      </c>
      <c r="T241" s="212">
        <v>35550</v>
      </c>
      <c r="U241" s="8">
        <v>45931</v>
      </c>
      <c r="V241" s="2">
        <f t="shared" si="29"/>
        <v>169400</v>
      </c>
    </row>
    <row r="242" spans="3:22" x14ac:dyDescent="0.4">
      <c r="C242" s="1">
        <v>46042</v>
      </c>
      <c r="D242" s="2">
        <f t="shared" si="23"/>
        <v>0</v>
      </c>
      <c r="E242" s="2">
        <f t="shared" si="24"/>
        <v>0</v>
      </c>
      <c r="F242" s="2">
        <f t="shared" si="27"/>
        <v>26515950</v>
      </c>
      <c r="G242" s="2">
        <f t="shared" si="25"/>
        <v>25820000</v>
      </c>
      <c r="H242" s="2">
        <f t="shared" si="26"/>
        <v>0</v>
      </c>
      <c r="M242" s="38" t="s">
        <v>143</v>
      </c>
      <c r="N242" s="6" t="s">
        <v>122</v>
      </c>
      <c r="O242" s="6">
        <v>1</v>
      </c>
      <c r="P242" s="34">
        <v>10</v>
      </c>
      <c r="Q242" s="212">
        <v>18530</v>
      </c>
      <c r="R242" s="195">
        <v>45894</v>
      </c>
      <c r="S242" s="33" t="s">
        <v>113</v>
      </c>
      <c r="T242" s="212">
        <v>22600</v>
      </c>
      <c r="U242" s="8">
        <v>45910</v>
      </c>
      <c r="V242" s="2">
        <f t="shared" si="29"/>
        <v>185300</v>
      </c>
    </row>
    <row r="243" spans="3:22" x14ac:dyDescent="0.4">
      <c r="C243" s="1">
        <v>46043</v>
      </c>
      <c r="D243" s="2">
        <f t="shared" si="23"/>
        <v>0</v>
      </c>
      <c r="E243" s="2">
        <f t="shared" si="24"/>
        <v>0</v>
      </c>
      <c r="F243" s="2">
        <f t="shared" si="27"/>
        <v>26515950</v>
      </c>
      <c r="G243" s="2">
        <f t="shared" si="25"/>
        <v>25820000</v>
      </c>
      <c r="H243" s="2">
        <f t="shared" si="26"/>
        <v>0</v>
      </c>
      <c r="M243" s="38" t="s">
        <v>146</v>
      </c>
      <c r="N243" s="6" t="s">
        <v>122</v>
      </c>
      <c r="O243" s="6">
        <v>1</v>
      </c>
      <c r="P243" s="34">
        <v>18</v>
      </c>
      <c r="Q243" s="212">
        <v>10250</v>
      </c>
      <c r="R243" s="195">
        <v>45894</v>
      </c>
      <c r="S243" s="8" t="s">
        <v>113</v>
      </c>
      <c r="T243" s="212">
        <v>14540</v>
      </c>
      <c r="U243" s="8">
        <v>46010</v>
      </c>
      <c r="V243" s="2">
        <f t="shared" si="29"/>
        <v>184500</v>
      </c>
    </row>
    <row r="244" spans="3:22" x14ac:dyDescent="0.4">
      <c r="C244" s="1">
        <v>46044</v>
      </c>
      <c r="D244" s="2">
        <f t="shared" si="23"/>
        <v>0</v>
      </c>
      <c r="E244" s="2">
        <f t="shared" si="24"/>
        <v>0</v>
      </c>
      <c r="F244" s="2">
        <f t="shared" si="27"/>
        <v>26515950</v>
      </c>
      <c r="G244" s="2">
        <f t="shared" si="25"/>
        <v>25820000</v>
      </c>
      <c r="H244" s="2">
        <f t="shared" si="26"/>
        <v>0</v>
      </c>
      <c r="M244" s="38" t="s">
        <v>146</v>
      </c>
      <c r="N244" s="6" t="s">
        <v>122</v>
      </c>
      <c r="O244" s="6">
        <v>1</v>
      </c>
      <c r="P244" s="34">
        <v>70</v>
      </c>
      <c r="Q244" s="212">
        <v>11130</v>
      </c>
      <c r="R244" s="195">
        <v>45917</v>
      </c>
      <c r="S244" s="8" t="s">
        <v>113</v>
      </c>
      <c r="T244" s="212">
        <v>14540</v>
      </c>
      <c r="U244" s="8">
        <v>46010</v>
      </c>
      <c r="V244" s="2">
        <f t="shared" si="29"/>
        <v>779100</v>
      </c>
    </row>
    <row r="245" spans="3:22" x14ac:dyDescent="0.4">
      <c r="C245" s="1">
        <v>46045</v>
      </c>
      <c r="D245" s="2">
        <f t="shared" si="23"/>
        <v>0</v>
      </c>
      <c r="E245" s="2">
        <f t="shared" si="24"/>
        <v>0</v>
      </c>
      <c r="F245" s="2">
        <f t="shared" si="27"/>
        <v>26515950</v>
      </c>
      <c r="G245" s="2">
        <f t="shared" si="25"/>
        <v>25820000</v>
      </c>
      <c r="H245" s="2">
        <f t="shared" si="26"/>
        <v>0</v>
      </c>
      <c r="M245" s="38" t="s">
        <v>146</v>
      </c>
      <c r="N245" s="6" t="s">
        <v>122</v>
      </c>
      <c r="O245" s="6">
        <v>1</v>
      </c>
      <c r="P245" s="34">
        <v>30</v>
      </c>
      <c r="Q245" s="212">
        <v>11170</v>
      </c>
      <c r="R245" s="195">
        <v>45918</v>
      </c>
      <c r="S245" s="8" t="s">
        <v>113</v>
      </c>
      <c r="T245" s="212">
        <v>13770</v>
      </c>
      <c r="U245" s="8">
        <v>46009</v>
      </c>
      <c r="V245" s="2">
        <f t="shared" si="29"/>
        <v>335100</v>
      </c>
    </row>
    <row r="246" spans="3:22" x14ac:dyDescent="0.4">
      <c r="C246" s="1">
        <v>46046</v>
      </c>
      <c r="D246" s="2">
        <f t="shared" si="23"/>
        <v>0</v>
      </c>
      <c r="E246" s="2">
        <f t="shared" si="24"/>
        <v>0</v>
      </c>
      <c r="F246" s="2">
        <f t="shared" si="27"/>
        <v>26515950</v>
      </c>
      <c r="G246" s="2">
        <f t="shared" si="25"/>
        <v>25820000</v>
      </c>
      <c r="H246" s="2">
        <f t="shared" si="26"/>
        <v>0</v>
      </c>
      <c r="M246" s="38" t="s">
        <v>135</v>
      </c>
      <c r="N246" s="6" t="s">
        <v>122</v>
      </c>
      <c r="O246" s="6">
        <v>1</v>
      </c>
      <c r="P246" s="34">
        <v>10</v>
      </c>
      <c r="Q246" s="212">
        <v>25500</v>
      </c>
      <c r="R246" s="195">
        <v>45922</v>
      </c>
      <c r="S246" s="8" t="s">
        <v>113</v>
      </c>
      <c r="T246" s="212">
        <v>35550</v>
      </c>
      <c r="U246" s="8">
        <v>45931</v>
      </c>
      <c r="V246" s="2">
        <f t="shared" si="29"/>
        <v>255000</v>
      </c>
    </row>
    <row r="247" spans="3:22" x14ac:dyDescent="0.4">
      <c r="C247" s="1">
        <v>46047</v>
      </c>
      <c r="D247" s="2">
        <f t="shared" si="23"/>
        <v>0</v>
      </c>
      <c r="E247" s="2">
        <f t="shared" si="24"/>
        <v>0</v>
      </c>
      <c r="F247" s="2">
        <f t="shared" si="27"/>
        <v>26515950</v>
      </c>
      <c r="G247" s="2">
        <f t="shared" si="25"/>
        <v>25820000</v>
      </c>
      <c r="H247" s="2">
        <f t="shared" si="26"/>
        <v>0</v>
      </c>
      <c r="M247" s="38" t="s">
        <v>146</v>
      </c>
      <c r="N247" s="6" t="s">
        <v>122</v>
      </c>
      <c r="O247" s="6">
        <v>1</v>
      </c>
      <c r="P247" s="34">
        <v>30</v>
      </c>
      <c r="Q247" s="212">
        <v>10920</v>
      </c>
      <c r="R247" s="195">
        <v>45922</v>
      </c>
      <c r="S247" s="8" t="s">
        <v>113</v>
      </c>
      <c r="T247" s="212">
        <v>14540</v>
      </c>
      <c r="U247" s="8">
        <v>46010</v>
      </c>
      <c r="V247" s="2">
        <f t="shared" si="29"/>
        <v>327600</v>
      </c>
    </row>
    <row r="248" spans="3:22" x14ac:dyDescent="0.4">
      <c r="C248" s="1">
        <v>46048</v>
      </c>
      <c r="D248" s="2">
        <f t="shared" si="23"/>
        <v>0</v>
      </c>
      <c r="E248" s="2">
        <f t="shared" si="24"/>
        <v>0</v>
      </c>
      <c r="F248" s="2">
        <f t="shared" si="27"/>
        <v>26515950</v>
      </c>
      <c r="G248" s="2">
        <f t="shared" si="25"/>
        <v>25820000</v>
      </c>
      <c r="H248" s="2">
        <f t="shared" si="26"/>
        <v>0</v>
      </c>
      <c r="M248" s="38"/>
      <c r="N248" s="6"/>
      <c r="O248" s="6"/>
      <c r="P248" s="34"/>
      <c r="Q248" s="212"/>
      <c r="R248" s="195"/>
      <c r="S248" s="8"/>
      <c r="T248" s="212"/>
      <c r="U248" s="8"/>
      <c r="V248" s="2"/>
    </row>
    <row r="249" spans="3:22" x14ac:dyDescent="0.4">
      <c r="C249" s="1">
        <v>46049</v>
      </c>
      <c r="D249" s="2">
        <f t="shared" si="23"/>
        <v>0</v>
      </c>
      <c r="E249" s="2">
        <f t="shared" si="24"/>
        <v>0</v>
      </c>
      <c r="F249" s="2">
        <f t="shared" si="27"/>
        <v>26515950</v>
      </c>
      <c r="G249" s="2">
        <f t="shared" si="25"/>
        <v>25820000</v>
      </c>
      <c r="H249" s="2">
        <f t="shared" si="26"/>
        <v>0</v>
      </c>
      <c r="M249" s="38" t="s">
        <v>146</v>
      </c>
      <c r="N249" s="6" t="s">
        <v>122</v>
      </c>
      <c r="O249" s="6">
        <v>1</v>
      </c>
      <c r="P249" s="34">
        <v>20</v>
      </c>
      <c r="Q249" s="212">
        <v>10080</v>
      </c>
      <c r="R249" s="195">
        <v>45930</v>
      </c>
      <c r="S249" s="8" t="s">
        <v>113</v>
      </c>
      <c r="T249" s="212">
        <v>14540</v>
      </c>
      <c r="U249" s="8">
        <v>46010</v>
      </c>
      <c r="V249" s="2">
        <f>P249*Q249</f>
        <v>201600</v>
      </c>
    </row>
    <row r="250" spans="3:22" x14ac:dyDescent="0.4">
      <c r="C250" s="1">
        <v>46050</v>
      </c>
      <c r="D250" s="2">
        <f t="shared" si="23"/>
        <v>0</v>
      </c>
      <c r="E250" s="2">
        <f t="shared" si="24"/>
        <v>0</v>
      </c>
      <c r="F250" s="2">
        <f t="shared" si="27"/>
        <v>26515950</v>
      </c>
      <c r="G250" s="2">
        <f t="shared" si="25"/>
        <v>25820000</v>
      </c>
      <c r="H250" s="2">
        <f t="shared" si="26"/>
        <v>0</v>
      </c>
      <c r="M250" s="38" t="s">
        <v>147</v>
      </c>
      <c r="N250" s="6" t="s">
        <v>122</v>
      </c>
      <c r="O250" s="6">
        <v>1</v>
      </c>
      <c r="P250" s="34">
        <v>20</v>
      </c>
      <c r="Q250" s="212">
        <v>49000</v>
      </c>
      <c r="R250" s="195">
        <v>45940</v>
      </c>
      <c r="S250" s="8" t="s">
        <v>113</v>
      </c>
      <c r="T250" s="212">
        <v>58500</v>
      </c>
      <c r="U250" s="8">
        <v>45958</v>
      </c>
      <c r="V250" s="2">
        <f>P250*Q250</f>
        <v>980000</v>
      </c>
    </row>
    <row r="251" spans="3:22" x14ac:dyDescent="0.4">
      <c r="C251" s="1">
        <v>46051</v>
      </c>
      <c r="D251" s="2">
        <f t="shared" si="23"/>
        <v>0</v>
      </c>
      <c r="E251" s="2">
        <f t="shared" si="24"/>
        <v>0</v>
      </c>
      <c r="F251" s="2">
        <f t="shared" si="27"/>
        <v>26515950</v>
      </c>
      <c r="G251" s="2">
        <f t="shared" si="25"/>
        <v>25820000</v>
      </c>
      <c r="H251" s="2">
        <f t="shared" si="26"/>
        <v>0</v>
      </c>
      <c r="M251" s="38" t="s">
        <v>146</v>
      </c>
      <c r="N251" s="6" t="s">
        <v>122</v>
      </c>
      <c r="O251" s="6">
        <v>1</v>
      </c>
      <c r="P251" s="34">
        <v>15</v>
      </c>
      <c r="Q251" s="212">
        <v>10050</v>
      </c>
      <c r="R251" s="195">
        <v>45940</v>
      </c>
      <c r="S251" s="8" t="s">
        <v>113</v>
      </c>
      <c r="T251" s="212">
        <v>13770</v>
      </c>
      <c r="U251" s="8">
        <v>46009</v>
      </c>
      <c r="V251" s="2">
        <f>P251*Q251</f>
        <v>150750</v>
      </c>
    </row>
    <row r="252" spans="3:22" x14ac:dyDescent="0.4">
      <c r="C252" s="1">
        <v>46052</v>
      </c>
      <c r="D252" s="2">
        <f t="shared" si="23"/>
        <v>0</v>
      </c>
      <c r="E252" s="2">
        <f t="shared" si="24"/>
        <v>0</v>
      </c>
      <c r="F252" s="2">
        <f t="shared" si="27"/>
        <v>26515950</v>
      </c>
      <c r="G252" s="2">
        <f t="shared" si="25"/>
        <v>25820000</v>
      </c>
      <c r="H252" s="2">
        <f t="shared" si="26"/>
        <v>0</v>
      </c>
      <c r="M252" s="38"/>
      <c r="N252" s="6"/>
      <c r="O252" s="6"/>
      <c r="P252" s="34"/>
      <c r="Q252" s="212"/>
      <c r="R252" s="195"/>
      <c r="S252" s="8"/>
      <c r="T252" s="212"/>
      <c r="U252" s="8"/>
      <c r="V252" s="2"/>
    </row>
    <row r="253" spans="3:22" x14ac:dyDescent="0.4">
      <c r="C253" s="1">
        <v>46053</v>
      </c>
      <c r="D253" s="2">
        <f t="shared" si="23"/>
        <v>0</v>
      </c>
      <c r="E253" s="2">
        <f t="shared" si="24"/>
        <v>0</v>
      </c>
      <c r="F253" s="2">
        <f t="shared" si="27"/>
        <v>26515950</v>
      </c>
      <c r="G253" s="2">
        <f t="shared" si="25"/>
        <v>25820000</v>
      </c>
      <c r="H253" s="2">
        <f t="shared" si="26"/>
        <v>0</v>
      </c>
      <c r="M253" s="38"/>
      <c r="N253" s="6"/>
      <c r="O253" s="6"/>
      <c r="P253" s="34"/>
      <c r="Q253" s="212"/>
      <c r="R253" s="195"/>
      <c r="S253" s="8"/>
      <c r="T253" s="212"/>
      <c r="U253" s="8"/>
      <c r="V253" s="2"/>
    </row>
    <row r="254" spans="3:22" x14ac:dyDescent="0.4">
      <c r="C254" s="1">
        <v>46054</v>
      </c>
      <c r="D254" s="2">
        <f t="shared" si="23"/>
        <v>0</v>
      </c>
      <c r="E254" s="2">
        <f t="shared" si="24"/>
        <v>0</v>
      </c>
      <c r="F254" s="2">
        <f t="shared" si="27"/>
        <v>26515950</v>
      </c>
      <c r="G254" s="2">
        <f t="shared" si="25"/>
        <v>25820000</v>
      </c>
      <c r="H254" s="2">
        <f t="shared" si="26"/>
        <v>0</v>
      </c>
      <c r="M254" s="38"/>
      <c r="N254" s="6"/>
      <c r="O254" s="6"/>
      <c r="P254" s="34"/>
      <c r="Q254" s="212"/>
      <c r="R254" s="195"/>
      <c r="S254" s="8"/>
      <c r="T254" s="212"/>
      <c r="U254" s="8"/>
      <c r="V254" s="2"/>
    </row>
    <row r="255" spans="3:22" x14ac:dyDescent="0.4">
      <c r="C255" s="1">
        <v>46055</v>
      </c>
      <c r="D255" s="2">
        <f t="shared" si="23"/>
        <v>0</v>
      </c>
      <c r="E255" s="2">
        <f t="shared" si="24"/>
        <v>0</v>
      </c>
      <c r="F255" s="2">
        <f t="shared" si="27"/>
        <v>26515950</v>
      </c>
      <c r="G255" s="2">
        <f t="shared" si="25"/>
        <v>25820000</v>
      </c>
      <c r="H255" s="2">
        <f t="shared" si="26"/>
        <v>0</v>
      </c>
      <c r="M255" s="38"/>
      <c r="N255" s="6"/>
      <c r="O255" s="6"/>
      <c r="P255" s="34"/>
      <c r="Q255" s="212"/>
      <c r="R255" s="195"/>
      <c r="S255" s="8"/>
      <c r="T255" s="212"/>
      <c r="U255" s="8"/>
      <c r="V255" s="2"/>
    </row>
    <row r="256" spans="3:22" x14ac:dyDescent="0.4">
      <c r="C256" s="1">
        <v>46056</v>
      </c>
      <c r="D256" s="2">
        <f t="shared" si="23"/>
        <v>0</v>
      </c>
      <c r="E256" s="2">
        <f t="shared" si="24"/>
        <v>0</v>
      </c>
      <c r="F256" s="2">
        <f t="shared" si="27"/>
        <v>26515950</v>
      </c>
      <c r="G256" s="2">
        <f t="shared" si="25"/>
        <v>25820000</v>
      </c>
      <c r="H256" s="2">
        <f t="shared" si="26"/>
        <v>0</v>
      </c>
      <c r="M256" s="38"/>
      <c r="N256" s="6"/>
      <c r="O256" s="6"/>
      <c r="P256" s="34"/>
      <c r="Q256" s="212"/>
      <c r="R256" s="195"/>
      <c r="S256" s="8"/>
      <c r="T256" s="212"/>
      <c r="U256" s="8"/>
      <c r="V256" s="2"/>
    </row>
    <row r="257" spans="3:22" x14ac:dyDescent="0.4">
      <c r="C257" s="1">
        <v>46057</v>
      </c>
      <c r="D257" s="2">
        <f t="shared" si="23"/>
        <v>0</v>
      </c>
      <c r="E257" s="2">
        <f t="shared" si="24"/>
        <v>1897200</v>
      </c>
      <c r="F257" s="2">
        <f t="shared" si="27"/>
        <v>24618750</v>
      </c>
      <c r="G257" s="2">
        <f t="shared" si="25"/>
        <v>25820000</v>
      </c>
      <c r="H257" s="2">
        <f t="shared" si="26"/>
        <v>0</v>
      </c>
      <c r="M257" s="38"/>
      <c r="N257" s="6"/>
      <c r="O257" s="6"/>
      <c r="P257" s="34"/>
      <c r="Q257" s="212"/>
      <c r="R257" s="195"/>
      <c r="S257" s="8"/>
      <c r="T257" s="212"/>
      <c r="U257" s="8"/>
      <c r="V257" s="2"/>
    </row>
    <row r="258" spans="3:22" x14ac:dyDescent="0.4">
      <c r="C258" s="1">
        <v>46058</v>
      </c>
      <c r="D258" s="2">
        <f t="shared" si="23"/>
        <v>0</v>
      </c>
      <c r="E258" s="2">
        <f t="shared" si="24"/>
        <v>0</v>
      </c>
      <c r="F258" s="2">
        <f t="shared" si="27"/>
        <v>24618750</v>
      </c>
      <c r="G258" s="2">
        <f t="shared" si="25"/>
        <v>25510000</v>
      </c>
      <c r="H258" s="2">
        <f t="shared" si="26"/>
        <v>310000</v>
      </c>
      <c r="M258" s="38"/>
      <c r="N258" s="6"/>
      <c r="O258" s="6"/>
      <c r="P258" s="34"/>
      <c r="Q258" s="212"/>
      <c r="R258" s="195"/>
      <c r="S258" s="8"/>
      <c r="T258" s="212"/>
      <c r="U258" s="8"/>
      <c r="V258" s="2"/>
    </row>
    <row r="259" spans="3:22" x14ac:dyDescent="0.4">
      <c r="C259" s="1">
        <v>46059</v>
      </c>
      <c r="D259" s="2">
        <f t="shared" si="23"/>
        <v>0</v>
      </c>
      <c r="E259" s="2">
        <f t="shared" si="24"/>
        <v>0</v>
      </c>
      <c r="F259" s="2">
        <f t="shared" si="27"/>
        <v>24618750</v>
      </c>
      <c r="G259" s="2">
        <f t="shared" si="25"/>
        <v>25510000</v>
      </c>
      <c r="H259" s="2">
        <f t="shared" si="26"/>
        <v>0</v>
      </c>
      <c r="M259" s="38"/>
      <c r="N259" s="6"/>
      <c r="O259" s="6"/>
      <c r="P259" s="34"/>
      <c r="Q259" s="212"/>
      <c r="R259" s="195"/>
      <c r="S259" s="8"/>
      <c r="T259" s="212"/>
      <c r="U259" s="8"/>
      <c r="V259" s="2"/>
    </row>
    <row r="260" spans="3:22" x14ac:dyDescent="0.4">
      <c r="C260" s="1">
        <v>46060</v>
      </c>
      <c r="D260" s="2">
        <f t="shared" si="23"/>
        <v>0</v>
      </c>
      <c r="E260" s="2">
        <f t="shared" si="24"/>
        <v>0</v>
      </c>
      <c r="F260" s="2">
        <f t="shared" si="27"/>
        <v>24618750</v>
      </c>
      <c r="G260" s="2">
        <f t="shared" si="25"/>
        <v>25510000</v>
      </c>
      <c r="H260" s="2">
        <f t="shared" si="26"/>
        <v>0</v>
      </c>
      <c r="M260" s="38"/>
      <c r="N260" s="6"/>
      <c r="O260" s="6"/>
      <c r="P260" s="34"/>
      <c r="Q260" s="212"/>
      <c r="R260" s="195"/>
      <c r="S260" s="8"/>
      <c r="T260" s="212"/>
      <c r="U260" s="8"/>
      <c r="V260" s="2"/>
    </row>
    <row r="261" spans="3:22" x14ac:dyDescent="0.4">
      <c r="C261" s="1">
        <v>46061</v>
      </c>
      <c r="D261" s="2">
        <f t="shared" si="23"/>
        <v>0</v>
      </c>
      <c r="E261" s="2">
        <f t="shared" si="24"/>
        <v>0</v>
      </c>
      <c r="F261" s="2">
        <f t="shared" si="27"/>
        <v>24618750</v>
      </c>
      <c r="G261" s="2">
        <f t="shared" si="25"/>
        <v>25510000</v>
      </c>
      <c r="H261" s="2">
        <f t="shared" si="26"/>
        <v>0</v>
      </c>
      <c r="M261" s="38"/>
      <c r="N261" s="6"/>
      <c r="O261" s="6"/>
      <c r="P261" s="34"/>
      <c r="Q261" s="212"/>
      <c r="R261" s="195"/>
      <c r="S261" s="8"/>
      <c r="T261" s="212"/>
      <c r="U261" s="8"/>
      <c r="V261" s="2"/>
    </row>
    <row r="262" spans="3:22" x14ac:dyDescent="0.4">
      <c r="C262" s="1">
        <v>46062</v>
      </c>
      <c r="D262" s="2">
        <f t="shared" si="23"/>
        <v>0</v>
      </c>
      <c r="E262" s="2">
        <f t="shared" si="24"/>
        <v>0</v>
      </c>
      <c r="F262" s="2">
        <f t="shared" si="27"/>
        <v>24618750</v>
      </c>
      <c r="G262" s="2">
        <f t="shared" si="25"/>
        <v>25510000</v>
      </c>
      <c r="H262" s="2">
        <f t="shared" si="26"/>
        <v>0</v>
      </c>
      <c r="M262" s="38"/>
      <c r="N262" s="6"/>
      <c r="O262" s="6"/>
      <c r="P262" s="34"/>
      <c r="Q262" s="212"/>
      <c r="R262" s="195"/>
      <c r="S262" s="8"/>
      <c r="T262" s="212"/>
      <c r="U262" s="8"/>
      <c r="V262" s="2"/>
    </row>
    <row r="263" spans="3:22" x14ac:dyDescent="0.4">
      <c r="C263" s="1">
        <v>46063</v>
      </c>
      <c r="D263" s="2">
        <f t="shared" ref="D263:D326" si="30">SUMIF($R$5:$R$269,$C263,$V$5:$V$269)</f>
        <v>0</v>
      </c>
      <c r="E263" s="2">
        <f t="shared" ref="E263:E326" si="31">SUMIF($U$5:$U$269,$C263,$V$5:$V$269)</f>
        <v>1482600</v>
      </c>
      <c r="F263" s="2">
        <f t="shared" si="27"/>
        <v>23136150</v>
      </c>
      <c r="G263" s="2">
        <f t="shared" ref="G263:G326" si="32">G262-H263</f>
        <v>24530000</v>
      </c>
      <c r="H263" s="2">
        <f t="shared" ref="H263:H326" si="33">SUMIF($I$7:$I$49,$C263,$J$7:$J$49)</f>
        <v>980000</v>
      </c>
      <c r="M263" s="38"/>
      <c r="N263" s="6"/>
      <c r="O263" s="6"/>
      <c r="P263" s="34"/>
      <c r="Q263" s="212"/>
      <c r="R263" s="195"/>
      <c r="S263" s="8"/>
      <c r="T263" s="212"/>
      <c r="U263" s="8"/>
      <c r="V263" s="2"/>
    </row>
    <row r="264" spans="3:22" x14ac:dyDescent="0.4">
      <c r="C264" s="1">
        <v>46064</v>
      </c>
      <c r="D264" s="2">
        <f t="shared" si="30"/>
        <v>0</v>
      </c>
      <c r="E264" s="2">
        <f t="shared" si="31"/>
        <v>0</v>
      </c>
      <c r="F264" s="2">
        <f t="shared" ref="F264:F327" si="34">F263+D264-E264</f>
        <v>23136150</v>
      </c>
      <c r="G264" s="2">
        <f t="shared" si="32"/>
        <v>24530000</v>
      </c>
      <c r="H264" s="2">
        <f t="shared" si="33"/>
        <v>0</v>
      </c>
      <c r="M264" s="38"/>
      <c r="N264" s="6"/>
      <c r="O264" s="6"/>
      <c r="P264" s="34"/>
      <c r="Q264" s="212"/>
      <c r="R264" s="195"/>
      <c r="S264" s="8"/>
      <c r="T264" s="212"/>
      <c r="U264" s="8"/>
      <c r="V264" s="2"/>
    </row>
    <row r="265" spans="3:22" x14ac:dyDescent="0.4">
      <c r="C265" s="1">
        <v>46065</v>
      </c>
      <c r="D265" s="2">
        <f t="shared" si="30"/>
        <v>0</v>
      </c>
      <c r="E265" s="2">
        <f t="shared" si="31"/>
        <v>0</v>
      </c>
      <c r="F265" s="2">
        <f t="shared" si="34"/>
        <v>23136150</v>
      </c>
      <c r="G265" s="2">
        <f t="shared" si="32"/>
        <v>24530000</v>
      </c>
      <c r="H265" s="2">
        <f t="shared" si="33"/>
        <v>0</v>
      </c>
      <c r="M265" s="38"/>
      <c r="N265" s="6"/>
      <c r="O265" s="6"/>
      <c r="P265" s="34"/>
      <c r="Q265" s="212"/>
      <c r="R265" s="195"/>
      <c r="S265" s="8"/>
      <c r="T265" s="212"/>
      <c r="U265" s="8"/>
      <c r="V265" s="2"/>
    </row>
    <row r="266" spans="3:22" x14ac:dyDescent="0.4">
      <c r="C266" s="1">
        <v>46066</v>
      </c>
      <c r="D266" s="2">
        <f t="shared" si="30"/>
        <v>0</v>
      </c>
      <c r="E266" s="2">
        <f t="shared" si="31"/>
        <v>0</v>
      </c>
      <c r="F266" s="2">
        <f t="shared" si="34"/>
        <v>23136150</v>
      </c>
      <c r="G266" s="2">
        <f t="shared" si="32"/>
        <v>24530000</v>
      </c>
      <c r="H266" s="2">
        <f t="shared" si="33"/>
        <v>0</v>
      </c>
      <c r="M266" s="38"/>
      <c r="N266" s="6"/>
      <c r="O266" s="6"/>
      <c r="P266" s="34"/>
      <c r="Q266" s="212"/>
      <c r="R266" s="195"/>
      <c r="S266" s="8"/>
      <c r="T266" s="212"/>
      <c r="U266" s="8"/>
      <c r="V266" s="2"/>
    </row>
    <row r="267" spans="3:22" x14ac:dyDescent="0.4">
      <c r="C267" s="1">
        <v>46067</v>
      </c>
      <c r="D267" s="2">
        <f t="shared" si="30"/>
        <v>0</v>
      </c>
      <c r="E267" s="2">
        <f t="shared" si="31"/>
        <v>0</v>
      </c>
      <c r="F267" s="2">
        <f t="shared" si="34"/>
        <v>23136150</v>
      </c>
      <c r="G267" s="2">
        <f t="shared" si="32"/>
        <v>24260000</v>
      </c>
      <c r="H267" s="2">
        <f t="shared" si="33"/>
        <v>270000</v>
      </c>
      <c r="M267" s="38"/>
      <c r="N267" s="6"/>
      <c r="O267" s="6"/>
      <c r="P267" s="34"/>
      <c r="Q267" s="212"/>
      <c r="R267" s="195"/>
      <c r="S267" s="8"/>
      <c r="T267" s="212"/>
      <c r="U267" s="8"/>
      <c r="V267" s="2"/>
    </row>
    <row r="268" spans="3:22" x14ac:dyDescent="0.4">
      <c r="C268" s="1">
        <v>46068</v>
      </c>
      <c r="D268" s="2">
        <f t="shared" si="30"/>
        <v>0</v>
      </c>
      <c r="E268" s="2">
        <f t="shared" si="31"/>
        <v>0</v>
      </c>
      <c r="F268" s="2">
        <f t="shared" si="34"/>
        <v>23136150</v>
      </c>
      <c r="G268" s="2">
        <f t="shared" si="32"/>
        <v>24260000</v>
      </c>
      <c r="H268" s="2">
        <f t="shared" si="33"/>
        <v>0</v>
      </c>
      <c r="M268" s="38"/>
      <c r="N268" s="6"/>
      <c r="O268" s="6"/>
      <c r="P268" s="34"/>
      <c r="Q268" s="212"/>
      <c r="R268" s="195"/>
      <c r="S268" s="8"/>
      <c r="T268" s="212"/>
      <c r="U268" s="8"/>
      <c r="V268" s="2"/>
    </row>
    <row r="269" spans="3:22" x14ac:dyDescent="0.4">
      <c r="C269" s="1">
        <v>46069</v>
      </c>
      <c r="D269" s="2">
        <f t="shared" si="30"/>
        <v>0</v>
      </c>
      <c r="E269" s="2">
        <f t="shared" si="31"/>
        <v>0</v>
      </c>
      <c r="F269" s="2">
        <f t="shared" si="34"/>
        <v>23136150</v>
      </c>
      <c r="G269" s="2">
        <f t="shared" si="32"/>
        <v>24260000</v>
      </c>
      <c r="H269" s="2">
        <f t="shared" si="33"/>
        <v>0</v>
      </c>
      <c r="M269" s="38"/>
      <c r="N269" s="6"/>
      <c r="O269" s="6"/>
      <c r="P269" s="34"/>
      <c r="Q269" s="212"/>
      <c r="R269" s="195"/>
      <c r="S269" s="8"/>
      <c r="T269" s="212"/>
      <c r="U269" s="8"/>
      <c r="V269" s="2"/>
    </row>
    <row r="270" spans="3:22" x14ac:dyDescent="0.4">
      <c r="C270" s="1">
        <v>46070</v>
      </c>
      <c r="D270" s="2">
        <f t="shared" si="30"/>
        <v>0</v>
      </c>
      <c r="E270" s="2">
        <f t="shared" si="31"/>
        <v>0</v>
      </c>
      <c r="F270" s="2">
        <f t="shared" si="34"/>
        <v>23136150</v>
      </c>
      <c r="G270" s="2">
        <f t="shared" si="32"/>
        <v>24260000</v>
      </c>
      <c r="H270" s="2">
        <f t="shared" si="33"/>
        <v>0</v>
      </c>
    </row>
    <row r="271" spans="3:22" x14ac:dyDescent="0.4">
      <c r="C271" s="1">
        <v>46071</v>
      </c>
      <c r="D271" s="2">
        <f t="shared" si="30"/>
        <v>0</v>
      </c>
      <c r="E271" s="2">
        <f t="shared" si="31"/>
        <v>0</v>
      </c>
      <c r="F271" s="2">
        <f t="shared" si="34"/>
        <v>23136150</v>
      </c>
      <c r="G271" s="2">
        <f t="shared" si="32"/>
        <v>24260000</v>
      </c>
      <c r="H271" s="2">
        <f t="shared" si="33"/>
        <v>0</v>
      </c>
    </row>
    <row r="272" spans="3:22" x14ac:dyDescent="0.4">
      <c r="C272" s="1">
        <v>46072</v>
      </c>
      <c r="D272" s="2">
        <f t="shared" si="30"/>
        <v>0</v>
      </c>
      <c r="E272" s="2">
        <f t="shared" si="31"/>
        <v>0</v>
      </c>
      <c r="F272" s="2">
        <f t="shared" si="34"/>
        <v>23136150</v>
      </c>
      <c r="G272" s="2">
        <f t="shared" si="32"/>
        <v>24260000</v>
      </c>
      <c r="H272" s="2">
        <f t="shared" si="33"/>
        <v>0</v>
      </c>
    </row>
    <row r="273" spans="3:8" x14ac:dyDescent="0.4">
      <c r="C273" s="1">
        <v>46073</v>
      </c>
      <c r="D273" s="2">
        <f t="shared" si="30"/>
        <v>0</v>
      </c>
      <c r="E273" s="2">
        <f t="shared" si="31"/>
        <v>0</v>
      </c>
      <c r="F273" s="2">
        <f t="shared" si="34"/>
        <v>23136150</v>
      </c>
      <c r="G273" s="2">
        <f t="shared" si="32"/>
        <v>24260000</v>
      </c>
      <c r="H273" s="2">
        <f t="shared" si="33"/>
        <v>0</v>
      </c>
    </row>
    <row r="274" spans="3:8" x14ac:dyDescent="0.4">
      <c r="C274" s="1">
        <v>46074</v>
      </c>
      <c r="D274" s="2">
        <f t="shared" si="30"/>
        <v>0</v>
      </c>
      <c r="E274" s="2">
        <f t="shared" si="31"/>
        <v>0</v>
      </c>
      <c r="F274" s="2">
        <f t="shared" si="34"/>
        <v>23136150</v>
      </c>
      <c r="G274" s="2">
        <f t="shared" si="32"/>
        <v>24260000</v>
      </c>
      <c r="H274" s="2">
        <f t="shared" si="33"/>
        <v>0</v>
      </c>
    </row>
    <row r="275" spans="3:8" x14ac:dyDescent="0.4">
      <c r="C275" s="1">
        <v>46075</v>
      </c>
      <c r="D275" s="2">
        <f t="shared" si="30"/>
        <v>0</v>
      </c>
      <c r="E275" s="2">
        <f t="shared" si="31"/>
        <v>0</v>
      </c>
      <c r="F275" s="2">
        <f t="shared" si="34"/>
        <v>23136150</v>
      </c>
      <c r="G275" s="2">
        <f t="shared" si="32"/>
        <v>24260000</v>
      </c>
      <c r="H275" s="2">
        <f t="shared" si="33"/>
        <v>0</v>
      </c>
    </row>
    <row r="276" spans="3:8" x14ac:dyDescent="0.4">
      <c r="C276" s="1">
        <v>46076</v>
      </c>
      <c r="D276" s="2">
        <f t="shared" si="30"/>
        <v>0</v>
      </c>
      <c r="E276" s="2">
        <f t="shared" si="31"/>
        <v>0</v>
      </c>
      <c r="F276" s="2">
        <f t="shared" si="34"/>
        <v>23136150</v>
      </c>
      <c r="G276" s="2">
        <f t="shared" si="32"/>
        <v>23610000</v>
      </c>
      <c r="H276" s="2">
        <f t="shared" si="33"/>
        <v>650000</v>
      </c>
    </row>
    <row r="277" spans="3:8" x14ac:dyDescent="0.4">
      <c r="C277" s="1">
        <v>46077</v>
      </c>
      <c r="D277" s="2">
        <f t="shared" si="30"/>
        <v>0</v>
      </c>
      <c r="E277" s="2">
        <f t="shared" si="31"/>
        <v>0</v>
      </c>
      <c r="F277" s="2">
        <f t="shared" si="34"/>
        <v>23136150</v>
      </c>
      <c r="G277" s="2">
        <f t="shared" si="32"/>
        <v>23610000</v>
      </c>
      <c r="H277" s="2">
        <f t="shared" si="33"/>
        <v>0</v>
      </c>
    </row>
    <row r="278" spans="3:8" x14ac:dyDescent="0.4">
      <c r="C278" s="1">
        <v>46078</v>
      </c>
      <c r="D278" s="2">
        <f t="shared" si="30"/>
        <v>0</v>
      </c>
      <c r="E278" s="2">
        <f t="shared" si="31"/>
        <v>0</v>
      </c>
      <c r="F278" s="2">
        <f t="shared" si="34"/>
        <v>23136150</v>
      </c>
      <c r="G278" s="2">
        <f t="shared" si="32"/>
        <v>23610000</v>
      </c>
      <c r="H278" s="2">
        <f t="shared" si="33"/>
        <v>0</v>
      </c>
    </row>
    <row r="279" spans="3:8" x14ac:dyDescent="0.4">
      <c r="C279" s="1">
        <v>46079</v>
      </c>
      <c r="D279" s="2">
        <f t="shared" si="30"/>
        <v>0</v>
      </c>
      <c r="E279" s="2">
        <f t="shared" si="31"/>
        <v>0</v>
      </c>
      <c r="F279" s="2">
        <f t="shared" si="34"/>
        <v>23136150</v>
      </c>
      <c r="G279" s="2">
        <f t="shared" si="32"/>
        <v>23610000</v>
      </c>
      <c r="H279" s="2">
        <f t="shared" si="33"/>
        <v>0</v>
      </c>
    </row>
    <row r="280" spans="3:8" x14ac:dyDescent="0.4">
      <c r="C280" s="1">
        <v>46080</v>
      </c>
      <c r="D280" s="2">
        <f t="shared" si="30"/>
        <v>0</v>
      </c>
      <c r="E280" s="2">
        <f t="shared" si="31"/>
        <v>0</v>
      </c>
      <c r="F280" s="2">
        <f t="shared" si="34"/>
        <v>23136150</v>
      </c>
      <c r="G280" s="2">
        <f t="shared" si="32"/>
        <v>23610000</v>
      </c>
      <c r="H280" s="2">
        <f t="shared" si="33"/>
        <v>0</v>
      </c>
    </row>
    <row r="281" spans="3:8" x14ac:dyDescent="0.4">
      <c r="C281" s="1">
        <v>46081</v>
      </c>
      <c r="D281" s="2">
        <f t="shared" si="30"/>
        <v>0</v>
      </c>
      <c r="E281" s="2">
        <f t="shared" si="31"/>
        <v>0</v>
      </c>
      <c r="F281" s="2">
        <f t="shared" si="34"/>
        <v>23136150</v>
      </c>
      <c r="G281" s="2">
        <f t="shared" si="32"/>
        <v>23610000</v>
      </c>
      <c r="H281" s="2">
        <f t="shared" si="33"/>
        <v>0</v>
      </c>
    </row>
    <row r="282" spans="3:8" x14ac:dyDescent="0.4">
      <c r="C282" s="1">
        <v>46082</v>
      </c>
      <c r="D282" s="2">
        <f t="shared" si="30"/>
        <v>0</v>
      </c>
      <c r="E282" s="2">
        <f t="shared" si="31"/>
        <v>0</v>
      </c>
      <c r="F282" s="2">
        <f t="shared" si="34"/>
        <v>23136150</v>
      </c>
      <c r="G282" s="2">
        <f t="shared" si="32"/>
        <v>23610000</v>
      </c>
      <c r="H282" s="2">
        <f t="shared" si="33"/>
        <v>0</v>
      </c>
    </row>
    <row r="283" spans="3:8" x14ac:dyDescent="0.4">
      <c r="C283" s="1">
        <v>46083</v>
      </c>
      <c r="D283" s="2">
        <f t="shared" si="30"/>
        <v>0</v>
      </c>
      <c r="E283" s="2">
        <f t="shared" si="31"/>
        <v>0</v>
      </c>
      <c r="F283" s="2">
        <f t="shared" si="34"/>
        <v>23136150</v>
      </c>
      <c r="G283" s="2">
        <f t="shared" si="32"/>
        <v>23610000</v>
      </c>
      <c r="H283" s="2">
        <f t="shared" si="33"/>
        <v>0</v>
      </c>
    </row>
    <row r="284" spans="3:8" x14ac:dyDescent="0.4">
      <c r="C284" s="1">
        <v>46084</v>
      </c>
      <c r="D284" s="2">
        <f t="shared" si="30"/>
        <v>0</v>
      </c>
      <c r="E284" s="2">
        <f t="shared" si="31"/>
        <v>0</v>
      </c>
      <c r="F284" s="2">
        <f t="shared" si="34"/>
        <v>23136150</v>
      </c>
      <c r="G284" s="2">
        <f t="shared" si="32"/>
        <v>23610000</v>
      </c>
      <c r="H284" s="2">
        <f t="shared" si="33"/>
        <v>0</v>
      </c>
    </row>
    <row r="285" spans="3:8" x14ac:dyDescent="0.4">
      <c r="C285" s="314">
        <v>46085</v>
      </c>
      <c r="D285" s="308">
        <f t="shared" si="30"/>
        <v>0</v>
      </c>
      <c r="E285" s="308">
        <f t="shared" si="31"/>
        <v>0</v>
      </c>
      <c r="F285" s="308">
        <f t="shared" si="34"/>
        <v>23136150</v>
      </c>
      <c r="G285" s="308">
        <f t="shared" si="32"/>
        <v>21810000</v>
      </c>
      <c r="H285" s="308">
        <f t="shared" si="33"/>
        <v>1800000</v>
      </c>
    </row>
    <row r="286" spans="3:8" x14ac:dyDescent="0.4">
      <c r="C286" s="1">
        <v>46086</v>
      </c>
      <c r="D286" s="2">
        <f t="shared" si="30"/>
        <v>0</v>
      </c>
      <c r="E286" s="2">
        <f t="shared" si="31"/>
        <v>0</v>
      </c>
      <c r="F286" s="2">
        <f t="shared" si="34"/>
        <v>23136150</v>
      </c>
      <c r="G286" s="2">
        <f t="shared" si="32"/>
        <v>21810000</v>
      </c>
      <c r="H286" s="2">
        <f t="shared" si="33"/>
        <v>0</v>
      </c>
    </row>
    <row r="287" spans="3:8" x14ac:dyDescent="0.4">
      <c r="C287" s="1">
        <v>46087</v>
      </c>
      <c r="D287" s="2">
        <f t="shared" si="30"/>
        <v>0</v>
      </c>
      <c r="E287" s="2">
        <f t="shared" si="31"/>
        <v>0</v>
      </c>
      <c r="F287" s="2">
        <f t="shared" si="34"/>
        <v>23136150</v>
      </c>
      <c r="G287" s="2">
        <f t="shared" si="32"/>
        <v>21810000</v>
      </c>
      <c r="H287" s="2">
        <f t="shared" si="33"/>
        <v>0</v>
      </c>
    </row>
    <row r="288" spans="3:8" x14ac:dyDescent="0.4">
      <c r="C288" s="1">
        <v>46088</v>
      </c>
      <c r="D288" s="2">
        <f t="shared" si="30"/>
        <v>0</v>
      </c>
      <c r="E288" s="2">
        <f t="shared" si="31"/>
        <v>0</v>
      </c>
      <c r="F288" s="2">
        <f t="shared" si="34"/>
        <v>23136150</v>
      </c>
      <c r="G288" s="2">
        <f t="shared" si="32"/>
        <v>21810000</v>
      </c>
      <c r="H288" s="2">
        <f t="shared" si="33"/>
        <v>0</v>
      </c>
    </row>
    <row r="289" spans="3:8" x14ac:dyDescent="0.4">
      <c r="C289" s="1">
        <v>46089</v>
      </c>
      <c r="D289" s="2">
        <f t="shared" si="30"/>
        <v>0</v>
      </c>
      <c r="E289" s="2">
        <f t="shared" si="31"/>
        <v>0</v>
      </c>
      <c r="F289" s="2">
        <f t="shared" si="34"/>
        <v>23136150</v>
      </c>
      <c r="G289" s="2">
        <f t="shared" si="32"/>
        <v>21810000</v>
      </c>
      <c r="H289" s="2">
        <f t="shared" si="33"/>
        <v>0</v>
      </c>
    </row>
    <row r="290" spans="3:8" x14ac:dyDescent="0.4">
      <c r="C290" s="1">
        <v>46090</v>
      </c>
      <c r="D290" s="2">
        <f t="shared" si="30"/>
        <v>0</v>
      </c>
      <c r="E290" s="2">
        <f t="shared" si="31"/>
        <v>0</v>
      </c>
      <c r="F290" s="2">
        <f t="shared" si="34"/>
        <v>23136150</v>
      </c>
      <c r="G290" s="2">
        <f t="shared" si="32"/>
        <v>21810000</v>
      </c>
      <c r="H290" s="2">
        <f t="shared" si="33"/>
        <v>0</v>
      </c>
    </row>
    <row r="291" spans="3:8" x14ac:dyDescent="0.4">
      <c r="C291" s="1">
        <v>46091</v>
      </c>
      <c r="D291" s="2">
        <f t="shared" si="30"/>
        <v>0</v>
      </c>
      <c r="E291" s="2">
        <f t="shared" si="31"/>
        <v>0</v>
      </c>
      <c r="F291" s="2">
        <f t="shared" si="34"/>
        <v>23136150</v>
      </c>
      <c r="G291" s="2">
        <f t="shared" si="32"/>
        <v>21810000</v>
      </c>
      <c r="H291" s="2">
        <f t="shared" si="33"/>
        <v>0</v>
      </c>
    </row>
    <row r="292" spans="3:8" x14ac:dyDescent="0.4">
      <c r="C292" s="1">
        <v>46092</v>
      </c>
      <c r="D292" s="2">
        <f t="shared" si="30"/>
        <v>0</v>
      </c>
      <c r="E292" s="2">
        <f t="shared" si="31"/>
        <v>0</v>
      </c>
      <c r="F292" s="2">
        <f t="shared" si="34"/>
        <v>23136150</v>
      </c>
      <c r="G292" s="2">
        <f t="shared" si="32"/>
        <v>21810000</v>
      </c>
      <c r="H292" s="2">
        <f t="shared" si="33"/>
        <v>0</v>
      </c>
    </row>
    <row r="293" spans="3:8" x14ac:dyDescent="0.4">
      <c r="C293" s="1">
        <v>46093</v>
      </c>
      <c r="D293" s="2">
        <f t="shared" si="30"/>
        <v>0</v>
      </c>
      <c r="E293" s="2">
        <f t="shared" si="31"/>
        <v>0</v>
      </c>
      <c r="F293" s="2">
        <f t="shared" si="34"/>
        <v>23136150</v>
      </c>
      <c r="G293" s="2">
        <f t="shared" si="32"/>
        <v>21810000</v>
      </c>
      <c r="H293" s="2">
        <f t="shared" si="33"/>
        <v>0</v>
      </c>
    </row>
    <row r="294" spans="3:8" x14ac:dyDescent="0.4">
      <c r="C294" s="1">
        <v>46094</v>
      </c>
      <c r="D294" s="2">
        <f t="shared" si="30"/>
        <v>0</v>
      </c>
      <c r="E294" s="2">
        <f t="shared" si="31"/>
        <v>0</v>
      </c>
      <c r="F294" s="2">
        <f t="shared" si="34"/>
        <v>23136150</v>
      </c>
      <c r="G294" s="2">
        <f t="shared" si="32"/>
        <v>21810000</v>
      </c>
      <c r="H294" s="2">
        <f t="shared" si="33"/>
        <v>0</v>
      </c>
    </row>
    <row r="295" spans="3:8" x14ac:dyDescent="0.4">
      <c r="C295" s="1">
        <v>46095</v>
      </c>
      <c r="D295" s="2">
        <f t="shared" si="30"/>
        <v>0</v>
      </c>
      <c r="E295" s="2">
        <f t="shared" si="31"/>
        <v>0</v>
      </c>
      <c r="F295" s="2">
        <f t="shared" si="34"/>
        <v>23136150</v>
      </c>
      <c r="G295" s="2">
        <f t="shared" si="32"/>
        <v>21810000</v>
      </c>
      <c r="H295" s="2">
        <f t="shared" si="33"/>
        <v>0</v>
      </c>
    </row>
    <row r="296" spans="3:8" x14ac:dyDescent="0.4">
      <c r="C296" s="1">
        <v>46096</v>
      </c>
      <c r="D296" s="2">
        <f t="shared" si="30"/>
        <v>0</v>
      </c>
      <c r="E296" s="2">
        <f t="shared" si="31"/>
        <v>0</v>
      </c>
      <c r="F296" s="2">
        <f t="shared" si="34"/>
        <v>23136150</v>
      </c>
      <c r="G296" s="2">
        <f t="shared" si="32"/>
        <v>21810000</v>
      </c>
      <c r="H296" s="2">
        <f t="shared" si="33"/>
        <v>0</v>
      </c>
    </row>
    <row r="297" spans="3:8" x14ac:dyDescent="0.4">
      <c r="C297" s="1">
        <v>46097</v>
      </c>
      <c r="D297" s="2">
        <f t="shared" si="30"/>
        <v>0</v>
      </c>
      <c r="E297" s="2">
        <f t="shared" si="31"/>
        <v>0</v>
      </c>
      <c r="F297" s="2">
        <f t="shared" si="34"/>
        <v>23136150</v>
      </c>
      <c r="G297" s="2">
        <f t="shared" si="32"/>
        <v>21810000</v>
      </c>
      <c r="H297" s="2">
        <f t="shared" si="33"/>
        <v>0</v>
      </c>
    </row>
    <row r="298" spans="3:8" x14ac:dyDescent="0.4">
      <c r="C298" s="1">
        <v>46098</v>
      </c>
      <c r="D298" s="2">
        <f t="shared" si="30"/>
        <v>0</v>
      </c>
      <c r="E298" s="2">
        <f t="shared" si="31"/>
        <v>0</v>
      </c>
      <c r="F298" s="2">
        <f t="shared" si="34"/>
        <v>23136150</v>
      </c>
      <c r="G298" s="2">
        <f t="shared" si="32"/>
        <v>21810000</v>
      </c>
      <c r="H298" s="2">
        <f t="shared" si="33"/>
        <v>0</v>
      </c>
    </row>
    <row r="299" spans="3:8" x14ac:dyDescent="0.4">
      <c r="C299" s="1">
        <v>46099</v>
      </c>
      <c r="D299" s="2">
        <f t="shared" si="30"/>
        <v>0</v>
      </c>
      <c r="E299" s="2">
        <f t="shared" si="31"/>
        <v>0</v>
      </c>
      <c r="F299" s="2">
        <f t="shared" si="34"/>
        <v>23136150</v>
      </c>
      <c r="G299" s="2">
        <f t="shared" si="32"/>
        <v>21810000</v>
      </c>
      <c r="H299" s="2">
        <f t="shared" si="33"/>
        <v>0</v>
      </c>
    </row>
    <row r="300" spans="3:8" x14ac:dyDescent="0.4">
      <c r="C300" s="1">
        <v>46100</v>
      </c>
      <c r="D300" s="2">
        <f t="shared" si="30"/>
        <v>0</v>
      </c>
      <c r="E300" s="2">
        <f t="shared" si="31"/>
        <v>0</v>
      </c>
      <c r="F300" s="2">
        <f t="shared" si="34"/>
        <v>23136150</v>
      </c>
      <c r="G300" s="2">
        <f t="shared" si="32"/>
        <v>21810000</v>
      </c>
      <c r="H300" s="2">
        <f t="shared" si="33"/>
        <v>0</v>
      </c>
    </row>
    <row r="301" spans="3:8" x14ac:dyDescent="0.4">
      <c r="C301" s="1">
        <v>46101</v>
      </c>
      <c r="D301" s="2">
        <f t="shared" si="30"/>
        <v>0</v>
      </c>
      <c r="E301" s="2">
        <f t="shared" si="31"/>
        <v>0</v>
      </c>
      <c r="F301" s="2">
        <f t="shared" si="34"/>
        <v>23136150</v>
      </c>
      <c r="G301" s="2">
        <f t="shared" si="32"/>
        <v>21810000</v>
      </c>
      <c r="H301" s="2">
        <f t="shared" si="33"/>
        <v>0</v>
      </c>
    </row>
    <row r="302" spans="3:8" x14ac:dyDescent="0.4">
      <c r="C302" s="1">
        <v>46102</v>
      </c>
      <c r="D302" s="2">
        <f t="shared" si="30"/>
        <v>0</v>
      </c>
      <c r="E302" s="2">
        <f t="shared" si="31"/>
        <v>0</v>
      </c>
      <c r="F302" s="2">
        <f t="shared" si="34"/>
        <v>23136150</v>
      </c>
      <c r="G302" s="2">
        <f t="shared" si="32"/>
        <v>21810000</v>
      </c>
      <c r="H302" s="2">
        <f t="shared" si="33"/>
        <v>0</v>
      </c>
    </row>
    <row r="303" spans="3:8" x14ac:dyDescent="0.4">
      <c r="C303" s="1">
        <v>46103</v>
      </c>
      <c r="D303" s="2">
        <f t="shared" si="30"/>
        <v>0</v>
      </c>
      <c r="E303" s="2">
        <f t="shared" si="31"/>
        <v>0</v>
      </c>
      <c r="F303" s="2">
        <f t="shared" si="34"/>
        <v>23136150</v>
      </c>
      <c r="G303" s="2">
        <f t="shared" si="32"/>
        <v>21810000</v>
      </c>
      <c r="H303" s="2">
        <f t="shared" si="33"/>
        <v>0</v>
      </c>
    </row>
    <row r="304" spans="3:8" x14ac:dyDescent="0.4">
      <c r="C304" s="1">
        <v>46104</v>
      </c>
      <c r="D304" s="2">
        <f t="shared" si="30"/>
        <v>0</v>
      </c>
      <c r="E304" s="2">
        <f t="shared" si="31"/>
        <v>0</v>
      </c>
      <c r="F304" s="2">
        <f t="shared" si="34"/>
        <v>23136150</v>
      </c>
      <c r="G304" s="2">
        <f t="shared" si="32"/>
        <v>21810000</v>
      </c>
      <c r="H304" s="2">
        <f t="shared" si="33"/>
        <v>0</v>
      </c>
    </row>
    <row r="305" spans="3:8" x14ac:dyDescent="0.4">
      <c r="C305" s="1">
        <v>46105</v>
      </c>
      <c r="D305" s="2">
        <f t="shared" si="30"/>
        <v>0</v>
      </c>
      <c r="E305" s="2">
        <f t="shared" si="31"/>
        <v>0</v>
      </c>
      <c r="F305" s="2">
        <f t="shared" si="34"/>
        <v>23136150</v>
      </c>
      <c r="G305" s="2">
        <f t="shared" si="32"/>
        <v>21810000</v>
      </c>
      <c r="H305" s="2">
        <f t="shared" si="33"/>
        <v>0</v>
      </c>
    </row>
    <row r="306" spans="3:8" x14ac:dyDescent="0.4">
      <c r="C306" s="1">
        <v>46106</v>
      </c>
      <c r="D306" s="2">
        <f t="shared" si="30"/>
        <v>0</v>
      </c>
      <c r="E306" s="2">
        <f t="shared" si="31"/>
        <v>0</v>
      </c>
      <c r="F306" s="2">
        <f t="shared" si="34"/>
        <v>23136150</v>
      </c>
      <c r="G306" s="2">
        <f t="shared" si="32"/>
        <v>21810000</v>
      </c>
      <c r="H306" s="2">
        <f t="shared" si="33"/>
        <v>0</v>
      </c>
    </row>
    <row r="307" spans="3:8" x14ac:dyDescent="0.4">
      <c r="C307" s="1">
        <v>46107</v>
      </c>
      <c r="D307" s="2">
        <f t="shared" si="30"/>
        <v>0</v>
      </c>
      <c r="E307" s="2">
        <f t="shared" si="31"/>
        <v>0</v>
      </c>
      <c r="F307" s="2">
        <f t="shared" si="34"/>
        <v>23136150</v>
      </c>
      <c r="G307" s="2">
        <f t="shared" si="32"/>
        <v>21810000</v>
      </c>
      <c r="H307" s="2">
        <f t="shared" si="33"/>
        <v>0</v>
      </c>
    </row>
    <row r="308" spans="3:8" x14ac:dyDescent="0.4">
      <c r="C308" s="1">
        <v>46108</v>
      </c>
      <c r="D308" s="2">
        <f t="shared" si="30"/>
        <v>0</v>
      </c>
      <c r="E308" s="2">
        <f t="shared" si="31"/>
        <v>0</v>
      </c>
      <c r="F308" s="2">
        <f t="shared" si="34"/>
        <v>23136150</v>
      </c>
      <c r="G308" s="2">
        <f t="shared" si="32"/>
        <v>21810000</v>
      </c>
      <c r="H308" s="2">
        <f t="shared" si="33"/>
        <v>0</v>
      </c>
    </row>
    <row r="309" spans="3:8" x14ac:dyDescent="0.4">
      <c r="C309" s="1">
        <v>46109</v>
      </c>
      <c r="D309" s="2">
        <f t="shared" si="30"/>
        <v>0</v>
      </c>
      <c r="E309" s="2">
        <f t="shared" si="31"/>
        <v>0</v>
      </c>
      <c r="F309" s="2">
        <f t="shared" si="34"/>
        <v>23136150</v>
      </c>
      <c r="G309" s="2">
        <f t="shared" si="32"/>
        <v>21810000</v>
      </c>
      <c r="H309" s="2">
        <f t="shared" si="33"/>
        <v>0</v>
      </c>
    </row>
    <row r="310" spans="3:8" x14ac:dyDescent="0.4">
      <c r="C310" s="1">
        <v>46110</v>
      </c>
      <c r="D310" s="2">
        <f t="shared" si="30"/>
        <v>0</v>
      </c>
      <c r="E310" s="2">
        <f t="shared" si="31"/>
        <v>0</v>
      </c>
      <c r="F310" s="2">
        <f t="shared" si="34"/>
        <v>23136150</v>
      </c>
      <c r="G310" s="2">
        <f t="shared" si="32"/>
        <v>21810000</v>
      </c>
      <c r="H310" s="2">
        <f t="shared" si="33"/>
        <v>0</v>
      </c>
    </row>
    <row r="311" spans="3:8" x14ac:dyDescent="0.4">
      <c r="C311" s="1">
        <v>46111</v>
      </c>
      <c r="D311" s="2">
        <f t="shared" si="30"/>
        <v>0</v>
      </c>
      <c r="E311" s="2">
        <f t="shared" si="31"/>
        <v>0</v>
      </c>
      <c r="F311" s="2">
        <f t="shared" si="34"/>
        <v>23136150</v>
      </c>
      <c r="G311" s="2">
        <f t="shared" si="32"/>
        <v>21810000</v>
      </c>
      <c r="H311" s="2">
        <f t="shared" si="33"/>
        <v>0</v>
      </c>
    </row>
    <row r="312" spans="3:8" x14ac:dyDescent="0.4">
      <c r="C312" s="1">
        <v>46112</v>
      </c>
      <c r="D312" s="2">
        <f t="shared" si="30"/>
        <v>0</v>
      </c>
      <c r="E312" s="2">
        <f t="shared" si="31"/>
        <v>0</v>
      </c>
      <c r="F312" s="2">
        <f t="shared" si="34"/>
        <v>23136150</v>
      </c>
      <c r="G312" s="2">
        <f t="shared" si="32"/>
        <v>21810000</v>
      </c>
      <c r="H312" s="2">
        <f t="shared" si="33"/>
        <v>0</v>
      </c>
    </row>
    <row r="313" spans="3:8" x14ac:dyDescent="0.4">
      <c r="C313" s="1">
        <v>46113</v>
      </c>
      <c r="D313" s="2">
        <f t="shared" si="30"/>
        <v>0</v>
      </c>
      <c r="E313" s="2">
        <f t="shared" si="31"/>
        <v>0</v>
      </c>
      <c r="F313" s="2">
        <f t="shared" si="34"/>
        <v>23136150</v>
      </c>
      <c r="G313" s="2">
        <f t="shared" si="32"/>
        <v>21810000</v>
      </c>
      <c r="H313" s="2">
        <f t="shared" si="33"/>
        <v>0</v>
      </c>
    </row>
    <row r="314" spans="3:8" x14ac:dyDescent="0.4">
      <c r="C314" s="1">
        <v>46114</v>
      </c>
      <c r="D314" s="2">
        <f t="shared" si="30"/>
        <v>0</v>
      </c>
      <c r="E314" s="2">
        <f t="shared" si="31"/>
        <v>0</v>
      </c>
      <c r="F314" s="2">
        <f t="shared" si="34"/>
        <v>23136150</v>
      </c>
      <c r="G314" s="2">
        <f t="shared" si="32"/>
        <v>21810000</v>
      </c>
      <c r="H314" s="2">
        <f t="shared" si="33"/>
        <v>0</v>
      </c>
    </row>
    <row r="315" spans="3:8" x14ac:dyDescent="0.4">
      <c r="C315" s="1">
        <v>46115</v>
      </c>
      <c r="D315" s="2">
        <f t="shared" si="30"/>
        <v>0</v>
      </c>
      <c r="E315" s="2">
        <f t="shared" si="31"/>
        <v>0</v>
      </c>
      <c r="F315" s="2">
        <f t="shared" si="34"/>
        <v>23136150</v>
      </c>
      <c r="G315" s="2">
        <f t="shared" si="32"/>
        <v>21810000</v>
      </c>
      <c r="H315" s="2">
        <f t="shared" si="33"/>
        <v>0</v>
      </c>
    </row>
    <row r="316" spans="3:8" x14ac:dyDescent="0.4">
      <c r="C316" s="1">
        <v>46116</v>
      </c>
      <c r="D316" s="2">
        <f t="shared" si="30"/>
        <v>0</v>
      </c>
      <c r="E316" s="2">
        <f t="shared" si="31"/>
        <v>0</v>
      </c>
      <c r="F316" s="2">
        <f t="shared" si="34"/>
        <v>23136150</v>
      </c>
      <c r="G316" s="2">
        <f t="shared" si="32"/>
        <v>21810000</v>
      </c>
      <c r="H316" s="2">
        <f t="shared" si="33"/>
        <v>0</v>
      </c>
    </row>
    <row r="317" spans="3:8" x14ac:dyDescent="0.4">
      <c r="C317" s="1">
        <v>46117</v>
      </c>
      <c r="D317" s="2">
        <f t="shared" si="30"/>
        <v>0</v>
      </c>
      <c r="E317" s="2">
        <f t="shared" si="31"/>
        <v>0</v>
      </c>
      <c r="F317" s="2">
        <f t="shared" si="34"/>
        <v>23136150</v>
      </c>
      <c r="G317" s="2">
        <f t="shared" si="32"/>
        <v>21810000</v>
      </c>
      <c r="H317" s="2">
        <f t="shared" si="33"/>
        <v>0</v>
      </c>
    </row>
    <row r="318" spans="3:8" x14ac:dyDescent="0.4">
      <c r="C318" s="1">
        <v>46118</v>
      </c>
      <c r="D318" s="2">
        <f t="shared" si="30"/>
        <v>0</v>
      </c>
      <c r="E318" s="2">
        <f t="shared" si="31"/>
        <v>0</v>
      </c>
      <c r="F318" s="2">
        <f t="shared" si="34"/>
        <v>23136150</v>
      </c>
      <c r="G318" s="2">
        <f t="shared" si="32"/>
        <v>21810000</v>
      </c>
      <c r="H318" s="2">
        <f t="shared" si="33"/>
        <v>0</v>
      </c>
    </row>
    <row r="319" spans="3:8" x14ac:dyDescent="0.4">
      <c r="C319" s="1">
        <v>46119</v>
      </c>
      <c r="D319" s="2">
        <f t="shared" si="30"/>
        <v>0</v>
      </c>
      <c r="E319" s="2">
        <f t="shared" si="31"/>
        <v>0</v>
      </c>
      <c r="F319" s="2">
        <f t="shared" si="34"/>
        <v>23136150</v>
      </c>
      <c r="G319" s="2">
        <f t="shared" si="32"/>
        <v>21810000</v>
      </c>
      <c r="H319" s="2">
        <f t="shared" si="33"/>
        <v>0</v>
      </c>
    </row>
    <row r="320" spans="3:8" x14ac:dyDescent="0.4">
      <c r="C320" s="1">
        <v>46120</v>
      </c>
      <c r="D320" s="2">
        <f t="shared" si="30"/>
        <v>0</v>
      </c>
      <c r="E320" s="2">
        <f t="shared" si="31"/>
        <v>0</v>
      </c>
      <c r="F320" s="2">
        <f t="shared" si="34"/>
        <v>23136150</v>
      </c>
      <c r="G320" s="2">
        <f t="shared" si="32"/>
        <v>21810000</v>
      </c>
      <c r="H320" s="2">
        <f t="shared" si="33"/>
        <v>0</v>
      </c>
    </row>
    <row r="321" spans="3:8" x14ac:dyDescent="0.4">
      <c r="C321" s="1">
        <v>46121</v>
      </c>
      <c r="D321" s="2">
        <f t="shared" si="30"/>
        <v>0</v>
      </c>
      <c r="E321" s="2">
        <f t="shared" si="31"/>
        <v>0</v>
      </c>
      <c r="F321" s="2">
        <f t="shared" si="34"/>
        <v>23136150</v>
      </c>
      <c r="G321" s="2">
        <f t="shared" si="32"/>
        <v>21810000</v>
      </c>
      <c r="H321" s="2">
        <f t="shared" si="33"/>
        <v>0</v>
      </c>
    </row>
    <row r="322" spans="3:8" x14ac:dyDescent="0.4">
      <c r="C322" s="1">
        <v>46122</v>
      </c>
      <c r="D322" s="2">
        <f t="shared" si="30"/>
        <v>0</v>
      </c>
      <c r="E322" s="2">
        <f t="shared" si="31"/>
        <v>0</v>
      </c>
      <c r="F322" s="2">
        <f t="shared" si="34"/>
        <v>23136150</v>
      </c>
      <c r="G322" s="2">
        <f t="shared" si="32"/>
        <v>21810000</v>
      </c>
      <c r="H322" s="2">
        <f t="shared" si="33"/>
        <v>0</v>
      </c>
    </row>
    <row r="323" spans="3:8" x14ac:dyDescent="0.4">
      <c r="C323" s="1">
        <v>46123</v>
      </c>
      <c r="D323" s="2">
        <f t="shared" si="30"/>
        <v>0</v>
      </c>
      <c r="E323" s="2">
        <f t="shared" si="31"/>
        <v>0</v>
      </c>
      <c r="F323" s="2">
        <f t="shared" si="34"/>
        <v>23136150</v>
      </c>
      <c r="G323" s="2">
        <f t="shared" si="32"/>
        <v>21810000</v>
      </c>
      <c r="H323" s="2">
        <f t="shared" si="33"/>
        <v>0</v>
      </c>
    </row>
    <row r="324" spans="3:8" x14ac:dyDescent="0.4">
      <c r="C324" s="1">
        <v>46124</v>
      </c>
      <c r="D324" s="2">
        <f t="shared" si="30"/>
        <v>0</v>
      </c>
      <c r="E324" s="2">
        <f t="shared" si="31"/>
        <v>0</v>
      </c>
      <c r="F324" s="2">
        <f t="shared" si="34"/>
        <v>23136150</v>
      </c>
      <c r="G324" s="2">
        <f t="shared" si="32"/>
        <v>21810000</v>
      </c>
      <c r="H324" s="2">
        <f t="shared" si="33"/>
        <v>0</v>
      </c>
    </row>
    <row r="325" spans="3:8" x14ac:dyDescent="0.4">
      <c r="C325" s="1">
        <v>46125</v>
      </c>
      <c r="D325" s="2">
        <f t="shared" si="30"/>
        <v>0</v>
      </c>
      <c r="E325" s="2">
        <f t="shared" si="31"/>
        <v>0</v>
      </c>
      <c r="F325" s="2">
        <f t="shared" si="34"/>
        <v>23136150</v>
      </c>
      <c r="G325" s="2">
        <f t="shared" si="32"/>
        <v>21810000</v>
      </c>
      <c r="H325" s="2">
        <f t="shared" si="33"/>
        <v>0</v>
      </c>
    </row>
    <row r="326" spans="3:8" x14ac:dyDescent="0.4">
      <c r="C326" s="1">
        <v>46126</v>
      </c>
      <c r="D326" s="2">
        <f t="shared" si="30"/>
        <v>0</v>
      </c>
      <c r="E326" s="2">
        <f t="shared" si="31"/>
        <v>0</v>
      </c>
      <c r="F326" s="2">
        <f t="shared" si="34"/>
        <v>23136150</v>
      </c>
      <c r="G326" s="2">
        <f t="shared" si="32"/>
        <v>21810000</v>
      </c>
      <c r="H326" s="2">
        <f t="shared" si="33"/>
        <v>0</v>
      </c>
    </row>
    <row r="327" spans="3:8" x14ac:dyDescent="0.4">
      <c r="C327" s="1">
        <v>46127</v>
      </c>
      <c r="D327" s="2">
        <f t="shared" ref="D327:D390" si="35">SUMIF($R$5:$R$269,$C327,$V$5:$V$269)</f>
        <v>0</v>
      </c>
      <c r="E327" s="2">
        <f t="shared" ref="E327:E347" si="36">SUMIF($U$5:$U$269,$C327,$V$5:$V$269)</f>
        <v>0</v>
      </c>
      <c r="F327" s="2">
        <f t="shared" si="34"/>
        <v>23136150</v>
      </c>
      <c r="G327" s="2">
        <f t="shared" ref="G327:G390" si="37">G326-H327</f>
        <v>21810000</v>
      </c>
      <c r="H327" s="2">
        <f t="shared" ref="H327:H390" si="38">SUMIF($I$7:$I$49,$C327,$J$7:$J$49)</f>
        <v>0</v>
      </c>
    </row>
    <row r="328" spans="3:8" x14ac:dyDescent="0.4">
      <c r="C328" s="1">
        <v>46128</v>
      </c>
      <c r="D328" s="2">
        <f t="shared" si="35"/>
        <v>0</v>
      </c>
      <c r="E328" s="2">
        <f t="shared" si="36"/>
        <v>0</v>
      </c>
      <c r="F328" s="2">
        <f t="shared" ref="F328:F391" si="39">F327+D328-E328</f>
        <v>23136150</v>
      </c>
      <c r="G328" s="2">
        <f t="shared" si="37"/>
        <v>21810000</v>
      </c>
      <c r="H328" s="2">
        <f t="shared" si="38"/>
        <v>0</v>
      </c>
    </row>
    <row r="329" spans="3:8" x14ac:dyDescent="0.4">
      <c r="C329" s="1">
        <v>46129</v>
      </c>
      <c r="D329" s="2">
        <f t="shared" si="35"/>
        <v>0</v>
      </c>
      <c r="E329" s="2">
        <f t="shared" si="36"/>
        <v>0</v>
      </c>
      <c r="F329" s="2">
        <f t="shared" si="39"/>
        <v>23136150</v>
      </c>
      <c r="G329" s="2">
        <f t="shared" si="37"/>
        <v>21810000</v>
      </c>
      <c r="H329" s="2">
        <f t="shared" si="38"/>
        <v>0</v>
      </c>
    </row>
    <row r="330" spans="3:8" x14ac:dyDescent="0.4">
      <c r="C330" s="1">
        <v>46130</v>
      </c>
      <c r="D330" s="2">
        <f t="shared" si="35"/>
        <v>0</v>
      </c>
      <c r="E330" s="2">
        <f t="shared" si="36"/>
        <v>0</v>
      </c>
      <c r="F330" s="2">
        <f t="shared" si="39"/>
        <v>23136150</v>
      </c>
      <c r="G330" s="2">
        <f t="shared" si="37"/>
        <v>21810000</v>
      </c>
      <c r="H330" s="2">
        <f t="shared" si="38"/>
        <v>0</v>
      </c>
    </row>
    <row r="331" spans="3:8" x14ac:dyDescent="0.4">
      <c r="C331" s="1">
        <v>46131</v>
      </c>
      <c r="D331" s="2">
        <f t="shared" si="35"/>
        <v>0</v>
      </c>
      <c r="E331" s="2">
        <f t="shared" si="36"/>
        <v>0</v>
      </c>
      <c r="F331" s="2">
        <f t="shared" si="39"/>
        <v>23136150</v>
      </c>
      <c r="G331" s="2">
        <f t="shared" si="37"/>
        <v>21810000</v>
      </c>
      <c r="H331" s="2">
        <f t="shared" si="38"/>
        <v>0</v>
      </c>
    </row>
    <row r="332" spans="3:8" x14ac:dyDescent="0.4">
      <c r="C332" s="1">
        <v>46132</v>
      </c>
      <c r="D332" s="2">
        <f t="shared" si="35"/>
        <v>0</v>
      </c>
      <c r="E332" s="2">
        <f t="shared" si="36"/>
        <v>0</v>
      </c>
      <c r="F332" s="2">
        <f t="shared" si="39"/>
        <v>23136150</v>
      </c>
      <c r="G332" s="2">
        <f t="shared" si="37"/>
        <v>21810000</v>
      </c>
      <c r="H332" s="2">
        <f t="shared" si="38"/>
        <v>0</v>
      </c>
    </row>
    <row r="333" spans="3:8" x14ac:dyDescent="0.4">
      <c r="C333" s="1">
        <v>46133</v>
      </c>
      <c r="D333" s="2">
        <f t="shared" si="35"/>
        <v>0</v>
      </c>
      <c r="E333" s="2">
        <f t="shared" si="36"/>
        <v>0</v>
      </c>
      <c r="F333" s="2">
        <f t="shared" si="39"/>
        <v>23136150</v>
      </c>
      <c r="G333" s="2">
        <f t="shared" si="37"/>
        <v>21810000</v>
      </c>
      <c r="H333" s="2">
        <f t="shared" si="38"/>
        <v>0</v>
      </c>
    </row>
    <row r="334" spans="3:8" x14ac:dyDescent="0.4">
      <c r="C334" s="1">
        <v>46134</v>
      </c>
      <c r="D334" s="2">
        <f t="shared" si="35"/>
        <v>0</v>
      </c>
      <c r="E334" s="2">
        <f t="shared" si="36"/>
        <v>0</v>
      </c>
      <c r="F334" s="2">
        <f t="shared" si="39"/>
        <v>23136150</v>
      </c>
      <c r="G334" s="2">
        <f t="shared" si="37"/>
        <v>21810000</v>
      </c>
      <c r="H334" s="2">
        <f t="shared" si="38"/>
        <v>0</v>
      </c>
    </row>
    <row r="335" spans="3:8" x14ac:dyDescent="0.4">
      <c r="C335" s="1">
        <v>46135</v>
      </c>
      <c r="D335" s="2">
        <f t="shared" si="35"/>
        <v>0</v>
      </c>
      <c r="E335" s="2">
        <f t="shared" si="36"/>
        <v>0</v>
      </c>
      <c r="F335" s="2">
        <f t="shared" si="39"/>
        <v>23136150</v>
      </c>
      <c r="G335" s="2">
        <f t="shared" si="37"/>
        <v>21810000</v>
      </c>
      <c r="H335" s="2">
        <f t="shared" si="38"/>
        <v>0</v>
      </c>
    </row>
    <row r="336" spans="3:8" x14ac:dyDescent="0.4">
      <c r="C336" s="1">
        <v>46136</v>
      </c>
      <c r="D336" s="2">
        <f t="shared" si="35"/>
        <v>0</v>
      </c>
      <c r="E336" s="2">
        <f t="shared" si="36"/>
        <v>0</v>
      </c>
      <c r="F336" s="2">
        <f t="shared" si="39"/>
        <v>23136150</v>
      </c>
      <c r="G336" s="2">
        <f t="shared" si="37"/>
        <v>21810000</v>
      </c>
      <c r="H336" s="2">
        <f t="shared" si="38"/>
        <v>0</v>
      </c>
    </row>
    <row r="337" spans="3:8" x14ac:dyDescent="0.4">
      <c r="C337" s="1">
        <v>46137</v>
      </c>
      <c r="D337" s="2">
        <f t="shared" si="35"/>
        <v>0</v>
      </c>
      <c r="E337" s="2">
        <f t="shared" si="36"/>
        <v>0</v>
      </c>
      <c r="F337" s="2">
        <f t="shared" si="39"/>
        <v>23136150</v>
      </c>
      <c r="G337" s="2">
        <f t="shared" si="37"/>
        <v>21810000</v>
      </c>
      <c r="H337" s="2">
        <f t="shared" si="38"/>
        <v>0</v>
      </c>
    </row>
    <row r="338" spans="3:8" x14ac:dyDescent="0.4">
      <c r="C338" s="1">
        <v>46138</v>
      </c>
      <c r="D338" s="2">
        <f t="shared" si="35"/>
        <v>0</v>
      </c>
      <c r="E338" s="2">
        <f t="shared" si="36"/>
        <v>0</v>
      </c>
      <c r="F338" s="2">
        <f t="shared" si="39"/>
        <v>23136150</v>
      </c>
      <c r="G338" s="2">
        <f t="shared" si="37"/>
        <v>21810000</v>
      </c>
      <c r="H338" s="2">
        <f t="shared" si="38"/>
        <v>0</v>
      </c>
    </row>
    <row r="339" spans="3:8" x14ac:dyDescent="0.4">
      <c r="C339" s="1">
        <v>46139</v>
      </c>
      <c r="D339" s="2">
        <f t="shared" si="35"/>
        <v>0</v>
      </c>
      <c r="E339" s="2">
        <f t="shared" si="36"/>
        <v>0</v>
      </c>
      <c r="F339" s="2">
        <f t="shared" si="39"/>
        <v>23136150</v>
      </c>
      <c r="G339" s="2">
        <f t="shared" si="37"/>
        <v>21810000</v>
      </c>
      <c r="H339" s="2">
        <f t="shared" si="38"/>
        <v>0</v>
      </c>
    </row>
    <row r="340" spans="3:8" x14ac:dyDescent="0.4">
      <c r="C340" s="1">
        <v>46140</v>
      </c>
      <c r="D340" s="2">
        <f t="shared" si="35"/>
        <v>0</v>
      </c>
      <c r="E340" s="2">
        <f t="shared" si="36"/>
        <v>0</v>
      </c>
      <c r="F340" s="2">
        <f t="shared" si="39"/>
        <v>23136150</v>
      </c>
      <c r="G340" s="2">
        <f t="shared" si="37"/>
        <v>21810000</v>
      </c>
      <c r="H340" s="2">
        <f t="shared" si="38"/>
        <v>0</v>
      </c>
    </row>
    <row r="341" spans="3:8" x14ac:dyDescent="0.4">
      <c r="C341" s="1">
        <v>46141</v>
      </c>
      <c r="D341" s="2">
        <f t="shared" si="35"/>
        <v>0</v>
      </c>
      <c r="E341" s="2">
        <f t="shared" si="36"/>
        <v>0</v>
      </c>
      <c r="F341" s="2">
        <f t="shared" si="39"/>
        <v>23136150</v>
      </c>
      <c r="G341" s="2">
        <f t="shared" si="37"/>
        <v>21810000</v>
      </c>
      <c r="H341" s="2">
        <f t="shared" si="38"/>
        <v>0</v>
      </c>
    </row>
    <row r="342" spans="3:8" x14ac:dyDescent="0.4">
      <c r="C342" s="1">
        <v>46142</v>
      </c>
      <c r="D342" s="2">
        <f t="shared" si="35"/>
        <v>0</v>
      </c>
      <c r="E342" s="2">
        <f t="shared" si="36"/>
        <v>0</v>
      </c>
      <c r="F342" s="2">
        <f t="shared" si="39"/>
        <v>23136150</v>
      </c>
      <c r="G342" s="2">
        <f t="shared" si="37"/>
        <v>21810000</v>
      </c>
      <c r="H342" s="2">
        <f t="shared" si="38"/>
        <v>0</v>
      </c>
    </row>
    <row r="343" spans="3:8" x14ac:dyDescent="0.4">
      <c r="C343" s="1">
        <v>46143</v>
      </c>
      <c r="D343" s="2">
        <f t="shared" si="35"/>
        <v>0</v>
      </c>
      <c r="E343" s="2">
        <f t="shared" si="36"/>
        <v>0</v>
      </c>
      <c r="F343" s="2">
        <f t="shared" si="39"/>
        <v>23136150</v>
      </c>
      <c r="G343" s="2">
        <f t="shared" si="37"/>
        <v>21810000</v>
      </c>
      <c r="H343" s="2">
        <f t="shared" si="38"/>
        <v>0</v>
      </c>
    </row>
    <row r="344" spans="3:8" x14ac:dyDescent="0.4">
      <c r="C344" s="1">
        <v>46144</v>
      </c>
      <c r="D344" s="2">
        <f t="shared" si="35"/>
        <v>0</v>
      </c>
      <c r="E344" s="2">
        <f t="shared" si="36"/>
        <v>0</v>
      </c>
      <c r="F344" s="2">
        <f t="shared" si="39"/>
        <v>23136150</v>
      </c>
      <c r="G344" s="2">
        <f t="shared" si="37"/>
        <v>21810000</v>
      </c>
      <c r="H344" s="2">
        <f t="shared" si="38"/>
        <v>0</v>
      </c>
    </row>
    <row r="345" spans="3:8" x14ac:dyDescent="0.4">
      <c r="C345" s="1">
        <v>46145</v>
      </c>
      <c r="D345" s="2">
        <f t="shared" si="35"/>
        <v>0</v>
      </c>
      <c r="E345" s="2">
        <f t="shared" si="36"/>
        <v>0</v>
      </c>
      <c r="F345" s="2">
        <f t="shared" si="39"/>
        <v>23136150</v>
      </c>
      <c r="G345" s="2">
        <f t="shared" si="37"/>
        <v>21810000</v>
      </c>
      <c r="H345" s="2">
        <f t="shared" si="38"/>
        <v>0</v>
      </c>
    </row>
    <row r="346" spans="3:8" x14ac:dyDescent="0.4">
      <c r="C346" s="1">
        <v>46146</v>
      </c>
      <c r="D346" s="2">
        <f t="shared" si="35"/>
        <v>0</v>
      </c>
      <c r="E346" s="2">
        <f t="shared" si="36"/>
        <v>0</v>
      </c>
      <c r="F346" s="2">
        <f t="shared" si="39"/>
        <v>23136150</v>
      </c>
      <c r="G346" s="2">
        <f t="shared" si="37"/>
        <v>21810000</v>
      </c>
      <c r="H346" s="2">
        <f t="shared" si="38"/>
        <v>0</v>
      </c>
    </row>
    <row r="347" spans="3:8" x14ac:dyDescent="0.4">
      <c r="C347" s="1">
        <v>46147</v>
      </c>
      <c r="D347" s="2">
        <f t="shared" si="35"/>
        <v>0</v>
      </c>
      <c r="E347" s="2">
        <f t="shared" si="36"/>
        <v>0</v>
      </c>
      <c r="F347" s="2">
        <f t="shared" si="39"/>
        <v>23136150</v>
      </c>
      <c r="G347" s="2">
        <f t="shared" si="37"/>
        <v>21810000</v>
      </c>
      <c r="H347" s="2">
        <f t="shared" si="38"/>
        <v>0</v>
      </c>
    </row>
    <row r="348" spans="3:8" x14ac:dyDescent="0.4">
      <c r="C348" s="1">
        <v>46148</v>
      </c>
      <c r="D348" s="2">
        <f t="shared" si="35"/>
        <v>0</v>
      </c>
      <c r="E348" s="2">
        <f t="shared" ref="E348:E379" si="40">SUMIF($T$5:$T$269,$C348,$V$5:$V$269)</f>
        <v>0</v>
      </c>
      <c r="F348" s="2">
        <f t="shared" si="39"/>
        <v>23136150</v>
      </c>
      <c r="G348" s="2">
        <f t="shared" si="37"/>
        <v>21810000</v>
      </c>
      <c r="H348" s="2">
        <f t="shared" si="38"/>
        <v>0</v>
      </c>
    </row>
    <row r="349" spans="3:8" x14ac:dyDescent="0.4">
      <c r="C349" s="1">
        <v>46149</v>
      </c>
      <c r="D349" s="2">
        <f t="shared" si="35"/>
        <v>0</v>
      </c>
      <c r="E349" s="2">
        <f t="shared" si="40"/>
        <v>0</v>
      </c>
      <c r="F349" s="2">
        <f t="shared" si="39"/>
        <v>23136150</v>
      </c>
      <c r="G349" s="2">
        <f t="shared" si="37"/>
        <v>21810000</v>
      </c>
      <c r="H349" s="2">
        <f t="shared" si="38"/>
        <v>0</v>
      </c>
    </row>
    <row r="350" spans="3:8" x14ac:dyDescent="0.4">
      <c r="C350" s="1">
        <v>46150</v>
      </c>
      <c r="D350" s="2">
        <f t="shared" si="35"/>
        <v>0</v>
      </c>
      <c r="E350" s="2">
        <f t="shared" si="40"/>
        <v>0</v>
      </c>
      <c r="F350" s="2">
        <f t="shared" si="39"/>
        <v>23136150</v>
      </c>
      <c r="G350" s="2">
        <f t="shared" si="37"/>
        <v>21810000</v>
      </c>
      <c r="H350" s="2">
        <f t="shared" si="38"/>
        <v>0</v>
      </c>
    </row>
    <row r="351" spans="3:8" x14ac:dyDescent="0.4">
      <c r="C351" s="1">
        <v>46151</v>
      </c>
      <c r="D351" s="2">
        <f t="shared" si="35"/>
        <v>0</v>
      </c>
      <c r="E351" s="2">
        <f t="shared" si="40"/>
        <v>0</v>
      </c>
      <c r="F351" s="2">
        <f t="shared" si="39"/>
        <v>23136150</v>
      </c>
      <c r="G351" s="2">
        <f t="shared" si="37"/>
        <v>21810000</v>
      </c>
      <c r="H351" s="2">
        <f t="shared" si="38"/>
        <v>0</v>
      </c>
    </row>
    <row r="352" spans="3:8" x14ac:dyDescent="0.4">
      <c r="C352" s="1">
        <v>46152</v>
      </c>
      <c r="D352" s="2">
        <f t="shared" si="35"/>
        <v>0</v>
      </c>
      <c r="E352" s="2">
        <f t="shared" si="40"/>
        <v>0</v>
      </c>
      <c r="F352" s="2">
        <f t="shared" si="39"/>
        <v>23136150</v>
      </c>
      <c r="G352" s="2">
        <f t="shared" si="37"/>
        <v>21810000</v>
      </c>
      <c r="H352" s="2">
        <f t="shared" si="38"/>
        <v>0</v>
      </c>
    </row>
    <row r="353" spans="3:8" x14ac:dyDescent="0.4">
      <c r="C353" s="1">
        <v>46153</v>
      </c>
      <c r="D353" s="2">
        <f t="shared" si="35"/>
        <v>0</v>
      </c>
      <c r="E353" s="2">
        <f t="shared" si="40"/>
        <v>0</v>
      </c>
      <c r="F353" s="2">
        <f t="shared" si="39"/>
        <v>23136150</v>
      </c>
      <c r="G353" s="2">
        <f t="shared" si="37"/>
        <v>21810000</v>
      </c>
      <c r="H353" s="2">
        <f t="shared" si="38"/>
        <v>0</v>
      </c>
    </row>
    <row r="354" spans="3:8" x14ac:dyDescent="0.4">
      <c r="C354" s="1">
        <v>46154</v>
      </c>
      <c r="D354" s="2">
        <f t="shared" si="35"/>
        <v>0</v>
      </c>
      <c r="E354" s="2">
        <f t="shared" si="40"/>
        <v>0</v>
      </c>
      <c r="F354" s="2">
        <f t="shared" si="39"/>
        <v>23136150</v>
      </c>
      <c r="G354" s="2">
        <f t="shared" si="37"/>
        <v>21810000</v>
      </c>
      <c r="H354" s="2">
        <f t="shared" si="38"/>
        <v>0</v>
      </c>
    </row>
    <row r="355" spans="3:8" x14ac:dyDescent="0.4">
      <c r="C355" s="1">
        <v>46155</v>
      </c>
      <c r="D355" s="2">
        <f t="shared" si="35"/>
        <v>0</v>
      </c>
      <c r="E355" s="2">
        <f t="shared" si="40"/>
        <v>0</v>
      </c>
      <c r="F355" s="2">
        <f t="shared" si="39"/>
        <v>23136150</v>
      </c>
      <c r="G355" s="2">
        <f t="shared" si="37"/>
        <v>21810000</v>
      </c>
      <c r="H355" s="2">
        <f t="shared" si="38"/>
        <v>0</v>
      </c>
    </row>
    <row r="356" spans="3:8" x14ac:dyDescent="0.4">
      <c r="C356" s="1">
        <v>46156</v>
      </c>
      <c r="D356" s="2">
        <f t="shared" si="35"/>
        <v>0</v>
      </c>
      <c r="E356" s="2">
        <f t="shared" si="40"/>
        <v>0</v>
      </c>
      <c r="F356" s="2">
        <f t="shared" si="39"/>
        <v>23136150</v>
      </c>
      <c r="G356" s="2">
        <f t="shared" si="37"/>
        <v>21810000</v>
      </c>
      <c r="H356" s="2">
        <f t="shared" si="38"/>
        <v>0</v>
      </c>
    </row>
    <row r="357" spans="3:8" x14ac:dyDescent="0.4">
      <c r="C357" s="1">
        <v>46157</v>
      </c>
      <c r="D357" s="2">
        <f t="shared" si="35"/>
        <v>0</v>
      </c>
      <c r="E357" s="2">
        <f t="shared" si="40"/>
        <v>0</v>
      </c>
      <c r="F357" s="2">
        <f t="shared" si="39"/>
        <v>23136150</v>
      </c>
      <c r="G357" s="2">
        <f t="shared" si="37"/>
        <v>21810000</v>
      </c>
      <c r="H357" s="2">
        <f t="shared" si="38"/>
        <v>0</v>
      </c>
    </row>
    <row r="358" spans="3:8" x14ac:dyDescent="0.4">
      <c r="C358" s="1">
        <v>46158</v>
      </c>
      <c r="D358" s="2">
        <f t="shared" si="35"/>
        <v>0</v>
      </c>
      <c r="E358" s="2">
        <f t="shared" si="40"/>
        <v>0</v>
      </c>
      <c r="F358" s="2">
        <f t="shared" si="39"/>
        <v>23136150</v>
      </c>
      <c r="G358" s="2">
        <f t="shared" si="37"/>
        <v>21810000</v>
      </c>
      <c r="H358" s="2">
        <f t="shared" si="38"/>
        <v>0</v>
      </c>
    </row>
    <row r="359" spans="3:8" x14ac:dyDescent="0.4">
      <c r="C359" s="1">
        <v>46159</v>
      </c>
      <c r="D359" s="2">
        <f t="shared" si="35"/>
        <v>0</v>
      </c>
      <c r="E359" s="2">
        <f t="shared" si="40"/>
        <v>0</v>
      </c>
      <c r="F359" s="2">
        <f t="shared" si="39"/>
        <v>23136150</v>
      </c>
      <c r="G359" s="2">
        <f t="shared" si="37"/>
        <v>21810000</v>
      </c>
      <c r="H359" s="2">
        <f t="shared" si="38"/>
        <v>0</v>
      </c>
    </row>
    <row r="360" spans="3:8" x14ac:dyDescent="0.4">
      <c r="C360" s="1">
        <v>46160</v>
      </c>
      <c r="D360" s="2">
        <f t="shared" si="35"/>
        <v>0</v>
      </c>
      <c r="E360" s="2">
        <f t="shared" si="40"/>
        <v>0</v>
      </c>
      <c r="F360" s="2">
        <f t="shared" si="39"/>
        <v>23136150</v>
      </c>
      <c r="G360" s="2">
        <f t="shared" si="37"/>
        <v>21810000</v>
      </c>
      <c r="H360" s="2">
        <f t="shared" si="38"/>
        <v>0</v>
      </c>
    </row>
    <row r="361" spans="3:8" x14ac:dyDescent="0.4">
      <c r="C361" s="1">
        <v>46161</v>
      </c>
      <c r="D361" s="2">
        <f t="shared" si="35"/>
        <v>0</v>
      </c>
      <c r="E361" s="2">
        <f t="shared" si="40"/>
        <v>0</v>
      </c>
      <c r="F361" s="2">
        <f t="shared" si="39"/>
        <v>23136150</v>
      </c>
      <c r="G361" s="2">
        <f t="shared" si="37"/>
        <v>21810000</v>
      </c>
      <c r="H361" s="2">
        <f t="shared" si="38"/>
        <v>0</v>
      </c>
    </row>
    <row r="362" spans="3:8" x14ac:dyDescent="0.4">
      <c r="C362" s="1">
        <v>46162</v>
      </c>
      <c r="D362" s="2">
        <f t="shared" si="35"/>
        <v>0</v>
      </c>
      <c r="E362" s="2">
        <f t="shared" si="40"/>
        <v>0</v>
      </c>
      <c r="F362" s="2">
        <f t="shared" si="39"/>
        <v>23136150</v>
      </c>
      <c r="G362" s="2">
        <f t="shared" si="37"/>
        <v>21810000</v>
      </c>
      <c r="H362" s="2">
        <f t="shared" si="38"/>
        <v>0</v>
      </c>
    </row>
    <row r="363" spans="3:8" x14ac:dyDescent="0.4">
      <c r="C363" s="1">
        <v>46163</v>
      </c>
      <c r="D363" s="2">
        <f t="shared" si="35"/>
        <v>0</v>
      </c>
      <c r="E363" s="2">
        <f t="shared" si="40"/>
        <v>0</v>
      </c>
      <c r="F363" s="2">
        <f t="shared" si="39"/>
        <v>23136150</v>
      </c>
      <c r="G363" s="2">
        <f t="shared" si="37"/>
        <v>21810000</v>
      </c>
      <c r="H363" s="2">
        <f t="shared" si="38"/>
        <v>0</v>
      </c>
    </row>
    <row r="364" spans="3:8" x14ac:dyDescent="0.4">
      <c r="C364" s="1">
        <v>46164</v>
      </c>
      <c r="D364" s="2">
        <f t="shared" si="35"/>
        <v>0</v>
      </c>
      <c r="E364" s="2">
        <f t="shared" si="40"/>
        <v>0</v>
      </c>
      <c r="F364" s="2">
        <f t="shared" si="39"/>
        <v>23136150</v>
      </c>
      <c r="G364" s="2">
        <f t="shared" si="37"/>
        <v>21810000</v>
      </c>
      <c r="H364" s="2">
        <f t="shared" si="38"/>
        <v>0</v>
      </c>
    </row>
    <row r="365" spans="3:8" x14ac:dyDescent="0.4">
      <c r="C365" s="1">
        <v>46165</v>
      </c>
      <c r="D365" s="2">
        <f t="shared" si="35"/>
        <v>0</v>
      </c>
      <c r="E365" s="2">
        <f t="shared" si="40"/>
        <v>0</v>
      </c>
      <c r="F365" s="2">
        <f t="shared" si="39"/>
        <v>23136150</v>
      </c>
      <c r="G365" s="2">
        <f t="shared" si="37"/>
        <v>21810000</v>
      </c>
      <c r="H365" s="2">
        <f t="shared" si="38"/>
        <v>0</v>
      </c>
    </row>
    <row r="366" spans="3:8" x14ac:dyDescent="0.4">
      <c r="C366" s="1">
        <v>46166</v>
      </c>
      <c r="D366" s="2">
        <f t="shared" si="35"/>
        <v>0</v>
      </c>
      <c r="E366" s="2">
        <f t="shared" si="40"/>
        <v>0</v>
      </c>
      <c r="F366" s="2">
        <f t="shared" si="39"/>
        <v>23136150</v>
      </c>
      <c r="G366" s="2">
        <f t="shared" si="37"/>
        <v>21810000</v>
      </c>
      <c r="H366" s="2">
        <f t="shared" si="38"/>
        <v>0</v>
      </c>
    </row>
    <row r="367" spans="3:8" x14ac:dyDescent="0.4">
      <c r="C367" s="1">
        <v>46167</v>
      </c>
      <c r="D367" s="2">
        <f t="shared" si="35"/>
        <v>0</v>
      </c>
      <c r="E367" s="2">
        <f t="shared" si="40"/>
        <v>0</v>
      </c>
      <c r="F367" s="2">
        <f t="shared" si="39"/>
        <v>23136150</v>
      </c>
      <c r="G367" s="2">
        <f t="shared" si="37"/>
        <v>21810000</v>
      </c>
      <c r="H367" s="2">
        <f t="shared" si="38"/>
        <v>0</v>
      </c>
    </row>
    <row r="368" spans="3:8" x14ac:dyDescent="0.4">
      <c r="C368" s="1">
        <v>46168</v>
      </c>
      <c r="D368" s="2">
        <f t="shared" si="35"/>
        <v>0</v>
      </c>
      <c r="E368" s="2">
        <f t="shared" si="40"/>
        <v>0</v>
      </c>
      <c r="F368" s="2">
        <f t="shared" si="39"/>
        <v>23136150</v>
      </c>
      <c r="G368" s="2">
        <f t="shared" si="37"/>
        <v>21810000</v>
      </c>
      <c r="H368" s="2">
        <f t="shared" si="38"/>
        <v>0</v>
      </c>
    </row>
    <row r="369" spans="3:8" x14ac:dyDescent="0.4">
      <c r="C369" s="1">
        <v>46169</v>
      </c>
      <c r="D369" s="2">
        <f t="shared" si="35"/>
        <v>0</v>
      </c>
      <c r="E369" s="2">
        <f t="shared" si="40"/>
        <v>0</v>
      </c>
      <c r="F369" s="2">
        <f t="shared" si="39"/>
        <v>23136150</v>
      </c>
      <c r="G369" s="2">
        <f t="shared" si="37"/>
        <v>21810000</v>
      </c>
      <c r="H369" s="2">
        <f t="shared" si="38"/>
        <v>0</v>
      </c>
    </row>
    <row r="370" spans="3:8" x14ac:dyDescent="0.4">
      <c r="C370" s="1">
        <v>46170</v>
      </c>
      <c r="D370" s="2">
        <f t="shared" si="35"/>
        <v>0</v>
      </c>
      <c r="E370" s="2">
        <f t="shared" si="40"/>
        <v>0</v>
      </c>
      <c r="F370" s="2">
        <f t="shared" si="39"/>
        <v>23136150</v>
      </c>
      <c r="G370" s="2">
        <f t="shared" si="37"/>
        <v>21810000</v>
      </c>
      <c r="H370" s="2">
        <f t="shared" si="38"/>
        <v>0</v>
      </c>
    </row>
    <row r="371" spans="3:8" x14ac:dyDescent="0.4">
      <c r="C371" s="1">
        <v>46171</v>
      </c>
      <c r="D371" s="2">
        <f t="shared" si="35"/>
        <v>0</v>
      </c>
      <c r="E371" s="2">
        <f t="shared" si="40"/>
        <v>0</v>
      </c>
      <c r="F371" s="2">
        <f t="shared" si="39"/>
        <v>23136150</v>
      </c>
      <c r="G371" s="2">
        <f t="shared" si="37"/>
        <v>21810000</v>
      </c>
      <c r="H371" s="2">
        <f t="shared" si="38"/>
        <v>0</v>
      </c>
    </row>
    <row r="372" spans="3:8" x14ac:dyDescent="0.4">
      <c r="C372" s="1">
        <v>46172</v>
      </c>
      <c r="D372" s="2">
        <f t="shared" si="35"/>
        <v>0</v>
      </c>
      <c r="E372" s="2">
        <f t="shared" si="40"/>
        <v>0</v>
      </c>
      <c r="F372" s="2">
        <f t="shared" si="39"/>
        <v>23136150</v>
      </c>
      <c r="G372" s="2">
        <f t="shared" si="37"/>
        <v>21810000</v>
      </c>
      <c r="H372" s="2">
        <f t="shared" si="38"/>
        <v>0</v>
      </c>
    </row>
    <row r="373" spans="3:8" x14ac:dyDescent="0.4">
      <c r="C373" s="1">
        <v>46173</v>
      </c>
      <c r="D373" s="2">
        <f t="shared" si="35"/>
        <v>0</v>
      </c>
      <c r="E373" s="2">
        <f t="shared" si="40"/>
        <v>0</v>
      </c>
      <c r="F373" s="2">
        <f t="shared" si="39"/>
        <v>23136150</v>
      </c>
      <c r="G373" s="2">
        <f t="shared" si="37"/>
        <v>21810000</v>
      </c>
      <c r="H373" s="2">
        <f t="shared" si="38"/>
        <v>0</v>
      </c>
    </row>
    <row r="374" spans="3:8" x14ac:dyDescent="0.4">
      <c r="C374" s="1">
        <v>46174</v>
      </c>
      <c r="D374" s="2">
        <f t="shared" si="35"/>
        <v>0</v>
      </c>
      <c r="E374" s="2">
        <f t="shared" si="40"/>
        <v>0</v>
      </c>
      <c r="F374" s="2">
        <f t="shared" si="39"/>
        <v>23136150</v>
      </c>
      <c r="G374" s="2">
        <f t="shared" si="37"/>
        <v>21810000</v>
      </c>
      <c r="H374" s="2">
        <f t="shared" si="38"/>
        <v>0</v>
      </c>
    </row>
    <row r="375" spans="3:8" x14ac:dyDescent="0.4">
      <c r="C375" s="1">
        <v>46175</v>
      </c>
      <c r="D375" s="2">
        <f t="shared" si="35"/>
        <v>0</v>
      </c>
      <c r="E375" s="2">
        <f t="shared" si="40"/>
        <v>0</v>
      </c>
      <c r="F375" s="2">
        <f t="shared" si="39"/>
        <v>23136150</v>
      </c>
      <c r="G375" s="2">
        <f t="shared" si="37"/>
        <v>21810000</v>
      </c>
      <c r="H375" s="2">
        <f t="shared" si="38"/>
        <v>0</v>
      </c>
    </row>
    <row r="376" spans="3:8" x14ac:dyDescent="0.4">
      <c r="C376" s="1">
        <v>46176</v>
      </c>
      <c r="D376" s="2">
        <f t="shared" si="35"/>
        <v>0</v>
      </c>
      <c r="E376" s="2">
        <f t="shared" si="40"/>
        <v>0</v>
      </c>
      <c r="F376" s="2">
        <f t="shared" si="39"/>
        <v>23136150</v>
      </c>
      <c r="G376" s="2">
        <f t="shared" si="37"/>
        <v>21810000</v>
      </c>
      <c r="H376" s="2">
        <f t="shared" si="38"/>
        <v>0</v>
      </c>
    </row>
    <row r="377" spans="3:8" x14ac:dyDescent="0.4">
      <c r="C377" s="1">
        <v>46177</v>
      </c>
      <c r="D377" s="2">
        <f t="shared" si="35"/>
        <v>0</v>
      </c>
      <c r="E377" s="2">
        <f t="shared" si="40"/>
        <v>0</v>
      </c>
      <c r="F377" s="2">
        <f t="shared" si="39"/>
        <v>23136150</v>
      </c>
      <c r="G377" s="2">
        <f t="shared" si="37"/>
        <v>21810000</v>
      </c>
      <c r="H377" s="2">
        <f t="shared" si="38"/>
        <v>0</v>
      </c>
    </row>
    <row r="378" spans="3:8" x14ac:dyDescent="0.4">
      <c r="C378" s="1">
        <v>46178</v>
      </c>
      <c r="D378" s="2">
        <f t="shared" si="35"/>
        <v>0</v>
      </c>
      <c r="E378" s="2">
        <f t="shared" si="40"/>
        <v>0</v>
      </c>
      <c r="G378" s="2">
        <f t="shared" si="37"/>
        <v>21810000</v>
      </c>
      <c r="H378" s="2">
        <f t="shared" si="38"/>
        <v>0</v>
      </c>
    </row>
    <row r="379" spans="3:8" x14ac:dyDescent="0.4">
      <c r="C379" s="1">
        <v>46179</v>
      </c>
      <c r="D379" s="2">
        <f t="shared" si="35"/>
        <v>0</v>
      </c>
      <c r="E379" s="2">
        <f t="shared" si="40"/>
        <v>0</v>
      </c>
      <c r="G379" s="2">
        <f t="shared" si="37"/>
        <v>21810000</v>
      </c>
      <c r="H379" s="2">
        <f t="shared" si="38"/>
        <v>0</v>
      </c>
    </row>
    <row r="380" spans="3:8" x14ac:dyDescent="0.4">
      <c r="C380" s="1">
        <v>46180</v>
      </c>
      <c r="D380" s="2">
        <f t="shared" si="35"/>
        <v>0</v>
      </c>
      <c r="E380" s="2">
        <f t="shared" ref="E380:E400" si="41">SUMIF($T$5:$T$269,$C380,$V$5:$V$269)</f>
        <v>0</v>
      </c>
      <c r="G380" s="2">
        <f t="shared" si="37"/>
        <v>21810000</v>
      </c>
      <c r="H380" s="2">
        <f t="shared" si="38"/>
        <v>0</v>
      </c>
    </row>
    <row r="381" spans="3:8" x14ac:dyDescent="0.4">
      <c r="C381" s="1">
        <v>46181</v>
      </c>
      <c r="D381" s="2">
        <f t="shared" si="35"/>
        <v>0</v>
      </c>
      <c r="E381" s="2">
        <f t="shared" si="41"/>
        <v>0</v>
      </c>
      <c r="G381" s="2">
        <f t="shared" si="37"/>
        <v>21810000</v>
      </c>
      <c r="H381" s="2">
        <f t="shared" si="38"/>
        <v>0</v>
      </c>
    </row>
    <row r="382" spans="3:8" x14ac:dyDescent="0.4">
      <c r="C382" s="1">
        <v>46182</v>
      </c>
      <c r="D382" s="2">
        <f t="shared" si="35"/>
        <v>0</v>
      </c>
      <c r="E382" s="2">
        <f t="shared" si="41"/>
        <v>0</v>
      </c>
      <c r="G382" s="2">
        <f t="shared" si="37"/>
        <v>21810000</v>
      </c>
      <c r="H382" s="2">
        <f t="shared" si="38"/>
        <v>0</v>
      </c>
    </row>
    <row r="383" spans="3:8" x14ac:dyDescent="0.4">
      <c r="C383" s="1">
        <v>46183</v>
      </c>
      <c r="D383" s="2">
        <f t="shared" si="35"/>
        <v>0</v>
      </c>
      <c r="E383" s="2">
        <f t="shared" si="41"/>
        <v>0</v>
      </c>
      <c r="G383" s="2">
        <f t="shared" si="37"/>
        <v>21810000</v>
      </c>
      <c r="H383" s="2">
        <f t="shared" si="38"/>
        <v>0</v>
      </c>
    </row>
    <row r="384" spans="3:8" x14ac:dyDescent="0.4">
      <c r="C384" s="1">
        <v>46184</v>
      </c>
      <c r="D384" s="2">
        <f t="shared" si="35"/>
        <v>0</v>
      </c>
      <c r="E384" s="2">
        <f t="shared" si="41"/>
        <v>0</v>
      </c>
      <c r="G384" s="2">
        <f t="shared" si="37"/>
        <v>21810000</v>
      </c>
      <c r="H384" s="2">
        <f t="shared" si="38"/>
        <v>0</v>
      </c>
    </row>
    <row r="385" spans="3:8" x14ac:dyDescent="0.4">
      <c r="C385" s="1">
        <v>46185</v>
      </c>
      <c r="D385" s="2">
        <f t="shared" si="35"/>
        <v>0</v>
      </c>
      <c r="E385" s="2">
        <f t="shared" si="41"/>
        <v>0</v>
      </c>
      <c r="G385" s="2">
        <f t="shared" si="37"/>
        <v>21810000</v>
      </c>
      <c r="H385" s="2">
        <f t="shared" si="38"/>
        <v>0</v>
      </c>
    </row>
    <row r="386" spans="3:8" x14ac:dyDescent="0.4">
      <c r="C386" s="1">
        <v>46186</v>
      </c>
      <c r="D386" s="2">
        <f t="shared" si="35"/>
        <v>0</v>
      </c>
      <c r="E386" s="2">
        <f t="shared" si="41"/>
        <v>0</v>
      </c>
      <c r="G386" s="2">
        <f t="shared" si="37"/>
        <v>21810000</v>
      </c>
      <c r="H386" s="2">
        <f t="shared" si="38"/>
        <v>0</v>
      </c>
    </row>
    <row r="387" spans="3:8" x14ac:dyDescent="0.4">
      <c r="C387" s="1">
        <v>46187</v>
      </c>
      <c r="D387" s="2">
        <f t="shared" si="35"/>
        <v>0</v>
      </c>
      <c r="E387" s="2">
        <f t="shared" si="41"/>
        <v>0</v>
      </c>
      <c r="G387" s="2">
        <f t="shared" si="37"/>
        <v>21810000</v>
      </c>
      <c r="H387" s="2">
        <f t="shared" si="38"/>
        <v>0</v>
      </c>
    </row>
    <row r="388" spans="3:8" x14ac:dyDescent="0.4">
      <c r="C388" s="1">
        <v>46188</v>
      </c>
      <c r="D388" s="2">
        <f t="shared" si="35"/>
        <v>0</v>
      </c>
      <c r="E388" s="2">
        <f t="shared" si="41"/>
        <v>0</v>
      </c>
      <c r="G388" s="2">
        <f t="shared" si="37"/>
        <v>21810000</v>
      </c>
      <c r="H388" s="2">
        <f t="shared" si="38"/>
        <v>0</v>
      </c>
    </row>
    <row r="389" spans="3:8" x14ac:dyDescent="0.4">
      <c r="C389" s="1">
        <v>46189</v>
      </c>
      <c r="D389" s="2">
        <f t="shared" si="35"/>
        <v>0</v>
      </c>
      <c r="E389" s="2">
        <f t="shared" si="41"/>
        <v>0</v>
      </c>
      <c r="G389" s="2">
        <f t="shared" si="37"/>
        <v>21810000</v>
      </c>
      <c r="H389" s="2">
        <f t="shared" si="38"/>
        <v>0</v>
      </c>
    </row>
    <row r="390" spans="3:8" x14ac:dyDescent="0.4">
      <c r="C390" s="1">
        <v>46190</v>
      </c>
      <c r="D390" s="2">
        <f t="shared" si="35"/>
        <v>0</v>
      </c>
      <c r="E390" s="2">
        <f t="shared" si="41"/>
        <v>0</v>
      </c>
      <c r="G390" s="2">
        <f t="shared" si="37"/>
        <v>21810000</v>
      </c>
      <c r="H390" s="2">
        <f t="shared" si="38"/>
        <v>0</v>
      </c>
    </row>
    <row r="391" spans="3:8" x14ac:dyDescent="0.4">
      <c r="C391" s="1">
        <v>46191</v>
      </c>
      <c r="D391" s="2">
        <f t="shared" ref="D391:D400" si="42">SUMIF($R$5:$R$269,$C391,$V$5:$V$269)</f>
        <v>0</v>
      </c>
      <c r="E391" s="2">
        <f t="shared" si="41"/>
        <v>0</v>
      </c>
      <c r="G391" s="2">
        <f t="shared" ref="G391:G454" si="43">G390-H391</f>
        <v>21810000</v>
      </c>
      <c r="H391" s="2">
        <f t="shared" ref="H391:H415" si="44">SUMIF($I$7:$I$49,$C391,$J$7:$J$49)</f>
        <v>0</v>
      </c>
    </row>
    <row r="392" spans="3:8" x14ac:dyDescent="0.4">
      <c r="C392" s="1">
        <v>46192</v>
      </c>
      <c r="D392" s="2">
        <f t="shared" si="42"/>
        <v>0</v>
      </c>
      <c r="E392" s="2">
        <f t="shared" si="41"/>
        <v>0</v>
      </c>
      <c r="G392" s="2">
        <f t="shared" si="43"/>
        <v>21810000</v>
      </c>
      <c r="H392" s="2">
        <f t="shared" si="44"/>
        <v>0</v>
      </c>
    </row>
    <row r="393" spans="3:8" x14ac:dyDescent="0.4">
      <c r="C393" s="1">
        <v>46193</v>
      </c>
      <c r="D393" s="2">
        <f t="shared" si="42"/>
        <v>0</v>
      </c>
      <c r="E393" s="2">
        <f t="shared" si="41"/>
        <v>0</v>
      </c>
      <c r="G393" s="2">
        <f t="shared" si="43"/>
        <v>21810000</v>
      </c>
      <c r="H393" s="2">
        <f t="shared" si="44"/>
        <v>0</v>
      </c>
    </row>
    <row r="394" spans="3:8" x14ac:dyDescent="0.4">
      <c r="C394" s="1">
        <v>46194</v>
      </c>
      <c r="D394" s="2">
        <f t="shared" si="42"/>
        <v>0</v>
      </c>
      <c r="E394" s="2">
        <f t="shared" si="41"/>
        <v>0</v>
      </c>
      <c r="G394" s="2">
        <f t="shared" si="43"/>
        <v>21810000</v>
      </c>
      <c r="H394" s="2">
        <f t="shared" si="44"/>
        <v>0</v>
      </c>
    </row>
    <row r="395" spans="3:8" x14ac:dyDescent="0.4">
      <c r="C395" s="1">
        <v>46195</v>
      </c>
      <c r="D395" s="2">
        <f t="shared" si="42"/>
        <v>0</v>
      </c>
      <c r="E395" s="2">
        <f t="shared" si="41"/>
        <v>0</v>
      </c>
      <c r="G395" s="2">
        <f t="shared" si="43"/>
        <v>21810000</v>
      </c>
      <c r="H395" s="2">
        <f t="shared" si="44"/>
        <v>0</v>
      </c>
    </row>
    <row r="396" spans="3:8" x14ac:dyDescent="0.4">
      <c r="C396" s="1">
        <v>46196</v>
      </c>
      <c r="D396" s="2">
        <f t="shared" si="42"/>
        <v>0</v>
      </c>
      <c r="E396" s="2">
        <f t="shared" si="41"/>
        <v>0</v>
      </c>
      <c r="G396" s="2">
        <f t="shared" si="43"/>
        <v>21810000</v>
      </c>
      <c r="H396" s="2">
        <f t="shared" si="44"/>
        <v>0</v>
      </c>
    </row>
    <row r="397" spans="3:8" x14ac:dyDescent="0.4">
      <c r="C397" s="1">
        <v>46197</v>
      </c>
      <c r="D397" s="2">
        <f t="shared" si="42"/>
        <v>0</v>
      </c>
      <c r="E397" s="2">
        <f t="shared" si="41"/>
        <v>0</v>
      </c>
      <c r="G397" s="2">
        <f t="shared" si="43"/>
        <v>21810000</v>
      </c>
      <c r="H397" s="2">
        <f t="shared" si="44"/>
        <v>0</v>
      </c>
    </row>
    <row r="398" spans="3:8" x14ac:dyDescent="0.4">
      <c r="C398" s="1">
        <v>46198</v>
      </c>
      <c r="D398" s="2">
        <f t="shared" si="42"/>
        <v>0</v>
      </c>
      <c r="E398" s="2">
        <f t="shared" si="41"/>
        <v>0</v>
      </c>
      <c r="G398" s="2">
        <f t="shared" si="43"/>
        <v>21810000</v>
      </c>
      <c r="H398" s="2">
        <f t="shared" si="44"/>
        <v>0</v>
      </c>
    </row>
    <row r="399" spans="3:8" x14ac:dyDescent="0.4">
      <c r="C399" s="1">
        <v>46199</v>
      </c>
      <c r="D399" s="2">
        <f t="shared" si="42"/>
        <v>0</v>
      </c>
      <c r="E399" s="2">
        <f t="shared" si="41"/>
        <v>0</v>
      </c>
      <c r="G399" s="2">
        <f t="shared" si="43"/>
        <v>21810000</v>
      </c>
      <c r="H399" s="2">
        <f t="shared" si="44"/>
        <v>0</v>
      </c>
    </row>
    <row r="400" spans="3:8" x14ac:dyDescent="0.4">
      <c r="C400" s="1">
        <v>46200</v>
      </c>
      <c r="D400" s="2">
        <f t="shared" si="42"/>
        <v>0</v>
      </c>
      <c r="E400" s="2">
        <f t="shared" si="41"/>
        <v>0</v>
      </c>
      <c r="G400" s="2">
        <f t="shared" si="43"/>
        <v>21810000</v>
      </c>
      <c r="H400" s="2">
        <f t="shared" si="44"/>
        <v>0</v>
      </c>
    </row>
    <row r="401" spans="3:8" x14ac:dyDescent="0.4">
      <c r="C401" s="1">
        <v>46201</v>
      </c>
      <c r="G401" s="2">
        <f t="shared" si="43"/>
        <v>21810000</v>
      </c>
      <c r="H401" s="2">
        <f t="shared" si="44"/>
        <v>0</v>
      </c>
    </row>
    <row r="402" spans="3:8" x14ac:dyDescent="0.4">
      <c r="C402" s="1">
        <v>46202</v>
      </c>
      <c r="G402" s="2">
        <f t="shared" si="43"/>
        <v>21810000</v>
      </c>
      <c r="H402" s="2">
        <f t="shared" si="44"/>
        <v>0</v>
      </c>
    </row>
    <row r="403" spans="3:8" x14ac:dyDescent="0.4">
      <c r="C403" s="1">
        <v>46203</v>
      </c>
      <c r="G403" s="2">
        <f t="shared" si="43"/>
        <v>21810000</v>
      </c>
      <c r="H403" s="2">
        <f t="shared" si="44"/>
        <v>0</v>
      </c>
    </row>
    <row r="404" spans="3:8" x14ac:dyDescent="0.4">
      <c r="C404" s="1">
        <v>46204</v>
      </c>
      <c r="G404" s="2">
        <f t="shared" si="43"/>
        <v>21810000</v>
      </c>
      <c r="H404" s="2">
        <f t="shared" si="44"/>
        <v>0</v>
      </c>
    </row>
    <row r="405" spans="3:8" x14ac:dyDescent="0.4">
      <c r="C405" s="1">
        <v>46205</v>
      </c>
      <c r="G405" s="2">
        <f t="shared" si="43"/>
        <v>21810000</v>
      </c>
      <c r="H405" s="2">
        <f t="shared" si="44"/>
        <v>0</v>
      </c>
    </row>
    <row r="406" spans="3:8" x14ac:dyDescent="0.4">
      <c r="C406" s="1">
        <v>46206</v>
      </c>
      <c r="G406" s="2">
        <f t="shared" si="43"/>
        <v>21810000</v>
      </c>
      <c r="H406" s="2">
        <f t="shared" si="44"/>
        <v>0</v>
      </c>
    </row>
    <row r="407" spans="3:8" x14ac:dyDescent="0.4">
      <c r="C407" s="1">
        <v>46207</v>
      </c>
      <c r="G407" s="2">
        <f t="shared" si="43"/>
        <v>21810000</v>
      </c>
      <c r="H407" s="2">
        <f t="shared" si="44"/>
        <v>0</v>
      </c>
    </row>
    <row r="408" spans="3:8" x14ac:dyDescent="0.4">
      <c r="C408" s="1">
        <v>46208</v>
      </c>
      <c r="G408" s="2">
        <f t="shared" si="43"/>
        <v>21810000</v>
      </c>
      <c r="H408" s="2">
        <f t="shared" si="44"/>
        <v>0</v>
      </c>
    </row>
    <row r="409" spans="3:8" x14ac:dyDescent="0.4">
      <c r="C409" s="1">
        <v>46209</v>
      </c>
      <c r="G409" s="2">
        <f t="shared" si="43"/>
        <v>21810000</v>
      </c>
      <c r="H409" s="2">
        <f t="shared" si="44"/>
        <v>0</v>
      </c>
    </row>
    <row r="410" spans="3:8" x14ac:dyDescent="0.4">
      <c r="C410" s="1">
        <v>46210</v>
      </c>
      <c r="G410" s="2">
        <f t="shared" si="43"/>
        <v>21810000</v>
      </c>
      <c r="H410" s="2">
        <f t="shared" si="44"/>
        <v>0</v>
      </c>
    </row>
    <row r="411" spans="3:8" x14ac:dyDescent="0.4">
      <c r="C411" s="1">
        <v>46211</v>
      </c>
      <c r="G411" s="2">
        <f t="shared" si="43"/>
        <v>21810000</v>
      </c>
      <c r="H411" s="2">
        <f t="shared" si="44"/>
        <v>0</v>
      </c>
    </row>
    <row r="412" spans="3:8" x14ac:dyDescent="0.4">
      <c r="C412" s="1">
        <v>46212</v>
      </c>
      <c r="G412" s="2">
        <f t="shared" si="43"/>
        <v>21810000</v>
      </c>
      <c r="H412" s="2">
        <f t="shared" si="44"/>
        <v>0</v>
      </c>
    </row>
    <row r="413" spans="3:8" x14ac:dyDescent="0.4">
      <c r="C413" s="1">
        <v>46213</v>
      </c>
      <c r="G413" s="2">
        <f t="shared" si="43"/>
        <v>21810000</v>
      </c>
      <c r="H413" s="2">
        <f t="shared" si="44"/>
        <v>0</v>
      </c>
    </row>
    <row r="414" spans="3:8" x14ac:dyDescent="0.4">
      <c r="C414" s="1">
        <v>46214</v>
      </c>
      <c r="G414" s="2">
        <f t="shared" si="43"/>
        <v>21810000</v>
      </c>
      <c r="H414" s="2">
        <f t="shared" si="44"/>
        <v>0</v>
      </c>
    </row>
    <row r="415" spans="3:8" x14ac:dyDescent="0.4">
      <c r="C415" s="1">
        <v>46215</v>
      </c>
      <c r="G415" s="2">
        <f t="shared" si="43"/>
        <v>21810000</v>
      </c>
      <c r="H415" s="2">
        <f t="shared" si="44"/>
        <v>0</v>
      </c>
    </row>
    <row r="416" spans="3:8" x14ac:dyDescent="0.4">
      <c r="C416" s="1">
        <v>46216</v>
      </c>
    </row>
    <row r="417" spans="3:3" x14ac:dyDescent="0.4">
      <c r="C417" s="1">
        <v>46217</v>
      </c>
    </row>
    <row r="418" spans="3:3" x14ac:dyDescent="0.4">
      <c r="C418" s="1">
        <v>46218</v>
      </c>
    </row>
    <row r="419" spans="3:3" x14ac:dyDescent="0.4">
      <c r="C419" s="1">
        <v>46219</v>
      </c>
    </row>
    <row r="420" spans="3:3" x14ac:dyDescent="0.4">
      <c r="C420" s="1">
        <v>46220</v>
      </c>
    </row>
    <row r="421" spans="3:3" x14ac:dyDescent="0.4">
      <c r="C421" s="1">
        <v>46221</v>
      </c>
    </row>
    <row r="422" spans="3:3" x14ac:dyDescent="0.4">
      <c r="C422" s="1">
        <v>46222</v>
      </c>
    </row>
    <row r="423" spans="3:3" x14ac:dyDescent="0.4">
      <c r="C423" s="1">
        <v>46223</v>
      </c>
    </row>
    <row r="424" spans="3:3" x14ac:dyDescent="0.4">
      <c r="C424" s="1">
        <v>46224</v>
      </c>
    </row>
    <row r="425" spans="3:3" x14ac:dyDescent="0.4">
      <c r="C425" s="1">
        <v>46225</v>
      </c>
    </row>
    <row r="426" spans="3:3" x14ac:dyDescent="0.4">
      <c r="C426" s="1">
        <v>46226</v>
      </c>
    </row>
    <row r="427" spans="3:3" x14ac:dyDescent="0.4">
      <c r="C427" s="1">
        <v>46227</v>
      </c>
    </row>
    <row r="428" spans="3:3" x14ac:dyDescent="0.4">
      <c r="C428" s="1">
        <v>46228</v>
      </c>
    </row>
    <row r="429" spans="3:3" x14ac:dyDescent="0.4">
      <c r="C429" s="1">
        <v>46229</v>
      </c>
    </row>
    <row r="430" spans="3:3" x14ac:dyDescent="0.4">
      <c r="C430" s="1">
        <v>46230</v>
      </c>
    </row>
    <row r="431" spans="3:3" x14ac:dyDescent="0.4">
      <c r="C431" s="1">
        <v>46231</v>
      </c>
    </row>
    <row r="432" spans="3:3" x14ac:dyDescent="0.4">
      <c r="C432" s="1">
        <v>46232</v>
      </c>
    </row>
    <row r="433" spans="3:3" x14ac:dyDescent="0.4">
      <c r="C433" s="1">
        <v>46233</v>
      </c>
    </row>
    <row r="434" spans="3:3" x14ac:dyDescent="0.4">
      <c r="C434" s="1">
        <v>46234</v>
      </c>
    </row>
    <row r="435" spans="3:3" x14ac:dyDescent="0.4">
      <c r="C435" s="1">
        <v>46235</v>
      </c>
    </row>
    <row r="436" spans="3:3" x14ac:dyDescent="0.4">
      <c r="C436" s="1">
        <v>46236</v>
      </c>
    </row>
    <row r="437" spans="3:3" x14ac:dyDescent="0.4">
      <c r="C437" s="1">
        <v>46237</v>
      </c>
    </row>
    <row r="438" spans="3:3" x14ac:dyDescent="0.4">
      <c r="C438" s="1">
        <v>46238</v>
      </c>
    </row>
    <row r="439" spans="3:3" x14ac:dyDescent="0.4">
      <c r="C439" s="1">
        <v>46239</v>
      </c>
    </row>
    <row r="440" spans="3:3" x14ac:dyDescent="0.4">
      <c r="C440" s="1">
        <v>46240</v>
      </c>
    </row>
    <row r="441" spans="3:3" x14ac:dyDescent="0.4">
      <c r="C441" s="1">
        <v>46241</v>
      </c>
    </row>
    <row r="442" spans="3:3" x14ac:dyDescent="0.4">
      <c r="C442" s="1">
        <v>46242</v>
      </c>
    </row>
    <row r="443" spans="3:3" x14ac:dyDescent="0.4">
      <c r="C443" s="1">
        <v>46243</v>
      </c>
    </row>
    <row r="444" spans="3:3" x14ac:dyDescent="0.4">
      <c r="C444" s="1">
        <v>46244</v>
      </c>
    </row>
    <row r="445" spans="3:3" x14ac:dyDescent="0.4">
      <c r="C445" s="1">
        <v>46245</v>
      </c>
    </row>
    <row r="446" spans="3:3" x14ac:dyDescent="0.4">
      <c r="C446" s="1">
        <v>46246</v>
      </c>
    </row>
    <row r="447" spans="3:3" x14ac:dyDescent="0.4">
      <c r="C447" s="1">
        <v>46247</v>
      </c>
    </row>
    <row r="448" spans="3:3" x14ac:dyDescent="0.4">
      <c r="C448" s="1">
        <v>46248</v>
      </c>
    </row>
    <row r="449" spans="3:3" x14ac:dyDescent="0.4">
      <c r="C449" s="1">
        <v>46249</v>
      </c>
    </row>
    <row r="450" spans="3:3" x14ac:dyDescent="0.4">
      <c r="C450" s="1">
        <v>46250</v>
      </c>
    </row>
    <row r="451" spans="3:3" x14ac:dyDescent="0.4">
      <c r="C451" s="1">
        <v>46251</v>
      </c>
    </row>
    <row r="452" spans="3:3" x14ac:dyDescent="0.4">
      <c r="C452" s="1">
        <v>46252</v>
      </c>
    </row>
    <row r="453" spans="3:3" x14ac:dyDescent="0.4">
      <c r="C453" s="1">
        <v>46253</v>
      </c>
    </row>
    <row r="454" spans="3:3" x14ac:dyDescent="0.4">
      <c r="C454" s="1">
        <v>46254</v>
      </c>
    </row>
    <row r="455" spans="3:3" x14ac:dyDescent="0.4">
      <c r="C455" s="1">
        <v>46255</v>
      </c>
    </row>
    <row r="456" spans="3:3" x14ac:dyDescent="0.4">
      <c r="C456" s="1">
        <v>46256</v>
      </c>
    </row>
    <row r="457" spans="3:3" x14ac:dyDescent="0.4">
      <c r="C457" s="1">
        <v>46257</v>
      </c>
    </row>
    <row r="458" spans="3:3" x14ac:dyDescent="0.4">
      <c r="C458" s="1">
        <v>46258</v>
      </c>
    </row>
    <row r="459" spans="3:3" x14ac:dyDescent="0.4">
      <c r="C459" s="1">
        <v>46259</v>
      </c>
    </row>
    <row r="460" spans="3:3" x14ac:dyDescent="0.4">
      <c r="C460" s="1">
        <v>46260</v>
      </c>
    </row>
    <row r="461" spans="3:3" x14ac:dyDescent="0.4">
      <c r="C461" s="1">
        <v>46261</v>
      </c>
    </row>
    <row r="462" spans="3:3" x14ac:dyDescent="0.4">
      <c r="C462" s="1">
        <v>46262</v>
      </c>
    </row>
    <row r="463" spans="3:3" x14ac:dyDescent="0.4">
      <c r="C463" s="1">
        <v>46263</v>
      </c>
    </row>
    <row r="464" spans="3:3" x14ac:dyDescent="0.4">
      <c r="C464" s="1">
        <v>46264</v>
      </c>
    </row>
    <row r="465" spans="3:3" x14ac:dyDescent="0.4">
      <c r="C465" s="1">
        <v>46265</v>
      </c>
    </row>
    <row r="466" spans="3:3" x14ac:dyDescent="0.4">
      <c r="C466" s="1">
        <v>46266</v>
      </c>
    </row>
    <row r="467" spans="3:3" x14ac:dyDescent="0.4">
      <c r="C467" s="1">
        <v>46267</v>
      </c>
    </row>
    <row r="468" spans="3:3" x14ac:dyDescent="0.4">
      <c r="C468" s="1">
        <v>46268</v>
      </c>
    </row>
    <row r="469" spans="3:3" x14ac:dyDescent="0.4">
      <c r="C469" s="1">
        <v>46269</v>
      </c>
    </row>
    <row r="470" spans="3:3" x14ac:dyDescent="0.4">
      <c r="C470" s="1">
        <v>46270</v>
      </c>
    </row>
    <row r="471" spans="3:3" x14ac:dyDescent="0.4">
      <c r="C471" s="1">
        <v>46271</v>
      </c>
    </row>
    <row r="472" spans="3:3" x14ac:dyDescent="0.4">
      <c r="C472" s="1">
        <v>46272</v>
      </c>
    </row>
    <row r="473" spans="3:3" x14ac:dyDescent="0.4">
      <c r="C473" s="1">
        <v>46273</v>
      </c>
    </row>
    <row r="474" spans="3:3" x14ac:dyDescent="0.4">
      <c r="C474" s="1">
        <v>46274</v>
      </c>
    </row>
    <row r="475" spans="3:3" x14ac:dyDescent="0.4">
      <c r="C475" s="1">
        <v>46275</v>
      </c>
    </row>
    <row r="476" spans="3:3" x14ac:dyDescent="0.4">
      <c r="C476" s="1">
        <v>46276</v>
      </c>
    </row>
    <row r="477" spans="3:3" x14ac:dyDescent="0.4">
      <c r="C477" s="1">
        <v>46277</v>
      </c>
    </row>
    <row r="478" spans="3:3" x14ac:dyDescent="0.4">
      <c r="C478" s="1">
        <v>46278</v>
      </c>
    </row>
    <row r="479" spans="3:3" x14ac:dyDescent="0.4">
      <c r="C479" s="1">
        <v>46279</v>
      </c>
    </row>
    <row r="480" spans="3:3" x14ac:dyDescent="0.4">
      <c r="C480" s="1">
        <v>46280</v>
      </c>
    </row>
    <row r="481" spans="3:3" x14ac:dyDescent="0.4">
      <c r="C481" s="1">
        <v>46281</v>
      </c>
    </row>
    <row r="482" spans="3:3" x14ac:dyDescent="0.4">
      <c r="C482" s="1">
        <v>46282</v>
      </c>
    </row>
    <row r="483" spans="3:3" x14ac:dyDescent="0.4">
      <c r="C483" s="1">
        <v>46283</v>
      </c>
    </row>
    <row r="484" spans="3:3" x14ac:dyDescent="0.4">
      <c r="C484" s="1">
        <v>46284</v>
      </c>
    </row>
    <row r="485" spans="3:3" x14ac:dyDescent="0.4">
      <c r="C485" s="1">
        <v>46285</v>
      </c>
    </row>
    <row r="486" spans="3:3" x14ac:dyDescent="0.4">
      <c r="C486" s="1">
        <v>46286</v>
      </c>
    </row>
    <row r="487" spans="3:3" x14ac:dyDescent="0.4">
      <c r="C487" s="1">
        <v>46287</v>
      </c>
    </row>
    <row r="488" spans="3:3" x14ac:dyDescent="0.4">
      <c r="C488" s="1">
        <v>46288</v>
      </c>
    </row>
    <row r="489" spans="3:3" x14ac:dyDescent="0.4">
      <c r="C489" s="1">
        <v>46289</v>
      </c>
    </row>
    <row r="490" spans="3:3" x14ac:dyDescent="0.4">
      <c r="C490" s="1">
        <v>46290</v>
      </c>
    </row>
    <row r="491" spans="3:3" x14ac:dyDescent="0.4">
      <c r="C491" s="1">
        <v>46291</v>
      </c>
    </row>
  </sheetData>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262"/>
  <sheetViews>
    <sheetView workbookViewId="0">
      <pane ySplit="2" topLeftCell="A564" activePane="bottomLeft" state="frozen"/>
      <selection activeCell="B1" sqref="B1"/>
      <selection pane="bottomLeft" activeCell="S632" sqref="S632:S637"/>
    </sheetView>
  </sheetViews>
  <sheetFormatPr defaultColWidth="9" defaultRowHeight="16.5" customHeight="1" x14ac:dyDescent="0.4"/>
  <cols>
    <col min="1" max="1" width="12.5" style="405" customWidth="1"/>
    <col min="2" max="2" width="16.8984375" style="405" customWidth="1"/>
    <col min="3" max="3" width="10.69921875" style="405" customWidth="1"/>
    <col min="4" max="4" width="11.3984375" style="405" customWidth="1"/>
    <col min="5" max="5" width="7.3984375" style="2" bestFit="1" customWidth="1"/>
    <col min="6" max="6" width="9" style="2" bestFit="1" customWidth="1"/>
    <col min="7" max="7" width="11.09765625" style="405" bestFit="1" customWidth="1"/>
    <col min="8" max="8" width="11.09765625" style="405" customWidth="1"/>
    <col min="9" max="9" width="9" style="2" customWidth="1"/>
    <col min="10" max="10" width="11.09765625" style="405" bestFit="1" customWidth="1"/>
    <col min="11" max="11" width="9.8984375" style="2" bestFit="1" customWidth="1"/>
    <col min="12" max="12" width="7.3984375" style="2" bestFit="1" customWidth="1"/>
    <col min="13" max="13" width="7.09765625" style="2" customWidth="1"/>
    <col min="14" max="14" width="8.5" style="2" bestFit="1" customWidth="1"/>
    <col min="15" max="15" width="7.3984375" style="2" customWidth="1"/>
    <col min="16" max="17" width="12.09765625" style="2" bestFit="1" customWidth="1"/>
    <col min="18" max="18" width="9.5" style="2" bestFit="1" customWidth="1"/>
    <col min="19" max="19" width="10.59765625" style="2" bestFit="1" customWidth="1"/>
    <col min="20" max="21" width="9.09765625" style="405" bestFit="1" customWidth="1"/>
    <col min="23" max="24" width="11.09765625" style="6" customWidth="1"/>
    <col min="25" max="28" width="9" style="6" bestFit="1" customWidth="1"/>
  </cols>
  <sheetData>
    <row r="1" spans="1:34" ht="16.5" customHeight="1" x14ac:dyDescent="0.4">
      <c r="C1" s="1"/>
      <c r="K1" s="2" t="s">
        <v>148</v>
      </c>
      <c r="M1" s="2" t="s">
        <v>149</v>
      </c>
    </row>
    <row r="2" spans="1:34" ht="15" customHeight="1" x14ac:dyDescent="0.4">
      <c r="B2" s="197" t="s">
        <v>114</v>
      </c>
      <c r="C2" s="187" t="s">
        <v>115</v>
      </c>
      <c r="D2" s="3" t="s">
        <v>116</v>
      </c>
      <c r="E2" s="210" t="s">
        <v>71</v>
      </c>
      <c r="F2" s="211" t="s">
        <v>117</v>
      </c>
      <c r="G2" s="3" t="s">
        <v>118</v>
      </c>
      <c r="H2" s="187" t="s">
        <v>119</v>
      </c>
      <c r="I2" s="211" t="s">
        <v>120</v>
      </c>
      <c r="J2" s="3" t="s">
        <v>121</v>
      </c>
      <c r="K2" s="4" t="s">
        <v>150</v>
      </c>
      <c r="L2" s="4" t="s">
        <v>151</v>
      </c>
      <c r="M2" s="4" t="s">
        <v>152</v>
      </c>
      <c r="N2" s="225" t="s">
        <v>153</v>
      </c>
      <c r="O2" s="190" t="s">
        <v>154</v>
      </c>
      <c r="P2" s="218" t="s">
        <v>155</v>
      </c>
      <c r="Q2" s="219" t="s">
        <v>70</v>
      </c>
      <c r="R2" s="5" t="s">
        <v>156</v>
      </c>
      <c r="S2" s="219" t="s">
        <v>157</v>
      </c>
      <c r="T2" s="5" t="s">
        <v>21</v>
      </c>
      <c r="U2" s="5" t="s">
        <v>158</v>
      </c>
      <c r="V2" s="189" t="s">
        <v>119</v>
      </c>
    </row>
    <row r="3" spans="1:34" ht="15" customHeight="1" x14ac:dyDescent="0.4">
      <c r="B3" s="38" t="s">
        <v>159</v>
      </c>
      <c r="C3" s="6" t="s">
        <v>160</v>
      </c>
      <c r="D3" s="6">
        <f>IF(OR($C3="신한",$C3="OTC",$C3="무상증자(신한)",$C3="토스",$C3="R토스"),1,"확인")</f>
        <v>1</v>
      </c>
      <c r="E3" s="34">
        <v>100</v>
      </c>
      <c r="F3" s="212">
        <v>13360</v>
      </c>
      <c r="G3" s="195">
        <v>45944</v>
      </c>
      <c r="H3" s="8"/>
      <c r="I3" s="212">
        <v>26500</v>
      </c>
      <c r="J3" s="8">
        <v>46041</v>
      </c>
      <c r="K3" s="23">
        <f>IF($C3="OTC",ROUNDDOWN($E3*$F3*0.000909187,-1),(IF($C3="신한",ROUNDDOWN($E3*$F3*0.000036396,-1),(IF($C3="토스",$E3*$F3*0.00015,(IF($C3="US",(IF($E3*$F3*0.0025&gt;0.01,$E3*$F3*0.0025,0.01)),IF($C3="JP",(IF($E3*$F3*0.0025&gt;1000,$E3*$F3*0.0025,1000)),(IF($C3="R토스",0,IF($C3="무상증자(신한)",0,"")))))))))))</f>
        <v>40</v>
      </c>
      <c r="L3" s="23">
        <f>IF($C3="OTC",ROUNDDOWN($I3*$E3*0.000909187,-1),(IF($C3="신한",ROUNDDOWN($I3*$E3*0.000036396,-1),(IF($C3="토스",$I3*$E3*0.00015,(IF($C3="US",(IF($I3*$E3*0.0025&gt;0.01,$I3*$E3*0.0025,0.01)),(IF($C3="JP",(IF($I3*$E3*0.0025&gt;1000,$I3*$E3*0.0025,1000)),(IF($C3="R토스",$I3*$E3*0.00015,(IF($C3="무상증자(신한)",ROUNDDOWN($I3*$E3*0.000036396,-1),"")))))))))))))</f>
        <v>90</v>
      </c>
      <c r="M3" s="206">
        <f>Q3*0.002</f>
        <v>5300</v>
      </c>
      <c r="N3" s="34">
        <f>236*E3</f>
        <v>23600</v>
      </c>
      <c r="O3" s="209"/>
      <c r="P3" s="34">
        <f>$E3*$F3*$D3</f>
        <v>1336000</v>
      </c>
      <c r="Q3" s="34">
        <f>$E3*$I3*$D3</f>
        <v>2650000</v>
      </c>
      <c r="R3" s="7">
        <f>($N3-$K3-$L3-$M3)*$D3</f>
        <v>18170</v>
      </c>
      <c r="S3" s="227">
        <f>IF(Q3=0,0,Q3-P3+R3)</f>
        <v>1332170</v>
      </c>
      <c r="T3" s="249">
        <f>S3/P3</f>
        <v>0.99713323353293415</v>
      </c>
      <c r="U3" s="334"/>
      <c r="V3" s="7"/>
    </row>
    <row r="4" spans="1:34" ht="15" customHeight="1" x14ac:dyDescent="0.4">
      <c r="B4" s="316" t="s">
        <v>161</v>
      </c>
      <c r="C4" s="270" t="s">
        <v>162</v>
      </c>
      <c r="D4" s="271">
        <v>1102.9000000000001</v>
      </c>
      <c r="E4" s="270">
        <v>100</v>
      </c>
      <c r="F4" s="67">
        <v>12.2</v>
      </c>
      <c r="G4" s="321">
        <v>44252</v>
      </c>
      <c r="H4" s="263"/>
      <c r="I4" s="67">
        <v>11</v>
      </c>
      <c r="J4" s="272">
        <v>45933</v>
      </c>
      <c r="K4" s="271">
        <f>E4*F4*0.001</f>
        <v>1.22</v>
      </c>
      <c r="L4" s="271">
        <f>ROUNDDOWN(E4*I4*0.001, 2)</f>
        <v>1.1000000000000001</v>
      </c>
      <c r="M4" s="325">
        <f>ROUNDUP((E4*I4*0.0000221),2)</f>
        <v>0.03</v>
      </c>
      <c r="N4" s="274"/>
      <c r="O4" s="330">
        <f>IF(J4="","",J4-G4+1)</f>
        <v>1682</v>
      </c>
      <c r="P4" s="34">
        <f>$E4*$F4*$D4</f>
        <v>1345538</v>
      </c>
      <c r="Q4" s="34">
        <f>$E4*$I4*$D4</f>
        <v>1213190</v>
      </c>
      <c r="R4" s="7">
        <f>($N4-$K4-$L4-$M4)*$D4</f>
        <v>-2591.8150000000005</v>
      </c>
      <c r="S4" s="7">
        <f>IF(Q4=0,"",Q4-P4+R4)</f>
        <v>-134939.815</v>
      </c>
      <c r="T4" s="248">
        <f>IF(Q4=0,"",S4/P4)</f>
        <v>-0.10028688524590164</v>
      </c>
      <c r="U4" s="334"/>
      <c r="V4" s="7"/>
      <c r="W4" s="25"/>
      <c r="X4" s="25"/>
      <c r="Y4" s="7"/>
    </row>
    <row r="5" spans="1:34" ht="15" customHeight="1" x14ac:dyDescent="0.4">
      <c r="B5" s="316" t="s">
        <v>161</v>
      </c>
      <c r="C5" s="270" t="s">
        <v>162</v>
      </c>
      <c r="D5" s="271">
        <v>1102.9000000000001</v>
      </c>
      <c r="E5" s="270">
        <v>8</v>
      </c>
      <c r="F5" s="67">
        <v>6.4</v>
      </c>
      <c r="G5" s="321">
        <v>44505</v>
      </c>
      <c r="H5" s="263"/>
      <c r="I5" s="67">
        <v>11</v>
      </c>
      <c r="J5" s="272">
        <v>45933</v>
      </c>
      <c r="K5" s="271">
        <f>E5*F5*0.001</f>
        <v>5.1200000000000002E-2</v>
      </c>
      <c r="L5" s="271">
        <f>ROUNDDOWN(E5*I5*0.001, 2)</f>
        <v>0.08</v>
      </c>
      <c r="M5" s="325">
        <f>ROUNDUP((E5*I5*0.0000221),2)</f>
        <v>0.01</v>
      </c>
      <c r="N5" s="274"/>
      <c r="O5" s="330">
        <f>IF(J5="","",J5-G5+1)</f>
        <v>1429</v>
      </c>
      <c r="P5" s="34">
        <f>$E5*$F5*$D5</f>
        <v>56468.48000000001</v>
      </c>
      <c r="Q5" s="34">
        <f>$E5*$I5*$D5</f>
        <v>97055.200000000012</v>
      </c>
      <c r="R5" s="7">
        <f>($N5-$K5-$L5-$M5)*$D5</f>
        <v>-155.72948000000002</v>
      </c>
      <c r="S5" s="7">
        <f>IF(Q5=0,"",Q5-P5+R5)</f>
        <v>40430.990519999999</v>
      </c>
      <c r="T5" s="248">
        <f>IF(Q5=0,"",S5/P5)</f>
        <v>0.71599218749999982</v>
      </c>
      <c r="U5" s="334"/>
      <c r="V5" s="7"/>
      <c r="W5" s="25"/>
      <c r="X5" s="25"/>
      <c r="Y5" s="7"/>
    </row>
    <row r="6" spans="1:34" ht="15" customHeight="1" x14ac:dyDescent="0.4">
      <c r="B6" s="316" t="s">
        <v>163</v>
      </c>
      <c r="C6" s="270" t="s">
        <v>162</v>
      </c>
      <c r="D6" s="271">
        <v>1231.3</v>
      </c>
      <c r="E6" s="270">
        <v>30</v>
      </c>
      <c r="F6" s="67">
        <v>29.8</v>
      </c>
      <c r="G6" s="321">
        <v>43942</v>
      </c>
      <c r="H6" s="263"/>
      <c r="I6" s="68">
        <v>31.3</v>
      </c>
      <c r="J6" s="266">
        <v>44174</v>
      </c>
      <c r="K6" s="274">
        <f>ROUNDDOWN(E6*F6*0.001, 2)</f>
        <v>0.89</v>
      </c>
      <c r="L6" s="271">
        <f>ROUNDDOWN(E6*I6*0.001, 2)</f>
        <v>0.93</v>
      </c>
      <c r="M6" s="324">
        <f>ROUNDUP((E6*I6*0.0000221),2)</f>
        <v>0.03</v>
      </c>
      <c r="N6" s="274">
        <f>(15.6-2.34)+(15.6-2.34)</f>
        <v>26.52</v>
      </c>
      <c r="O6" s="329">
        <f>IF(J6="","",J6-G6+1)</f>
        <v>233</v>
      </c>
      <c r="P6" s="34">
        <f>$E6*$F6*$D6</f>
        <v>1100782.2</v>
      </c>
      <c r="Q6" s="34">
        <f>$E6*$I6*$D6</f>
        <v>1156190.7</v>
      </c>
      <c r="R6" s="7">
        <f>($N6-$K6-$L6-$M6)*$D6</f>
        <v>30376.170999999995</v>
      </c>
      <c r="S6" s="69">
        <f>IF(Q6=0,"",Q6-P6+R6)</f>
        <v>85784.671000000002</v>
      </c>
      <c r="T6" s="332">
        <f>IF(Q6=0,"",S6/P6)</f>
        <v>7.7930648769574951E-2</v>
      </c>
      <c r="U6" s="334"/>
      <c r="V6" s="93">
        <f>K6/(E6*F6)</f>
        <v>9.9552572706935127E-4</v>
      </c>
      <c r="W6" s="25"/>
      <c r="X6" s="25"/>
      <c r="Y6" s="7"/>
    </row>
    <row r="7" spans="1:34" s="7" customFormat="1" ht="16.5" customHeight="1" x14ac:dyDescent="0.4">
      <c r="A7" s="6"/>
      <c r="B7" s="270" t="s">
        <v>77</v>
      </c>
      <c r="C7" s="270" t="s">
        <v>162</v>
      </c>
      <c r="D7" s="271">
        <v>1102.9000000000001</v>
      </c>
      <c r="E7" s="270">
        <v>13</v>
      </c>
      <c r="F7" s="67">
        <v>95</v>
      </c>
      <c r="G7" s="272">
        <v>44230</v>
      </c>
      <c r="H7" s="263"/>
      <c r="I7" s="67">
        <v>3.7</v>
      </c>
      <c r="J7" s="272">
        <v>45933</v>
      </c>
      <c r="K7" s="271">
        <f>E7*F7*0.001</f>
        <v>1.2350000000000001</v>
      </c>
      <c r="L7" s="271">
        <f>ROUNDDOWN(E7*I7*0.001, 2)</f>
        <v>0.04</v>
      </c>
      <c r="M7" s="271">
        <f>ROUNDUP((E7*I7*0.0000221),2)</f>
        <v>0.01</v>
      </c>
      <c r="N7" s="274"/>
      <c r="O7" s="273">
        <f>IF(J7="","",J7-G7+1)</f>
        <v>1704</v>
      </c>
      <c r="P7" s="34">
        <f>$E7*$F7*$D7</f>
        <v>1362081.5</v>
      </c>
      <c r="Q7" s="34">
        <f>$E7*$I7*$D7</f>
        <v>53049.490000000005</v>
      </c>
      <c r="R7" s="7">
        <f>($N7-$K7-$L7-$M7)*$D7</f>
        <v>-1417.2265000000002</v>
      </c>
      <c r="S7" s="7">
        <f>IF(Q7=0,"",Q7-P7+R7)</f>
        <v>-1310449.2365000001</v>
      </c>
      <c r="T7" s="9">
        <f>IF(Q7=0,"",S7/P7)</f>
        <v>-0.96209311740890702</v>
      </c>
      <c r="W7" s="6"/>
      <c r="X7" s="6">
        <f>E7*I7*0.0000221</f>
        <v>1.0630099999999999E-3</v>
      </c>
      <c r="Y7" s="6">
        <f>ROUNDUP(E7*I7*0.000021,2)</f>
        <v>0.01</v>
      </c>
    </row>
    <row r="8" spans="1:34" s="6" customFormat="1" ht="16.5" customHeight="1" x14ac:dyDescent="0.4">
      <c r="B8" s="33" t="s">
        <v>164</v>
      </c>
      <c r="C8" s="6" t="s">
        <v>165</v>
      </c>
      <c r="E8" s="36"/>
      <c r="F8" s="212"/>
      <c r="G8" s="8"/>
      <c r="H8" s="8"/>
      <c r="I8" s="212"/>
      <c r="J8" s="8"/>
      <c r="K8" s="7"/>
      <c r="L8" s="7"/>
      <c r="M8" s="7"/>
      <c r="N8" s="36"/>
      <c r="O8" s="7"/>
      <c r="P8" s="36"/>
      <c r="Q8" s="36"/>
      <c r="R8" s="7"/>
      <c r="S8" s="227"/>
      <c r="T8" s="9"/>
      <c r="U8" s="9"/>
      <c r="X8" s="6">
        <f>E8*I8*0.0000221</f>
        <v>0</v>
      </c>
      <c r="Y8" s="6">
        <f>ROUNDUP(E8*I8*0.000021,2)</f>
        <v>0</v>
      </c>
    </row>
    <row r="9" spans="1:34" s="6" customFormat="1" ht="16.5" customHeight="1" x14ac:dyDescent="0.4">
      <c r="B9" s="318" t="s">
        <v>166</v>
      </c>
      <c r="C9" s="263" t="s">
        <v>167</v>
      </c>
      <c r="D9" s="263">
        <v>1129.2</v>
      </c>
      <c r="E9" s="264">
        <v>80</v>
      </c>
      <c r="F9" s="223">
        <v>42.37</v>
      </c>
      <c r="G9" s="266">
        <v>44291</v>
      </c>
      <c r="H9" s="266"/>
      <c r="I9" s="223">
        <v>24.6</v>
      </c>
      <c r="J9" s="266">
        <v>44508</v>
      </c>
      <c r="K9" s="267">
        <f>IF($C9="OTC",ROUNDDOWN($E9*$F9*0.000909187,-1),(IF($C9="신한",ROUNDDOWN($E9*$F9*0.000036396,-1),(IF($C9="토스",$E9*$F9*0.00015,(IF($C9="US",(IF($E9*$F9*0.0025&gt;0.01,$E9*$F9*0.0025,0.01)),IF($C9="JP",(IF($E9*$F9*0.0025&gt;1000,$E9*$F9*0.0025,1000)),(IF($C9="R토스",0,IF($C9="무상증자(신한)",0,"")))))))))))</f>
        <v>8.4740000000000002</v>
      </c>
      <c r="L9" s="267">
        <f>IF($C9="OTC",ROUNDDOWN($I9*$E9*0.000909187,-1),(IF($C9="신한",ROUNDDOWN($I9*$E9*0.000036396,-1),(IF($C9="토스",$I9*$E9*0.00015,(IF($C9="US",(IF($I9*$E9*0.0025&gt;0.01,$I9*$E9*0.0025,0.01)),(IF($C9="JP",(IF($I9*$E9*0.0025&gt;1000,$I9*$E9*0.0025,1000)),(IF($C9="R토스",$I9*$E9*0.00015,(IF($C9="무상증자(신한)",ROUNDDOWN($I9*$E9*0.000036396,-1),"")))))))))))))</f>
        <v>4.92</v>
      </c>
      <c r="M9" s="326">
        <f>E9*I9*0.0000051</f>
        <v>1.00368E-2</v>
      </c>
      <c r="N9" s="269"/>
      <c r="O9" s="275">
        <f>J9-G9+1</f>
        <v>218</v>
      </c>
      <c r="P9" s="34">
        <f t="shared" ref="P9:P29" si="0">$E9*$F9*$D9</f>
        <v>3827536.32</v>
      </c>
      <c r="Q9" s="34">
        <f t="shared" ref="Q9:Q29" si="1">$E9*$I9*$D9</f>
        <v>2222265.6</v>
      </c>
      <c r="R9" s="7">
        <f t="shared" ref="R9:R29" si="2">($N9-$K9-$L9-$M9)*$D9</f>
        <v>-15135.838354560001</v>
      </c>
      <c r="S9" s="227">
        <f>IF(Q9=0,0,Q9-P9+R9)</f>
        <v>-1620406.5583545598</v>
      </c>
      <c r="T9" s="313">
        <f>S9/P9</f>
        <v>-0.42335497899457158</v>
      </c>
      <c r="U9" s="33"/>
      <c r="V9" s="33"/>
      <c r="X9" s="6">
        <f>E9*I9*0.0000221</f>
        <v>4.3492799999999998E-2</v>
      </c>
      <c r="Y9" s="6">
        <f>ROUNDUP(E9*I9*0.000021,2)</f>
        <v>0.05</v>
      </c>
    </row>
    <row r="10" spans="1:34" s="6" customFormat="1" ht="16.5" customHeight="1" x14ac:dyDescent="0.4">
      <c r="B10" s="318" t="s">
        <v>168</v>
      </c>
      <c r="C10" s="263" t="s">
        <v>167</v>
      </c>
      <c r="D10" s="263">
        <v>1196.2</v>
      </c>
      <c r="E10" s="264">
        <v>10</v>
      </c>
      <c r="F10" s="223">
        <v>135.69</v>
      </c>
      <c r="G10" s="266">
        <v>44505</v>
      </c>
      <c r="H10" s="266"/>
      <c r="I10" s="223">
        <v>18.8</v>
      </c>
      <c r="J10" s="266">
        <v>45931</v>
      </c>
      <c r="K10" s="267">
        <f>IF($C10="OTC",ROUNDDOWN($E10*$F10*0.000909187,-1),(IF($C10="신한",ROUNDDOWN($E10*$F10*0.000036396,-1),(IF($C10="토스",$E10*$F10*0.00015,(IF($C10="US",(IF($E10*$F10*0.0025&gt;0.01,$E10*$F10*0.0025,0.01)),IF($C10="JP",(IF($E10*$F10*0.0025&gt;1000,$E10*$F10*0.0025,1000)),(IF($C10="R토스",0,IF($C10="무상증자(신한)",0,"")))))))))))</f>
        <v>3.3922500000000002</v>
      </c>
      <c r="L10" s="267">
        <f>IF($C10="OTC",ROUNDDOWN($I10*$E10*0.000909187,-1),(IF($C10="신한",ROUNDDOWN($I10*$E10*0.000036396,-1),(IF($C10="토스",$I10*$E10*0.00015,(IF($C10="US",(IF($I10*$E10*0.0025&gt;0.01,$I10*$E10*0.0025,0.01)),(IF($C10="JP",(IF($I10*$E10*0.0025&gt;1000,$I10*$E10*0.0025,1000)),(IF($C10="R토스",$I10*$E10*0.00015,(IF($C10="무상증자(신한)",ROUNDDOWN($I10*$E10*0.000036396,-1),"")))))))))))))</f>
        <v>0.47000000000000003</v>
      </c>
      <c r="M10" s="326">
        <f>E10*I10*0.0000051</f>
        <v>9.588000000000001E-4</v>
      </c>
      <c r="N10" s="264"/>
      <c r="O10" s="275">
        <f>J10-G10+1</f>
        <v>1427</v>
      </c>
      <c r="P10" s="34">
        <f t="shared" si="0"/>
        <v>1623123.7800000003</v>
      </c>
      <c r="Q10" s="34">
        <f t="shared" si="1"/>
        <v>224885.6</v>
      </c>
      <c r="R10" s="7">
        <f t="shared" si="2"/>
        <v>-4621.1703665600007</v>
      </c>
      <c r="S10" s="227">
        <f>IF(Q10=0,0,Q10-P10+R10)</f>
        <v>-1402859.3503665603</v>
      </c>
      <c r="T10" s="313">
        <f>S10/P10</f>
        <v>-0.8642959752376741</v>
      </c>
      <c r="U10" s="33"/>
      <c r="V10" s="33"/>
      <c r="X10" s="6">
        <f>E10*I10*0.0000221</f>
        <v>4.1547999999999993E-3</v>
      </c>
      <c r="Y10" s="6">
        <f>ROUNDUP(X10,2)</f>
        <v>0.01</v>
      </c>
    </row>
    <row r="11" spans="1:34" s="33" customFormat="1" ht="15" customHeight="1" x14ac:dyDescent="0.4">
      <c r="B11" s="316" t="s">
        <v>169</v>
      </c>
      <c r="C11" s="270" t="s">
        <v>162</v>
      </c>
      <c r="D11" s="271">
        <v>1182.5999999999999</v>
      </c>
      <c r="E11" s="270">
        <v>40</v>
      </c>
      <c r="F11" s="67">
        <v>30.65</v>
      </c>
      <c r="G11" s="321">
        <v>43818</v>
      </c>
      <c r="H11" s="263"/>
      <c r="I11" s="67">
        <v>35.229999999999997</v>
      </c>
      <c r="J11" s="272">
        <v>43826</v>
      </c>
      <c r="K11" s="274">
        <f>ROUNDDOWN(E11*F11*0.001, 2)</f>
        <v>1.22</v>
      </c>
      <c r="L11" s="271">
        <f>ROUNDDOWN(E11*I11*0.001, 2)</f>
        <v>1.4</v>
      </c>
      <c r="M11" s="324">
        <f>ROUNDUP((E11*I11*0.0000221),2)</f>
        <v>0.04</v>
      </c>
      <c r="N11" s="271"/>
      <c r="O11" s="329">
        <f>IF(J11="","",J11-G11+1)</f>
        <v>9</v>
      </c>
      <c r="P11" s="34">
        <f t="shared" si="0"/>
        <v>1449867.5999999999</v>
      </c>
      <c r="Q11" s="34">
        <f t="shared" si="1"/>
        <v>1666519.9199999997</v>
      </c>
      <c r="R11" s="7">
        <f t="shared" si="2"/>
        <v>-3145.7159999999999</v>
      </c>
      <c r="S11" s="69">
        <f>IF(Q11=0,"",Q11-P11+R11)</f>
        <v>213506.60399999985</v>
      </c>
      <c r="T11" s="332">
        <f>IF(Q11=0,"",S11/P11)</f>
        <v>0.1472593800978792</v>
      </c>
      <c r="U11" s="7"/>
      <c r="V11" s="93">
        <f>K11/(E11*F11)</f>
        <v>9.9510603588907009E-4</v>
      </c>
      <c r="AH11" s="33" t="s">
        <v>170</v>
      </c>
    </row>
    <row r="12" spans="1:34" s="33" customFormat="1" ht="15" customHeight="1" x14ac:dyDescent="0.4">
      <c r="B12" s="316" t="s">
        <v>169</v>
      </c>
      <c r="C12" s="270" t="s">
        <v>162</v>
      </c>
      <c r="D12" s="271">
        <v>1230.9000000000001</v>
      </c>
      <c r="E12" s="270">
        <v>50</v>
      </c>
      <c r="F12" s="67">
        <v>30.2</v>
      </c>
      <c r="G12" s="321">
        <v>43920</v>
      </c>
      <c r="H12" s="263"/>
      <c r="I12" s="68">
        <v>0</v>
      </c>
      <c r="J12" s="272">
        <v>44013</v>
      </c>
      <c r="K12" s="274">
        <f>ROUNDDOWN(E12*F12*0.001, 2)</f>
        <v>1.51</v>
      </c>
      <c r="L12" s="271">
        <f>ROUNDDOWN(E12*I12*0.001, 2)</f>
        <v>0</v>
      </c>
      <c r="M12" s="324">
        <f>ROUNDUP((E12*I12*0.0000221),2)</f>
        <v>0</v>
      </c>
      <c r="N12" s="274"/>
      <c r="O12" s="329">
        <f>IF(J12="","",J12-G12+1)</f>
        <v>94</v>
      </c>
      <c r="P12" s="34">
        <f t="shared" si="0"/>
        <v>1858659.0000000002</v>
      </c>
      <c r="Q12" s="34">
        <f t="shared" si="1"/>
        <v>0</v>
      </c>
      <c r="R12" s="7">
        <f t="shared" si="2"/>
        <v>-1858.6590000000001</v>
      </c>
      <c r="S12" s="69">
        <f>Q12-P12+R12</f>
        <v>-1860517.6590000002</v>
      </c>
      <c r="T12" s="332">
        <f>S12/P12</f>
        <v>-1.0009999999999999</v>
      </c>
      <c r="U12" s="7"/>
      <c r="V12" s="93">
        <f>K12/(E12*F12)</f>
        <v>1E-3</v>
      </c>
    </row>
    <row r="13" spans="1:34" ht="15" customHeight="1" x14ac:dyDescent="0.4">
      <c r="B13" s="315" t="s">
        <v>171</v>
      </c>
      <c r="C13" s="256" t="s">
        <v>172</v>
      </c>
      <c r="D13" s="256"/>
      <c r="E13" s="256">
        <v>50</v>
      </c>
      <c r="F13" s="257">
        <v>0</v>
      </c>
      <c r="G13" s="320">
        <v>44013</v>
      </c>
      <c r="H13" s="258"/>
      <c r="I13" s="259"/>
      <c r="J13" s="260"/>
      <c r="K13" s="257">
        <v>1</v>
      </c>
      <c r="L13" s="259">
        <f>ROUNDDOWN(E13*I13*0.001, 2)</f>
        <v>0</v>
      </c>
      <c r="M13" s="323">
        <f>ROUNDUP((E13*I13*0.0000221),2)</f>
        <v>0</v>
      </c>
      <c r="N13" s="259">
        <f>-1-1-1-1-1-1.01</f>
        <v>-6.01</v>
      </c>
      <c r="O13" s="328" t="str">
        <f>IF(J13="","",J13-G13+1)</f>
        <v/>
      </c>
      <c r="P13" s="261">
        <f t="shared" si="0"/>
        <v>0</v>
      </c>
      <c r="Q13" s="261">
        <f t="shared" si="1"/>
        <v>0</v>
      </c>
      <c r="R13" s="260">
        <f t="shared" si="2"/>
        <v>0</v>
      </c>
      <c r="S13" s="69" t="str">
        <f>IF(Q13=0,"",Q13-P13+R13)</f>
        <v/>
      </c>
      <c r="T13" s="332" t="str">
        <f>IF(Q13=0,"",S13/P13)</f>
        <v/>
      </c>
      <c r="U13" s="334"/>
      <c r="V13" s="93" t="e">
        <f>K13/(E13*F13)</f>
        <v>#DIV/0!</v>
      </c>
      <c r="W13" s="25"/>
      <c r="X13" s="25"/>
      <c r="Y13" s="7"/>
    </row>
    <row r="14" spans="1:34" s="33" customFormat="1" ht="15" customHeight="1" x14ac:dyDescent="0.4">
      <c r="B14" s="316" t="s">
        <v>173</v>
      </c>
      <c r="C14" s="270" t="s">
        <v>162</v>
      </c>
      <c r="D14" s="271">
        <v>1182.5999999999999</v>
      </c>
      <c r="E14" s="270">
        <v>5</v>
      </c>
      <c r="F14" s="67">
        <v>223.4</v>
      </c>
      <c r="G14" s="321">
        <v>43817</v>
      </c>
      <c r="H14" s="263"/>
      <c r="I14" s="67">
        <v>315.2</v>
      </c>
      <c r="J14" s="272">
        <v>44029</v>
      </c>
      <c r="K14" s="274">
        <f>ROUNDDOWN(E14*F14*0.001, 2)</f>
        <v>1.1100000000000001</v>
      </c>
      <c r="L14" s="271">
        <f>ROUNDDOWN(E14*I14*0.001, 2)</f>
        <v>1.57</v>
      </c>
      <c r="M14" s="324">
        <f>ROUNDUP((E14*I14*0.0000221),2)</f>
        <v>0.04</v>
      </c>
      <c r="N14" s="271"/>
      <c r="O14" s="329">
        <f>IF(J14="","",J14-G14+1)</f>
        <v>213</v>
      </c>
      <c r="P14" s="34">
        <f t="shared" si="0"/>
        <v>1320964.2</v>
      </c>
      <c r="Q14" s="34">
        <f t="shared" si="1"/>
        <v>1863777.5999999999</v>
      </c>
      <c r="R14" s="7">
        <f t="shared" si="2"/>
        <v>-3216.672</v>
      </c>
      <c r="S14" s="69">
        <f>IF(Q14=0,"",Q14-P14+R14)</f>
        <v>539596.72799999989</v>
      </c>
      <c r="T14" s="332">
        <f>IF(Q14=0,"",S14/P14)</f>
        <v>0.40848701880035804</v>
      </c>
      <c r="U14" s="7"/>
      <c r="V14" s="93">
        <f>K14/(E14*F14)</f>
        <v>9.9373321396598047E-4</v>
      </c>
    </row>
    <row r="15" spans="1:34" s="33" customFormat="1" ht="15" customHeight="1" x14ac:dyDescent="0.4">
      <c r="B15" s="262" t="s">
        <v>174</v>
      </c>
      <c r="C15" s="263" t="s">
        <v>175</v>
      </c>
      <c r="D15" s="263">
        <v>11.357100000000001</v>
      </c>
      <c r="E15" s="264">
        <v>200</v>
      </c>
      <c r="F15" s="212">
        <v>2800</v>
      </c>
      <c r="G15" s="265">
        <v>44046</v>
      </c>
      <c r="H15" s="266"/>
      <c r="I15" s="212">
        <v>2952</v>
      </c>
      <c r="J15" s="266">
        <v>44131</v>
      </c>
      <c r="K15" s="275">
        <v>0</v>
      </c>
      <c r="L15" s="275">
        <f>IF($C15="OTC",ROUNDDOWN($I15*$E15*0.000909187,-1),(IF($C15="신한",ROUNDDOWN($I15*$E15*0.000036396,-1),(IF($C15="토스",$I15*$E15*0.00015,(IF($C15="US",(IF($I15*$E15*0.0025&gt;0.01,$I15*$E15*0.0025,0.01)),(IF($C15="JP",(IF($I15*$E15*0.0025&gt;1000,$I15*$E15*0.0025,1000)),(IF($C15="R토스",$I15*$E15*0.00015,(IF($C15="무상증자(신한)",ROUNDDOWN($I15*$E15*0.000036396,-1),"")))))))))))))</f>
        <v>1476</v>
      </c>
      <c r="M15" s="276"/>
      <c r="N15" s="264"/>
      <c r="O15" s="268">
        <f>J15-G15+1</f>
        <v>86</v>
      </c>
      <c r="P15" s="34">
        <f t="shared" si="0"/>
        <v>6359976.0000000009</v>
      </c>
      <c r="Q15" s="34">
        <f t="shared" si="1"/>
        <v>6705231.8400000008</v>
      </c>
      <c r="R15" s="7">
        <f t="shared" si="2"/>
        <v>-16763.079600000001</v>
      </c>
      <c r="S15" s="227">
        <f>IF(Q15=0,0,Q15-P15+R15)</f>
        <v>328492.76039999985</v>
      </c>
      <c r="T15" s="249">
        <f>S15/P15</f>
        <v>5.1649999999999967E-2</v>
      </c>
    </row>
    <row r="16" spans="1:34" s="33" customFormat="1" ht="15" customHeight="1" x14ac:dyDescent="0.4">
      <c r="B16" s="262" t="s">
        <v>174</v>
      </c>
      <c r="C16" s="263" t="s">
        <v>175</v>
      </c>
      <c r="D16" s="263">
        <v>11.357100000000001</v>
      </c>
      <c r="E16" s="264">
        <v>100</v>
      </c>
      <c r="F16" s="212">
        <v>2800</v>
      </c>
      <c r="G16" s="265">
        <v>44046</v>
      </c>
      <c r="H16" s="266"/>
      <c r="I16" s="212">
        <v>2952</v>
      </c>
      <c r="J16" s="266">
        <v>44131</v>
      </c>
      <c r="K16" s="275">
        <f>IF($C16="OTC",ROUNDDOWN($E16*$F16*0.000909187,-1),(IF($C16="신한",ROUNDDOWN($E16*$F16*0.000036396,-1),(IF($C16="토스",$E16*$F16*0.00015,(IF($C16="US",(IF($E16*$F16*0.0025&gt;0.01,$E16*$F16*0.0025,0.01)),IF($C16="JP",(IF($E16*$F16*0.0025&gt;1000,$E16*$F16*0.0025,1000)),(IF($C16="R토스",0,IF($C16="무상증자(신한)",0,"")))))))))))</f>
        <v>1000</v>
      </c>
      <c r="L16" s="275">
        <f>(E16+E15)*I16*0.0025-L15</f>
        <v>738</v>
      </c>
      <c r="M16" s="276"/>
      <c r="N16" s="264"/>
      <c r="O16" s="268">
        <f>J16-G16+1</f>
        <v>86</v>
      </c>
      <c r="P16" s="34">
        <f t="shared" si="0"/>
        <v>3179988.0000000005</v>
      </c>
      <c r="Q16" s="34">
        <f t="shared" si="1"/>
        <v>3352615.9200000004</v>
      </c>
      <c r="R16" s="7">
        <f t="shared" si="2"/>
        <v>-19738.639800000001</v>
      </c>
      <c r="S16" s="227">
        <f>IF(Q16=0,0,Q16-P16+R16)</f>
        <v>152889.28019999992</v>
      </c>
      <c r="T16" s="249">
        <f>S16/P16</f>
        <v>4.8078571428571394E-2</v>
      </c>
    </row>
    <row r="17" spans="2:26" s="33" customFormat="1" ht="15" customHeight="1" x14ac:dyDescent="0.4">
      <c r="B17" s="262" t="s">
        <v>174</v>
      </c>
      <c r="C17" s="263" t="s">
        <v>175</v>
      </c>
      <c r="D17" s="263">
        <v>11.357100000000001</v>
      </c>
      <c r="E17" s="264">
        <v>100</v>
      </c>
      <c r="F17" s="212">
        <v>2540</v>
      </c>
      <c r="G17" s="265">
        <v>44148</v>
      </c>
      <c r="H17" s="266"/>
      <c r="I17" s="212">
        <v>3200</v>
      </c>
      <c r="J17" s="266">
        <v>44166</v>
      </c>
      <c r="K17" s="275">
        <f>IF($C17="OTC",ROUNDDOWN($E17*$F17*0.000909187,-1),(IF($C17="신한",ROUNDDOWN($E17*$F17*0.000036396,-1),(IF($C17="토스",$E17*$F17*0.00015,(IF($C17="US",(IF($E17*$F17*0.0025&gt;0.01,$E17*$F17*0.0025,0.01)),IF($C17="JP",(IF($E17*$F17*0.0025&gt;1000,$E17*$F17*0.0025,1000)),(IF($C17="R토스",0,IF($C17="무상증자(신한)",0,"")))))))))))</f>
        <v>1000</v>
      </c>
      <c r="L17" s="275">
        <f>IF($C17="OTC",ROUNDDOWN($I17*$E17*0.000909187,-1),(IF($C17="신한",ROUNDDOWN($I17*$E17*0.000036396,-1),(IF($C17="토스",$I17*$E17*0.00015,(IF($C17="US",(IF($I17*$E17*0.0025&gt;0.01,$I17*$E17*0.0025,0.01)),(IF($C17="JP",(IF($I17*$E17*0.0025&gt;1000,$I17*$E17*0.0025,1000)),(IF($C17="R토스",$I17*$E17*0.00015,(IF($C17="무상증자(신한)",ROUNDDOWN($I17*$E17*0.000036396,-1),"")))))))))))))</f>
        <v>1000</v>
      </c>
      <c r="M17" s="276"/>
      <c r="N17" s="264"/>
      <c r="O17" s="268">
        <f>J17-G17+1</f>
        <v>19</v>
      </c>
      <c r="P17" s="34">
        <f t="shared" si="0"/>
        <v>2884703.4000000004</v>
      </c>
      <c r="Q17" s="34">
        <f t="shared" si="1"/>
        <v>3634272.0000000005</v>
      </c>
      <c r="R17" s="7">
        <f t="shared" si="2"/>
        <v>-22714.2</v>
      </c>
      <c r="S17" s="227">
        <f>IF(Q17=0,0,Q17-P17+R17)</f>
        <v>726854.40000000014</v>
      </c>
      <c r="T17" s="249">
        <f>S17/P17</f>
        <v>0.25196850393700787</v>
      </c>
    </row>
    <row r="18" spans="2:26" ht="15" customHeight="1" x14ac:dyDescent="0.4">
      <c r="B18" s="262" t="s">
        <v>174</v>
      </c>
      <c r="C18" s="263" t="s">
        <v>175</v>
      </c>
      <c r="D18" s="263">
        <v>11.357100000000001</v>
      </c>
      <c r="E18" s="264">
        <v>100</v>
      </c>
      <c r="F18" s="212">
        <v>3070</v>
      </c>
      <c r="G18" s="265">
        <v>44167</v>
      </c>
      <c r="H18" s="266"/>
      <c r="I18" s="212">
        <v>3300</v>
      </c>
      <c r="J18" s="266">
        <v>44209</v>
      </c>
      <c r="K18" s="275">
        <f>IF($C18="OTC",ROUNDDOWN($E18*$F18*0.000909187,-1),(IF($C18="신한",ROUNDDOWN($E18*$F18*0.000036396,-1),(IF($C18="토스",$E18*$F18*0.00015,(IF($C18="US",(IF($E18*$F18*0.0025&gt;0.01,$E18*$F18*0.0025,0.01)),IF($C18="JP",(IF($E18*$F18*0.0025&gt;1000,$E18*$F18*0.0025,1000)),(IF($C18="R토스",0,IF($C18="무상증자(신한)",0,"")))))))))))</f>
        <v>1000</v>
      </c>
      <c r="L18" s="275">
        <f>IF($C18="OTC",ROUNDDOWN($I18*$E18*0.000909187,-1),(IF($C18="신한",ROUNDDOWN($I18*$E18*0.000036396,-1),(IF($C18="토스",$I18*$E18*0.00015,(IF($C18="US",(IF($I18*$E18*0.0025&gt;0.01,$I18*$E18*0.0025,0.01)),(IF($C18="JP",(IF($I18*$E18*0.0025&gt;1000,$I18*$E18*0.0025,1000)),(IF($C18="R토스",$I18*$E18*0.00015,(IF($C18="무상증자(신한)",ROUNDDOWN($I18*$E18*0.000036396,-1),"")))))))))))))</f>
        <v>1000</v>
      </c>
      <c r="M18" s="276"/>
      <c r="N18" s="264">
        <f>250-38</f>
        <v>212</v>
      </c>
      <c r="O18" s="268">
        <f>J18-G18+1</f>
        <v>43</v>
      </c>
      <c r="P18" s="34">
        <f t="shared" si="0"/>
        <v>3486629.7</v>
      </c>
      <c r="Q18" s="34">
        <f t="shared" si="1"/>
        <v>3747843.0000000005</v>
      </c>
      <c r="R18" s="7">
        <f t="shared" si="2"/>
        <v>-20306.4948</v>
      </c>
      <c r="S18" s="227">
        <f>IF(Q18=0,0,Q18-P18+R18)</f>
        <v>240906.80520000029</v>
      </c>
      <c r="T18" s="249">
        <f>S18/P18</f>
        <v>6.9094462540716689E-2</v>
      </c>
      <c r="U18" s="38"/>
      <c r="V18" s="33"/>
    </row>
    <row r="19" spans="2:26" s="33" customFormat="1" ht="15" customHeight="1" x14ac:dyDescent="0.4">
      <c r="B19" s="316" t="s">
        <v>176</v>
      </c>
      <c r="C19" s="270" t="s">
        <v>162</v>
      </c>
      <c r="D19" s="271">
        <v>1230.9000000000001</v>
      </c>
      <c r="E19" s="270">
        <v>15</v>
      </c>
      <c r="F19" s="67">
        <v>29.75</v>
      </c>
      <c r="G19" s="321">
        <v>43927</v>
      </c>
      <c r="H19" s="263"/>
      <c r="I19" s="67">
        <v>35.4</v>
      </c>
      <c r="J19" s="272">
        <v>43990</v>
      </c>
      <c r="K19" s="274">
        <f t="shared" ref="K19:K24" si="3">ROUNDDOWN(E19*F19*0.001, 2)</f>
        <v>0.44</v>
      </c>
      <c r="L19" s="271">
        <f t="shared" ref="L19:L29" si="4">ROUNDDOWN(E19*I19*0.001, 2)</f>
        <v>0.53</v>
      </c>
      <c r="M19" s="324">
        <f t="shared" ref="M19:M29" si="5">ROUNDUP((E19*I19*0.0000221),2)</f>
        <v>0.02</v>
      </c>
      <c r="N19" s="274"/>
      <c r="O19" s="329">
        <f t="shared" ref="O19:O29" si="6">IF(J19="","",J19-G19+1)</f>
        <v>64</v>
      </c>
      <c r="P19" s="34">
        <f t="shared" si="0"/>
        <v>549289.125</v>
      </c>
      <c r="Q19" s="34">
        <f t="shared" si="1"/>
        <v>653607.9</v>
      </c>
      <c r="R19" s="7">
        <f t="shared" si="2"/>
        <v>-1218.5910000000001</v>
      </c>
      <c r="S19" s="69">
        <f t="shared" ref="S19:S29" si="7">IF(Q19=0,"",Q19-P19+R19)</f>
        <v>103100.18400000002</v>
      </c>
      <c r="T19" s="332">
        <f t="shared" ref="T19:T29" si="8">IF(Q19=0,"",S19/P19)</f>
        <v>0.18769747899159667</v>
      </c>
      <c r="U19" s="7"/>
      <c r="V19" s="93">
        <f t="shared" ref="V19:V24" si="9">K19/(E19*F19)</f>
        <v>9.8599439775910367E-4</v>
      </c>
    </row>
    <row r="20" spans="2:26" s="33" customFormat="1" ht="15" customHeight="1" x14ac:dyDescent="0.4">
      <c r="B20" s="316" t="s">
        <v>177</v>
      </c>
      <c r="C20" s="270" t="s">
        <v>162</v>
      </c>
      <c r="D20" s="271">
        <v>1230.9000000000001</v>
      </c>
      <c r="E20" s="270">
        <v>30</v>
      </c>
      <c r="F20" s="67">
        <v>44</v>
      </c>
      <c r="G20" s="321">
        <v>43927</v>
      </c>
      <c r="H20" s="263"/>
      <c r="I20" s="68">
        <v>77</v>
      </c>
      <c r="J20" s="266">
        <v>44183</v>
      </c>
      <c r="K20" s="274">
        <f t="shared" si="3"/>
        <v>1.32</v>
      </c>
      <c r="L20" s="271">
        <f t="shared" si="4"/>
        <v>2.31</v>
      </c>
      <c r="M20" s="324">
        <f t="shared" si="5"/>
        <v>6.0000000000000005E-2</v>
      </c>
      <c r="N20" s="274">
        <f>(18.81-2.82)+(18.2-2.73)</f>
        <v>31.459999999999997</v>
      </c>
      <c r="O20" s="329">
        <f t="shared" si="6"/>
        <v>257</v>
      </c>
      <c r="P20" s="34">
        <f t="shared" si="0"/>
        <v>1624788.0000000002</v>
      </c>
      <c r="Q20" s="34">
        <f t="shared" si="1"/>
        <v>2843379</v>
      </c>
      <c r="R20" s="7">
        <f t="shared" si="2"/>
        <v>34182.093000000001</v>
      </c>
      <c r="S20" s="69">
        <f t="shared" si="7"/>
        <v>1252773.0929999999</v>
      </c>
      <c r="T20" s="332">
        <f t="shared" si="8"/>
        <v>0.77103787878787855</v>
      </c>
      <c r="U20" s="7"/>
      <c r="V20" s="93">
        <f t="shared" si="9"/>
        <v>1E-3</v>
      </c>
    </row>
    <row r="21" spans="2:26" ht="15" customHeight="1" x14ac:dyDescent="0.4">
      <c r="B21" s="316" t="s">
        <v>178</v>
      </c>
      <c r="C21" s="270" t="s">
        <v>162</v>
      </c>
      <c r="D21" s="271">
        <v>1147.5</v>
      </c>
      <c r="E21" s="270">
        <v>42</v>
      </c>
      <c r="F21" s="67">
        <v>23.5</v>
      </c>
      <c r="G21" s="321">
        <v>43564</v>
      </c>
      <c r="H21" s="273"/>
      <c r="I21" s="67">
        <v>25</v>
      </c>
      <c r="J21" s="272">
        <v>43696</v>
      </c>
      <c r="K21" s="274">
        <f t="shared" si="3"/>
        <v>0.98</v>
      </c>
      <c r="L21" s="271">
        <f t="shared" si="4"/>
        <v>1.05</v>
      </c>
      <c r="M21" s="324">
        <f t="shared" si="5"/>
        <v>0.03</v>
      </c>
      <c r="N21" s="271"/>
      <c r="O21" s="329">
        <f t="shared" si="6"/>
        <v>133</v>
      </c>
      <c r="P21" s="34">
        <f t="shared" si="0"/>
        <v>1132582.5</v>
      </c>
      <c r="Q21" s="34">
        <f t="shared" si="1"/>
        <v>1204875</v>
      </c>
      <c r="R21" s="7">
        <f t="shared" si="2"/>
        <v>-2363.85</v>
      </c>
      <c r="S21" s="69">
        <f t="shared" si="7"/>
        <v>69928.649999999994</v>
      </c>
      <c r="T21" s="332">
        <f t="shared" si="8"/>
        <v>6.1742654508611952E-2</v>
      </c>
      <c r="U21" s="334"/>
      <c r="V21" s="93">
        <f t="shared" si="9"/>
        <v>9.9290780141843976E-4</v>
      </c>
      <c r="W21" s="2"/>
      <c r="X21" s="2"/>
      <c r="Y21" s="2"/>
      <c r="Z21" s="7"/>
    </row>
    <row r="22" spans="2:26" ht="15" customHeight="1" x14ac:dyDescent="0.4">
      <c r="B22" s="316" t="s">
        <v>178</v>
      </c>
      <c r="C22" s="270" t="s">
        <v>162</v>
      </c>
      <c r="D22" s="271">
        <v>1147.5</v>
      </c>
      <c r="E22" s="270">
        <v>51</v>
      </c>
      <c r="F22" s="67">
        <v>20.78</v>
      </c>
      <c r="G22" s="321">
        <v>43718</v>
      </c>
      <c r="H22" s="263"/>
      <c r="I22" s="67">
        <v>19.5</v>
      </c>
      <c r="J22" s="272">
        <v>43896</v>
      </c>
      <c r="K22" s="274">
        <f t="shared" si="3"/>
        <v>1.05</v>
      </c>
      <c r="L22" s="271">
        <f t="shared" si="4"/>
        <v>0.99</v>
      </c>
      <c r="M22" s="324">
        <f t="shared" si="5"/>
        <v>0.03</v>
      </c>
      <c r="N22" s="271"/>
      <c r="O22" s="329">
        <f t="shared" si="6"/>
        <v>179</v>
      </c>
      <c r="P22" s="34">
        <f t="shared" si="0"/>
        <v>1216097.55</v>
      </c>
      <c r="Q22" s="34">
        <f t="shared" si="1"/>
        <v>1141188.75</v>
      </c>
      <c r="R22" s="7">
        <f t="shared" si="2"/>
        <v>-2375.3249999999998</v>
      </c>
      <c r="S22" s="69">
        <f t="shared" si="7"/>
        <v>-77284.125000000044</v>
      </c>
      <c r="T22" s="332">
        <f t="shared" si="8"/>
        <v>-6.3550925663817051E-2</v>
      </c>
      <c r="U22" s="334"/>
      <c r="V22" s="93">
        <f t="shared" si="9"/>
        <v>9.9077166959180224E-4</v>
      </c>
      <c r="W22" s="2"/>
      <c r="X22" s="2"/>
      <c r="Y22" s="2"/>
      <c r="Z22" s="7"/>
    </row>
    <row r="23" spans="2:26" ht="15" customHeight="1" x14ac:dyDescent="0.4">
      <c r="B23" s="316" t="s">
        <v>178</v>
      </c>
      <c r="C23" s="270" t="s">
        <v>162</v>
      </c>
      <c r="D23" s="271">
        <v>1180.0999999999999</v>
      </c>
      <c r="E23" s="270">
        <v>70</v>
      </c>
      <c r="F23" s="67">
        <v>15.25</v>
      </c>
      <c r="G23" s="321">
        <v>43783</v>
      </c>
      <c r="H23" s="263"/>
      <c r="I23" s="67">
        <v>19.5</v>
      </c>
      <c r="J23" s="272">
        <v>43896</v>
      </c>
      <c r="K23" s="274">
        <f t="shared" si="3"/>
        <v>1.06</v>
      </c>
      <c r="L23" s="271">
        <f t="shared" si="4"/>
        <v>1.36</v>
      </c>
      <c r="M23" s="324">
        <f t="shared" si="5"/>
        <v>0.04</v>
      </c>
      <c r="N23" s="271"/>
      <c r="O23" s="329">
        <f t="shared" si="6"/>
        <v>114</v>
      </c>
      <c r="P23" s="34">
        <f t="shared" si="0"/>
        <v>1259756.75</v>
      </c>
      <c r="Q23" s="34">
        <f t="shared" si="1"/>
        <v>1610836.4999999998</v>
      </c>
      <c r="R23" s="7">
        <f t="shared" si="2"/>
        <v>-2903.0459999999998</v>
      </c>
      <c r="S23" s="69">
        <f t="shared" si="7"/>
        <v>348176.70399999979</v>
      </c>
      <c r="T23" s="332">
        <f t="shared" si="8"/>
        <v>0.27638407494145184</v>
      </c>
      <c r="U23" s="334"/>
      <c r="V23" s="93">
        <f t="shared" si="9"/>
        <v>9.9297423887587826E-4</v>
      </c>
      <c r="W23" s="2"/>
      <c r="X23" s="2"/>
      <c r="Y23" s="2"/>
      <c r="Z23" s="7"/>
    </row>
    <row r="24" spans="2:26" s="33" customFormat="1" ht="15" customHeight="1" x14ac:dyDescent="0.4">
      <c r="B24" s="316" t="s">
        <v>178</v>
      </c>
      <c r="C24" s="270" t="s">
        <v>162</v>
      </c>
      <c r="D24" s="271">
        <v>1181.8</v>
      </c>
      <c r="E24" s="270">
        <v>40</v>
      </c>
      <c r="F24" s="67">
        <v>12.25</v>
      </c>
      <c r="G24" s="321">
        <v>43843</v>
      </c>
      <c r="H24" s="263"/>
      <c r="I24" s="67">
        <v>19.5</v>
      </c>
      <c r="J24" s="272">
        <v>43896</v>
      </c>
      <c r="K24" s="274">
        <f t="shared" si="3"/>
        <v>0.49</v>
      </c>
      <c r="L24" s="271">
        <f t="shared" si="4"/>
        <v>0.78</v>
      </c>
      <c r="M24" s="324">
        <f t="shared" si="5"/>
        <v>0.02</v>
      </c>
      <c r="N24" s="271"/>
      <c r="O24" s="329">
        <f t="shared" si="6"/>
        <v>54</v>
      </c>
      <c r="P24" s="34">
        <f t="shared" si="0"/>
        <v>579082</v>
      </c>
      <c r="Q24" s="34">
        <f t="shared" si="1"/>
        <v>921804</v>
      </c>
      <c r="R24" s="7">
        <f t="shared" si="2"/>
        <v>-1524.5219999999999</v>
      </c>
      <c r="S24" s="69">
        <f t="shared" si="7"/>
        <v>341197.478</v>
      </c>
      <c r="T24" s="332">
        <f t="shared" si="8"/>
        <v>0.58920408163265303</v>
      </c>
      <c r="U24" s="334"/>
      <c r="V24" s="93">
        <f t="shared" si="9"/>
        <v>1E-3</v>
      </c>
    </row>
    <row r="25" spans="2:26" s="33" customFormat="1" ht="15" customHeight="1" x14ac:dyDescent="0.4">
      <c r="B25" s="316" t="s">
        <v>80</v>
      </c>
      <c r="C25" s="270" t="s">
        <v>162</v>
      </c>
      <c r="D25" s="271">
        <v>1102.9000000000001</v>
      </c>
      <c r="E25" s="270">
        <v>16</v>
      </c>
      <c r="F25" s="67">
        <v>142.1</v>
      </c>
      <c r="G25" s="321">
        <v>44202</v>
      </c>
      <c r="H25" s="263"/>
      <c r="I25" s="67">
        <v>170.5</v>
      </c>
      <c r="J25" s="272">
        <v>44238</v>
      </c>
      <c r="K25" s="271">
        <f>E25*F25*0.001</f>
        <v>2.2736000000000001</v>
      </c>
      <c r="L25" s="271">
        <f t="shared" si="4"/>
        <v>2.72</v>
      </c>
      <c r="M25" s="325">
        <f t="shared" si="5"/>
        <v>6.9999999999999993E-2</v>
      </c>
      <c r="N25" s="274"/>
      <c r="O25" s="330">
        <f t="shared" si="6"/>
        <v>37</v>
      </c>
      <c r="P25" s="34">
        <f t="shared" si="0"/>
        <v>2507553.44</v>
      </c>
      <c r="Q25" s="34">
        <f t="shared" si="1"/>
        <v>3008711.2</v>
      </c>
      <c r="R25" s="7">
        <f t="shared" si="2"/>
        <v>-5584.6444400000019</v>
      </c>
      <c r="S25" s="7">
        <f t="shared" si="7"/>
        <v>495573.11556000024</v>
      </c>
      <c r="T25" s="248">
        <f t="shared" si="8"/>
        <v>0.19763212526389876</v>
      </c>
      <c r="U25" s="334"/>
      <c r="V25" s="7"/>
    </row>
    <row r="26" spans="2:26" ht="15" customHeight="1" x14ac:dyDescent="0.4">
      <c r="B26" s="316" t="s">
        <v>80</v>
      </c>
      <c r="C26" s="270" t="s">
        <v>162</v>
      </c>
      <c r="D26" s="271">
        <v>1102.9000000000001</v>
      </c>
      <c r="E26" s="270">
        <v>9</v>
      </c>
      <c r="F26" s="67">
        <v>158.38</v>
      </c>
      <c r="G26" s="321">
        <v>44243</v>
      </c>
      <c r="H26" s="263"/>
      <c r="I26" s="67">
        <v>103.5</v>
      </c>
      <c r="J26" s="272">
        <v>45933</v>
      </c>
      <c r="K26" s="271">
        <f>E26*F26*0.001</f>
        <v>1.4254200000000001</v>
      </c>
      <c r="L26" s="271">
        <f t="shared" si="4"/>
        <v>0.93</v>
      </c>
      <c r="M26" s="325">
        <f t="shared" si="5"/>
        <v>0.03</v>
      </c>
      <c r="N26" s="274">
        <f>(0.36-0.05)+0.02+(0.12-0.02)+(1.03-0.15)+(0.14-0.02)+0.02+(0.05-0.01)+(0.07-0.01)</f>
        <v>1.5500000000000003</v>
      </c>
      <c r="O26" s="330">
        <f t="shared" si="6"/>
        <v>1691</v>
      </c>
      <c r="P26" s="34">
        <f t="shared" si="0"/>
        <v>1572095.7180000001</v>
      </c>
      <c r="Q26" s="34">
        <f t="shared" si="1"/>
        <v>1027351.3500000001</v>
      </c>
      <c r="R26" s="7">
        <f t="shared" si="2"/>
        <v>-921.38471800000002</v>
      </c>
      <c r="S26" s="7">
        <f t="shared" si="7"/>
        <v>-545665.75271799997</v>
      </c>
      <c r="T26" s="248">
        <f t="shared" si="8"/>
        <v>-0.34709448443265839</v>
      </c>
      <c r="U26" s="334"/>
      <c r="V26" s="7"/>
      <c r="W26" s="2"/>
      <c r="X26" s="2"/>
      <c r="Y26" s="2"/>
      <c r="Z26" s="7"/>
    </row>
    <row r="27" spans="2:26" ht="15" customHeight="1" x14ac:dyDescent="0.4">
      <c r="B27" s="316" t="s">
        <v>179</v>
      </c>
      <c r="C27" s="270" t="s">
        <v>162</v>
      </c>
      <c r="D27" s="271">
        <v>1182.5999999999999</v>
      </c>
      <c r="E27" s="270">
        <v>7</v>
      </c>
      <c r="F27" s="67">
        <v>192.5</v>
      </c>
      <c r="G27" s="321">
        <v>43833</v>
      </c>
      <c r="H27" s="263"/>
      <c r="I27" s="67">
        <v>198.2</v>
      </c>
      <c r="J27" s="272">
        <v>44022</v>
      </c>
      <c r="K27" s="274">
        <f>ROUNDDOWN(E27*F27*0.001, 2)</f>
        <v>1.34</v>
      </c>
      <c r="L27" s="271">
        <f t="shared" si="4"/>
        <v>1.38</v>
      </c>
      <c r="M27" s="324">
        <f t="shared" si="5"/>
        <v>0.04</v>
      </c>
      <c r="N27" s="271">
        <f>(3.12-0.46)+(5.29-0.79)</f>
        <v>7.16</v>
      </c>
      <c r="O27" s="329">
        <f t="shared" si="6"/>
        <v>190</v>
      </c>
      <c r="P27" s="34">
        <f t="shared" si="0"/>
        <v>1593553.4999999998</v>
      </c>
      <c r="Q27" s="34">
        <f t="shared" si="1"/>
        <v>1640739.2399999998</v>
      </c>
      <c r="R27" s="7">
        <f t="shared" si="2"/>
        <v>5203.4399999999996</v>
      </c>
      <c r="S27" s="69">
        <f t="shared" si="7"/>
        <v>52389.179999999993</v>
      </c>
      <c r="T27" s="332">
        <f t="shared" si="8"/>
        <v>3.2875695732838592E-2</v>
      </c>
      <c r="U27" s="334"/>
      <c r="V27" s="93">
        <f>K27/(E27*F27)</f>
        <v>9.9443413729128011E-4</v>
      </c>
      <c r="W27" s="2"/>
      <c r="X27" s="2"/>
      <c r="Y27" s="2"/>
      <c r="Z27" s="7"/>
    </row>
    <row r="28" spans="2:26" s="33" customFormat="1" ht="15" customHeight="1" x14ac:dyDescent="0.4">
      <c r="B28" s="316" t="s">
        <v>180</v>
      </c>
      <c r="C28" s="270" t="s">
        <v>162</v>
      </c>
      <c r="D28" s="271">
        <v>1231.3</v>
      </c>
      <c r="E28" s="270">
        <v>4</v>
      </c>
      <c r="F28" s="67">
        <v>264.89999999999998</v>
      </c>
      <c r="G28" s="321">
        <v>44020</v>
      </c>
      <c r="H28" s="263"/>
      <c r="I28" s="68">
        <v>281.64999999999998</v>
      </c>
      <c r="J28" s="266">
        <v>44090</v>
      </c>
      <c r="K28" s="274">
        <f>ROUNDDOWN(E28*F28*0.001, 2)</f>
        <v>1.05</v>
      </c>
      <c r="L28" s="271">
        <f t="shared" si="4"/>
        <v>1.1200000000000001</v>
      </c>
      <c r="M28" s="324">
        <f t="shared" si="5"/>
        <v>0.03</v>
      </c>
      <c r="N28" s="274"/>
      <c r="O28" s="329">
        <f t="shared" si="6"/>
        <v>71</v>
      </c>
      <c r="P28" s="34">
        <f t="shared" si="0"/>
        <v>1304685.4799999997</v>
      </c>
      <c r="Q28" s="34">
        <f t="shared" si="1"/>
        <v>1387182.5799999998</v>
      </c>
      <c r="R28" s="7">
        <f t="shared" si="2"/>
        <v>-2708.8599999999997</v>
      </c>
      <c r="S28" s="69">
        <f t="shared" si="7"/>
        <v>79788.240000000093</v>
      </c>
      <c r="T28" s="332">
        <f t="shared" si="8"/>
        <v>6.11551528878823E-2</v>
      </c>
      <c r="U28" s="7"/>
      <c r="V28" s="93">
        <f>K28/(E28*F28)</f>
        <v>9.9093997734994352E-4</v>
      </c>
    </row>
    <row r="29" spans="2:26" s="33" customFormat="1" ht="15" customHeight="1" x14ac:dyDescent="0.4">
      <c r="B29" s="316" t="s">
        <v>181</v>
      </c>
      <c r="C29" s="270" t="s">
        <v>162</v>
      </c>
      <c r="D29" s="271">
        <v>1181.8</v>
      </c>
      <c r="E29" s="270">
        <v>1</v>
      </c>
      <c r="F29" s="67">
        <v>520</v>
      </c>
      <c r="G29" s="321">
        <v>43847</v>
      </c>
      <c r="H29" s="263"/>
      <c r="I29" s="67">
        <v>541</v>
      </c>
      <c r="J29" s="272">
        <v>44015</v>
      </c>
      <c r="K29" s="274">
        <f>ROUNDDOWN(E29*F29*0.001, 2)</f>
        <v>0.52</v>
      </c>
      <c r="L29" s="271">
        <f t="shared" si="4"/>
        <v>0.54</v>
      </c>
      <c r="M29" s="324">
        <f t="shared" si="5"/>
        <v>0.02</v>
      </c>
      <c r="N29" s="271">
        <f>(3.63-0.54)+(3.63-0.54)</f>
        <v>6.18</v>
      </c>
      <c r="O29" s="329">
        <f t="shared" si="6"/>
        <v>169</v>
      </c>
      <c r="P29" s="34">
        <f t="shared" si="0"/>
        <v>614536</v>
      </c>
      <c r="Q29" s="34">
        <f t="shared" si="1"/>
        <v>639353.79999999993</v>
      </c>
      <c r="R29" s="7">
        <f t="shared" si="2"/>
        <v>6027.18</v>
      </c>
      <c r="S29" s="69">
        <f t="shared" si="7"/>
        <v>30844.97999999993</v>
      </c>
      <c r="T29" s="332">
        <f t="shared" si="8"/>
        <v>5.0192307692307578E-2</v>
      </c>
      <c r="U29" s="7"/>
      <c r="V29" s="93">
        <f>K29/(E29*F29)</f>
        <v>1E-3</v>
      </c>
    </row>
    <row r="30" spans="2:26" ht="15" customHeight="1" x14ac:dyDescent="0.4">
      <c r="B30" s="38" t="s">
        <v>182</v>
      </c>
      <c r="C30" s="6" t="s">
        <v>162</v>
      </c>
      <c r="D30" s="6"/>
      <c r="E30" s="36">
        <v>50</v>
      </c>
      <c r="F30" s="212">
        <v>8620</v>
      </c>
      <c r="G30" s="195">
        <v>42608</v>
      </c>
      <c r="H30" s="8"/>
      <c r="I30" s="212">
        <v>8860</v>
      </c>
      <c r="J30" s="8">
        <v>42618</v>
      </c>
      <c r="K30" s="7">
        <f>ROUNDDOWN(E30*F30*0.0015,-1)</f>
        <v>640</v>
      </c>
      <c r="L30" s="7">
        <f>ROUNDDOWN(I30*E30*0.0015,-1)</f>
        <v>660</v>
      </c>
      <c r="M30" s="196">
        <f>I30*E30*0.003</f>
        <v>1329</v>
      </c>
      <c r="N30" s="36"/>
      <c r="O30" s="191">
        <f t="shared" ref="O30:O93" si="10">J30-G30+1</f>
        <v>11</v>
      </c>
      <c r="P30" s="36">
        <f t="shared" ref="P30:P38" si="11">F30*E30</f>
        <v>431000</v>
      </c>
      <c r="Q30" s="36">
        <f t="shared" ref="Q30:Q38" si="12">I30*E30</f>
        <v>443000</v>
      </c>
      <c r="R30" s="7">
        <f t="shared" ref="R30:R38" si="13">N30-K30-L30-M30</f>
        <v>-2629</v>
      </c>
      <c r="S30" s="227">
        <f t="shared" ref="S30:S93" si="14">IF(Q30=0,0,Q30-P30+R30)</f>
        <v>9371</v>
      </c>
      <c r="T30" s="248">
        <f t="shared" ref="T30:T93" si="15">S30/P30</f>
        <v>2.1742459396751741E-2</v>
      </c>
      <c r="U30" s="193">
        <f t="shared" ref="U30:U38" si="16">T30*365/O30</f>
        <v>0.72145433452858054</v>
      </c>
      <c r="V30" s="6"/>
      <c r="W30" s="25"/>
      <c r="X30" s="25"/>
      <c r="Y30" s="7"/>
    </row>
    <row r="31" spans="2:26" ht="15" customHeight="1" x14ac:dyDescent="0.4">
      <c r="B31" s="38" t="s">
        <v>183</v>
      </c>
      <c r="C31" s="6" t="s">
        <v>162</v>
      </c>
      <c r="D31" s="6"/>
      <c r="E31" s="36">
        <v>250</v>
      </c>
      <c r="F31" s="212">
        <v>4020</v>
      </c>
      <c r="G31" s="195">
        <v>42585</v>
      </c>
      <c r="H31" s="8"/>
      <c r="I31" s="212">
        <v>4250</v>
      </c>
      <c r="J31" s="8">
        <v>42587</v>
      </c>
      <c r="K31" s="7">
        <f>ROUNDDOWN(E31*F31*0.0015,-1)</f>
        <v>1500</v>
      </c>
      <c r="L31" s="7">
        <f>ROUNDDOWN(I31*E31*0.0015,-1)</f>
        <v>1590</v>
      </c>
      <c r="M31" s="196">
        <f>I31*E31*0.003</f>
        <v>3187.5</v>
      </c>
      <c r="N31" s="36"/>
      <c r="O31" s="191">
        <f t="shared" si="10"/>
        <v>3</v>
      </c>
      <c r="P31" s="36">
        <f t="shared" si="11"/>
        <v>1005000</v>
      </c>
      <c r="Q31" s="36">
        <f t="shared" si="12"/>
        <v>1062500</v>
      </c>
      <c r="R31" s="7">
        <f t="shared" si="13"/>
        <v>-6277.5</v>
      </c>
      <c r="S31" s="227">
        <f t="shared" si="14"/>
        <v>51222.5</v>
      </c>
      <c r="T31" s="248">
        <f t="shared" si="15"/>
        <v>5.0967661691542286E-2</v>
      </c>
      <c r="U31" s="9">
        <f t="shared" si="16"/>
        <v>6.201065505804312</v>
      </c>
      <c r="V31" s="6"/>
      <c r="W31" s="25"/>
      <c r="X31" s="25"/>
      <c r="Y31" s="7"/>
    </row>
    <row r="32" spans="2:26" s="33" customFormat="1" ht="15" customHeight="1" x14ac:dyDescent="0.4">
      <c r="B32" s="38" t="s">
        <v>184</v>
      </c>
      <c r="C32" s="6" t="s">
        <v>185</v>
      </c>
      <c r="D32" s="6"/>
      <c r="E32" s="36">
        <v>20</v>
      </c>
      <c r="F32" s="212">
        <v>5250</v>
      </c>
      <c r="G32" s="195">
        <v>39322</v>
      </c>
      <c r="H32" s="8"/>
      <c r="I32" s="212">
        <v>110</v>
      </c>
      <c r="J32" s="8">
        <v>39940</v>
      </c>
      <c r="K32" s="7">
        <f>ROUNDDOWN(E32*F32*0.005,-1)</f>
        <v>520</v>
      </c>
      <c r="L32" s="7">
        <f>ROUNDDOWN(I32*E32*0.005,-1)</f>
        <v>10</v>
      </c>
      <c r="M32" s="196">
        <f>I32*E32*0.003</f>
        <v>6.6000000000000005</v>
      </c>
      <c r="N32" s="36"/>
      <c r="O32" s="191">
        <f t="shared" si="10"/>
        <v>619</v>
      </c>
      <c r="P32" s="36">
        <f t="shared" si="11"/>
        <v>105000</v>
      </c>
      <c r="Q32" s="36">
        <f t="shared" si="12"/>
        <v>2200</v>
      </c>
      <c r="R32" s="7">
        <f t="shared" si="13"/>
        <v>-536.6</v>
      </c>
      <c r="S32" s="227">
        <f t="shared" si="14"/>
        <v>-103336.6</v>
      </c>
      <c r="T32" s="248">
        <f t="shared" si="15"/>
        <v>-0.98415809523809528</v>
      </c>
      <c r="U32" s="9">
        <f t="shared" si="16"/>
        <v>-0.58031939379952302</v>
      </c>
      <c r="V32" s="6"/>
    </row>
    <row r="33" spans="2:25" s="6" customFormat="1" ht="16.5" customHeight="1" x14ac:dyDescent="0.4">
      <c r="B33" s="33" t="s">
        <v>186</v>
      </c>
      <c r="C33" s="6" t="s">
        <v>187</v>
      </c>
      <c r="E33" s="36">
        <v>10</v>
      </c>
      <c r="F33" s="212">
        <v>9510</v>
      </c>
      <c r="G33" s="8">
        <v>39758</v>
      </c>
      <c r="H33" s="8"/>
      <c r="I33" s="212">
        <v>11000</v>
      </c>
      <c r="J33" s="8">
        <v>39783</v>
      </c>
      <c r="K33" s="7">
        <v>20</v>
      </c>
      <c r="L33" s="7">
        <v>30</v>
      </c>
      <c r="M33" s="7"/>
      <c r="N33" s="36"/>
      <c r="O33" s="7">
        <f t="shared" si="10"/>
        <v>26</v>
      </c>
      <c r="P33" s="36">
        <f t="shared" si="11"/>
        <v>95100</v>
      </c>
      <c r="Q33" s="36">
        <f t="shared" si="12"/>
        <v>110000</v>
      </c>
      <c r="R33" s="7">
        <f t="shared" si="13"/>
        <v>-50</v>
      </c>
      <c r="S33" s="227">
        <f t="shared" si="14"/>
        <v>14850</v>
      </c>
      <c r="T33" s="9">
        <f t="shared" si="15"/>
        <v>0.15615141955835962</v>
      </c>
      <c r="U33" s="9">
        <f t="shared" si="16"/>
        <v>2.1921256976462025</v>
      </c>
      <c r="X33" s="6">
        <f t="shared" ref="X33:X43" si="17">E33*I33*0.0000221</f>
        <v>2.431</v>
      </c>
      <c r="Y33" s="6">
        <f t="shared" ref="Y33:Y39" si="18">ROUNDUP(E33*I33*0.000021,2)</f>
        <v>2.31</v>
      </c>
    </row>
    <row r="34" spans="2:25" s="6" customFormat="1" ht="16.5" customHeight="1" x14ac:dyDescent="0.4">
      <c r="B34" s="33" t="s">
        <v>188</v>
      </c>
      <c r="C34" s="6" t="s">
        <v>187</v>
      </c>
      <c r="E34" s="36">
        <v>2</v>
      </c>
      <c r="F34" s="212">
        <v>140000</v>
      </c>
      <c r="G34" s="8">
        <v>39927</v>
      </c>
      <c r="H34" s="8"/>
      <c r="I34" s="212">
        <v>170000</v>
      </c>
      <c r="J34" s="8">
        <v>39945</v>
      </c>
      <c r="K34" s="7">
        <v>80</v>
      </c>
      <c r="L34" s="7">
        <v>90</v>
      </c>
      <c r="M34" s="7"/>
      <c r="N34" s="36"/>
      <c r="O34" s="7">
        <f t="shared" si="10"/>
        <v>19</v>
      </c>
      <c r="P34" s="36">
        <f t="shared" si="11"/>
        <v>280000</v>
      </c>
      <c r="Q34" s="36">
        <f t="shared" si="12"/>
        <v>340000</v>
      </c>
      <c r="R34" s="7">
        <f t="shared" si="13"/>
        <v>-170</v>
      </c>
      <c r="S34" s="227">
        <f t="shared" si="14"/>
        <v>59830</v>
      </c>
      <c r="T34" s="9">
        <f t="shared" si="15"/>
        <v>0.21367857142857144</v>
      </c>
      <c r="U34" s="9">
        <f t="shared" si="16"/>
        <v>4.1048778195488724</v>
      </c>
      <c r="X34" s="6">
        <f t="shared" si="17"/>
        <v>7.5139999999999993</v>
      </c>
      <c r="Y34" s="6">
        <f t="shared" si="18"/>
        <v>7.14</v>
      </c>
    </row>
    <row r="35" spans="2:25" s="6" customFormat="1" ht="16.5" customHeight="1" x14ac:dyDescent="0.4">
      <c r="B35" s="317" t="s">
        <v>189</v>
      </c>
      <c r="C35" s="6" t="s">
        <v>162</v>
      </c>
      <c r="D35" s="15"/>
      <c r="E35" s="36">
        <v>500</v>
      </c>
      <c r="F35" s="212">
        <v>2920</v>
      </c>
      <c r="G35" s="8">
        <v>43862</v>
      </c>
      <c r="H35" s="8"/>
      <c r="I35" s="212">
        <v>3200</v>
      </c>
      <c r="J35" s="8">
        <v>43984</v>
      </c>
      <c r="K35" s="7">
        <f>ROUNDDOWN(E35*F35*0.0015,-1)</f>
        <v>2190</v>
      </c>
      <c r="L35" s="7">
        <f>ROUNDDOWN(I35*E35*0.0015,-1)</f>
        <v>2400</v>
      </c>
      <c r="M35" s="7">
        <f>ROUNDDOWN(I35*E35*0.0025, )</f>
        <v>4000</v>
      </c>
      <c r="N35" s="36"/>
      <c r="O35" s="7">
        <f t="shared" si="10"/>
        <v>123</v>
      </c>
      <c r="P35" s="36">
        <f t="shared" si="11"/>
        <v>1460000</v>
      </c>
      <c r="Q35" s="36">
        <f t="shared" si="12"/>
        <v>1600000</v>
      </c>
      <c r="R35" s="7">
        <f t="shared" si="13"/>
        <v>-8590</v>
      </c>
      <c r="S35" s="227">
        <f t="shared" si="14"/>
        <v>131410</v>
      </c>
      <c r="T35" s="9">
        <f t="shared" si="15"/>
        <v>9.0006849315068499E-2</v>
      </c>
      <c r="U35" s="9">
        <f t="shared" si="16"/>
        <v>0.26709349593495935</v>
      </c>
      <c r="X35" s="6">
        <f t="shared" si="17"/>
        <v>35.36</v>
      </c>
      <c r="Y35" s="6">
        <f t="shared" si="18"/>
        <v>33.6</v>
      </c>
    </row>
    <row r="36" spans="2:25" s="6" customFormat="1" ht="16.5" customHeight="1" x14ac:dyDescent="0.4">
      <c r="B36" s="33" t="s">
        <v>190</v>
      </c>
      <c r="C36" s="6" t="s">
        <v>162</v>
      </c>
      <c r="E36" s="36">
        <v>400</v>
      </c>
      <c r="F36" s="212">
        <v>2600</v>
      </c>
      <c r="G36" s="8">
        <v>43300</v>
      </c>
      <c r="H36" s="8"/>
      <c r="I36" s="212">
        <v>2950</v>
      </c>
      <c r="J36" s="8">
        <v>44832</v>
      </c>
      <c r="K36" s="7">
        <f>ROUNDDOWN(E36*F36*0.0015,-1)</f>
        <v>1560</v>
      </c>
      <c r="L36" s="7">
        <f>ROUNDDOWN(I36*E36*0.0015,-1)</f>
        <v>1770</v>
      </c>
      <c r="M36" s="7">
        <f>ROUNDDOWN(I36*E36*0.0025, )</f>
        <v>2950</v>
      </c>
      <c r="N36" s="36"/>
      <c r="O36" s="7">
        <f t="shared" si="10"/>
        <v>1533</v>
      </c>
      <c r="P36" s="36">
        <f t="shared" si="11"/>
        <v>1040000</v>
      </c>
      <c r="Q36" s="36">
        <f t="shared" si="12"/>
        <v>1180000</v>
      </c>
      <c r="R36" s="7">
        <f t="shared" si="13"/>
        <v>-6280</v>
      </c>
      <c r="S36" s="227">
        <f t="shared" si="14"/>
        <v>133720</v>
      </c>
      <c r="T36" s="9">
        <f t="shared" si="15"/>
        <v>0.12857692307692309</v>
      </c>
      <c r="U36" s="9">
        <f t="shared" si="16"/>
        <v>3.0613553113553117E-2</v>
      </c>
      <c r="X36" s="6">
        <f t="shared" si="17"/>
        <v>26.077999999999999</v>
      </c>
      <c r="Y36" s="6">
        <f t="shared" si="18"/>
        <v>24.78</v>
      </c>
    </row>
    <row r="37" spans="2:25" s="6" customFormat="1" ht="16.5" customHeight="1" x14ac:dyDescent="0.4">
      <c r="B37" s="33" t="s">
        <v>191</v>
      </c>
      <c r="C37" s="6" t="s">
        <v>187</v>
      </c>
      <c r="E37" s="36">
        <v>10</v>
      </c>
      <c r="F37" s="212">
        <v>31000</v>
      </c>
      <c r="G37" s="8">
        <v>39961</v>
      </c>
      <c r="H37" s="8"/>
      <c r="I37" s="212">
        <v>32100</v>
      </c>
      <c r="J37" s="8">
        <v>40025</v>
      </c>
      <c r="K37" s="7">
        <v>80</v>
      </c>
      <c r="L37" s="7">
        <v>90</v>
      </c>
      <c r="M37" s="7"/>
      <c r="N37" s="36"/>
      <c r="O37" s="7">
        <f t="shared" si="10"/>
        <v>65</v>
      </c>
      <c r="P37" s="36">
        <f t="shared" si="11"/>
        <v>310000</v>
      </c>
      <c r="Q37" s="36">
        <f t="shared" si="12"/>
        <v>321000</v>
      </c>
      <c r="R37" s="7">
        <f t="shared" si="13"/>
        <v>-170</v>
      </c>
      <c r="S37" s="227">
        <f t="shared" si="14"/>
        <v>10830</v>
      </c>
      <c r="T37" s="9">
        <f t="shared" si="15"/>
        <v>3.4935483870967739E-2</v>
      </c>
      <c r="U37" s="9">
        <f t="shared" si="16"/>
        <v>0.1961761786600496</v>
      </c>
      <c r="X37" s="6">
        <f t="shared" si="17"/>
        <v>7.0940999999999992</v>
      </c>
      <c r="Y37" s="6">
        <f t="shared" si="18"/>
        <v>6.75</v>
      </c>
    </row>
    <row r="38" spans="2:25" s="6" customFormat="1" ht="16.5" customHeight="1" x14ac:dyDescent="0.4">
      <c r="B38" s="33" t="s">
        <v>191</v>
      </c>
      <c r="C38" s="6" t="s">
        <v>187</v>
      </c>
      <c r="E38" s="36">
        <v>40</v>
      </c>
      <c r="F38" s="212">
        <v>43900</v>
      </c>
      <c r="G38" s="8">
        <v>41792</v>
      </c>
      <c r="H38" s="8"/>
      <c r="I38" s="212">
        <v>46700</v>
      </c>
      <c r="J38" s="8">
        <v>41851</v>
      </c>
      <c r="K38" s="7">
        <f>ROUNDDOWN(E38*F38*0.00015,-1)</f>
        <v>260</v>
      </c>
      <c r="L38" s="7">
        <f>ROUNDDOWN(I38*E38*0.00015,-1)</f>
        <v>280</v>
      </c>
      <c r="M38" s="7">
        <f>I38*E38*0.003</f>
        <v>5604</v>
      </c>
      <c r="N38" s="36"/>
      <c r="O38" s="7">
        <f t="shared" si="10"/>
        <v>60</v>
      </c>
      <c r="P38" s="36">
        <f t="shared" si="11"/>
        <v>1756000</v>
      </c>
      <c r="Q38" s="36">
        <f t="shared" si="12"/>
        <v>1868000</v>
      </c>
      <c r="R38" s="7">
        <f t="shared" si="13"/>
        <v>-6144</v>
      </c>
      <c r="S38" s="227">
        <f t="shared" si="14"/>
        <v>105856</v>
      </c>
      <c r="T38" s="9">
        <f t="shared" si="15"/>
        <v>6.0282460136674258E-2</v>
      </c>
      <c r="U38" s="9">
        <f t="shared" si="16"/>
        <v>0.36671829916476839</v>
      </c>
      <c r="X38" s="6">
        <f t="shared" si="17"/>
        <v>41.282799999999995</v>
      </c>
      <c r="Y38" s="6">
        <f t="shared" si="18"/>
        <v>39.229999999999997</v>
      </c>
    </row>
    <row r="39" spans="2:25" s="6" customFormat="1" ht="16.5" customHeight="1" x14ac:dyDescent="0.4">
      <c r="B39" s="33" t="s">
        <v>142</v>
      </c>
      <c r="C39" s="6" t="s">
        <v>122</v>
      </c>
      <c r="D39" s="6">
        <f t="shared" ref="D39:D67" si="19">IF(OR($C39="신한",$C39="OTC",$C39="무상증자(신한)",$C39="토스",$C39="R토스"),1,"확인")</f>
        <v>1</v>
      </c>
      <c r="E39" s="34">
        <v>2</v>
      </c>
      <c r="F39" s="212">
        <v>425000</v>
      </c>
      <c r="G39" s="8">
        <v>45819</v>
      </c>
      <c r="H39" s="33" t="s">
        <v>113</v>
      </c>
      <c r="I39" s="212">
        <v>454000</v>
      </c>
      <c r="J39" s="8">
        <v>45824</v>
      </c>
      <c r="K39" s="23">
        <f t="shared" ref="K39:K67" si="20">IF($C39="OTC",ROUNDDOWN($E39*$F39*0.000909187,-1),(IF($C39="신한",ROUNDDOWN($E39*$F39*0.000036396,-1),(IF($C39="토스",$E39*$F39*0.00015,(IF($C39="US",(IF($E39*$F39*0.0025&gt;0.01,$E39*$F39*0.0025,0.01)),IF($C39="JP",(IF($E39*$F39*0.0025&gt;1000,$E39*$F39*0.0025,1000)),(IF($C39="R토스",0,IF($C39="무상증자(신한)",0,"")))))))))))</f>
        <v>127.49999999999999</v>
      </c>
      <c r="L39" s="23">
        <f t="shared" ref="L39:L67" si="21">IF($C39="OTC",ROUNDDOWN($I39*$E39*0.000909187,-1),(IF($C39="신한",ROUNDDOWN($I39*$E39*0.000036396,-1),(IF($C39="토스",$I39*$E39*0.00015,(IF($C39="US",(IF($I39*$E39*0.0025&gt;0.01,$I39*$E39*0.0025,0.01)),(IF($C39="JP",(IF($I39*$E39*0.0025&gt;1000,$I39*$E39*0.0025,1000)),(IF($C39="R토스",$I39*$E39*0.00015,(IF($C39="무상증자(신한)",ROUNDDOWN($I39*$E39*0.000036396,-1),"")))))))))))))</f>
        <v>136.19999999999999</v>
      </c>
      <c r="M39" s="23">
        <f>Q39*0.0015</f>
        <v>1362</v>
      </c>
      <c r="N39" s="34"/>
      <c r="O39" s="23">
        <f t="shared" si="10"/>
        <v>6</v>
      </c>
      <c r="P39" s="34">
        <f t="shared" ref="P39:P67" si="22">$E39*$F39*$D39</f>
        <v>850000</v>
      </c>
      <c r="Q39" s="34">
        <f t="shared" ref="Q39:Q67" si="23">$E39*$I39*$D39</f>
        <v>908000</v>
      </c>
      <c r="R39" s="7">
        <f t="shared" ref="R39:R67" si="24">($N39-$K39-$L39-$M39)*$D39</f>
        <v>-1625.7</v>
      </c>
      <c r="S39" s="227">
        <f t="shared" si="14"/>
        <v>56374.3</v>
      </c>
      <c r="T39" s="313">
        <f t="shared" si="15"/>
        <v>6.632270588235295E-2</v>
      </c>
      <c r="U39" s="33"/>
      <c r="V39" s="36">
        <f>+P39*0.05*O39/365</f>
        <v>698.63013698630141</v>
      </c>
      <c r="X39" s="6">
        <f t="shared" si="17"/>
        <v>20.066799999999997</v>
      </c>
      <c r="Y39" s="6">
        <f t="shared" si="18"/>
        <v>19.07</v>
      </c>
    </row>
    <row r="40" spans="2:25" s="6" customFormat="1" ht="16.5" customHeight="1" x14ac:dyDescent="0.4">
      <c r="B40" s="33" t="s">
        <v>142</v>
      </c>
      <c r="C40" s="6" t="s">
        <v>122</v>
      </c>
      <c r="D40" s="6">
        <f t="shared" si="19"/>
        <v>1</v>
      </c>
      <c r="E40" s="34">
        <v>2</v>
      </c>
      <c r="F40" s="212">
        <v>418500</v>
      </c>
      <c r="G40" s="8">
        <v>45819</v>
      </c>
      <c r="H40" s="33" t="s">
        <v>113</v>
      </c>
      <c r="I40" s="212">
        <v>454000</v>
      </c>
      <c r="J40" s="8">
        <v>45824</v>
      </c>
      <c r="K40" s="23">
        <f t="shared" si="20"/>
        <v>125.54999999999998</v>
      </c>
      <c r="L40" s="23">
        <f t="shared" si="21"/>
        <v>136.19999999999999</v>
      </c>
      <c r="M40" s="23">
        <f>Q40*0.0015</f>
        <v>1362</v>
      </c>
      <c r="N40" s="34"/>
      <c r="O40" s="23">
        <f t="shared" si="10"/>
        <v>6</v>
      </c>
      <c r="P40" s="34">
        <f t="shared" si="22"/>
        <v>837000</v>
      </c>
      <c r="Q40" s="34">
        <f t="shared" si="23"/>
        <v>908000</v>
      </c>
      <c r="R40" s="7">
        <f t="shared" si="24"/>
        <v>-1623.75</v>
      </c>
      <c r="S40" s="227">
        <f t="shared" si="14"/>
        <v>69376.25</v>
      </c>
      <c r="T40" s="313">
        <f t="shared" si="15"/>
        <v>8.2886798088410998E-2</v>
      </c>
      <c r="U40" s="33"/>
      <c r="V40" s="36">
        <f>+P40*0.05*O40/365</f>
        <v>687.94520547945206</v>
      </c>
      <c r="X40" s="6">
        <f t="shared" si="17"/>
        <v>20.066799999999997</v>
      </c>
      <c r="Y40" s="6">
        <f>ROUNDUP(X40,2)</f>
        <v>20.07</v>
      </c>
    </row>
    <row r="41" spans="2:25" s="6" customFormat="1" ht="16.5" customHeight="1" x14ac:dyDescent="0.4">
      <c r="B41" s="33" t="s">
        <v>192</v>
      </c>
      <c r="C41" s="6" t="s">
        <v>160</v>
      </c>
      <c r="D41" s="6">
        <f t="shared" si="19"/>
        <v>1</v>
      </c>
      <c r="E41" s="34">
        <v>82</v>
      </c>
      <c r="F41" s="212">
        <v>13350</v>
      </c>
      <c r="G41" s="8">
        <v>44165</v>
      </c>
      <c r="H41" s="8"/>
      <c r="I41" s="212">
        <v>16250</v>
      </c>
      <c r="J41" s="8">
        <v>44202</v>
      </c>
      <c r="K41" s="23">
        <f t="shared" si="20"/>
        <v>30</v>
      </c>
      <c r="L41" s="23">
        <f t="shared" si="21"/>
        <v>40</v>
      </c>
      <c r="M41" s="23">
        <f>Q41*0.0023</f>
        <v>3064.75</v>
      </c>
      <c r="N41" s="34"/>
      <c r="O41" s="23">
        <f t="shared" si="10"/>
        <v>38</v>
      </c>
      <c r="P41" s="34">
        <f t="shared" si="22"/>
        <v>1094700</v>
      </c>
      <c r="Q41" s="34">
        <f t="shared" si="23"/>
        <v>1332500</v>
      </c>
      <c r="R41" s="7">
        <f t="shared" si="24"/>
        <v>-3134.75</v>
      </c>
      <c r="S41" s="227">
        <f t="shared" si="14"/>
        <v>234665.25</v>
      </c>
      <c r="T41" s="313">
        <f t="shared" si="15"/>
        <v>0.21436489449164153</v>
      </c>
      <c r="U41" s="33"/>
      <c r="V41" s="33"/>
      <c r="X41" s="6">
        <f t="shared" si="17"/>
        <v>29.448249999999998</v>
      </c>
      <c r="Y41" s="6">
        <f>ROUNDUP(X41,2)</f>
        <v>29.450000000000003</v>
      </c>
    </row>
    <row r="42" spans="2:25" s="6" customFormat="1" ht="16.5" customHeight="1" x14ac:dyDescent="0.4">
      <c r="B42" s="33" t="s">
        <v>192</v>
      </c>
      <c r="C42" s="6" t="s">
        <v>160</v>
      </c>
      <c r="D42" s="6">
        <f t="shared" si="19"/>
        <v>1</v>
      </c>
      <c r="E42" s="34">
        <v>20</v>
      </c>
      <c r="F42" s="212">
        <v>12500</v>
      </c>
      <c r="G42" s="8">
        <v>44169</v>
      </c>
      <c r="H42" s="8"/>
      <c r="I42" s="212">
        <v>16250</v>
      </c>
      <c r="J42" s="8">
        <v>44202</v>
      </c>
      <c r="K42" s="23">
        <f t="shared" si="20"/>
        <v>0</v>
      </c>
      <c r="L42" s="23">
        <f t="shared" si="21"/>
        <v>10</v>
      </c>
      <c r="M42" s="23">
        <f>Q42*0.0023</f>
        <v>747.5</v>
      </c>
      <c r="N42" s="34"/>
      <c r="O42" s="23">
        <f t="shared" si="10"/>
        <v>34</v>
      </c>
      <c r="P42" s="34">
        <f t="shared" si="22"/>
        <v>250000</v>
      </c>
      <c r="Q42" s="34">
        <f t="shared" si="23"/>
        <v>325000</v>
      </c>
      <c r="R42" s="7">
        <f t="shared" si="24"/>
        <v>-757.5</v>
      </c>
      <c r="S42" s="227">
        <f t="shared" si="14"/>
        <v>74242.5</v>
      </c>
      <c r="T42" s="313">
        <f t="shared" si="15"/>
        <v>0.29697000000000001</v>
      </c>
      <c r="U42" s="33"/>
      <c r="V42" s="33"/>
      <c r="X42" s="6">
        <f t="shared" si="17"/>
        <v>7.1824999999999992</v>
      </c>
      <c r="Y42" s="6">
        <f>ROUNDUP(X42,2)</f>
        <v>7.1899999999999995</v>
      </c>
    </row>
    <row r="43" spans="2:25" s="6" customFormat="1" ht="16.5" customHeight="1" x14ac:dyDescent="0.4">
      <c r="B43" s="33" t="s">
        <v>192</v>
      </c>
      <c r="C43" s="6" t="s">
        <v>160</v>
      </c>
      <c r="D43" s="6">
        <f t="shared" si="19"/>
        <v>1</v>
      </c>
      <c r="E43" s="34">
        <v>98</v>
      </c>
      <c r="F43" s="212">
        <v>13200</v>
      </c>
      <c r="G43" s="8">
        <v>44187</v>
      </c>
      <c r="H43" s="8"/>
      <c r="I43" s="212">
        <v>16250</v>
      </c>
      <c r="J43" s="8">
        <v>44202</v>
      </c>
      <c r="K43" s="23">
        <f t="shared" si="20"/>
        <v>40</v>
      </c>
      <c r="L43" s="23">
        <f t="shared" si="21"/>
        <v>50</v>
      </c>
      <c r="M43" s="23">
        <f>Q43*0.0023</f>
        <v>3662.75</v>
      </c>
      <c r="N43" s="34"/>
      <c r="O43" s="23">
        <f t="shared" si="10"/>
        <v>16</v>
      </c>
      <c r="P43" s="34">
        <f t="shared" si="22"/>
        <v>1293600</v>
      </c>
      <c r="Q43" s="34">
        <f t="shared" si="23"/>
        <v>1592500</v>
      </c>
      <c r="R43" s="7">
        <f t="shared" si="24"/>
        <v>-3752.75</v>
      </c>
      <c r="S43" s="227">
        <f t="shared" si="14"/>
        <v>295147.25</v>
      </c>
      <c r="T43" s="313">
        <f t="shared" si="15"/>
        <v>0.22815959338280767</v>
      </c>
      <c r="U43" s="33"/>
      <c r="V43" s="33"/>
      <c r="X43" s="6">
        <f t="shared" si="17"/>
        <v>35.194249999999997</v>
      </c>
      <c r="Y43" s="6">
        <f>ROUNDUP(X43,2)</f>
        <v>35.199999999999996</v>
      </c>
    </row>
    <row r="44" spans="2:25" s="33" customFormat="1" ht="15" customHeight="1" x14ac:dyDescent="0.4">
      <c r="B44" s="38" t="s">
        <v>192</v>
      </c>
      <c r="C44" s="6" t="s">
        <v>160</v>
      </c>
      <c r="D44" s="6">
        <f t="shared" si="19"/>
        <v>1</v>
      </c>
      <c r="E44" s="34">
        <v>50</v>
      </c>
      <c r="F44" s="212">
        <v>22900</v>
      </c>
      <c r="G44" s="195">
        <v>45905</v>
      </c>
      <c r="H44" s="8"/>
      <c r="I44" s="212">
        <v>25100</v>
      </c>
      <c r="J44" s="8">
        <v>46084</v>
      </c>
      <c r="K44" s="23">
        <f t="shared" si="20"/>
        <v>40</v>
      </c>
      <c r="L44" s="23">
        <f t="shared" si="21"/>
        <v>40</v>
      </c>
      <c r="M44" s="206">
        <f t="shared" ref="M44:M64" si="25">Q44*0.002</f>
        <v>2510</v>
      </c>
      <c r="N44" s="34"/>
      <c r="O44" s="209">
        <f t="shared" si="10"/>
        <v>180</v>
      </c>
      <c r="P44" s="34">
        <f t="shared" si="22"/>
        <v>1145000</v>
      </c>
      <c r="Q44" s="34">
        <f t="shared" si="23"/>
        <v>1255000</v>
      </c>
      <c r="R44" s="7">
        <f t="shared" si="24"/>
        <v>-2590</v>
      </c>
      <c r="S44" s="227">
        <f t="shared" si="14"/>
        <v>107410</v>
      </c>
      <c r="T44" s="249">
        <f t="shared" si="15"/>
        <v>9.3807860262008727E-2</v>
      </c>
    </row>
    <row r="45" spans="2:25" s="33" customFormat="1" ht="15" customHeight="1" x14ac:dyDescent="0.4">
      <c r="B45" s="38" t="s">
        <v>192</v>
      </c>
      <c r="C45" s="6" t="s">
        <v>160</v>
      </c>
      <c r="D45" s="6">
        <f t="shared" si="19"/>
        <v>1</v>
      </c>
      <c r="E45" s="34">
        <v>100</v>
      </c>
      <c r="F45" s="212">
        <v>23400</v>
      </c>
      <c r="G45" s="195">
        <v>45905</v>
      </c>
      <c r="H45" s="8"/>
      <c r="I45" s="212">
        <v>25100</v>
      </c>
      <c r="J45" s="8">
        <v>46084</v>
      </c>
      <c r="K45" s="23">
        <f t="shared" si="20"/>
        <v>80</v>
      </c>
      <c r="L45" s="23">
        <f t="shared" si="21"/>
        <v>90</v>
      </c>
      <c r="M45" s="206">
        <f t="shared" si="25"/>
        <v>5020</v>
      </c>
      <c r="N45" s="34"/>
      <c r="O45" s="209">
        <f t="shared" si="10"/>
        <v>180</v>
      </c>
      <c r="P45" s="34">
        <f t="shared" si="22"/>
        <v>2340000</v>
      </c>
      <c r="Q45" s="34">
        <f t="shared" si="23"/>
        <v>2510000</v>
      </c>
      <c r="R45" s="7">
        <f t="shared" si="24"/>
        <v>-5190</v>
      </c>
      <c r="S45" s="227">
        <f t="shared" si="14"/>
        <v>164810</v>
      </c>
      <c r="T45" s="249">
        <f t="shared" si="15"/>
        <v>7.043162393162393E-2</v>
      </c>
    </row>
    <row r="46" spans="2:25" s="33" customFormat="1" ht="15" customHeight="1" x14ac:dyDescent="0.4">
      <c r="B46" s="38" t="s">
        <v>192</v>
      </c>
      <c r="C46" s="6" t="s">
        <v>160</v>
      </c>
      <c r="D46" s="6">
        <f t="shared" si="19"/>
        <v>1</v>
      </c>
      <c r="E46" s="34">
        <v>2</v>
      </c>
      <c r="F46" s="212">
        <v>20000</v>
      </c>
      <c r="G46" s="195">
        <v>45944</v>
      </c>
      <c r="H46" s="8"/>
      <c r="I46" s="212">
        <v>25100</v>
      </c>
      <c r="J46" s="8">
        <v>46084</v>
      </c>
      <c r="K46" s="23">
        <f t="shared" si="20"/>
        <v>0</v>
      </c>
      <c r="L46" s="23">
        <f t="shared" si="21"/>
        <v>0</v>
      </c>
      <c r="M46" s="206">
        <f t="shared" si="25"/>
        <v>100.4</v>
      </c>
      <c r="N46" s="34"/>
      <c r="O46" s="209">
        <f t="shared" si="10"/>
        <v>141</v>
      </c>
      <c r="P46" s="34">
        <f t="shared" si="22"/>
        <v>40000</v>
      </c>
      <c r="Q46" s="34">
        <f t="shared" si="23"/>
        <v>50200</v>
      </c>
      <c r="R46" s="7">
        <f t="shared" si="24"/>
        <v>-100.4</v>
      </c>
      <c r="S46" s="227">
        <f t="shared" si="14"/>
        <v>10099.6</v>
      </c>
      <c r="T46" s="249">
        <f t="shared" si="15"/>
        <v>0.25248999999999999</v>
      </c>
    </row>
    <row r="47" spans="2:25" s="33" customFormat="1" ht="15" customHeight="1" x14ac:dyDescent="0.4">
      <c r="B47" s="38" t="s">
        <v>192</v>
      </c>
      <c r="C47" s="6" t="s">
        <v>160</v>
      </c>
      <c r="D47" s="6">
        <f t="shared" si="19"/>
        <v>1</v>
      </c>
      <c r="E47" s="34">
        <v>2</v>
      </c>
      <c r="F47" s="212">
        <v>20550</v>
      </c>
      <c r="G47" s="195">
        <v>45951</v>
      </c>
      <c r="H47" s="8"/>
      <c r="I47" s="212">
        <v>25100</v>
      </c>
      <c r="J47" s="8">
        <v>46084</v>
      </c>
      <c r="K47" s="23">
        <f t="shared" si="20"/>
        <v>0</v>
      </c>
      <c r="L47" s="23">
        <f t="shared" si="21"/>
        <v>0</v>
      </c>
      <c r="M47" s="206">
        <f t="shared" si="25"/>
        <v>100.4</v>
      </c>
      <c r="N47" s="34"/>
      <c r="O47" s="209">
        <f t="shared" si="10"/>
        <v>134</v>
      </c>
      <c r="P47" s="34">
        <f t="shared" si="22"/>
        <v>41100</v>
      </c>
      <c r="Q47" s="34">
        <f t="shared" si="23"/>
        <v>50200</v>
      </c>
      <c r="R47" s="7">
        <f t="shared" si="24"/>
        <v>-100.4</v>
      </c>
      <c r="S47" s="227">
        <f t="shared" si="14"/>
        <v>8999.6</v>
      </c>
      <c r="T47" s="249">
        <f t="shared" si="15"/>
        <v>0.21896836982968371</v>
      </c>
    </row>
    <row r="48" spans="2:25" s="33" customFormat="1" ht="15" customHeight="1" x14ac:dyDescent="0.4">
      <c r="B48" s="38" t="s">
        <v>192</v>
      </c>
      <c r="C48" s="6" t="s">
        <v>160</v>
      </c>
      <c r="D48" s="6">
        <f t="shared" si="19"/>
        <v>1</v>
      </c>
      <c r="E48" s="34">
        <v>2</v>
      </c>
      <c r="F48" s="212">
        <v>21200</v>
      </c>
      <c r="G48" s="195">
        <v>45958</v>
      </c>
      <c r="H48" s="8"/>
      <c r="I48" s="212">
        <v>25100</v>
      </c>
      <c r="J48" s="8">
        <v>46084</v>
      </c>
      <c r="K48" s="23">
        <f t="shared" si="20"/>
        <v>0</v>
      </c>
      <c r="L48" s="23">
        <f t="shared" si="21"/>
        <v>0</v>
      </c>
      <c r="M48" s="206">
        <f t="shared" si="25"/>
        <v>100.4</v>
      </c>
      <c r="N48" s="34"/>
      <c r="O48" s="209">
        <f t="shared" si="10"/>
        <v>127</v>
      </c>
      <c r="P48" s="34">
        <f t="shared" si="22"/>
        <v>42400</v>
      </c>
      <c r="Q48" s="34">
        <f t="shared" si="23"/>
        <v>50200</v>
      </c>
      <c r="R48" s="7">
        <f t="shared" si="24"/>
        <v>-100.4</v>
      </c>
      <c r="S48" s="227">
        <f t="shared" si="14"/>
        <v>7699.6</v>
      </c>
      <c r="T48" s="249">
        <f t="shared" si="15"/>
        <v>0.18159433962264152</v>
      </c>
    </row>
    <row r="49" spans="2:20" s="33" customFormat="1" ht="15" customHeight="1" x14ac:dyDescent="0.4">
      <c r="B49" s="38" t="s">
        <v>192</v>
      </c>
      <c r="C49" s="6" t="s">
        <v>160</v>
      </c>
      <c r="D49" s="6">
        <f t="shared" si="19"/>
        <v>1</v>
      </c>
      <c r="E49" s="34">
        <v>2</v>
      </c>
      <c r="F49" s="212">
        <v>20150</v>
      </c>
      <c r="G49" s="195">
        <v>45965</v>
      </c>
      <c r="H49" s="8"/>
      <c r="I49" s="212">
        <v>25100</v>
      </c>
      <c r="J49" s="8">
        <v>46084</v>
      </c>
      <c r="K49" s="23">
        <f t="shared" si="20"/>
        <v>0</v>
      </c>
      <c r="L49" s="23">
        <f t="shared" si="21"/>
        <v>0</v>
      </c>
      <c r="M49" s="206">
        <f t="shared" si="25"/>
        <v>100.4</v>
      </c>
      <c r="N49" s="34"/>
      <c r="O49" s="209">
        <f t="shared" si="10"/>
        <v>120</v>
      </c>
      <c r="P49" s="34">
        <f t="shared" si="22"/>
        <v>40300</v>
      </c>
      <c r="Q49" s="34">
        <f t="shared" si="23"/>
        <v>50200</v>
      </c>
      <c r="R49" s="7">
        <f t="shared" si="24"/>
        <v>-100.4</v>
      </c>
      <c r="S49" s="227">
        <f t="shared" si="14"/>
        <v>9799.6</v>
      </c>
      <c r="T49" s="249">
        <f t="shared" si="15"/>
        <v>0.24316625310173698</v>
      </c>
    </row>
    <row r="50" spans="2:20" s="33" customFormat="1" ht="15" customHeight="1" x14ac:dyDescent="0.4">
      <c r="B50" s="38" t="s">
        <v>192</v>
      </c>
      <c r="C50" s="6" t="s">
        <v>160</v>
      </c>
      <c r="D50" s="6">
        <f t="shared" si="19"/>
        <v>1</v>
      </c>
      <c r="E50" s="34">
        <v>2</v>
      </c>
      <c r="F50" s="212">
        <v>20050</v>
      </c>
      <c r="G50" s="195">
        <v>45972</v>
      </c>
      <c r="H50" s="8"/>
      <c r="I50" s="212">
        <v>25100</v>
      </c>
      <c r="J50" s="8">
        <v>46084</v>
      </c>
      <c r="K50" s="23">
        <f t="shared" si="20"/>
        <v>0</v>
      </c>
      <c r="L50" s="23">
        <f t="shared" si="21"/>
        <v>0</v>
      </c>
      <c r="M50" s="206">
        <f t="shared" si="25"/>
        <v>100.4</v>
      </c>
      <c r="N50" s="34"/>
      <c r="O50" s="209">
        <f t="shared" si="10"/>
        <v>113</v>
      </c>
      <c r="P50" s="34">
        <f t="shared" si="22"/>
        <v>40100</v>
      </c>
      <c r="Q50" s="34">
        <f t="shared" si="23"/>
        <v>50200</v>
      </c>
      <c r="R50" s="7">
        <f t="shared" si="24"/>
        <v>-100.4</v>
      </c>
      <c r="S50" s="227">
        <f t="shared" si="14"/>
        <v>9999.6</v>
      </c>
      <c r="T50" s="249">
        <f t="shared" si="15"/>
        <v>0.24936658354114713</v>
      </c>
    </row>
    <row r="51" spans="2:20" s="33" customFormat="1" ht="15" customHeight="1" x14ac:dyDescent="0.4">
      <c r="B51" s="38" t="s">
        <v>192</v>
      </c>
      <c r="C51" s="6" t="s">
        <v>160</v>
      </c>
      <c r="D51" s="6">
        <f t="shared" si="19"/>
        <v>1</v>
      </c>
      <c r="E51" s="34">
        <v>2</v>
      </c>
      <c r="F51" s="212">
        <v>19020</v>
      </c>
      <c r="G51" s="195">
        <v>45979</v>
      </c>
      <c r="H51" s="8"/>
      <c r="I51" s="212">
        <v>25100</v>
      </c>
      <c r="J51" s="8">
        <v>46084</v>
      </c>
      <c r="K51" s="23">
        <f t="shared" si="20"/>
        <v>0</v>
      </c>
      <c r="L51" s="23">
        <f t="shared" si="21"/>
        <v>0</v>
      </c>
      <c r="M51" s="206">
        <f t="shared" si="25"/>
        <v>100.4</v>
      </c>
      <c r="N51" s="34"/>
      <c r="O51" s="209">
        <f t="shared" si="10"/>
        <v>106</v>
      </c>
      <c r="P51" s="34">
        <f t="shared" si="22"/>
        <v>38040</v>
      </c>
      <c r="Q51" s="34">
        <f t="shared" si="23"/>
        <v>50200</v>
      </c>
      <c r="R51" s="7">
        <f t="shared" si="24"/>
        <v>-100.4</v>
      </c>
      <c r="S51" s="227">
        <f t="shared" si="14"/>
        <v>12059.6</v>
      </c>
      <c r="T51" s="249">
        <f t="shared" si="15"/>
        <v>0.31702418506834912</v>
      </c>
    </row>
    <row r="52" spans="2:20" s="33" customFormat="1" ht="15" customHeight="1" x14ac:dyDescent="0.4">
      <c r="B52" s="38" t="s">
        <v>192</v>
      </c>
      <c r="C52" s="6" t="s">
        <v>160</v>
      </c>
      <c r="D52" s="6">
        <f t="shared" si="19"/>
        <v>1</v>
      </c>
      <c r="E52" s="34">
        <v>2</v>
      </c>
      <c r="F52" s="212">
        <v>18850</v>
      </c>
      <c r="G52" s="195">
        <v>45986</v>
      </c>
      <c r="H52" s="8"/>
      <c r="I52" s="212">
        <v>25100</v>
      </c>
      <c r="J52" s="8">
        <v>46084</v>
      </c>
      <c r="K52" s="23">
        <f t="shared" si="20"/>
        <v>0</v>
      </c>
      <c r="L52" s="23">
        <f t="shared" si="21"/>
        <v>0</v>
      </c>
      <c r="M52" s="206">
        <f t="shared" si="25"/>
        <v>100.4</v>
      </c>
      <c r="N52" s="34"/>
      <c r="O52" s="209">
        <f t="shared" si="10"/>
        <v>99</v>
      </c>
      <c r="P52" s="34">
        <f t="shared" si="22"/>
        <v>37700</v>
      </c>
      <c r="Q52" s="34">
        <f t="shared" si="23"/>
        <v>50200</v>
      </c>
      <c r="R52" s="7">
        <f t="shared" si="24"/>
        <v>-100.4</v>
      </c>
      <c r="S52" s="227">
        <f t="shared" si="14"/>
        <v>12399.6</v>
      </c>
      <c r="T52" s="249">
        <f t="shared" si="15"/>
        <v>0.32890185676392575</v>
      </c>
    </row>
    <row r="53" spans="2:20" s="33" customFormat="1" ht="15" customHeight="1" x14ac:dyDescent="0.4">
      <c r="B53" s="38" t="s">
        <v>192</v>
      </c>
      <c r="C53" s="6" t="s">
        <v>160</v>
      </c>
      <c r="D53" s="6">
        <f t="shared" si="19"/>
        <v>1</v>
      </c>
      <c r="E53" s="34">
        <v>2</v>
      </c>
      <c r="F53" s="212">
        <v>19980</v>
      </c>
      <c r="G53" s="195">
        <v>45993</v>
      </c>
      <c r="H53" s="8"/>
      <c r="I53" s="212">
        <v>25100</v>
      </c>
      <c r="J53" s="8">
        <v>46084</v>
      </c>
      <c r="K53" s="23">
        <f t="shared" si="20"/>
        <v>0</v>
      </c>
      <c r="L53" s="23">
        <f t="shared" si="21"/>
        <v>0</v>
      </c>
      <c r="M53" s="206">
        <f t="shared" si="25"/>
        <v>100.4</v>
      </c>
      <c r="N53" s="34"/>
      <c r="O53" s="209">
        <f t="shared" si="10"/>
        <v>92</v>
      </c>
      <c r="P53" s="34">
        <f t="shared" si="22"/>
        <v>39960</v>
      </c>
      <c r="Q53" s="34">
        <f t="shared" si="23"/>
        <v>50200</v>
      </c>
      <c r="R53" s="7">
        <f t="shared" si="24"/>
        <v>-100.4</v>
      </c>
      <c r="S53" s="227">
        <f t="shared" si="14"/>
        <v>10139.6</v>
      </c>
      <c r="T53" s="249">
        <f t="shared" si="15"/>
        <v>0.25374374374374375</v>
      </c>
    </row>
    <row r="54" spans="2:20" s="33" customFormat="1" ht="15" customHeight="1" x14ac:dyDescent="0.4">
      <c r="B54" s="38" t="s">
        <v>192</v>
      </c>
      <c r="C54" s="6" t="s">
        <v>160</v>
      </c>
      <c r="D54" s="6">
        <f t="shared" si="19"/>
        <v>1</v>
      </c>
      <c r="E54" s="34">
        <v>2</v>
      </c>
      <c r="F54" s="212">
        <v>20550</v>
      </c>
      <c r="G54" s="195">
        <v>46000</v>
      </c>
      <c r="H54" s="8"/>
      <c r="I54" s="212">
        <v>25100</v>
      </c>
      <c r="J54" s="8">
        <v>46084</v>
      </c>
      <c r="K54" s="23">
        <f t="shared" si="20"/>
        <v>0</v>
      </c>
      <c r="L54" s="23">
        <f t="shared" si="21"/>
        <v>0</v>
      </c>
      <c r="M54" s="206">
        <f t="shared" si="25"/>
        <v>100.4</v>
      </c>
      <c r="N54" s="34"/>
      <c r="O54" s="209">
        <f t="shared" si="10"/>
        <v>85</v>
      </c>
      <c r="P54" s="34">
        <f t="shared" si="22"/>
        <v>41100</v>
      </c>
      <c r="Q54" s="34">
        <f t="shared" si="23"/>
        <v>50200</v>
      </c>
      <c r="R54" s="7">
        <f t="shared" si="24"/>
        <v>-100.4</v>
      </c>
      <c r="S54" s="227">
        <f t="shared" si="14"/>
        <v>8999.6</v>
      </c>
      <c r="T54" s="249">
        <f t="shared" si="15"/>
        <v>0.21896836982968371</v>
      </c>
    </row>
    <row r="55" spans="2:20" s="33" customFormat="1" ht="15" customHeight="1" x14ac:dyDescent="0.4">
      <c r="B55" s="38" t="s">
        <v>192</v>
      </c>
      <c r="C55" s="6" t="s">
        <v>160</v>
      </c>
      <c r="D55" s="6">
        <f t="shared" si="19"/>
        <v>1</v>
      </c>
      <c r="E55" s="34">
        <v>2</v>
      </c>
      <c r="F55" s="212">
        <v>20900</v>
      </c>
      <c r="G55" s="195">
        <v>46007</v>
      </c>
      <c r="H55" s="8"/>
      <c r="I55" s="212">
        <v>25100</v>
      </c>
      <c r="J55" s="8">
        <v>46084</v>
      </c>
      <c r="K55" s="23">
        <f t="shared" si="20"/>
        <v>0</v>
      </c>
      <c r="L55" s="23">
        <f t="shared" si="21"/>
        <v>0</v>
      </c>
      <c r="M55" s="206">
        <f t="shared" si="25"/>
        <v>100.4</v>
      </c>
      <c r="N55" s="34"/>
      <c r="O55" s="209">
        <f t="shared" si="10"/>
        <v>78</v>
      </c>
      <c r="P55" s="34">
        <f t="shared" si="22"/>
        <v>41800</v>
      </c>
      <c r="Q55" s="34">
        <f t="shared" si="23"/>
        <v>50200</v>
      </c>
      <c r="R55" s="7">
        <f t="shared" si="24"/>
        <v>-100.4</v>
      </c>
      <c r="S55" s="227">
        <f t="shared" si="14"/>
        <v>8299.6</v>
      </c>
      <c r="T55" s="249">
        <f t="shared" si="15"/>
        <v>0.19855502392344498</v>
      </c>
    </row>
    <row r="56" spans="2:20" s="33" customFormat="1" ht="15" customHeight="1" x14ac:dyDescent="0.4">
      <c r="B56" s="38" t="s">
        <v>192</v>
      </c>
      <c r="C56" s="6" t="s">
        <v>160</v>
      </c>
      <c r="D56" s="6">
        <f t="shared" si="19"/>
        <v>1</v>
      </c>
      <c r="E56" s="34">
        <v>2</v>
      </c>
      <c r="F56" s="212">
        <v>20600</v>
      </c>
      <c r="G56" s="195">
        <v>46014</v>
      </c>
      <c r="H56" s="8"/>
      <c r="I56" s="212">
        <v>25100</v>
      </c>
      <c r="J56" s="8">
        <v>46084</v>
      </c>
      <c r="K56" s="23">
        <f t="shared" si="20"/>
        <v>0</v>
      </c>
      <c r="L56" s="23">
        <f t="shared" si="21"/>
        <v>0</v>
      </c>
      <c r="M56" s="206">
        <f t="shared" si="25"/>
        <v>100.4</v>
      </c>
      <c r="N56" s="34"/>
      <c r="O56" s="209">
        <f t="shared" si="10"/>
        <v>71</v>
      </c>
      <c r="P56" s="34">
        <f t="shared" si="22"/>
        <v>41200</v>
      </c>
      <c r="Q56" s="34">
        <f t="shared" si="23"/>
        <v>50200</v>
      </c>
      <c r="R56" s="7">
        <f t="shared" si="24"/>
        <v>-100.4</v>
      </c>
      <c r="S56" s="227">
        <f t="shared" si="14"/>
        <v>8899.6</v>
      </c>
      <c r="T56" s="249">
        <f t="shared" si="15"/>
        <v>0.2160097087378641</v>
      </c>
    </row>
    <row r="57" spans="2:20" s="33" customFormat="1" ht="15" customHeight="1" x14ac:dyDescent="0.4">
      <c r="B57" s="38" t="s">
        <v>192</v>
      </c>
      <c r="C57" s="6" t="s">
        <v>160</v>
      </c>
      <c r="D57" s="6">
        <f t="shared" si="19"/>
        <v>1</v>
      </c>
      <c r="E57" s="34">
        <v>2</v>
      </c>
      <c r="F57" s="212">
        <v>20300</v>
      </c>
      <c r="G57" s="195">
        <v>46021</v>
      </c>
      <c r="H57" s="8"/>
      <c r="I57" s="212">
        <v>25100</v>
      </c>
      <c r="J57" s="8">
        <v>46084</v>
      </c>
      <c r="K57" s="23">
        <f t="shared" si="20"/>
        <v>0</v>
      </c>
      <c r="L57" s="23">
        <f t="shared" si="21"/>
        <v>0</v>
      </c>
      <c r="M57" s="206">
        <f t="shared" si="25"/>
        <v>100.4</v>
      </c>
      <c r="N57" s="34"/>
      <c r="O57" s="209">
        <f t="shared" si="10"/>
        <v>64</v>
      </c>
      <c r="P57" s="34">
        <f t="shared" si="22"/>
        <v>40600</v>
      </c>
      <c r="Q57" s="34">
        <f t="shared" si="23"/>
        <v>50200</v>
      </c>
      <c r="R57" s="7">
        <f t="shared" si="24"/>
        <v>-100.4</v>
      </c>
      <c r="S57" s="227">
        <f t="shared" si="14"/>
        <v>9499.6</v>
      </c>
      <c r="T57" s="249">
        <f t="shared" si="15"/>
        <v>0.23398029556650246</v>
      </c>
    </row>
    <row r="58" spans="2:20" s="33" customFormat="1" ht="15" customHeight="1" x14ac:dyDescent="0.4">
      <c r="B58" s="38" t="s">
        <v>192</v>
      </c>
      <c r="C58" s="6" t="s">
        <v>160</v>
      </c>
      <c r="D58" s="6">
        <f t="shared" si="19"/>
        <v>1</v>
      </c>
      <c r="E58" s="34">
        <v>2</v>
      </c>
      <c r="F58" s="212">
        <v>19880</v>
      </c>
      <c r="G58" s="195">
        <v>46028</v>
      </c>
      <c r="H58" s="8"/>
      <c r="I58" s="212">
        <v>25100</v>
      </c>
      <c r="J58" s="8">
        <v>46084</v>
      </c>
      <c r="K58" s="23">
        <f t="shared" si="20"/>
        <v>0</v>
      </c>
      <c r="L58" s="23">
        <f t="shared" si="21"/>
        <v>0</v>
      </c>
      <c r="M58" s="206">
        <f t="shared" si="25"/>
        <v>100.4</v>
      </c>
      <c r="N58" s="34"/>
      <c r="O58" s="209">
        <f t="shared" si="10"/>
        <v>57</v>
      </c>
      <c r="P58" s="34">
        <f t="shared" si="22"/>
        <v>39760</v>
      </c>
      <c r="Q58" s="34">
        <f t="shared" si="23"/>
        <v>50200</v>
      </c>
      <c r="R58" s="7">
        <f t="shared" si="24"/>
        <v>-100.4</v>
      </c>
      <c r="S58" s="227">
        <f t="shared" si="14"/>
        <v>10339.6</v>
      </c>
      <c r="T58" s="249">
        <f t="shared" si="15"/>
        <v>0.26005030181086519</v>
      </c>
    </row>
    <row r="59" spans="2:20" s="33" customFormat="1" ht="15" customHeight="1" x14ac:dyDescent="0.4">
      <c r="B59" s="38" t="s">
        <v>192</v>
      </c>
      <c r="C59" s="6" t="s">
        <v>160</v>
      </c>
      <c r="D59" s="6">
        <f t="shared" si="19"/>
        <v>1</v>
      </c>
      <c r="E59" s="34">
        <v>2</v>
      </c>
      <c r="F59" s="212">
        <v>20350</v>
      </c>
      <c r="G59" s="195">
        <v>46035</v>
      </c>
      <c r="H59" s="8"/>
      <c r="I59" s="212">
        <v>25100</v>
      </c>
      <c r="J59" s="8">
        <v>46084</v>
      </c>
      <c r="K59" s="23">
        <f t="shared" si="20"/>
        <v>0</v>
      </c>
      <c r="L59" s="23">
        <f t="shared" si="21"/>
        <v>0</v>
      </c>
      <c r="M59" s="206">
        <f t="shared" si="25"/>
        <v>100.4</v>
      </c>
      <c r="N59" s="34"/>
      <c r="O59" s="209">
        <f t="shared" si="10"/>
        <v>50</v>
      </c>
      <c r="P59" s="34">
        <f t="shared" si="22"/>
        <v>40700</v>
      </c>
      <c r="Q59" s="34">
        <f t="shared" si="23"/>
        <v>50200</v>
      </c>
      <c r="R59" s="7">
        <f t="shared" si="24"/>
        <v>-100.4</v>
      </c>
      <c r="S59" s="227">
        <f t="shared" si="14"/>
        <v>9399.6</v>
      </c>
      <c r="T59" s="249">
        <f t="shared" si="15"/>
        <v>0.23094840294840296</v>
      </c>
    </row>
    <row r="60" spans="2:20" s="33" customFormat="1" ht="15" customHeight="1" x14ac:dyDescent="0.4">
      <c r="B60" s="38" t="s">
        <v>192</v>
      </c>
      <c r="C60" s="6" t="s">
        <v>160</v>
      </c>
      <c r="D60" s="6">
        <f t="shared" si="19"/>
        <v>1</v>
      </c>
      <c r="E60" s="34">
        <v>2</v>
      </c>
      <c r="F60" s="212">
        <v>19850</v>
      </c>
      <c r="G60" s="195">
        <v>46042</v>
      </c>
      <c r="H60" s="8"/>
      <c r="I60" s="212">
        <v>25100</v>
      </c>
      <c r="J60" s="8">
        <v>46084</v>
      </c>
      <c r="K60" s="23">
        <f t="shared" si="20"/>
        <v>0</v>
      </c>
      <c r="L60" s="23">
        <f t="shared" si="21"/>
        <v>0</v>
      </c>
      <c r="M60" s="206">
        <f t="shared" si="25"/>
        <v>100.4</v>
      </c>
      <c r="N60" s="34"/>
      <c r="O60" s="209">
        <f t="shared" si="10"/>
        <v>43</v>
      </c>
      <c r="P60" s="34">
        <f t="shared" si="22"/>
        <v>39700</v>
      </c>
      <c r="Q60" s="34">
        <f t="shared" si="23"/>
        <v>50200</v>
      </c>
      <c r="R60" s="7">
        <f t="shared" si="24"/>
        <v>-100.4</v>
      </c>
      <c r="S60" s="227">
        <f t="shared" si="14"/>
        <v>10399.6</v>
      </c>
      <c r="T60" s="249">
        <f t="shared" si="15"/>
        <v>0.26195465994962219</v>
      </c>
    </row>
    <row r="61" spans="2:20" s="33" customFormat="1" ht="15" customHeight="1" x14ac:dyDescent="0.4">
      <c r="B61" s="38" t="s">
        <v>192</v>
      </c>
      <c r="C61" s="6" t="s">
        <v>160</v>
      </c>
      <c r="D61" s="6">
        <f t="shared" si="19"/>
        <v>1</v>
      </c>
      <c r="E61" s="34">
        <v>2</v>
      </c>
      <c r="F61" s="212">
        <v>20100</v>
      </c>
      <c r="G61" s="195">
        <v>46049</v>
      </c>
      <c r="H61" s="8"/>
      <c r="I61" s="212">
        <v>25100</v>
      </c>
      <c r="J61" s="8">
        <v>46084</v>
      </c>
      <c r="K61" s="23">
        <f t="shared" si="20"/>
        <v>0</v>
      </c>
      <c r="L61" s="23">
        <f t="shared" si="21"/>
        <v>0</v>
      </c>
      <c r="M61" s="206">
        <f t="shared" si="25"/>
        <v>100.4</v>
      </c>
      <c r="N61" s="34"/>
      <c r="O61" s="209">
        <f t="shared" si="10"/>
        <v>36</v>
      </c>
      <c r="P61" s="34">
        <f t="shared" si="22"/>
        <v>40200</v>
      </c>
      <c r="Q61" s="34">
        <f t="shared" si="23"/>
        <v>50200</v>
      </c>
      <c r="R61" s="7">
        <f t="shared" si="24"/>
        <v>-100.4</v>
      </c>
      <c r="S61" s="227">
        <f t="shared" si="14"/>
        <v>9899.6</v>
      </c>
      <c r="T61" s="249">
        <f t="shared" si="15"/>
        <v>0.24625870646766171</v>
      </c>
    </row>
    <row r="62" spans="2:20" s="33" customFormat="1" ht="15" customHeight="1" x14ac:dyDescent="0.4">
      <c r="B62" s="38" t="s">
        <v>192</v>
      </c>
      <c r="C62" s="6" t="s">
        <v>160</v>
      </c>
      <c r="D62" s="6">
        <f t="shared" si="19"/>
        <v>1</v>
      </c>
      <c r="E62" s="34">
        <v>2</v>
      </c>
      <c r="F62" s="212">
        <v>19760</v>
      </c>
      <c r="G62" s="195">
        <v>46056</v>
      </c>
      <c r="H62" s="8"/>
      <c r="I62" s="212">
        <v>25100</v>
      </c>
      <c r="J62" s="8">
        <v>46084</v>
      </c>
      <c r="K62" s="23">
        <f t="shared" si="20"/>
        <v>0</v>
      </c>
      <c r="L62" s="23">
        <f t="shared" si="21"/>
        <v>0</v>
      </c>
      <c r="M62" s="206">
        <f t="shared" si="25"/>
        <v>100.4</v>
      </c>
      <c r="N62" s="34"/>
      <c r="O62" s="209">
        <f t="shared" si="10"/>
        <v>29</v>
      </c>
      <c r="P62" s="34">
        <f t="shared" si="22"/>
        <v>39520</v>
      </c>
      <c r="Q62" s="34">
        <f t="shared" si="23"/>
        <v>50200</v>
      </c>
      <c r="R62" s="7">
        <f t="shared" si="24"/>
        <v>-100.4</v>
      </c>
      <c r="S62" s="227">
        <f t="shared" si="14"/>
        <v>10579.6</v>
      </c>
      <c r="T62" s="249">
        <f t="shared" si="15"/>
        <v>0.26770242914979758</v>
      </c>
    </row>
    <row r="63" spans="2:20" s="33" customFormat="1" ht="15" customHeight="1" x14ac:dyDescent="0.4">
      <c r="B63" s="38" t="s">
        <v>192</v>
      </c>
      <c r="C63" s="6" t="s">
        <v>160</v>
      </c>
      <c r="D63" s="6">
        <f t="shared" si="19"/>
        <v>1</v>
      </c>
      <c r="E63" s="34">
        <v>2</v>
      </c>
      <c r="F63" s="212">
        <v>20500</v>
      </c>
      <c r="G63" s="195">
        <v>46063</v>
      </c>
      <c r="H63" s="8"/>
      <c r="I63" s="212">
        <v>25100</v>
      </c>
      <c r="J63" s="8">
        <v>46084</v>
      </c>
      <c r="K63" s="23">
        <f t="shared" si="20"/>
        <v>0</v>
      </c>
      <c r="L63" s="23">
        <f t="shared" si="21"/>
        <v>0</v>
      </c>
      <c r="M63" s="206">
        <f t="shared" si="25"/>
        <v>100.4</v>
      </c>
      <c r="N63" s="34"/>
      <c r="O63" s="209">
        <f t="shared" si="10"/>
        <v>22</v>
      </c>
      <c r="P63" s="34">
        <f t="shared" si="22"/>
        <v>41000</v>
      </c>
      <c r="Q63" s="34">
        <f t="shared" si="23"/>
        <v>50200</v>
      </c>
      <c r="R63" s="7">
        <f t="shared" si="24"/>
        <v>-100.4</v>
      </c>
      <c r="S63" s="227">
        <f t="shared" si="14"/>
        <v>9099.6</v>
      </c>
      <c r="T63" s="249">
        <f t="shared" si="15"/>
        <v>0.22194146341463417</v>
      </c>
    </row>
    <row r="64" spans="2:20" s="33" customFormat="1" ht="15" customHeight="1" x14ac:dyDescent="0.4">
      <c r="B64" s="38" t="s">
        <v>192</v>
      </c>
      <c r="C64" s="6" t="s">
        <v>160</v>
      </c>
      <c r="D64" s="6">
        <f t="shared" si="19"/>
        <v>1</v>
      </c>
      <c r="E64" s="34">
        <v>2</v>
      </c>
      <c r="F64" s="212">
        <v>23000</v>
      </c>
      <c r="G64" s="195">
        <v>46077</v>
      </c>
      <c r="H64" s="8"/>
      <c r="I64" s="212">
        <v>25100</v>
      </c>
      <c r="J64" s="8">
        <v>46084</v>
      </c>
      <c r="K64" s="23">
        <f t="shared" si="20"/>
        <v>0</v>
      </c>
      <c r="L64" s="23">
        <f t="shared" si="21"/>
        <v>0</v>
      </c>
      <c r="M64" s="206">
        <f t="shared" si="25"/>
        <v>100.4</v>
      </c>
      <c r="N64" s="34"/>
      <c r="O64" s="209">
        <f t="shared" si="10"/>
        <v>8</v>
      </c>
      <c r="P64" s="34">
        <f t="shared" si="22"/>
        <v>46000</v>
      </c>
      <c r="Q64" s="34">
        <f t="shared" si="23"/>
        <v>50200</v>
      </c>
      <c r="R64" s="7">
        <f t="shared" si="24"/>
        <v>-100.4</v>
      </c>
      <c r="S64" s="227">
        <f t="shared" si="14"/>
        <v>4099.6000000000004</v>
      </c>
      <c r="T64" s="249">
        <f t="shared" si="15"/>
        <v>8.9121739130434793E-2</v>
      </c>
    </row>
    <row r="65" spans="2:25" s="6" customFormat="1" ht="16.5" customHeight="1" x14ac:dyDescent="0.4">
      <c r="B65" s="33" t="s">
        <v>193</v>
      </c>
      <c r="C65" s="6" t="s">
        <v>160</v>
      </c>
      <c r="D65" s="6">
        <f t="shared" si="19"/>
        <v>1</v>
      </c>
      <c r="E65" s="34">
        <v>150</v>
      </c>
      <c r="F65" s="212">
        <v>27500</v>
      </c>
      <c r="G65" s="8">
        <v>44020</v>
      </c>
      <c r="H65" s="8"/>
      <c r="I65" s="212">
        <v>28700</v>
      </c>
      <c r="J65" s="8">
        <v>44022</v>
      </c>
      <c r="K65" s="23">
        <f t="shared" si="20"/>
        <v>150</v>
      </c>
      <c r="L65" s="23">
        <f t="shared" si="21"/>
        <v>150</v>
      </c>
      <c r="M65" s="23">
        <f>Q65*0.0025</f>
        <v>10762.5</v>
      </c>
      <c r="N65" s="34"/>
      <c r="O65" s="23">
        <f t="shared" si="10"/>
        <v>3</v>
      </c>
      <c r="P65" s="34">
        <f t="shared" si="22"/>
        <v>4125000</v>
      </c>
      <c r="Q65" s="34">
        <f t="shared" si="23"/>
        <v>4305000</v>
      </c>
      <c r="R65" s="7">
        <f t="shared" si="24"/>
        <v>-11062.5</v>
      </c>
      <c r="S65" s="227">
        <f t="shared" si="14"/>
        <v>168937.5</v>
      </c>
      <c r="T65" s="9">
        <f t="shared" si="15"/>
        <v>4.0954545454545452E-2</v>
      </c>
      <c r="U65" s="33"/>
      <c r="V65" s="33"/>
      <c r="X65" s="6">
        <f t="shared" ref="X65:X70" si="26">E65*I65*0.0000221</f>
        <v>95.140499999999989</v>
      </c>
      <c r="Y65" s="6">
        <f>ROUNDUP(E65*I65*0.000021,2)</f>
        <v>90.410000000000011</v>
      </c>
    </row>
    <row r="66" spans="2:25" s="6" customFormat="1" ht="16.5" customHeight="1" x14ac:dyDescent="0.4">
      <c r="B66" s="33" t="s">
        <v>193</v>
      </c>
      <c r="C66" s="6" t="s">
        <v>160</v>
      </c>
      <c r="D66" s="6">
        <f t="shared" si="19"/>
        <v>1</v>
      </c>
      <c r="E66" s="34">
        <v>190</v>
      </c>
      <c r="F66" s="212">
        <v>30900</v>
      </c>
      <c r="G66" s="8">
        <v>44034</v>
      </c>
      <c r="H66" s="8"/>
      <c r="I66" s="212">
        <v>32200</v>
      </c>
      <c r="J66" s="8">
        <v>44034</v>
      </c>
      <c r="K66" s="23">
        <f t="shared" si="20"/>
        <v>210</v>
      </c>
      <c r="L66" s="23">
        <f t="shared" si="21"/>
        <v>220</v>
      </c>
      <c r="M66" s="23">
        <f>Q66*0.0025</f>
        <v>15295</v>
      </c>
      <c r="N66" s="34"/>
      <c r="O66" s="23">
        <f t="shared" si="10"/>
        <v>1</v>
      </c>
      <c r="P66" s="34">
        <f t="shared" si="22"/>
        <v>5871000</v>
      </c>
      <c r="Q66" s="34">
        <f t="shared" si="23"/>
        <v>6118000</v>
      </c>
      <c r="R66" s="7">
        <f t="shared" si="24"/>
        <v>-15725</v>
      </c>
      <c r="S66" s="227">
        <f t="shared" si="14"/>
        <v>231275</v>
      </c>
      <c r="T66" s="313">
        <f t="shared" si="15"/>
        <v>3.9392778061659001E-2</v>
      </c>
      <c r="U66" s="33"/>
      <c r="V66" s="33"/>
      <c r="X66" s="6">
        <f t="shared" si="26"/>
        <v>135.20779999999999</v>
      </c>
      <c r="Y66" s="6">
        <f>ROUNDUP(E66*I66*0.000021,2)</f>
        <v>128.47999999999999</v>
      </c>
    </row>
    <row r="67" spans="2:25" s="6" customFormat="1" ht="16.5" customHeight="1" x14ac:dyDescent="0.4">
      <c r="B67" s="33" t="s">
        <v>193</v>
      </c>
      <c r="C67" s="6" t="s">
        <v>160</v>
      </c>
      <c r="D67" s="6">
        <f t="shared" si="19"/>
        <v>1</v>
      </c>
      <c r="E67" s="34">
        <v>328</v>
      </c>
      <c r="F67" s="212">
        <v>30950</v>
      </c>
      <c r="G67" s="8">
        <v>44039</v>
      </c>
      <c r="H67" s="8"/>
      <c r="I67" s="212">
        <v>32500</v>
      </c>
      <c r="J67" s="8">
        <v>44048</v>
      </c>
      <c r="K67" s="23">
        <f t="shared" si="20"/>
        <v>360</v>
      </c>
      <c r="L67" s="23">
        <f t="shared" si="21"/>
        <v>380</v>
      </c>
      <c r="M67" s="23">
        <f>Q67*0.0025</f>
        <v>26650</v>
      </c>
      <c r="N67" s="34"/>
      <c r="O67" s="23">
        <f t="shared" si="10"/>
        <v>10</v>
      </c>
      <c r="P67" s="34">
        <f t="shared" si="22"/>
        <v>10151600</v>
      </c>
      <c r="Q67" s="34">
        <f t="shared" si="23"/>
        <v>10660000</v>
      </c>
      <c r="R67" s="7">
        <f t="shared" si="24"/>
        <v>-27390</v>
      </c>
      <c r="S67" s="227">
        <f t="shared" si="14"/>
        <v>481010</v>
      </c>
      <c r="T67" s="313">
        <f t="shared" si="15"/>
        <v>4.7382678592537135E-2</v>
      </c>
      <c r="U67" s="33"/>
      <c r="V67" s="33"/>
      <c r="X67" s="6">
        <f t="shared" si="26"/>
        <v>235.58599999999998</v>
      </c>
      <c r="Y67" s="6">
        <f>ROUNDUP(E67*I67*0.000021,2)</f>
        <v>223.86</v>
      </c>
    </row>
    <row r="68" spans="2:25" s="6" customFormat="1" ht="16.5" customHeight="1" x14ac:dyDescent="0.4">
      <c r="B68" s="33" t="s">
        <v>194</v>
      </c>
      <c r="C68" s="6" t="s">
        <v>187</v>
      </c>
      <c r="E68" s="36">
        <v>10</v>
      </c>
      <c r="F68" s="212">
        <v>31900</v>
      </c>
      <c r="G68" s="8">
        <v>39757</v>
      </c>
      <c r="H68" s="8"/>
      <c r="I68" s="212">
        <v>35100</v>
      </c>
      <c r="J68" s="8">
        <v>39758</v>
      </c>
      <c r="K68" s="7">
        <v>90</v>
      </c>
      <c r="L68" s="7">
        <v>100</v>
      </c>
      <c r="M68" s="7"/>
      <c r="N68" s="36"/>
      <c r="O68" s="7">
        <f t="shared" si="10"/>
        <v>2</v>
      </c>
      <c r="P68" s="36">
        <f>F68*E68</f>
        <v>319000</v>
      </c>
      <c r="Q68" s="36">
        <f>I68*E68</f>
        <v>351000</v>
      </c>
      <c r="R68" s="7">
        <f>N68-K68-L68-M68</f>
        <v>-190</v>
      </c>
      <c r="S68" s="227">
        <f t="shared" si="14"/>
        <v>31810</v>
      </c>
      <c r="T68" s="9">
        <f t="shared" si="15"/>
        <v>9.9717868338557988E-2</v>
      </c>
      <c r="U68" s="9">
        <f>T68*365/O68</f>
        <v>18.198510971786831</v>
      </c>
      <c r="X68" s="6">
        <f t="shared" si="26"/>
        <v>7.7570999999999994</v>
      </c>
    </row>
    <row r="69" spans="2:25" s="6" customFormat="1" ht="16.5" customHeight="1" x14ac:dyDescent="0.4">
      <c r="B69" s="33" t="s">
        <v>194</v>
      </c>
      <c r="C69" s="6" t="s">
        <v>187</v>
      </c>
      <c r="E69" s="36">
        <v>10</v>
      </c>
      <c r="F69" s="212">
        <v>32600</v>
      </c>
      <c r="G69" s="8">
        <v>39765</v>
      </c>
      <c r="H69" s="8"/>
      <c r="I69" s="212">
        <v>34150</v>
      </c>
      <c r="J69" s="8">
        <v>39771</v>
      </c>
      <c r="K69" s="7">
        <v>90</v>
      </c>
      <c r="L69" s="7">
        <v>90</v>
      </c>
      <c r="M69" s="7"/>
      <c r="N69" s="36"/>
      <c r="O69" s="7">
        <f t="shared" si="10"/>
        <v>7</v>
      </c>
      <c r="P69" s="36">
        <f>F69*E69</f>
        <v>326000</v>
      </c>
      <c r="Q69" s="36">
        <f>I69*E69</f>
        <v>341500</v>
      </c>
      <c r="R69" s="7">
        <f>N69-K69-L69-M69</f>
        <v>-180</v>
      </c>
      <c r="S69" s="227">
        <f t="shared" si="14"/>
        <v>15320</v>
      </c>
      <c r="T69" s="9">
        <f t="shared" si="15"/>
        <v>4.6993865030674847E-2</v>
      </c>
      <c r="U69" s="9">
        <f>T69*365/O69</f>
        <v>2.4503943908851888</v>
      </c>
      <c r="X69" s="6">
        <f t="shared" si="26"/>
        <v>7.5471499999999994</v>
      </c>
    </row>
    <row r="70" spans="2:25" s="6" customFormat="1" ht="16.5" customHeight="1" x14ac:dyDescent="0.4">
      <c r="B70" s="33" t="s">
        <v>194</v>
      </c>
      <c r="C70" s="6" t="s">
        <v>187</v>
      </c>
      <c r="E70" s="36">
        <v>10</v>
      </c>
      <c r="F70" s="212">
        <v>28500</v>
      </c>
      <c r="G70" s="8">
        <v>39876</v>
      </c>
      <c r="H70" s="8"/>
      <c r="I70" s="212">
        <v>31800</v>
      </c>
      <c r="J70" s="8">
        <v>39885</v>
      </c>
      <c r="K70" s="7">
        <v>80</v>
      </c>
      <c r="L70" s="7">
        <v>90</v>
      </c>
      <c r="M70" s="7"/>
      <c r="N70" s="36"/>
      <c r="O70" s="7">
        <f t="shared" si="10"/>
        <v>10</v>
      </c>
      <c r="P70" s="36">
        <f>F70*E70</f>
        <v>285000</v>
      </c>
      <c r="Q70" s="36">
        <f>I70*E70</f>
        <v>318000</v>
      </c>
      <c r="R70" s="7">
        <f>N70-K70-L70-M70</f>
        <v>-170</v>
      </c>
      <c r="S70" s="227">
        <f t="shared" si="14"/>
        <v>32830</v>
      </c>
      <c r="T70" s="9">
        <f t="shared" si="15"/>
        <v>0.11519298245614035</v>
      </c>
      <c r="U70" s="9">
        <f>T70*365/O70</f>
        <v>4.2045438596491227</v>
      </c>
      <c r="X70" s="6">
        <f t="shared" si="26"/>
        <v>7.0277999999999992</v>
      </c>
    </row>
    <row r="71" spans="2:25" s="6" customFormat="1" ht="16.5" customHeight="1" x14ac:dyDescent="0.4">
      <c r="B71" s="33" t="s">
        <v>195</v>
      </c>
      <c r="C71" s="6" t="s">
        <v>162</v>
      </c>
      <c r="E71" s="36">
        <v>70</v>
      </c>
      <c r="F71" s="212">
        <v>15730</v>
      </c>
      <c r="G71" s="8">
        <v>43132</v>
      </c>
      <c r="H71" s="8"/>
      <c r="I71" s="212">
        <v>15690</v>
      </c>
      <c r="J71" s="8">
        <v>43165</v>
      </c>
      <c r="K71" s="7">
        <f>ROUNDDOWN(E71*F71*0.0015,-1)</f>
        <v>1650</v>
      </c>
      <c r="L71" s="7">
        <f>ROUNDDOWN(I71*E71*0.0015,-1)</f>
        <v>1640</v>
      </c>
      <c r="M71" s="7">
        <f>I71*E71*0.003</f>
        <v>3294.9</v>
      </c>
      <c r="N71" s="36"/>
      <c r="O71" s="7">
        <f t="shared" si="10"/>
        <v>34</v>
      </c>
      <c r="P71" s="36">
        <f>F71*E71</f>
        <v>1101100</v>
      </c>
      <c r="Q71" s="36">
        <f>I71*E71</f>
        <v>1098300</v>
      </c>
      <c r="R71" s="7">
        <f>N71-K71-L71-M71</f>
        <v>-6584.9</v>
      </c>
      <c r="S71" s="227">
        <f t="shared" si="14"/>
        <v>-9384.9</v>
      </c>
      <c r="T71" s="9">
        <f t="shared" si="15"/>
        <v>-8.523204068658613E-3</v>
      </c>
      <c r="U71" s="9">
        <f>T71*365/O71</f>
        <v>-9.1499102501776286E-2</v>
      </c>
    </row>
    <row r="72" spans="2:25" s="6" customFormat="1" ht="16.5" customHeight="1" x14ac:dyDescent="0.4">
      <c r="B72" s="33" t="s">
        <v>195</v>
      </c>
      <c r="C72" s="6" t="s">
        <v>162</v>
      </c>
      <c r="E72" s="36">
        <v>50</v>
      </c>
      <c r="F72" s="212">
        <v>12995</v>
      </c>
      <c r="G72" s="8">
        <v>43250</v>
      </c>
      <c r="H72" s="8"/>
      <c r="I72" s="212">
        <v>13350</v>
      </c>
      <c r="J72" s="8">
        <v>43255</v>
      </c>
      <c r="K72" s="7">
        <f>ROUNDDOWN(E72*F72*0.0015,-1)</f>
        <v>970</v>
      </c>
      <c r="L72" s="7">
        <f>ROUNDDOWN(I72*E72*0.0015,-1)</f>
        <v>1000</v>
      </c>
      <c r="M72" s="7">
        <f>I72*E72*0.003</f>
        <v>2002.5</v>
      </c>
      <c r="N72" s="36"/>
      <c r="O72" s="7">
        <f t="shared" si="10"/>
        <v>6</v>
      </c>
      <c r="P72" s="36">
        <f>F72*E72</f>
        <v>649750</v>
      </c>
      <c r="Q72" s="36">
        <f>I72*E72</f>
        <v>667500</v>
      </c>
      <c r="R72" s="7">
        <f>N72-K72-L72-M72</f>
        <v>-3972.5</v>
      </c>
      <c r="S72" s="227">
        <f t="shared" si="14"/>
        <v>13777.5</v>
      </c>
      <c r="T72" s="9">
        <f t="shared" si="15"/>
        <v>2.1204309349749904E-2</v>
      </c>
      <c r="U72" s="9">
        <f>T72*365/O72</f>
        <v>1.2899288187764524</v>
      </c>
    </row>
    <row r="73" spans="2:25" ht="15" customHeight="1" x14ac:dyDescent="0.4">
      <c r="B73" s="38" t="s">
        <v>196</v>
      </c>
      <c r="C73" s="6" t="s">
        <v>160</v>
      </c>
      <c r="D73" s="6">
        <f>IF(OR($C73="신한",$C73="OTC",$C73="무상증자(신한)",$C73="토스",$C73="R토스"),1,"확인")</f>
        <v>1</v>
      </c>
      <c r="E73" s="34">
        <v>1000</v>
      </c>
      <c r="F73" s="212">
        <v>7875</v>
      </c>
      <c r="G73" s="195">
        <v>46000</v>
      </c>
      <c r="H73" s="6"/>
      <c r="I73" s="212">
        <v>8375</v>
      </c>
      <c r="J73" s="8">
        <v>46014</v>
      </c>
      <c r="K73" s="23">
        <f>IF($C73="OTC",ROUNDDOWN($E73*$F73*0.000909187,-1),(IF($C73="신한",ROUNDDOWN($E73*$F73*0.000036396,-1),(IF($C73="토스",$E73*$F73*0.00015,(IF($C73="US",(IF($E73*$F73*0.0025&gt;0.01,$E73*$F73*0.0025,0.01)),IF($C73="JP",(IF($E73*$F73*0.0025&gt;1000,$E73*$F73*0.0025,1000)),(IF($C73="R토스",0,IF($C73="무상증자(신한)",0,"")))))))))))</f>
        <v>280</v>
      </c>
      <c r="L73" s="23">
        <f>IF($C73="OTC",ROUNDDOWN($I73*$E73*0.000909187,-1),(IF($C73="신한",ROUNDDOWN($I73*$E73*0.000036396,-1),(IF($C73="토스",$I73*$E73*0.00015,(IF($C73="US",(IF($I73*$E73*0.0025&gt;0.01,$I73*$E73*0.0025,0.01)),(IF($C73="JP",(IF($I73*$E73*0.0025&gt;1000,$I73*$E73*0.0025,1000)),(IF($C73="R토스",$I73*$E73*0.00015,(IF($C73="무상증자(신한)",ROUNDDOWN($I73*$E73*0.000036396,-1),"")))))))))))))</f>
        <v>300</v>
      </c>
      <c r="M73" s="206">
        <f>Q73*0.0015</f>
        <v>12562.5</v>
      </c>
      <c r="N73" s="34"/>
      <c r="O73" s="209">
        <f t="shared" si="10"/>
        <v>15</v>
      </c>
      <c r="P73" s="34">
        <f>$E73*$F73*$D73</f>
        <v>7875000</v>
      </c>
      <c r="Q73" s="34">
        <f>$E73*$I73*$D73</f>
        <v>8375000</v>
      </c>
      <c r="R73" s="7">
        <f>($N73-$K73-$L73-$M73)*$D73</f>
        <v>-13142.5</v>
      </c>
      <c r="S73" s="227">
        <f t="shared" si="14"/>
        <v>486857.5</v>
      </c>
      <c r="T73" s="249">
        <f t="shared" si="15"/>
        <v>6.1823174603174602E-2</v>
      </c>
      <c r="U73" s="38"/>
      <c r="V73" s="33"/>
      <c r="W73" s="25"/>
      <c r="X73" s="25"/>
      <c r="Y73" s="7"/>
    </row>
    <row r="74" spans="2:25" ht="15" customHeight="1" x14ac:dyDescent="0.4">
      <c r="B74" s="38" t="s">
        <v>196</v>
      </c>
      <c r="C74" s="6" t="s">
        <v>160</v>
      </c>
      <c r="D74" s="6">
        <f>IF(OR($C74="신한",$C74="OTC",$C74="무상증자(신한)",$C74="토스",$C74="R토스"),1,"확인")</f>
        <v>1</v>
      </c>
      <c r="E74" s="34">
        <v>1000</v>
      </c>
      <c r="F74" s="212">
        <v>8000</v>
      </c>
      <c r="G74" s="195">
        <v>46015</v>
      </c>
      <c r="H74" s="6"/>
      <c r="I74" s="212">
        <v>8400</v>
      </c>
      <c r="J74" s="8">
        <v>46020</v>
      </c>
      <c r="K74" s="23">
        <f>IF($C74="OTC",ROUNDDOWN($E74*$F74*0.000909187,-1),(IF($C74="신한",ROUNDDOWN($E74*$F74*0.000036396,-1),(IF($C74="토스",$E74*$F74*0.00015,(IF($C74="US",(IF($E74*$F74*0.0025&gt;0.01,$E74*$F74*0.0025,0.01)),IF($C74="JP",(IF($E74*$F74*0.0025&gt;1000,$E74*$F74*0.0025,1000)),(IF($C74="R토스",0,IF($C74="무상증자(신한)",0,"")))))))))))</f>
        <v>290</v>
      </c>
      <c r="L74" s="23">
        <f>IF($C74="OTC",ROUNDDOWN($I74*$E74*0.000909187,-1),(IF($C74="신한",ROUNDDOWN($I74*$E74*0.000036396,-1),(IF($C74="토스",$I74*$E74*0.00015,(IF($C74="US",(IF($I74*$E74*0.0025&gt;0.01,$I74*$E74*0.0025,0.01)),(IF($C74="JP",(IF($I74*$E74*0.0025&gt;1000,$I74*$E74*0.0025,1000)),(IF($C74="R토스",$I74*$E74*0.00015,(IF($C74="무상증자(신한)",ROUNDDOWN($I74*$E74*0.000036396,-1),"")))))))))))))</f>
        <v>300</v>
      </c>
      <c r="M74" s="206">
        <f>Q74*0.0015</f>
        <v>12600</v>
      </c>
      <c r="N74" s="34"/>
      <c r="O74" s="209">
        <f t="shared" si="10"/>
        <v>6</v>
      </c>
      <c r="P74" s="34">
        <f>$E74*$F74*$D74</f>
        <v>8000000</v>
      </c>
      <c r="Q74" s="34">
        <f>$E74*$I74*$D74</f>
        <v>8400000</v>
      </c>
      <c r="R74" s="7">
        <f>($N74-$K74-$L74-$M74)*$D74</f>
        <v>-13190</v>
      </c>
      <c r="S74" s="227">
        <f t="shared" si="14"/>
        <v>386810</v>
      </c>
      <c r="T74" s="249">
        <f t="shared" si="15"/>
        <v>4.8351249999999998E-2</v>
      </c>
      <c r="U74" s="38"/>
      <c r="V74" s="33"/>
      <c r="W74" s="25"/>
      <c r="X74" s="25"/>
      <c r="Y74" s="7"/>
    </row>
    <row r="75" spans="2:25" ht="15" customHeight="1" x14ac:dyDescent="0.4">
      <c r="B75" s="38" t="s">
        <v>197</v>
      </c>
      <c r="C75" s="6" t="s">
        <v>162</v>
      </c>
      <c r="D75" s="6"/>
      <c r="E75" s="36">
        <v>100</v>
      </c>
      <c r="F75" s="212">
        <v>9950</v>
      </c>
      <c r="G75" s="195">
        <v>42716</v>
      </c>
      <c r="H75" s="8"/>
      <c r="I75" s="212">
        <v>8010</v>
      </c>
      <c r="J75" s="8">
        <v>43164</v>
      </c>
      <c r="K75" s="7">
        <f t="shared" ref="K75:K85" si="27">ROUNDDOWN(E75*F75*0.0015,-1)</f>
        <v>1490</v>
      </c>
      <c r="L75" s="7">
        <f t="shared" ref="L75:L85" si="28">ROUNDDOWN(I75*E75*0.0015,-1)</f>
        <v>1200</v>
      </c>
      <c r="M75" s="196">
        <f>I75*E75*0.003</f>
        <v>2403</v>
      </c>
      <c r="N75" s="36"/>
      <c r="O75" s="191">
        <f t="shared" si="10"/>
        <v>449</v>
      </c>
      <c r="P75" s="36">
        <f t="shared" ref="P75:P90" si="29">F75*E75</f>
        <v>995000</v>
      </c>
      <c r="Q75" s="36">
        <f t="shared" ref="Q75:Q90" si="30">I75*E75</f>
        <v>801000</v>
      </c>
      <c r="R75" s="7">
        <f t="shared" ref="R75:R90" si="31">N75-K75-L75-M75</f>
        <v>-5093</v>
      </c>
      <c r="S75" s="227">
        <f t="shared" si="14"/>
        <v>-199093</v>
      </c>
      <c r="T75" s="248">
        <f t="shared" si="15"/>
        <v>-0.20009346733668343</v>
      </c>
      <c r="U75" s="193">
        <f t="shared" ref="U75:U90" si="32">T75*365/O75</f>
        <v>-0.16265950017347316</v>
      </c>
      <c r="V75" s="6"/>
      <c r="W75" s="25"/>
      <c r="X75" s="25"/>
      <c r="Y75" s="7"/>
    </row>
    <row r="76" spans="2:25" ht="15" customHeight="1" x14ac:dyDescent="0.4">
      <c r="B76" s="38" t="s">
        <v>197</v>
      </c>
      <c r="C76" s="6" t="s">
        <v>162</v>
      </c>
      <c r="D76" s="6"/>
      <c r="E76" s="33">
        <v>110</v>
      </c>
      <c r="F76" s="212">
        <v>8600</v>
      </c>
      <c r="G76" s="195">
        <v>43045</v>
      </c>
      <c r="H76" s="8"/>
      <c r="I76" s="212">
        <v>8010</v>
      </c>
      <c r="J76" s="8">
        <v>43164</v>
      </c>
      <c r="K76" s="7">
        <f t="shared" si="27"/>
        <v>1410</v>
      </c>
      <c r="L76" s="7">
        <f t="shared" si="28"/>
        <v>1320</v>
      </c>
      <c r="M76" s="196">
        <f>I76*E76*0.003</f>
        <v>2643.3</v>
      </c>
      <c r="N76" s="36"/>
      <c r="O76" s="191">
        <f t="shared" si="10"/>
        <v>120</v>
      </c>
      <c r="P76" s="36">
        <f t="shared" si="29"/>
        <v>946000</v>
      </c>
      <c r="Q76" s="36">
        <f t="shared" si="30"/>
        <v>881100</v>
      </c>
      <c r="R76" s="7">
        <f t="shared" si="31"/>
        <v>-5373.3</v>
      </c>
      <c r="S76" s="227">
        <f t="shared" si="14"/>
        <v>-70273.3</v>
      </c>
      <c r="T76" s="248">
        <f t="shared" si="15"/>
        <v>-7.4284672304439747E-2</v>
      </c>
      <c r="U76" s="193">
        <f t="shared" si="32"/>
        <v>-0.2259492115926709</v>
      </c>
      <c r="V76" s="6"/>
      <c r="W76" s="25"/>
      <c r="X76" s="25"/>
      <c r="Y76" s="7"/>
    </row>
    <row r="77" spans="2:25" s="33" customFormat="1" ht="15" customHeight="1" x14ac:dyDescent="0.4">
      <c r="B77" s="38" t="s">
        <v>197</v>
      </c>
      <c r="C77" s="6" t="s">
        <v>162</v>
      </c>
      <c r="D77" s="6"/>
      <c r="E77" s="33">
        <v>100</v>
      </c>
      <c r="F77" s="212">
        <v>7850</v>
      </c>
      <c r="G77" s="195">
        <v>43077</v>
      </c>
      <c r="H77" s="8"/>
      <c r="I77" s="212">
        <v>8010</v>
      </c>
      <c r="J77" s="8">
        <v>43164</v>
      </c>
      <c r="K77" s="7">
        <f t="shared" si="27"/>
        <v>1170</v>
      </c>
      <c r="L77" s="7">
        <f t="shared" si="28"/>
        <v>1200</v>
      </c>
      <c r="M77" s="196">
        <f>I77*E77*0.003</f>
        <v>2403</v>
      </c>
      <c r="N77" s="36"/>
      <c r="O77" s="191">
        <f t="shared" si="10"/>
        <v>88</v>
      </c>
      <c r="P77" s="36">
        <f t="shared" si="29"/>
        <v>785000</v>
      </c>
      <c r="Q77" s="36">
        <f t="shared" si="30"/>
        <v>801000</v>
      </c>
      <c r="R77" s="7">
        <f t="shared" si="31"/>
        <v>-4773</v>
      </c>
      <c r="S77" s="227">
        <f t="shared" si="14"/>
        <v>11227</v>
      </c>
      <c r="T77" s="248">
        <f t="shared" si="15"/>
        <v>1.4301910828025477E-2</v>
      </c>
      <c r="U77" s="9">
        <f t="shared" si="32"/>
        <v>5.9320425593514761E-2</v>
      </c>
      <c r="V77" s="6"/>
    </row>
    <row r="78" spans="2:25" s="33" customFormat="1" ht="15" customHeight="1" x14ac:dyDescent="0.4">
      <c r="B78" s="38" t="s">
        <v>197</v>
      </c>
      <c r="C78" s="6" t="s">
        <v>162</v>
      </c>
      <c r="D78" s="6"/>
      <c r="E78" s="33">
        <v>10</v>
      </c>
      <c r="F78" s="212">
        <v>7790</v>
      </c>
      <c r="G78" s="195">
        <v>43102</v>
      </c>
      <c r="H78" s="8"/>
      <c r="I78" s="212">
        <v>8010</v>
      </c>
      <c r="J78" s="8">
        <v>43164</v>
      </c>
      <c r="K78" s="7">
        <f t="shared" si="27"/>
        <v>110</v>
      </c>
      <c r="L78" s="7">
        <f t="shared" si="28"/>
        <v>120</v>
      </c>
      <c r="M78" s="196">
        <f>I78*E78*0.003</f>
        <v>240.3</v>
      </c>
      <c r="N78" s="36"/>
      <c r="O78" s="191">
        <f t="shared" si="10"/>
        <v>63</v>
      </c>
      <c r="P78" s="36">
        <f t="shared" si="29"/>
        <v>77900</v>
      </c>
      <c r="Q78" s="36">
        <f t="shared" si="30"/>
        <v>80100</v>
      </c>
      <c r="R78" s="7">
        <f t="shared" si="31"/>
        <v>-470.3</v>
      </c>
      <c r="S78" s="227">
        <f t="shared" si="14"/>
        <v>1729.7</v>
      </c>
      <c r="T78" s="248">
        <f t="shared" si="15"/>
        <v>2.2204107830551989E-2</v>
      </c>
      <c r="U78" s="9">
        <f t="shared" si="32"/>
        <v>0.12864284695478531</v>
      </c>
      <c r="V78" s="6"/>
    </row>
    <row r="79" spans="2:25" s="33" customFormat="1" ht="15" customHeight="1" x14ac:dyDescent="0.4">
      <c r="B79" s="38" t="s">
        <v>197</v>
      </c>
      <c r="C79" s="6" t="s">
        <v>162</v>
      </c>
      <c r="D79" s="6"/>
      <c r="E79" s="36">
        <v>100</v>
      </c>
      <c r="F79" s="212">
        <v>8130</v>
      </c>
      <c r="G79" s="195">
        <v>43250</v>
      </c>
      <c r="H79" s="8"/>
      <c r="I79" s="212">
        <v>8600</v>
      </c>
      <c r="J79" s="8">
        <v>43850</v>
      </c>
      <c r="K79" s="7">
        <f t="shared" si="27"/>
        <v>1210</v>
      </c>
      <c r="L79" s="7">
        <f t="shared" si="28"/>
        <v>1290</v>
      </c>
      <c r="M79" s="196">
        <f>ROUNDDOWN(I79*E79*0.0025, )</f>
        <v>2150</v>
      </c>
      <c r="N79" s="36"/>
      <c r="O79" s="191">
        <f t="shared" si="10"/>
        <v>601</v>
      </c>
      <c r="P79" s="36">
        <f t="shared" si="29"/>
        <v>813000</v>
      </c>
      <c r="Q79" s="36">
        <f t="shared" si="30"/>
        <v>860000</v>
      </c>
      <c r="R79" s="7">
        <f t="shared" si="31"/>
        <v>-4650</v>
      </c>
      <c r="S79" s="227">
        <f t="shared" si="14"/>
        <v>42350</v>
      </c>
      <c r="T79" s="248">
        <f t="shared" si="15"/>
        <v>5.2091020910209104E-2</v>
      </c>
      <c r="U79" s="193">
        <f t="shared" si="32"/>
        <v>3.1635977757448128E-2</v>
      </c>
      <c r="V79" s="6"/>
    </row>
    <row r="80" spans="2:25" s="33" customFormat="1" ht="15" customHeight="1" x14ac:dyDescent="0.4">
      <c r="B80" s="38" t="s">
        <v>197</v>
      </c>
      <c r="C80" s="6" t="s">
        <v>162</v>
      </c>
      <c r="D80" s="6"/>
      <c r="E80" s="36">
        <v>100</v>
      </c>
      <c r="F80" s="212">
        <v>7470</v>
      </c>
      <c r="G80" s="195">
        <v>43532</v>
      </c>
      <c r="H80" s="8"/>
      <c r="I80" s="212">
        <v>8600</v>
      </c>
      <c r="J80" s="8">
        <v>43850</v>
      </c>
      <c r="K80" s="7">
        <f t="shared" si="27"/>
        <v>1120</v>
      </c>
      <c r="L80" s="7">
        <f t="shared" si="28"/>
        <v>1290</v>
      </c>
      <c r="M80" s="196">
        <f>ROUNDDOWN(I80*E80*0.0025, )</f>
        <v>2150</v>
      </c>
      <c r="N80" s="36"/>
      <c r="O80" s="191">
        <f t="shared" si="10"/>
        <v>319</v>
      </c>
      <c r="P80" s="36">
        <f t="shared" si="29"/>
        <v>747000</v>
      </c>
      <c r="Q80" s="36">
        <f t="shared" si="30"/>
        <v>860000</v>
      </c>
      <c r="R80" s="7">
        <f t="shared" si="31"/>
        <v>-4560</v>
      </c>
      <c r="S80" s="227">
        <f t="shared" si="14"/>
        <v>108440</v>
      </c>
      <c r="T80" s="248">
        <f t="shared" si="15"/>
        <v>0.1451673360107095</v>
      </c>
      <c r="U80" s="193">
        <f t="shared" si="32"/>
        <v>0.16610055687745756</v>
      </c>
      <c r="V80" s="6"/>
    </row>
    <row r="81" spans="1:26" s="33" customFormat="1" ht="15" customHeight="1" x14ac:dyDescent="0.4">
      <c r="B81" s="38" t="s">
        <v>198</v>
      </c>
      <c r="C81" s="6" t="s">
        <v>162</v>
      </c>
      <c r="D81" s="6"/>
      <c r="E81" s="33">
        <v>300</v>
      </c>
      <c r="F81" s="212">
        <v>3070</v>
      </c>
      <c r="G81" s="195">
        <v>43033</v>
      </c>
      <c r="H81" s="8"/>
      <c r="I81" s="212">
        <v>3155</v>
      </c>
      <c r="J81" s="8">
        <v>43133</v>
      </c>
      <c r="K81" s="7">
        <f t="shared" si="27"/>
        <v>1380</v>
      </c>
      <c r="L81" s="7">
        <f t="shared" si="28"/>
        <v>1410</v>
      </c>
      <c r="M81" s="196">
        <f t="shared" ref="M81:M87" si="33">I81*E81*0.003</f>
        <v>2839.5</v>
      </c>
      <c r="N81" s="36"/>
      <c r="O81" s="191">
        <f t="shared" si="10"/>
        <v>101</v>
      </c>
      <c r="P81" s="36">
        <f t="shared" si="29"/>
        <v>921000</v>
      </c>
      <c r="Q81" s="36">
        <f t="shared" si="30"/>
        <v>946500</v>
      </c>
      <c r="R81" s="7">
        <f t="shared" si="31"/>
        <v>-5629.5</v>
      </c>
      <c r="S81" s="227">
        <f t="shared" si="14"/>
        <v>19870.5</v>
      </c>
      <c r="T81" s="248">
        <f t="shared" si="15"/>
        <v>2.1574918566775243E-2</v>
      </c>
      <c r="U81" s="193">
        <f t="shared" si="32"/>
        <v>7.7968765117554101E-2</v>
      </c>
      <c r="V81" s="6"/>
    </row>
    <row r="82" spans="1:26" s="33" customFormat="1" ht="15" customHeight="1" x14ac:dyDescent="0.4">
      <c r="B82" s="38" t="s">
        <v>198</v>
      </c>
      <c r="C82" s="6" t="s">
        <v>162</v>
      </c>
      <c r="D82" s="6"/>
      <c r="E82" s="33">
        <v>200</v>
      </c>
      <c r="F82" s="212">
        <v>3160</v>
      </c>
      <c r="G82" s="195">
        <v>43040</v>
      </c>
      <c r="H82" s="8"/>
      <c r="I82" s="212">
        <v>3155</v>
      </c>
      <c r="J82" s="8">
        <v>43133</v>
      </c>
      <c r="K82" s="7">
        <f t="shared" si="27"/>
        <v>940</v>
      </c>
      <c r="L82" s="7">
        <f t="shared" si="28"/>
        <v>940</v>
      </c>
      <c r="M82" s="196">
        <f t="shared" si="33"/>
        <v>1893</v>
      </c>
      <c r="N82" s="36"/>
      <c r="O82" s="191">
        <f t="shared" si="10"/>
        <v>94</v>
      </c>
      <c r="P82" s="36">
        <f t="shared" si="29"/>
        <v>632000</v>
      </c>
      <c r="Q82" s="36">
        <f t="shared" si="30"/>
        <v>631000</v>
      </c>
      <c r="R82" s="7">
        <f t="shared" si="31"/>
        <v>-3773</v>
      </c>
      <c r="S82" s="227">
        <f t="shared" si="14"/>
        <v>-4773</v>
      </c>
      <c r="T82" s="248">
        <f t="shared" si="15"/>
        <v>-7.5522151898734175E-3</v>
      </c>
      <c r="U82" s="9">
        <f t="shared" si="32"/>
        <v>-2.9325090896848906E-2</v>
      </c>
      <c r="V82" s="6"/>
    </row>
    <row r="83" spans="1:26" ht="15" customHeight="1" x14ac:dyDescent="0.4">
      <c r="B83" s="38" t="s">
        <v>198</v>
      </c>
      <c r="C83" s="6" t="s">
        <v>162</v>
      </c>
      <c r="D83" s="6"/>
      <c r="E83" s="33">
        <v>300</v>
      </c>
      <c r="F83" s="212">
        <v>3150</v>
      </c>
      <c r="G83" s="195">
        <v>43042</v>
      </c>
      <c r="H83" s="8"/>
      <c r="I83" s="212">
        <v>3155</v>
      </c>
      <c r="J83" s="8">
        <v>43133</v>
      </c>
      <c r="K83" s="7">
        <f t="shared" si="27"/>
        <v>1410</v>
      </c>
      <c r="L83" s="7">
        <f t="shared" si="28"/>
        <v>1410</v>
      </c>
      <c r="M83" s="196">
        <f t="shared" si="33"/>
        <v>2839.5</v>
      </c>
      <c r="N83" s="36"/>
      <c r="O83" s="191">
        <f t="shared" si="10"/>
        <v>92</v>
      </c>
      <c r="P83" s="36">
        <f t="shared" si="29"/>
        <v>945000</v>
      </c>
      <c r="Q83" s="36">
        <f t="shared" si="30"/>
        <v>946500</v>
      </c>
      <c r="R83" s="7">
        <f t="shared" si="31"/>
        <v>-5659.5</v>
      </c>
      <c r="S83" s="227">
        <f t="shared" si="14"/>
        <v>-4159.5</v>
      </c>
      <c r="T83" s="248">
        <f t="shared" si="15"/>
        <v>-4.4015873015873013E-3</v>
      </c>
      <c r="U83" s="193">
        <f t="shared" si="32"/>
        <v>-1.7462819185645271E-2</v>
      </c>
      <c r="V83" s="6"/>
      <c r="W83" s="25"/>
      <c r="X83" s="25"/>
      <c r="Y83" s="7"/>
    </row>
    <row r="84" spans="1:26" ht="15" customHeight="1" x14ac:dyDescent="0.4">
      <c r="B84" s="38" t="s">
        <v>198</v>
      </c>
      <c r="C84" s="6" t="s">
        <v>162</v>
      </c>
      <c r="D84" s="6"/>
      <c r="E84" s="33">
        <v>100</v>
      </c>
      <c r="F84" s="212">
        <v>3120</v>
      </c>
      <c r="G84" s="195">
        <v>43048</v>
      </c>
      <c r="H84" s="8"/>
      <c r="I84" s="212">
        <v>3155</v>
      </c>
      <c r="J84" s="8">
        <v>43133</v>
      </c>
      <c r="K84" s="7">
        <f t="shared" si="27"/>
        <v>460</v>
      </c>
      <c r="L84" s="7">
        <f t="shared" si="28"/>
        <v>470</v>
      </c>
      <c r="M84" s="196">
        <f t="shared" si="33"/>
        <v>946.5</v>
      </c>
      <c r="N84" s="36"/>
      <c r="O84" s="191">
        <f t="shared" si="10"/>
        <v>86</v>
      </c>
      <c r="P84" s="36">
        <f t="shared" si="29"/>
        <v>312000</v>
      </c>
      <c r="Q84" s="36">
        <f t="shared" si="30"/>
        <v>315500</v>
      </c>
      <c r="R84" s="7">
        <f t="shared" si="31"/>
        <v>-1876.5</v>
      </c>
      <c r="S84" s="227">
        <f t="shared" si="14"/>
        <v>1623.5</v>
      </c>
      <c r="T84" s="248">
        <f t="shared" si="15"/>
        <v>5.2035256410256411E-3</v>
      </c>
      <c r="U84" s="193">
        <f t="shared" si="32"/>
        <v>2.2084730918306501E-2</v>
      </c>
      <c r="V84" s="6"/>
      <c r="W84" s="25"/>
      <c r="X84" s="25"/>
      <c r="Y84" s="7"/>
    </row>
    <row r="85" spans="1:26" ht="15" customHeight="1" x14ac:dyDescent="0.4">
      <c r="B85" s="38" t="s">
        <v>198</v>
      </c>
      <c r="C85" s="6" t="s">
        <v>162</v>
      </c>
      <c r="D85" s="6"/>
      <c r="E85" s="33">
        <v>100</v>
      </c>
      <c r="F85" s="212">
        <v>2940</v>
      </c>
      <c r="G85" s="195">
        <v>43108</v>
      </c>
      <c r="H85" s="8"/>
      <c r="I85" s="212">
        <v>3155</v>
      </c>
      <c r="J85" s="8">
        <v>43133</v>
      </c>
      <c r="K85" s="7">
        <f t="shared" si="27"/>
        <v>440</v>
      </c>
      <c r="L85" s="7">
        <f t="shared" si="28"/>
        <v>470</v>
      </c>
      <c r="M85" s="196">
        <f t="shared" si="33"/>
        <v>946.5</v>
      </c>
      <c r="N85" s="36"/>
      <c r="O85" s="191">
        <f t="shared" si="10"/>
        <v>26</v>
      </c>
      <c r="P85" s="36">
        <f t="shared" si="29"/>
        <v>294000</v>
      </c>
      <c r="Q85" s="36">
        <f t="shared" si="30"/>
        <v>315500</v>
      </c>
      <c r="R85" s="7">
        <f t="shared" si="31"/>
        <v>-1856.5</v>
      </c>
      <c r="S85" s="227">
        <f t="shared" si="14"/>
        <v>19643.5</v>
      </c>
      <c r="T85" s="248">
        <f t="shared" si="15"/>
        <v>6.6814625850340134E-2</v>
      </c>
      <c r="U85" s="193">
        <f t="shared" si="32"/>
        <v>0.93797455520669815</v>
      </c>
      <c r="V85" s="6"/>
      <c r="W85" s="25"/>
      <c r="X85" s="25"/>
      <c r="Y85" s="7"/>
    </row>
    <row r="86" spans="1:26" ht="15" customHeight="1" x14ac:dyDescent="0.4">
      <c r="B86" s="38" t="s">
        <v>199</v>
      </c>
      <c r="C86" s="6" t="s">
        <v>185</v>
      </c>
      <c r="D86" s="6"/>
      <c r="E86" s="36">
        <v>10</v>
      </c>
      <c r="F86" s="212">
        <v>11450</v>
      </c>
      <c r="G86" s="195">
        <v>39244</v>
      </c>
      <c r="H86" s="8"/>
      <c r="I86" s="212">
        <v>11655</v>
      </c>
      <c r="J86" s="8">
        <v>39274</v>
      </c>
      <c r="K86" s="7">
        <f>ROUNDDOWN(E86*F86*0.005,-1)</f>
        <v>570</v>
      </c>
      <c r="L86" s="7">
        <f>ROUNDDOWN(I86*E86*0.005,-1)</f>
        <v>580</v>
      </c>
      <c r="M86" s="196">
        <f t="shared" si="33"/>
        <v>349.65000000000003</v>
      </c>
      <c r="N86" s="36"/>
      <c r="O86" s="191">
        <f t="shared" si="10"/>
        <v>31</v>
      </c>
      <c r="P86" s="36">
        <f t="shared" si="29"/>
        <v>114500</v>
      </c>
      <c r="Q86" s="36">
        <f t="shared" si="30"/>
        <v>116550</v>
      </c>
      <c r="R86" s="7">
        <f t="shared" si="31"/>
        <v>-1499.65</v>
      </c>
      <c r="S86" s="227">
        <f t="shared" si="14"/>
        <v>550.34999999999991</v>
      </c>
      <c r="T86" s="248">
        <f t="shared" si="15"/>
        <v>4.8065502183406109E-3</v>
      </c>
      <c r="U86" s="193">
        <f t="shared" si="32"/>
        <v>5.6593252570784611E-2</v>
      </c>
      <c r="V86" s="6"/>
      <c r="W86" s="25"/>
      <c r="X86" s="25"/>
      <c r="Y86" s="7"/>
    </row>
    <row r="87" spans="1:26" ht="15" customHeight="1" x14ac:dyDescent="0.4">
      <c r="B87" s="38" t="s">
        <v>200</v>
      </c>
      <c r="C87" s="6" t="s">
        <v>185</v>
      </c>
      <c r="D87" s="6"/>
      <c r="E87" s="36">
        <v>20</v>
      </c>
      <c r="F87" s="212">
        <v>30400</v>
      </c>
      <c r="G87" s="195">
        <v>39213</v>
      </c>
      <c r="H87" s="8"/>
      <c r="I87" s="212">
        <v>31700</v>
      </c>
      <c r="J87" s="8">
        <v>39335</v>
      </c>
      <c r="K87" s="7">
        <f>ROUNDDOWN(E87*F87*0.005,-1)</f>
        <v>3040</v>
      </c>
      <c r="L87" s="7">
        <f>ROUNDDOWN(I87*E87*0.005,-1)</f>
        <v>3170</v>
      </c>
      <c r="M87" s="196">
        <f t="shared" si="33"/>
        <v>1902</v>
      </c>
      <c r="N87" s="36"/>
      <c r="O87" s="191">
        <f t="shared" si="10"/>
        <v>123</v>
      </c>
      <c r="P87" s="36">
        <f t="shared" si="29"/>
        <v>608000</v>
      </c>
      <c r="Q87" s="36">
        <f t="shared" si="30"/>
        <v>634000</v>
      </c>
      <c r="R87" s="7">
        <f t="shared" si="31"/>
        <v>-8112</v>
      </c>
      <c r="S87" s="227">
        <f t="shared" si="14"/>
        <v>17888</v>
      </c>
      <c r="T87" s="248">
        <f t="shared" si="15"/>
        <v>2.9421052631578948E-2</v>
      </c>
      <c r="U87" s="193">
        <f t="shared" si="32"/>
        <v>8.7306375695335905E-2</v>
      </c>
      <c r="V87" s="6"/>
      <c r="W87" s="25"/>
      <c r="X87" s="25"/>
      <c r="Y87" s="7"/>
    </row>
    <row r="88" spans="1:26" ht="15" customHeight="1" x14ac:dyDescent="0.4">
      <c r="B88" s="38" t="s">
        <v>201</v>
      </c>
      <c r="C88" s="6" t="s">
        <v>187</v>
      </c>
      <c r="D88" s="6"/>
      <c r="E88" s="36">
        <v>1</v>
      </c>
      <c r="F88" s="212">
        <v>59000</v>
      </c>
      <c r="G88" s="195">
        <v>39989</v>
      </c>
      <c r="H88" s="8"/>
      <c r="I88" s="212">
        <v>67500</v>
      </c>
      <c r="J88" s="8">
        <v>40024</v>
      </c>
      <c r="K88" s="7">
        <v>10</v>
      </c>
      <c r="L88" s="7">
        <v>10</v>
      </c>
      <c r="M88" s="196"/>
      <c r="N88" s="36"/>
      <c r="O88" s="191">
        <f t="shared" si="10"/>
        <v>36</v>
      </c>
      <c r="P88" s="36">
        <f t="shared" si="29"/>
        <v>59000</v>
      </c>
      <c r="Q88" s="36">
        <f t="shared" si="30"/>
        <v>67500</v>
      </c>
      <c r="R88" s="7">
        <f t="shared" si="31"/>
        <v>-20</v>
      </c>
      <c r="S88" s="227">
        <f t="shared" si="14"/>
        <v>8480</v>
      </c>
      <c r="T88" s="248">
        <f t="shared" si="15"/>
        <v>0.14372881355932204</v>
      </c>
      <c r="U88" s="193">
        <f t="shared" si="32"/>
        <v>1.4572504708097929</v>
      </c>
      <c r="V88" s="6"/>
      <c r="W88" s="25"/>
      <c r="X88" s="25"/>
      <c r="Y88" s="7"/>
    </row>
    <row r="89" spans="1:26" ht="15" customHeight="1" x14ac:dyDescent="0.4">
      <c r="B89" s="38" t="s">
        <v>202</v>
      </c>
      <c r="C89" s="6" t="s">
        <v>187</v>
      </c>
      <c r="D89" s="6"/>
      <c r="E89" s="36">
        <v>10</v>
      </c>
      <c r="F89" s="212">
        <v>42900</v>
      </c>
      <c r="G89" s="195">
        <v>39538</v>
      </c>
      <c r="H89" s="8"/>
      <c r="I89" s="212">
        <v>48200</v>
      </c>
      <c r="J89" s="8">
        <v>39545</v>
      </c>
      <c r="K89" s="7">
        <v>120</v>
      </c>
      <c r="L89" s="7">
        <v>130</v>
      </c>
      <c r="M89" s="196"/>
      <c r="N89" s="36"/>
      <c r="O89" s="191">
        <f t="shared" si="10"/>
        <v>8</v>
      </c>
      <c r="P89" s="36">
        <f t="shared" si="29"/>
        <v>429000</v>
      </c>
      <c r="Q89" s="36">
        <f t="shared" si="30"/>
        <v>482000</v>
      </c>
      <c r="R89" s="7">
        <f t="shared" si="31"/>
        <v>-250</v>
      </c>
      <c r="S89" s="227">
        <f t="shared" si="14"/>
        <v>52750</v>
      </c>
      <c r="T89" s="248">
        <f t="shared" si="15"/>
        <v>0.12296037296037296</v>
      </c>
      <c r="U89" s="193">
        <f t="shared" si="32"/>
        <v>5.6100670163170161</v>
      </c>
      <c r="V89" s="6"/>
      <c r="W89" s="25"/>
      <c r="X89" s="25"/>
      <c r="Y89" s="7"/>
    </row>
    <row r="90" spans="1:26" ht="15" customHeight="1" x14ac:dyDescent="0.4">
      <c r="B90" s="38" t="s">
        <v>202</v>
      </c>
      <c r="C90" s="6" t="s">
        <v>162</v>
      </c>
      <c r="D90" s="6"/>
      <c r="E90" s="36">
        <v>100</v>
      </c>
      <c r="F90" s="212">
        <v>21000</v>
      </c>
      <c r="G90" s="195">
        <v>43550</v>
      </c>
      <c r="H90" s="8"/>
      <c r="I90" s="212">
        <v>12750</v>
      </c>
      <c r="J90" s="8">
        <v>44042</v>
      </c>
      <c r="K90" s="7">
        <f>ROUNDDOWN(E90*F90*0.0015,-1)</f>
        <v>3150</v>
      </c>
      <c r="L90" s="7">
        <f>ROUNDDOWN(I90*E90*0.0015,-1)</f>
        <v>1910</v>
      </c>
      <c r="M90" s="196">
        <f>ROUNDDOWN(I90*E90*0.0025, )</f>
        <v>3187</v>
      </c>
      <c r="N90" s="36"/>
      <c r="O90" s="191">
        <f t="shared" si="10"/>
        <v>493</v>
      </c>
      <c r="P90" s="36">
        <f t="shared" si="29"/>
        <v>2100000</v>
      </c>
      <c r="Q90" s="36">
        <f t="shared" si="30"/>
        <v>1275000</v>
      </c>
      <c r="R90" s="7">
        <f t="shared" si="31"/>
        <v>-8247</v>
      </c>
      <c r="S90" s="227">
        <f t="shared" si="14"/>
        <v>-833247</v>
      </c>
      <c r="T90" s="248">
        <f t="shared" si="15"/>
        <v>-0.3967842857142857</v>
      </c>
      <c r="U90" s="193">
        <f t="shared" si="32"/>
        <v>-0.29376524195885251</v>
      </c>
      <c r="V90" s="6"/>
      <c r="W90" s="25"/>
      <c r="X90" s="25"/>
      <c r="Y90" s="7"/>
    </row>
    <row r="91" spans="1:26" ht="15" customHeight="1" x14ac:dyDescent="0.4">
      <c r="B91" s="38" t="s">
        <v>102</v>
      </c>
      <c r="C91" s="6" t="s">
        <v>160</v>
      </c>
      <c r="D91" s="6">
        <f t="shared" ref="D91:D99" si="34">IF(OR($C91="신한",$C91="OTC",$C91="무상증자(신한)",$C91="토스",$C91="R토스"),1,"확인")</f>
        <v>1</v>
      </c>
      <c r="E91" s="34">
        <v>4</v>
      </c>
      <c r="F91" s="212">
        <v>61900</v>
      </c>
      <c r="G91" s="195">
        <v>45679</v>
      </c>
      <c r="H91" s="6"/>
      <c r="I91" s="212">
        <v>61100</v>
      </c>
      <c r="J91" s="8">
        <v>45820</v>
      </c>
      <c r="K91" s="23">
        <f t="shared" ref="K91:K98" si="35">IF($C91="OTC",ROUNDDOWN($E91*$F91*0.000909187,-1),(IF($C91="신한",ROUNDDOWN($E91*$F91*0.000036396,-1),(IF($C91="토스",$E91*$F91*0.00015,(IF($C91="US",(IF($E91*$F91*0.0025&gt;0.01,$E91*$F91*0.0025,0.01)),IF($C91="JP",(IF($E91*$F91*0.0025&gt;1000,$E91*$F91*0.0025,1000)),(IF($C91="R토스",0,IF($C91="무상증자(신한)",0,"")))))))))))</f>
        <v>0</v>
      </c>
      <c r="L91" s="23">
        <f t="shared" ref="L91:L99" si="36">IF($C91="OTC",ROUNDDOWN($I91*$E91*0.000909187,-1),(IF($C91="신한",ROUNDDOWN($I91*$E91*0.000036396,-1),(IF($C91="토스",$I91*$E91*0.00015,(IF($C91="US",(IF($I91*$E91*0.0025&gt;0.01,$I91*$E91*0.0025,0.01)),(IF($C91="JP",(IF($I91*$E91*0.0025&gt;1000,$I91*$E91*0.0025,1000)),(IF($C91="R토스",$I91*$E91*0.00015,(IF($C91="무상증자(신한)",ROUNDDOWN($I91*$E91*0.000036396,-1),"")))))))))))))</f>
        <v>0</v>
      </c>
      <c r="M91" s="206">
        <f t="shared" ref="M91:M98" si="37">Q91*0.0015</f>
        <v>366.6</v>
      </c>
      <c r="N91" s="34"/>
      <c r="O91" s="209">
        <f t="shared" si="10"/>
        <v>142</v>
      </c>
      <c r="P91" s="34">
        <f t="shared" ref="P91:P99" si="38">$E91*$F91*$D91</f>
        <v>247600</v>
      </c>
      <c r="Q91" s="34">
        <f t="shared" ref="Q91:Q99" si="39">$E91*$I91*$D91</f>
        <v>244400</v>
      </c>
      <c r="R91" s="7">
        <f t="shared" ref="R91:R99" si="40">($N91-$K91-$L91-$M91)*$D91</f>
        <v>-366.6</v>
      </c>
      <c r="S91" s="227">
        <f t="shared" si="14"/>
        <v>-3566.6</v>
      </c>
      <c r="T91" s="249">
        <f t="shared" si="15"/>
        <v>-1.4404684975767367E-2</v>
      </c>
      <c r="U91" s="38"/>
      <c r="V91" s="33"/>
      <c r="W91" s="25"/>
      <c r="X91" s="25"/>
      <c r="Y91" s="7"/>
    </row>
    <row r="92" spans="1:26" ht="15" customHeight="1" x14ac:dyDescent="0.4">
      <c r="B92" s="38" t="s">
        <v>102</v>
      </c>
      <c r="C92" s="6" t="s">
        <v>160</v>
      </c>
      <c r="D92" s="6">
        <f t="shared" si="34"/>
        <v>1</v>
      </c>
      <c r="E92" s="34">
        <v>2</v>
      </c>
      <c r="F92" s="212">
        <v>55200</v>
      </c>
      <c r="G92" s="195">
        <v>45699</v>
      </c>
      <c r="H92" s="8"/>
      <c r="I92" s="212">
        <v>61100</v>
      </c>
      <c r="J92" s="8">
        <v>45820</v>
      </c>
      <c r="K92" s="23">
        <f t="shared" si="35"/>
        <v>0</v>
      </c>
      <c r="L92" s="23">
        <f t="shared" si="36"/>
        <v>0</v>
      </c>
      <c r="M92" s="206">
        <f t="shared" si="37"/>
        <v>183.3</v>
      </c>
      <c r="N92" s="34"/>
      <c r="O92" s="209">
        <f t="shared" si="10"/>
        <v>122</v>
      </c>
      <c r="P92" s="34">
        <f t="shared" si="38"/>
        <v>110400</v>
      </c>
      <c r="Q92" s="34">
        <f t="shared" si="39"/>
        <v>122200</v>
      </c>
      <c r="R92" s="247">
        <f t="shared" si="40"/>
        <v>-183.3</v>
      </c>
      <c r="S92" s="227">
        <f t="shared" si="14"/>
        <v>11616.7</v>
      </c>
      <c r="T92" s="249">
        <f t="shared" si="15"/>
        <v>0.10522373188405798</v>
      </c>
      <c r="U92" s="38"/>
      <c r="V92" s="33"/>
      <c r="W92" s="25"/>
      <c r="X92" s="25"/>
      <c r="Y92" s="7"/>
    </row>
    <row r="93" spans="1:26" ht="15" customHeight="1" x14ac:dyDescent="0.4">
      <c r="A93" s="188"/>
      <c r="B93" s="199" t="s">
        <v>102</v>
      </c>
      <c r="C93" s="6" t="s">
        <v>160</v>
      </c>
      <c r="D93" s="29">
        <f t="shared" si="34"/>
        <v>1</v>
      </c>
      <c r="E93" s="319">
        <v>2</v>
      </c>
      <c r="F93" s="214">
        <v>51500</v>
      </c>
      <c r="G93" s="224">
        <v>45708</v>
      </c>
      <c r="H93" s="28"/>
      <c r="I93" s="214">
        <v>61100</v>
      </c>
      <c r="J93" s="28">
        <v>45820</v>
      </c>
      <c r="K93" s="322">
        <f t="shared" si="35"/>
        <v>0</v>
      </c>
      <c r="L93" s="322">
        <f t="shared" si="36"/>
        <v>0</v>
      </c>
      <c r="M93" s="327">
        <f t="shared" si="37"/>
        <v>183.3</v>
      </c>
      <c r="N93" s="319"/>
      <c r="O93" s="331">
        <f t="shared" si="10"/>
        <v>113</v>
      </c>
      <c r="P93" s="319">
        <f t="shared" si="38"/>
        <v>103000</v>
      </c>
      <c r="Q93" s="319">
        <f t="shared" si="39"/>
        <v>122200</v>
      </c>
      <c r="R93" s="7">
        <f t="shared" si="40"/>
        <v>-183.3</v>
      </c>
      <c r="S93" s="228">
        <f t="shared" si="14"/>
        <v>19016.7</v>
      </c>
      <c r="T93" s="333">
        <f t="shared" si="15"/>
        <v>0.18462815533980584</v>
      </c>
      <c r="U93" s="199"/>
      <c r="V93" s="213"/>
      <c r="W93" s="2"/>
      <c r="X93" s="2"/>
      <c r="Y93" s="2"/>
      <c r="Z93" s="7"/>
    </row>
    <row r="94" spans="1:26" ht="15" customHeight="1" x14ac:dyDescent="0.4">
      <c r="B94" s="38" t="s">
        <v>102</v>
      </c>
      <c r="C94" s="6" t="s">
        <v>160</v>
      </c>
      <c r="D94" s="6">
        <f t="shared" si="34"/>
        <v>1</v>
      </c>
      <c r="E94" s="34">
        <v>2</v>
      </c>
      <c r="F94" s="212">
        <v>47000</v>
      </c>
      <c r="G94" s="195">
        <v>45720</v>
      </c>
      <c r="H94" s="8"/>
      <c r="I94" s="212">
        <v>61100</v>
      </c>
      <c r="J94" s="8">
        <v>45820</v>
      </c>
      <c r="K94" s="23">
        <f t="shared" si="35"/>
        <v>0</v>
      </c>
      <c r="L94" s="23">
        <f t="shared" si="36"/>
        <v>0</v>
      </c>
      <c r="M94" s="206">
        <f t="shared" si="37"/>
        <v>183.3</v>
      </c>
      <c r="N94" s="34"/>
      <c r="O94" s="209">
        <f t="shared" ref="O94:O157" si="41">J94-G94+1</f>
        <v>101</v>
      </c>
      <c r="P94" s="34">
        <f t="shared" si="38"/>
        <v>94000</v>
      </c>
      <c r="Q94" s="34">
        <f t="shared" si="39"/>
        <v>122200</v>
      </c>
      <c r="R94" s="7">
        <f t="shared" si="40"/>
        <v>-183.3</v>
      </c>
      <c r="S94" s="227">
        <f t="shared" ref="S94:S157" si="42">IF(Q94=0,0,Q94-P94+R94)</f>
        <v>28016.7</v>
      </c>
      <c r="T94" s="249">
        <f t="shared" ref="T94:T157" si="43">S94/P94</f>
        <v>0.29804999999999998</v>
      </c>
      <c r="U94" s="38"/>
      <c r="V94" s="33"/>
      <c r="W94" s="2"/>
      <c r="X94" s="2"/>
      <c r="Y94" s="2"/>
      <c r="Z94" s="7"/>
    </row>
    <row r="95" spans="1:26" ht="15" customHeight="1" x14ac:dyDescent="0.4">
      <c r="B95" s="38" t="s">
        <v>102</v>
      </c>
      <c r="C95" s="6" t="s">
        <v>160</v>
      </c>
      <c r="D95" s="6">
        <f t="shared" si="34"/>
        <v>1</v>
      </c>
      <c r="E95" s="34">
        <v>2</v>
      </c>
      <c r="F95" s="212">
        <v>48900</v>
      </c>
      <c r="G95" s="195">
        <v>45750</v>
      </c>
      <c r="H95" s="8"/>
      <c r="I95" s="212">
        <v>61100</v>
      </c>
      <c r="J95" s="8">
        <v>45820</v>
      </c>
      <c r="K95" s="23">
        <f t="shared" si="35"/>
        <v>0</v>
      </c>
      <c r="L95" s="23">
        <f t="shared" si="36"/>
        <v>0</v>
      </c>
      <c r="M95" s="206">
        <f t="shared" si="37"/>
        <v>183.3</v>
      </c>
      <c r="N95" s="34"/>
      <c r="O95" s="209">
        <f t="shared" si="41"/>
        <v>71</v>
      </c>
      <c r="P95" s="34">
        <f t="shared" si="38"/>
        <v>97800</v>
      </c>
      <c r="Q95" s="34">
        <f t="shared" si="39"/>
        <v>122200</v>
      </c>
      <c r="R95" s="7">
        <f t="shared" si="40"/>
        <v>-183.3</v>
      </c>
      <c r="S95" s="227">
        <f t="shared" si="42"/>
        <v>24216.7</v>
      </c>
      <c r="T95" s="249">
        <f t="shared" si="43"/>
        <v>0.24761451942740287</v>
      </c>
      <c r="U95" s="38"/>
      <c r="V95" s="33"/>
      <c r="W95" s="2"/>
      <c r="X95" s="2"/>
      <c r="Y95" s="2"/>
      <c r="Z95" s="7"/>
    </row>
    <row r="96" spans="1:26" ht="15" customHeight="1" x14ac:dyDescent="0.4">
      <c r="B96" s="38" t="s">
        <v>102</v>
      </c>
      <c r="C96" s="6" t="s">
        <v>160</v>
      </c>
      <c r="D96" s="6">
        <f t="shared" si="34"/>
        <v>1</v>
      </c>
      <c r="E96" s="34">
        <v>4</v>
      </c>
      <c r="F96" s="212">
        <v>48800</v>
      </c>
      <c r="G96" s="195">
        <v>45754</v>
      </c>
      <c r="H96" s="8"/>
      <c r="I96" s="212">
        <v>61100</v>
      </c>
      <c r="J96" s="8">
        <v>45820</v>
      </c>
      <c r="K96" s="23">
        <f t="shared" si="35"/>
        <v>0</v>
      </c>
      <c r="L96" s="23">
        <f t="shared" si="36"/>
        <v>0</v>
      </c>
      <c r="M96" s="206">
        <f t="shared" si="37"/>
        <v>366.6</v>
      </c>
      <c r="N96" s="34"/>
      <c r="O96" s="209">
        <f t="shared" si="41"/>
        <v>67</v>
      </c>
      <c r="P96" s="34">
        <f t="shared" si="38"/>
        <v>195200</v>
      </c>
      <c r="Q96" s="34">
        <f t="shared" si="39"/>
        <v>244400</v>
      </c>
      <c r="R96" s="7">
        <f t="shared" si="40"/>
        <v>-366.6</v>
      </c>
      <c r="S96" s="227">
        <f t="shared" si="42"/>
        <v>48833.4</v>
      </c>
      <c r="T96" s="249">
        <f t="shared" si="43"/>
        <v>0.25017110655737707</v>
      </c>
      <c r="U96" s="38"/>
      <c r="V96" s="33"/>
      <c r="W96" s="2"/>
      <c r="X96" s="2"/>
      <c r="Y96" s="2"/>
      <c r="Z96" s="7"/>
    </row>
    <row r="97" spans="2:26" ht="15" customHeight="1" x14ac:dyDescent="0.4">
      <c r="B97" s="38" t="s">
        <v>102</v>
      </c>
      <c r="C97" s="6" t="s">
        <v>122</v>
      </c>
      <c r="D97" s="6">
        <f t="shared" si="34"/>
        <v>1</v>
      </c>
      <c r="E97" s="34">
        <v>6</v>
      </c>
      <c r="F97" s="212">
        <v>59000</v>
      </c>
      <c r="G97" s="195">
        <v>45820</v>
      </c>
      <c r="H97" s="33" t="s">
        <v>113</v>
      </c>
      <c r="I97" s="212">
        <v>67400</v>
      </c>
      <c r="J97" s="8">
        <v>45824</v>
      </c>
      <c r="K97" s="23">
        <f t="shared" si="35"/>
        <v>53.099999999999994</v>
      </c>
      <c r="L97" s="23">
        <f t="shared" si="36"/>
        <v>60.66</v>
      </c>
      <c r="M97" s="206">
        <f t="shared" si="37"/>
        <v>606.6</v>
      </c>
      <c r="N97" s="34"/>
      <c r="O97" s="209">
        <f t="shared" si="41"/>
        <v>5</v>
      </c>
      <c r="P97" s="34">
        <f t="shared" si="38"/>
        <v>354000</v>
      </c>
      <c r="Q97" s="34">
        <f t="shared" si="39"/>
        <v>404400</v>
      </c>
      <c r="R97" s="7">
        <f t="shared" si="40"/>
        <v>-720.36</v>
      </c>
      <c r="S97" s="227">
        <f t="shared" si="42"/>
        <v>49679.64</v>
      </c>
      <c r="T97" s="249">
        <f t="shared" si="43"/>
        <v>0.14033796610169491</v>
      </c>
      <c r="U97" s="38"/>
      <c r="V97" s="36">
        <f>+P97*0.05*O97/365</f>
        <v>242.46575342465752</v>
      </c>
      <c r="W97" s="2"/>
      <c r="X97" s="2"/>
      <c r="Y97" s="2"/>
      <c r="Z97" s="7"/>
    </row>
    <row r="98" spans="2:26" ht="15" customHeight="1" x14ac:dyDescent="0.4">
      <c r="B98" s="38" t="s">
        <v>102</v>
      </c>
      <c r="C98" s="6" t="s">
        <v>122</v>
      </c>
      <c r="D98" s="6">
        <f t="shared" si="34"/>
        <v>1</v>
      </c>
      <c r="E98" s="34">
        <v>60</v>
      </c>
      <c r="F98" s="212">
        <v>65000</v>
      </c>
      <c r="G98" s="195">
        <v>45824</v>
      </c>
      <c r="H98" s="33" t="s">
        <v>113</v>
      </c>
      <c r="I98" s="212">
        <v>67400</v>
      </c>
      <c r="J98" s="8">
        <v>45824</v>
      </c>
      <c r="K98" s="23">
        <f t="shared" si="35"/>
        <v>585</v>
      </c>
      <c r="L98" s="23">
        <f t="shared" si="36"/>
        <v>606.59999999999991</v>
      </c>
      <c r="M98" s="206">
        <f t="shared" si="37"/>
        <v>6066</v>
      </c>
      <c r="N98" s="34"/>
      <c r="O98" s="209">
        <f t="shared" si="41"/>
        <v>1</v>
      </c>
      <c r="P98" s="34">
        <f t="shared" si="38"/>
        <v>3900000</v>
      </c>
      <c r="Q98" s="34">
        <f t="shared" si="39"/>
        <v>4044000</v>
      </c>
      <c r="R98" s="7">
        <f t="shared" si="40"/>
        <v>-7257.6</v>
      </c>
      <c r="S98" s="227">
        <f t="shared" si="42"/>
        <v>136742.39999999999</v>
      </c>
      <c r="T98" s="249">
        <f t="shared" si="43"/>
        <v>3.5062153846153847E-2</v>
      </c>
      <c r="U98" s="38"/>
      <c r="V98" s="36">
        <f>+P98*0.05*O98/365</f>
        <v>534.2465753424658</v>
      </c>
      <c r="W98" s="2"/>
      <c r="X98" s="2"/>
      <c r="Y98" s="2"/>
      <c r="Z98" s="7"/>
    </row>
    <row r="99" spans="2:26" ht="15" customHeight="1" x14ac:dyDescent="0.4">
      <c r="B99" s="38" t="s">
        <v>203</v>
      </c>
      <c r="C99" s="6" t="s">
        <v>160</v>
      </c>
      <c r="D99" s="6">
        <f t="shared" si="34"/>
        <v>1</v>
      </c>
      <c r="E99" s="34">
        <v>2</v>
      </c>
      <c r="F99" s="212">
        <v>300000</v>
      </c>
      <c r="G99" s="195">
        <v>44588</v>
      </c>
      <c r="H99" s="8"/>
      <c r="I99" s="212">
        <v>510000</v>
      </c>
      <c r="J99" s="8">
        <v>44858</v>
      </c>
      <c r="K99" s="23">
        <v>0</v>
      </c>
      <c r="L99" s="23">
        <f t="shared" si="36"/>
        <v>30</v>
      </c>
      <c r="M99" s="206">
        <f>Q99*0.0023</f>
        <v>2346</v>
      </c>
      <c r="N99" s="34"/>
      <c r="O99" s="209">
        <f t="shared" si="41"/>
        <v>271</v>
      </c>
      <c r="P99" s="34">
        <f t="shared" si="38"/>
        <v>600000</v>
      </c>
      <c r="Q99" s="34">
        <f t="shared" si="39"/>
        <v>1020000</v>
      </c>
      <c r="R99" s="7">
        <f t="shared" si="40"/>
        <v>-2376</v>
      </c>
      <c r="S99" s="227">
        <f t="shared" si="42"/>
        <v>417624</v>
      </c>
      <c r="T99" s="249">
        <f t="shared" si="43"/>
        <v>0.69603999999999999</v>
      </c>
      <c r="U99" s="38"/>
      <c r="V99" s="33"/>
      <c r="W99" s="2"/>
      <c r="X99" s="2"/>
      <c r="Y99" s="2"/>
      <c r="Z99" s="7"/>
    </row>
    <row r="100" spans="2:26" ht="15" customHeight="1" x14ac:dyDescent="0.4">
      <c r="B100" s="38" t="s">
        <v>204</v>
      </c>
      <c r="C100" s="6" t="s">
        <v>162</v>
      </c>
      <c r="D100" s="6"/>
      <c r="E100" s="33">
        <v>15</v>
      </c>
      <c r="F100" s="212">
        <v>173500</v>
      </c>
      <c r="G100" s="195">
        <v>42989</v>
      </c>
      <c r="H100" s="8"/>
      <c r="I100" s="212">
        <v>178000</v>
      </c>
      <c r="J100" s="8">
        <v>43038</v>
      </c>
      <c r="K100" s="7">
        <f>ROUNDDOWN(E100*F100*0.0015,-1)</f>
        <v>3900</v>
      </c>
      <c r="L100" s="7">
        <f>ROUNDDOWN(I100*E100*0.0015,-1)</f>
        <v>4000</v>
      </c>
      <c r="M100" s="196">
        <f t="shared" ref="M100:M106" si="44">I100*E100*0.003</f>
        <v>8010</v>
      </c>
      <c r="N100" s="36"/>
      <c r="O100" s="191">
        <f t="shared" si="41"/>
        <v>50</v>
      </c>
      <c r="P100" s="36">
        <f t="shared" ref="P100:P106" si="45">F100*E100</f>
        <v>2602500</v>
      </c>
      <c r="Q100" s="36">
        <f t="shared" ref="Q100:Q106" si="46">I100*E100</f>
        <v>2670000</v>
      </c>
      <c r="R100" s="7">
        <f t="shared" ref="R100:R106" si="47">N100-K100-L100-M100</f>
        <v>-15910</v>
      </c>
      <c r="S100" s="227">
        <f t="shared" si="42"/>
        <v>51590</v>
      </c>
      <c r="T100" s="248">
        <f t="shared" si="43"/>
        <v>1.982324687800192E-2</v>
      </c>
      <c r="U100" s="193">
        <f t="shared" ref="U100:U106" si="48">T100*365/O100</f>
        <v>0.14470970220941401</v>
      </c>
      <c r="V100" s="6"/>
      <c r="W100" s="2"/>
      <c r="X100" s="2"/>
      <c r="Y100" s="2"/>
      <c r="Z100" s="7"/>
    </row>
    <row r="101" spans="2:26" ht="15" customHeight="1" x14ac:dyDescent="0.4">
      <c r="B101" s="38" t="s">
        <v>204</v>
      </c>
      <c r="C101" s="6" t="s">
        <v>162</v>
      </c>
      <c r="D101" s="6"/>
      <c r="E101" s="33">
        <v>5</v>
      </c>
      <c r="F101" s="212">
        <v>160000</v>
      </c>
      <c r="G101" s="195">
        <v>43028</v>
      </c>
      <c r="H101" s="8"/>
      <c r="I101" s="212">
        <v>178000</v>
      </c>
      <c r="J101" s="8">
        <v>43038</v>
      </c>
      <c r="K101" s="7">
        <f>ROUNDDOWN(E101*F101*0.0015,-1)</f>
        <v>1200</v>
      </c>
      <c r="L101" s="7">
        <f>ROUNDDOWN(I101*E101*0.0015,-1)</f>
        <v>1330</v>
      </c>
      <c r="M101" s="196">
        <f t="shared" si="44"/>
        <v>2670</v>
      </c>
      <c r="N101" s="36"/>
      <c r="O101" s="191">
        <f t="shared" si="41"/>
        <v>11</v>
      </c>
      <c r="P101" s="36">
        <f t="shared" si="45"/>
        <v>800000</v>
      </c>
      <c r="Q101" s="36">
        <f t="shared" si="46"/>
        <v>890000</v>
      </c>
      <c r="R101" s="7">
        <f t="shared" si="47"/>
        <v>-5200</v>
      </c>
      <c r="S101" s="227">
        <f t="shared" si="42"/>
        <v>84800</v>
      </c>
      <c r="T101" s="248">
        <f t="shared" si="43"/>
        <v>0.106</v>
      </c>
      <c r="U101" s="193">
        <f t="shared" si="48"/>
        <v>3.5172727272727271</v>
      </c>
      <c r="V101" s="6"/>
      <c r="W101" s="2"/>
      <c r="X101" s="2"/>
      <c r="Y101" s="2"/>
      <c r="Z101" s="7"/>
    </row>
    <row r="102" spans="2:26" ht="15" customHeight="1" x14ac:dyDescent="0.4">
      <c r="B102" s="38" t="s">
        <v>140</v>
      </c>
      <c r="C102" s="6" t="s">
        <v>185</v>
      </c>
      <c r="D102" s="6"/>
      <c r="E102" s="36">
        <v>2</v>
      </c>
      <c r="F102" s="212">
        <v>70700</v>
      </c>
      <c r="G102" s="195">
        <v>39234</v>
      </c>
      <c r="H102" s="8"/>
      <c r="I102" s="212">
        <v>86000</v>
      </c>
      <c r="J102" s="8">
        <v>39357</v>
      </c>
      <c r="K102" s="7">
        <f>ROUNDDOWN(E102*F102*0.005,-1)</f>
        <v>700</v>
      </c>
      <c r="L102" s="7">
        <f>ROUNDDOWN(I102*E102*0.005,-1)</f>
        <v>860</v>
      </c>
      <c r="M102" s="196">
        <f t="shared" si="44"/>
        <v>516</v>
      </c>
      <c r="N102" s="36"/>
      <c r="O102" s="191">
        <f t="shared" si="41"/>
        <v>124</v>
      </c>
      <c r="P102" s="36">
        <f t="shared" si="45"/>
        <v>141400</v>
      </c>
      <c r="Q102" s="36">
        <f t="shared" si="46"/>
        <v>172000</v>
      </c>
      <c r="R102" s="7">
        <f t="shared" si="47"/>
        <v>-2076</v>
      </c>
      <c r="S102" s="227">
        <f t="shared" si="42"/>
        <v>28524</v>
      </c>
      <c r="T102" s="248">
        <f t="shared" si="43"/>
        <v>0.20172560113154173</v>
      </c>
      <c r="U102" s="193">
        <f t="shared" si="48"/>
        <v>0.59378906784687691</v>
      </c>
      <c r="V102" s="6"/>
      <c r="W102" s="2"/>
      <c r="X102" s="2"/>
      <c r="Y102" s="2"/>
      <c r="Z102" s="7"/>
    </row>
    <row r="103" spans="2:26" s="33" customFormat="1" ht="15" customHeight="1" x14ac:dyDescent="0.4">
      <c r="B103" s="38" t="s">
        <v>140</v>
      </c>
      <c r="C103" s="6" t="s">
        <v>187</v>
      </c>
      <c r="D103" s="6"/>
      <c r="E103" s="36">
        <v>30</v>
      </c>
      <c r="F103" s="212">
        <v>75500</v>
      </c>
      <c r="G103" s="195">
        <v>41243</v>
      </c>
      <c r="H103" s="8"/>
      <c r="I103" s="212">
        <v>76600</v>
      </c>
      <c r="J103" s="8">
        <v>41246</v>
      </c>
      <c r="K103" s="7">
        <f>ROUNDDOWN(E103*F103*0.00015,-1)</f>
        <v>330</v>
      </c>
      <c r="L103" s="7">
        <f>ROUNDDOWN(I103*E103*0.00015,-1)</f>
        <v>340</v>
      </c>
      <c r="M103" s="196">
        <f t="shared" si="44"/>
        <v>6894</v>
      </c>
      <c r="N103" s="36"/>
      <c r="O103" s="191">
        <f t="shared" si="41"/>
        <v>4</v>
      </c>
      <c r="P103" s="36">
        <f t="shared" si="45"/>
        <v>2265000</v>
      </c>
      <c r="Q103" s="36">
        <f t="shared" si="46"/>
        <v>2298000</v>
      </c>
      <c r="R103" s="7">
        <f t="shared" si="47"/>
        <v>-7564</v>
      </c>
      <c r="S103" s="227">
        <f t="shared" si="42"/>
        <v>25436</v>
      </c>
      <c r="T103" s="248">
        <f t="shared" si="43"/>
        <v>1.1230022075055187E-2</v>
      </c>
      <c r="U103" s="9">
        <f t="shared" si="48"/>
        <v>1.0247395143487859</v>
      </c>
      <c r="V103" s="6"/>
    </row>
    <row r="104" spans="2:26" s="33" customFormat="1" ht="15" customHeight="1" x14ac:dyDescent="0.4">
      <c r="B104" s="38" t="s">
        <v>140</v>
      </c>
      <c r="C104" s="6" t="s">
        <v>187</v>
      </c>
      <c r="D104" s="6"/>
      <c r="E104" s="36">
        <v>30</v>
      </c>
      <c r="F104" s="212">
        <v>75100</v>
      </c>
      <c r="G104" s="195">
        <v>41250</v>
      </c>
      <c r="H104" s="8"/>
      <c r="I104" s="212">
        <v>79800</v>
      </c>
      <c r="J104" s="8">
        <v>41348</v>
      </c>
      <c r="K104" s="7">
        <f>ROUNDDOWN(E104*F104*0.00015,-1)</f>
        <v>330</v>
      </c>
      <c r="L104" s="7">
        <f>ROUNDDOWN(I104*E104*0.00015,-1)</f>
        <v>350</v>
      </c>
      <c r="M104" s="196">
        <f t="shared" si="44"/>
        <v>7182</v>
      </c>
      <c r="N104" s="36">
        <v>6000</v>
      </c>
      <c r="O104" s="191">
        <f t="shared" si="41"/>
        <v>99</v>
      </c>
      <c r="P104" s="36">
        <f t="shared" si="45"/>
        <v>2253000</v>
      </c>
      <c r="Q104" s="36">
        <f t="shared" si="46"/>
        <v>2394000</v>
      </c>
      <c r="R104" s="7">
        <f t="shared" si="47"/>
        <v>-1862</v>
      </c>
      <c r="S104" s="227">
        <f t="shared" si="42"/>
        <v>139138</v>
      </c>
      <c r="T104" s="248">
        <f t="shared" si="43"/>
        <v>6.1756768752774076E-2</v>
      </c>
      <c r="U104" s="9">
        <f t="shared" si="48"/>
        <v>0.22768909691679332</v>
      </c>
      <c r="V104" s="6"/>
    </row>
    <row r="105" spans="2:26" ht="15" customHeight="1" x14ac:dyDescent="0.4">
      <c r="B105" s="38" t="s">
        <v>140</v>
      </c>
      <c r="C105" s="6" t="s">
        <v>187</v>
      </c>
      <c r="D105" s="6"/>
      <c r="E105" s="36">
        <v>50</v>
      </c>
      <c r="F105" s="212">
        <v>70400</v>
      </c>
      <c r="G105" s="195">
        <v>41451</v>
      </c>
      <c r="H105" s="8"/>
      <c r="I105" s="212">
        <v>75500</v>
      </c>
      <c r="J105" s="8">
        <v>41502</v>
      </c>
      <c r="K105" s="7">
        <f>ROUNDDOWN(E105*F105*0.00015,-1)</f>
        <v>520</v>
      </c>
      <c r="L105" s="7">
        <f>ROUNDDOWN(I105*E105*0.00015,-1)</f>
        <v>560</v>
      </c>
      <c r="M105" s="196">
        <f t="shared" si="44"/>
        <v>11325</v>
      </c>
      <c r="N105" s="36"/>
      <c r="O105" s="191">
        <f t="shared" si="41"/>
        <v>52</v>
      </c>
      <c r="P105" s="36">
        <f t="shared" si="45"/>
        <v>3520000</v>
      </c>
      <c r="Q105" s="36">
        <f t="shared" si="46"/>
        <v>3775000</v>
      </c>
      <c r="R105" s="7">
        <f t="shared" si="47"/>
        <v>-12405</v>
      </c>
      <c r="S105" s="227">
        <f t="shared" si="42"/>
        <v>242595</v>
      </c>
      <c r="T105" s="248">
        <f t="shared" si="43"/>
        <v>6.891903409090909E-2</v>
      </c>
      <c r="U105" s="193">
        <f t="shared" si="48"/>
        <v>0.48375860467657339</v>
      </c>
      <c r="V105" s="6"/>
      <c r="W105" s="2"/>
      <c r="X105" s="2"/>
      <c r="Y105" s="2"/>
      <c r="Z105" s="7"/>
    </row>
    <row r="106" spans="2:26" ht="15" customHeight="1" x14ac:dyDescent="0.4">
      <c r="B106" s="38" t="s">
        <v>140</v>
      </c>
      <c r="C106" s="6" t="s">
        <v>187</v>
      </c>
      <c r="D106" s="6"/>
      <c r="E106" s="36">
        <v>25</v>
      </c>
      <c r="F106" s="212">
        <v>68500</v>
      </c>
      <c r="G106" s="195">
        <v>41668</v>
      </c>
      <c r="H106" s="8"/>
      <c r="I106" s="212">
        <v>72000</v>
      </c>
      <c r="J106" s="8">
        <v>41789</v>
      </c>
      <c r="K106" s="7">
        <f>ROUNDDOWN(E106*F106*0.00015,-1)</f>
        <v>250</v>
      </c>
      <c r="L106" s="7">
        <f>ROUNDDOWN(I106*E106*0.00015,-1)</f>
        <v>270</v>
      </c>
      <c r="M106" s="196">
        <f t="shared" si="44"/>
        <v>5400</v>
      </c>
      <c r="N106" s="36"/>
      <c r="O106" s="191">
        <f t="shared" si="41"/>
        <v>122</v>
      </c>
      <c r="P106" s="36">
        <f t="shared" si="45"/>
        <v>1712500</v>
      </c>
      <c r="Q106" s="36">
        <f t="shared" si="46"/>
        <v>1800000</v>
      </c>
      <c r="R106" s="7">
        <f t="shared" si="47"/>
        <v>-5920</v>
      </c>
      <c r="S106" s="227">
        <f t="shared" si="42"/>
        <v>81580</v>
      </c>
      <c r="T106" s="248">
        <f t="shared" si="43"/>
        <v>4.7637956204379564E-2</v>
      </c>
      <c r="U106" s="193">
        <f t="shared" si="48"/>
        <v>0.14252339356228313</v>
      </c>
      <c r="V106" s="6"/>
      <c r="W106" s="2"/>
      <c r="X106" s="2"/>
      <c r="Y106" s="2"/>
      <c r="Z106" s="7"/>
    </row>
    <row r="107" spans="2:26" ht="15" customHeight="1" x14ac:dyDescent="0.4">
      <c r="B107" s="38" t="s">
        <v>140</v>
      </c>
      <c r="C107" s="6" t="s">
        <v>160</v>
      </c>
      <c r="D107" s="6">
        <f t="shared" ref="D107:D131" si="49">IF(OR($C107="신한",$C107="OTC",$C107="무상증자(신한)",$C107="토스",$C107="R토스"),1,"확인")</f>
        <v>1</v>
      </c>
      <c r="E107" s="34">
        <v>18</v>
      </c>
      <c r="F107" s="212">
        <v>87100</v>
      </c>
      <c r="G107" s="195">
        <v>45630</v>
      </c>
      <c r="H107" s="8"/>
      <c r="I107" s="212">
        <v>91500</v>
      </c>
      <c r="J107" s="8">
        <v>45644</v>
      </c>
      <c r="K107" s="23">
        <f t="shared" ref="K107:K131" si="50">IF($C107="OTC",ROUNDDOWN($E107*$F107*0.000909187,-1),(IF($C107="신한",ROUNDDOWN($E107*$F107*0.000036396,-1),(IF($C107="토스",$E107*$F107*0.00015,(IF($C107="US",(IF($E107*$F107*0.0025&gt;0.01,$E107*$F107*0.0025,0.01)),IF($C107="JP",(IF($E107*$F107*0.0025&gt;1000,$E107*$F107*0.0025,1000)),(IF($C107="R토스",0,IF($C107="무상증자(신한)",0,"")))))))))))</f>
        <v>50</v>
      </c>
      <c r="L107" s="23">
        <f t="shared" ref="L107:L131" si="51">IF($C107="OTC",ROUNDDOWN($I107*$E107*0.000909187,-1),(IF($C107="신한",ROUNDDOWN($I107*$E107*0.000036396,-1),(IF($C107="토스",$I107*$E107*0.00015,(IF($C107="US",(IF($I107*$E107*0.0025&gt;0.01,$I107*$E107*0.0025,0.01)),(IF($C107="JP",(IF($I107*$E107*0.0025&gt;1000,$I107*$E107*0.0025,1000)),(IF($C107="R토스",$I107*$E107*0.00015,(IF($C107="무상증자(신한)",ROUNDDOWN($I107*$E107*0.000036396,-1),"")))))))))))))</f>
        <v>50</v>
      </c>
      <c r="M107" s="206">
        <f>Q107*0.0018</f>
        <v>2964.6</v>
      </c>
      <c r="N107" s="34"/>
      <c r="O107" s="40">
        <f t="shared" si="41"/>
        <v>15</v>
      </c>
      <c r="P107" s="34">
        <f t="shared" ref="P107:P131" si="52">$E107*$F107*$D107</f>
        <v>1567800</v>
      </c>
      <c r="Q107" s="34">
        <f t="shared" ref="Q107:Q131" si="53">$E107*$I107*$D107</f>
        <v>1647000</v>
      </c>
      <c r="R107" s="7">
        <f t="shared" ref="R107:R131" si="54">($N107-$K107-$L107-$M107)*$D107</f>
        <v>-3064.6</v>
      </c>
      <c r="S107" s="227">
        <f t="shared" si="42"/>
        <v>76135.399999999994</v>
      </c>
      <c r="T107" s="249">
        <f t="shared" si="43"/>
        <v>4.8561933920142873E-2</v>
      </c>
      <c r="U107" s="38"/>
      <c r="V107" s="33"/>
      <c r="W107" s="2"/>
      <c r="X107" s="2"/>
      <c r="Y107" s="2"/>
      <c r="Z107" s="7"/>
    </row>
    <row r="108" spans="2:26" ht="15" customHeight="1" x14ac:dyDescent="0.4">
      <c r="B108" s="38" t="s">
        <v>140</v>
      </c>
      <c r="C108" s="6" t="s">
        <v>160</v>
      </c>
      <c r="D108" s="6">
        <f t="shared" si="49"/>
        <v>1</v>
      </c>
      <c r="E108" s="34">
        <v>15</v>
      </c>
      <c r="F108" s="212">
        <v>86613</v>
      </c>
      <c r="G108" s="195">
        <v>45631</v>
      </c>
      <c r="H108" s="8"/>
      <c r="I108" s="212">
        <v>91500</v>
      </c>
      <c r="J108" s="8">
        <v>45644</v>
      </c>
      <c r="K108" s="23">
        <f t="shared" si="50"/>
        <v>40</v>
      </c>
      <c r="L108" s="23">
        <f t="shared" si="51"/>
        <v>40</v>
      </c>
      <c r="M108" s="206">
        <f>Q108*0.0018</f>
        <v>2470.5</v>
      </c>
      <c r="N108" s="34"/>
      <c r="O108" s="40">
        <f t="shared" si="41"/>
        <v>14</v>
      </c>
      <c r="P108" s="34">
        <f t="shared" si="52"/>
        <v>1299195</v>
      </c>
      <c r="Q108" s="34">
        <f t="shared" si="53"/>
        <v>1372500</v>
      </c>
      <c r="R108" s="7">
        <f t="shared" si="54"/>
        <v>-2550.5</v>
      </c>
      <c r="S108" s="227">
        <f t="shared" si="42"/>
        <v>70754.5</v>
      </c>
      <c r="T108" s="249">
        <f t="shared" si="43"/>
        <v>5.4460261931426765E-2</v>
      </c>
      <c r="U108" s="38"/>
      <c r="V108" s="33"/>
      <c r="W108" s="2"/>
      <c r="X108" s="2"/>
      <c r="Y108" s="2"/>
      <c r="Z108" s="7"/>
    </row>
    <row r="109" spans="2:26" s="33" customFormat="1" ht="15" customHeight="1" x14ac:dyDescent="0.4">
      <c r="B109" s="38" t="s">
        <v>140</v>
      </c>
      <c r="C109" s="6" t="s">
        <v>160</v>
      </c>
      <c r="D109" s="6">
        <f t="shared" si="49"/>
        <v>1</v>
      </c>
      <c r="E109" s="34">
        <v>4</v>
      </c>
      <c r="F109" s="212">
        <v>88700</v>
      </c>
      <c r="G109" s="195">
        <v>45645</v>
      </c>
      <c r="H109" s="8"/>
      <c r="I109" s="212">
        <v>82100</v>
      </c>
      <c r="J109" s="8">
        <v>45918</v>
      </c>
      <c r="K109" s="23">
        <f t="shared" si="50"/>
        <v>10</v>
      </c>
      <c r="L109" s="23">
        <f t="shared" si="51"/>
        <v>10</v>
      </c>
      <c r="M109" s="206">
        <f t="shared" ref="M109:M131" si="55">Q109*0.0015</f>
        <v>492.6</v>
      </c>
      <c r="N109" s="34">
        <f t="shared" ref="N109:N123" si="56">500*E109*(1-0.154)+500*E109*(1-0.154)</f>
        <v>3384</v>
      </c>
      <c r="O109" s="209">
        <f t="shared" si="41"/>
        <v>274</v>
      </c>
      <c r="P109" s="34">
        <f t="shared" si="52"/>
        <v>354800</v>
      </c>
      <c r="Q109" s="34">
        <f t="shared" si="53"/>
        <v>328400</v>
      </c>
      <c r="R109" s="7">
        <f t="shared" si="54"/>
        <v>2871.4</v>
      </c>
      <c r="S109" s="227">
        <f t="shared" si="42"/>
        <v>-23528.6</v>
      </c>
      <c r="T109" s="249">
        <f t="shared" si="43"/>
        <v>-6.6315107102593002E-2</v>
      </c>
    </row>
    <row r="110" spans="2:26" s="33" customFormat="1" ht="15" customHeight="1" x14ac:dyDescent="0.4">
      <c r="B110" s="38" t="s">
        <v>140</v>
      </c>
      <c r="C110" s="6" t="s">
        <v>160</v>
      </c>
      <c r="D110" s="6">
        <f t="shared" si="49"/>
        <v>1</v>
      </c>
      <c r="E110" s="34">
        <v>2</v>
      </c>
      <c r="F110" s="212">
        <v>86800</v>
      </c>
      <c r="G110" s="195">
        <v>45646</v>
      </c>
      <c r="H110" s="8"/>
      <c r="I110" s="212">
        <v>82100</v>
      </c>
      <c r="J110" s="8">
        <v>45918</v>
      </c>
      <c r="K110" s="23">
        <f t="shared" si="50"/>
        <v>0</v>
      </c>
      <c r="L110" s="23">
        <f t="shared" si="51"/>
        <v>0</v>
      </c>
      <c r="M110" s="206">
        <f t="shared" si="55"/>
        <v>246.3</v>
      </c>
      <c r="N110" s="34">
        <f t="shared" si="56"/>
        <v>1692</v>
      </c>
      <c r="O110" s="209">
        <f t="shared" si="41"/>
        <v>273</v>
      </c>
      <c r="P110" s="34">
        <f t="shared" si="52"/>
        <v>173600</v>
      </c>
      <c r="Q110" s="34">
        <f t="shared" si="53"/>
        <v>164200</v>
      </c>
      <c r="R110" s="7">
        <f t="shared" si="54"/>
        <v>1445.7</v>
      </c>
      <c r="S110" s="227">
        <f t="shared" si="42"/>
        <v>-7954.3</v>
      </c>
      <c r="T110" s="249">
        <f t="shared" si="43"/>
        <v>-4.5819700460829497E-2</v>
      </c>
    </row>
    <row r="111" spans="2:26" s="33" customFormat="1" ht="15" customHeight="1" x14ac:dyDescent="0.4">
      <c r="B111" s="38" t="s">
        <v>140</v>
      </c>
      <c r="C111" s="6" t="s">
        <v>160</v>
      </c>
      <c r="D111" s="6">
        <f t="shared" si="49"/>
        <v>1</v>
      </c>
      <c r="E111" s="34">
        <v>2</v>
      </c>
      <c r="F111" s="212">
        <v>87000</v>
      </c>
      <c r="G111" s="195">
        <v>45650</v>
      </c>
      <c r="H111" s="8"/>
      <c r="I111" s="212">
        <v>82100</v>
      </c>
      <c r="J111" s="8">
        <v>45918</v>
      </c>
      <c r="K111" s="23">
        <f t="shared" si="50"/>
        <v>0</v>
      </c>
      <c r="L111" s="23">
        <f t="shared" si="51"/>
        <v>0</v>
      </c>
      <c r="M111" s="206">
        <f t="shared" si="55"/>
        <v>246.3</v>
      </c>
      <c r="N111" s="34">
        <f t="shared" si="56"/>
        <v>1692</v>
      </c>
      <c r="O111" s="209">
        <f t="shared" si="41"/>
        <v>269</v>
      </c>
      <c r="P111" s="34">
        <f t="shared" si="52"/>
        <v>174000</v>
      </c>
      <c r="Q111" s="34">
        <f t="shared" si="53"/>
        <v>164200</v>
      </c>
      <c r="R111" s="7">
        <f t="shared" si="54"/>
        <v>1445.7</v>
      </c>
      <c r="S111" s="227">
        <f t="shared" si="42"/>
        <v>-8354.2999999999993</v>
      </c>
      <c r="T111" s="249">
        <f t="shared" si="43"/>
        <v>-4.8013218390804593E-2</v>
      </c>
    </row>
    <row r="112" spans="2:26" s="33" customFormat="1" ht="15" customHeight="1" x14ac:dyDescent="0.4">
      <c r="B112" s="38" t="s">
        <v>140</v>
      </c>
      <c r="C112" s="6" t="s">
        <v>160</v>
      </c>
      <c r="D112" s="6">
        <f t="shared" si="49"/>
        <v>1</v>
      </c>
      <c r="E112" s="34">
        <v>4</v>
      </c>
      <c r="F112" s="212">
        <v>84300</v>
      </c>
      <c r="G112" s="195">
        <v>45653</v>
      </c>
      <c r="H112" s="8"/>
      <c r="I112" s="212">
        <v>82100</v>
      </c>
      <c r="J112" s="8">
        <v>45918</v>
      </c>
      <c r="K112" s="23">
        <f t="shared" si="50"/>
        <v>10</v>
      </c>
      <c r="L112" s="23">
        <f t="shared" si="51"/>
        <v>10</v>
      </c>
      <c r="M112" s="206">
        <f t="shared" si="55"/>
        <v>492.6</v>
      </c>
      <c r="N112" s="34">
        <f t="shared" si="56"/>
        <v>3384</v>
      </c>
      <c r="O112" s="209">
        <f t="shared" si="41"/>
        <v>266</v>
      </c>
      <c r="P112" s="34">
        <f t="shared" si="52"/>
        <v>337200</v>
      </c>
      <c r="Q112" s="34">
        <f t="shared" si="53"/>
        <v>328400</v>
      </c>
      <c r="R112" s="7">
        <f t="shared" si="54"/>
        <v>2871.4</v>
      </c>
      <c r="S112" s="227">
        <f t="shared" si="42"/>
        <v>-5928.6</v>
      </c>
      <c r="T112" s="249">
        <f t="shared" si="43"/>
        <v>-1.7581850533807831E-2</v>
      </c>
    </row>
    <row r="113" spans="1:26" s="33" customFormat="1" ht="15" customHeight="1" x14ac:dyDescent="0.4">
      <c r="B113" s="38" t="s">
        <v>140</v>
      </c>
      <c r="C113" s="6" t="s">
        <v>160</v>
      </c>
      <c r="D113" s="6">
        <f t="shared" si="49"/>
        <v>1</v>
      </c>
      <c r="E113" s="34">
        <v>2</v>
      </c>
      <c r="F113" s="212">
        <v>84000</v>
      </c>
      <c r="G113" s="195">
        <v>45656</v>
      </c>
      <c r="H113" s="8"/>
      <c r="I113" s="212">
        <v>82100</v>
      </c>
      <c r="J113" s="8">
        <v>45918</v>
      </c>
      <c r="K113" s="23">
        <f t="shared" si="50"/>
        <v>0</v>
      </c>
      <c r="L113" s="23">
        <f t="shared" si="51"/>
        <v>0</v>
      </c>
      <c r="M113" s="206">
        <f t="shared" si="55"/>
        <v>246.3</v>
      </c>
      <c r="N113" s="34">
        <f t="shared" si="56"/>
        <v>1692</v>
      </c>
      <c r="O113" s="209">
        <f t="shared" si="41"/>
        <v>263</v>
      </c>
      <c r="P113" s="34">
        <f t="shared" si="52"/>
        <v>168000</v>
      </c>
      <c r="Q113" s="34">
        <f t="shared" si="53"/>
        <v>164200</v>
      </c>
      <c r="R113" s="7">
        <f t="shared" si="54"/>
        <v>1445.7</v>
      </c>
      <c r="S113" s="227">
        <f t="shared" si="42"/>
        <v>-2354.3000000000002</v>
      </c>
      <c r="T113" s="249">
        <f t="shared" si="43"/>
        <v>-1.4013690476190476E-2</v>
      </c>
    </row>
    <row r="114" spans="1:26" s="33" customFormat="1" ht="15" customHeight="1" x14ac:dyDescent="0.4">
      <c r="B114" s="38" t="s">
        <v>140</v>
      </c>
      <c r="C114" s="6" t="s">
        <v>160</v>
      </c>
      <c r="D114" s="6">
        <f t="shared" si="49"/>
        <v>1</v>
      </c>
      <c r="E114" s="34">
        <v>2</v>
      </c>
      <c r="F114" s="212">
        <v>83600</v>
      </c>
      <c r="G114" s="195">
        <v>45656</v>
      </c>
      <c r="H114" s="8"/>
      <c r="I114" s="212">
        <v>82100</v>
      </c>
      <c r="J114" s="8">
        <v>45918</v>
      </c>
      <c r="K114" s="23">
        <f t="shared" si="50"/>
        <v>0</v>
      </c>
      <c r="L114" s="23">
        <f t="shared" si="51"/>
        <v>0</v>
      </c>
      <c r="M114" s="206">
        <f t="shared" si="55"/>
        <v>246.3</v>
      </c>
      <c r="N114" s="34">
        <f t="shared" si="56"/>
        <v>1692</v>
      </c>
      <c r="O114" s="209">
        <f t="shared" si="41"/>
        <v>263</v>
      </c>
      <c r="P114" s="34">
        <f t="shared" si="52"/>
        <v>167200</v>
      </c>
      <c r="Q114" s="34">
        <f t="shared" si="53"/>
        <v>164200</v>
      </c>
      <c r="R114" s="7">
        <f t="shared" si="54"/>
        <v>1445.7</v>
      </c>
      <c r="S114" s="227">
        <f t="shared" si="42"/>
        <v>-1554.3</v>
      </c>
      <c r="T114" s="249">
        <f t="shared" si="43"/>
        <v>-9.296052631578948E-3</v>
      </c>
    </row>
    <row r="115" spans="1:26" s="33" customFormat="1" ht="15" customHeight="1" x14ac:dyDescent="0.4">
      <c r="A115" s="33" t="s">
        <v>113</v>
      </c>
      <c r="B115" s="38" t="s">
        <v>140</v>
      </c>
      <c r="C115" s="6" t="s">
        <v>160</v>
      </c>
      <c r="D115" s="6">
        <f t="shared" si="49"/>
        <v>1</v>
      </c>
      <c r="E115" s="34">
        <v>9</v>
      </c>
      <c r="F115" s="212">
        <v>78200</v>
      </c>
      <c r="G115" s="195">
        <v>45691</v>
      </c>
      <c r="H115" s="8"/>
      <c r="I115" s="212">
        <v>82100</v>
      </c>
      <c r="J115" s="8">
        <v>45918</v>
      </c>
      <c r="K115" s="23">
        <f t="shared" si="50"/>
        <v>20</v>
      </c>
      <c r="L115" s="23">
        <f t="shared" si="51"/>
        <v>20</v>
      </c>
      <c r="M115" s="206">
        <f t="shared" si="55"/>
        <v>1108.3500000000001</v>
      </c>
      <c r="N115" s="34">
        <f t="shared" si="56"/>
        <v>7614</v>
      </c>
      <c r="O115" s="209">
        <f t="shared" si="41"/>
        <v>228</v>
      </c>
      <c r="P115" s="34">
        <f t="shared" si="52"/>
        <v>703800</v>
      </c>
      <c r="Q115" s="34">
        <f t="shared" si="53"/>
        <v>738900</v>
      </c>
      <c r="R115" s="7">
        <f t="shared" si="54"/>
        <v>6465.65</v>
      </c>
      <c r="S115" s="227">
        <f t="shared" si="42"/>
        <v>41565.65</v>
      </c>
      <c r="T115" s="249">
        <f t="shared" si="43"/>
        <v>5.9058894572321684E-2</v>
      </c>
    </row>
    <row r="116" spans="1:26" s="33" customFormat="1" ht="15" customHeight="1" x14ac:dyDescent="0.4">
      <c r="A116" s="33" t="s">
        <v>113</v>
      </c>
      <c r="B116" s="38" t="s">
        <v>140</v>
      </c>
      <c r="C116" s="6" t="s">
        <v>160</v>
      </c>
      <c r="D116" s="6">
        <f t="shared" si="49"/>
        <v>1</v>
      </c>
      <c r="E116" s="34">
        <v>10</v>
      </c>
      <c r="F116" s="212">
        <v>78300</v>
      </c>
      <c r="G116" s="195">
        <v>45692</v>
      </c>
      <c r="H116" s="8"/>
      <c r="I116" s="212">
        <v>82100</v>
      </c>
      <c r="J116" s="8">
        <v>45918</v>
      </c>
      <c r="K116" s="23">
        <f t="shared" si="50"/>
        <v>20</v>
      </c>
      <c r="L116" s="23">
        <f t="shared" si="51"/>
        <v>20</v>
      </c>
      <c r="M116" s="206">
        <f t="shared" si="55"/>
        <v>1231.5</v>
      </c>
      <c r="N116" s="34">
        <f t="shared" si="56"/>
        <v>8460</v>
      </c>
      <c r="O116" s="209">
        <f t="shared" si="41"/>
        <v>227</v>
      </c>
      <c r="P116" s="34">
        <f t="shared" si="52"/>
        <v>783000</v>
      </c>
      <c r="Q116" s="34">
        <f t="shared" si="53"/>
        <v>821000</v>
      </c>
      <c r="R116" s="7">
        <f t="shared" si="54"/>
        <v>7188.5</v>
      </c>
      <c r="S116" s="227">
        <f t="shared" si="42"/>
        <v>45188.5</v>
      </c>
      <c r="T116" s="249">
        <f t="shared" si="43"/>
        <v>5.7712005108556834E-2</v>
      </c>
    </row>
    <row r="117" spans="1:26" ht="15" customHeight="1" x14ac:dyDescent="0.4">
      <c r="B117" s="38" t="s">
        <v>140</v>
      </c>
      <c r="C117" s="6" t="s">
        <v>160</v>
      </c>
      <c r="D117" s="6">
        <f t="shared" si="49"/>
        <v>1</v>
      </c>
      <c r="E117" s="34">
        <v>4</v>
      </c>
      <c r="F117" s="212">
        <v>78500</v>
      </c>
      <c r="G117" s="195">
        <v>45699</v>
      </c>
      <c r="H117" s="8"/>
      <c r="I117" s="212">
        <v>82100</v>
      </c>
      <c r="J117" s="8">
        <v>45918</v>
      </c>
      <c r="K117" s="23">
        <f t="shared" si="50"/>
        <v>10</v>
      </c>
      <c r="L117" s="23">
        <f t="shared" si="51"/>
        <v>10</v>
      </c>
      <c r="M117" s="206">
        <f t="shared" si="55"/>
        <v>492.6</v>
      </c>
      <c r="N117" s="34">
        <f t="shared" si="56"/>
        <v>3384</v>
      </c>
      <c r="O117" s="209">
        <f t="shared" si="41"/>
        <v>220</v>
      </c>
      <c r="P117" s="34">
        <f t="shared" si="52"/>
        <v>314000</v>
      </c>
      <c r="Q117" s="34">
        <f t="shared" si="53"/>
        <v>328400</v>
      </c>
      <c r="R117" s="7">
        <f t="shared" si="54"/>
        <v>2871.4</v>
      </c>
      <c r="S117" s="227">
        <f t="shared" si="42"/>
        <v>17271.400000000001</v>
      </c>
      <c r="T117" s="249">
        <f t="shared" si="43"/>
        <v>5.5004458598726116E-2</v>
      </c>
      <c r="U117" s="38"/>
      <c r="V117" s="33"/>
      <c r="W117" s="2"/>
      <c r="X117" s="2"/>
      <c r="Y117" s="2"/>
      <c r="Z117" s="7"/>
    </row>
    <row r="118" spans="1:26" ht="15" customHeight="1" x14ac:dyDescent="0.4">
      <c r="B118" s="38" t="s">
        <v>140</v>
      </c>
      <c r="C118" s="6" t="s">
        <v>160</v>
      </c>
      <c r="D118" s="6">
        <f t="shared" si="49"/>
        <v>1</v>
      </c>
      <c r="E118" s="34">
        <v>2</v>
      </c>
      <c r="F118" s="212">
        <v>79300</v>
      </c>
      <c r="G118" s="195">
        <v>45705</v>
      </c>
      <c r="H118" s="8"/>
      <c r="I118" s="212">
        <v>82100</v>
      </c>
      <c r="J118" s="8">
        <v>45918</v>
      </c>
      <c r="K118" s="23">
        <f t="shared" si="50"/>
        <v>0</v>
      </c>
      <c r="L118" s="23">
        <f t="shared" si="51"/>
        <v>0</v>
      </c>
      <c r="M118" s="206">
        <f t="shared" si="55"/>
        <v>246.3</v>
      </c>
      <c r="N118" s="34">
        <f t="shared" si="56"/>
        <v>1692</v>
      </c>
      <c r="O118" s="209">
        <f t="shared" si="41"/>
        <v>214</v>
      </c>
      <c r="P118" s="34">
        <f t="shared" si="52"/>
        <v>158600</v>
      </c>
      <c r="Q118" s="34">
        <f t="shared" si="53"/>
        <v>164200</v>
      </c>
      <c r="R118" s="7">
        <f t="shared" si="54"/>
        <v>1445.7</v>
      </c>
      <c r="S118" s="227">
        <f t="shared" si="42"/>
        <v>7045.7</v>
      </c>
      <c r="T118" s="249">
        <f t="shared" si="43"/>
        <v>4.4424337957124839E-2</v>
      </c>
      <c r="U118" s="38"/>
      <c r="V118" s="33"/>
      <c r="W118" s="2"/>
      <c r="X118" s="2"/>
      <c r="Y118" s="2"/>
      <c r="Z118" s="7"/>
    </row>
    <row r="119" spans="1:26" ht="15" customHeight="1" x14ac:dyDescent="0.4">
      <c r="B119" s="38" t="s">
        <v>140</v>
      </c>
      <c r="C119" s="6" t="s">
        <v>160</v>
      </c>
      <c r="D119" s="6">
        <f t="shared" si="49"/>
        <v>1</v>
      </c>
      <c r="E119" s="34">
        <v>2</v>
      </c>
      <c r="F119" s="212">
        <v>78800</v>
      </c>
      <c r="G119" s="195">
        <v>45706</v>
      </c>
      <c r="H119" s="8"/>
      <c r="I119" s="212">
        <v>82100</v>
      </c>
      <c r="J119" s="8">
        <v>45918</v>
      </c>
      <c r="K119" s="23">
        <f t="shared" si="50"/>
        <v>0</v>
      </c>
      <c r="L119" s="23">
        <f t="shared" si="51"/>
        <v>0</v>
      </c>
      <c r="M119" s="206">
        <f t="shared" si="55"/>
        <v>246.3</v>
      </c>
      <c r="N119" s="34">
        <f t="shared" si="56"/>
        <v>1692</v>
      </c>
      <c r="O119" s="209">
        <f t="shared" si="41"/>
        <v>213</v>
      </c>
      <c r="P119" s="34">
        <f t="shared" si="52"/>
        <v>157600</v>
      </c>
      <c r="Q119" s="34">
        <f t="shared" si="53"/>
        <v>164200</v>
      </c>
      <c r="R119" s="7">
        <f t="shared" si="54"/>
        <v>1445.7</v>
      </c>
      <c r="S119" s="227">
        <f t="shared" si="42"/>
        <v>8045.7</v>
      </c>
      <c r="T119" s="249">
        <f t="shared" si="43"/>
        <v>5.1051395939086294E-2</v>
      </c>
      <c r="U119" s="38"/>
      <c r="V119" s="33"/>
      <c r="W119" s="2"/>
      <c r="X119" s="2"/>
      <c r="Y119" s="2"/>
      <c r="Z119" s="7"/>
    </row>
    <row r="120" spans="1:26" ht="15" customHeight="1" x14ac:dyDescent="0.4">
      <c r="B120" s="38" t="s">
        <v>140</v>
      </c>
      <c r="C120" s="6" t="s">
        <v>160</v>
      </c>
      <c r="D120" s="6">
        <f t="shared" si="49"/>
        <v>1</v>
      </c>
      <c r="E120" s="34">
        <v>3</v>
      </c>
      <c r="F120" s="212">
        <v>79200</v>
      </c>
      <c r="G120" s="195">
        <v>45716</v>
      </c>
      <c r="H120" s="8"/>
      <c r="I120" s="212">
        <v>82100</v>
      </c>
      <c r="J120" s="8">
        <v>45918</v>
      </c>
      <c r="K120" s="23">
        <f t="shared" si="50"/>
        <v>0</v>
      </c>
      <c r="L120" s="23">
        <f t="shared" si="51"/>
        <v>0</v>
      </c>
      <c r="M120" s="206">
        <f t="shared" si="55"/>
        <v>369.45</v>
      </c>
      <c r="N120" s="34">
        <f t="shared" si="56"/>
        <v>2538</v>
      </c>
      <c r="O120" s="209">
        <f t="shared" si="41"/>
        <v>203</v>
      </c>
      <c r="P120" s="34">
        <f t="shared" si="52"/>
        <v>237600</v>
      </c>
      <c r="Q120" s="34">
        <f t="shared" si="53"/>
        <v>246300</v>
      </c>
      <c r="R120" s="7">
        <f t="shared" si="54"/>
        <v>2168.5500000000002</v>
      </c>
      <c r="S120" s="227">
        <f t="shared" si="42"/>
        <v>10868.55</v>
      </c>
      <c r="T120" s="249">
        <f t="shared" si="43"/>
        <v>4.5743055555555551E-2</v>
      </c>
      <c r="U120" s="38"/>
      <c r="V120" s="33"/>
      <c r="W120" s="2"/>
      <c r="X120" s="2"/>
      <c r="Y120" s="2"/>
      <c r="Z120" s="7"/>
    </row>
    <row r="121" spans="1:26" ht="15" customHeight="1" x14ac:dyDescent="0.4">
      <c r="B121" s="38" t="s">
        <v>140</v>
      </c>
      <c r="C121" s="6" t="s">
        <v>160</v>
      </c>
      <c r="D121" s="6">
        <f t="shared" si="49"/>
        <v>1</v>
      </c>
      <c r="E121" s="34">
        <v>2</v>
      </c>
      <c r="F121" s="212">
        <v>77900</v>
      </c>
      <c r="G121" s="195">
        <v>45723</v>
      </c>
      <c r="H121" s="8"/>
      <c r="I121" s="212">
        <v>82100</v>
      </c>
      <c r="J121" s="8">
        <v>45918</v>
      </c>
      <c r="K121" s="23">
        <f t="shared" si="50"/>
        <v>0</v>
      </c>
      <c r="L121" s="23">
        <f t="shared" si="51"/>
        <v>0</v>
      </c>
      <c r="M121" s="206">
        <f t="shared" si="55"/>
        <v>246.3</v>
      </c>
      <c r="N121" s="34">
        <f t="shared" si="56"/>
        <v>1692</v>
      </c>
      <c r="O121" s="209">
        <f t="shared" si="41"/>
        <v>196</v>
      </c>
      <c r="P121" s="34">
        <f t="shared" si="52"/>
        <v>155800</v>
      </c>
      <c r="Q121" s="34">
        <f t="shared" si="53"/>
        <v>164200</v>
      </c>
      <c r="R121" s="7">
        <f t="shared" si="54"/>
        <v>1445.7</v>
      </c>
      <c r="S121" s="227">
        <f t="shared" si="42"/>
        <v>9845.7000000000007</v>
      </c>
      <c r="T121" s="249">
        <f t="shared" si="43"/>
        <v>6.3194480102695766E-2</v>
      </c>
      <c r="U121" s="38"/>
      <c r="V121" s="33"/>
      <c r="W121" s="2"/>
      <c r="X121" s="2"/>
      <c r="Y121" s="2"/>
      <c r="Z121" s="7"/>
    </row>
    <row r="122" spans="1:26" ht="15" customHeight="1" x14ac:dyDescent="0.4">
      <c r="B122" s="38" t="s">
        <v>140</v>
      </c>
      <c r="C122" s="6" t="s">
        <v>160</v>
      </c>
      <c r="D122" s="6">
        <f t="shared" si="49"/>
        <v>1</v>
      </c>
      <c r="E122" s="34">
        <v>3</v>
      </c>
      <c r="F122" s="212">
        <v>82500</v>
      </c>
      <c r="G122" s="195">
        <v>45743</v>
      </c>
      <c r="H122" s="8"/>
      <c r="I122" s="212">
        <v>82100</v>
      </c>
      <c r="J122" s="8">
        <v>45918</v>
      </c>
      <c r="K122" s="23">
        <f t="shared" si="50"/>
        <v>0</v>
      </c>
      <c r="L122" s="23">
        <f t="shared" si="51"/>
        <v>0</v>
      </c>
      <c r="M122" s="206">
        <f t="shared" si="55"/>
        <v>369.45</v>
      </c>
      <c r="N122" s="34">
        <f t="shared" si="56"/>
        <v>2538</v>
      </c>
      <c r="O122" s="209">
        <f t="shared" si="41"/>
        <v>176</v>
      </c>
      <c r="P122" s="34">
        <f t="shared" si="52"/>
        <v>247500</v>
      </c>
      <c r="Q122" s="34">
        <f t="shared" si="53"/>
        <v>246300</v>
      </c>
      <c r="R122" s="7">
        <f t="shared" si="54"/>
        <v>2168.5500000000002</v>
      </c>
      <c r="S122" s="227">
        <f t="shared" si="42"/>
        <v>968.55000000000018</v>
      </c>
      <c r="T122" s="249">
        <f t="shared" si="43"/>
        <v>3.9133333333333338E-3</v>
      </c>
      <c r="U122" s="38"/>
      <c r="V122" s="33"/>
      <c r="W122" s="2"/>
      <c r="X122" s="2"/>
      <c r="Y122" s="2"/>
      <c r="Z122" s="7"/>
    </row>
    <row r="123" spans="1:26" ht="15" customHeight="1" x14ac:dyDescent="0.4">
      <c r="B123" s="38" t="s">
        <v>140</v>
      </c>
      <c r="C123" s="6" t="s">
        <v>160</v>
      </c>
      <c r="D123" s="6">
        <f t="shared" si="49"/>
        <v>1</v>
      </c>
      <c r="E123" s="34">
        <v>3</v>
      </c>
      <c r="F123" s="212">
        <v>72500</v>
      </c>
      <c r="G123" s="195">
        <v>45751</v>
      </c>
      <c r="H123" s="8"/>
      <c r="I123" s="212">
        <v>82100</v>
      </c>
      <c r="J123" s="8">
        <v>45918</v>
      </c>
      <c r="K123" s="23">
        <f t="shared" si="50"/>
        <v>0</v>
      </c>
      <c r="L123" s="23">
        <f t="shared" si="51"/>
        <v>0</v>
      </c>
      <c r="M123" s="206">
        <f t="shared" si="55"/>
        <v>369.45</v>
      </c>
      <c r="N123" s="34">
        <f t="shared" si="56"/>
        <v>2538</v>
      </c>
      <c r="O123" s="209">
        <f t="shared" si="41"/>
        <v>168</v>
      </c>
      <c r="P123" s="34">
        <f t="shared" si="52"/>
        <v>217500</v>
      </c>
      <c r="Q123" s="34">
        <f t="shared" si="53"/>
        <v>246300</v>
      </c>
      <c r="R123" s="7">
        <f t="shared" si="54"/>
        <v>2168.5500000000002</v>
      </c>
      <c r="S123" s="227">
        <f t="shared" si="42"/>
        <v>30968.55</v>
      </c>
      <c r="T123" s="249">
        <f t="shared" si="43"/>
        <v>0.14238413793103447</v>
      </c>
      <c r="U123" s="38"/>
      <c r="V123" s="33"/>
      <c r="W123" s="2"/>
      <c r="X123" s="2"/>
      <c r="Y123" s="2"/>
      <c r="Z123" s="7"/>
    </row>
    <row r="124" spans="1:26" ht="15" customHeight="1" x14ac:dyDescent="0.4">
      <c r="B124" s="38" t="s">
        <v>140</v>
      </c>
      <c r="C124" s="6" t="s">
        <v>160</v>
      </c>
      <c r="D124" s="6">
        <f t="shared" si="49"/>
        <v>1</v>
      </c>
      <c r="E124" s="34">
        <v>5</v>
      </c>
      <c r="F124" s="212">
        <v>69500</v>
      </c>
      <c r="G124" s="195">
        <v>45754</v>
      </c>
      <c r="H124" s="8"/>
      <c r="I124" s="212">
        <v>82100</v>
      </c>
      <c r="J124" s="8">
        <v>45918</v>
      </c>
      <c r="K124" s="23">
        <f t="shared" si="50"/>
        <v>10</v>
      </c>
      <c r="L124" s="23">
        <f t="shared" si="51"/>
        <v>10</v>
      </c>
      <c r="M124" s="206">
        <f t="shared" si="55"/>
        <v>615.75</v>
      </c>
      <c r="N124" s="34">
        <f>500*E124*(1-0.154)</f>
        <v>2115</v>
      </c>
      <c r="O124" s="209">
        <f t="shared" si="41"/>
        <v>165</v>
      </c>
      <c r="P124" s="34">
        <f t="shared" si="52"/>
        <v>347500</v>
      </c>
      <c r="Q124" s="34">
        <f t="shared" si="53"/>
        <v>410500</v>
      </c>
      <c r="R124" s="7">
        <f t="shared" si="54"/>
        <v>1479.25</v>
      </c>
      <c r="S124" s="227">
        <f t="shared" si="42"/>
        <v>64479.25</v>
      </c>
      <c r="T124" s="249">
        <f t="shared" si="43"/>
        <v>0.18555179856115109</v>
      </c>
      <c r="U124" s="38"/>
      <c r="V124" s="33"/>
      <c r="W124" s="2"/>
      <c r="X124" s="2"/>
      <c r="Y124" s="2"/>
      <c r="Z124" s="7"/>
    </row>
    <row r="125" spans="1:26" s="33" customFormat="1" ht="15" customHeight="1" x14ac:dyDescent="0.4">
      <c r="B125" s="38" t="s">
        <v>140</v>
      </c>
      <c r="C125" s="6" t="s">
        <v>160</v>
      </c>
      <c r="D125" s="6">
        <f t="shared" si="49"/>
        <v>1</v>
      </c>
      <c r="E125" s="34">
        <v>6</v>
      </c>
      <c r="F125" s="212">
        <v>68500</v>
      </c>
      <c r="G125" s="195">
        <v>45757</v>
      </c>
      <c r="H125" s="8"/>
      <c r="I125" s="212">
        <v>82100</v>
      </c>
      <c r="J125" s="8">
        <v>45918</v>
      </c>
      <c r="K125" s="23">
        <f t="shared" si="50"/>
        <v>10</v>
      </c>
      <c r="L125" s="23">
        <f t="shared" si="51"/>
        <v>10</v>
      </c>
      <c r="M125" s="206">
        <f t="shared" si="55"/>
        <v>738.9</v>
      </c>
      <c r="N125" s="34">
        <f>500*E125*(1-0.154)</f>
        <v>2538</v>
      </c>
      <c r="O125" s="209">
        <f t="shared" si="41"/>
        <v>162</v>
      </c>
      <c r="P125" s="34">
        <f t="shared" si="52"/>
        <v>411000</v>
      </c>
      <c r="Q125" s="34">
        <f t="shared" si="53"/>
        <v>492600</v>
      </c>
      <c r="R125" s="7">
        <f t="shared" si="54"/>
        <v>1779.1</v>
      </c>
      <c r="S125" s="227">
        <f t="shared" si="42"/>
        <v>83379.100000000006</v>
      </c>
      <c r="T125" s="249">
        <f t="shared" si="43"/>
        <v>0.20286885644768857</v>
      </c>
      <c r="W125" s="184"/>
    </row>
    <row r="126" spans="1:26" s="33" customFormat="1" ht="15" customHeight="1" x14ac:dyDescent="0.4">
      <c r="B126" s="38" t="s">
        <v>140</v>
      </c>
      <c r="C126" s="6" t="s">
        <v>160</v>
      </c>
      <c r="D126" s="6">
        <f t="shared" si="49"/>
        <v>1</v>
      </c>
      <c r="E126" s="34">
        <v>8</v>
      </c>
      <c r="F126" s="212">
        <v>72000</v>
      </c>
      <c r="G126" s="195">
        <v>45821</v>
      </c>
      <c r="H126" s="8"/>
      <c r="I126" s="212">
        <v>82100</v>
      </c>
      <c r="J126" s="8">
        <v>45918</v>
      </c>
      <c r="K126" s="23">
        <f t="shared" si="50"/>
        <v>20</v>
      </c>
      <c r="L126" s="23">
        <f t="shared" si="51"/>
        <v>20</v>
      </c>
      <c r="M126" s="206">
        <f t="shared" si="55"/>
        <v>985.2</v>
      </c>
      <c r="N126" s="34">
        <f>500*E126*(1-0.154)</f>
        <v>3384</v>
      </c>
      <c r="O126" s="209">
        <f t="shared" si="41"/>
        <v>98</v>
      </c>
      <c r="P126" s="34">
        <f t="shared" si="52"/>
        <v>576000</v>
      </c>
      <c r="Q126" s="34">
        <f t="shared" si="53"/>
        <v>656800</v>
      </c>
      <c r="R126" s="7">
        <f t="shared" si="54"/>
        <v>2358.8000000000002</v>
      </c>
      <c r="S126" s="227">
        <f t="shared" si="42"/>
        <v>83158.8</v>
      </c>
      <c r="T126" s="249">
        <f t="shared" si="43"/>
        <v>0.14437291666666668</v>
      </c>
      <c r="W126" s="185"/>
    </row>
    <row r="127" spans="1:26" s="33" customFormat="1" ht="15" customHeight="1" x14ac:dyDescent="0.4">
      <c r="B127" s="38" t="s">
        <v>140</v>
      </c>
      <c r="C127" s="6" t="s">
        <v>160</v>
      </c>
      <c r="D127" s="6">
        <f t="shared" si="49"/>
        <v>1</v>
      </c>
      <c r="E127" s="34">
        <v>3</v>
      </c>
      <c r="F127" s="212">
        <v>72100</v>
      </c>
      <c r="G127" s="195">
        <v>45821</v>
      </c>
      <c r="H127" s="8"/>
      <c r="I127" s="212">
        <v>82100</v>
      </c>
      <c r="J127" s="8">
        <v>45918</v>
      </c>
      <c r="K127" s="23">
        <f t="shared" si="50"/>
        <v>0</v>
      </c>
      <c r="L127" s="23">
        <f t="shared" si="51"/>
        <v>0</v>
      </c>
      <c r="M127" s="206">
        <f t="shared" si="55"/>
        <v>369.45</v>
      </c>
      <c r="N127" s="34">
        <f>500*E127*(1-0.154)</f>
        <v>1269</v>
      </c>
      <c r="O127" s="209">
        <f t="shared" si="41"/>
        <v>98</v>
      </c>
      <c r="P127" s="34">
        <f t="shared" si="52"/>
        <v>216300</v>
      </c>
      <c r="Q127" s="34">
        <f t="shared" si="53"/>
        <v>246300</v>
      </c>
      <c r="R127" s="7">
        <f t="shared" si="54"/>
        <v>899.55</v>
      </c>
      <c r="S127" s="227">
        <f t="shared" si="42"/>
        <v>30899.55</v>
      </c>
      <c r="T127" s="249">
        <f t="shared" si="43"/>
        <v>0.14285506241331483</v>
      </c>
      <c r="W127" s="186"/>
    </row>
    <row r="128" spans="1:26" s="33" customFormat="1" ht="15" customHeight="1" x14ac:dyDescent="0.4">
      <c r="B128" s="38" t="s">
        <v>140</v>
      </c>
      <c r="C128" s="6" t="s">
        <v>122</v>
      </c>
      <c r="D128" s="6">
        <f t="shared" si="49"/>
        <v>1</v>
      </c>
      <c r="E128" s="34">
        <v>30</v>
      </c>
      <c r="F128" s="212">
        <v>73000</v>
      </c>
      <c r="G128" s="195">
        <v>45817</v>
      </c>
      <c r="H128" s="33" t="s">
        <v>113</v>
      </c>
      <c r="I128" s="212">
        <v>74500</v>
      </c>
      <c r="J128" s="8">
        <v>45818</v>
      </c>
      <c r="K128" s="23">
        <f t="shared" si="50"/>
        <v>328.49999999999994</v>
      </c>
      <c r="L128" s="23">
        <f t="shared" si="51"/>
        <v>335.24999999999994</v>
      </c>
      <c r="M128" s="206">
        <f t="shared" si="55"/>
        <v>3352.5</v>
      </c>
      <c r="N128" s="34"/>
      <c r="O128" s="209">
        <f t="shared" si="41"/>
        <v>2</v>
      </c>
      <c r="P128" s="34">
        <f t="shared" si="52"/>
        <v>2190000</v>
      </c>
      <c r="Q128" s="34">
        <f t="shared" si="53"/>
        <v>2235000</v>
      </c>
      <c r="R128" s="7">
        <f t="shared" si="54"/>
        <v>-4016.25</v>
      </c>
      <c r="S128" s="227">
        <f t="shared" si="42"/>
        <v>40983.75</v>
      </c>
      <c r="T128" s="249">
        <f t="shared" si="43"/>
        <v>1.8714041095890411E-2</v>
      </c>
      <c r="V128" s="36">
        <f>+P128*0.05*O128/365</f>
        <v>600</v>
      </c>
      <c r="W128" s="33" t="s">
        <v>66</v>
      </c>
    </row>
    <row r="129" spans="2:22" s="33" customFormat="1" ht="15" customHeight="1" x14ac:dyDescent="0.4">
      <c r="B129" s="38" t="s">
        <v>140</v>
      </c>
      <c r="C129" s="6" t="s">
        <v>122</v>
      </c>
      <c r="D129" s="6">
        <f t="shared" si="49"/>
        <v>1</v>
      </c>
      <c r="E129" s="34">
        <v>10</v>
      </c>
      <c r="F129" s="212">
        <v>71900</v>
      </c>
      <c r="G129" s="195">
        <v>45821</v>
      </c>
      <c r="H129" s="33" t="s">
        <v>113</v>
      </c>
      <c r="I129" s="212">
        <v>78000</v>
      </c>
      <c r="J129" s="8">
        <v>45841</v>
      </c>
      <c r="K129" s="23">
        <f t="shared" si="50"/>
        <v>107.85</v>
      </c>
      <c r="L129" s="23">
        <f t="shared" si="51"/>
        <v>116.99999999999999</v>
      </c>
      <c r="M129" s="206">
        <f t="shared" si="55"/>
        <v>1170</v>
      </c>
      <c r="N129" s="34"/>
      <c r="O129" s="209">
        <f t="shared" si="41"/>
        <v>21</v>
      </c>
      <c r="P129" s="34">
        <f t="shared" si="52"/>
        <v>719000</v>
      </c>
      <c r="Q129" s="34">
        <f t="shared" si="53"/>
        <v>780000</v>
      </c>
      <c r="R129" s="7">
        <f t="shared" si="54"/>
        <v>-1394.85</v>
      </c>
      <c r="S129" s="227">
        <f t="shared" si="42"/>
        <v>59605.15</v>
      </c>
      <c r="T129" s="249">
        <f t="shared" si="43"/>
        <v>8.2900069541029214E-2</v>
      </c>
      <c r="V129" s="36">
        <f>+P129*0.05*O129/365</f>
        <v>2068.3561643835615</v>
      </c>
    </row>
    <row r="130" spans="2:22" s="33" customFormat="1" ht="15" customHeight="1" x14ac:dyDescent="0.4">
      <c r="B130" s="38" t="s">
        <v>140</v>
      </c>
      <c r="C130" s="6" t="s">
        <v>122</v>
      </c>
      <c r="D130" s="6">
        <f t="shared" si="49"/>
        <v>1</v>
      </c>
      <c r="E130" s="34">
        <v>5</v>
      </c>
      <c r="F130" s="212">
        <v>71000</v>
      </c>
      <c r="G130" s="195">
        <v>45824</v>
      </c>
      <c r="H130" s="33" t="s">
        <v>113</v>
      </c>
      <c r="I130" s="212">
        <v>78000</v>
      </c>
      <c r="J130" s="8">
        <v>45841</v>
      </c>
      <c r="K130" s="23">
        <f t="shared" si="50"/>
        <v>53.249999999999993</v>
      </c>
      <c r="L130" s="23">
        <f t="shared" si="51"/>
        <v>58.499999999999993</v>
      </c>
      <c r="M130" s="206">
        <f t="shared" si="55"/>
        <v>585</v>
      </c>
      <c r="N130" s="34"/>
      <c r="O130" s="209">
        <f t="shared" si="41"/>
        <v>18</v>
      </c>
      <c r="P130" s="34">
        <f t="shared" si="52"/>
        <v>355000</v>
      </c>
      <c r="Q130" s="34">
        <f t="shared" si="53"/>
        <v>390000</v>
      </c>
      <c r="R130" s="7">
        <f t="shared" si="54"/>
        <v>-696.75</v>
      </c>
      <c r="S130" s="227">
        <f t="shared" si="42"/>
        <v>34303.25</v>
      </c>
      <c r="T130" s="249">
        <f t="shared" si="43"/>
        <v>9.6628873239436613E-2</v>
      </c>
      <c r="V130" s="36">
        <f>+P130*0.05*O130/365</f>
        <v>875.34246575342468</v>
      </c>
    </row>
    <row r="131" spans="2:22" s="33" customFormat="1" ht="15" customHeight="1" x14ac:dyDescent="0.4">
      <c r="B131" s="38" t="s">
        <v>140</v>
      </c>
      <c r="C131" s="6" t="s">
        <v>122</v>
      </c>
      <c r="D131" s="6">
        <f t="shared" si="49"/>
        <v>1</v>
      </c>
      <c r="E131" s="34">
        <v>10</v>
      </c>
      <c r="F131" s="212">
        <v>76500</v>
      </c>
      <c r="G131" s="195">
        <v>45833</v>
      </c>
      <c r="H131" s="33" t="s">
        <v>113</v>
      </c>
      <c r="I131" s="212">
        <v>78000</v>
      </c>
      <c r="J131" s="8">
        <v>45841</v>
      </c>
      <c r="K131" s="23">
        <f t="shared" si="50"/>
        <v>114.74999999999999</v>
      </c>
      <c r="L131" s="23">
        <f t="shared" si="51"/>
        <v>116.99999999999999</v>
      </c>
      <c r="M131" s="206">
        <f t="shared" si="55"/>
        <v>1170</v>
      </c>
      <c r="N131" s="34"/>
      <c r="O131" s="209">
        <f t="shared" si="41"/>
        <v>9</v>
      </c>
      <c r="P131" s="34">
        <f t="shared" si="52"/>
        <v>765000</v>
      </c>
      <c r="Q131" s="34">
        <f t="shared" si="53"/>
        <v>780000</v>
      </c>
      <c r="R131" s="7">
        <f t="shared" si="54"/>
        <v>-1401.75</v>
      </c>
      <c r="S131" s="227">
        <f t="shared" si="42"/>
        <v>13598.25</v>
      </c>
      <c r="T131" s="249">
        <f t="shared" si="43"/>
        <v>1.7775490196078433E-2</v>
      </c>
      <c r="V131" s="36">
        <f>+P131*0.05*O131/365</f>
        <v>943.15068493150682</v>
      </c>
    </row>
    <row r="132" spans="2:22" s="33" customFormat="1" ht="15" customHeight="1" x14ac:dyDescent="0.4">
      <c r="B132" s="38" t="s">
        <v>205</v>
      </c>
      <c r="C132" s="6" t="s">
        <v>187</v>
      </c>
      <c r="D132" s="6"/>
      <c r="E132" s="36">
        <v>10</v>
      </c>
      <c r="F132" s="212">
        <v>140000</v>
      </c>
      <c r="G132" s="195">
        <v>42382</v>
      </c>
      <c r="H132" s="8"/>
      <c r="I132" s="212">
        <v>152000</v>
      </c>
      <c r="J132" s="8">
        <v>42488</v>
      </c>
      <c r="K132" s="7">
        <f>ROUNDDOWN(E132*F132*0.00015,-1)</f>
        <v>210</v>
      </c>
      <c r="L132" s="7">
        <f>ROUNDDOWN(I132*E132*0.00015,-1)</f>
        <v>220</v>
      </c>
      <c r="M132" s="196">
        <f>I132*E132*0.003</f>
        <v>4560</v>
      </c>
      <c r="N132" s="36"/>
      <c r="O132" s="191">
        <f t="shared" si="41"/>
        <v>107</v>
      </c>
      <c r="P132" s="36">
        <f t="shared" ref="P132:P144" si="57">F132*E132</f>
        <v>1400000</v>
      </c>
      <c r="Q132" s="36">
        <f t="shared" ref="Q132:Q144" si="58">I132*E132</f>
        <v>1520000</v>
      </c>
      <c r="R132" s="7">
        <f t="shared" ref="R132:R144" si="59">N132-K132-L132-M132</f>
        <v>-4990</v>
      </c>
      <c r="S132" s="227">
        <f t="shared" si="42"/>
        <v>115010</v>
      </c>
      <c r="T132" s="248">
        <f t="shared" si="43"/>
        <v>8.2150000000000001E-2</v>
      </c>
      <c r="U132" s="9">
        <f t="shared" ref="U132:U144" si="60">T132*365/O132</f>
        <v>0.28023130841121496</v>
      </c>
      <c r="V132" s="6"/>
    </row>
    <row r="133" spans="2:22" s="33" customFormat="1" ht="15" customHeight="1" x14ac:dyDescent="0.4">
      <c r="B133" s="38" t="s">
        <v>206</v>
      </c>
      <c r="C133" s="6" t="s">
        <v>185</v>
      </c>
      <c r="D133" s="6"/>
      <c r="E133" s="36">
        <v>1</v>
      </c>
      <c r="F133" s="212">
        <v>91100</v>
      </c>
      <c r="G133" s="195">
        <v>39444</v>
      </c>
      <c r="H133" s="8"/>
      <c r="I133" s="212">
        <v>106000</v>
      </c>
      <c r="J133" s="8">
        <v>39589</v>
      </c>
      <c r="K133" s="7">
        <f>ROUNDDOWN(E133*F133*0.005,-1)</f>
        <v>450</v>
      </c>
      <c r="L133" s="7">
        <f>ROUNDDOWN(I133*E133*0.005,-1)</f>
        <v>530</v>
      </c>
      <c r="M133" s="196">
        <f>I133*E133*0.003</f>
        <v>318</v>
      </c>
      <c r="N133" s="36">
        <v>2000</v>
      </c>
      <c r="O133" s="191">
        <f t="shared" si="41"/>
        <v>146</v>
      </c>
      <c r="P133" s="36">
        <f t="shared" si="57"/>
        <v>91100</v>
      </c>
      <c r="Q133" s="36">
        <f t="shared" si="58"/>
        <v>106000</v>
      </c>
      <c r="R133" s="7">
        <f t="shared" si="59"/>
        <v>702</v>
      </c>
      <c r="S133" s="227">
        <f t="shared" si="42"/>
        <v>15602</v>
      </c>
      <c r="T133" s="248">
        <f t="shared" si="43"/>
        <v>0.17126234906695939</v>
      </c>
      <c r="U133" s="9">
        <f t="shared" si="60"/>
        <v>0.42815587266739846</v>
      </c>
      <c r="V133" s="6"/>
    </row>
    <row r="134" spans="2:22" s="33" customFormat="1" ht="15" customHeight="1" x14ac:dyDescent="0.4">
      <c r="B134" s="38" t="s">
        <v>206</v>
      </c>
      <c r="C134" s="6" t="s">
        <v>187</v>
      </c>
      <c r="D134" s="6"/>
      <c r="E134" s="36">
        <v>2</v>
      </c>
      <c r="F134" s="212">
        <v>78800</v>
      </c>
      <c r="G134" s="195">
        <v>39850</v>
      </c>
      <c r="H134" s="8"/>
      <c r="I134" s="212">
        <v>80200</v>
      </c>
      <c r="J134" s="8">
        <v>39853</v>
      </c>
      <c r="K134" s="7">
        <v>40</v>
      </c>
      <c r="L134" s="7">
        <v>40</v>
      </c>
      <c r="M134" s="196"/>
      <c r="N134" s="36"/>
      <c r="O134" s="191">
        <f t="shared" si="41"/>
        <v>4</v>
      </c>
      <c r="P134" s="36">
        <f t="shared" si="57"/>
        <v>157600</v>
      </c>
      <c r="Q134" s="36">
        <f t="shared" si="58"/>
        <v>160400</v>
      </c>
      <c r="R134" s="7">
        <f t="shared" si="59"/>
        <v>-80</v>
      </c>
      <c r="S134" s="227">
        <f t="shared" si="42"/>
        <v>2720</v>
      </c>
      <c r="T134" s="248">
        <f t="shared" si="43"/>
        <v>1.7258883248730966E-2</v>
      </c>
      <c r="U134" s="9">
        <f t="shared" si="60"/>
        <v>1.5748730964467006</v>
      </c>
      <c r="V134" s="6"/>
    </row>
    <row r="135" spans="2:22" s="33" customFormat="1" ht="15" customHeight="1" x14ac:dyDescent="0.4">
      <c r="B135" s="38" t="s">
        <v>206</v>
      </c>
      <c r="C135" s="6" t="s">
        <v>187</v>
      </c>
      <c r="D135" s="6"/>
      <c r="E135" s="36">
        <v>10</v>
      </c>
      <c r="F135" s="212">
        <v>262000</v>
      </c>
      <c r="G135" s="195">
        <v>41368</v>
      </c>
      <c r="H135" s="8"/>
      <c r="I135" s="212">
        <v>276000</v>
      </c>
      <c r="J135" s="8">
        <v>41479</v>
      </c>
      <c r="K135" s="7">
        <f>ROUNDDOWN(E135*F135*0.00015,-1)</f>
        <v>390</v>
      </c>
      <c r="L135" s="7">
        <f>ROUNDDOWN(I135*E135*0.00015,-1)</f>
        <v>410</v>
      </c>
      <c r="M135" s="196">
        <f>I135*E135*0.003</f>
        <v>8280</v>
      </c>
      <c r="N135" s="36"/>
      <c r="O135" s="191">
        <f t="shared" si="41"/>
        <v>112</v>
      </c>
      <c r="P135" s="36">
        <f t="shared" si="57"/>
        <v>2620000</v>
      </c>
      <c r="Q135" s="36">
        <f t="shared" si="58"/>
        <v>2760000</v>
      </c>
      <c r="R135" s="7">
        <f t="shared" si="59"/>
        <v>-9080</v>
      </c>
      <c r="S135" s="227">
        <f t="shared" si="42"/>
        <v>130920</v>
      </c>
      <c r="T135" s="248">
        <f t="shared" si="43"/>
        <v>4.996946564885496E-2</v>
      </c>
      <c r="U135" s="9">
        <f t="shared" si="60"/>
        <v>0.16284691930207199</v>
      </c>
      <c r="V135" s="6"/>
    </row>
    <row r="136" spans="2:22" s="33" customFormat="1" ht="15" customHeight="1" x14ac:dyDescent="0.4">
      <c r="B136" s="38" t="s">
        <v>206</v>
      </c>
      <c r="C136" s="6" t="s">
        <v>187</v>
      </c>
      <c r="D136" s="6"/>
      <c r="E136" s="36">
        <v>10</v>
      </c>
      <c r="F136" s="212">
        <v>270500</v>
      </c>
      <c r="G136" s="195">
        <v>41660</v>
      </c>
      <c r="H136" s="8"/>
      <c r="I136" s="212">
        <v>274500</v>
      </c>
      <c r="J136" s="8">
        <v>41662</v>
      </c>
      <c r="K136" s="7">
        <f>ROUNDDOWN(E136*F136*0.00015,-1)</f>
        <v>400</v>
      </c>
      <c r="L136" s="7">
        <f>ROUNDDOWN(I136*E136*0.00015,-1)</f>
        <v>410</v>
      </c>
      <c r="M136" s="196">
        <f>I136*E136*0.003</f>
        <v>8235</v>
      </c>
      <c r="N136" s="36"/>
      <c r="O136" s="191">
        <f t="shared" si="41"/>
        <v>3</v>
      </c>
      <c r="P136" s="36">
        <f t="shared" si="57"/>
        <v>2705000</v>
      </c>
      <c r="Q136" s="36">
        <f t="shared" si="58"/>
        <v>2745000</v>
      </c>
      <c r="R136" s="7">
        <f t="shared" si="59"/>
        <v>-9045</v>
      </c>
      <c r="S136" s="227">
        <f t="shared" si="42"/>
        <v>30955</v>
      </c>
      <c r="T136" s="248">
        <f t="shared" si="43"/>
        <v>1.144362292051756E-2</v>
      </c>
      <c r="U136" s="9">
        <f t="shared" si="60"/>
        <v>1.3923074553296366</v>
      </c>
      <c r="V136" s="6"/>
    </row>
    <row r="137" spans="2:22" s="33" customFormat="1" ht="15" customHeight="1" x14ac:dyDescent="0.4">
      <c r="B137" s="38" t="s">
        <v>206</v>
      </c>
      <c r="C137" s="6" t="s">
        <v>187</v>
      </c>
      <c r="D137" s="6"/>
      <c r="E137" s="36">
        <v>10</v>
      </c>
      <c r="F137" s="212">
        <v>268000</v>
      </c>
      <c r="G137" s="195">
        <v>41667</v>
      </c>
      <c r="H137" s="8"/>
      <c r="I137" s="212">
        <v>288000</v>
      </c>
      <c r="J137" s="8">
        <v>41808</v>
      </c>
      <c r="K137" s="7">
        <f>ROUNDDOWN(E137*F137*0.00015,-1)</f>
        <v>400</v>
      </c>
      <c r="L137" s="7">
        <f>ROUNDDOWN(I137*E137*0.00015,-1)</f>
        <v>430</v>
      </c>
      <c r="M137" s="196">
        <f>I137*E137*0.003</f>
        <v>8640</v>
      </c>
      <c r="N137" s="36"/>
      <c r="O137" s="191">
        <f t="shared" si="41"/>
        <v>142</v>
      </c>
      <c r="P137" s="36">
        <f t="shared" si="57"/>
        <v>2680000</v>
      </c>
      <c r="Q137" s="36">
        <f t="shared" si="58"/>
        <v>2880000</v>
      </c>
      <c r="R137" s="7">
        <f t="shared" si="59"/>
        <v>-9470</v>
      </c>
      <c r="S137" s="227">
        <f t="shared" si="42"/>
        <v>190530</v>
      </c>
      <c r="T137" s="248">
        <f t="shared" si="43"/>
        <v>7.109328358208955E-2</v>
      </c>
      <c r="U137" s="9">
        <f t="shared" si="60"/>
        <v>0.1827397782215682</v>
      </c>
      <c r="V137" s="6"/>
    </row>
    <row r="138" spans="2:22" s="33" customFormat="1" ht="15" customHeight="1" x14ac:dyDescent="0.4">
      <c r="B138" s="38" t="s">
        <v>206</v>
      </c>
      <c r="C138" s="6" t="s">
        <v>187</v>
      </c>
      <c r="D138" s="6"/>
      <c r="E138" s="36">
        <v>6</v>
      </c>
      <c r="F138" s="212">
        <v>189000</v>
      </c>
      <c r="G138" s="195">
        <v>41985</v>
      </c>
      <c r="H138" s="8"/>
      <c r="I138" s="212">
        <v>195000</v>
      </c>
      <c r="J138" s="8">
        <v>42033</v>
      </c>
      <c r="K138" s="7">
        <f>ROUNDDOWN(E138*F138*0.00015,-1)</f>
        <v>170</v>
      </c>
      <c r="L138" s="7">
        <f>ROUNDDOWN(I138*E138*0.00015,-1)</f>
        <v>170</v>
      </c>
      <c r="M138" s="196">
        <f>I138*E138*0.003</f>
        <v>3510</v>
      </c>
      <c r="N138" s="36">
        <f>24000-3690</f>
        <v>20310</v>
      </c>
      <c r="O138" s="191">
        <f t="shared" si="41"/>
        <v>49</v>
      </c>
      <c r="P138" s="36">
        <f t="shared" si="57"/>
        <v>1134000</v>
      </c>
      <c r="Q138" s="36">
        <f t="shared" si="58"/>
        <v>1170000</v>
      </c>
      <c r="R138" s="7">
        <f t="shared" si="59"/>
        <v>16460</v>
      </c>
      <c r="S138" s="227">
        <f t="shared" si="42"/>
        <v>52460</v>
      </c>
      <c r="T138" s="248">
        <f t="shared" si="43"/>
        <v>4.6261022927689598E-2</v>
      </c>
      <c r="U138" s="9">
        <f t="shared" si="60"/>
        <v>0.34459741568585112</v>
      </c>
      <c r="V138" s="6"/>
    </row>
    <row r="139" spans="2:22" s="33" customFormat="1" ht="15" customHeight="1" x14ac:dyDescent="0.4">
      <c r="B139" s="38" t="s">
        <v>207</v>
      </c>
      <c r="C139" s="6" t="s">
        <v>187</v>
      </c>
      <c r="D139" s="6"/>
      <c r="E139" s="36">
        <v>20</v>
      </c>
      <c r="F139" s="212">
        <v>12900</v>
      </c>
      <c r="G139" s="195">
        <v>39797</v>
      </c>
      <c r="H139" s="8"/>
      <c r="I139" s="212">
        <v>14000</v>
      </c>
      <c r="J139" s="8">
        <v>39861</v>
      </c>
      <c r="K139" s="7">
        <v>70</v>
      </c>
      <c r="L139" s="7">
        <v>80</v>
      </c>
      <c r="M139" s="196"/>
      <c r="N139" s="36"/>
      <c r="O139" s="191">
        <f t="shared" si="41"/>
        <v>65</v>
      </c>
      <c r="P139" s="36">
        <f t="shared" si="57"/>
        <v>258000</v>
      </c>
      <c r="Q139" s="36">
        <f t="shared" si="58"/>
        <v>280000</v>
      </c>
      <c r="R139" s="7">
        <f t="shared" si="59"/>
        <v>-150</v>
      </c>
      <c r="S139" s="227">
        <f t="shared" si="42"/>
        <v>21850</v>
      </c>
      <c r="T139" s="248">
        <f t="shared" si="43"/>
        <v>8.4689922480620156E-2</v>
      </c>
      <c r="U139" s="9">
        <f t="shared" si="60"/>
        <v>0.47556648777579008</v>
      </c>
      <c r="V139" s="6"/>
    </row>
    <row r="140" spans="2:22" s="33" customFormat="1" ht="15" customHeight="1" x14ac:dyDescent="0.4">
      <c r="B140" s="38" t="s">
        <v>208</v>
      </c>
      <c r="C140" s="6" t="s">
        <v>187</v>
      </c>
      <c r="D140" s="6"/>
      <c r="E140" s="36">
        <v>3</v>
      </c>
      <c r="F140" s="212">
        <v>135000</v>
      </c>
      <c r="G140" s="195">
        <v>39738</v>
      </c>
      <c r="H140" s="8"/>
      <c r="I140" s="212">
        <v>142000</v>
      </c>
      <c r="J140" s="8">
        <v>39883</v>
      </c>
      <c r="K140" s="7">
        <v>110</v>
      </c>
      <c r="L140" s="7">
        <v>120</v>
      </c>
      <c r="M140" s="196"/>
      <c r="N140" s="36"/>
      <c r="O140" s="191">
        <f t="shared" si="41"/>
        <v>146</v>
      </c>
      <c r="P140" s="36">
        <f t="shared" si="57"/>
        <v>405000</v>
      </c>
      <c r="Q140" s="36">
        <f t="shared" si="58"/>
        <v>426000</v>
      </c>
      <c r="R140" s="7">
        <f t="shared" si="59"/>
        <v>-230</v>
      </c>
      <c r="S140" s="227">
        <f t="shared" si="42"/>
        <v>20770</v>
      </c>
      <c r="T140" s="248">
        <f t="shared" si="43"/>
        <v>5.1283950617283948E-2</v>
      </c>
      <c r="U140" s="9">
        <f t="shared" si="60"/>
        <v>0.12820987654320989</v>
      </c>
      <c r="V140" s="6"/>
    </row>
    <row r="141" spans="2:22" s="33" customFormat="1" ht="15" customHeight="1" x14ac:dyDescent="0.4">
      <c r="B141" s="198" t="s">
        <v>209</v>
      </c>
      <c r="C141" s="6" t="s">
        <v>162</v>
      </c>
      <c r="D141" s="15"/>
      <c r="E141" s="36">
        <v>100</v>
      </c>
      <c r="F141" s="212">
        <v>16200</v>
      </c>
      <c r="G141" s="195">
        <v>43630</v>
      </c>
      <c r="H141" s="8"/>
      <c r="I141" s="212">
        <v>17550</v>
      </c>
      <c r="J141" s="8">
        <v>43633</v>
      </c>
      <c r="K141" s="7">
        <f>ROUNDDOWN(E141*F141*0.0015,-1)</f>
        <v>2430</v>
      </c>
      <c r="L141" s="7">
        <f>ROUNDDOWN(I141*E141*0.0015,-1)</f>
        <v>2630</v>
      </c>
      <c r="M141" s="196">
        <f>ROUNDDOWN(I141*E141*0.0025, )</f>
        <v>4387</v>
      </c>
      <c r="N141" s="36"/>
      <c r="O141" s="191">
        <f t="shared" si="41"/>
        <v>4</v>
      </c>
      <c r="P141" s="36">
        <f t="shared" si="57"/>
        <v>1620000</v>
      </c>
      <c r="Q141" s="36">
        <f t="shared" si="58"/>
        <v>1755000</v>
      </c>
      <c r="R141" s="7">
        <f t="shared" si="59"/>
        <v>-9447</v>
      </c>
      <c r="S141" s="227">
        <f t="shared" si="42"/>
        <v>125553</v>
      </c>
      <c r="T141" s="248">
        <f t="shared" si="43"/>
        <v>7.750185185185185E-2</v>
      </c>
      <c r="U141" s="9">
        <f t="shared" si="60"/>
        <v>7.0720439814814808</v>
      </c>
      <c r="V141" s="6"/>
    </row>
    <row r="142" spans="2:22" s="33" customFormat="1" ht="15" customHeight="1" x14ac:dyDescent="0.4">
      <c r="B142" s="198" t="s">
        <v>209</v>
      </c>
      <c r="C142" s="6" t="s">
        <v>162</v>
      </c>
      <c r="D142" s="15"/>
      <c r="E142" s="36">
        <v>150</v>
      </c>
      <c r="F142" s="212">
        <v>18000</v>
      </c>
      <c r="G142" s="195">
        <v>43663</v>
      </c>
      <c r="H142" s="8"/>
      <c r="I142" s="212">
        <v>21200</v>
      </c>
      <c r="J142" s="8">
        <v>43690</v>
      </c>
      <c r="K142" s="7">
        <f>ROUNDDOWN(E142*F142*0.0015,-1)</f>
        <v>4050</v>
      </c>
      <c r="L142" s="7">
        <f>ROUNDDOWN(I142*E142*0.0015,-1)</f>
        <v>4770</v>
      </c>
      <c r="M142" s="196">
        <f>ROUNDDOWN(I142*E142*0.0025, )</f>
        <v>7950</v>
      </c>
      <c r="N142" s="36"/>
      <c r="O142" s="191">
        <f t="shared" si="41"/>
        <v>28</v>
      </c>
      <c r="P142" s="36">
        <f t="shared" si="57"/>
        <v>2700000</v>
      </c>
      <c r="Q142" s="36">
        <f t="shared" si="58"/>
        <v>3180000</v>
      </c>
      <c r="R142" s="7">
        <f t="shared" si="59"/>
        <v>-16770</v>
      </c>
      <c r="S142" s="227">
        <f t="shared" si="42"/>
        <v>463230</v>
      </c>
      <c r="T142" s="248">
        <f t="shared" si="43"/>
        <v>0.17156666666666667</v>
      </c>
      <c r="U142" s="9">
        <f t="shared" si="60"/>
        <v>2.2364940476190478</v>
      </c>
      <c r="V142" s="6"/>
    </row>
    <row r="143" spans="2:22" s="33" customFormat="1" ht="15" customHeight="1" x14ac:dyDescent="0.4">
      <c r="B143" s="38" t="s">
        <v>210</v>
      </c>
      <c r="C143" s="6" t="s">
        <v>187</v>
      </c>
      <c r="D143" s="6"/>
      <c r="E143" s="36">
        <v>10</v>
      </c>
      <c r="F143" s="212">
        <v>4500</v>
      </c>
      <c r="G143" s="195">
        <v>39752</v>
      </c>
      <c r="H143" s="8"/>
      <c r="I143" s="212">
        <v>5620</v>
      </c>
      <c r="J143" s="8">
        <v>39759</v>
      </c>
      <c r="K143" s="7">
        <v>10</v>
      </c>
      <c r="L143" s="7">
        <v>10</v>
      </c>
      <c r="M143" s="196"/>
      <c r="N143" s="36"/>
      <c r="O143" s="191">
        <f t="shared" si="41"/>
        <v>8</v>
      </c>
      <c r="P143" s="36">
        <f t="shared" si="57"/>
        <v>45000</v>
      </c>
      <c r="Q143" s="36">
        <f t="shared" si="58"/>
        <v>56200</v>
      </c>
      <c r="R143" s="7">
        <f t="shared" si="59"/>
        <v>-20</v>
      </c>
      <c r="S143" s="227">
        <f t="shared" si="42"/>
        <v>11180</v>
      </c>
      <c r="T143" s="248">
        <f t="shared" si="43"/>
        <v>0.24844444444444444</v>
      </c>
      <c r="U143" s="9">
        <f t="shared" si="60"/>
        <v>11.335277777777778</v>
      </c>
      <c r="V143" s="6"/>
    </row>
    <row r="144" spans="2:22" s="33" customFormat="1" ht="15" customHeight="1" x14ac:dyDescent="0.4">
      <c r="B144" s="38" t="s">
        <v>210</v>
      </c>
      <c r="C144" s="6" t="s">
        <v>187</v>
      </c>
      <c r="D144" s="6"/>
      <c r="E144" s="36">
        <v>10</v>
      </c>
      <c r="F144" s="212">
        <v>4500</v>
      </c>
      <c r="G144" s="195">
        <v>39752</v>
      </c>
      <c r="H144" s="8"/>
      <c r="I144" s="212">
        <v>5010</v>
      </c>
      <c r="J144" s="8">
        <v>39799</v>
      </c>
      <c r="K144" s="7">
        <v>10</v>
      </c>
      <c r="L144" s="7">
        <v>10</v>
      </c>
      <c r="M144" s="196"/>
      <c r="N144" s="36"/>
      <c r="O144" s="191">
        <f t="shared" si="41"/>
        <v>48</v>
      </c>
      <c r="P144" s="36">
        <f t="shared" si="57"/>
        <v>45000</v>
      </c>
      <c r="Q144" s="36">
        <f t="shared" si="58"/>
        <v>50100</v>
      </c>
      <c r="R144" s="7">
        <f t="shared" si="59"/>
        <v>-20</v>
      </c>
      <c r="S144" s="227">
        <f t="shared" si="42"/>
        <v>5080</v>
      </c>
      <c r="T144" s="248">
        <f t="shared" si="43"/>
        <v>0.11288888888888889</v>
      </c>
      <c r="U144" s="9">
        <f t="shared" si="60"/>
        <v>0.85842592592592581</v>
      </c>
      <c r="V144" s="6"/>
    </row>
    <row r="145" spans="1:26" s="33" customFormat="1" ht="15" customHeight="1" x14ac:dyDescent="0.4">
      <c r="A145" s="33" t="s">
        <v>113</v>
      </c>
      <c r="B145" s="38" t="s">
        <v>211</v>
      </c>
      <c r="C145" s="6" t="s">
        <v>160</v>
      </c>
      <c r="D145" s="6">
        <f>IF(OR($C145="신한",$C145="OTC",$C145="무상증자(신한)",$C145="토스",$C145="R토스"),1,"확인")</f>
        <v>1</v>
      </c>
      <c r="E145" s="34">
        <v>100</v>
      </c>
      <c r="F145" s="212">
        <v>90500</v>
      </c>
      <c r="G145" s="195">
        <v>45894</v>
      </c>
      <c r="H145" s="8"/>
      <c r="I145" s="212">
        <v>101500</v>
      </c>
      <c r="J145" s="8">
        <v>45917</v>
      </c>
      <c r="K145" s="23">
        <f>IF($C145="OTC",ROUNDDOWN($E145*$F145*0.000909187,-1),(IF($C145="신한",ROUNDDOWN($E145*$F145*0.000036396,-1),(IF($C145="토스",$E145*$F145*0.00015,(IF($C145="US",(IF($E145*$F145*0.0025&gt;0.01,$E145*$F145*0.0025,0.01)),IF($C145="JP",(IF($E145*$F145*0.0025&gt;1000,$E145*$F145*0.0025,1000)),(IF($C145="R토스",0,IF($C145="무상증자(신한)",0,"")))))))))))+P145*0.05*O145/365</f>
        <v>30073.424657534248</v>
      </c>
      <c r="L145" s="23">
        <f>IF($C145="OTC",ROUNDDOWN($I145*$E145*0.000909187,-1),(IF($C145="신한",ROUNDDOWN($I145*$E145*0.000036396,-1),(IF($C145="토스",$I145*$E145*0.00015,(IF($C145="US",(IF($I145*$E145*0.0025&gt;0.01,$I145*$E145*0.0025,0.01)),(IF($C145="JP",(IF($I145*$E145*0.0025&gt;1000,$I145*$E145*0.0025,1000)),(IF($C145="R토스",$I145*$E145*0.00015,(IF($C145="무상증자(신한)",ROUNDDOWN($I145*$E145*0.000036396,-1),"")))))))))))))</f>
        <v>360</v>
      </c>
      <c r="M145" s="206">
        <f>Q145*0.0015</f>
        <v>15225</v>
      </c>
      <c r="N145" s="34"/>
      <c r="O145" s="209">
        <f t="shared" si="41"/>
        <v>24</v>
      </c>
      <c r="P145" s="34">
        <f>$E145*$F145*$D145</f>
        <v>9050000</v>
      </c>
      <c r="Q145" s="34">
        <f>$E145*$I145*$D145</f>
        <v>10150000</v>
      </c>
      <c r="R145" s="7">
        <f>($N145-$K145-$L145-$M145)*$D145</f>
        <v>-45658.424657534248</v>
      </c>
      <c r="S145" s="227">
        <f t="shared" si="42"/>
        <v>1054341.5753424657</v>
      </c>
      <c r="T145" s="249">
        <f t="shared" si="43"/>
        <v>0.11650183152955422</v>
      </c>
    </row>
    <row r="146" spans="1:26" s="33" customFormat="1" ht="15" customHeight="1" x14ac:dyDescent="0.4">
      <c r="A146" s="33" t="s">
        <v>113</v>
      </c>
      <c r="B146" s="38" t="s">
        <v>211</v>
      </c>
      <c r="C146" s="6" t="s">
        <v>160</v>
      </c>
      <c r="D146" s="6">
        <f>IF(OR($C146="신한",$C146="OTC",$C146="무상증자(신한)",$C146="토스",$C146="R토스"),1,"확인")</f>
        <v>1</v>
      </c>
      <c r="E146" s="34">
        <v>6</v>
      </c>
      <c r="F146" s="212">
        <v>87000</v>
      </c>
      <c r="G146" s="195">
        <v>45903</v>
      </c>
      <c r="H146" s="8"/>
      <c r="I146" s="212">
        <v>101500</v>
      </c>
      <c r="J146" s="8">
        <v>45917</v>
      </c>
      <c r="K146" s="23">
        <f>IF($C146="OTC",ROUNDDOWN($E146*$F146*0.000909187,-1),(IF($C146="신한",ROUNDDOWN($E146*$F146*0.000036396,-1),(IF($C146="토스",$E146*$F146*0.00015,(IF($C146="US",(IF($E146*$F146*0.0025&gt;0.01,$E146*$F146*0.0025,0.01)),IF($C146="JP",(IF($E146*$F146*0.0025&gt;1000,$E146*$F146*0.0025,1000)),(IF($C146="R토스",0,IF($C146="무상증자(신한)",0,"")))))))))))</f>
        <v>10</v>
      </c>
      <c r="L146" s="23">
        <f>IF($C146="OTC",ROUNDDOWN($I146*$E146*0.000909187,-1),(IF($C146="신한",ROUNDDOWN($I146*$E146*0.000036396,-1),(IF($C146="토스",$I146*$E146*0.00015,(IF($C146="US",(IF($I146*$E146*0.0025&gt;0.01,$I146*$E146*0.0025,0.01)),(IF($C146="JP",(IF($I146*$E146*0.0025&gt;1000,$I146*$E146*0.0025,1000)),(IF($C146="R토스",$I146*$E146*0.00015,(IF($C146="무상증자(신한)",ROUNDDOWN($I146*$E146*0.000036396,-1),"")))))))))))))</f>
        <v>20</v>
      </c>
      <c r="M146" s="206">
        <f>Q146*0.0015</f>
        <v>913.5</v>
      </c>
      <c r="N146" s="34"/>
      <c r="O146" s="209">
        <f t="shared" si="41"/>
        <v>15</v>
      </c>
      <c r="P146" s="34">
        <f>$E146*$F146*$D146</f>
        <v>522000</v>
      </c>
      <c r="Q146" s="34">
        <f>$E146*$I146*$D146</f>
        <v>609000</v>
      </c>
      <c r="R146" s="7">
        <f>($N146-$K146-$L146-$M146)*$D146</f>
        <v>-943.5</v>
      </c>
      <c r="S146" s="227">
        <f t="shared" si="42"/>
        <v>86056.5</v>
      </c>
      <c r="T146" s="249">
        <f t="shared" si="43"/>
        <v>0.16485919540229885</v>
      </c>
    </row>
    <row r="147" spans="1:26" s="33" customFormat="1" ht="15" customHeight="1" x14ac:dyDescent="0.4">
      <c r="B147" s="198" t="s">
        <v>212</v>
      </c>
      <c r="C147" s="6" t="s">
        <v>162</v>
      </c>
      <c r="D147" s="15"/>
      <c r="E147" s="36">
        <v>38</v>
      </c>
      <c r="F147" s="212">
        <v>25450</v>
      </c>
      <c r="G147" s="195">
        <v>43619</v>
      </c>
      <c r="H147" s="8"/>
      <c r="I147" s="212">
        <v>26800</v>
      </c>
      <c r="J147" s="8">
        <v>43633</v>
      </c>
      <c r="K147" s="7">
        <f>ROUNDDOWN(E147*F147*0.0015,-1)</f>
        <v>1450</v>
      </c>
      <c r="L147" s="7">
        <f>ROUNDDOWN(I147*E147*0.0015,-1)</f>
        <v>1520</v>
      </c>
      <c r="M147" s="196">
        <f>ROUNDDOWN(I147*E147*0.0025, )</f>
        <v>2546</v>
      </c>
      <c r="N147" s="36"/>
      <c r="O147" s="191">
        <f t="shared" si="41"/>
        <v>15</v>
      </c>
      <c r="P147" s="36">
        <f>F147*E147</f>
        <v>967100</v>
      </c>
      <c r="Q147" s="36">
        <f>I147*E147</f>
        <v>1018400</v>
      </c>
      <c r="R147" s="7">
        <f>N147-K147-L147-M147</f>
        <v>-5516</v>
      </c>
      <c r="S147" s="227">
        <f t="shared" si="42"/>
        <v>45784</v>
      </c>
      <c r="T147" s="248">
        <f t="shared" si="43"/>
        <v>4.7341536552579881E-2</v>
      </c>
      <c r="U147" s="193">
        <f>T147*365/O147</f>
        <v>1.1519773894461105</v>
      </c>
      <c r="V147" s="6"/>
    </row>
    <row r="148" spans="1:26" s="33" customFormat="1" ht="15" customHeight="1" x14ac:dyDescent="0.4">
      <c r="B148" s="198" t="s">
        <v>213</v>
      </c>
      <c r="C148" s="6" t="s">
        <v>162</v>
      </c>
      <c r="D148" s="15"/>
      <c r="E148" s="36">
        <v>300</v>
      </c>
      <c r="F148" s="212">
        <v>5200</v>
      </c>
      <c r="G148" s="195">
        <v>43627</v>
      </c>
      <c r="H148" s="8"/>
      <c r="I148" s="212">
        <v>5370</v>
      </c>
      <c r="J148" s="8">
        <v>43633</v>
      </c>
      <c r="K148" s="7">
        <f>ROUNDDOWN(E148*F148*0.0015,-1)</f>
        <v>2340</v>
      </c>
      <c r="L148" s="7">
        <f>ROUNDDOWN(I148*E148*0.0015,-1)</f>
        <v>2410</v>
      </c>
      <c r="M148" s="196">
        <f>ROUNDDOWN(I148*E148*0.0025, )</f>
        <v>4027</v>
      </c>
      <c r="N148" s="36"/>
      <c r="O148" s="191">
        <f t="shared" si="41"/>
        <v>7</v>
      </c>
      <c r="P148" s="36">
        <f>F148*E148</f>
        <v>1560000</v>
      </c>
      <c r="Q148" s="36">
        <f>I148*E148</f>
        <v>1611000</v>
      </c>
      <c r="R148" s="7">
        <f>N148-K148-L148-M148</f>
        <v>-8777</v>
      </c>
      <c r="S148" s="227">
        <f t="shared" si="42"/>
        <v>42223</v>
      </c>
      <c r="T148" s="248">
        <f t="shared" si="43"/>
        <v>2.7066025641025639E-2</v>
      </c>
      <c r="U148" s="193">
        <f>T148*365/O148</f>
        <v>1.4112999084249083</v>
      </c>
      <c r="V148" s="6"/>
    </row>
    <row r="149" spans="1:26" ht="15" customHeight="1" x14ac:dyDescent="0.4">
      <c r="B149" s="38" t="s">
        <v>214</v>
      </c>
      <c r="C149" s="6" t="s">
        <v>160</v>
      </c>
      <c r="D149" s="6">
        <f t="shared" ref="D149:D164" si="61">IF(OR($C149="신한",$C149="OTC",$C149="무상증자(신한)",$C149="토스",$C149="R토스"),1,"확인")</f>
        <v>1</v>
      </c>
      <c r="E149" s="34">
        <v>10</v>
      </c>
      <c r="F149" s="212">
        <v>27500</v>
      </c>
      <c r="G149" s="195">
        <v>45077</v>
      </c>
      <c r="H149" s="8"/>
      <c r="I149" s="212">
        <v>31900</v>
      </c>
      <c r="J149" s="8">
        <v>45729</v>
      </c>
      <c r="K149" s="23">
        <f t="shared" ref="K149:K164" si="62">IF($C149="OTC",ROUNDDOWN($E149*$F149*0.000909187,-1),(IF($C149="신한",ROUNDDOWN($E149*$F149*0.000036396,-1),(IF($C149="토스",$E149*$F149*0.00015,(IF($C149="US",(IF($E149*$F149*0.0025&gt;0.01,$E149*$F149*0.0025,0.01)),IF($C149="JP",(IF($E149*$F149*0.0025&gt;1000,$E149*$F149*0.0025,1000)),(IF($C149="R토스",0,IF($C149="무상증자(신한)",0,"")))))))))))</f>
        <v>10</v>
      </c>
      <c r="L149" s="23">
        <f t="shared" ref="L149:L164" si="63">IF($C149="OTC",ROUNDDOWN($I149*$E149*0.000909187,-1),(IF($C149="신한",ROUNDDOWN($I149*$E149*0.000036396,-1),(IF($C149="토스",$I149*$E149*0.00015,(IF($C149="US",(IF($I149*$E149*0.0025&gt;0.01,$I149*$E149*0.0025,0.01)),(IF($C149="JP",(IF($I149*$E149*0.0025&gt;1000,$I149*$E149*0.0025,1000)),(IF($C149="R토스",$I149*$E149*0.00015,(IF($C149="무상증자(신한)",ROUNDDOWN($I149*$E149*0.000036396,-1),"")))))))))))))</f>
        <v>10</v>
      </c>
      <c r="M149" s="206">
        <f t="shared" ref="M149:M164" si="64">Q149*0.0015</f>
        <v>478.5</v>
      </c>
      <c r="N149" s="34"/>
      <c r="O149" s="209">
        <f t="shared" si="41"/>
        <v>653</v>
      </c>
      <c r="P149" s="34">
        <f t="shared" ref="P149:P164" si="65">$E149*$F149*$D149</f>
        <v>275000</v>
      </c>
      <c r="Q149" s="34">
        <f t="shared" ref="Q149:Q164" si="66">$E149*$I149*$D149</f>
        <v>319000</v>
      </c>
      <c r="R149" s="7">
        <f t="shared" ref="R149:R164" si="67">($N149-$K149-$L149-$M149)*$D149</f>
        <v>-498.5</v>
      </c>
      <c r="S149" s="227">
        <f t="shared" si="42"/>
        <v>43501.5</v>
      </c>
      <c r="T149" s="249">
        <f t="shared" si="43"/>
        <v>0.15818727272727273</v>
      </c>
      <c r="U149" s="38"/>
      <c r="V149" s="34"/>
      <c r="W149" s="2"/>
      <c r="X149" s="2"/>
      <c r="Y149" s="2"/>
      <c r="Z149" s="7"/>
    </row>
    <row r="150" spans="1:26" ht="15" customHeight="1" x14ac:dyDescent="0.4">
      <c r="B150" s="38" t="s">
        <v>214</v>
      </c>
      <c r="C150" s="6" t="s">
        <v>160</v>
      </c>
      <c r="D150" s="6">
        <f t="shared" si="61"/>
        <v>1</v>
      </c>
      <c r="E150" s="34">
        <v>18</v>
      </c>
      <c r="F150" s="212">
        <v>27300</v>
      </c>
      <c r="G150" s="195">
        <v>45090</v>
      </c>
      <c r="H150" s="8"/>
      <c r="I150" s="212">
        <v>31900</v>
      </c>
      <c r="J150" s="8">
        <v>45729</v>
      </c>
      <c r="K150" s="23">
        <f t="shared" si="62"/>
        <v>10</v>
      </c>
      <c r="L150" s="23">
        <f t="shared" si="63"/>
        <v>20</v>
      </c>
      <c r="M150" s="206">
        <f t="shared" si="64"/>
        <v>861.30000000000007</v>
      </c>
      <c r="N150" s="34"/>
      <c r="O150" s="209">
        <f t="shared" si="41"/>
        <v>640</v>
      </c>
      <c r="P150" s="34">
        <f t="shared" si="65"/>
        <v>491400</v>
      </c>
      <c r="Q150" s="34">
        <f t="shared" si="66"/>
        <v>574200</v>
      </c>
      <c r="R150" s="7">
        <f t="shared" si="67"/>
        <v>-891.30000000000007</v>
      </c>
      <c r="S150" s="227">
        <f t="shared" si="42"/>
        <v>81908.7</v>
      </c>
      <c r="T150" s="249">
        <f t="shared" si="43"/>
        <v>0.16668437118437118</v>
      </c>
      <c r="U150" s="38"/>
      <c r="V150" s="33"/>
      <c r="W150" s="2"/>
      <c r="X150" s="2"/>
      <c r="Y150" s="2"/>
      <c r="Z150" s="7"/>
    </row>
    <row r="151" spans="1:26" ht="15" customHeight="1" x14ac:dyDescent="0.4">
      <c r="B151" s="38" t="s">
        <v>214</v>
      </c>
      <c r="C151" s="6" t="s">
        <v>160</v>
      </c>
      <c r="D151" s="6">
        <f t="shared" si="61"/>
        <v>1</v>
      </c>
      <c r="E151" s="34">
        <v>12</v>
      </c>
      <c r="F151" s="212">
        <v>24200</v>
      </c>
      <c r="G151" s="195">
        <v>45098</v>
      </c>
      <c r="H151" s="8"/>
      <c r="I151" s="212">
        <v>31900</v>
      </c>
      <c r="J151" s="8">
        <v>45729</v>
      </c>
      <c r="K151" s="23">
        <f t="shared" si="62"/>
        <v>10</v>
      </c>
      <c r="L151" s="23">
        <f t="shared" si="63"/>
        <v>10</v>
      </c>
      <c r="M151" s="206">
        <f t="shared" si="64"/>
        <v>574.20000000000005</v>
      </c>
      <c r="N151" s="34"/>
      <c r="O151" s="209">
        <f t="shared" si="41"/>
        <v>632</v>
      </c>
      <c r="P151" s="34">
        <f t="shared" si="65"/>
        <v>290400</v>
      </c>
      <c r="Q151" s="34">
        <f t="shared" si="66"/>
        <v>382800</v>
      </c>
      <c r="R151" s="7">
        <f t="shared" si="67"/>
        <v>-594.20000000000005</v>
      </c>
      <c r="S151" s="227">
        <f t="shared" si="42"/>
        <v>91805.8</v>
      </c>
      <c r="T151" s="249">
        <f t="shared" si="43"/>
        <v>0.31613567493112948</v>
      </c>
      <c r="U151" s="38"/>
      <c r="V151" s="33"/>
      <c r="W151" s="2"/>
      <c r="X151" s="2"/>
      <c r="Y151" s="2"/>
      <c r="Z151" s="7"/>
    </row>
    <row r="152" spans="1:26" ht="15" customHeight="1" x14ac:dyDescent="0.4">
      <c r="B152" s="38" t="s">
        <v>214</v>
      </c>
      <c r="C152" s="6" t="s">
        <v>160</v>
      </c>
      <c r="D152" s="6">
        <f t="shared" si="61"/>
        <v>1</v>
      </c>
      <c r="E152" s="34">
        <v>1</v>
      </c>
      <c r="F152" s="212">
        <v>13020</v>
      </c>
      <c r="G152" s="195">
        <v>45667</v>
      </c>
      <c r="H152" s="8"/>
      <c r="I152" s="212">
        <v>36600</v>
      </c>
      <c r="J152" s="8">
        <v>45763</v>
      </c>
      <c r="K152" s="23">
        <f t="shared" si="62"/>
        <v>0</v>
      </c>
      <c r="L152" s="23">
        <f t="shared" si="63"/>
        <v>0</v>
      </c>
      <c r="M152" s="206">
        <f t="shared" si="64"/>
        <v>54.9</v>
      </c>
      <c r="N152" s="34"/>
      <c r="O152" s="209">
        <f t="shared" si="41"/>
        <v>97</v>
      </c>
      <c r="P152" s="34">
        <f t="shared" si="65"/>
        <v>13020</v>
      </c>
      <c r="Q152" s="34">
        <f t="shared" si="66"/>
        <v>36600</v>
      </c>
      <c r="R152" s="7">
        <f t="shared" si="67"/>
        <v>-54.9</v>
      </c>
      <c r="S152" s="227">
        <f t="shared" si="42"/>
        <v>23525.1</v>
      </c>
      <c r="T152" s="249">
        <f t="shared" si="43"/>
        <v>1.8068433179723502</v>
      </c>
      <c r="U152" s="38"/>
      <c r="V152" s="33"/>
      <c r="W152" s="2"/>
      <c r="X152" s="2"/>
      <c r="Y152" s="2"/>
      <c r="Z152" s="7"/>
    </row>
    <row r="153" spans="1:26" ht="15" customHeight="1" x14ac:dyDescent="0.4">
      <c r="B153" s="38" t="s">
        <v>214</v>
      </c>
      <c r="C153" s="6" t="s">
        <v>160</v>
      </c>
      <c r="D153" s="6">
        <f t="shared" si="61"/>
        <v>1</v>
      </c>
      <c r="E153" s="34">
        <v>1</v>
      </c>
      <c r="F153" s="212">
        <v>15500</v>
      </c>
      <c r="G153" s="195">
        <v>45698</v>
      </c>
      <c r="H153" s="8"/>
      <c r="I153" s="212">
        <v>36600</v>
      </c>
      <c r="J153" s="8">
        <v>45763</v>
      </c>
      <c r="K153" s="23">
        <f t="shared" si="62"/>
        <v>0</v>
      </c>
      <c r="L153" s="23">
        <f t="shared" si="63"/>
        <v>0</v>
      </c>
      <c r="M153" s="206">
        <f t="shared" si="64"/>
        <v>54.9</v>
      </c>
      <c r="N153" s="34"/>
      <c r="O153" s="209">
        <f t="shared" si="41"/>
        <v>66</v>
      </c>
      <c r="P153" s="34">
        <f t="shared" si="65"/>
        <v>15500</v>
      </c>
      <c r="Q153" s="34">
        <f t="shared" si="66"/>
        <v>36600</v>
      </c>
      <c r="R153" s="7">
        <f t="shared" si="67"/>
        <v>-54.9</v>
      </c>
      <c r="S153" s="227">
        <f t="shared" si="42"/>
        <v>21045.1</v>
      </c>
      <c r="T153" s="249">
        <f t="shared" si="43"/>
        <v>1.3577483870967741</v>
      </c>
      <c r="U153" s="38"/>
      <c r="V153" s="33"/>
      <c r="W153" s="2"/>
      <c r="X153" s="2"/>
      <c r="Y153" s="2"/>
      <c r="Z153" s="7"/>
    </row>
    <row r="154" spans="1:26" s="33" customFormat="1" ht="15" customHeight="1" x14ac:dyDescent="0.4">
      <c r="B154" s="38" t="s">
        <v>214</v>
      </c>
      <c r="C154" s="6" t="s">
        <v>160</v>
      </c>
      <c r="D154" s="6">
        <f t="shared" si="61"/>
        <v>1</v>
      </c>
      <c r="E154" s="34">
        <v>40</v>
      </c>
      <c r="F154" s="212">
        <v>21300</v>
      </c>
      <c r="G154" s="195">
        <v>45699</v>
      </c>
      <c r="H154" s="8"/>
      <c r="I154" s="212">
        <v>36600</v>
      </c>
      <c r="J154" s="8">
        <v>45763</v>
      </c>
      <c r="K154" s="23">
        <f t="shared" si="62"/>
        <v>30</v>
      </c>
      <c r="L154" s="23">
        <f t="shared" si="63"/>
        <v>50</v>
      </c>
      <c r="M154" s="206">
        <f t="shared" si="64"/>
        <v>2196</v>
      </c>
      <c r="N154" s="34"/>
      <c r="O154" s="209">
        <f t="shared" si="41"/>
        <v>65</v>
      </c>
      <c r="P154" s="34">
        <f t="shared" si="65"/>
        <v>852000</v>
      </c>
      <c r="Q154" s="34">
        <f t="shared" si="66"/>
        <v>1464000</v>
      </c>
      <c r="R154" s="7">
        <f t="shared" si="67"/>
        <v>-2276</v>
      </c>
      <c r="S154" s="227">
        <f t="shared" si="42"/>
        <v>609724</v>
      </c>
      <c r="T154" s="249">
        <f t="shared" si="43"/>
        <v>0.71563849765258214</v>
      </c>
    </row>
    <row r="155" spans="1:26" s="33" customFormat="1" ht="15" customHeight="1" x14ac:dyDescent="0.4">
      <c r="B155" s="38" t="s">
        <v>214</v>
      </c>
      <c r="C155" s="6" t="s">
        <v>160</v>
      </c>
      <c r="D155" s="6">
        <f t="shared" si="61"/>
        <v>1</v>
      </c>
      <c r="E155" s="34">
        <v>5</v>
      </c>
      <c r="F155" s="212">
        <v>23700</v>
      </c>
      <c r="G155" s="195">
        <v>45707</v>
      </c>
      <c r="H155" s="8"/>
      <c r="I155" s="212">
        <v>36600</v>
      </c>
      <c r="J155" s="8">
        <v>45763</v>
      </c>
      <c r="K155" s="23">
        <f t="shared" si="62"/>
        <v>0</v>
      </c>
      <c r="L155" s="23">
        <f t="shared" si="63"/>
        <v>0</v>
      </c>
      <c r="M155" s="206">
        <f t="shared" si="64"/>
        <v>274.5</v>
      </c>
      <c r="N155" s="34"/>
      <c r="O155" s="209">
        <f t="shared" si="41"/>
        <v>57</v>
      </c>
      <c r="P155" s="34">
        <f t="shared" si="65"/>
        <v>118500</v>
      </c>
      <c r="Q155" s="34">
        <f t="shared" si="66"/>
        <v>183000</v>
      </c>
      <c r="R155" s="7">
        <f t="shared" si="67"/>
        <v>-274.5</v>
      </c>
      <c r="S155" s="227">
        <f t="shared" si="42"/>
        <v>64225.5</v>
      </c>
      <c r="T155" s="249">
        <f t="shared" si="43"/>
        <v>0.54198734177215191</v>
      </c>
    </row>
    <row r="156" spans="1:26" ht="15" customHeight="1" x14ac:dyDescent="0.4">
      <c r="B156" s="38" t="s">
        <v>214</v>
      </c>
      <c r="C156" s="6" t="s">
        <v>160</v>
      </c>
      <c r="D156" s="6">
        <f t="shared" si="61"/>
        <v>1</v>
      </c>
      <c r="E156" s="34">
        <v>7</v>
      </c>
      <c r="F156" s="212">
        <v>26400</v>
      </c>
      <c r="G156" s="195">
        <v>45716</v>
      </c>
      <c r="H156" s="8"/>
      <c r="I156" s="212">
        <v>36600</v>
      </c>
      <c r="J156" s="8">
        <v>45763</v>
      </c>
      <c r="K156" s="23">
        <f t="shared" si="62"/>
        <v>0</v>
      </c>
      <c r="L156" s="23">
        <f t="shared" si="63"/>
        <v>0</v>
      </c>
      <c r="M156" s="206">
        <f t="shared" si="64"/>
        <v>384.3</v>
      </c>
      <c r="N156" s="34"/>
      <c r="O156" s="209">
        <f t="shared" si="41"/>
        <v>48</v>
      </c>
      <c r="P156" s="34">
        <f t="shared" si="65"/>
        <v>184800</v>
      </c>
      <c r="Q156" s="34">
        <f t="shared" si="66"/>
        <v>256200</v>
      </c>
      <c r="R156" s="7">
        <f t="shared" si="67"/>
        <v>-384.3</v>
      </c>
      <c r="S156" s="227">
        <f t="shared" si="42"/>
        <v>71015.7</v>
      </c>
      <c r="T156" s="249">
        <f t="shared" si="43"/>
        <v>0.38428409090909088</v>
      </c>
      <c r="U156" s="38"/>
      <c r="V156" s="33"/>
      <c r="W156" s="2"/>
      <c r="X156" s="2"/>
      <c r="Y156" s="2"/>
      <c r="Z156" s="7"/>
    </row>
    <row r="157" spans="1:26" s="33" customFormat="1" ht="15" customHeight="1" x14ac:dyDescent="0.4">
      <c r="B157" s="38" t="s">
        <v>214</v>
      </c>
      <c r="C157" s="6" t="s">
        <v>160</v>
      </c>
      <c r="D157" s="6">
        <f t="shared" si="61"/>
        <v>1</v>
      </c>
      <c r="E157" s="34">
        <v>5</v>
      </c>
      <c r="F157" s="212">
        <v>26000</v>
      </c>
      <c r="G157" s="195">
        <v>45720</v>
      </c>
      <c r="H157" s="8"/>
      <c r="I157" s="212">
        <v>36600</v>
      </c>
      <c r="J157" s="8">
        <v>45763</v>
      </c>
      <c r="K157" s="23">
        <f t="shared" si="62"/>
        <v>0</v>
      </c>
      <c r="L157" s="23">
        <f t="shared" si="63"/>
        <v>0</v>
      </c>
      <c r="M157" s="206">
        <f t="shared" si="64"/>
        <v>274.5</v>
      </c>
      <c r="N157" s="34"/>
      <c r="O157" s="209">
        <f t="shared" si="41"/>
        <v>44</v>
      </c>
      <c r="P157" s="34">
        <f t="shared" si="65"/>
        <v>130000</v>
      </c>
      <c r="Q157" s="34">
        <f t="shared" si="66"/>
        <v>183000</v>
      </c>
      <c r="R157" s="7">
        <f t="shared" si="67"/>
        <v>-274.5</v>
      </c>
      <c r="S157" s="227">
        <f t="shared" si="42"/>
        <v>52725.5</v>
      </c>
      <c r="T157" s="249">
        <f t="shared" si="43"/>
        <v>0.40558076923076924</v>
      </c>
    </row>
    <row r="158" spans="1:26" s="33" customFormat="1" ht="15" customHeight="1" x14ac:dyDescent="0.4">
      <c r="B158" s="38" t="s">
        <v>214</v>
      </c>
      <c r="C158" s="6" t="s">
        <v>160</v>
      </c>
      <c r="D158" s="6">
        <f t="shared" si="61"/>
        <v>1</v>
      </c>
      <c r="E158" s="34">
        <v>1</v>
      </c>
      <c r="F158" s="212">
        <v>28500</v>
      </c>
      <c r="G158" s="195">
        <v>45726</v>
      </c>
      <c r="H158" s="8"/>
      <c r="I158" s="212">
        <v>36600</v>
      </c>
      <c r="J158" s="8">
        <v>45763</v>
      </c>
      <c r="K158" s="23">
        <f t="shared" si="62"/>
        <v>0</v>
      </c>
      <c r="L158" s="23">
        <f t="shared" si="63"/>
        <v>0</v>
      </c>
      <c r="M158" s="206">
        <f t="shared" si="64"/>
        <v>54.9</v>
      </c>
      <c r="N158" s="34"/>
      <c r="O158" s="209">
        <f t="shared" ref="O158:O221" si="68">J158-G158+1</f>
        <v>38</v>
      </c>
      <c r="P158" s="34">
        <f t="shared" si="65"/>
        <v>28500</v>
      </c>
      <c r="Q158" s="34">
        <f t="shared" si="66"/>
        <v>36600</v>
      </c>
      <c r="R158" s="7">
        <f t="shared" si="67"/>
        <v>-54.9</v>
      </c>
      <c r="S158" s="227">
        <f t="shared" ref="S158:S221" si="69">IF(Q158=0,0,Q158-P158+R158)</f>
        <v>8045.1</v>
      </c>
      <c r="T158" s="249">
        <f t="shared" ref="T158:T221" si="70">S158/P158</f>
        <v>0.2822842105263158</v>
      </c>
    </row>
    <row r="159" spans="1:26" s="33" customFormat="1" ht="15" customHeight="1" x14ac:dyDescent="0.4">
      <c r="B159" s="38" t="s">
        <v>214</v>
      </c>
      <c r="C159" s="6" t="s">
        <v>160</v>
      </c>
      <c r="D159" s="6">
        <f t="shared" si="61"/>
        <v>1</v>
      </c>
      <c r="E159" s="34">
        <v>10</v>
      </c>
      <c r="F159" s="212">
        <v>29000</v>
      </c>
      <c r="G159" s="195">
        <v>45754</v>
      </c>
      <c r="H159" s="8"/>
      <c r="I159" s="212">
        <v>36600</v>
      </c>
      <c r="J159" s="8">
        <v>45763</v>
      </c>
      <c r="K159" s="23">
        <f t="shared" si="62"/>
        <v>10</v>
      </c>
      <c r="L159" s="23">
        <f t="shared" si="63"/>
        <v>10</v>
      </c>
      <c r="M159" s="206">
        <f t="shared" si="64"/>
        <v>549</v>
      </c>
      <c r="N159" s="34"/>
      <c r="O159" s="209">
        <f t="shared" si="68"/>
        <v>10</v>
      </c>
      <c r="P159" s="34">
        <f t="shared" si="65"/>
        <v>290000</v>
      </c>
      <c r="Q159" s="34">
        <f t="shared" si="66"/>
        <v>366000</v>
      </c>
      <c r="R159" s="7">
        <f t="shared" si="67"/>
        <v>-569</v>
      </c>
      <c r="S159" s="227">
        <f t="shared" si="69"/>
        <v>75431</v>
      </c>
      <c r="T159" s="249">
        <f t="shared" si="70"/>
        <v>0.26010689655172414</v>
      </c>
    </row>
    <row r="160" spans="1:26" s="33" customFormat="1" ht="15" customHeight="1" x14ac:dyDescent="0.4">
      <c r="B160" s="38" t="s">
        <v>214</v>
      </c>
      <c r="C160" s="6" t="s">
        <v>160</v>
      </c>
      <c r="D160" s="6">
        <f t="shared" si="61"/>
        <v>1</v>
      </c>
      <c r="E160" s="34">
        <v>3</v>
      </c>
      <c r="F160" s="212">
        <v>34900</v>
      </c>
      <c r="G160" s="195">
        <v>45763</v>
      </c>
      <c r="H160" s="8"/>
      <c r="I160" s="212">
        <v>41000</v>
      </c>
      <c r="J160" s="8">
        <v>45785</v>
      </c>
      <c r="K160" s="23">
        <f t="shared" si="62"/>
        <v>0</v>
      </c>
      <c r="L160" s="23">
        <f t="shared" si="63"/>
        <v>0</v>
      </c>
      <c r="M160" s="206">
        <f t="shared" si="64"/>
        <v>184.5</v>
      </c>
      <c r="N160" s="34"/>
      <c r="O160" s="209">
        <f t="shared" si="68"/>
        <v>23</v>
      </c>
      <c r="P160" s="34">
        <f t="shared" si="65"/>
        <v>104700</v>
      </c>
      <c r="Q160" s="34">
        <f t="shared" si="66"/>
        <v>123000</v>
      </c>
      <c r="R160" s="7">
        <f t="shared" si="67"/>
        <v>-184.5</v>
      </c>
      <c r="S160" s="227">
        <f t="shared" si="69"/>
        <v>18115.5</v>
      </c>
      <c r="T160" s="249">
        <f t="shared" si="70"/>
        <v>0.17302292263610314</v>
      </c>
    </row>
    <row r="161" spans="2:26" s="33" customFormat="1" ht="15" customHeight="1" x14ac:dyDescent="0.4">
      <c r="B161" s="38" t="s">
        <v>214</v>
      </c>
      <c r="C161" s="6" t="s">
        <v>160</v>
      </c>
      <c r="D161" s="6">
        <f t="shared" si="61"/>
        <v>1</v>
      </c>
      <c r="E161" s="34">
        <v>6</v>
      </c>
      <c r="F161" s="212">
        <v>35300</v>
      </c>
      <c r="G161" s="195">
        <v>45769</v>
      </c>
      <c r="H161" s="8"/>
      <c r="I161" s="212">
        <v>41000</v>
      </c>
      <c r="J161" s="8">
        <v>45785</v>
      </c>
      <c r="K161" s="23">
        <f t="shared" si="62"/>
        <v>0</v>
      </c>
      <c r="L161" s="23">
        <f t="shared" si="63"/>
        <v>0</v>
      </c>
      <c r="M161" s="206">
        <f t="shared" si="64"/>
        <v>369</v>
      </c>
      <c r="N161" s="34"/>
      <c r="O161" s="209">
        <f t="shared" si="68"/>
        <v>17</v>
      </c>
      <c r="P161" s="34">
        <f t="shared" si="65"/>
        <v>211800</v>
      </c>
      <c r="Q161" s="34">
        <f t="shared" si="66"/>
        <v>246000</v>
      </c>
      <c r="R161" s="7">
        <f t="shared" si="67"/>
        <v>-369</v>
      </c>
      <c r="S161" s="227">
        <f t="shared" si="69"/>
        <v>33831</v>
      </c>
      <c r="T161" s="249">
        <f t="shared" si="70"/>
        <v>0.15973087818696885</v>
      </c>
    </row>
    <row r="162" spans="2:26" s="33" customFormat="1" ht="15" customHeight="1" x14ac:dyDescent="0.4">
      <c r="B162" s="38" t="s">
        <v>214</v>
      </c>
      <c r="C162" s="6" t="s">
        <v>160</v>
      </c>
      <c r="D162" s="6">
        <f t="shared" si="61"/>
        <v>1</v>
      </c>
      <c r="E162" s="34">
        <v>8</v>
      </c>
      <c r="F162" s="212">
        <v>38450</v>
      </c>
      <c r="G162" s="195">
        <v>45779</v>
      </c>
      <c r="H162" s="8"/>
      <c r="I162" s="212">
        <v>41000</v>
      </c>
      <c r="J162" s="8">
        <v>45785</v>
      </c>
      <c r="K162" s="23">
        <f t="shared" si="62"/>
        <v>10</v>
      </c>
      <c r="L162" s="23">
        <f t="shared" si="63"/>
        <v>10</v>
      </c>
      <c r="M162" s="206">
        <f t="shared" si="64"/>
        <v>492</v>
      </c>
      <c r="N162" s="34"/>
      <c r="O162" s="209">
        <f t="shared" si="68"/>
        <v>7</v>
      </c>
      <c r="P162" s="34">
        <f t="shared" si="65"/>
        <v>307600</v>
      </c>
      <c r="Q162" s="34">
        <f t="shared" si="66"/>
        <v>328000</v>
      </c>
      <c r="R162" s="7">
        <f t="shared" si="67"/>
        <v>-512</v>
      </c>
      <c r="S162" s="227">
        <f t="shared" si="69"/>
        <v>19888</v>
      </c>
      <c r="T162" s="249">
        <f t="shared" si="70"/>
        <v>6.46553966189857E-2</v>
      </c>
    </row>
    <row r="163" spans="2:26" s="33" customFormat="1" ht="15" customHeight="1" x14ac:dyDescent="0.4">
      <c r="B163" s="38" t="s">
        <v>214</v>
      </c>
      <c r="C163" s="6" t="s">
        <v>160</v>
      </c>
      <c r="D163" s="6">
        <f t="shared" si="61"/>
        <v>1</v>
      </c>
      <c r="E163" s="34">
        <v>13</v>
      </c>
      <c r="F163" s="212">
        <v>38900</v>
      </c>
      <c r="G163" s="195">
        <v>45786</v>
      </c>
      <c r="H163" s="8"/>
      <c r="I163" s="212">
        <v>50800</v>
      </c>
      <c r="J163" s="8">
        <v>45791</v>
      </c>
      <c r="K163" s="23">
        <f t="shared" si="62"/>
        <v>10</v>
      </c>
      <c r="L163" s="23">
        <f t="shared" si="63"/>
        <v>20</v>
      </c>
      <c r="M163" s="206">
        <f t="shared" si="64"/>
        <v>990.6</v>
      </c>
      <c r="N163" s="34"/>
      <c r="O163" s="209">
        <f t="shared" si="68"/>
        <v>6</v>
      </c>
      <c r="P163" s="34">
        <f t="shared" si="65"/>
        <v>505700</v>
      </c>
      <c r="Q163" s="34">
        <f t="shared" si="66"/>
        <v>660400</v>
      </c>
      <c r="R163" s="7">
        <f t="shared" si="67"/>
        <v>-1020.6</v>
      </c>
      <c r="S163" s="227">
        <f t="shared" si="69"/>
        <v>153679.4</v>
      </c>
      <c r="T163" s="249">
        <f t="shared" si="70"/>
        <v>0.30389440379671739</v>
      </c>
    </row>
    <row r="164" spans="2:26" s="33" customFormat="1" ht="15" customHeight="1" x14ac:dyDescent="0.4">
      <c r="B164" s="38" t="s">
        <v>214</v>
      </c>
      <c r="C164" s="6" t="s">
        <v>160</v>
      </c>
      <c r="D164" s="6">
        <f t="shared" si="61"/>
        <v>1</v>
      </c>
      <c r="E164" s="34">
        <v>3</v>
      </c>
      <c r="F164" s="212">
        <v>37500</v>
      </c>
      <c r="G164" s="195">
        <v>45789</v>
      </c>
      <c r="H164" s="8"/>
      <c r="I164" s="212">
        <v>50800</v>
      </c>
      <c r="J164" s="8">
        <v>45791</v>
      </c>
      <c r="K164" s="23">
        <f t="shared" si="62"/>
        <v>0</v>
      </c>
      <c r="L164" s="23">
        <f t="shared" si="63"/>
        <v>0</v>
      </c>
      <c r="M164" s="206">
        <f t="shared" si="64"/>
        <v>228.6</v>
      </c>
      <c r="N164" s="34"/>
      <c r="O164" s="209">
        <f t="shared" si="68"/>
        <v>3</v>
      </c>
      <c r="P164" s="34">
        <f t="shared" si="65"/>
        <v>112500</v>
      </c>
      <c r="Q164" s="34">
        <f t="shared" si="66"/>
        <v>152400</v>
      </c>
      <c r="R164" s="7">
        <f t="shared" si="67"/>
        <v>-228.6</v>
      </c>
      <c r="S164" s="227">
        <f t="shared" si="69"/>
        <v>39671.4</v>
      </c>
      <c r="T164" s="249">
        <f t="shared" si="70"/>
        <v>0.35263466666666665</v>
      </c>
    </row>
    <row r="165" spans="2:26" s="33" customFormat="1" ht="15" customHeight="1" x14ac:dyDescent="0.4">
      <c r="B165" s="38" t="s">
        <v>215</v>
      </c>
      <c r="C165" s="6" t="s">
        <v>162</v>
      </c>
      <c r="D165" s="6"/>
      <c r="E165" s="36">
        <v>300</v>
      </c>
      <c r="F165" s="212">
        <v>2740</v>
      </c>
      <c r="G165" s="195">
        <v>42571</v>
      </c>
      <c r="H165" s="8"/>
      <c r="I165" s="212">
        <v>2805</v>
      </c>
      <c r="J165" s="8">
        <v>42590</v>
      </c>
      <c r="K165" s="7">
        <f>ROUNDDOWN(E165*F165*0.0015,-1)</f>
        <v>1230</v>
      </c>
      <c r="L165" s="7">
        <f>ROUNDDOWN(I165*E165*0.0015,-1)</f>
        <v>1260</v>
      </c>
      <c r="M165" s="196">
        <f>I165*E165*0.003</f>
        <v>2524.5</v>
      </c>
      <c r="N165" s="36"/>
      <c r="O165" s="191">
        <f t="shared" si="68"/>
        <v>20</v>
      </c>
      <c r="P165" s="36">
        <f>F165*E165</f>
        <v>822000</v>
      </c>
      <c r="Q165" s="36">
        <f>I165*E165</f>
        <v>841500</v>
      </c>
      <c r="R165" s="7">
        <f>N165-K165-L165-M165</f>
        <v>-5014.5</v>
      </c>
      <c r="S165" s="227">
        <f t="shared" si="69"/>
        <v>14485.5</v>
      </c>
      <c r="T165" s="248">
        <f t="shared" si="70"/>
        <v>1.7622262773722627E-2</v>
      </c>
      <c r="U165" s="9">
        <f>T165*365/O165</f>
        <v>0.32160629562043797</v>
      </c>
      <c r="V165" s="6"/>
    </row>
    <row r="166" spans="2:26" s="33" customFormat="1" ht="15" customHeight="1" x14ac:dyDescent="0.4">
      <c r="B166" s="38" t="s">
        <v>216</v>
      </c>
      <c r="C166" s="6" t="s">
        <v>185</v>
      </c>
      <c r="D166" s="6"/>
      <c r="E166" s="36">
        <v>10</v>
      </c>
      <c r="F166" s="212">
        <v>5550</v>
      </c>
      <c r="G166" s="195">
        <v>39738</v>
      </c>
      <c r="H166" s="8"/>
      <c r="I166" s="212">
        <v>6510</v>
      </c>
      <c r="J166" s="8">
        <v>39758</v>
      </c>
      <c r="K166" s="7">
        <f>ROUNDDOWN(E166*F166*0.005,-1)</f>
        <v>270</v>
      </c>
      <c r="L166" s="7">
        <f>ROUNDDOWN(I166*E166*0.005,-1)</f>
        <v>320</v>
      </c>
      <c r="M166" s="196">
        <f>I166*E166*0.003</f>
        <v>195.3</v>
      </c>
      <c r="N166" s="36"/>
      <c r="O166" s="191">
        <f t="shared" si="68"/>
        <v>21</v>
      </c>
      <c r="P166" s="36">
        <f>F166*E166</f>
        <v>55500</v>
      </c>
      <c r="Q166" s="36">
        <f>I166*E166</f>
        <v>65100</v>
      </c>
      <c r="R166" s="7">
        <f>N166-K166-L166-M166</f>
        <v>-785.3</v>
      </c>
      <c r="S166" s="227">
        <f t="shared" si="69"/>
        <v>8814.7000000000007</v>
      </c>
      <c r="T166" s="248">
        <f t="shared" si="70"/>
        <v>0.15882342342342343</v>
      </c>
      <c r="U166" s="9">
        <f>T166*365/O166</f>
        <v>2.7605023595023597</v>
      </c>
      <c r="V166" s="6"/>
    </row>
    <row r="167" spans="2:26" s="33" customFormat="1" ht="15" customHeight="1" x14ac:dyDescent="0.4">
      <c r="B167" s="38" t="s">
        <v>217</v>
      </c>
      <c r="C167" s="6" t="s">
        <v>160</v>
      </c>
      <c r="D167" s="6">
        <f t="shared" ref="D167:D176" si="71">IF(OR($C167="신한",$C167="OTC",$C167="무상증자(신한)",$C167="토스",$C167="R토스"),1,"확인")</f>
        <v>1</v>
      </c>
      <c r="E167" s="34">
        <v>70</v>
      </c>
      <c r="F167" s="212">
        <v>143300</v>
      </c>
      <c r="G167" s="195">
        <v>45894</v>
      </c>
      <c r="H167" s="8"/>
      <c r="I167" s="212">
        <v>150900</v>
      </c>
      <c r="J167" s="8">
        <v>45897</v>
      </c>
      <c r="K167" s="23">
        <f>IF($C167="OTC",ROUNDDOWN($E167*$F167*0.000909187,-1),(IF($C167="신한",ROUNDDOWN($E167*$F167*0.000036396,-1),(IF($C167="토스",$E167*$F167*0.00015,(IF($C167="US",(IF($E167*$F167*0.0025&gt;0.01,$E167*$F167*0.0025,0.01)),IF($C167="JP",(IF($E167*$F167*0.0025&gt;1000,$E167*$F167*0.0025,1000)),(IF($C167="R토스",0,IF($C167="무상증자(신한)",0,"")))))))))))+P167*0.05*O167/365</f>
        <v>5856.4383561643835</v>
      </c>
      <c r="L167" s="23">
        <f t="shared" ref="L167:L176" si="72">IF($C167="OTC",ROUNDDOWN($I167*$E167*0.000909187,-1),(IF($C167="신한",ROUNDDOWN($I167*$E167*0.000036396,-1),(IF($C167="토스",$I167*$E167*0.00015,(IF($C167="US",(IF($I167*$E167*0.0025&gt;0.01,$I167*$E167*0.0025,0.01)),(IF($C167="JP",(IF($I167*$E167*0.0025&gt;1000,$I167*$E167*0.0025,1000)),(IF($C167="R토스",$I167*$E167*0.00015,(IF($C167="무상증자(신한)",ROUNDDOWN($I167*$E167*0.000036396,-1),"")))))))))))))</f>
        <v>380</v>
      </c>
      <c r="M167" s="206">
        <f>Q167*0.0015</f>
        <v>15844.5</v>
      </c>
      <c r="N167" s="34"/>
      <c r="O167" s="209">
        <f t="shared" si="68"/>
        <v>4</v>
      </c>
      <c r="P167" s="34">
        <f t="shared" ref="P167:P176" si="73">$E167*$F167*$D167</f>
        <v>10031000</v>
      </c>
      <c r="Q167" s="34">
        <f t="shared" ref="Q167:Q176" si="74">$E167*$I167*$D167</f>
        <v>10563000</v>
      </c>
      <c r="R167" s="7">
        <f t="shared" ref="R167:R176" si="75">($N167-$K167-$L167-$M167)*$D167</f>
        <v>-22080.938356164384</v>
      </c>
      <c r="S167" s="227">
        <f t="shared" si="69"/>
        <v>509919.06164383562</v>
      </c>
      <c r="T167" s="249">
        <f t="shared" si="70"/>
        <v>5.0834319773086993E-2</v>
      </c>
    </row>
    <row r="168" spans="2:26" s="33" customFormat="1" ht="15" customHeight="1" x14ac:dyDescent="0.4">
      <c r="B168" s="38" t="s">
        <v>217</v>
      </c>
      <c r="C168" s="6" t="s">
        <v>160</v>
      </c>
      <c r="D168" s="6">
        <f t="shared" si="71"/>
        <v>1</v>
      </c>
      <c r="E168" s="34">
        <v>16</v>
      </c>
      <c r="F168" s="212">
        <v>144475</v>
      </c>
      <c r="G168" s="195">
        <v>45902</v>
      </c>
      <c r="H168" s="8"/>
      <c r="I168" s="212">
        <v>161700</v>
      </c>
      <c r="J168" s="8">
        <v>45909</v>
      </c>
      <c r="K168" s="23">
        <f t="shared" ref="K168:K176" si="76">IF($C168="OTC",ROUNDDOWN($E168*$F168*0.000909187,-1),(IF($C168="신한",ROUNDDOWN($E168*$F168*0.000036396,-1),(IF($C168="토스",$E168*$F168*0.00015,(IF($C168="US",(IF($E168*$F168*0.0025&gt;0.01,$E168*$F168*0.0025,0.01)),IF($C168="JP",(IF($E168*$F168*0.0025&gt;1000,$E168*$F168*0.0025,1000)),(IF($C168="R토스",0,IF($C168="무상증자(신한)",0,"")))))))))))</f>
        <v>80</v>
      </c>
      <c r="L168" s="23">
        <f t="shared" si="72"/>
        <v>90</v>
      </c>
      <c r="M168" s="206">
        <f>Q168*0.0015</f>
        <v>3880.8</v>
      </c>
      <c r="N168" s="34"/>
      <c r="O168" s="209">
        <f t="shared" si="68"/>
        <v>8</v>
      </c>
      <c r="P168" s="34">
        <f t="shared" si="73"/>
        <v>2311600</v>
      </c>
      <c r="Q168" s="34">
        <f t="shared" si="74"/>
        <v>2587200</v>
      </c>
      <c r="R168" s="7">
        <f t="shared" si="75"/>
        <v>-4050.8</v>
      </c>
      <c r="S168" s="227">
        <f t="shared" si="69"/>
        <v>271549.2</v>
      </c>
      <c r="T168" s="249">
        <f t="shared" si="70"/>
        <v>0.11747240006921614</v>
      </c>
    </row>
    <row r="169" spans="2:26" s="33" customFormat="1" ht="15" customHeight="1" x14ac:dyDescent="0.4">
      <c r="B169" s="38" t="s">
        <v>217</v>
      </c>
      <c r="C169" s="6" t="s">
        <v>160</v>
      </c>
      <c r="D169" s="6">
        <f t="shared" si="71"/>
        <v>1</v>
      </c>
      <c r="E169" s="34">
        <v>10</v>
      </c>
      <c r="F169" s="212">
        <v>142610</v>
      </c>
      <c r="G169" s="195">
        <v>45903</v>
      </c>
      <c r="H169" s="8"/>
      <c r="I169" s="212">
        <v>161700</v>
      </c>
      <c r="J169" s="8">
        <v>45909</v>
      </c>
      <c r="K169" s="23">
        <f t="shared" si="76"/>
        <v>50</v>
      </c>
      <c r="L169" s="23">
        <f t="shared" si="72"/>
        <v>50</v>
      </c>
      <c r="M169" s="206">
        <f>Q169*0.0015</f>
        <v>2425.5</v>
      </c>
      <c r="N169" s="34"/>
      <c r="O169" s="209">
        <f t="shared" si="68"/>
        <v>7</v>
      </c>
      <c r="P169" s="34">
        <f t="shared" si="73"/>
        <v>1426100</v>
      </c>
      <c r="Q169" s="34">
        <f t="shared" si="74"/>
        <v>1617000</v>
      </c>
      <c r="R169" s="7">
        <f t="shared" si="75"/>
        <v>-2525.5</v>
      </c>
      <c r="S169" s="227">
        <f t="shared" si="69"/>
        <v>188374.5</v>
      </c>
      <c r="T169" s="249">
        <f t="shared" si="70"/>
        <v>0.13209066685365684</v>
      </c>
    </row>
    <row r="170" spans="2:26" s="33" customFormat="1" ht="15" customHeight="1" x14ac:dyDescent="0.4">
      <c r="B170" s="38" t="s">
        <v>218</v>
      </c>
      <c r="C170" s="6" t="s">
        <v>160</v>
      </c>
      <c r="D170" s="6">
        <f t="shared" si="71"/>
        <v>1</v>
      </c>
      <c r="E170" s="34">
        <v>16</v>
      </c>
      <c r="F170" s="212">
        <v>271000</v>
      </c>
      <c r="G170" s="195">
        <v>44046</v>
      </c>
      <c r="H170" s="8"/>
      <c r="I170" s="212">
        <v>445000</v>
      </c>
      <c r="J170" s="8">
        <v>44056</v>
      </c>
      <c r="K170" s="23">
        <f t="shared" si="76"/>
        <v>150</v>
      </c>
      <c r="L170" s="23">
        <f t="shared" si="72"/>
        <v>250</v>
      </c>
      <c r="M170" s="206">
        <f t="shared" ref="M170:M176" si="77">Q170*0.0025</f>
        <v>17800</v>
      </c>
      <c r="N170" s="34"/>
      <c r="O170" s="209">
        <f t="shared" si="68"/>
        <v>11</v>
      </c>
      <c r="P170" s="34">
        <f t="shared" si="73"/>
        <v>4336000</v>
      </c>
      <c r="Q170" s="34">
        <f t="shared" si="74"/>
        <v>7120000</v>
      </c>
      <c r="R170" s="7">
        <f t="shared" si="75"/>
        <v>-18200</v>
      </c>
      <c r="S170" s="227">
        <f t="shared" si="69"/>
        <v>2765800</v>
      </c>
      <c r="T170" s="249">
        <f t="shared" si="70"/>
        <v>0.63786900369003685</v>
      </c>
    </row>
    <row r="171" spans="2:26" s="33" customFormat="1" ht="15" customHeight="1" x14ac:dyDescent="0.4">
      <c r="B171" s="38" t="s">
        <v>218</v>
      </c>
      <c r="C171" s="6" t="s">
        <v>160</v>
      </c>
      <c r="D171" s="6">
        <f t="shared" si="71"/>
        <v>1</v>
      </c>
      <c r="E171" s="34">
        <v>3</v>
      </c>
      <c r="F171" s="212">
        <v>440000</v>
      </c>
      <c r="G171" s="195">
        <v>44056</v>
      </c>
      <c r="H171" s="8"/>
      <c r="I171" s="212">
        <v>378000</v>
      </c>
      <c r="J171" s="8">
        <v>44061</v>
      </c>
      <c r="K171" s="23">
        <f t="shared" si="76"/>
        <v>40</v>
      </c>
      <c r="L171" s="23">
        <f t="shared" si="72"/>
        <v>40</v>
      </c>
      <c r="M171" s="206">
        <f t="shared" si="77"/>
        <v>2835</v>
      </c>
      <c r="N171" s="34"/>
      <c r="O171" s="209">
        <f t="shared" si="68"/>
        <v>6</v>
      </c>
      <c r="P171" s="34">
        <f t="shared" si="73"/>
        <v>1320000</v>
      </c>
      <c r="Q171" s="34">
        <f t="shared" si="74"/>
        <v>1134000</v>
      </c>
      <c r="R171" s="7">
        <f t="shared" si="75"/>
        <v>-2915</v>
      </c>
      <c r="S171" s="227">
        <f t="shared" si="69"/>
        <v>-188915</v>
      </c>
      <c r="T171" s="249">
        <f t="shared" si="70"/>
        <v>-0.14311742424242424</v>
      </c>
    </row>
    <row r="172" spans="2:26" s="33" customFormat="1" ht="15" customHeight="1" x14ac:dyDescent="0.4">
      <c r="B172" s="38" t="s">
        <v>218</v>
      </c>
      <c r="C172" s="6" t="s">
        <v>160</v>
      </c>
      <c r="D172" s="6">
        <f t="shared" si="71"/>
        <v>1</v>
      </c>
      <c r="E172" s="34">
        <v>2</v>
      </c>
      <c r="F172" s="212">
        <v>430000</v>
      </c>
      <c r="G172" s="195">
        <v>44056</v>
      </c>
      <c r="H172" s="8"/>
      <c r="I172" s="212">
        <v>378000</v>
      </c>
      <c r="J172" s="8">
        <v>44061</v>
      </c>
      <c r="K172" s="23">
        <f t="shared" si="76"/>
        <v>30</v>
      </c>
      <c r="L172" s="23">
        <f t="shared" si="72"/>
        <v>20</v>
      </c>
      <c r="M172" s="206">
        <f t="shared" si="77"/>
        <v>1890</v>
      </c>
      <c r="N172" s="34"/>
      <c r="O172" s="209">
        <f t="shared" si="68"/>
        <v>6</v>
      </c>
      <c r="P172" s="34">
        <f t="shared" si="73"/>
        <v>860000</v>
      </c>
      <c r="Q172" s="34">
        <f t="shared" si="74"/>
        <v>756000</v>
      </c>
      <c r="R172" s="7">
        <f t="shared" si="75"/>
        <v>-1940</v>
      </c>
      <c r="S172" s="227">
        <f t="shared" si="69"/>
        <v>-105940</v>
      </c>
      <c r="T172" s="249">
        <f t="shared" si="70"/>
        <v>-0.1231860465116279</v>
      </c>
    </row>
    <row r="173" spans="2:26" ht="15" customHeight="1" x14ac:dyDescent="0.4">
      <c r="B173" s="38" t="s">
        <v>218</v>
      </c>
      <c r="C173" s="6" t="s">
        <v>160</v>
      </c>
      <c r="D173" s="6">
        <f t="shared" si="71"/>
        <v>1</v>
      </c>
      <c r="E173" s="34">
        <v>3</v>
      </c>
      <c r="F173" s="212">
        <v>448000</v>
      </c>
      <c r="G173" s="195">
        <v>44057</v>
      </c>
      <c r="H173" s="8"/>
      <c r="I173" s="212">
        <v>378000</v>
      </c>
      <c r="J173" s="8">
        <v>44061</v>
      </c>
      <c r="K173" s="23">
        <f t="shared" si="76"/>
        <v>40</v>
      </c>
      <c r="L173" s="23">
        <f t="shared" si="72"/>
        <v>40</v>
      </c>
      <c r="M173" s="206">
        <f t="shared" si="77"/>
        <v>2835</v>
      </c>
      <c r="N173" s="34"/>
      <c r="O173" s="209">
        <f t="shared" si="68"/>
        <v>5</v>
      </c>
      <c r="P173" s="34">
        <f t="shared" si="73"/>
        <v>1344000</v>
      </c>
      <c r="Q173" s="34">
        <f t="shared" si="74"/>
        <v>1134000</v>
      </c>
      <c r="R173" s="7">
        <f t="shared" si="75"/>
        <v>-2915</v>
      </c>
      <c r="S173" s="227">
        <f t="shared" si="69"/>
        <v>-212915</v>
      </c>
      <c r="T173" s="249">
        <f t="shared" si="70"/>
        <v>-0.15841889880952381</v>
      </c>
      <c r="U173" s="38"/>
      <c r="V173" s="33"/>
      <c r="W173" s="2"/>
      <c r="X173" s="2"/>
      <c r="Y173" s="2"/>
      <c r="Z173" s="7"/>
    </row>
    <row r="174" spans="2:26" ht="15" customHeight="1" x14ac:dyDescent="0.4">
      <c r="B174" s="38" t="s">
        <v>218</v>
      </c>
      <c r="C174" s="6" t="s">
        <v>160</v>
      </c>
      <c r="D174" s="6">
        <f t="shared" si="71"/>
        <v>1</v>
      </c>
      <c r="E174" s="34">
        <v>2</v>
      </c>
      <c r="F174" s="212">
        <v>400000</v>
      </c>
      <c r="G174" s="195">
        <v>44057</v>
      </c>
      <c r="H174" s="8"/>
      <c r="I174" s="212">
        <v>378000</v>
      </c>
      <c r="J174" s="8">
        <v>44061</v>
      </c>
      <c r="K174" s="23">
        <f t="shared" si="76"/>
        <v>20</v>
      </c>
      <c r="L174" s="23">
        <f t="shared" si="72"/>
        <v>20</v>
      </c>
      <c r="M174" s="206">
        <f t="shared" si="77"/>
        <v>1890</v>
      </c>
      <c r="N174" s="34"/>
      <c r="O174" s="209">
        <f t="shared" si="68"/>
        <v>5</v>
      </c>
      <c r="P174" s="34">
        <f t="shared" si="73"/>
        <v>800000</v>
      </c>
      <c r="Q174" s="34">
        <f t="shared" si="74"/>
        <v>756000</v>
      </c>
      <c r="R174" s="7">
        <f t="shared" si="75"/>
        <v>-1930</v>
      </c>
      <c r="S174" s="227">
        <f t="shared" si="69"/>
        <v>-45930</v>
      </c>
      <c r="T174" s="249">
        <f t="shared" si="70"/>
        <v>-5.7412499999999998E-2</v>
      </c>
      <c r="U174" s="38"/>
      <c r="V174" s="33"/>
      <c r="W174" s="2"/>
      <c r="X174" s="2"/>
      <c r="Y174" s="2"/>
      <c r="Z174" s="7"/>
    </row>
    <row r="175" spans="2:26" ht="15" customHeight="1" x14ac:dyDescent="0.4">
      <c r="B175" s="38" t="s">
        <v>218</v>
      </c>
      <c r="C175" s="6" t="s">
        <v>160</v>
      </c>
      <c r="D175" s="6">
        <f t="shared" si="71"/>
        <v>1</v>
      </c>
      <c r="E175" s="34">
        <v>7</v>
      </c>
      <c r="F175" s="212">
        <v>398000</v>
      </c>
      <c r="G175" s="195">
        <v>44063</v>
      </c>
      <c r="H175" s="8"/>
      <c r="I175" s="212">
        <v>415000</v>
      </c>
      <c r="J175" s="8">
        <v>44075</v>
      </c>
      <c r="K175" s="23">
        <f t="shared" si="76"/>
        <v>100</v>
      </c>
      <c r="L175" s="23">
        <f t="shared" si="72"/>
        <v>100</v>
      </c>
      <c r="M175" s="206">
        <f t="shared" si="77"/>
        <v>7262.5</v>
      </c>
      <c r="N175" s="34"/>
      <c r="O175" s="209">
        <f t="shared" si="68"/>
        <v>13</v>
      </c>
      <c r="P175" s="34">
        <f t="shared" si="73"/>
        <v>2786000</v>
      </c>
      <c r="Q175" s="34">
        <f t="shared" si="74"/>
        <v>2905000</v>
      </c>
      <c r="R175" s="7">
        <f t="shared" si="75"/>
        <v>-7462.5</v>
      </c>
      <c r="S175" s="227">
        <f t="shared" si="69"/>
        <v>111537.5</v>
      </c>
      <c r="T175" s="249">
        <f t="shared" si="70"/>
        <v>4.0034996410624551E-2</v>
      </c>
      <c r="U175" s="38"/>
      <c r="V175" s="33"/>
      <c r="W175" s="2"/>
      <c r="X175" s="2"/>
      <c r="Y175" s="2"/>
      <c r="Z175" s="7"/>
    </row>
    <row r="176" spans="2:26" s="33" customFormat="1" ht="15" customHeight="1" x14ac:dyDescent="0.4">
      <c r="B176" s="38" t="s">
        <v>218</v>
      </c>
      <c r="C176" s="6" t="s">
        <v>160</v>
      </c>
      <c r="D176" s="6">
        <f t="shared" si="71"/>
        <v>1</v>
      </c>
      <c r="E176" s="34">
        <v>3</v>
      </c>
      <c r="F176" s="212">
        <v>387000</v>
      </c>
      <c r="G176" s="195">
        <v>44063</v>
      </c>
      <c r="H176" s="8"/>
      <c r="I176" s="212">
        <v>392500</v>
      </c>
      <c r="J176" s="8">
        <v>44071</v>
      </c>
      <c r="K176" s="23">
        <f t="shared" si="76"/>
        <v>40</v>
      </c>
      <c r="L176" s="23">
        <f t="shared" si="72"/>
        <v>40</v>
      </c>
      <c r="M176" s="206">
        <f t="shared" si="77"/>
        <v>2943.75</v>
      </c>
      <c r="N176" s="34"/>
      <c r="O176" s="209">
        <f t="shared" si="68"/>
        <v>9</v>
      </c>
      <c r="P176" s="34">
        <f t="shared" si="73"/>
        <v>1161000</v>
      </c>
      <c r="Q176" s="34">
        <f t="shared" si="74"/>
        <v>1177500</v>
      </c>
      <c r="R176" s="7">
        <f t="shared" si="75"/>
        <v>-3023.75</v>
      </c>
      <c r="S176" s="227">
        <f t="shared" si="69"/>
        <v>13476.25</v>
      </c>
      <c r="T176" s="249">
        <f t="shared" si="70"/>
        <v>1.1607450473729543E-2</v>
      </c>
    </row>
    <row r="177" spans="2:26" s="33" customFormat="1" ht="15" customHeight="1" x14ac:dyDescent="0.4">
      <c r="B177" s="38" t="s">
        <v>219</v>
      </c>
      <c r="C177" s="6" t="s">
        <v>187</v>
      </c>
      <c r="D177" s="6"/>
      <c r="E177" s="36">
        <v>20</v>
      </c>
      <c r="F177" s="212">
        <v>36800</v>
      </c>
      <c r="G177" s="195">
        <v>41676</v>
      </c>
      <c r="H177" s="8"/>
      <c r="I177" s="212">
        <v>39700</v>
      </c>
      <c r="J177" s="8">
        <v>41684</v>
      </c>
      <c r="K177" s="7">
        <f>ROUNDDOWN(E177*F177*0.00015,-1)</f>
        <v>110</v>
      </c>
      <c r="L177" s="7">
        <f>ROUNDDOWN(I177*E177*0.00015,-1)</f>
        <v>110</v>
      </c>
      <c r="M177" s="196">
        <f>I177*E177*0.003</f>
        <v>2382</v>
      </c>
      <c r="N177" s="36"/>
      <c r="O177" s="191">
        <f t="shared" si="68"/>
        <v>9</v>
      </c>
      <c r="P177" s="36">
        <f>F177*E177</f>
        <v>736000</v>
      </c>
      <c r="Q177" s="36">
        <f>I177*E177</f>
        <v>794000</v>
      </c>
      <c r="R177" s="7">
        <f>N177-K177-L177-M177</f>
        <v>-2602</v>
      </c>
      <c r="S177" s="227">
        <f t="shared" si="69"/>
        <v>55398</v>
      </c>
      <c r="T177" s="248">
        <f t="shared" si="70"/>
        <v>7.5269021739130429E-2</v>
      </c>
      <c r="U177" s="9">
        <f>T177*365/O177</f>
        <v>3.052576992753623</v>
      </c>
      <c r="V177" s="6"/>
    </row>
    <row r="178" spans="2:26" s="33" customFormat="1" ht="15" customHeight="1" x14ac:dyDescent="0.4">
      <c r="B178" s="38" t="s">
        <v>219</v>
      </c>
      <c r="C178" s="6" t="s">
        <v>187</v>
      </c>
      <c r="D178" s="6"/>
      <c r="E178" s="36">
        <v>30</v>
      </c>
      <c r="F178" s="212">
        <v>39350</v>
      </c>
      <c r="G178" s="195">
        <v>41684</v>
      </c>
      <c r="H178" s="8"/>
      <c r="I178" s="212">
        <v>39700</v>
      </c>
      <c r="J178" s="8">
        <v>41684</v>
      </c>
      <c r="K178" s="7">
        <f>ROUNDDOWN(E178*F178*0.00015,-1)</f>
        <v>170</v>
      </c>
      <c r="L178" s="7">
        <f>ROUNDDOWN(I178*E178*0.00015,-1)</f>
        <v>170</v>
      </c>
      <c r="M178" s="196">
        <f>I178*E178*0.003</f>
        <v>3573</v>
      </c>
      <c r="N178" s="36"/>
      <c r="O178" s="191">
        <f t="shared" si="68"/>
        <v>1</v>
      </c>
      <c r="P178" s="36">
        <f>F178*E178</f>
        <v>1180500</v>
      </c>
      <c r="Q178" s="36">
        <f>I178*E178</f>
        <v>1191000</v>
      </c>
      <c r="R178" s="7">
        <f>N178-K178-L178-M178</f>
        <v>-3913</v>
      </c>
      <c r="S178" s="227">
        <f t="shared" si="69"/>
        <v>6587</v>
      </c>
      <c r="T178" s="248">
        <f t="shared" si="70"/>
        <v>5.5798390512494704E-3</v>
      </c>
      <c r="U178" s="9">
        <f>T178*365/O178</f>
        <v>2.0366412537060565</v>
      </c>
      <c r="V178" s="6"/>
    </row>
    <row r="179" spans="2:26" s="33" customFormat="1" ht="15" customHeight="1" x14ac:dyDescent="0.4">
      <c r="B179" s="38" t="s">
        <v>219</v>
      </c>
      <c r="C179" s="6" t="s">
        <v>162</v>
      </c>
      <c r="D179" s="6"/>
      <c r="E179" s="36">
        <v>7</v>
      </c>
      <c r="F179" s="212">
        <v>71700</v>
      </c>
      <c r="G179" s="195">
        <v>43124</v>
      </c>
      <c r="H179" s="8"/>
      <c r="I179" s="212">
        <v>77300</v>
      </c>
      <c r="J179" s="8">
        <v>43150</v>
      </c>
      <c r="K179" s="7">
        <f>ROUNDDOWN(E179*F179*0.0015,-1)</f>
        <v>750</v>
      </c>
      <c r="L179" s="7">
        <f>ROUNDDOWN(I179*E179*0.0015,-1)</f>
        <v>810</v>
      </c>
      <c r="M179" s="196">
        <f>I179*E179*0.003</f>
        <v>1623.3</v>
      </c>
      <c r="N179" s="36"/>
      <c r="O179" s="191">
        <f t="shared" si="68"/>
        <v>27</v>
      </c>
      <c r="P179" s="36">
        <f>F179*E179</f>
        <v>501900</v>
      </c>
      <c r="Q179" s="36">
        <f>I179*E179</f>
        <v>541100</v>
      </c>
      <c r="R179" s="7">
        <f>N179-K179-L179-M179</f>
        <v>-3183.3</v>
      </c>
      <c r="S179" s="227">
        <f t="shared" si="69"/>
        <v>36016.699999999997</v>
      </c>
      <c r="T179" s="248">
        <f t="shared" si="70"/>
        <v>7.1760709304642359E-2</v>
      </c>
      <c r="U179" s="193">
        <f>T179*365/O179</f>
        <v>0.97009847763683199</v>
      </c>
      <c r="V179" s="6"/>
    </row>
    <row r="180" spans="2:26" s="33" customFormat="1" ht="15" customHeight="1" x14ac:dyDescent="0.4">
      <c r="B180" s="198" t="s">
        <v>219</v>
      </c>
      <c r="C180" s="6" t="s">
        <v>162</v>
      </c>
      <c r="D180" s="15"/>
      <c r="E180" s="36">
        <v>20</v>
      </c>
      <c r="F180" s="212">
        <v>65800</v>
      </c>
      <c r="G180" s="195">
        <v>43616</v>
      </c>
      <c r="H180" s="8"/>
      <c r="I180" s="212">
        <v>76200</v>
      </c>
      <c r="J180" s="8">
        <v>43669</v>
      </c>
      <c r="K180" s="7">
        <f>ROUNDDOWN(E180*F180*0.0015,-1)</f>
        <v>1970</v>
      </c>
      <c r="L180" s="7">
        <f>ROUNDDOWN(I180*E180*0.0015,-1)</f>
        <v>2280</v>
      </c>
      <c r="M180" s="196">
        <f>ROUNDDOWN(I180*E180*0.0025, )</f>
        <v>3810</v>
      </c>
      <c r="N180" s="36"/>
      <c r="O180" s="191">
        <f t="shared" si="68"/>
        <v>54</v>
      </c>
      <c r="P180" s="36">
        <f>F180*E180</f>
        <v>1316000</v>
      </c>
      <c r="Q180" s="36">
        <f>I180*E180</f>
        <v>1524000</v>
      </c>
      <c r="R180" s="7">
        <f>N180-K180-L180-M180</f>
        <v>-8060</v>
      </c>
      <c r="S180" s="227">
        <f t="shared" si="69"/>
        <v>199940</v>
      </c>
      <c r="T180" s="248">
        <f t="shared" si="70"/>
        <v>0.15193009118541034</v>
      </c>
      <c r="U180" s="193">
        <f>T180*365/O180</f>
        <v>1.0269348756050884</v>
      </c>
      <c r="V180" s="6"/>
    </row>
    <row r="181" spans="2:26" s="33" customFormat="1" ht="15" customHeight="1" x14ac:dyDescent="0.4">
      <c r="B181" s="198" t="s">
        <v>219</v>
      </c>
      <c r="C181" s="6" t="s">
        <v>162</v>
      </c>
      <c r="D181" s="15"/>
      <c r="E181" s="36">
        <v>10</v>
      </c>
      <c r="F181" s="212">
        <v>64000</v>
      </c>
      <c r="G181" s="195">
        <v>43629</v>
      </c>
      <c r="H181" s="8"/>
      <c r="I181" s="212">
        <v>76200</v>
      </c>
      <c r="J181" s="8">
        <v>43669</v>
      </c>
      <c r="K181" s="7">
        <f>ROUNDDOWN(E181*F181*0.0015,-1)</f>
        <v>960</v>
      </c>
      <c r="L181" s="7">
        <f>ROUNDDOWN(I181*E181*0.0015,-1)</f>
        <v>1140</v>
      </c>
      <c r="M181" s="196">
        <f>ROUNDDOWN(I181*E181*0.0025, )</f>
        <v>1905</v>
      </c>
      <c r="N181" s="36"/>
      <c r="O181" s="191">
        <f t="shared" si="68"/>
        <v>41</v>
      </c>
      <c r="P181" s="36">
        <f>F181*E181</f>
        <v>640000</v>
      </c>
      <c r="Q181" s="36">
        <f>I181*E181</f>
        <v>762000</v>
      </c>
      <c r="R181" s="7">
        <f>N181-K181-L181-M181</f>
        <v>-4005</v>
      </c>
      <c r="S181" s="227">
        <f t="shared" si="69"/>
        <v>117995</v>
      </c>
      <c r="T181" s="248">
        <f t="shared" si="70"/>
        <v>0.1843671875</v>
      </c>
      <c r="U181" s="193">
        <f>T181*365/O181</f>
        <v>1.6413176448170732</v>
      </c>
      <c r="V181" s="6"/>
    </row>
    <row r="182" spans="2:26" s="33" customFormat="1" ht="15" customHeight="1" x14ac:dyDescent="0.4">
      <c r="B182" s="38" t="s">
        <v>219</v>
      </c>
      <c r="C182" s="6" t="s">
        <v>160</v>
      </c>
      <c r="D182" s="6">
        <f t="shared" ref="D182:D187" si="78">IF(OR($C182="신한",$C182="OTC",$C182="무상증자(신한)",$C182="토스",$C182="R토스"),1,"확인")</f>
        <v>1</v>
      </c>
      <c r="E182" s="34">
        <v>8</v>
      </c>
      <c r="F182" s="212">
        <v>99500</v>
      </c>
      <c r="G182" s="195">
        <v>44160</v>
      </c>
      <c r="H182" s="8"/>
      <c r="I182" s="212">
        <v>130000</v>
      </c>
      <c r="J182" s="8">
        <v>44208</v>
      </c>
      <c r="K182" s="23">
        <f t="shared" ref="K182:K187" si="79">IF($C182="OTC",ROUNDDOWN($E182*$F182*0.000909187,-1),(IF($C182="신한",ROUNDDOWN($E182*$F182*0.000036396,-1),(IF($C182="토스",$E182*$F182*0.00015,(IF($C182="US",(IF($E182*$F182*0.0025&gt;0.01,$E182*$F182*0.0025,0.01)),IF($C182="JP",(IF($E182*$F182*0.0025&gt;1000,$E182*$F182*0.0025,1000)),(IF($C182="R토스",0,IF($C182="무상증자(신한)",0,"")))))))))))</f>
        <v>20</v>
      </c>
      <c r="L182" s="23">
        <f t="shared" ref="L182:L187" si="80">IF($C182="OTC",ROUNDDOWN($I182*$E182*0.000909187,-1),(IF($C182="신한",ROUNDDOWN($I182*$E182*0.000036396,-1),(IF($C182="토스",$I182*$E182*0.00015,(IF($C182="US",(IF($I182*$E182*0.0025&gt;0.01,$I182*$E182*0.0025,0.01)),(IF($C182="JP",(IF($I182*$E182*0.0025&gt;1000,$I182*$E182*0.0025,1000)),(IF($C182="R토스",$I182*$E182*0.00015,(IF($C182="무상증자(신한)",ROUNDDOWN($I182*$E182*0.000036396,-1),"")))))))))))))</f>
        <v>30</v>
      </c>
      <c r="M182" s="206">
        <f>Q182*0.0023</f>
        <v>2392</v>
      </c>
      <c r="N182" s="34">
        <f>1170*E182*(1-0.154)</f>
        <v>7918.5599999999995</v>
      </c>
      <c r="O182" s="209">
        <f t="shared" si="68"/>
        <v>49</v>
      </c>
      <c r="P182" s="34">
        <f t="shared" ref="P182:P187" si="81">$E182*$F182*$D182</f>
        <v>796000</v>
      </c>
      <c r="Q182" s="34">
        <f t="shared" ref="Q182:Q187" si="82">$E182*$I182*$D182</f>
        <v>1040000</v>
      </c>
      <c r="R182" s="7">
        <f t="shared" ref="R182:R187" si="83">($N182-$K182-$L182-$M182)*$D182</f>
        <v>5476.5599999999995</v>
      </c>
      <c r="S182" s="227">
        <f t="shared" si="69"/>
        <v>249476.56</v>
      </c>
      <c r="T182" s="249">
        <f t="shared" si="70"/>
        <v>0.3134127638190955</v>
      </c>
      <c r="U182" s="38"/>
    </row>
    <row r="183" spans="2:26" s="33" customFormat="1" ht="15" customHeight="1" x14ac:dyDescent="0.4">
      <c r="B183" s="38" t="s">
        <v>219</v>
      </c>
      <c r="C183" s="6" t="s">
        <v>160</v>
      </c>
      <c r="D183" s="6">
        <f t="shared" si="78"/>
        <v>1</v>
      </c>
      <c r="E183" s="34">
        <v>1</v>
      </c>
      <c r="F183" s="212">
        <v>520000</v>
      </c>
      <c r="G183" s="195">
        <v>45958</v>
      </c>
      <c r="H183" s="6"/>
      <c r="I183" s="212">
        <v>911000</v>
      </c>
      <c r="J183" s="8">
        <v>46094</v>
      </c>
      <c r="K183" s="23">
        <f t="shared" si="79"/>
        <v>10</v>
      </c>
      <c r="L183" s="23">
        <f t="shared" si="80"/>
        <v>30</v>
      </c>
      <c r="M183" s="206">
        <f>Q183*0.002</f>
        <v>1822</v>
      </c>
      <c r="N183" s="34">
        <f>375*E183</f>
        <v>375</v>
      </c>
      <c r="O183" s="209">
        <f t="shared" si="68"/>
        <v>137</v>
      </c>
      <c r="P183" s="34">
        <f t="shared" si="81"/>
        <v>520000</v>
      </c>
      <c r="Q183" s="34">
        <f t="shared" si="82"/>
        <v>911000</v>
      </c>
      <c r="R183" s="7">
        <f t="shared" si="83"/>
        <v>-1487</v>
      </c>
      <c r="S183" s="227">
        <f t="shared" si="69"/>
        <v>389513</v>
      </c>
      <c r="T183" s="249">
        <f t="shared" si="70"/>
        <v>0.74906346153846148</v>
      </c>
    </row>
    <row r="184" spans="2:26" s="33" customFormat="1" ht="15" customHeight="1" x14ac:dyDescent="0.4">
      <c r="B184" s="38" t="s">
        <v>219</v>
      </c>
      <c r="C184" s="6" t="s">
        <v>160</v>
      </c>
      <c r="D184" s="6">
        <f t="shared" si="78"/>
        <v>1</v>
      </c>
      <c r="E184" s="34">
        <v>1</v>
      </c>
      <c r="F184" s="212">
        <v>510000</v>
      </c>
      <c r="G184" s="195">
        <v>45958</v>
      </c>
      <c r="H184" s="6"/>
      <c r="I184" s="212">
        <v>911000</v>
      </c>
      <c r="J184" s="8">
        <v>46094</v>
      </c>
      <c r="K184" s="23">
        <f t="shared" si="79"/>
        <v>10</v>
      </c>
      <c r="L184" s="23">
        <f t="shared" si="80"/>
        <v>30</v>
      </c>
      <c r="M184" s="206">
        <f>Q184*0.002</f>
        <v>1822</v>
      </c>
      <c r="N184" s="34">
        <f>375*E184</f>
        <v>375</v>
      </c>
      <c r="O184" s="209">
        <f t="shared" si="68"/>
        <v>137</v>
      </c>
      <c r="P184" s="34">
        <f t="shared" si="81"/>
        <v>510000</v>
      </c>
      <c r="Q184" s="34">
        <f t="shared" si="82"/>
        <v>911000</v>
      </c>
      <c r="R184" s="7">
        <f t="shared" si="83"/>
        <v>-1487</v>
      </c>
      <c r="S184" s="227">
        <f t="shared" si="69"/>
        <v>399513</v>
      </c>
      <c r="T184" s="249">
        <f t="shared" si="70"/>
        <v>0.78335882352941177</v>
      </c>
    </row>
    <row r="185" spans="2:26" s="33" customFormat="1" ht="15" customHeight="1" x14ac:dyDescent="0.4">
      <c r="B185" s="38" t="s">
        <v>219</v>
      </c>
      <c r="C185" s="6" t="s">
        <v>160</v>
      </c>
      <c r="D185" s="6">
        <f t="shared" si="78"/>
        <v>1</v>
      </c>
      <c r="E185" s="34">
        <v>2</v>
      </c>
      <c r="F185" s="212">
        <v>518000</v>
      </c>
      <c r="G185" s="195">
        <v>45958</v>
      </c>
      <c r="H185" s="6"/>
      <c r="I185" s="212">
        <v>911000</v>
      </c>
      <c r="J185" s="8">
        <v>46094</v>
      </c>
      <c r="K185" s="23">
        <f t="shared" si="79"/>
        <v>30</v>
      </c>
      <c r="L185" s="23">
        <f t="shared" si="80"/>
        <v>60</v>
      </c>
      <c r="M185" s="206">
        <f>Q185*0.002</f>
        <v>3644</v>
      </c>
      <c r="N185" s="34">
        <f>375*E185</f>
        <v>750</v>
      </c>
      <c r="O185" s="209">
        <f t="shared" si="68"/>
        <v>137</v>
      </c>
      <c r="P185" s="34">
        <f t="shared" si="81"/>
        <v>1036000</v>
      </c>
      <c r="Q185" s="34">
        <f t="shared" si="82"/>
        <v>1822000</v>
      </c>
      <c r="R185" s="7">
        <f t="shared" si="83"/>
        <v>-2984</v>
      </c>
      <c r="S185" s="227">
        <f t="shared" si="69"/>
        <v>783016</v>
      </c>
      <c r="T185" s="249">
        <f t="shared" si="70"/>
        <v>0.75580694980694985</v>
      </c>
    </row>
    <row r="186" spans="2:26" s="33" customFormat="1" ht="15" customHeight="1" x14ac:dyDescent="0.4">
      <c r="B186" s="38" t="s">
        <v>219</v>
      </c>
      <c r="C186" s="6" t="s">
        <v>160</v>
      </c>
      <c r="D186" s="6">
        <f t="shared" si="78"/>
        <v>1</v>
      </c>
      <c r="E186" s="34">
        <v>2</v>
      </c>
      <c r="F186" s="212">
        <v>883000</v>
      </c>
      <c r="G186" s="195">
        <v>46055</v>
      </c>
      <c r="H186" s="6"/>
      <c r="I186" s="212">
        <v>911000</v>
      </c>
      <c r="J186" s="8">
        <v>46094</v>
      </c>
      <c r="K186" s="23">
        <f t="shared" si="79"/>
        <v>60</v>
      </c>
      <c r="L186" s="23">
        <f t="shared" si="80"/>
        <v>60</v>
      </c>
      <c r="M186" s="206">
        <f>Q186*0.002</f>
        <v>3644</v>
      </c>
      <c r="N186" s="34"/>
      <c r="O186" s="209">
        <f t="shared" si="68"/>
        <v>40</v>
      </c>
      <c r="P186" s="34">
        <f t="shared" si="81"/>
        <v>1766000</v>
      </c>
      <c r="Q186" s="34">
        <f t="shared" si="82"/>
        <v>1822000</v>
      </c>
      <c r="R186" s="7">
        <f t="shared" si="83"/>
        <v>-3764</v>
      </c>
      <c r="S186" s="227">
        <f t="shared" si="69"/>
        <v>52236</v>
      </c>
      <c r="T186" s="249">
        <f t="shared" si="70"/>
        <v>2.9578708946772368E-2</v>
      </c>
    </row>
    <row r="187" spans="2:26" s="33" customFormat="1" ht="15" customHeight="1" x14ac:dyDescent="0.4">
      <c r="B187" s="38" t="s">
        <v>219</v>
      </c>
      <c r="C187" s="6" t="s">
        <v>160</v>
      </c>
      <c r="D187" s="6">
        <f t="shared" si="78"/>
        <v>1</v>
      </c>
      <c r="E187" s="34">
        <v>2</v>
      </c>
      <c r="F187" s="212">
        <v>798000</v>
      </c>
      <c r="G187" s="195">
        <v>46059</v>
      </c>
      <c r="H187" s="6"/>
      <c r="I187" s="212">
        <v>911000</v>
      </c>
      <c r="J187" s="8">
        <v>46094</v>
      </c>
      <c r="K187" s="23">
        <f t="shared" si="79"/>
        <v>50</v>
      </c>
      <c r="L187" s="23">
        <f t="shared" si="80"/>
        <v>60</v>
      </c>
      <c r="M187" s="206">
        <f>Q187*0.002</f>
        <v>3644</v>
      </c>
      <c r="N187" s="34"/>
      <c r="O187" s="209">
        <f t="shared" si="68"/>
        <v>36</v>
      </c>
      <c r="P187" s="34">
        <f t="shared" si="81"/>
        <v>1596000</v>
      </c>
      <c r="Q187" s="34">
        <f t="shared" si="82"/>
        <v>1822000</v>
      </c>
      <c r="R187" s="7">
        <f t="shared" si="83"/>
        <v>-3754</v>
      </c>
      <c r="S187" s="227">
        <f t="shared" si="69"/>
        <v>222246</v>
      </c>
      <c r="T187" s="249">
        <f t="shared" si="70"/>
        <v>0.13925187969924813</v>
      </c>
    </row>
    <row r="188" spans="2:26" s="33" customFormat="1" ht="15" customHeight="1" x14ac:dyDescent="0.4">
      <c r="B188" s="38" t="s">
        <v>220</v>
      </c>
      <c r="C188" s="6" t="s">
        <v>187</v>
      </c>
      <c r="D188" s="6"/>
      <c r="E188" s="36">
        <v>2</v>
      </c>
      <c r="F188" s="212">
        <v>65000</v>
      </c>
      <c r="G188" s="195">
        <v>39744</v>
      </c>
      <c r="H188" s="8"/>
      <c r="I188" s="212">
        <v>70000</v>
      </c>
      <c r="J188" s="8">
        <v>40450</v>
      </c>
      <c r="K188" s="7">
        <v>30</v>
      </c>
      <c r="L188" s="7">
        <v>40</v>
      </c>
      <c r="M188" s="196"/>
      <c r="N188" s="36">
        <f>3000+1200+1500+600</f>
        <v>6300</v>
      </c>
      <c r="O188" s="191">
        <f t="shared" si="68"/>
        <v>707</v>
      </c>
      <c r="P188" s="36">
        <f t="shared" ref="P188:P198" si="84">F188*E188</f>
        <v>130000</v>
      </c>
      <c r="Q188" s="36">
        <f t="shared" ref="Q188:Q198" si="85">I188*E188</f>
        <v>140000</v>
      </c>
      <c r="R188" s="7">
        <f t="shared" ref="R188:R198" si="86">N188-K188-L188-M188</f>
        <v>6230</v>
      </c>
      <c r="S188" s="227">
        <f t="shared" si="69"/>
        <v>16230</v>
      </c>
      <c r="T188" s="248">
        <f t="shared" si="70"/>
        <v>0.12484615384615384</v>
      </c>
      <c r="U188" s="193">
        <f t="shared" ref="U188:U198" si="87">T188*365/O188</f>
        <v>6.4453813513219452E-2</v>
      </c>
      <c r="V188" s="6"/>
    </row>
    <row r="189" spans="2:26" s="33" customFormat="1" ht="15" customHeight="1" x14ac:dyDescent="0.4">
      <c r="B189" s="38" t="s">
        <v>220</v>
      </c>
      <c r="C189" s="6" t="s">
        <v>187</v>
      </c>
      <c r="D189" s="6"/>
      <c r="E189" s="36">
        <v>5</v>
      </c>
      <c r="F189" s="212">
        <v>73000</v>
      </c>
      <c r="G189" s="195">
        <v>41604</v>
      </c>
      <c r="H189" s="8"/>
      <c r="I189" s="212">
        <v>45000</v>
      </c>
      <c r="J189" s="8">
        <v>41969</v>
      </c>
      <c r="K189" s="7">
        <f>ROUNDDOWN(E189*F189*0.00015,-1)</f>
        <v>50</v>
      </c>
      <c r="L189" s="7">
        <f>ROUNDDOWN(I189*E189*0.00015,-1)</f>
        <v>30</v>
      </c>
      <c r="M189" s="196">
        <f t="shared" ref="M189:M195" si="88">I189*E189*0.003</f>
        <v>675</v>
      </c>
      <c r="N189" s="36"/>
      <c r="O189" s="191">
        <f t="shared" si="68"/>
        <v>366</v>
      </c>
      <c r="P189" s="36">
        <f t="shared" si="84"/>
        <v>365000</v>
      </c>
      <c r="Q189" s="36">
        <f t="shared" si="85"/>
        <v>225000</v>
      </c>
      <c r="R189" s="7">
        <f t="shared" si="86"/>
        <v>-755</v>
      </c>
      <c r="S189" s="227">
        <f t="shared" si="69"/>
        <v>-140755</v>
      </c>
      <c r="T189" s="248">
        <f t="shared" si="70"/>
        <v>-0.38563013698630139</v>
      </c>
      <c r="U189" s="193">
        <f t="shared" si="87"/>
        <v>-0.38457650273224042</v>
      </c>
      <c r="V189" s="6"/>
    </row>
    <row r="190" spans="2:26" s="33" customFormat="1" ht="15" customHeight="1" x14ac:dyDescent="0.4">
      <c r="B190" s="38" t="s">
        <v>221</v>
      </c>
      <c r="C190" s="6" t="s">
        <v>162</v>
      </c>
      <c r="D190" s="6"/>
      <c r="E190" s="33">
        <v>50</v>
      </c>
      <c r="F190" s="212">
        <v>9540</v>
      </c>
      <c r="G190" s="195">
        <v>42845</v>
      </c>
      <c r="H190" s="8"/>
      <c r="I190" s="212">
        <v>10735</v>
      </c>
      <c r="J190" s="8">
        <v>42928</v>
      </c>
      <c r="K190" s="7">
        <f t="shared" ref="K190:K198" si="89">ROUNDDOWN(E190*F190*0.0015,-1)</f>
        <v>710</v>
      </c>
      <c r="L190" s="7">
        <f t="shared" ref="L190:L198" si="90">ROUNDDOWN(I190*E190*0.0015,-1)</f>
        <v>800</v>
      </c>
      <c r="M190" s="196">
        <f t="shared" si="88"/>
        <v>1610.25</v>
      </c>
      <c r="N190" s="36">
        <f>8250-1180</f>
        <v>7070</v>
      </c>
      <c r="O190" s="191">
        <f t="shared" si="68"/>
        <v>84</v>
      </c>
      <c r="P190" s="36">
        <f t="shared" si="84"/>
        <v>477000</v>
      </c>
      <c r="Q190" s="36">
        <f t="shared" si="85"/>
        <v>536750</v>
      </c>
      <c r="R190" s="7">
        <f t="shared" si="86"/>
        <v>3949.75</v>
      </c>
      <c r="S190" s="227">
        <f t="shared" si="69"/>
        <v>63699.75</v>
      </c>
      <c r="T190" s="248">
        <f t="shared" si="70"/>
        <v>0.13354245283018867</v>
      </c>
      <c r="U190" s="193">
        <f t="shared" si="87"/>
        <v>0.58027375336927223</v>
      </c>
      <c r="V190" s="6"/>
    </row>
    <row r="191" spans="2:26" ht="15" customHeight="1" x14ac:dyDescent="0.4">
      <c r="B191" s="38" t="s">
        <v>222</v>
      </c>
      <c r="C191" s="6" t="s">
        <v>162</v>
      </c>
      <c r="D191" s="6"/>
      <c r="E191" s="33">
        <v>100</v>
      </c>
      <c r="F191" s="212">
        <v>5380</v>
      </c>
      <c r="G191" s="195">
        <v>43004</v>
      </c>
      <c r="H191" s="8"/>
      <c r="I191" s="212">
        <v>6050</v>
      </c>
      <c r="J191" s="8">
        <v>43041</v>
      </c>
      <c r="K191" s="7">
        <f t="shared" si="89"/>
        <v>800</v>
      </c>
      <c r="L191" s="7">
        <f t="shared" si="90"/>
        <v>900</v>
      </c>
      <c r="M191" s="196">
        <f t="shared" si="88"/>
        <v>1815</v>
      </c>
      <c r="N191" s="36"/>
      <c r="O191" s="191">
        <f t="shared" si="68"/>
        <v>38</v>
      </c>
      <c r="P191" s="36">
        <f t="shared" si="84"/>
        <v>538000</v>
      </c>
      <c r="Q191" s="36">
        <f t="shared" si="85"/>
        <v>605000</v>
      </c>
      <c r="R191" s="7">
        <f t="shared" si="86"/>
        <v>-3515</v>
      </c>
      <c r="S191" s="227">
        <f t="shared" si="69"/>
        <v>63485</v>
      </c>
      <c r="T191" s="248">
        <f t="shared" si="70"/>
        <v>0.11800185873605948</v>
      </c>
      <c r="U191" s="193">
        <f t="shared" si="87"/>
        <v>1.1334389062805712</v>
      </c>
      <c r="V191" s="6"/>
      <c r="W191" s="2"/>
      <c r="X191" s="2"/>
      <c r="Y191" s="2"/>
      <c r="Z191" s="7"/>
    </row>
    <row r="192" spans="2:26" ht="15" customHeight="1" x14ac:dyDescent="0.4">
      <c r="B192" s="38" t="s">
        <v>223</v>
      </c>
      <c r="C192" s="6" t="s">
        <v>162</v>
      </c>
      <c r="D192" s="6"/>
      <c r="E192" s="33">
        <v>100</v>
      </c>
      <c r="F192" s="212">
        <v>9615</v>
      </c>
      <c r="G192" s="195">
        <v>43042</v>
      </c>
      <c r="H192" s="8"/>
      <c r="I192" s="212">
        <v>10400</v>
      </c>
      <c r="J192" s="8">
        <v>43102</v>
      </c>
      <c r="K192" s="7">
        <f t="shared" si="89"/>
        <v>1440</v>
      </c>
      <c r="L192" s="7">
        <f t="shared" si="90"/>
        <v>1560</v>
      </c>
      <c r="M192" s="196">
        <f t="shared" si="88"/>
        <v>3120</v>
      </c>
      <c r="N192" s="36"/>
      <c r="O192" s="191">
        <f t="shared" si="68"/>
        <v>61</v>
      </c>
      <c r="P192" s="36">
        <f t="shared" si="84"/>
        <v>961500</v>
      </c>
      <c r="Q192" s="36">
        <f t="shared" si="85"/>
        <v>1040000</v>
      </c>
      <c r="R192" s="7">
        <f t="shared" si="86"/>
        <v>-6120</v>
      </c>
      <c r="S192" s="227">
        <f t="shared" si="69"/>
        <v>72380</v>
      </c>
      <c r="T192" s="248">
        <f t="shared" si="70"/>
        <v>7.5278211128445141E-2</v>
      </c>
      <c r="U192" s="193">
        <f t="shared" si="87"/>
        <v>0.45043519773577834</v>
      </c>
      <c r="V192" s="6"/>
      <c r="W192" s="2"/>
      <c r="X192" s="2"/>
      <c r="Y192" s="2"/>
      <c r="Z192" s="7"/>
    </row>
    <row r="193" spans="2:26" ht="15" customHeight="1" x14ac:dyDescent="0.4">
      <c r="B193" s="38" t="s">
        <v>223</v>
      </c>
      <c r="C193" s="6" t="s">
        <v>162</v>
      </c>
      <c r="D193" s="6"/>
      <c r="E193" s="33">
        <v>100</v>
      </c>
      <c r="F193" s="212">
        <v>9580</v>
      </c>
      <c r="G193" s="195">
        <v>43042</v>
      </c>
      <c r="H193" s="8"/>
      <c r="I193" s="212">
        <v>10400</v>
      </c>
      <c r="J193" s="8">
        <v>43102</v>
      </c>
      <c r="K193" s="7">
        <f t="shared" si="89"/>
        <v>1430</v>
      </c>
      <c r="L193" s="7">
        <f t="shared" si="90"/>
        <v>1560</v>
      </c>
      <c r="M193" s="196">
        <f t="shared" si="88"/>
        <v>3120</v>
      </c>
      <c r="N193" s="36"/>
      <c r="O193" s="191">
        <f t="shared" si="68"/>
        <v>61</v>
      </c>
      <c r="P193" s="36">
        <f t="shared" si="84"/>
        <v>958000</v>
      </c>
      <c r="Q193" s="36">
        <f t="shared" si="85"/>
        <v>1040000</v>
      </c>
      <c r="R193" s="7">
        <f t="shared" si="86"/>
        <v>-6110</v>
      </c>
      <c r="S193" s="227">
        <f t="shared" si="69"/>
        <v>75890</v>
      </c>
      <c r="T193" s="248">
        <f t="shared" si="70"/>
        <v>7.9217118997912311E-2</v>
      </c>
      <c r="U193" s="193">
        <f t="shared" si="87"/>
        <v>0.47400407269242611</v>
      </c>
      <c r="V193" s="6"/>
      <c r="W193" s="2"/>
      <c r="X193" s="2"/>
      <c r="Y193" s="2"/>
      <c r="Z193" s="7"/>
    </row>
    <row r="194" spans="2:26" ht="15" customHeight="1" x14ac:dyDescent="0.4">
      <c r="B194" s="38" t="s">
        <v>224</v>
      </c>
      <c r="C194" s="6" t="s">
        <v>162</v>
      </c>
      <c r="D194" s="6"/>
      <c r="E194" s="33">
        <v>200</v>
      </c>
      <c r="F194" s="212">
        <v>13940</v>
      </c>
      <c r="G194" s="195">
        <v>42972</v>
      </c>
      <c r="H194" s="8"/>
      <c r="I194" s="212">
        <v>15550</v>
      </c>
      <c r="J194" s="8">
        <v>43040</v>
      </c>
      <c r="K194" s="7">
        <f t="shared" si="89"/>
        <v>4180</v>
      </c>
      <c r="L194" s="7">
        <f t="shared" si="90"/>
        <v>4660</v>
      </c>
      <c r="M194" s="196">
        <f t="shared" si="88"/>
        <v>9330</v>
      </c>
      <c r="N194" s="36"/>
      <c r="O194" s="191">
        <f t="shared" si="68"/>
        <v>69</v>
      </c>
      <c r="P194" s="36">
        <f t="shared" si="84"/>
        <v>2788000</v>
      </c>
      <c r="Q194" s="36">
        <f t="shared" si="85"/>
        <v>3110000</v>
      </c>
      <c r="R194" s="7">
        <f t="shared" si="86"/>
        <v>-18170</v>
      </c>
      <c r="S194" s="227">
        <f t="shared" si="69"/>
        <v>303830</v>
      </c>
      <c r="T194" s="248">
        <f t="shared" si="70"/>
        <v>0.10897776183644189</v>
      </c>
      <c r="U194" s="193">
        <f t="shared" si="87"/>
        <v>0.57647656623625054</v>
      </c>
      <c r="V194" s="6"/>
      <c r="W194" s="2"/>
      <c r="X194" s="2"/>
      <c r="Y194" s="2"/>
      <c r="Z194" s="7"/>
    </row>
    <row r="195" spans="2:26" ht="15" customHeight="1" x14ac:dyDescent="0.4">
      <c r="B195" s="38" t="s">
        <v>224</v>
      </c>
      <c r="C195" s="6" t="s">
        <v>162</v>
      </c>
      <c r="D195" s="6"/>
      <c r="E195" s="33">
        <v>100</v>
      </c>
      <c r="F195" s="212">
        <v>13920</v>
      </c>
      <c r="G195" s="195">
        <v>42972</v>
      </c>
      <c r="H195" s="8"/>
      <c r="I195" s="212">
        <v>15550</v>
      </c>
      <c r="J195" s="8">
        <v>43040</v>
      </c>
      <c r="K195" s="7">
        <f t="shared" si="89"/>
        <v>2080</v>
      </c>
      <c r="L195" s="7">
        <f t="shared" si="90"/>
        <v>2330</v>
      </c>
      <c r="M195" s="196">
        <f t="shared" si="88"/>
        <v>4665</v>
      </c>
      <c r="N195" s="36"/>
      <c r="O195" s="191">
        <f t="shared" si="68"/>
        <v>69</v>
      </c>
      <c r="P195" s="36">
        <f t="shared" si="84"/>
        <v>1392000</v>
      </c>
      <c r="Q195" s="36">
        <f t="shared" si="85"/>
        <v>1555000</v>
      </c>
      <c r="R195" s="7">
        <f t="shared" si="86"/>
        <v>-9075</v>
      </c>
      <c r="S195" s="227">
        <f t="shared" si="69"/>
        <v>153925</v>
      </c>
      <c r="T195" s="248">
        <f t="shared" si="70"/>
        <v>0.11057830459770115</v>
      </c>
      <c r="U195" s="193">
        <f t="shared" si="87"/>
        <v>0.58494320548059309</v>
      </c>
      <c r="V195" s="6"/>
      <c r="W195" s="2"/>
      <c r="X195" s="2"/>
      <c r="Y195" s="2"/>
      <c r="Z195" s="7"/>
    </row>
    <row r="196" spans="2:26" ht="15" customHeight="1" x14ac:dyDescent="0.4">
      <c r="B196" s="198" t="s">
        <v>225</v>
      </c>
      <c r="C196" s="6" t="s">
        <v>162</v>
      </c>
      <c r="D196" s="15"/>
      <c r="E196" s="36">
        <v>400</v>
      </c>
      <c r="F196" s="212">
        <v>4250</v>
      </c>
      <c r="G196" s="195">
        <v>43838</v>
      </c>
      <c r="H196" s="8"/>
      <c r="I196" s="212">
        <v>4560</v>
      </c>
      <c r="J196" s="8">
        <v>44167</v>
      </c>
      <c r="K196" s="7">
        <f t="shared" si="89"/>
        <v>2550</v>
      </c>
      <c r="L196" s="7">
        <f t="shared" si="90"/>
        <v>2730</v>
      </c>
      <c r="M196" s="196">
        <f>ROUNDDOWN(I196*E196*0.0025, )</f>
        <v>4560</v>
      </c>
      <c r="N196" s="36">
        <f>10000-1540</f>
        <v>8460</v>
      </c>
      <c r="O196" s="191">
        <f t="shared" si="68"/>
        <v>330</v>
      </c>
      <c r="P196" s="36">
        <f t="shared" si="84"/>
        <v>1700000</v>
      </c>
      <c r="Q196" s="36">
        <f t="shared" si="85"/>
        <v>1824000</v>
      </c>
      <c r="R196" s="7">
        <f t="shared" si="86"/>
        <v>-1380</v>
      </c>
      <c r="S196" s="227">
        <f t="shared" si="69"/>
        <v>122620</v>
      </c>
      <c r="T196" s="248">
        <f t="shared" si="70"/>
        <v>7.2129411764705886E-2</v>
      </c>
      <c r="U196" s="193">
        <f t="shared" si="87"/>
        <v>7.9779500891265606E-2</v>
      </c>
      <c r="V196" s="6"/>
      <c r="W196" s="2"/>
      <c r="X196" s="2"/>
      <c r="Y196" s="2"/>
      <c r="Z196" s="7"/>
    </row>
    <row r="197" spans="2:26" ht="15" customHeight="1" x14ac:dyDescent="0.4">
      <c r="B197" s="38" t="s">
        <v>226</v>
      </c>
      <c r="C197" s="6" t="s">
        <v>162</v>
      </c>
      <c r="D197" s="6"/>
      <c r="E197" s="36">
        <v>300</v>
      </c>
      <c r="F197" s="212">
        <v>3180</v>
      </c>
      <c r="G197" s="195">
        <v>42578</v>
      </c>
      <c r="H197" s="8"/>
      <c r="I197" s="212">
        <v>2805</v>
      </c>
      <c r="J197" s="8">
        <v>42648</v>
      </c>
      <c r="K197" s="7">
        <f t="shared" si="89"/>
        <v>1430</v>
      </c>
      <c r="L197" s="7">
        <f t="shared" si="90"/>
        <v>1260</v>
      </c>
      <c r="M197" s="196">
        <f>I197*E197*0.003</f>
        <v>2524.5</v>
      </c>
      <c r="N197" s="36"/>
      <c r="O197" s="191">
        <f t="shared" si="68"/>
        <v>71</v>
      </c>
      <c r="P197" s="36">
        <f t="shared" si="84"/>
        <v>954000</v>
      </c>
      <c r="Q197" s="36">
        <f t="shared" si="85"/>
        <v>841500</v>
      </c>
      <c r="R197" s="7">
        <f t="shared" si="86"/>
        <v>-5214.5</v>
      </c>
      <c r="S197" s="227">
        <f t="shared" si="69"/>
        <v>-117714.5</v>
      </c>
      <c r="T197" s="248">
        <f t="shared" si="70"/>
        <v>-0.12339046121593292</v>
      </c>
      <c r="U197" s="193">
        <f t="shared" si="87"/>
        <v>-0.63433124427909171</v>
      </c>
      <c r="V197" s="6"/>
      <c r="W197" s="2"/>
      <c r="X197" s="2"/>
      <c r="Y197" s="2"/>
      <c r="Z197" s="7"/>
    </row>
    <row r="198" spans="2:26" ht="15" customHeight="1" x14ac:dyDescent="0.4">
      <c r="B198" s="198" t="s">
        <v>227</v>
      </c>
      <c r="C198" s="6" t="s">
        <v>162</v>
      </c>
      <c r="D198" s="15"/>
      <c r="E198" s="36">
        <v>200</v>
      </c>
      <c r="F198" s="212">
        <v>10800</v>
      </c>
      <c r="G198" s="195">
        <v>43608</v>
      </c>
      <c r="H198" s="8"/>
      <c r="I198" s="212">
        <v>11500</v>
      </c>
      <c r="J198" s="8">
        <v>43615</v>
      </c>
      <c r="K198" s="7">
        <f t="shared" si="89"/>
        <v>3240</v>
      </c>
      <c r="L198" s="7">
        <f t="shared" si="90"/>
        <v>3450</v>
      </c>
      <c r="M198" s="196">
        <f>I198*E198*0.0025</f>
        <v>5750</v>
      </c>
      <c r="N198" s="36"/>
      <c r="O198" s="191">
        <f t="shared" si="68"/>
        <v>8</v>
      </c>
      <c r="P198" s="36">
        <f t="shared" si="84"/>
        <v>2160000</v>
      </c>
      <c r="Q198" s="36">
        <f t="shared" si="85"/>
        <v>2300000</v>
      </c>
      <c r="R198" s="7">
        <f t="shared" si="86"/>
        <v>-12440</v>
      </c>
      <c r="S198" s="227">
        <f t="shared" si="69"/>
        <v>127560</v>
      </c>
      <c r="T198" s="248">
        <f t="shared" si="70"/>
        <v>5.9055555555555556E-2</v>
      </c>
      <c r="U198" s="193">
        <f t="shared" si="87"/>
        <v>2.6944097222222223</v>
      </c>
      <c r="V198" s="6"/>
      <c r="W198" s="2"/>
      <c r="X198" s="2"/>
      <c r="Y198" s="2"/>
      <c r="Z198" s="7"/>
    </row>
    <row r="199" spans="2:26" ht="15" customHeight="1" x14ac:dyDescent="0.4">
      <c r="B199" s="38" t="s">
        <v>109</v>
      </c>
      <c r="C199" s="6" t="s">
        <v>160</v>
      </c>
      <c r="D199" s="6">
        <f t="shared" ref="D199:D227" si="91">IF(OR($C199="신한",$C199="OTC",$C199="무상증자(신한)",$C199="토스",$C199="R토스"),1,"확인")</f>
        <v>1</v>
      </c>
      <c r="E199" s="34">
        <v>40</v>
      </c>
      <c r="F199" s="212">
        <v>4105</v>
      </c>
      <c r="G199" s="195">
        <v>45796</v>
      </c>
      <c r="H199" s="8"/>
      <c r="I199" s="212">
        <v>5300</v>
      </c>
      <c r="J199" s="8">
        <v>45800</v>
      </c>
      <c r="K199" s="23">
        <f t="shared" ref="K199:K204" si="92">IF($C199="OTC",ROUNDDOWN($E199*$F199*0.000909187,-1),(IF($C199="신한",ROUNDDOWN($E199*$F199*0.000036396,-1),(IF($C199="토스",$E199*$F199*0.00015,(IF($C199="US",(IF($E199*$F199*0.0025&gt;0.01,$E199*$F199*0.0025,0.01)),IF($C199="JP",(IF($E199*$F199*0.0025&gt;1000,$E199*$F199*0.0025,1000)),(IF($C199="R토스",0,IF($C199="무상증자(신한)",0,"")))))))))))</f>
        <v>0</v>
      </c>
      <c r="L199" s="23">
        <f t="shared" ref="L199:L204" si="93">IF($C199="OTC",ROUNDDOWN($I199*$E199*0.000909187,-1),(IF($C199="신한",ROUNDDOWN($I199*$E199*0.000036396,-1),(IF($C199="토스",$I199*$E199*0.00015,(IF($C199="US",(IF($I199*$E199*0.0025&gt;0.01,$I199*$E199*0.0025,0.01)),(IF($C199="JP",(IF($I199*$E199*0.0025&gt;1000,$I199*$E199*0.0025,1000)),(IF($C199="R토스",$I199*$E199*0.00015,(IF($C199="무상증자(신한)",ROUNDDOWN($I199*$E199*0.000036396,-1),"")))))))))))))</f>
        <v>0</v>
      </c>
      <c r="M199" s="206">
        <f t="shared" ref="M199:M227" si="94">Q199*0.0015</f>
        <v>318</v>
      </c>
      <c r="N199" s="34"/>
      <c r="O199" s="209">
        <f t="shared" si="68"/>
        <v>5</v>
      </c>
      <c r="P199" s="34">
        <f t="shared" ref="P199:P227" si="95">$E199*$F199*$D199</f>
        <v>164200</v>
      </c>
      <c r="Q199" s="34">
        <f t="shared" ref="Q199:Q227" si="96">$E199*$I199*$D199</f>
        <v>212000</v>
      </c>
      <c r="R199" s="7">
        <f t="shared" ref="R199:R227" si="97">($N199-$K199-$L199-$M199)*$D199</f>
        <v>-318</v>
      </c>
      <c r="S199" s="227">
        <f t="shared" si="69"/>
        <v>47482</v>
      </c>
      <c r="T199" s="249">
        <f t="shared" si="70"/>
        <v>0.28917174177831911</v>
      </c>
      <c r="U199" s="38"/>
      <c r="V199" s="33"/>
      <c r="W199" s="2"/>
      <c r="X199" s="2"/>
      <c r="Y199" s="2"/>
      <c r="Z199" s="7"/>
    </row>
    <row r="200" spans="2:26" ht="15" customHeight="1" x14ac:dyDescent="0.4">
      <c r="B200" s="38" t="s">
        <v>109</v>
      </c>
      <c r="C200" s="6" t="s">
        <v>160</v>
      </c>
      <c r="D200" s="6">
        <f t="shared" si="91"/>
        <v>1</v>
      </c>
      <c r="E200" s="34">
        <v>20</v>
      </c>
      <c r="F200" s="212">
        <v>4150</v>
      </c>
      <c r="G200" s="195">
        <v>45797</v>
      </c>
      <c r="H200" s="8"/>
      <c r="I200" s="212">
        <v>5300</v>
      </c>
      <c r="J200" s="8">
        <v>45800</v>
      </c>
      <c r="K200" s="23">
        <f t="shared" si="92"/>
        <v>0</v>
      </c>
      <c r="L200" s="23">
        <f t="shared" si="93"/>
        <v>0</v>
      </c>
      <c r="M200" s="206">
        <f t="shared" si="94"/>
        <v>159</v>
      </c>
      <c r="N200" s="34"/>
      <c r="O200" s="209">
        <f t="shared" si="68"/>
        <v>4</v>
      </c>
      <c r="P200" s="34">
        <f t="shared" si="95"/>
        <v>83000</v>
      </c>
      <c r="Q200" s="34">
        <f t="shared" si="96"/>
        <v>106000</v>
      </c>
      <c r="R200" s="7">
        <f t="shared" si="97"/>
        <v>-159</v>
      </c>
      <c r="S200" s="227">
        <f t="shared" si="69"/>
        <v>22841</v>
      </c>
      <c r="T200" s="249">
        <f t="shared" si="70"/>
        <v>0.27519277108433737</v>
      </c>
      <c r="U200" s="38"/>
      <c r="V200" s="33"/>
      <c r="W200" s="2"/>
      <c r="X200" s="2"/>
      <c r="Y200" s="2"/>
      <c r="Z200" s="7"/>
    </row>
    <row r="201" spans="2:26" ht="15" customHeight="1" x14ac:dyDescent="0.4">
      <c r="B201" s="38" t="s">
        <v>109</v>
      </c>
      <c r="C201" s="6" t="s">
        <v>160</v>
      </c>
      <c r="D201" s="6">
        <f t="shared" si="91"/>
        <v>1</v>
      </c>
      <c r="E201" s="34">
        <v>250</v>
      </c>
      <c r="F201" s="212">
        <v>4400</v>
      </c>
      <c r="G201" s="195">
        <v>45798</v>
      </c>
      <c r="H201" s="8"/>
      <c r="I201" s="212">
        <v>5300</v>
      </c>
      <c r="J201" s="8">
        <v>45800</v>
      </c>
      <c r="K201" s="23">
        <f t="shared" si="92"/>
        <v>40</v>
      </c>
      <c r="L201" s="23">
        <f t="shared" si="93"/>
        <v>40</v>
      </c>
      <c r="M201" s="206">
        <f t="shared" si="94"/>
        <v>1987.5</v>
      </c>
      <c r="N201" s="34"/>
      <c r="O201" s="209">
        <f t="shared" si="68"/>
        <v>3</v>
      </c>
      <c r="P201" s="34">
        <f t="shared" si="95"/>
        <v>1100000</v>
      </c>
      <c r="Q201" s="34">
        <f t="shared" si="96"/>
        <v>1325000</v>
      </c>
      <c r="R201" s="7">
        <f t="shared" si="97"/>
        <v>-2067.5</v>
      </c>
      <c r="S201" s="227">
        <f t="shared" si="69"/>
        <v>222932.5</v>
      </c>
      <c r="T201" s="249">
        <f t="shared" si="70"/>
        <v>0.20266590909090909</v>
      </c>
      <c r="U201" s="38"/>
      <c r="V201" s="33"/>
      <c r="W201" s="2"/>
      <c r="X201" s="2"/>
      <c r="Y201" s="2"/>
      <c r="Z201" s="7"/>
    </row>
    <row r="202" spans="2:26" ht="15" customHeight="1" x14ac:dyDescent="0.4">
      <c r="B202" s="38" t="s">
        <v>109</v>
      </c>
      <c r="C202" s="6" t="s">
        <v>160</v>
      </c>
      <c r="D202" s="6">
        <f t="shared" si="91"/>
        <v>1</v>
      </c>
      <c r="E202" s="34">
        <v>100</v>
      </c>
      <c r="F202" s="212">
        <v>4385</v>
      </c>
      <c r="G202" s="195">
        <v>45798</v>
      </c>
      <c r="H202" s="8"/>
      <c r="I202" s="212">
        <v>5300</v>
      </c>
      <c r="J202" s="8">
        <v>45800</v>
      </c>
      <c r="K202" s="23">
        <f t="shared" si="92"/>
        <v>10</v>
      </c>
      <c r="L202" s="23">
        <f t="shared" si="93"/>
        <v>10</v>
      </c>
      <c r="M202" s="206">
        <f t="shared" si="94"/>
        <v>795</v>
      </c>
      <c r="N202" s="34"/>
      <c r="O202" s="209">
        <f t="shared" si="68"/>
        <v>3</v>
      </c>
      <c r="P202" s="34">
        <f t="shared" si="95"/>
        <v>438500</v>
      </c>
      <c r="Q202" s="34">
        <f t="shared" si="96"/>
        <v>530000</v>
      </c>
      <c r="R202" s="7">
        <f t="shared" si="97"/>
        <v>-815</v>
      </c>
      <c r="S202" s="227">
        <f t="shared" si="69"/>
        <v>90685</v>
      </c>
      <c r="T202" s="249">
        <f t="shared" si="70"/>
        <v>0.2068072976054732</v>
      </c>
      <c r="U202" s="38"/>
      <c r="V202" s="33"/>
      <c r="W202" s="2"/>
      <c r="X202" s="2"/>
      <c r="Y202" s="2"/>
      <c r="Z202" s="7"/>
    </row>
    <row r="203" spans="2:26" ht="15" customHeight="1" x14ac:dyDescent="0.4">
      <c r="B203" s="38" t="s">
        <v>109</v>
      </c>
      <c r="C203" s="6" t="s">
        <v>160</v>
      </c>
      <c r="D203" s="6">
        <f t="shared" si="91"/>
        <v>1</v>
      </c>
      <c r="E203" s="34">
        <v>250</v>
      </c>
      <c r="F203" s="212">
        <v>4300</v>
      </c>
      <c r="G203" s="195">
        <v>45799</v>
      </c>
      <c r="H203" s="8"/>
      <c r="I203" s="212">
        <v>5300</v>
      </c>
      <c r="J203" s="8">
        <v>45800</v>
      </c>
      <c r="K203" s="23">
        <f t="shared" si="92"/>
        <v>30</v>
      </c>
      <c r="L203" s="23">
        <f t="shared" si="93"/>
        <v>40</v>
      </c>
      <c r="M203" s="206">
        <f t="shared" si="94"/>
        <v>1987.5</v>
      </c>
      <c r="N203" s="34"/>
      <c r="O203" s="209">
        <f t="shared" si="68"/>
        <v>2</v>
      </c>
      <c r="P203" s="34">
        <f t="shared" si="95"/>
        <v>1075000</v>
      </c>
      <c r="Q203" s="34">
        <f t="shared" si="96"/>
        <v>1325000</v>
      </c>
      <c r="R203" s="7">
        <f t="shared" si="97"/>
        <v>-2057.5</v>
      </c>
      <c r="S203" s="227">
        <f t="shared" si="69"/>
        <v>247942.5</v>
      </c>
      <c r="T203" s="249">
        <f t="shared" si="70"/>
        <v>0.23064418604651163</v>
      </c>
      <c r="U203" s="38"/>
      <c r="V203" s="33"/>
      <c r="W203" s="2"/>
      <c r="X203" s="2"/>
      <c r="Y203" s="2"/>
      <c r="Z203" s="7"/>
    </row>
    <row r="204" spans="2:26" ht="15" customHeight="1" x14ac:dyDescent="0.4">
      <c r="B204" s="38" t="s">
        <v>109</v>
      </c>
      <c r="C204" s="6" t="s">
        <v>160</v>
      </c>
      <c r="D204" s="6">
        <f t="shared" si="91"/>
        <v>1</v>
      </c>
      <c r="E204" s="34">
        <v>200</v>
      </c>
      <c r="F204" s="212">
        <v>4200</v>
      </c>
      <c r="G204" s="195">
        <v>45799</v>
      </c>
      <c r="H204" s="8"/>
      <c r="I204" s="212">
        <v>5300</v>
      </c>
      <c r="J204" s="8">
        <v>45800</v>
      </c>
      <c r="K204" s="23">
        <f t="shared" si="92"/>
        <v>30</v>
      </c>
      <c r="L204" s="23">
        <f t="shared" si="93"/>
        <v>30</v>
      </c>
      <c r="M204" s="206">
        <f t="shared" si="94"/>
        <v>1590</v>
      </c>
      <c r="N204" s="34"/>
      <c r="O204" s="209">
        <f t="shared" si="68"/>
        <v>2</v>
      </c>
      <c r="P204" s="34">
        <f t="shared" si="95"/>
        <v>840000</v>
      </c>
      <c r="Q204" s="34">
        <f t="shared" si="96"/>
        <v>1060000</v>
      </c>
      <c r="R204" s="7">
        <f t="shared" si="97"/>
        <v>-1650</v>
      </c>
      <c r="S204" s="227">
        <f t="shared" si="69"/>
        <v>218350</v>
      </c>
      <c r="T204" s="249">
        <f t="shared" si="70"/>
        <v>0.25994047619047617</v>
      </c>
      <c r="U204" s="38"/>
      <c r="V204" s="33"/>
      <c r="W204" s="2"/>
      <c r="X204" s="2"/>
      <c r="Y204" s="2"/>
      <c r="Z204" s="7"/>
    </row>
    <row r="205" spans="2:26" ht="15" customHeight="1" x14ac:dyDescent="0.4">
      <c r="B205" s="38" t="s">
        <v>109</v>
      </c>
      <c r="C205" s="6" t="s">
        <v>160</v>
      </c>
      <c r="D205" s="6">
        <f t="shared" si="91"/>
        <v>1</v>
      </c>
      <c r="E205" s="34">
        <v>920</v>
      </c>
      <c r="F205" s="212">
        <v>4974.4560000000001</v>
      </c>
      <c r="G205" s="195">
        <v>45805</v>
      </c>
      <c r="H205" s="8"/>
      <c r="I205" s="212">
        <v>5230</v>
      </c>
      <c r="J205" s="8">
        <v>45806</v>
      </c>
      <c r="K205" s="23">
        <f>P205*0.05*O205/365+8620</f>
        <v>9873.8354849315074</v>
      </c>
      <c r="L205" s="23">
        <v>9100</v>
      </c>
      <c r="M205" s="206">
        <f t="shared" si="94"/>
        <v>7217.4000000000005</v>
      </c>
      <c r="N205" s="34"/>
      <c r="O205" s="209">
        <f t="shared" si="68"/>
        <v>2</v>
      </c>
      <c r="P205" s="34">
        <f t="shared" si="95"/>
        <v>4576499.5200000005</v>
      </c>
      <c r="Q205" s="34">
        <f t="shared" si="96"/>
        <v>4811600</v>
      </c>
      <c r="R205" s="7">
        <f t="shared" si="97"/>
        <v>-26191.235484931509</v>
      </c>
      <c r="S205" s="227">
        <f t="shared" si="69"/>
        <v>208909.24451506801</v>
      </c>
      <c r="T205" s="249">
        <f t="shared" si="70"/>
        <v>4.5648260991201416E-2</v>
      </c>
      <c r="U205" s="335"/>
      <c r="V205" s="33"/>
      <c r="W205" s="2"/>
      <c r="X205" s="2"/>
      <c r="Y205" s="2"/>
      <c r="Z205" s="7"/>
    </row>
    <row r="206" spans="2:26" s="33" customFormat="1" ht="15" customHeight="1" x14ac:dyDescent="0.4">
      <c r="B206" s="38" t="s">
        <v>109</v>
      </c>
      <c r="C206" s="6" t="s">
        <v>160</v>
      </c>
      <c r="D206" s="6">
        <f t="shared" si="91"/>
        <v>1</v>
      </c>
      <c r="E206" s="34">
        <v>450</v>
      </c>
      <c r="F206" s="212">
        <v>5136</v>
      </c>
      <c r="G206" s="195">
        <v>45806</v>
      </c>
      <c r="H206" s="8"/>
      <c r="I206" s="212">
        <v>5400</v>
      </c>
      <c r="J206" s="8">
        <v>45810</v>
      </c>
      <c r="K206" s="23">
        <f>P206*0.05*O206/365+4370</f>
        <v>5953.0136986301368</v>
      </c>
      <c r="L206" s="23">
        <v>4570</v>
      </c>
      <c r="M206" s="206">
        <f t="shared" si="94"/>
        <v>3645</v>
      </c>
      <c r="N206" s="34"/>
      <c r="O206" s="209">
        <f t="shared" si="68"/>
        <v>5</v>
      </c>
      <c r="P206" s="34">
        <f t="shared" si="95"/>
        <v>2311200</v>
      </c>
      <c r="Q206" s="34">
        <f t="shared" si="96"/>
        <v>2430000</v>
      </c>
      <c r="R206" s="7">
        <f t="shared" si="97"/>
        <v>-14168.013698630137</v>
      </c>
      <c r="S206" s="227">
        <f t="shared" si="69"/>
        <v>104631.98630136986</v>
      </c>
      <c r="T206" s="249">
        <f t="shared" si="70"/>
        <v>4.5271714391385366E-2</v>
      </c>
    </row>
    <row r="207" spans="2:26" s="33" customFormat="1" ht="15" customHeight="1" x14ac:dyDescent="0.4">
      <c r="B207" s="38" t="s">
        <v>109</v>
      </c>
      <c r="C207" s="6" t="s">
        <v>122</v>
      </c>
      <c r="D207" s="6">
        <f t="shared" si="91"/>
        <v>1</v>
      </c>
      <c r="E207" s="34">
        <v>100</v>
      </c>
      <c r="F207" s="212">
        <v>5330</v>
      </c>
      <c r="G207" s="195">
        <v>45807</v>
      </c>
      <c r="H207" s="33" t="s">
        <v>113</v>
      </c>
      <c r="I207" s="212">
        <v>6200</v>
      </c>
      <c r="J207" s="8">
        <v>45834</v>
      </c>
      <c r="K207" s="23">
        <f t="shared" ref="K207:K227" si="98">IF($C207="OTC",ROUNDDOWN($E207*$F207*0.000909187,-1),(IF($C207="신한",ROUNDDOWN($E207*$F207*0.000036396,-1),(IF($C207="토스",$E207*$F207*0.00015,(IF($C207="US",(IF($E207*$F207*0.0025&gt;0.01,$E207*$F207*0.0025,0.01)),IF($C207="JP",(IF($E207*$F207*0.0025&gt;1000,$E207*$F207*0.0025,1000)),(IF($C207="R토스",0,IF($C207="무상증자(신한)",0,"")))))))))))</f>
        <v>79.949999999999989</v>
      </c>
      <c r="L207" s="23"/>
      <c r="M207" s="206">
        <f t="shared" si="94"/>
        <v>930</v>
      </c>
      <c r="N207" s="34"/>
      <c r="O207" s="209">
        <f t="shared" si="68"/>
        <v>28</v>
      </c>
      <c r="P207" s="34">
        <f t="shared" si="95"/>
        <v>533000</v>
      </c>
      <c r="Q207" s="34">
        <f t="shared" si="96"/>
        <v>620000</v>
      </c>
      <c r="R207" s="7">
        <f t="shared" si="97"/>
        <v>-1009.95</v>
      </c>
      <c r="S207" s="227">
        <f t="shared" si="69"/>
        <v>85990.05</v>
      </c>
      <c r="T207" s="249">
        <f t="shared" si="70"/>
        <v>0.16133217636022515</v>
      </c>
      <c r="V207" s="36">
        <f t="shared" ref="V207:V225" si="99">+P207*0.05*O207/365</f>
        <v>2044.3835616438357</v>
      </c>
    </row>
    <row r="208" spans="2:26" s="33" customFormat="1" ht="15" customHeight="1" x14ac:dyDescent="0.4">
      <c r="B208" s="38" t="s">
        <v>109</v>
      </c>
      <c r="C208" s="6" t="s">
        <v>122</v>
      </c>
      <c r="D208" s="6">
        <f t="shared" si="91"/>
        <v>1</v>
      </c>
      <c r="E208" s="34">
        <v>100</v>
      </c>
      <c r="F208" s="212">
        <v>5290</v>
      </c>
      <c r="G208" s="195">
        <v>45807</v>
      </c>
      <c r="H208" s="33" t="s">
        <v>113</v>
      </c>
      <c r="I208" s="212">
        <v>6200</v>
      </c>
      <c r="J208" s="8">
        <v>45834</v>
      </c>
      <c r="K208" s="23">
        <f t="shared" si="98"/>
        <v>79.349999999999994</v>
      </c>
      <c r="L208" s="23"/>
      <c r="M208" s="206">
        <f t="shared" si="94"/>
        <v>930</v>
      </c>
      <c r="N208" s="34"/>
      <c r="O208" s="209">
        <f t="shared" si="68"/>
        <v>28</v>
      </c>
      <c r="P208" s="34">
        <f t="shared" si="95"/>
        <v>529000</v>
      </c>
      <c r="Q208" s="34">
        <f t="shared" si="96"/>
        <v>620000</v>
      </c>
      <c r="R208" s="7">
        <f t="shared" si="97"/>
        <v>-1009.35</v>
      </c>
      <c r="S208" s="227">
        <f t="shared" si="69"/>
        <v>89990.65</v>
      </c>
      <c r="T208" s="249">
        <f t="shared" si="70"/>
        <v>0.17011465028355385</v>
      </c>
      <c r="V208" s="36">
        <f t="shared" si="99"/>
        <v>2029.041095890411</v>
      </c>
    </row>
    <row r="209" spans="1:22" s="33" customFormat="1" ht="15" customHeight="1" x14ac:dyDescent="0.4">
      <c r="B209" s="38" t="s">
        <v>109</v>
      </c>
      <c r="C209" s="6" t="s">
        <v>122</v>
      </c>
      <c r="D209" s="6">
        <f t="shared" si="91"/>
        <v>1</v>
      </c>
      <c r="E209" s="34">
        <v>100</v>
      </c>
      <c r="F209" s="212">
        <v>5250</v>
      </c>
      <c r="G209" s="195">
        <v>45807</v>
      </c>
      <c r="H209" s="33" t="s">
        <v>113</v>
      </c>
      <c r="I209" s="212">
        <v>6200</v>
      </c>
      <c r="J209" s="8">
        <v>45834</v>
      </c>
      <c r="K209" s="23">
        <f t="shared" si="98"/>
        <v>78.75</v>
      </c>
      <c r="L209" s="23"/>
      <c r="M209" s="206">
        <f t="shared" si="94"/>
        <v>930</v>
      </c>
      <c r="N209" s="34"/>
      <c r="O209" s="209">
        <f t="shared" si="68"/>
        <v>28</v>
      </c>
      <c r="P209" s="34">
        <f t="shared" si="95"/>
        <v>525000</v>
      </c>
      <c r="Q209" s="34">
        <f t="shared" si="96"/>
        <v>620000</v>
      </c>
      <c r="R209" s="7">
        <f t="shared" si="97"/>
        <v>-1008.75</v>
      </c>
      <c r="S209" s="227">
        <f t="shared" si="69"/>
        <v>93991.25</v>
      </c>
      <c r="T209" s="249">
        <f t="shared" si="70"/>
        <v>0.17903095238095237</v>
      </c>
      <c r="V209" s="36">
        <f t="shared" si="99"/>
        <v>2013.6986301369864</v>
      </c>
    </row>
    <row r="210" spans="1:22" s="33" customFormat="1" ht="15" customHeight="1" x14ac:dyDescent="0.4">
      <c r="B210" s="38" t="s">
        <v>109</v>
      </c>
      <c r="C210" s="6" t="s">
        <v>122</v>
      </c>
      <c r="D210" s="6">
        <f t="shared" si="91"/>
        <v>1</v>
      </c>
      <c r="E210" s="34">
        <v>100</v>
      </c>
      <c r="F210" s="212">
        <v>5060</v>
      </c>
      <c r="G210" s="195">
        <v>45807</v>
      </c>
      <c r="H210" s="33" t="s">
        <v>113</v>
      </c>
      <c r="I210" s="212">
        <v>6200</v>
      </c>
      <c r="J210" s="8">
        <v>45834</v>
      </c>
      <c r="K210" s="23">
        <f t="shared" si="98"/>
        <v>75.899999999999991</v>
      </c>
      <c r="L210" s="23"/>
      <c r="M210" s="206">
        <f t="shared" si="94"/>
        <v>930</v>
      </c>
      <c r="N210" s="34"/>
      <c r="O210" s="209">
        <f t="shared" si="68"/>
        <v>28</v>
      </c>
      <c r="P210" s="34">
        <f t="shared" si="95"/>
        <v>506000</v>
      </c>
      <c r="Q210" s="34">
        <f t="shared" si="96"/>
        <v>620000</v>
      </c>
      <c r="R210" s="7">
        <f t="shared" si="97"/>
        <v>-1005.9</v>
      </c>
      <c r="S210" s="227">
        <f t="shared" si="69"/>
        <v>112994.1</v>
      </c>
      <c r="T210" s="249">
        <f t="shared" si="70"/>
        <v>0.22330849802371541</v>
      </c>
      <c r="V210" s="36">
        <f t="shared" si="99"/>
        <v>1940.8219178082193</v>
      </c>
    </row>
    <row r="211" spans="1:22" s="33" customFormat="1" ht="15" customHeight="1" x14ac:dyDescent="0.4">
      <c r="B211" s="38" t="s">
        <v>109</v>
      </c>
      <c r="C211" s="6" t="s">
        <v>122</v>
      </c>
      <c r="D211" s="6">
        <f t="shared" si="91"/>
        <v>1</v>
      </c>
      <c r="E211" s="34">
        <v>100</v>
      </c>
      <c r="F211" s="212">
        <v>5180</v>
      </c>
      <c r="G211" s="195">
        <v>45807</v>
      </c>
      <c r="H211" s="33" t="s">
        <v>113</v>
      </c>
      <c r="I211" s="212">
        <v>6200</v>
      </c>
      <c r="J211" s="8">
        <v>45834</v>
      </c>
      <c r="K211" s="23">
        <f t="shared" si="98"/>
        <v>77.699999999999989</v>
      </c>
      <c r="L211" s="23"/>
      <c r="M211" s="206">
        <f t="shared" si="94"/>
        <v>930</v>
      </c>
      <c r="N211" s="34"/>
      <c r="O211" s="209">
        <f t="shared" si="68"/>
        <v>28</v>
      </c>
      <c r="P211" s="34">
        <f t="shared" si="95"/>
        <v>518000</v>
      </c>
      <c r="Q211" s="34">
        <f t="shared" si="96"/>
        <v>620000</v>
      </c>
      <c r="R211" s="7">
        <f t="shared" si="97"/>
        <v>-1007.7</v>
      </c>
      <c r="S211" s="227">
        <f t="shared" si="69"/>
        <v>100992.3</v>
      </c>
      <c r="T211" s="249">
        <f t="shared" si="70"/>
        <v>0.19496583011583013</v>
      </c>
      <c r="V211" s="36">
        <f t="shared" si="99"/>
        <v>1986.8493150684931</v>
      </c>
    </row>
    <row r="212" spans="1:22" s="33" customFormat="1" ht="15" customHeight="1" x14ac:dyDescent="0.4">
      <c r="A212" s="33" t="s">
        <v>113</v>
      </c>
      <c r="B212" s="38" t="s">
        <v>109</v>
      </c>
      <c r="C212" s="6" t="s">
        <v>122</v>
      </c>
      <c r="D212" s="6">
        <f t="shared" si="91"/>
        <v>1</v>
      </c>
      <c r="E212" s="34">
        <v>200</v>
      </c>
      <c r="F212" s="212">
        <v>5120</v>
      </c>
      <c r="G212" s="195">
        <v>45807</v>
      </c>
      <c r="H212" s="33" t="s">
        <v>113</v>
      </c>
      <c r="I212" s="212">
        <v>6510</v>
      </c>
      <c r="J212" s="8">
        <v>45838</v>
      </c>
      <c r="K212" s="23">
        <f t="shared" si="98"/>
        <v>153.6</v>
      </c>
      <c r="L212" s="23"/>
      <c r="M212" s="206">
        <f t="shared" si="94"/>
        <v>1953</v>
      </c>
      <c r="N212" s="34"/>
      <c r="O212" s="209">
        <f t="shared" si="68"/>
        <v>32</v>
      </c>
      <c r="P212" s="34">
        <f t="shared" si="95"/>
        <v>1024000</v>
      </c>
      <c r="Q212" s="34">
        <f t="shared" si="96"/>
        <v>1302000</v>
      </c>
      <c r="R212" s="7">
        <f t="shared" si="97"/>
        <v>-2106.6</v>
      </c>
      <c r="S212" s="227">
        <f t="shared" si="69"/>
        <v>275893.40000000002</v>
      </c>
      <c r="T212" s="249">
        <f t="shared" si="70"/>
        <v>0.26942714843750004</v>
      </c>
      <c r="V212" s="36">
        <f t="shared" si="99"/>
        <v>4488.767123287671</v>
      </c>
    </row>
    <row r="213" spans="1:22" s="33" customFormat="1" ht="15" customHeight="1" x14ac:dyDescent="0.4">
      <c r="A213" s="33" t="s">
        <v>113</v>
      </c>
      <c r="B213" s="38" t="s">
        <v>109</v>
      </c>
      <c r="C213" s="6" t="s">
        <v>122</v>
      </c>
      <c r="D213" s="6">
        <f t="shared" si="91"/>
        <v>1</v>
      </c>
      <c r="E213" s="34">
        <v>100</v>
      </c>
      <c r="F213" s="212">
        <v>5100</v>
      </c>
      <c r="G213" s="195">
        <v>45813</v>
      </c>
      <c r="H213" s="33" t="s">
        <v>113</v>
      </c>
      <c r="I213" s="212">
        <v>6510</v>
      </c>
      <c r="J213" s="8">
        <v>45838</v>
      </c>
      <c r="K213" s="23">
        <f t="shared" si="98"/>
        <v>76.5</v>
      </c>
      <c r="L213" s="23"/>
      <c r="M213" s="206">
        <f t="shared" si="94"/>
        <v>976.5</v>
      </c>
      <c r="N213" s="34"/>
      <c r="O213" s="209">
        <f t="shared" si="68"/>
        <v>26</v>
      </c>
      <c r="P213" s="34">
        <f t="shared" si="95"/>
        <v>510000</v>
      </c>
      <c r="Q213" s="34">
        <f t="shared" si="96"/>
        <v>651000</v>
      </c>
      <c r="R213" s="7">
        <f t="shared" si="97"/>
        <v>-1053</v>
      </c>
      <c r="S213" s="227">
        <f t="shared" si="69"/>
        <v>139947</v>
      </c>
      <c r="T213" s="249">
        <f t="shared" si="70"/>
        <v>0.27440588235294117</v>
      </c>
      <c r="V213" s="36">
        <f t="shared" si="99"/>
        <v>1816.4383561643835</v>
      </c>
    </row>
    <row r="214" spans="1:22" s="33" customFormat="1" ht="15" customHeight="1" x14ac:dyDescent="0.4">
      <c r="A214" s="33" t="s">
        <v>113</v>
      </c>
      <c r="B214" s="38" t="s">
        <v>109</v>
      </c>
      <c r="C214" s="6" t="s">
        <v>122</v>
      </c>
      <c r="D214" s="6">
        <f t="shared" si="91"/>
        <v>1</v>
      </c>
      <c r="E214" s="34">
        <v>100</v>
      </c>
      <c r="F214" s="212">
        <v>5050</v>
      </c>
      <c r="G214" s="195">
        <v>45813</v>
      </c>
      <c r="H214" s="33" t="s">
        <v>113</v>
      </c>
      <c r="I214" s="212">
        <v>6510</v>
      </c>
      <c r="J214" s="8">
        <v>45838</v>
      </c>
      <c r="K214" s="23">
        <f t="shared" si="98"/>
        <v>75.75</v>
      </c>
      <c r="L214" s="23"/>
      <c r="M214" s="206">
        <f t="shared" si="94"/>
        <v>976.5</v>
      </c>
      <c r="N214" s="34"/>
      <c r="O214" s="209">
        <f t="shared" si="68"/>
        <v>26</v>
      </c>
      <c r="P214" s="34">
        <f t="shared" si="95"/>
        <v>505000</v>
      </c>
      <c r="Q214" s="34">
        <f t="shared" si="96"/>
        <v>651000</v>
      </c>
      <c r="R214" s="7">
        <f t="shared" si="97"/>
        <v>-1052.25</v>
      </c>
      <c r="S214" s="227">
        <f t="shared" si="69"/>
        <v>144947.75</v>
      </c>
      <c r="T214" s="249">
        <f t="shared" si="70"/>
        <v>0.2870252475247525</v>
      </c>
      <c r="V214" s="36">
        <f t="shared" si="99"/>
        <v>1798.6301369863013</v>
      </c>
    </row>
    <row r="215" spans="1:22" s="33" customFormat="1" ht="15" customHeight="1" x14ac:dyDescent="0.4">
      <c r="A215" s="33" t="s">
        <v>113</v>
      </c>
      <c r="B215" s="38" t="s">
        <v>109</v>
      </c>
      <c r="C215" s="6" t="s">
        <v>122</v>
      </c>
      <c r="D215" s="6">
        <f t="shared" si="91"/>
        <v>1</v>
      </c>
      <c r="E215" s="34">
        <v>200</v>
      </c>
      <c r="F215" s="212">
        <v>5550</v>
      </c>
      <c r="G215" s="195">
        <v>45821</v>
      </c>
      <c r="H215" s="33" t="s">
        <v>113</v>
      </c>
      <c r="I215" s="212">
        <v>6510</v>
      </c>
      <c r="J215" s="8">
        <v>45838</v>
      </c>
      <c r="K215" s="23">
        <f t="shared" si="98"/>
        <v>166.49999999999997</v>
      </c>
      <c r="L215" s="23"/>
      <c r="M215" s="206">
        <f t="shared" si="94"/>
        <v>1953</v>
      </c>
      <c r="N215" s="34"/>
      <c r="O215" s="209">
        <f t="shared" si="68"/>
        <v>18</v>
      </c>
      <c r="P215" s="34">
        <f t="shared" si="95"/>
        <v>1110000</v>
      </c>
      <c r="Q215" s="34">
        <f t="shared" si="96"/>
        <v>1302000</v>
      </c>
      <c r="R215" s="7">
        <f t="shared" si="97"/>
        <v>-2119.5</v>
      </c>
      <c r="S215" s="227">
        <f t="shared" si="69"/>
        <v>189880.5</v>
      </c>
      <c r="T215" s="249">
        <f t="shared" si="70"/>
        <v>0.17106351351351351</v>
      </c>
      <c r="V215" s="36">
        <f t="shared" si="99"/>
        <v>2736.9863013698632</v>
      </c>
    </row>
    <row r="216" spans="1:22" s="33" customFormat="1" ht="15" customHeight="1" x14ac:dyDescent="0.4">
      <c r="A216" s="33" t="s">
        <v>113</v>
      </c>
      <c r="B216" s="38" t="s">
        <v>109</v>
      </c>
      <c r="C216" s="6" t="s">
        <v>122</v>
      </c>
      <c r="D216" s="6">
        <f t="shared" si="91"/>
        <v>1</v>
      </c>
      <c r="E216" s="34">
        <v>50</v>
      </c>
      <c r="F216" s="212">
        <v>6150</v>
      </c>
      <c r="G216" s="195">
        <v>45835</v>
      </c>
      <c r="H216" s="33" t="s">
        <v>113</v>
      </c>
      <c r="I216" s="212">
        <v>6510</v>
      </c>
      <c r="J216" s="8">
        <v>45838</v>
      </c>
      <c r="K216" s="23">
        <f t="shared" si="98"/>
        <v>46.124999999999993</v>
      </c>
      <c r="L216" s="23"/>
      <c r="M216" s="206">
        <f t="shared" si="94"/>
        <v>488.25</v>
      </c>
      <c r="N216" s="34"/>
      <c r="O216" s="209">
        <f t="shared" si="68"/>
        <v>4</v>
      </c>
      <c r="P216" s="34">
        <f t="shared" si="95"/>
        <v>307500</v>
      </c>
      <c r="Q216" s="34">
        <f t="shared" si="96"/>
        <v>325500</v>
      </c>
      <c r="R216" s="7">
        <f t="shared" si="97"/>
        <v>-534.375</v>
      </c>
      <c r="S216" s="227">
        <f t="shared" si="69"/>
        <v>17465.625</v>
      </c>
      <c r="T216" s="249">
        <f t="shared" si="70"/>
        <v>5.679878048780488E-2</v>
      </c>
      <c r="V216" s="36">
        <f t="shared" si="99"/>
        <v>168.49315068493149</v>
      </c>
    </row>
    <row r="217" spans="1:22" s="33" customFormat="1" ht="15" customHeight="1" x14ac:dyDescent="0.4">
      <c r="A217" s="33" t="s">
        <v>113</v>
      </c>
      <c r="B217" s="38" t="s">
        <v>109</v>
      </c>
      <c r="C217" s="6" t="s">
        <v>122</v>
      </c>
      <c r="D217" s="6">
        <f t="shared" si="91"/>
        <v>1</v>
      </c>
      <c r="E217" s="34">
        <v>100</v>
      </c>
      <c r="F217" s="212">
        <v>6430</v>
      </c>
      <c r="G217" s="195">
        <v>45838</v>
      </c>
      <c r="H217" s="33" t="s">
        <v>113</v>
      </c>
      <c r="I217" s="212">
        <v>6800</v>
      </c>
      <c r="J217" s="8">
        <v>45919</v>
      </c>
      <c r="K217" s="23">
        <f t="shared" si="98"/>
        <v>96.449999999999989</v>
      </c>
      <c r="L217" s="23"/>
      <c r="M217" s="206">
        <f t="shared" si="94"/>
        <v>1020</v>
      </c>
      <c r="N217" s="34"/>
      <c r="O217" s="209">
        <f t="shared" si="68"/>
        <v>82</v>
      </c>
      <c r="P217" s="34">
        <f t="shared" si="95"/>
        <v>643000</v>
      </c>
      <c r="Q217" s="34">
        <f t="shared" si="96"/>
        <v>680000</v>
      </c>
      <c r="R217" s="7">
        <f t="shared" si="97"/>
        <v>-1116.45</v>
      </c>
      <c r="S217" s="227">
        <f t="shared" si="69"/>
        <v>35883.550000000003</v>
      </c>
      <c r="T217" s="249">
        <f t="shared" si="70"/>
        <v>5.580645412130638E-2</v>
      </c>
      <c r="V217" s="36">
        <f t="shared" si="99"/>
        <v>7222.7397260273974</v>
      </c>
    </row>
    <row r="218" spans="1:22" s="33" customFormat="1" ht="15" customHeight="1" x14ac:dyDescent="0.4">
      <c r="A218" s="33" t="s">
        <v>113</v>
      </c>
      <c r="B218" s="38" t="s">
        <v>109</v>
      </c>
      <c r="C218" s="6" t="s">
        <v>122</v>
      </c>
      <c r="D218" s="6">
        <f t="shared" si="91"/>
        <v>1</v>
      </c>
      <c r="E218" s="34">
        <v>100</v>
      </c>
      <c r="F218" s="212">
        <v>6400</v>
      </c>
      <c r="G218" s="195">
        <v>45838</v>
      </c>
      <c r="H218" s="33" t="s">
        <v>113</v>
      </c>
      <c r="I218" s="212">
        <v>6800</v>
      </c>
      <c r="J218" s="8">
        <v>45919</v>
      </c>
      <c r="K218" s="23">
        <f t="shared" si="98"/>
        <v>95.999999999999986</v>
      </c>
      <c r="L218" s="23"/>
      <c r="M218" s="206">
        <f t="shared" si="94"/>
        <v>1020</v>
      </c>
      <c r="N218" s="34"/>
      <c r="O218" s="209">
        <f t="shared" si="68"/>
        <v>82</v>
      </c>
      <c r="P218" s="34">
        <f t="shared" si="95"/>
        <v>640000</v>
      </c>
      <c r="Q218" s="34">
        <f t="shared" si="96"/>
        <v>680000</v>
      </c>
      <c r="R218" s="7">
        <f t="shared" si="97"/>
        <v>-1116</v>
      </c>
      <c r="S218" s="227">
        <f t="shared" si="69"/>
        <v>38884</v>
      </c>
      <c r="T218" s="249">
        <f t="shared" si="70"/>
        <v>6.0756249999999998E-2</v>
      </c>
      <c r="V218" s="36">
        <f t="shared" si="99"/>
        <v>7189.0410958904113</v>
      </c>
    </row>
    <row r="219" spans="1:22" s="33" customFormat="1" ht="15" customHeight="1" x14ac:dyDescent="0.4">
      <c r="A219" s="33" t="s">
        <v>113</v>
      </c>
      <c r="B219" s="38" t="s">
        <v>109</v>
      </c>
      <c r="C219" s="6" t="s">
        <v>122</v>
      </c>
      <c r="D219" s="6">
        <f t="shared" si="91"/>
        <v>1</v>
      </c>
      <c r="E219" s="34">
        <v>100</v>
      </c>
      <c r="F219" s="212">
        <v>6300</v>
      </c>
      <c r="G219" s="195">
        <v>45838</v>
      </c>
      <c r="H219" s="33" t="s">
        <v>113</v>
      </c>
      <c r="I219" s="212">
        <v>6800</v>
      </c>
      <c r="J219" s="8">
        <v>45919</v>
      </c>
      <c r="K219" s="23">
        <f t="shared" si="98"/>
        <v>94.499999999999986</v>
      </c>
      <c r="L219" s="23"/>
      <c r="M219" s="206">
        <f t="shared" si="94"/>
        <v>1020</v>
      </c>
      <c r="N219" s="34"/>
      <c r="O219" s="209">
        <f t="shared" si="68"/>
        <v>82</v>
      </c>
      <c r="P219" s="34">
        <f t="shared" si="95"/>
        <v>630000</v>
      </c>
      <c r="Q219" s="34">
        <f t="shared" si="96"/>
        <v>680000</v>
      </c>
      <c r="R219" s="7">
        <f t="shared" si="97"/>
        <v>-1114.5</v>
      </c>
      <c r="S219" s="227">
        <f t="shared" si="69"/>
        <v>48885.5</v>
      </c>
      <c r="T219" s="249">
        <f t="shared" si="70"/>
        <v>7.7596031746031746E-2</v>
      </c>
      <c r="V219" s="36">
        <f t="shared" si="99"/>
        <v>7076.7123287671229</v>
      </c>
    </row>
    <row r="220" spans="1:22" s="33" customFormat="1" ht="15" customHeight="1" x14ac:dyDescent="0.4">
      <c r="A220" s="33" t="s">
        <v>113</v>
      </c>
      <c r="B220" s="38" t="s">
        <v>109</v>
      </c>
      <c r="C220" s="6" t="s">
        <v>122</v>
      </c>
      <c r="D220" s="6">
        <f t="shared" si="91"/>
        <v>1</v>
      </c>
      <c r="E220" s="34">
        <v>100</v>
      </c>
      <c r="F220" s="212">
        <v>6350</v>
      </c>
      <c r="G220" s="195">
        <v>45838</v>
      </c>
      <c r="H220" s="33" t="s">
        <v>113</v>
      </c>
      <c r="I220" s="212">
        <v>6800</v>
      </c>
      <c r="J220" s="8">
        <v>45919</v>
      </c>
      <c r="K220" s="23">
        <f t="shared" si="98"/>
        <v>95.249999999999986</v>
      </c>
      <c r="L220" s="23"/>
      <c r="M220" s="206">
        <f t="shared" si="94"/>
        <v>1020</v>
      </c>
      <c r="N220" s="34"/>
      <c r="O220" s="209">
        <f t="shared" si="68"/>
        <v>82</v>
      </c>
      <c r="P220" s="34">
        <f t="shared" si="95"/>
        <v>635000</v>
      </c>
      <c r="Q220" s="34">
        <f t="shared" si="96"/>
        <v>680000</v>
      </c>
      <c r="R220" s="7">
        <f t="shared" si="97"/>
        <v>-1115.25</v>
      </c>
      <c r="S220" s="227">
        <f t="shared" si="69"/>
        <v>43884.75</v>
      </c>
      <c r="T220" s="249">
        <f t="shared" si="70"/>
        <v>6.9109842519685036E-2</v>
      </c>
      <c r="V220" s="36">
        <f t="shared" si="99"/>
        <v>7132.8767123287671</v>
      </c>
    </row>
    <row r="221" spans="1:22" s="33" customFormat="1" ht="15" customHeight="1" x14ac:dyDescent="0.4">
      <c r="A221" s="33" t="s">
        <v>113</v>
      </c>
      <c r="B221" s="38" t="s">
        <v>109</v>
      </c>
      <c r="C221" s="6" t="s">
        <v>122</v>
      </c>
      <c r="D221" s="6">
        <f t="shared" si="91"/>
        <v>1</v>
      </c>
      <c r="E221" s="34">
        <v>100</v>
      </c>
      <c r="F221" s="212">
        <v>6350</v>
      </c>
      <c r="G221" s="195">
        <v>45839</v>
      </c>
      <c r="H221" s="33" t="s">
        <v>113</v>
      </c>
      <c r="I221" s="212">
        <v>6800</v>
      </c>
      <c r="J221" s="8">
        <v>45919</v>
      </c>
      <c r="K221" s="23">
        <f t="shared" si="98"/>
        <v>95.249999999999986</v>
      </c>
      <c r="L221" s="23"/>
      <c r="M221" s="206">
        <f t="shared" si="94"/>
        <v>1020</v>
      </c>
      <c r="N221" s="34"/>
      <c r="O221" s="209">
        <f t="shared" si="68"/>
        <v>81</v>
      </c>
      <c r="P221" s="34">
        <f t="shared" si="95"/>
        <v>635000</v>
      </c>
      <c r="Q221" s="34">
        <f t="shared" si="96"/>
        <v>680000</v>
      </c>
      <c r="R221" s="7">
        <f t="shared" si="97"/>
        <v>-1115.25</v>
      </c>
      <c r="S221" s="227">
        <f t="shared" si="69"/>
        <v>43884.75</v>
      </c>
      <c r="T221" s="249">
        <f t="shared" si="70"/>
        <v>6.9109842519685036E-2</v>
      </c>
      <c r="V221" s="36">
        <f t="shared" si="99"/>
        <v>7045.8904109589039</v>
      </c>
    </row>
    <row r="222" spans="1:22" s="33" customFormat="1" ht="15" customHeight="1" x14ac:dyDescent="0.4">
      <c r="A222" s="33" t="s">
        <v>113</v>
      </c>
      <c r="B222" s="38" t="s">
        <v>109</v>
      </c>
      <c r="C222" s="6" t="s">
        <v>122</v>
      </c>
      <c r="D222" s="6">
        <f t="shared" si="91"/>
        <v>1</v>
      </c>
      <c r="E222" s="34">
        <v>50</v>
      </c>
      <c r="F222" s="212">
        <v>6280</v>
      </c>
      <c r="G222" s="195">
        <v>45839</v>
      </c>
      <c r="H222" s="33" t="s">
        <v>113</v>
      </c>
      <c r="I222" s="212">
        <v>6800</v>
      </c>
      <c r="J222" s="8">
        <v>45919</v>
      </c>
      <c r="K222" s="23">
        <f t="shared" si="98"/>
        <v>47.099999999999994</v>
      </c>
      <c r="L222" s="23"/>
      <c r="M222" s="206">
        <f t="shared" si="94"/>
        <v>510</v>
      </c>
      <c r="N222" s="34"/>
      <c r="O222" s="209">
        <f t="shared" ref="O222:O285" si="100">J222-G222+1</f>
        <v>81</v>
      </c>
      <c r="P222" s="34">
        <f t="shared" si="95"/>
        <v>314000</v>
      </c>
      <c r="Q222" s="34">
        <f t="shared" si="96"/>
        <v>340000</v>
      </c>
      <c r="R222" s="7">
        <f t="shared" si="97"/>
        <v>-557.1</v>
      </c>
      <c r="S222" s="227">
        <f t="shared" ref="S222:S285" si="101">IF(Q222=0,0,Q222-P222+R222)</f>
        <v>25442.9</v>
      </c>
      <c r="T222" s="249">
        <f t="shared" ref="T222:T285" si="102">S222/P222</f>
        <v>8.1028343949044596E-2</v>
      </c>
      <c r="V222" s="36">
        <f t="shared" si="99"/>
        <v>3484.1095890410961</v>
      </c>
    </row>
    <row r="223" spans="1:22" s="33" customFormat="1" ht="15" customHeight="1" x14ac:dyDescent="0.4">
      <c r="A223" s="33" t="s">
        <v>113</v>
      </c>
      <c r="B223" s="38" t="s">
        <v>109</v>
      </c>
      <c r="C223" s="6" t="s">
        <v>122</v>
      </c>
      <c r="D223" s="6">
        <f t="shared" si="91"/>
        <v>1</v>
      </c>
      <c r="E223" s="34">
        <v>50</v>
      </c>
      <c r="F223" s="212">
        <v>6250</v>
      </c>
      <c r="G223" s="195">
        <v>45839</v>
      </c>
      <c r="H223" s="33" t="s">
        <v>113</v>
      </c>
      <c r="I223" s="212">
        <v>6800</v>
      </c>
      <c r="J223" s="8">
        <v>45919</v>
      </c>
      <c r="K223" s="23">
        <f t="shared" si="98"/>
        <v>46.874999999999993</v>
      </c>
      <c r="L223" s="23"/>
      <c r="M223" s="206">
        <f t="shared" si="94"/>
        <v>510</v>
      </c>
      <c r="N223" s="34"/>
      <c r="O223" s="209">
        <f t="shared" si="100"/>
        <v>81</v>
      </c>
      <c r="P223" s="34">
        <f t="shared" si="95"/>
        <v>312500</v>
      </c>
      <c r="Q223" s="34">
        <f t="shared" si="96"/>
        <v>340000</v>
      </c>
      <c r="R223" s="7">
        <f t="shared" si="97"/>
        <v>-556.875</v>
      </c>
      <c r="S223" s="227">
        <f t="shared" si="101"/>
        <v>26943.125</v>
      </c>
      <c r="T223" s="249">
        <f t="shared" si="102"/>
        <v>8.6218000000000003E-2</v>
      </c>
      <c r="V223" s="36">
        <f t="shared" si="99"/>
        <v>3467.4657534246576</v>
      </c>
    </row>
    <row r="224" spans="1:22" s="33" customFormat="1" ht="15" customHeight="1" x14ac:dyDescent="0.4">
      <c r="A224" s="33" t="s">
        <v>113</v>
      </c>
      <c r="B224" s="38" t="s">
        <v>109</v>
      </c>
      <c r="C224" s="6" t="s">
        <v>122</v>
      </c>
      <c r="D224" s="6">
        <f t="shared" si="91"/>
        <v>1</v>
      </c>
      <c r="E224" s="34">
        <v>40</v>
      </c>
      <c r="F224" s="212">
        <v>6150</v>
      </c>
      <c r="G224" s="195">
        <v>45842</v>
      </c>
      <c r="H224" s="33" t="s">
        <v>113</v>
      </c>
      <c r="I224" s="212">
        <v>6800</v>
      </c>
      <c r="J224" s="8">
        <v>45919</v>
      </c>
      <c r="K224" s="23">
        <f t="shared" si="98"/>
        <v>36.9</v>
      </c>
      <c r="L224" s="23"/>
      <c r="M224" s="206">
        <f t="shared" si="94"/>
        <v>408</v>
      </c>
      <c r="N224" s="34"/>
      <c r="O224" s="209">
        <f t="shared" si="100"/>
        <v>78</v>
      </c>
      <c r="P224" s="34">
        <f t="shared" si="95"/>
        <v>246000</v>
      </c>
      <c r="Q224" s="34">
        <f t="shared" si="96"/>
        <v>272000</v>
      </c>
      <c r="R224" s="7">
        <f t="shared" si="97"/>
        <v>-444.9</v>
      </c>
      <c r="S224" s="227">
        <f t="shared" si="101"/>
        <v>25555.1</v>
      </c>
      <c r="T224" s="249">
        <f t="shared" si="102"/>
        <v>0.10388252032520325</v>
      </c>
      <c r="V224" s="36">
        <f t="shared" si="99"/>
        <v>2628.4931506849316</v>
      </c>
    </row>
    <row r="225" spans="1:26" s="33" customFormat="1" ht="15" customHeight="1" x14ac:dyDescent="0.4">
      <c r="A225" s="33" t="s">
        <v>113</v>
      </c>
      <c r="B225" s="38" t="s">
        <v>109</v>
      </c>
      <c r="C225" s="6" t="s">
        <v>122</v>
      </c>
      <c r="D225" s="6">
        <f t="shared" si="91"/>
        <v>1</v>
      </c>
      <c r="E225" s="34">
        <v>100</v>
      </c>
      <c r="F225" s="212">
        <v>6230</v>
      </c>
      <c r="G225" s="195">
        <v>45849</v>
      </c>
      <c r="H225" s="33" t="s">
        <v>113</v>
      </c>
      <c r="I225" s="212">
        <v>6800</v>
      </c>
      <c r="J225" s="8">
        <v>45919</v>
      </c>
      <c r="K225" s="23">
        <f t="shared" si="98"/>
        <v>93.449999999999989</v>
      </c>
      <c r="L225" s="23"/>
      <c r="M225" s="206">
        <f t="shared" si="94"/>
        <v>1020</v>
      </c>
      <c r="N225" s="34"/>
      <c r="O225" s="209">
        <f t="shared" si="100"/>
        <v>71</v>
      </c>
      <c r="P225" s="34">
        <f t="shared" si="95"/>
        <v>623000</v>
      </c>
      <c r="Q225" s="34">
        <f t="shared" si="96"/>
        <v>680000</v>
      </c>
      <c r="R225" s="7">
        <f t="shared" si="97"/>
        <v>-1113.45</v>
      </c>
      <c r="S225" s="227">
        <f t="shared" si="101"/>
        <v>55886.55</v>
      </c>
      <c r="T225" s="249">
        <f t="shared" si="102"/>
        <v>8.970553772070626E-2</v>
      </c>
      <c r="V225" s="36">
        <f t="shared" si="99"/>
        <v>6059.3150684931506</v>
      </c>
    </row>
    <row r="226" spans="1:26" s="33" customFormat="1" ht="15" customHeight="1" x14ac:dyDescent="0.4">
      <c r="A226" s="33" t="s">
        <v>113</v>
      </c>
      <c r="B226" s="38" t="s">
        <v>109</v>
      </c>
      <c r="C226" s="6" t="s">
        <v>122</v>
      </c>
      <c r="D226" s="6">
        <f t="shared" si="91"/>
        <v>1</v>
      </c>
      <c r="E226" s="34">
        <v>50</v>
      </c>
      <c r="F226" s="212">
        <v>6200</v>
      </c>
      <c r="G226" s="195">
        <v>45852</v>
      </c>
      <c r="I226" s="212">
        <v>6800</v>
      </c>
      <c r="J226" s="8">
        <v>45919</v>
      </c>
      <c r="K226" s="23">
        <f t="shared" si="98"/>
        <v>46.499999999999993</v>
      </c>
      <c r="L226" s="23"/>
      <c r="M226" s="206">
        <f t="shared" si="94"/>
        <v>510</v>
      </c>
      <c r="N226" s="34"/>
      <c r="O226" s="209">
        <f t="shared" si="100"/>
        <v>68</v>
      </c>
      <c r="P226" s="34">
        <f t="shared" si="95"/>
        <v>310000</v>
      </c>
      <c r="Q226" s="34">
        <f t="shared" si="96"/>
        <v>340000</v>
      </c>
      <c r="R226" s="7">
        <f t="shared" si="97"/>
        <v>-556.5</v>
      </c>
      <c r="S226" s="227">
        <f t="shared" si="101"/>
        <v>29443.5</v>
      </c>
      <c r="T226" s="249">
        <f t="shared" si="102"/>
        <v>9.4979032258064519E-2</v>
      </c>
      <c r="V226" s="36"/>
    </row>
    <row r="227" spans="1:26" s="33" customFormat="1" ht="15" customHeight="1" x14ac:dyDescent="0.4">
      <c r="A227" s="33" t="s">
        <v>113</v>
      </c>
      <c r="B227" s="38" t="s">
        <v>109</v>
      </c>
      <c r="C227" s="6" t="s">
        <v>122</v>
      </c>
      <c r="D227" s="6">
        <f t="shared" si="91"/>
        <v>1</v>
      </c>
      <c r="E227" s="34">
        <v>30</v>
      </c>
      <c r="F227" s="212">
        <v>5550</v>
      </c>
      <c r="G227" s="195">
        <v>45894</v>
      </c>
      <c r="H227" s="33" t="s">
        <v>113</v>
      </c>
      <c r="I227" s="212">
        <v>6800</v>
      </c>
      <c r="J227" s="8">
        <v>45919</v>
      </c>
      <c r="K227" s="23">
        <f t="shared" si="98"/>
        <v>24.974999999999998</v>
      </c>
      <c r="L227" s="23"/>
      <c r="M227" s="206">
        <f t="shared" si="94"/>
        <v>306</v>
      </c>
      <c r="N227" s="34"/>
      <c r="O227" s="209">
        <f t="shared" si="100"/>
        <v>26</v>
      </c>
      <c r="P227" s="34">
        <f t="shared" si="95"/>
        <v>166500</v>
      </c>
      <c r="Q227" s="34">
        <f t="shared" si="96"/>
        <v>204000</v>
      </c>
      <c r="R227" s="7">
        <f t="shared" si="97"/>
        <v>-330.97500000000002</v>
      </c>
      <c r="S227" s="227">
        <f t="shared" si="101"/>
        <v>37169.025000000001</v>
      </c>
      <c r="T227" s="249">
        <f t="shared" si="102"/>
        <v>0.22323738738738741</v>
      </c>
      <c r="V227" s="36">
        <f>+P227*0.05*O227/365</f>
        <v>593.01369863013701</v>
      </c>
    </row>
    <row r="228" spans="1:26" s="33" customFormat="1" ht="15" customHeight="1" x14ac:dyDescent="0.4">
      <c r="A228" s="33" t="s">
        <v>113</v>
      </c>
      <c r="B228" s="38" t="s">
        <v>228</v>
      </c>
      <c r="C228" s="6" t="s">
        <v>162</v>
      </c>
      <c r="D228" s="6"/>
      <c r="E228" s="36">
        <v>70</v>
      </c>
      <c r="F228" s="212">
        <v>16600</v>
      </c>
      <c r="G228" s="195">
        <v>43444</v>
      </c>
      <c r="H228" s="8"/>
      <c r="I228" s="212">
        <v>20150</v>
      </c>
      <c r="J228" s="8">
        <v>43509</v>
      </c>
      <c r="K228" s="7">
        <f>ROUNDDOWN(E228*F228*0.0015,-1)</f>
        <v>1740</v>
      </c>
      <c r="L228" s="7">
        <f>ROUNDDOWN(I228*E228*0.0015,-1)</f>
        <v>2110</v>
      </c>
      <c r="M228" s="196">
        <f>I228*E228*0.003</f>
        <v>4231.5</v>
      </c>
      <c r="N228" s="36"/>
      <c r="O228" s="191">
        <f t="shared" si="100"/>
        <v>66</v>
      </c>
      <c r="P228" s="36">
        <f>F228*E228</f>
        <v>1162000</v>
      </c>
      <c r="Q228" s="36">
        <f>I228*E228</f>
        <v>1410500</v>
      </c>
      <c r="R228" s="7">
        <f>N228-K228-L228-M228</f>
        <v>-8081.5</v>
      </c>
      <c r="S228" s="227">
        <f t="shared" si="101"/>
        <v>240418.5</v>
      </c>
      <c r="T228" s="248">
        <f t="shared" si="102"/>
        <v>0.20690060240963856</v>
      </c>
      <c r="U228" s="9">
        <f>T228*365/O228</f>
        <v>1.1442230284775465</v>
      </c>
      <c r="V228" s="6"/>
    </row>
    <row r="229" spans="1:26" s="33" customFormat="1" ht="15" customHeight="1" x14ac:dyDescent="0.4">
      <c r="A229" s="33" t="s">
        <v>113</v>
      </c>
      <c r="B229" s="38" t="s">
        <v>31</v>
      </c>
      <c r="C229" s="6" t="s">
        <v>187</v>
      </c>
      <c r="D229" s="6"/>
      <c r="E229" s="36">
        <v>25</v>
      </c>
      <c r="F229" s="212">
        <v>38600</v>
      </c>
      <c r="G229" s="195">
        <v>42352</v>
      </c>
      <c r="H229" s="8"/>
      <c r="I229" s="212">
        <v>40100</v>
      </c>
      <c r="J229" s="8">
        <v>42361</v>
      </c>
      <c r="K229" s="7">
        <f>ROUNDDOWN(E229*F229*0.00015,-1)</f>
        <v>140</v>
      </c>
      <c r="L229" s="7">
        <f>ROUNDDOWN(I229*E229*0.00015,-1)</f>
        <v>150</v>
      </c>
      <c r="M229" s="196">
        <f>I229*E229*0.003</f>
        <v>3007.5</v>
      </c>
      <c r="N229" s="36"/>
      <c r="O229" s="191">
        <f t="shared" si="100"/>
        <v>10</v>
      </c>
      <c r="P229" s="36">
        <f>F229*E229</f>
        <v>965000</v>
      </c>
      <c r="Q229" s="36">
        <f>I229*E229</f>
        <v>1002500</v>
      </c>
      <c r="R229" s="7">
        <f>N229-K229-L229-M229</f>
        <v>-3297.5</v>
      </c>
      <c r="S229" s="227">
        <f t="shared" si="101"/>
        <v>34202.5</v>
      </c>
      <c r="T229" s="248">
        <f t="shared" si="102"/>
        <v>3.5443005181347152E-2</v>
      </c>
      <c r="U229" s="9">
        <f>T229*365/O229</f>
        <v>1.293669689119171</v>
      </c>
      <c r="V229" s="6"/>
    </row>
    <row r="230" spans="1:26" s="33" customFormat="1" ht="15" customHeight="1" x14ac:dyDescent="0.4">
      <c r="A230" s="33" t="s">
        <v>113</v>
      </c>
      <c r="B230" s="38" t="s">
        <v>31</v>
      </c>
      <c r="C230" s="6" t="s">
        <v>187</v>
      </c>
      <c r="D230" s="6"/>
      <c r="E230" s="36">
        <v>50</v>
      </c>
      <c r="F230" s="212">
        <v>37000</v>
      </c>
      <c r="G230" s="195">
        <v>42380</v>
      </c>
      <c r="H230" s="8"/>
      <c r="I230" s="212">
        <v>39300</v>
      </c>
      <c r="J230" s="8">
        <v>42396</v>
      </c>
      <c r="K230" s="7">
        <f>ROUNDDOWN(E230*F230*0.00015,-1)</f>
        <v>270</v>
      </c>
      <c r="L230" s="7">
        <f>ROUNDDOWN(I230*E230*0.00015,-1)</f>
        <v>290</v>
      </c>
      <c r="M230" s="196">
        <f>I230*E230*0.003</f>
        <v>5895</v>
      </c>
      <c r="N230" s="36"/>
      <c r="O230" s="191">
        <f t="shared" si="100"/>
        <v>17</v>
      </c>
      <c r="P230" s="36">
        <f>F230*E230</f>
        <v>1850000</v>
      </c>
      <c r="Q230" s="36">
        <f>I230*E230</f>
        <v>1965000</v>
      </c>
      <c r="R230" s="7">
        <f>N230-K230-L230-M230</f>
        <v>-6455</v>
      </c>
      <c r="S230" s="227">
        <f t="shared" si="101"/>
        <v>108545</v>
      </c>
      <c r="T230" s="248">
        <f t="shared" si="102"/>
        <v>5.867297297297297E-2</v>
      </c>
      <c r="U230" s="9">
        <f>T230*365/O230</f>
        <v>1.2597432432432432</v>
      </c>
      <c r="V230" s="6"/>
    </row>
    <row r="231" spans="1:26" s="33" customFormat="1" ht="15" customHeight="1" x14ac:dyDescent="0.4">
      <c r="A231" s="33" t="s">
        <v>113</v>
      </c>
      <c r="B231" s="198" t="s">
        <v>31</v>
      </c>
      <c r="C231" s="6" t="s">
        <v>162</v>
      </c>
      <c r="D231" s="15"/>
      <c r="E231" s="36">
        <v>5</v>
      </c>
      <c r="F231" s="212">
        <v>29600</v>
      </c>
      <c r="G231" s="195">
        <v>43735</v>
      </c>
      <c r="H231" s="8"/>
      <c r="I231" s="212">
        <v>18150</v>
      </c>
      <c r="J231" s="8">
        <v>45923</v>
      </c>
      <c r="K231" s="7">
        <f>ROUNDDOWN(E231*F231*0.0015,-1)</f>
        <v>220</v>
      </c>
      <c r="L231" s="7">
        <f>ROUNDDOWN(I231*E231*0.0015,-1)</f>
        <v>130</v>
      </c>
      <c r="M231" s="196">
        <f>ROUNDDOWN(I231*E231*0.0025, )</f>
        <v>226</v>
      </c>
      <c r="N231" s="36">
        <f>4500+1750+4650+5850</f>
        <v>16750</v>
      </c>
      <c r="O231" s="191">
        <f t="shared" si="100"/>
        <v>2189</v>
      </c>
      <c r="P231" s="36">
        <f>F231*E231</f>
        <v>148000</v>
      </c>
      <c r="Q231" s="36">
        <f>I231*E231</f>
        <v>90750</v>
      </c>
      <c r="R231" s="7">
        <f>N231-K231-L231-M231</f>
        <v>16174</v>
      </c>
      <c r="S231" s="227">
        <f t="shared" si="101"/>
        <v>-41076</v>
      </c>
      <c r="T231" s="248">
        <f t="shared" si="102"/>
        <v>-0.27754054054054056</v>
      </c>
      <c r="U231" s="9">
        <f>T231*365/O231</f>
        <v>-4.6277888212561583E-2</v>
      </c>
      <c r="V231" s="6" t="s">
        <v>229</v>
      </c>
    </row>
    <row r="232" spans="1:26" s="33" customFormat="1" ht="15" customHeight="1" x14ac:dyDescent="0.4">
      <c r="A232" s="33" t="s">
        <v>113</v>
      </c>
      <c r="B232" s="38" t="s">
        <v>230</v>
      </c>
      <c r="C232" s="6" t="s">
        <v>160</v>
      </c>
      <c r="D232" s="6">
        <f>IF(OR($C232="신한",$C232="OTC",$C232="무상증자(신한)",$C232="토스",$C232="R토스"),1,"확인")</f>
        <v>1</v>
      </c>
      <c r="E232" s="34">
        <v>15</v>
      </c>
      <c r="F232" s="212">
        <v>390000</v>
      </c>
      <c r="G232" s="195">
        <v>44034</v>
      </c>
      <c r="H232" s="8"/>
      <c r="I232" s="212">
        <v>398500</v>
      </c>
      <c r="J232" s="8">
        <v>44034</v>
      </c>
      <c r="K232" s="23">
        <f>IF($C232="OTC",ROUNDDOWN($E232*$F232*0.000909187,-1),(IF($C232="신한",ROUNDDOWN($E232*$F232*0.000036396,-1),(IF($C232="토스",$E232*$F232*0.00015,(IF($C232="US",(IF($E232*$F232*0.0025&gt;0.01,$E232*$F232*0.0025,0.01)),IF($C232="JP",(IF($E232*$F232*0.0025&gt;1000,$E232*$F232*0.0025,1000)),(IF($C232="R토스",0,IF($C232="무상증자(신한)",0,"")))))))))))</f>
        <v>210</v>
      </c>
      <c r="L232" s="23">
        <f>IF($C232="OTC",ROUNDDOWN($I232*$E232*0.000909187,-1),(IF($C232="신한",ROUNDDOWN($I232*$E232*0.000036396,-1),(IF($C232="토스",$I232*$E232*0.00015,(IF($C232="US",(IF($I232*$E232*0.0025&gt;0.01,$I232*$E232*0.0025,0.01)),(IF($C232="JP",(IF($I232*$E232*0.0025&gt;1000,$I232*$E232*0.0025,1000)),(IF($C232="R토스",$I232*$E232*0.00015,(IF($C232="무상증자(신한)",ROUNDDOWN($I232*$E232*0.000036396,-1),"")))))))))))))</f>
        <v>210</v>
      </c>
      <c r="M232" s="206">
        <f>Q232*0.0025</f>
        <v>14943.75</v>
      </c>
      <c r="N232" s="34"/>
      <c r="O232" s="209">
        <f t="shared" si="100"/>
        <v>1</v>
      </c>
      <c r="P232" s="34">
        <f>$E232*$F232*$D232</f>
        <v>5850000</v>
      </c>
      <c r="Q232" s="34">
        <f>$E232*$I232*$D232</f>
        <v>5977500</v>
      </c>
      <c r="R232" s="7">
        <f>($N232-$K232-$L232-$M232)*$D232</f>
        <v>-15363.75</v>
      </c>
      <c r="S232" s="227">
        <f t="shared" si="101"/>
        <v>112136.25</v>
      </c>
      <c r="T232" s="249">
        <f t="shared" si="102"/>
        <v>1.9168589743589745E-2</v>
      </c>
    </row>
    <row r="233" spans="1:26" s="33" customFormat="1" ht="15" customHeight="1" x14ac:dyDescent="0.4">
      <c r="A233" s="33" t="s">
        <v>113</v>
      </c>
      <c r="B233" s="38" t="s">
        <v>231</v>
      </c>
      <c r="C233" s="6" t="s">
        <v>160</v>
      </c>
      <c r="D233" s="6">
        <f>IF(OR($C233="신한",$C233="OTC",$C233="무상증자(신한)",$C233="토스",$C233="R토스"),1,"확인")</f>
        <v>1</v>
      </c>
      <c r="E233" s="34">
        <v>1000</v>
      </c>
      <c r="F233" s="212">
        <v>5210</v>
      </c>
      <c r="G233" s="195">
        <v>45896</v>
      </c>
      <c r="H233" s="8"/>
      <c r="I233" s="212">
        <v>5350</v>
      </c>
      <c r="J233" s="8">
        <v>45896</v>
      </c>
      <c r="K233" s="23">
        <f>IF($C233="OTC",ROUNDDOWN($E233*$F233*0.000909187,-1),(IF($C233="신한",ROUNDDOWN($E233*$F233*0.000036396,-1),(IF($C233="토스",$E233*$F233*0.00015,(IF($C233="US",(IF($E233*$F233*0.0025&gt;0.01,$E233*$F233*0.0025,0.01)),IF($C233="JP",(IF($E233*$F233*0.0025&gt;1000,$E233*$F233*0.0025,1000)),(IF($C233="R토스",0,IF($C233="무상증자(신한)",0,"")))))))))))</f>
        <v>180</v>
      </c>
      <c r="L233" s="23">
        <f>IF($C233="OTC",ROUNDDOWN($I233*$E233*0.000909187,-1),(IF($C233="신한",ROUNDDOWN($I233*$E233*0.000036396,-1),(IF($C233="토스",$I233*$E233*0.00015,(IF($C233="US",(IF($I233*$E233*0.0025&gt;0.01,$I233*$E233*0.0025,0.01)),(IF($C233="JP",(IF($I233*$E233*0.0025&gt;1000,$I233*$E233*0.0025,1000)),(IF($C233="R토스",$I233*$E233*0.00015,(IF($C233="무상증자(신한)",ROUNDDOWN($I233*$E233*0.000036396,-1),"")))))))))))))</f>
        <v>190</v>
      </c>
      <c r="M233" s="206">
        <f>Q233*0.0015</f>
        <v>8025</v>
      </c>
      <c r="N233" s="34"/>
      <c r="O233" s="209">
        <f t="shared" si="100"/>
        <v>1</v>
      </c>
      <c r="P233" s="34">
        <f>$E233*$F233*$D233</f>
        <v>5210000</v>
      </c>
      <c r="Q233" s="34">
        <f>$E233*$I233*$D233</f>
        <v>5350000</v>
      </c>
      <c r="R233" s="7">
        <f>($N233-$K233-$L233-$M233)*$D233</f>
        <v>-8395</v>
      </c>
      <c r="S233" s="227">
        <f t="shared" si="101"/>
        <v>131605</v>
      </c>
      <c r="T233" s="249">
        <f t="shared" si="102"/>
        <v>2.526007677543186E-2</v>
      </c>
    </row>
    <row r="234" spans="1:26" s="33" customFormat="1" ht="15" customHeight="1" x14ac:dyDescent="0.4">
      <c r="A234" s="33" t="s">
        <v>113</v>
      </c>
      <c r="B234" s="38" t="s">
        <v>232</v>
      </c>
      <c r="C234" s="6" t="s">
        <v>162</v>
      </c>
      <c r="D234" s="6"/>
      <c r="E234" s="33">
        <v>10</v>
      </c>
      <c r="F234" s="212">
        <v>78700</v>
      </c>
      <c r="G234" s="195">
        <v>43108</v>
      </c>
      <c r="H234" s="8"/>
      <c r="I234" s="212">
        <v>94500</v>
      </c>
      <c r="J234" s="8">
        <v>43133</v>
      </c>
      <c r="K234" s="7">
        <f>ROUNDDOWN(E234*F234*0.0015,-1)</f>
        <v>1180</v>
      </c>
      <c r="L234" s="7">
        <f>ROUNDDOWN(I234*E234*0.0015,-1)</f>
        <v>1410</v>
      </c>
      <c r="M234" s="196">
        <f>I234*E234*0.003</f>
        <v>2835</v>
      </c>
      <c r="N234" s="36"/>
      <c r="O234" s="191">
        <f t="shared" si="100"/>
        <v>26</v>
      </c>
      <c r="P234" s="36">
        <f>F234*E234</f>
        <v>787000</v>
      </c>
      <c r="Q234" s="36">
        <f>I234*E234</f>
        <v>945000</v>
      </c>
      <c r="R234" s="7">
        <f>N234-K234-L234-M234</f>
        <v>-5425</v>
      </c>
      <c r="S234" s="227">
        <f t="shared" si="101"/>
        <v>152575</v>
      </c>
      <c r="T234" s="248">
        <f t="shared" si="102"/>
        <v>0.19386912325285896</v>
      </c>
      <c r="U234" s="9">
        <f>T234*365/O234</f>
        <v>2.7216242302805203</v>
      </c>
      <c r="V234" s="6"/>
    </row>
    <row r="235" spans="1:26" ht="15" customHeight="1" x14ac:dyDescent="0.4">
      <c r="B235" s="38" t="s">
        <v>233</v>
      </c>
      <c r="C235" s="6" t="s">
        <v>187</v>
      </c>
      <c r="D235" s="6"/>
      <c r="E235" s="36">
        <v>40</v>
      </c>
      <c r="F235" s="212">
        <v>25500</v>
      </c>
      <c r="G235" s="195">
        <v>42033</v>
      </c>
      <c r="H235" s="8"/>
      <c r="I235" s="212">
        <v>26650</v>
      </c>
      <c r="J235" s="8">
        <v>42047</v>
      </c>
      <c r="K235" s="7">
        <f>ROUNDDOWN(E235*F235*0.00015,-1)</f>
        <v>150</v>
      </c>
      <c r="L235" s="7">
        <f>ROUNDDOWN(I235*E235*0.00015,-1)</f>
        <v>150</v>
      </c>
      <c r="M235" s="196">
        <f>I235*E235*0.003</f>
        <v>3198</v>
      </c>
      <c r="N235" s="36"/>
      <c r="O235" s="191">
        <f t="shared" si="100"/>
        <v>15</v>
      </c>
      <c r="P235" s="36">
        <f>F235*E235</f>
        <v>1020000</v>
      </c>
      <c r="Q235" s="36">
        <f>I235*E235</f>
        <v>1066000</v>
      </c>
      <c r="R235" s="7">
        <f>N235-K235-L235-M235</f>
        <v>-3498</v>
      </c>
      <c r="S235" s="227">
        <f t="shared" si="101"/>
        <v>42502</v>
      </c>
      <c r="T235" s="248">
        <f t="shared" si="102"/>
        <v>4.1668627450980392E-2</v>
      </c>
      <c r="U235" s="193">
        <f>T235*365/O235</f>
        <v>1.0139366013071895</v>
      </c>
      <c r="V235" s="6"/>
      <c r="W235" s="2"/>
      <c r="X235" s="2"/>
      <c r="Y235" s="2"/>
      <c r="Z235" s="7"/>
    </row>
    <row r="236" spans="1:26" ht="15" customHeight="1" x14ac:dyDescent="0.4">
      <c r="B236" s="38" t="s">
        <v>234</v>
      </c>
      <c r="C236" s="6" t="s">
        <v>187</v>
      </c>
      <c r="D236" s="6"/>
      <c r="E236" s="36">
        <v>100</v>
      </c>
      <c r="F236" s="212">
        <v>8090</v>
      </c>
      <c r="G236" s="195">
        <v>42304</v>
      </c>
      <c r="H236" s="8"/>
      <c r="I236" s="212">
        <v>8680</v>
      </c>
      <c r="J236" s="8">
        <v>42423</v>
      </c>
      <c r="K236" s="7">
        <f>ROUNDDOWN(E236*F236*0.00015,-1)</f>
        <v>120</v>
      </c>
      <c r="L236" s="7">
        <f>ROUNDDOWN(I236*E236*0.00015,-1)</f>
        <v>130</v>
      </c>
      <c r="M236" s="196">
        <f>I236*E236*0.003</f>
        <v>2604</v>
      </c>
      <c r="N236" s="36">
        <f>58000-8930</f>
        <v>49070</v>
      </c>
      <c r="O236" s="191">
        <f t="shared" si="100"/>
        <v>120</v>
      </c>
      <c r="P236" s="36">
        <f>F236*E236</f>
        <v>809000</v>
      </c>
      <c r="Q236" s="36">
        <f>I236*E236</f>
        <v>868000</v>
      </c>
      <c r="R236" s="7">
        <f>N236-K236-L236-M236</f>
        <v>46216</v>
      </c>
      <c r="S236" s="227">
        <f t="shared" si="101"/>
        <v>105216</v>
      </c>
      <c r="T236" s="248">
        <f t="shared" si="102"/>
        <v>0.13005686032138442</v>
      </c>
      <c r="U236" s="193">
        <f>T236*365/O236</f>
        <v>0.39558961681087756</v>
      </c>
      <c r="V236" s="6"/>
      <c r="W236" s="2"/>
      <c r="X236" s="2"/>
      <c r="Y236" s="2"/>
      <c r="Z236" s="7"/>
    </row>
    <row r="237" spans="1:26" ht="15" customHeight="1" x14ac:dyDescent="0.4">
      <c r="B237" s="38" t="s">
        <v>235</v>
      </c>
      <c r="C237" s="6" t="s">
        <v>160</v>
      </c>
      <c r="D237" s="6">
        <f>IF(OR($C237="신한",$C237="OTC",$C237="무상증자(신한)",$C237="토스",$C237="R토스"),1,"확인")</f>
        <v>1</v>
      </c>
      <c r="E237" s="34">
        <v>40</v>
      </c>
      <c r="F237" s="212">
        <v>16500</v>
      </c>
      <c r="G237" s="195">
        <v>44089</v>
      </c>
      <c r="H237" s="8"/>
      <c r="I237" s="212">
        <v>17550</v>
      </c>
      <c r="J237" s="8">
        <v>44165</v>
      </c>
      <c r="K237" s="23">
        <f>IF($C237="OTC",ROUNDDOWN($E237*$F237*0.000909187,-1),(IF($C237="신한",ROUNDDOWN($E237*$F237*0.000036396,-1),(IF($C237="토스",$E237*$F237*0.00015,(IF($C237="US",(IF($E237*$F237*0.0025&gt;0.01,$E237*$F237*0.0025,0.01)),IF($C237="JP",(IF($E237*$F237*0.0025&gt;1000,$E237*$F237*0.0025,1000)),(IF($C237="R토스",0,IF($C237="무상증자(신한)",0,"")))))))))))</f>
        <v>20</v>
      </c>
      <c r="L237" s="23">
        <f>IF($C237="OTC",ROUNDDOWN($I237*$E237*0.000909187,-1),(IF($C237="신한",ROUNDDOWN($I237*$E237*0.000036396,-1),(IF($C237="토스",$I237*$E237*0.00015,(IF($C237="US",(IF($I237*$E237*0.0025&gt;0.01,$I237*$E237*0.0025,0.01)),(IF($C237="JP",(IF($I237*$E237*0.0025&gt;1000,$I237*$E237*0.0025,1000)),(IF($C237="R토스",$I237*$E237*0.00015,(IF($C237="무상증자(신한)",ROUNDDOWN($I237*$E237*0.000036396,-1),"")))))))))))))</f>
        <v>20</v>
      </c>
      <c r="M237" s="206">
        <f>Q237*0.0025</f>
        <v>1755</v>
      </c>
      <c r="N237" s="34"/>
      <c r="O237" s="209">
        <f t="shared" si="100"/>
        <v>77</v>
      </c>
      <c r="P237" s="34">
        <f>$E237*$F237*$D237</f>
        <v>660000</v>
      </c>
      <c r="Q237" s="34">
        <f>$E237*$I237*$D237</f>
        <v>702000</v>
      </c>
      <c r="R237" s="7">
        <f>($N237-$K237-$L237-$M237)*$D237</f>
        <v>-1795</v>
      </c>
      <c r="S237" s="227">
        <f t="shared" si="101"/>
        <v>40205</v>
      </c>
      <c r="T237" s="249">
        <f t="shared" si="102"/>
        <v>6.0916666666666668E-2</v>
      </c>
      <c r="U237" s="38"/>
      <c r="V237" s="33"/>
      <c r="W237" s="2"/>
      <c r="X237" s="2"/>
      <c r="Y237" s="2"/>
      <c r="Z237" s="7"/>
    </row>
    <row r="238" spans="1:26" ht="15" customHeight="1" x14ac:dyDescent="0.4">
      <c r="B238" s="38" t="s">
        <v>236</v>
      </c>
      <c r="C238" s="6" t="s">
        <v>185</v>
      </c>
      <c r="D238" s="6"/>
      <c r="E238" s="36">
        <v>3</v>
      </c>
      <c r="F238" s="212">
        <v>86000</v>
      </c>
      <c r="G238" s="195">
        <v>39371</v>
      </c>
      <c r="H238" s="8"/>
      <c r="I238" s="212">
        <v>150500</v>
      </c>
      <c r="J238" s="8">
        <v>40591</v>
      </c>
      <c r="K238" s="7">
        <f>ROUNDDOWN(E238*F238*0.005,-1)</f>
        <v>1290</v>
      </c>
      <c r="L238" s="7">
        <f>ROUNDDOWN(I238*E238*0.005,-1)</f>
        <v>2250</v>
      </c>
      <c r="M238" s="196">
        <f>I238*E238*0.003</f>
        <v>1354.5</v>
      </c>
      <c r="N238" s="36">
        <v>7500</v>
      </c>
      <c r="O238" s="191">
        <f t="shared" si="100"/>
        <v>1221</v>
      </c>
      <c r="P238" s="36">
        <f t="shared" ref="P238:P251" si="103">F238*E238</f>
        <v>258000</v>
      </c>
      <c r="Q238" s="36">
        <f t="shared" ref="Q238:Q251" si="104">I238*E238</f>
        <v>451500</v>
      </c>
      <c r="R238" s="7">
        <f t="shared" ref="R238:R251" si="105">N238-K238-L238-M238</f>
        <v>2605.5</v>
      </c>
      <c r="S238" s="227">
        <f t="shared" si="101"/>
        <v>196105.5</v>
      </c>
      <c r="T238" s="248">
        <f t="shared" si="102"/>
        <v>0.76009883720930238</v>
      </c>
      <c r="U238" s="193">
        <f t="shared" ref="U238:U251" si="106">T238*365/O238</f>
        <v>0.22722037312153592</v>
      </c>
      <c r="V238" s="6"/>
      <c r="W238" s="2"/>
      <c r="X238" s="2"/>
      <c r="Y238" s="2"/>
      <c r="Z238" s="7"/>
    </row>
    <row r="239" spans="1:26" s="33" customFormat="1" ht="15" customHeight="1" x14ac:dyDescent="0.4">
      <c r="B239" s="38" t="s">
        <v>236</v>
      </c>
      <c r="C239" s="6" t="s">
        <v>187</v>
      </c>
      <c r="D239" s="6"/>
      <c r="E239" s="36">
        <v>10</v>
      </c>
      <c r="F239" s="212">
        <v>22650</v>
      </c>
      <c r="G239" s="195">
        <v>39764</v>
      </c>
      <c r="H239" s="8"/>
      <c r="I239" s="212">
        <v>23500</v>
      </c>
      <c r="J239" s="8">
        <v>39764</v>
      </c>
      <c r="K239" s="7">
        <v>60</v>
      </c>
      <c r="L239" s="7">
        <v>60</v>
      </c>
      <c r="M239" s="196"/>
      <c r="N239" s="36"/>
      <c r="O239" s="191">
        <f t="shared" si="100"/>
        <v>1</v>
      </c>
      <c r="P239" s="36">
        <f t="shared" si="103"/>
        <v>226500</v>
      </c>
      <c r="Q239" s="36">
        <f t="shared" si="104"/>
        <v>235000</v>
      </c>
      <c r="R239" s="7">
        <f t="shared" si="105"/>
        <v>-120</v>
      </c>
      <c r="S239" s="227">
        <f t="shared" si="101"/>
        <v>8380</v>
      </c>
      <c r="T239" s="248">
        <f t="shared" si="102"/>
        <v>3.6997792494481235E-2</v>
      </c>
      <c r="U239" s="9">
        <f t="shared" si="106"/>
        <v>13.504194260485651</v>
      </c>
      <c r="V239" s="6"/>
    </row>
    <row r="240" spans="1:26" s="33" customFormat="1" ht="15" customHeight="1" x14ac:dyDescent="0.4">
      <c r="B240" s="38" t="s">
        <v>236</v>
      </c>
      <c r="C240" s="6" t="s">
        <v>187</v>
      </c>
      <c r="D240" s="6"/>
      <c r="E240" s="36">
        <v>20</v>
      </c>
      <c r="F240" s="212">
        <v>19800</v>
      </c>
      <c r="G240" s="195">
        <v>39808</v>
      </c>
      <c r="H240" s="8"/>
      <c r="I240" s="212">
        <v>21150</v>
      </c>
      <c r="J240" s="8">
        <v>39820</v>
      </c>
      <c r="K240" s="7">
        <v>110</v>
      </c>
      <c r="L240" s="7">
        <v>120</v>
      </c>
      <c r="M240" s="196"/>
      <c r="N240" s="36">
        <f>15000-2310</f>
        <v>12690</v>
      </c>
      <c r="O240" s="191">
        <f t="shared" si="100"/>
        <v>13</v>
      </c>
      <c r="P240" s="36">
        <f t="shared" si="103"/>
        <v>396000</v>
      </c>
      <c r="Q240" s="36">
        <f t="shared" si="104"/>
        <v>423000</v>
      </c>
      <c r="R240" s="7">
        <f t="shared" si="105"/>
        <v>12460</v>
      </c>
      <c r="S240" s="227">
        <f t="shared" si="101"/>
        <v>39460</v>
      </c>
      <c r="T240" s="248">
        <f t="shared" si="102"/>
        <v>9.964646464646465E-2</v>
      </c>
      <c r="U240" s="193">
        <f t="shared" si="106"/>
        <v>2.7977661227661228</v>
      </c>
      <c r="V240" s="6"/>
    </row>
    <row r="241" spans="2:26" s="33" customFormat="1" ht="15" customHeight="1" x14ac:dyDescent="0.4">
      <c r="B241" s="38" t="s">
        <v>236</v>
      </c>
      <c r="C241" s="6" t="s">
        <v>187</v>
      </c>
      <c r="D241" s="6"/>
      <c r="E241" s="36">
        <v>20</v>
      </c>
      <c r="F241" s="212">
        <v>22350</v>
      </c>
      <c r="G241" s="195">
        <v>39832</v>
      </c>
      <c r="H241" s="8"/>
      <c r="I241" s="212">
        <v>22950</v>
      </c>
      <c r="J241" s="8">
        <v>39850</v>
      </c>
      <c r="K241" s="7">
        <v>120</v>
      </c>
      <c r="L241" s="7">
        <v>130</v>
      </c>
      <c r="M241" s="196"/>
      <c r="N241" s="36"/>
      <c r="O241" s="191">
        <f t="shared" si="100"/>
        <v>19</v>
      </c>
      <c r="P241" s="36">
        <f t="shared" si="103"/>
        <v>447000</v>
      </c>
      <c r="Q241" s="36">
        <f t="shared" si="104"/>
        <v>459000</v>
      </c>
      <c r="R241" s="7">
        <f t="shared" si="105"/>
        <v>-250</v>
      </c>
      <c r="S241" s="227">
        <f t="shared" si="101"/>
        <v>11750</v>
      </c>
      <c r="T241" s="248">
        <f t="shared" si="102"/>
        <v>2.6286353467561523E-2</v>
      </c>
      <c r="U241" s="193">
        <f t="shared" si="106"/>
        <v>0.50497468503473453</v>
      </c>
      <c r="V241" s="6"/>
    </row>
    <row r="242" spans="2:26" s="33" customFormat="1" ht="15" customHeight="1" x14ac:dyDescent="0.4">
      <c r="B242" s="38" t="s">
        <v>236</v>
      </c>
      <c r="C242" s="6" t="s">
        <v>187</v>
      </c>
      <c r="D242" s="6"/>
      <c r="E242" s="36">
        <v>10</v>
      </c>
      <c r="F242" s="212">
        <v>28500</v>
      </c>
      <c r="G242" s="195">
        <v>39850</v>
      </c>
      <c r="H242" s="8"/>
      <c r="I242" s="212">
        <v>23000</v>
      </c>
      <c r="J242" s="8">
        <v>39902</v>
      </c>
      <c r="K242" s="7">
        <v>60</v>
      </c>
      <c r="L242" s="7">
        <v>65</v>
      </c>
      <c r="M242" s="196"/>
      <c r="N242" s="36"/>
      <c r="O242" s="191">
        <f t="shared" si="100"/>
        <v>53</v>
      </c>
      <c r="P242" s="36">
        <f t="shared" si="103"/>
        <v>285000</v>
      </c>
      <c r="Q242" s="36">
        <f t="shared" si="104"/>
        <v>230000</v>
      </c>
      <c r="R242" s="7">
        <f t="shared" si="105"/>
        <v>-125</v>
      </c>
      <c r="S242" s="227">
        <f t="shared" si="101"/>
        <v>-55125</v>
      </c>
      <c r="T242" s="248">
        <f t="shared" si="102"/>
        <v>-0.19342105263157894</v>
      </c>
      <c r="U242" s="193">
        <f t="shared" si="106"/>
        <v>-1.3320506454816285</v>
      </c>
      <c r="V242" s="6"/>
    </row>
    <row r="243" spans="2:26" s="33" customFormat="1" ht="15" customHeight="1" x14ac:dyDescent="0.4">
      <c r="B243" s="38" t="s">
        <v>236</v>
      </c>
      <c r="C243" s="6" t="s">
        <v>187</v>
      </c>
      <c r="D243" s="6"/>
      <c r="E243" s="36">
        <v>10</v>
      </c>
      <c r="F243" s="212">
        <v>16100</v>
      </c>
      <c r="G243" s="195">
        <v>39876</v>
      </c>
      <c r="H243" s="8"/>
      <c r="I243" s="212">
        <v>23000</v>
      </c>
      <c r="J243" s="8">
        <v>39902</v>
      </c>
      <c r="K243" s="7">
        <v>40</v>
      </c>
      <c r="L243" s="7">
        <v>65</v>
      </c>
      <c r="M243" s="196"/>
      <c r="N243" s="36"/>
      <c r="O243" s="191">
        <f t="shared" si="100"/>
        <v>27</v>
      </c>
      <c r="P243" s="36">
        <f t="shared" si="103"/>
        <v>161000</v>
      </c>
      <c r="Q243" s="36">
        <f t="shared" si="104"/>
        <v>230000</v>
      </c>
      <c r="R243" s="7">
        <f t="shared" si="105"/>
        <v>-105</v>
      </c>
      <c r="S243" s="227">
        <f t="shared" si="101"/>
        <v>68895</v>
      </c>
      <c r="T243" s="248">
        <f t="shared" si="102"/>
        <v>0.4279192546583851</v>
      </c>
      <c r="U243" s="193">
        <f t="shared" si="106"/>
        <v>5.7848343685300208</v>
      </c>
      <c r="V243" s="6"/>
    </row>
    <row r="244" spans="2:26" s="33" customFormat="1" ht="15" customHeight="1" x14ac:dyDescent="0.4">
      <c r="B244" s="38" t="s">
        <v>236</v>
      </c>
      <c r="C244" s="6" t="s">
        <v>162</v>
      </c>
      <c r="D244" s="6"/>
      <c r="E244" s="33">
        <v>15</v>
      </c>
      <c r="F244" s="212">
        <v>77500</v>
      </c>
      <c r="G244" s="195">
        <v>42837</v>
      </c>
      <c r="H244" s="8"/>
      <c r="I244" s="212">
        <v>80800</v>
      </c>
      <c r="J244" s="8">
        <v>42838</v>
      </c>
      <c r="K244" s="7">
        <f>ROUNDDOWN(E244*F244*0.0015,-1)</f>
        <v>1740</v>
      </c>
      <c r="L244" s="7">
        <f>ROUNDDOWN(I244*E244*0.0015,-1)</f>
        <v>1810</v>
      </c>
      <c r="M244" s="196">
        <f>I244*E244*0.003</f>
        <v>3636</v>
      </c>
      <c r="N244" s="36"/>
      <c r="O244" s="191">
        <f t="shared" si="100"/>
        <v>2</v>
      </c>
      <c r="P244" s="36">
        <f t="shared" si="103"/>
        <v>1162500</v>
      </c>
      <c r="Q244" s="36">
        <f t="shared" si="104"/>
        <v>1212000</v>
      </c>
      <c r="R244" s="7">
        <f t="shared" si="105"/>
        <v>-7186</v>
      </c>
      <c r="S244" s="227">
        <f t="shared" si="101"/>
        <v>42314</v>
      </c>
      <c r="T244" s="248">
        <f t="shared" si="102"/>
        <v>3.6399139784946237E-2</v>
      </c>
      <c r="U244" s="193">
        <f t="shared" si="106"/>
        <v>6.6428430107526886</v>
      </c>
      <c r="V244" s="6"/>
    </row>
    <row r="245" spans="2:26" s="33" customFormat="1" ht="15" customHeight="1" x14ac:dyDescent="0.4">
      <c r="B245" s="38" t="s">
        <v>237</v>
      </c>
      <c r="C245" s="6" t="s">
        <v>187</v>
      </c>
      <c r="D245" s="6"/>
      <c r="E245" s="36">
        <v>40</v>
      </c>
      <c r="F245" s="212">
        <v>57000</v>
      </c>
      <c r="G245" s="195">
        <v>41240</v>
      </c>
      <c r="H245" s="8"/>
      <c r="I245" s="212">
        <v>61700</v>
      </c>
      <c r="J245" s="8">
        <v>41246</v>
      </c>
      <c r="K245" s="7">
        <f>ROUNDDOWN(E245*F245*0.00015,-1)</f>
        <v>340</v>
      </c>
      <c r="L245" s="7">
        <f>ROUNDDOWN(I245*E245*0.00015,-1)</f>
        <v>370</v>
      </c>
      <c r="M245" s="196">
        <f>I245*E245*0.003</f>
        <v>7404</v>
      </c>
      <c r="N245" s="36"/>
      <c r="O245" s="191">
        <f t="shared" si="100"/>
        <v>7</v>
      </c>
      <c r="P245" s="36">
        <f t="shared" si="103"/>
        <v>2280000</v>
      </c>
      <c r="Q245" s="36">
        <f t="shared" si="104"/>
        <v>2468000</v>
      </c>
      <c r="R245" s="7">
        <f t="shared" si="105"/>
        <v>-8114</v>
      </c>
      <c r="S245" s="227">
        <f t="shared" si="101"/>
        <v>179886</v>
      </c>
      <c r="T245" s="248">
        <f t="shared" si="102"/>
        <v>7.8897368421052633E-2</v>
      </c>
      <c r="U245" s="193">
        <f t="shared" si="106"/>
        <v>4.1139342105263159</v>
      </c>
      <c r="V245" s="6"/>
    </row>
    <row r="246" spans="2:26" s="33" customFormat="1" ht="15" customHeight="1" x14ac:dyDescent="0.4">
      <c r="B246" s="38" t="s">
        <v>237</v>
      </c>
      <c r="C246" s="6" t="s">
        <v>187</v>
      </c>
      <c r="D246" s="6"/>
      <c r="E246" s="36">
        <v>50</v>
      </c>
      <c r="F246" s="212">
        <v>56100</v>
      </c>
      <c r="G246" s="195">
        <v>41278</v>
      </c>
      <c r="H246" s="8"/>
      <c r="I246" s="212">
        <v>59500</v>
      </c>
      <c r="J246" s="8">
        <v>41425</v>
      </c>
      <c r="K246" s="7">
        <f>ROUNDDOWN(E246*F246*0.00015,-1)</f>
        <v>420</v>
      </c>
      <c r="L246" s="7">
        <f>ROUNDDOWN(I246*E246*0.00015,-1)</f>
        <v>440</v>
      </c>
      <c r="M246" s="196">
        <f>I246*E246*0.003</f>
        <v>8925</v>
      </c>
      <c r="N246" s="36"/>
      <c r="O246" s="191">
        <f t="shared" si="100"/>
        <v>148</v>
      </c>
      <c r="P246" s="36">
        <f t="shared" si="103"/>
        <v>2805000</v>
      </c>
      <c r="Q246" s="36">
        <f t="shared" si="104"/>
        <v>2975000</v>
      </c>
      <c r="R246" s="7">
        <f t="shared" si="105"/>
        <v>-9785</v>
      </c>
      <c r="S246" s="227">
        <f t="shared" si="101"/>
        <v>160215</v>
      </c>
      <c r="T246" s="248">
        <f t="shared" si="102"/>
        <v>5.711764705882353E-2</v>
      </c>
      <c r="U246" s="193">
        <f t="shared" si="106"/>
        <v>0.14086446740858505</v>
      </c>
      <c r="V246" s="6"/>
    </row>
    <row r="247" spans="2:26" s="33" customFormat="1" ht="15" customHeight="1" x14ac:dyDescent="0.4">
      <c r="B247" s="198" t="s">
        <v>238</v>
      </c>
      <c r="C247" s="6" t="s">
        <v>162</v>
      </c>
      <c r="D247" s="15"/>
      <c r="E247" s="36">
        <v>250</v>
      </c>
      <c r="F247" s="212">
        <v>4530</v>
      </c>
      <c r="G247" s="195">
        <v>43671</v>
      </c>
      <c r="H247" s="8"/>
      <c r="I247" s="212">
        <v>4710</v>
      </c>
      <c r="J247" s="8">
        <v>43677</v>
      </c>
      <c r="K247" s="7">
        <f>ROUNDDOWN(E247*F247*0.0015,-1)</f>
        <v>1690</v>
      </c>
      <c r="L247" s="7">
        <f>ROUNDDOWN(I247*E247*0.0015,-1)</f>
        <v>1760</v>
      </c>
      <c r="M247" s="196">
        <f>ROUNDDOWN(I247*E247*0.0025, )</f>
        <v>2943</v>
      </c>
      <c r="N247" s="36"/>
      <c r="O247" s="191">
        <f t="shared" si="100"/>
        <v>7</v>
      </c>
      <c r="P247" s="36">
        <f t="shared" si="103"/>
        <v>1132500</v>
      </c>
      <c r="Q247" s="36">
        <f t="shared" si="104"/>
        <v>1177500</v>
      </c>
      <c r="R247" s="7">
        <f t="shared" si="105"/>
        <v>-6393</v>
      </c>
      <c r="S247" s="227">
        <f t="shared" si="101"/>
        <v>38607</v>
      </c>
      <c r="T247" s="248">
        <f t="shared" si="102"/>
        <v>3.4090066225165562E-2</v>
      </c>
      <c r="U247" s="193">
        <f t="shared" si="106"/>
        <v>1.7775534531693471</v>
      </c>
      <c r="V247" s="6"/>
    </row>
    <row r="248" spans="2:26" s="33" customFormat="1" ht="15" customHeight="1" x14ac:dyDescent="0.4">
      <c r="B248" s="198" t="s">
        <v>135</v>
      </c>
      <c r="C248" s="6" t="s">
        <v>162</v>
      </c>
      <c r="D248" s="15"/>
      <c r="E248" s="36">
        <v>400</v>
      </c>
      <c r="F248" s="212">
        <v>9300</v>
      </c>
      <c r="G248" s="195">
        <v>43594</v>
      </c>
      <c r="H248" s="8"/>
      <c r="I248" s="212">
        <v>7380</v>
      </c>
      <c r="J248" s="8">
        <v>43634</v>
      </c>
      <c r="K248" s="7">
        <f>ROUNDDOWN(E248*F248*0.0015,-1)</f>
        <v>5580</v>
      </c>
      <c r="L248" s="7">
        <f>ROUNDDOWN(I248*E248*0.0015,-1)</f>
        <v>4420</v>
      </c>
      <c r="M248" s="196">
        <f>ROUNDDOWN(I248*E248*0.0025, )</f>
        <v>7380</v>
      </c>
      <c r="N248" s="36"/>
      <c r="O248" s="191">
        <f t="shared" si="100"/>
        <v>41</v>
      </c>
      <c r="P248" s="36">
        <f t="shared" si="103"/>
        <v>3720000</v>
      </c>
      <c r="Q248" s="36">
        <f t="shared" si="104"/>
        <v>2952000</v>
      </c>
      <c r="R248" s="7">
        <f t="shared" si="105"/>
        <v>-17380</v>
      </c>
      <c r="S248" s="227">
        <f t="shared" si="101"/>
        <v>-785380</v>
      </c>
      <c r="T248" s="248">
        <f t="shared" si="102"/>
        <v>-0.2111236559139785</v>
      </c>
      <c r="U248" s="193">
        <f t="shared" si="106"/>
        <v>-1.8795154733805404</v>
      </c>
      <c r="V248" s="6"/>
    </row>
    <row r="249" spans="2:26" s="33" customFormat="1" ht="15" customHeight="1" x14ac:dyDescent="0.4">
      <c r="B249" s="198" t="s">
        <v>135</v>
      </c>
      <c r="C249" s="6" t="s">
        <v>162</v>
      </c>
      <c r="D249" s="15"/>
      <c r="E249" s="36">
        <v>202</v>
      </c>
      <c r="F249" s="212">
        <v>9300</v>
      </c>
      <c r="G249" s="195">
        <v>43594</v>
      </c>
      <c r="H249" s="8"/>
      <c r="I249" s="212">
        <v>13250</v>
      </c>
      <c r="J249" s="8">
        <v>44020</v>
      </c>
      <c r="K249" s="7">
        <f>ROUNDDOWN(E249*F249*0.0015,-1)</f>
        <v>2810</v>
      </c>
      <c r="L249" s="7">
        <f>ROUNDDOWN(I249*E249*0.0015,-1)</f>
        <v>4010</v>
      </c>
      <c r="M249" s="196">
        <f>ROUNDDOWN(I249*E249*0.0025, )</f>
        <v>6691</v>
      </c>
      <c r="N249" s="36"/>
      <c r="O249" s="191">
        <f t="shared" si="100"/>
        <v>427</v>
      </c>
      <c r="P249" s="36">
        <f t="shared" si="103"/>
        <v>1878600</v>
      </c>
      <c r="Q249" s="36">
        <f t="shared" si="104"/>
        <v>2676500</v>
      </c>
      <c r="R249" s="7">
        <f t="shared" si="105"/>
        <v>-13511</v>
      </c>
      <c r="S249" s="227">
        <f t="shared" si="101"/>
        <v>784389</v>
      </c>
      <c r="T249" s="248">
        <f t="shared" si="102"/>
        <v>0.41753912488022998</v>
      </c>
      <c r="U249" s="193">
        <f t="shared" si="106"/>
        <v>0.35691283508497407</v>
      </c>
      <c r="V249" s="6"/>
    </row>
    <row r="250" spans="2:26" ht="15" customHeight="1" x14ac:dyDescent="0.4">
      <c r="B250" s="198" t="s">
        <v>135</v>
      </c>
      <c r="C250" s="6" t="s">
        <v>162</v>
      </c>
      <c r="D250" s="15"/>
      <c r="E250" s="36">
        <v>10</v>
      </c>
      <c r="F250" s="212">
        <v>9290</v>
      </c>
      <c r="G250" s="195">
        <v>43594</v>
      </c>
      <c r="H250" s="8"/>
      <c r="I250" s="212">
        <v>13250</v>
      </c>
      <c r="J250" s="8">
        <v>44020</v>
      </c>
      <c r="K250" s="7">
        <f>ROUNDDOWN(E250*F250*0.0015,-1)</f>
        <v>130</v>
      </c>
      <c r="L250" s="7">
        <f>ROUNDDOWN(I250*E250*0.0015,-1)</f>
        <v>190</v>
      </c>
      <c r="M250" s="196">
        <f>ROUNDDOWN(I250*E250*0.0025, )</f>
        <v>331</v>
      </c>
      <c r="N250" s="36"/>
      <c r="O250" s="191">
        <f t="shared" si="100"/>
        <v>427</v>
      </c>
      <c r="P250" s="36">
        <f t="shared" si="103"/>
        <v>92900</v>
      </c>
      <c r="Q250" s="36">
        <f t="shared" si="104"/>
        <v>132500</v>
      </c>
      <c r="R250" s="7">
        <f t="shared" si="105"/>
        <v>-651</v>
      </c>
      <c r="S250" s="227">
        <f t="shared" si="101"/>
        <v>38949</v>
      </c>
      <c r="T250" s="248">
        <f t="shared" si="102"/>
        <v>0.4192572658772874</v>
      </c>
      <c r="U250" s="193">
        <f t="shared" si="106"/>
        <v>0.35838150361875853</v>
      </c>
      <c r="V250" s="6"/>
      <c r="W250" s="2"/>
      <c r="X250" s="2"/>
      <c r="Y250" s="2"/>
      <c r="Z250" s="7"/>
    </row>
    <row r="251" spans="2:26" ht="15" customHeight="1" x14ac:dyDescent="0.4">
      <c r="B251" s="198" t="s">
        <v>135</v>
      </c>
      <c r="C251" s="6" t="s">
        <v>162</v>
      </c>
      <c r="D251" s="15"/>
      <c r="E251" s="36">
        <v>188</v>
      </c>
      <c r="F251" s="212">
        <v>9100</v>
      </c>
      <c r="G251" s="195">
        <v>43595</v>
      </c>
      <c r="H251" s="8"/>
      <c r="I251" s="212">
        <v>13250</v>
      </c>
      <c r="J251" s="8">
        <v>44020</v>
      </c>
      <c r="K251" s="7">
        <f>ROUNDDOWN(E251*F251*0.0015,-1)</f>
        <v>2560</v>
      </c>
      <c r="L251" s="7">
        <f>ROUNDDOWN(I251*E251*0.0015,-1)</f>
        <v>3730</v>
      </c>
      <c r="M251" s="196">
        <f>ROUNDDOWN(I251*E251*0.0025, )</f>
        <v>6227</v>
      </c>
      <c r="N251" s="36"/>
      <c r="O251" s="191">
        <f t="shared" si="100"/>
        <v>426</v>
      </c>
      <c r="P251" s="36">
        <f t="shared" si="103"/>
        <v>1710800</v>
      </c>
      <c r="Q251" s="36">
        <f t="shared" si="104"/>
        <v>2491000</v>
      </c>
      <c r="R251" s="7">
        <f t="shared" si="105"/>
        <v>-12517</v>
      </c>
      <c r="S251" s="227">
        <f t="shared" si="101"/>
        <v>767683</v>
      </c>
      <c r="T251" s="248">
        <f t="shared" si="102"/>
        <v>0.44872749590834698</v>
      </c>
      <c r="U251" s="193">
        <f t="shared" si="106"/>
        <v>0.3844730892172456</v>
      </c>
      <c r="V251" s="6"/>
      <c r="W251" s="2"/>
      <c r="X251" s="2"/>
      <c r="Y251" s="2"/>
      <c r="Z251" s="7"/>
    </row>
    <row r="252" spans="2:26" ht="15" customHeight="1" x14ac:dyDescent="0.4">
      <c r="B252" s="38" t="s">
        <v>135</v>
      </c>
      <c r="C252" s="6" t="s">
        <v>160</v>
      </c>
      <c r="D252" s="6">
        <f t="shared" ref="D252:D267" si="107">IF(OR($C252="신한",$C252="OTC",$C252="무상증자(신한)",$C252="토스",$C252="R토스"),1,"확인")</f>
        <v>1</v>
      </c>
      <c r="E252" s="34">
        <v>200</v>
      </c>
      <c r="F252" s="212">
        <v>20750</v>
      </c>
      <c r="G252" s="195">
        <v>44049</v>
      </c>
      <c r="H252" s="8"/>
      <c r="I252" s="212">
        <v>21064</v>
      </c>
      <c r="J252" s="8">
        <v>44055</v>
      </c>
      <c r="K252" s="23">
        <f t="shared" ref="K252:K267" si="108">IF($C252="OTC",ROUNDDOWN($E252*$F252*0.000909187,-1),(IF($C252="신한",ROUNDDOWN($E252*$F252*0.000036396,-1),(IF($C252="토스",$E252*$F252*0.00015,(IF($C252="US",(IF($E252*$F252*0.0025&gt;0.01,$E252*$F252*0.0025,0.01)),IF($C252="JP",(IF($E252*$F252*0.0025&gt;1000,$E252*$F252*0.0025,1000)),(IF($C252="R토스",0,IF($C252="무상증자(신한)",0,"")))))))))))</f>
        <v>150</v>
      </c>
      <c r="L252" s="23">
        <f>IF($C252="OTC",ROUNDDOWN($I252*$E252*0.000909187,-1),(IF($C252="신한",ROUNDDOWN($I252*$E252*0.000036396,-1),(IF($C252="토스",$I252*$E252*0.00015,(IF($C252="US",(IF($I252*$E252*0.0025&gt;0.01,$I252*$E252*0.0025,0.01)),(IF($C252="JP",(IF($I252*$E252*0.0025&gt;1000,$I252*$E252*0.0025,1000)),(IF($C252="R토스",$I252*$E252*0.00015,(IF($C252="무상증자(신한)",ROUNDDOWN($I252*$E252*0.000036396,-1),"")))))))))))))</f>
        <v>150</v>
      </c>
      <c r="M252" s="206">
        <f>Q252*0.0025</f>
        <v>10532</v>
      </c>
      <c r="N252" s="34"/>
      <c r="O252" s="209">
        <f t="shared" si="100"/>
        <v>7</v>
      </c>
      <c r="P252" s="34">
        <f t="shared" ref="P252:P267" si="109">$E252*$F252*$D252</f>
        <v>4150000</v>
      </c>
      <c r="Q252" s="34">
        <f t="shared" ref="Q252:Q267" si="110">$E252*$I252*$D252</f>
        <v>4212800</v>
      </c>
      <c r="R252" s="7">
        <f t="shared" ref="R252:R267" si="111">($N252-$K252-$L252-$M252)*$D252</f>
        <v>-10832</v>
      </c>
      <c r="S252" s="227">
        <f t="shared" si="101"/>
        <v>51968</v>
      </c>
      <c r="T252" s="249">
        <f t="shared" si="102"/>
        <v>1.2522409638554216E-2</v>
      </c>
      <c r="U252" s="38"/>
      <c r="V252" s="33"/>
      <c r="W252" s="2"/>
      <c r="X252" s="2"/>
      <c r="Y252" s="2"/>
      <c r="Z252" s="7"/>
    </row>
    <row r="253" spans="2:26" ht="15" customHeight="1" x14ac:dyDescent="0.4">
      <c r="B253" s="38" t="s">
        <v>135</v>
      </c>
      <c r="C253" s="6" t="s">
        <v>122</v>
      </c>
      <c r="D253" s="6">
        <f t="shared" si="107"/>
        <v>1</v>
      </c>
      <c r="E253" s="34">
        <v>3</v>
      </c>
      <c r="F253" s="212">
        <v>31000</v>
      </c>
      <c r="G253" s="195">
        <v>45812</v>
      </c>
      <c r="H253" s="33" t="s">
        <v>113</v>
      </c>
      <c r="I253" s="212">
        <v>29000</v>
      </c>
      <c r="J253" s="8">
        <v>45925</v>
      </c>
      <c r="K253" s="23">
        <f t="shared" si="108"/>
        <v>13.95</v>
      </c>
      <c r="L253" s="23"/>
      <c r="M253" s="206">
        <f t="shared" ref="M253:M267" si="112">Q253*0.0015</f>
        <v>130.5</v>
      </c>
      <c r="N253" s="34"/>
      <c r="O253" s="209">
        <f t="shared" si="100"/>
        <v>114</v>
      </c>
      <c r="P253" s="34">
        <f t="shared" si="109"/>
        <v>93000</v>
      </c>
      <c r="Q253" s="34">
        <f t="shared" si="110"/>
        <v>87000</v>
      </c>
      <c r="R253" s="7">
        <f t="shared" si="111"/>
        <v>-144.44999999999999</v>
      </c>
      <c r="S253" s="227">
        <f t="shared" si="101"/>
        <v>-6144.45</v>
      </c>
      <c r="T253" s="249">
        <f t="shared" si="102"/>
        <v>-6.6069354838709682E-2</v>
      </c>
      <c r="U253" s="38"/>
      <c r="V253" s="36">
        <f t="shared" ref="V253:V262" si="113">+P253*0.05*O253/365</f>
        <v>1452.3287671232877</v>
      </c>
      <c r="W253" s="2"/>
      <c r="X253" s="2"/>
      <c r="Y253" s="2"/>
      <c r="Z253" s="7"/>
    </row>
    <row r="254" spans="2:26" ht="15" customHeight="1" x14ac:dyDescent="0.4">
      <c r="B254" s="38" t="s">
        <v>135</v>
      </c>
      <c r="C254" s="6" t="s">
        <v>122</v>
      </c>
      <c r="D254" s="6">
        <f t="shared" si="107"/>
        <v>1</v>
      </c>
      <c r="E254" s="34">
        <v>10</v>
      </c>
      <c r="F254" s="212">
        <v>30500</v>
      </c>
      <c r="G254" s="195">
        <v>45812</v>
      </c>
      <c r="H254" s="33" t="s">
        <v>113</v>
      </c>
      <c r="I254" s="212">
        <v>29000</v>
      </c>
      <c r="J254" s="8">
        <v>45925</v>
      </c>
      <c r="K254" s="23">
        <f t="shared" si="108"/>
        <v>45.749999999999993</v>
      </c>
      <c r="L254" s="23"/>
      <c r="M254" s="206">
        <f t="shared" si="112"/>
        <v>435</v>
      </c>
      <c r="N254" s="34"/>
      <c r="O254" s="209">
        <f t="shared" si="100"/>
        <v>114</v>
      </c>
      <c r="P254" s="34">
        <f t="shared" si="109"/>
        <v>305000</v>
      </c>
      <c r="Q254" s="34">
        <f t="shared" si="110"/>
        <v>290000</v>
      </c>
      <c r="R254" s="7">
        <f t="shared" si="111"/>
        <v>-480.75</v>
      </c>
      <c r="S254" s="227">
        <f t="shared" si="101"/>
        <v>-15480.75</v>
      </c>
      <c r="T254" s="249">
        <f t="shared" si="102"/>
        <v>-5.0756557377049177E-2</v>
      </c>
      <c r="U254" s="38"/>
      <c r="V254" s="36">
        <f t="shared" si="113"/>
        <v>4763.0136986301368</v>
      </c>
      <c r="W254" s="2"/>
      <c r="X254" s="2"/>
      <c r="Y254" s="2"/>
      <c r="Z254" s="7"/>
    </row>
    <row r="255" spans="2:26" ht="15" customHeight="1" x14ac:dyDescent="0.4">
      <c r="B255" s="38" t="s">
        <v>135</v>
      </c>
      <c r="C255" s="6" t="s">
        <v>122</v>
      </c>
      <c r="D255" s="6">
        <f t="shared" si="107"/>
        <v>1</v>
      </c>
      <c r="E255" s="34">
        <v>3</v>
      </c>
      <c r="F255" s="212">
        <v>28500</v>
      </c>
      <c r="G255" s="195">
        <v>45813</v>
      </c>
      <c r="H255" s="33" t="s">
        <v>113</v>
      </c>
      <c r="I255" s="212">
        <v>29000</v>
      </c>
      <c r="J255" s="8">
        <v>45925</v>
      </c>
      <c r="K255" s="23">
        <f t="shared" si="108"/>
        <v>12.824999999999999</v>
      </c>
      <c r="L255" s="23"/>
      <c r="M255" s="206">
        <f t="shared" si="112"/>
        <v>130.5</v>
      </c>
      <c r="N255" s="34"/>
      <c r="O255" s="209">
        <f t="shared" si="100"/>
        <v>113</v>
      </c>
      <c r="P255" s="34">
        <f t="shared" si="109"/>
        <v>85500</v>
      </c>
      <c r="Q255" s="34">
        <f t="shared" si="110"/>
        <v>87000</v>
      </c>
      <c r="R255" s="7">
        <f t="shared" si="111"/>
        <v>-143.32499999999999</v>
      </c>
      <c r="S255" s="227">
        <f t="shared" si="101"/>
        <v>1356.675</v>
      </c>
      <c r="T255" s="249">
        <f t="shared" si="102"/>
        <v>1.5867543859649121E-2</v>
      </c>
      <c r="U255" s="38"/>
      <c r="V255" s="36">
        <f t="shared" si="113"/>
        <v>1323.4931506849316</v>
      </c>
      <c r="W255" s="2"/>
      <c r="X255" s="2"/>
      <c r="Y255" s="2"/>
      <c r="Z255" s="7"/>
    </row>
    <row r="256" spans="2:26" ht="15" customHeight="1" x14ac:dyDescent="0.4">
      <c r="B256" s="38" t="s">
        <v>135</v>
      </c>
      <c r="C256" s="6" t="s">
        <v>122</v>
      </c>
      <c r="D256" s="6">
        <f t="shared" si="107"/>
        <v>1</v>
      </c>
      <c r="E256" s="34">
        <v>2</v>
      </c>
      <c r="F256" s="212">
        <v>26700</v>
      </c>
      <c r="G256" s="195">
        <v>45817</v>
      </c>
      <c r="H256" s="33" t="s">
        <v>113</v>
      </c>
      <c r="I256" s="212">
        <v>29000</v>
      </c>
      <c r="J256" s="8">
        <v>45925</v>
      </c>
      <c r="K256" s="23">
        <f t="shared" si="108"/>
        <v>8.01</v>
      </c>
      <c r="L256" s="23"/>
      <c r="M256" s="206">
        <f t="shared" si="112"/>
        <v>87</v>
      </c>
      <c r="N256" s="34"/>
      <c r="O256" s="209">
        <f t="shared" si="100"/>
        <v>109</v>
      </c>
      <c r="P256" s="34">
        <f t="shared" si="109"/>
        <v>53400</v>
      </c>
      <c r="Q256" s="34">
        <f t="shared" si="110"/>
        <v>58000</v>
      </c>
      <c r="R256" s="7">
        <f t="shared" si="111"/>
        <v>-95.01</v>
      </c>
      <c r="S256" s="227">
        <f t="shared" si="101"/>
        <v>4504.99</v>
      </c>
      <c r="T256" s="249">
        <f t="shared" si="102"/>
        <v>8.4363108614232199E-2</v>
      </c>
      <c r="U256" s="38"/>
      <c r="V256" s="36">
        <f t="shared" si="113"/>
        <v>797.34246575342468</v>
      </c>
      <c r="W256" s="2"/>
      <c r="X256" s="2"/>
      <c r="Y256" s="2"/>
      <c r="Z256" s="7"/>
    </row>
    <row r="257" spans="1:26" ht="15" customHeight="1" x14ac:dyDescent="0.4">
      <c r="B257" s="38" t="s">
        <v>135</v>
      </c>
      <c r="C257" s="6" t="s">
        <v>122</v>
      </c>
      <c r="D257" s="6">
        <f t="shared" si="107"/>
        <v>1</v>
      </c>
      <c r="E257" s="34">
        <v>2</v>
      </c>
      <c r="F257" s="212">
        <v>27000</v>
      </c>
      <c r="G257" s="195">
        <v>45818</v>
      </c>
      <c r="H257" s="33" t="s">
        <v>113</v>
      </c>
      <c r="I257" s="212">
        <v>29000</v>
      </c>
      <c r="J257" s="8">
        <v>45925</v>
      </c>
      <c r="K257" s="23">
        <f t="shared" si="108"/>
        <v>8.1</v>
      </c>
      <c r="L257" s="23"/>
      <c r="M257" s="206">
        <f t="shared" si="112"/>
        <v>87</v>
      </c>
      <c r="N257" s="34"/>
      <c r="O257" s="209">
        <f t="shared" si="100"/>
        <v>108</v>
      </c>
      <c r="P257" s="34">
        <f t="shared" si="109"/>
        <v>54000</v>
      </c>
      <c r="Q257" s="34">
        <f t="shared" si="110"/>
        <v>58000</v>
      </c>
      <c r="R257" s="7">
        <f t="shared" si="111"/>
        <v>-95.1</v>
      </c>
      <c r="S257" s="227">
        <f t="shared" si="101"/>
        <v>3904.9</v>
      </c>
      <c r="T257" s="249">
        <f t="shared" si="102"/>
        <v>7.2312962962962968E-2</v>
      </c>
      <c r="U257" s="38"/>
      <c r="V257" s="36">
        <f t="shared" si="113"/>
        <v>798.90410958904113</v>
      </c>
      <c r="W257" s="2"/>
      <c r="X257" s="2"/>
      <c r="Y257" s="2"/>
      <c r="Z257" s="7"/>
    </row>
    <row r="258" spans="1:26" ht="15" customHeight="1" x14ac:dyDescent="0.4">
      <c r="B258" s="38" t="s">
        <v>135</v>
      </c>
      <c r="C258" s="6" t="s">
        <v>122</v>
      </c>
      <c r="D258" s="6">
        <f t="shared" si="107"/>
        <v>1</v>
      </c>
      <c r="E258" s="34">
        <v>25</v>
      </c>
      <c r="F258" s="212">
        <v>27400</v>
      </c>
      <c r="G258" s="195">
        <v>45818</v>
      </c>
      <c r="H258" s="33" t="s">
        <v>113</v>
      </c>
      <c r="I258" s="212">
        <v>29000</v>
      </c>
      <c r="J258" s="8">
        <v>45925</v>
      </c>
      <c r="K258" s="23">
        <f t="shared" si="108"/>
        <v>102.74999999999999</v>
      </c>
      <c r="L258" s="23"/>
      <c r="M258" s="206">
        <f t="shared" si="112"/>
        <v>1087.5</v>
      </c>
      <c r="N258" s="34"/>
      <c r="O258" s="209">
        <f t="shared" si="100"/>
        <v>108</v>
      </c>
      <c r="P258" s="34">
        <f t="shared" si="109"/>
        <v>685000</v>
      </c>
      <c r="Q258" s="34">
        <f t="shared" si="110"/>
        <v>725000</v>
      </c>
      <c r="R258" s="7">
        <f t="shared" si="111"/>
        <v>-1190.25</v>
      </c>
      <c r="S258" s="227">
        <f t="shared" si="101"/>
        <v>38809.75</v>
      </c>
      <c r="T258" s="249">
        <f t="shared" si="102"/>
        <v>5.6656569343065691E-2</v>
      </c>
      <c r="U258" s="38"/>
      <c r="V258" s="36">
        <f t="shared" si="113"/>
        <v>10134.246575342466</v>
      </c>
      <c r="W258" s="2"/>
      <c r="X258" s="2"/>
      <c r="Y258" s="2"/>
      <c r="Z258" s="7"/>
    </row>
    <row r="259" spans="1:26" ht="15" customHeight="1" x14ac:dyDescent="0.4">
      <c r="B259" s="38" t="s">
        <v>135</v>
      </c>
      <c r="C259" s="6" t="s">
        <v>122</v>
      </c>
      <c r="D259" s="6">
        <f t="shared" si="107"/>
        <v>1</v>
      </c>
      <c r="E259" s="34">
        <v>20</v>
      </c>
      <c r="F259" s="212">
        <v>27200</v>
      </c>
      <c r="G259" s="195">
        <v>45818</v>
      </c>
      <c r="H259" s="33" t="s">
        <v>113</v>
      </c>
      <c r="I259" s="212">
        <v>29000</v>
      </c>
      <c r="J259" s="8">
        <v>45925</v>
      </c>
      <c r="K259" s="23">
        <f t="shared" si="108"/>
        <v>81.599999999999994</v>
      </c>
      <c r="L259" s="23"/>
      <c r="M259" s="206">
        <f t="shared" si="112"/>
        <v>870</v>
      </c>
      <c r="N259" s="34"/>
      <c r="O259" s="209">
        <f t="shared" si="100"/>
        <v>108</v>
      </c>
      <c r="P259" s="34">
        <f t="shared" si="109"/>
        <v>544000</v>
      </c>
      <c r="Q259" s="34">
        <f t="shared" si="110"/>
        <v>580000</v>
      </c>
      <c r="R259" s="7">
        <f t="shared" si="111"/>
        <v>-951.6</v>
      </c>
      <c r="S259" s="227">
        <f t="shared" si="101"/>
        <v>35048.400000000001</v>
      </c>
      <c r="T259" s="249">
        <f t="shared" si="102"/>
        <v>6.4427205882352942E-2</v>
      </c>
      <c r="U259" s="38"/>
      <c r="V259" s="36">
        <f t="shared" si="113"/>
        <v>8048.2191780821922</v>
      </c>
    </row>
    <row r="260" spans="1:26" s="33" customFormat="1" ht="15" customHeight="1" x14ac:dyDescent="0.4">
      <c r="A260" s="33" t="s">
        <v>113</v>
      </c>
      <c r="B260" s="38" t="s">
        <v>135</v>
      </c>
      <c r="C260" s="6" t="s">
        <v>122</v>
      </c>
      <c r="D260" s="6">
        <f t="shared" si="107"/>
        <v>1</v>
      </c>
      <c r="E260" s="34">
        <v>100</v>
      </c>
      <c r="F260" s="212">
        <v>27450</v>
      </c>
      <c r="G260" s="195">
        <v>45819</v>
      </c>
      <c r="H260" s="33" t="s">
        <v>113</v>
      </c>
      <c r="I260" s="212">
        <v>31650</v>
      </c>
      <c r="J260" s="8">
        <v>45926</v>
      </c>
      <c r="K260" s="23">
        <f t="shared" si="108"/>
        <v>411.74999999999994</v>
      </c>
      <c r="L260" s="23"/>
      <c r="M260" s="206">
        <f t="shared" si="112"/>
        <v>4747.5</v>
      </c>
      <c r="N260" s="34"/>
      <c r="O260" s="209">
        <f t="shared" si="100"/>
        <v>108</v>
      </c>
      <c r="P260" s="34">
        <f t="shared" si="109"/>
        <v>2745000</v>
      </c>
      <c r="Q260" s="34">
        <f t="shared" si="110"/>
        <v>3165000</v>
      </c>
      <c r="R260" s="7">
        <f t="shared" si="111"/>
        <v>-5159.25</v>
      </c>
      <c r="S260" s="227">
        <f t="shared" si="101"/>
        <v>414840.75</v>
      </c>
      <c r="T260" s="249">
        <f t="shared" si="102"/>
        <v>0.15112595628415301</v>
      </c>
      <c r="V260" s="36">
        <f t="shared" si="113"/>
        <v>40610.95890410959</v>
      </c>
    </row>
    <row r="261" spans="1:26" s="33" customFormat="1" ht="15" customHeight="1" x14ac:dyDescent="0.4">
      <c r="A261" s="33" t="s">
        <v>113</v>
      </c>
      <c r="B261" s="38" t="s">
        <v>135</v>
      </c>
      <c r="C261" s="6" t="s">
        <v>122</v>
      </c>
      <c r="D261" s="6">
        <f t="shared" si="107"/>
        <v>1</v>
      </c>
      <c r="E261" s="34">
        <v>20</v>
      </c>
      <c r="F261" s="212">
        <v>27800</v>
      </c>
      <c r="G261" s="195">
        <v>45827</v>
      </c>
      <c r="H261" s="33" t="s">
        <v>113</v>
      </c>
      <c r="I261" s="212">
        <v>29000</v>
      </c>
      <c r="J261" s="8">
        <v>45925</v>
      </c>
      <c r="K261" s="23">
        <f t="shared" si="108"/>
        <v>83.399999999999991</v>
      </c>
      <c r="L261" s="23"/>
      <c r="M261" s="206">
        <f t="shared" si="112"/>
        <v>870</v>
      </c>
      <c r="N261" s="34"/>
      <c r="O261" s="209">
        <f t="shared" si="100"/>
        <v>99</v>
      </c>
      <c r="P261" s="34">
        <f t="shared" si="109"/>
        <v>556000</v>
      </c>
      <c r="Q261" s="34">
        <f t="shared" si="110"/>
        <v>580000</v>
      </c>
      <c r="R261" s="7">
        <f t="shared" si="111"/>
        <v>-953.4</v>
      </c>
      <c r="S261" s="227">
        <f t="shared" si="101"/>
        <v>23046.6</v>
      </c>
      <c r="T261" s="249">
        <f t="shared" si="102"/>
        <v>4.1450719424460429E-2</v>
      </c>
      <c r="V261" s="36">
        <f t="shared" si="113"/>
        <v>7540.2739726027394</v>
      </c>
    </row>
    <row r="262" spans="1:26" s="33" customFormat="1" ht="15" customHeight="1" x14ac:dyDescent="0.4">
      <c r="A262" s="33" t="s">
        <v>113</v>
      </c>
      <c r="B262" s="38" t="s">
        <v>135</v>
      </c>
      <c r="C262" s="6" t="s">
        <v>122</v>
      </c>
      <c r="D262" s="6">
        <f t="shared" si="107"/>
        <v>1</v>
      </c>
      <c r="E262" s="34">
        <v>5</v>
      </c>
      <c r="F262" s="212">
        <v>24600</v>
      </c>
      <c r="G262" s="195">
        <v>45848</v>
      </c>
      <c r="H262" s="33" t="s">
        <v>113</v>
      </c>
      <c r="I262" s="212">
        <v>29000</v>
      </c>
      <c r="J262" s="8">
        <v>45925</v>
      </c>
      <c r="K262" s="23">
        <f t="shared" si="108"/>
        <v>18.45</v>
      </c>
      <c r="L262" s="23"/>
      <c r="M262" s="206">
        <f t="shared" si="112"/>
        <v>217.5</v>
      </c>
      <c r="N262" s="34"/>
      <c r="O262" s="209">
        <f t="shared" si="100"/>
        <v>78</v>
      </c>
      <c r="P262" s="34">
        <f t="shared" si="109"/>
        <v>123000</v>
      </c>
      <c r="Q262" s="34">
        <f t="shared" si="110"/>
        <v>145000</v>
      </c>
      <c r="R262" s="7">
        <f t="shared" si="111"/>
        <v>-235.95</v>
      </c>
      <c r="S262" s="227">
        <f t="shared" si="101"/>
        <v>21764.05</v>
      </c>
      <c r="T262" s="249">
        <f t="shared" si="102"/>
        <v>0.17694349593495934</v>
      </c>
      <c r="V262" s="36">
        <f t="shared" si="113"/>
        <v>1314.2465753424658</v>
      </c>
    </row>
    <row r="263" spans="1:26" s="33" customFormat="1" ht="15" customHeight="1" x14ac:dyDescent="0.4">
      <c r="A263" s="33" t="s">
        <v>113</v>
      </c>
      <c r="B263" s="38" t="s">
        <v>135</v>
      </c>
      <c r="C263" s="6" t="s">
        <v>122</v>
      </c>
      <c r="D263" s="6">
        <f t="shared" si="107"/>
        <v>1</v>
      </c>
      <c r="E263" s="34">
        <v>10</v>
      </c>
      <c r="F263" s="212">
        <v>25500</v>
      </c>
      <c r="G263" s="195">
        <v>45852</v>
      </c>
      <c r="I263" s="212">
        <v>29000</v>
      </c>
      <c r="J263" s="8">
        <v>45925</v>
      </c>
      <c r="K263" s="23">
        <f t="shared" si="108"/>
        <v>38.25</v>
      </c>
      <c r="L263" s="23"/>
      <c r="M263" s="206">
        <f t="shared" si="112"/>
        <v>435</v>
      </c>
      <c r="N263" s="34"/>
      <c r="O263" s="209">
        <f t="shared" si="100"/>
        <v>74</v>
      </c>
      <c r="P263" s="34">
        <f t="shared" si="109"/>
        <v>255000</v>
      </c>
      <c r="Q263" s="34">
        <f t="shared" si="110"/>
        <v>290000</v>
      </c>
      <c r="R263" s="7">
        <f t="shared" si="111"/>
        <v>-473.25</v>
      </c>
      <c r="S263" s="227">
        <f t="shared" si="101"/>
        <v>34526.75</v>
      </c>
      <c r="T263" s="249">
        <f t="shared" si="102"/>
        <v>0.13539901960784315</v>
      </c>
      <c r="V263" s="36"/>
    </row>
    <row r="264" spans="1:26" s="33" customFormat="1" ht="15" customHeight="1" x14ac:dyDescent="0.4">
      <c r="A264" s="33" t="s">
        <v>113</v>
      </c>
      <c r="B264" s="38" t="s">
        <v>135</v>
      </c>
      <c r="C264" s="6" t="s">
        <v>122</v>
      </c>
      <c r="D264" s="6">
        <f t="shared" si="107"/>
        <v>1</v>
      </c>
      <c r="E264" s="34">
        <v>10</v>
      </c>
      <c r="F264" s="212">
        <v>25500</v>
      </c>
      <c r="G264" s="195">
        <v>45852</v>
      </c>
      <c r="I264" s="212">
        <v>35550</v>
      </c>
      <c r="J264" s="8">
        <v>45931</v>
      </c>
      <c r="K264" s="23">
        <f t="shared" si="108"/>
        <v>38.25</v>
      </c>
      <c r="L264" s="23"/>
      <c r="M264" s="206">
        <f t="shared" si="112"/>
        <v>533.25</v>
      </c>
      <c r="N264" s="34"/>
      <c r="O264" s="209">
        <f t="shared" si="100"/>
        <v>80</v>
      </c>
      <c r="P264" s="34">
        <f t="shared" si="109"/>
        <v>255000</v>
      </c>
      <c r="Q264" s="34">
        <f t="shared" si="110"/>
        <v>355500</v>
      </c>
      <c r="R264" s="7">
        <f t="shared" si="111"/>
        <v>-571.5</v>
      </c>
      <c r="S264" s="227">
        <f t="shared" si="101"/>
        <v>99928.5</v>
      </c>
      <c r="T264" s="249">
        <f t="shared" si="102"/>
        <v>0.39187647058823527</v>
      </c>
      <c r="V264" s="36"/>
    </row>
    <row r="265" spans="1:26" s="33" customFormat="1" ht="15" customHeight="1" x14ac:dyDescent="0.4">
      <c r="A265" s="33" t="s">
        <v>113</v>
      </c>
      <c r="B265" s="38" t="s">
        <v>135</v>
      </c>
      <c r="C265" s="6" t="s">
        <v>122</v>
      </c>
      <c r="D265" s="6">
        <f t="shared" si="107"/>
        <v>1</v>
      </c>
      <c r="E265" s="34">
        <v>7</v>
      </c>
      <c r="F265" s="212">
        <v>24200</v>
      </c>
      <c r="G265" s="195">
        <v>45894</v>
      </c>
      <c r="H265" s="33" t="s">
        <v>113</v>
      </c>
      <c r="I265" s="212">
        <v>35550</v>
      </c>
      <c r="J265" s="8">
        <v>45931</v>
      </c>
      <c r="K265" s="23">
        <f t="shared" si="108"/>
        <v>25.409999999999997</v>
      </c>
      <c r="L265" s="23"/>
      <c r="M265" s="206">
        <f t="shared" si="112"/>
        <v>373.27500000000003</v>
      </c>
      <c r="N265" s="34"/>
      <c r="O265" s="209">
        <f t="shared" si="100"/>
        <v>38</v>
      </c>
      <c r="P265" s="34">
        <f t="shared" si="109"/>
        <v>169400</v>
      </c>
      <c r="Q265" s="34">
        <f t="shared" si="110"/>
        <v>248850</v>
      </c>
      <c r="R265" s="7">
        <f t="shared" si="111"/>
        <v>-398.68500000000006</v>
      </c>
      <c r="S265" s="227">
        <f t="shared" si="101"/>
        <v>79051.315000000002</v>
      </c>
      <c r="T265" s="249">
        <f t="shared" si="102"/>
        <v>0.46665475206611573</v>
      </c>
      <c r="V265" s="36">
        <f>+P265*0.05*O265/365</f>
        <v>881.80821917808214</v>
      </c>
    </row>
    <row r="266" spans="1:26" s="33" customFormat="1" ht="15" customHeight="1" x14ac:dyDescent="0.4">
      <c r="A266" s="33" t="s">
        <v>113</v>
      </c>
      <c r="B266" s="38" t="s">
        <v>135</v>
      </c>
      <c r="C266" s="6" t="s">
        <v>122</v>
      </c>
      <c r="D266" s="6">
        <f t="shared" si="107"/>
        <v>1</v>
      </c>
      <c r="E266" s="34">
        <v>10</v>
      </c>
      <c r="F266" s="212">
        <v>25500</v>
      </c>
      <c r="G266" s="195">
        <v>45922</v>
      </c>
      <c r="H266" s="8" t="s">
        <v>113</v>
      </c>
      <c r="I266" s="212">
        <v>35550</v>
      </c>
      <c r="J266" s="8">
        <v>45931</v>
      </c>
      <c r="K266" s="23">
        <f t="shared" si="108"/>
        <v>38.25</v>
      </c>
      <c r="L266" s="23"/>
      <c r="M266" s="206">
        <f t="shared" si="112"/>
        <v>533.25</v>
      </c>
      <c r="N266" s="34"/>
      <c r="O266" s="209">
        <f t="shared" si="100"/>
        <v>10</v>
      </c>
      <c r="P266" s="34">
        <f t="shared" si="109"/>
        <v>255000</v>
      </c>
      <c r="Q266" s="34">
        <f t="shared" si="110"/>
        <v>355500</v>
      </c>
      <c r="R266" s="7">
        <f t="shared" si="111"/>
        <v>-571.5</v>
      </c>
      <c r="S266" s="227">
        <f t="shared" si="101"/>
        <v>99928.5</v>
      </c>
      <c r="T266" s="249">
        <f t="shared" si="102"/>
        <v>0.39187647058823527</v>
      </c>
      <c r="V266" s="36">
        <f>+P266*0.05*O266/365</f>
        <v>349.3150684931507</v>
      </c>
    </row>
    <row r="267" spans="1:26" s="33" customFormat="1" ht="15" customHeight="1" x14ac:dyDescent="0.4">
      <c r="A267" s="33" t="s">
        <v>113</v>
      </c>
      <c r="B267" s="38" t="s">
        <v>135</v>
      </c>
      <c r="C267" s="6" t="s">
        <v>122</v>
      </c>
      <c r="D267" s="6">
        <f t="shared" si="107"/>
        <v>1</v>
      </c>
      <c r="E267" s="34">
        <v>80</v>
      </c>
      <c r="F267" s="212">
        <v>26200</v>
      </c>
      <c r="G267" s="195">
        <v>45923</v>
      </c>
      <c r="H267" s="8"/>
      <c r="I267" s="212">
        <v>35550</v>
      </c>
      <c r="J267" s="8">
        <v>45931</v>
      </c>
      <c r="K267" s="23">
        <f t="shared" si="108"/>
        <v>314.39999999999998</v>
      </c>
      <c r="L267" s="23"/>
      <c r="M267" s="206">
        <f t="shared" si="112"/>
        <v>4266</v>
      </c>
      <c r="N267" s="34"/>
      <c r="O267" s="209">
        <f t="shared" si="100"/>
        <v>9</v>
      </c>
      <c r="P267" s="34">
        <f t="shared" si="109"/>
        <v>2096000</v>
      </c>
      <c r="Q267" s="34">
        <f t="shared" si="110"/>
        <v>2844000</v>
      </c>
      <c r="R267" s="7">
        <f t="shared" si="111"/>
        <v>-4580.3999999999996</v>
      </c>
      <c r="S267" s="227">
        <f t="shared" si="101"/>
        <v>743419.6</v>
      </c>
      <c r="T267" s="249">
        <f t="shared" si="102"/>
        <v>0.35468492366412213</v>
      </c>
      <c r="V267" s="36"/>
    </row>
    <row r="268" spans="1:26" s="33" customFormat="1" ht="15" customHeight="1" x14ac:dyDescent="0.4">
      <c r="A268" s="33" t="s">
        <v>113</v>
      </c>
      <c r="B268" s="38" t="s">
        <v>239</v>
      </c>
      <c r="C268" s="6" t="s">
        <v>162</v>
      </c>
      <c r="D268" s="6"/>
      <c r="E268" s="36">
        <v>60</v>
      </c>
      <c r="F268" s="212">
        <v>18500</v>
      </c>
      <c r="G268" s="195">
        <v>43211</v>
      </c>
      <c r="H268" s="8"/>
      <c r="I268" s="212">
        <v>22000</v>
      </c>
      <c r="J268" s="8">
        <v>43222</v>
      </c>
      <c r="K268" s="7">
        <f>ROUNDDOWN(E268*F268*0.0015,-1)</f>
        <v>1660</v>
      </c>
      <c r="L268" s="7">
        <f>ROUNDDOWN(I268*E268*0.0015,-1)</f>
        <v>1980</v>
      </c>
      <c r="M268" s="196">
        <f>I268*E268*0.003</f>
        <v>3960</v>
      </c>
      <c r="N268" s="36"/>
      <c r="O268" s="191">
        <f t="shared" si="100"/>
        <v>12</v>
      </c>
      <c r="P268" s="36">
        <f>F268*E268</f>
        <v>1110000</v>
      </c>
      <c r="Q268" s="36">
        <f>I268*E268</f>
        <v>1320000</v>
      </c>
      <c r="R268" s="7">
        <f>N268-K268-L268-M268</f>
        <v>-7600</v>
      </c>
      <c r="S268" s="227">
        <f t="shared" si="101"/>
        <v>202400</v>
      </c>
      <c r="T268" s="248">
        <f t="shared" si="102"/>
        <v>0.18234234234234234</v>
      </c>
      <c r="U268" s="9">
        <f>T268*365/O268</f>
        <v>5.5462462462462456</v>
      </c>
      <c r="V268" s="6"/>
    </row>
    <row r="269" spans="1:26" s="33" customFormat="1" ht="15" customHeight="1" x14ac:dyDescent="0.4">
      <c r="A269" s="33" t="s">
        <v>113</v>
      </c>
      <c r="B269" s="198" t="s">
        <v>239</v>
      </c>
      <c r="C269" s="6" t="s">
        <v>162</v>
      </c>
      <c r="D269" s="15"/>
      <c r="E269" s="36">
        <v>100</v>
      </c>
      <c r="F269" s="212">
        <v>9800</v>
      </c>
      <c r="G269" s="195">
        <v>43616</v>
      </c>
      <c r="H269" s="8"/>
      <c r="I269" s="212">
        <v>10700</v>
      </c>
      <c r="J269" s="8">
        <v>43629</v>
      </c>
      <c r="K269" s="7">
        <f>ROUNDDOWN(E269*F269*0.0015,-1)</f>
        <v>1470</v>
      </c>
      <c r="L269" s="7">
        <f>ROUNDDOWN(I269*E269*0.0015,-1)</f>
        <v>1600</v>
      </c>
      <c r="M269" s="196">
        <f>ROUNDDOWN(I269*E269*0.0025, )</f>
        <v>2675</v>
      </c>
      <c r="N269" s="36"/>
      <c r="O269" s="191">
        <f t="shared" si="100"/>
        <v>14</v>
      </c>
      <c r="P269" s="36">
        <f>F269*E269</f>
        <v>980000</v>
      </c>
      <c r="Q269" s="36">
        <f>I269*E269</f>
        <v>1070000</v>
      </c>
      <c r="R269" s="7">
        <f>N269-K269-L269-M269</f>
        <v>-5745</v>
      </c>
      <c r="S269" s="227">
        <f t="shared" si="101"/>
        <v>84255</v>
      </c>
      <c r="T269" s="248">
        <f t="shared" si="102"/>
        <v>8.5974489795918374E-2</v>
      </c>
      <c r="U269" s="9">
        <f>T269*365/O269</f>
        <v>2.2414777696793005</v>
      </c>
      <c r="V269" s="6"/>
    </row>
    <row r="270" spans="1:26" s="33" customFormat="1" ht="15" customHeight="1" x14ac:dyDescent="0.4">
      <c r="A270" s="33" t="s">
        <v>113</v>
      </c>
      <c r="B270" s="198" t="s">
        <v>239</v>
      </c>
      <c r="C270" s="6" t="s">
        <v>162</v>
      </c>
      <c r="D270" s="15"/>
      <c r="E270" s="36">
        <v>200</v>
      </c>
      <c r="F270" s="212">
        <v>9800</v>
      </c>
      <c r="G270" s="195">
        <v>43616</v>
      </c>
      <c r="H270" s="8"/>
      <c r="I270" s="212">
        <v>11000</v>
      </c>
      <c r="J270" s="8">
        <v>43633</v>
      </c>
      <c r="K270" s="7">
        <f>ROUNDDOWN(E270*F270*0.0015,-1)</f>
        <v>2940</v>
      </c>
      <c r="L270" s="7">
        <f>ROUNDDOWN(I270*E270*0.0015,-1)</f>
        <v>3300</v>
      </c>
      <c r="M270" s="196">
        <f>ROUNDDOWN(I270*E270*0.0025, )</f>
        <v>5500</v>
      </c>
      <c r="N270" s="36"/>
      <c r="O270" s="191">
        <f t="shared" si="100"/>
        <v>18</v>
      </c>
      <c r="P270" s="36">
        <f>F270*E270</f>
        <v>1960000</v>
      </c>
      <c r="Q270" s="36">
        <f>I270*E270</f>
        <v>2200000</v>
      </c>
      <c r="R270" s="7">
        <f>N270-K270-L270-M270</f>
        <v>-11740</v>
      </c>
      <c r="S270" s="227">
        <f t="shared" si="101"/>
        <v>228260</v>
      </c>
      <c r="T270" s="248">
        <f t="shared" si="102"/>
        <v>0.11645918367346939</v>
      </c>
      <c r="U270" s="9">
        <f>T270*365/O270</f>
        <v>2.3615334467120181</v>
      </c>
      <c r="V270" s="6"/>
    </row>
    <row r="271" spans="1:26" s="33" customFormat="1" ht="15" customHeight="1" x14ac:dyDescent="0.4">
      <c r="A271" s="33" t="s">
        <v>113</v>
      </c>
      <c r="B271" s="38" t="s">
        <v>240</v>
      </c>
      <c r="C271" s="6" t="s">
        <v>162</v>
      </c>
      <c r="D271" s="6"/>
      <c r="E271" s="36">
        <v>100</v>
      </c>
      <c r="F271" s="212">
        <v>25500</v>
      </c>
      <c r="G271" s="195">
        <v>42601</v>
      </c>
      <c r="H271" s="8"/>
      <c r="I271" s="212">
        <v>27000</v>
      </c>
      <c r="J271" s="8">
        <v>42613</v>
      </c>
      <c r="K271" s="7">
        <f>ROUNDDOWN(E271*F271*0.0015,-1)</f>
        <v>3820</v>
      </c>
      <c r="L271" s="7">
        <f>ROUNDDOWN(I271*E271*0.0015,-1)</f>
        <v>4050</v>
      </c>
      <c r="M271" s="196">
        <f>I271*E271*0.003</f>
        <v>8100</v>
      </c>
      <c r="N271" s="36"/>
      <c r="O271" s="191">
        <f t="shared" si="100"/>
        <v>13</v>
      </c>
      <c r="P271" s="36">
        <f>F271*E271</f>
        <v>2550000</v>
      </c>
      <c r="Q271" s="36">
        <f>I271*E271</f>
        <v>2700000</v>
      </c>
      <c r="R271" s="7">
        <f>N271-K271-L271-M271</f>
        <v>-15970</v>
      </c>
      <c r="S271" s="227">
        <f t="shared" si="101"/>
        <v>134030</v>
      </c>
      <c r="T271" s="248">
        <f t="shared" si="102"/>
        <v>5.2560784313725489E-2</v>
      </c>
      <c r="U271" s="9">
        <f>T271*365/O271</f>
        <v>1.4757450980392157</v>
      </c>
      <c r="V271" s="6"/>
    </row>
    <row r="272" spans="1:26" ht="15" customHeight="1" x14ac:dyDescent="0.4">
      <c r="B272" s="38" t="s">
        <v>241</v>
      </c>
      <c r="C272" s="6" t="s">
        <v>160</v>
      </c>
      <c r="D272" s="6">
        <f>IF(OR($C272="신한",$C272="OTC",$C272="무상증자(신한)",$C272="토스",$C272="R토스"),1,"확인")</f>
        <v>1</v>
      </c>
      <c r="E272" s="34">
        <v>30</v>
      </c>
      <c r="F272" s="212">
        <v>126500</v>
      </c>
      <c r="G272" s="195">
        <v>44027</v>
      </c>
      <c r="H272" s="8"/>
      <c r="I272" s="212">
        <v>131500</v>
      </c>
      <c r="J272" s="8">
        <v>44047</v>
      </c>
      <c r="K272" s="23">
        <f>IF($C272="OTC",ROUNDDOWN($E272*$F272*0.000909187,-1),(IF($C272="신한",ROUNDDOWN($E272*$F272*0.000036396,-1),(IF($C272="토스",$E272*$F272*0.00015,(IF($C272="US",(IF($E272*$F272*0.0025&gt;0.01,$E272*$F272*0.0025,0.01)),IF($C272="JP",(IF($E272*$F272*0.0025&gt;1000,$E272*$F272*0.0025,1000)),(IF($C272="R토스",0,IF($C272="무상증자(신한)",0,"")))))))))))</f>
        <v>130</v>
      </c>
      <c r="L272" s="23">
        <f>IF($C272="OTC",ROUNDDOWN($I272*$E272*0.000909187,-1),(IF($C272="신한",ROUNDDOWN($I272*$E272*0.000036396,-1),(IF($C272="토스",$I272*$E272*0.00015,(IF($C272="US",(IF($I272*$E272*0.0025&gt;0.01,$I272*$E272*0.0025,0.01)),(IF($C272="JP",(IF($I272*$E272*0.0025&gt;1000,$I272*$E272*0.0025,1000)),(IF($C272="R토스",$I272*$E272*0.00015,(IF($C272="무상증자(신한)",ROUNDDOWN($I272*$E272*0.000036396,-1),"")))))))))))))</f>
        <v>140</v>
      </c>
      <c r="M272" s="206">
        <f>Q272*0.0025</f>
        <v>9862.5</v>
      </c>
      <c r="N272" s="34"/>
      <c r="O272" s="209">
        <f t="shared" si="100"/>
        <v>21</v>
      </c>
      <c r="P272" s="34">
        <f>$E272*$F272*$D272</f>
        <v>3795000</v>
      </c>
      <c r="Q272" s="34">
        <f>$E272*$I272*$D272</f>
        <v>3945000</v>
      </c>
      <c r="R272" s="7">
        <f>($N272-$K272-$L272-$M272)*$D272</f>
        <v>-10132.5</v>
      </c>
      <c r="S272" s="227">
        <f t="shared" si="101"/>
        <v>139867.5</v>
      </c>
      <c r="T272" s="249">
        <f t="shared" si="102"/>
        <v>3.6855731225296444E-2</v>
      </c>
      <c r="U272" s="38"/>
      <c r="V272" s="33"/>
    </row>
    <row r="273" spans="2:22" ht="15" customHeight="1" x14ac:dyDescent="0.4">
      <c r="B273" s="38" t="s">
        <v>242</v>
      </c>
      <c r="C273" s="6" t="s">
        <v>160</v>
      </c>
      <c r="D273" s="6">
        <f>IF(OR($C273="신한",$C273="OTC",$C273="무상증자(신한)",$C273="토스",$C273="R토스"),1,"확인")</f>
        <v>1</v>
      </c>
      <c r="E273" s="34">
        <v>40</v>
      </c>
      <c r="F273" s="212">
        <v>29400</v>
      </c>
      <c r="G273" s="195">
        <v>44055</v>
      </c>
      <c r="H273" s="8"/>
      <c r="I273" s="212">
        <v>40200</v>
      </c>
      <c r="J273" s="8">
        <v>44142</v>
      </c>
      <c r="K273" s="23">
        <f>IF($C273="OTC",ROUNDDOWN($E273*$F273*0.000909187,-1),(IF($C273="신한",ROUNDDOWN($E273*$F273*0.000036396,-1),(IF($C273="토스",$E273*$F273*0.00015,(IF($C273="US",(IF($E273*$F273*0.0025&gt;0.01,$E273*$F273*0.0025,0.01)),IF($C273="JP",(IF($E273*$F273*0.0025&gt;1000,$E273*$F273*0.0025,1000)),(IF($C273="R토스",0,IF($C273="무상증자(신한)",0,"")))))))))))</f>
        <v>40</v>
      </c>
      <c r="L273" s="23">
        <f>IF($C273="OTC",ROUNDDOWN($I273*$E273*0.000909187,-1),(IF($C273="신한",ROUNDDOWN($I273*$E273*0.000036396,-1),(IF($C273="토스",$I273*$E273*0.00015,(IF($C273="US",(IF($I273*$E273*0.0025&gt;0.01,$I273*$E273*0.0025,0.01)),(IF($C273="JP",(IF($I273*$E273*0.0025&gt;1000,$I273*$E273*0.0025,1000)),(IF($C273="R토스",$I273*$E273*0.00015,(IF($C273="무상증자(신한)",ROUNDDOWN($I273*$E273*0.000036396,-1),"")))))))))))))</f>
        <v>50</v>
      </c>
      <c r="M273" s="206">
        <f>Q273*0.0025</f>
        <v>4020</v>
      </c>
      <c r="N273" s="34"/>
      <c r="O273" s="209">
        <f t="shared" si="100"/>
        <v>88</v>
      </c>
      <c r="P273" s="34">
        <f>$E273*$F273*$D273</f>
        <v>1176000</v>
      </c>
      <c r="Q273" s="34">
        <f>$E273*$I273*$D273</f>
        <v>1608000</v>
      </c>
      <c r="R273" s="7">
        <f>($N273-$K273-$L273-$M273)*$D273</f>
        <v>-4110</v>
      </c>
      <c r="S273" s="227">
        <f t="shared" si="101"/>
        <v>427890</v>
      </c>
      <c r="T273" s="249">
        <f t="shared" si="102"/>
        <v>0.36385204081632655</v>
      </c>
      <c r="U273" s="38"/>
      <c r="V273" s="33"/>
    </row>
    <row r="274" spans="2:22" ht="15" customHeight="1" x14ac:dyDescent="0.4">
      <c r="B274" s="38" t="s">
        <v>242</v>
      </c>
      <c r="C274" s="6" t="s">
        <v>160</v>
      </c>
      <c r="D274" s="6">
        <f>IF(OR($C274="신한",$C274="OTC",$C274="무상증자(신한)",$C274="토스",$C274="R토스"),1,"확인")</f>
        <v>1</v>
      </c>
      <c r="E274" s="34">
        <v>35</v>
      </c>
      <c r="F274" s="212">
        <v>28700</v>
      </c>
      <c r="G274" s="195">
        <v>44056</v>
      </c>
      <c r="H274" s="8"/>
      <c r="I274" s="212">
        <v>40200</v>
      </c>
      <c r="J274" s="8">
        <v>44142</v>
      </c>
      <c r="K274" s="23">
        <f>IF($C274="OTC",ROUNDDOWN($E274*$F274*0.000909187,-1),(IF($C274="신한",ROUNDDOWN($E274*$F274*0.000036396,-1),(IF($C274="토스",$E274*$F274*0.00015,(IF($C274="US",(IF($E274*$F274*0.0025&gt;0.01,$E274*$F274*0.0025,0.01)),IF($C274="JP",(IF($E274*$F274*0.0025&gt;1000,$E274*$F274*0.0025,1000)),(IF($C274="R토스",0,IF($C274="무상증자(신한)",0,"")))))))))))</f>
        <v>30</v>
      </c>
      <c r="L274" s="23">
        <f>IF($C274="OTC",ROUNDDOWN($I274*$E274*0.000909187,-1),(IF($C274="신한",ROUNDDOWN($I274*$E274*0.000036396,-1),(IF($C274="토스",$I274*$E274*0.00015,(IF($C274="US",(IF($I274*$E274*0.0025&gt;0.01,$I274*$E274*0.0025,0.01)),(IF($C274="JP",(IF($I274*$E274*0.0025&gt;1000,$I274*$E274*0.0025,1000)),(IF($C274="R토스",$I274*$E274*0.00015,(IF($C274="무상증자(신한)",ROUNDDOWN($I274*$E274*0.000036396,-1),"")))))))))))))</f>
        <v>50</v>
      </c>
      <c r="M274" s="206">
        <f>Q274*0.0025</f>
        <v>3517.5</v>
      </c>
      <c r="N274" s="34"/>
      <c r="O274" s="209">
        <f t="shared" si="100"/>
        <v>87</v>
      </c>
      <c r="P274" s="34">
        <f>$E274*$F274*$D274</f>
        <v>1004500</v>
      </c>
      <c r="Q274" s="34">
        <f>$E274*$I274*$D274</f>
        <v>1407000</v>
      </c>
      <c r="R274" s="7">
        <f>($N274-$K274-$L274-$M274)*$D274</f>
        <v>-3597.5</v>
      </c>
      <c r="S274" s="227">
        <f t="shared" si="101"/>
        <v>398902.5</v>
      </c>
      <c r="T274" s="249">
        <f t="shared" si="102"/>
        <v>0.39711548033847688</v>
      </c>
      <c r="U274" s="38"/>
      <c r="V274" s="33"/>
    </row>
    <row r="275" spans="2:22" ht="15" customHeight="1" x14ac:dyDescent="0.4">
      <c r="B275" s="38" t="s">
        <v>243</v>
      </c>
      <c r="C275" s="6" t="s">
        <v>162</v>
      </c>
      <c r="D275" s="6"/>
      <c r="E275" s="36">
        <v>200</v>
      </c>
      <c r="F275" s="212">
        <v>6200</v>
      </c>
      <c r="G275" s="195">
        <v>42599</v>
      </c>
      <c r="H275" s="8"/>
      <c r="I275" s="212">
        <v>6280</v>
      </c>
      <c r="J275" s="8">
        <v>42650</v>
      </c>
      <c r="K275" s="7">
        <f>ROUNDDOWN(E275*F275*0.0015,-1)</f>
        <v>1860</v>
      </c>
      <c r="L275" s="7">
        <f>ROUNDDOWN(I275*E275*0.0015,-1)</f>
        <v>1880</v>
      </c>
      <c r="M275" s="196">
        <f>I275*E275*0.003</f>
        <v>3768</v>
      </c>
      <c r="N275" s="36"/>
      <c r="O275" s="191">
        <f t="shared" si="100"/>
        <v>52</v>
      </c>
      <c r="P275" s="36">
        <f>F275*E275</f>
        <v>1240000</v>
      </c>
      <c r="Q275" s="36">
        <f>I275*E275</f>
        <v>1256000</v>
      </c>
      <c r="R275" s="7">
        <f>N275-K275-L275-M275</f>
        <v>-7508</v>
      </c>
      <c r="S275" s="227">
        <f t="shared" si="101"/>
        <v>8492</v>
      </c>
      <c r="T275" s="248">
        <f t="shared" si="102"/>
        <v>6.8483870967741937E-3</v>
      </c>
      <c r="U275" s="193">
        <f>T275*365/O275</f>
        <v>4.8070409429280397E-2</v>
      </c>
      <c r="V275" s="6"/>
    </row>
    <row r="276" spans="2:22" ht="15" customHeight="1" x14ac:dyDescent="0.4">
      <c r="B276" s="38" t="s">
        <v>243</v>
      </c>
      <c r="C276" s="6" t="s">
        <v>162</v>
      </c>
      <c r="D276" s="6"/>
      <c r="E276" s="36">
        <v>30</v>
      </c>
      <c r="F276" s="212">
        <v>6200</v>
      </c>
      <c r="G276" s="195">
        <v>42608</v>
      </c>
      <c r="H276" s="8"/>
      <c r="I276" s="212">
        <v>6280</v>
      </c>
      <c r="J276" s="8">
        <v>42650</v>
      </c>
      <c r="K276" s="7">
        <f>ROUNDDOWN(E276*F276*0.0015,-1)</f>
        <v>270</v>
      </c>
      <c r="L276" s="7">
        <f>ROUNDDOWN(I276*E276*0.0015,-1)</f>
        <v>280</v>
      </c>
      <c r="M276" s="196">
        <f>I276*E276*0.003</f>
        <v>565.20000000000005</v>
      </c>
      <c r="N276" s="36"/>
      <c r="O276" s="191">
        <f t="shared" si="100"/>
        <v>43</v>
      </c>
      <c r="P276" s="36">
        <f>F276*E276</f>
        <v>186000</v>
      </c>
      <c r="Q276" s="36">
        <f>I276*E276</f>
        <v>188400</v>
      </c>
      <c r="R276" s="7">
        <f>N276-K276-L276-M276</f>
        <v>-1115.2</v>
      </c>
      <c r="S276" s="227">
        <f t="shared" si="101"/>
        <v>1284.8</v>
      </c>
      <c r="T276" s="248">
        <f t="shared" si="102"/>
        <v>6.9075268817204299E-3</v>
      </c>
      <c r="U276" s="193">
        <f>T276*365/O276</f>
        <v>5.8633658414603655E-2</v>
      </c>
      <c r="V276" s="6"/>
    </row>
    <row r="277" spans="2:22" ht="15" customHeight="1" x14ac:dyDescent="0.4">
      <c r="B277" s="198" t="s">
        <v>244</v>
      </c>
      <c r="C277" s="6" t="s">
        <v>162</v>
      </c>
      <c r="D277" s="15"/>
      <c r="E277" s="36">
        <v>6</v>
      </c>
      <c r="F277" s="212">
        <v>259000</v>
      </c>
      <c r="G277" s="195">
        <v>43877</v>
      </c>
      <c r="H277" s="8"/>
      <c r="I277" s="212">
        <v>295000</v>
      </c>
      <c r="J277" s="8">
        <v>43925</v>
      </c>
      <c r="K277" s="7">
        <f>ROUNDDOWN(E277*F277*0.0015,-1)</f>
        <v>2330</v>
      </c>
      <c r="L277" s="7">
        <f>ROUNDDOWN(I277*E277*0.0015,-1)</f>
        <v>2650</v>
      </c>
      <c r="M277" s="196">
        <f>ROUNDDOWN(I277*E277*0.0025, )</f>
        <v>4425</v>
      </c>
      <c r="N277" s="36"/>
      <c r="O277" s="191">
        <f t="shared" si="100"/>
        <v>49</v>
      </c>
      <c r="P277" s="36">
        <f>F277*E277</f>
        <v>1554000</v>
      </c>
      <c r="Q277" s="36">
        <f>I277*E277</f>
        <v>1770000</v>
      </c>
      <c r="R277" s="7">
        <f>N277-K277-L277-M277</f>
        <v>-9405</v>
      </c>
      <c r="S277" s="227">
        <f t="shared" si="101"/>
        <v>206595</v>
      </c>
      <c r="T277" s="248">
        <f t="shared" si="102"/>
        <v>0.13294401544401543</v>
      </c>
      <c r="U277" s="193">
        <f>T277*365/O277</f>
        <v>0.99029725789929868</v>
      </c>
      <c r="V277" s="6"/>
    </row>
    <row r="278" spans="2:22" ht="15" customHeight="1" x14ac:dyDescent="0.4">
      <c r="B278" s="38" t="s">
        <v>245</v>
      </c>
      <c r="C278" s="6" t="s">
        <v>162</v>
      </c>
      <c r="D278" s="6"/>
      <c r="E278" s="36">
        <v>200</v>
      </c>
      <c r="F278" s="212">
        <v>6600</v>
      </c>
      <c r="G278" s="195">
        <v>42622</v>
      </c>
      <c r="H278" s="8"/>
      <c r="I278" s="212">
        <v>2385</v>
      </c>
      <c r="J278" s="8">
        <v>43164</v>
      </c>
      <c r="K278" s="7">
        <f>ROUNDDOWN(E278*F278*0.0015,-1)</f>
        <v>1980</v>
      </c>
      <c r="L278" s="7">
        <f>ROUNDDOWN(I278*E278*0.0015,-1)</f>
        <v>710</v>
      </c>
      <c r="M278" s="196">
        <f>I278*E278*0.003</f>
        <v>1431</v>
      </c>
      <c r="N278" s="36"/>
      <c r="O278" s="191">
        <f t="shared" si="100"/>
        <v>543</v>
      </c>
      <c r="P278" s="36">
        <f>F278*E278</f>
        <v>1320000</v>
      </c>
      <c r="Q278" s="36">
        <f>I278*E278</f>
        <v>477000</v>
      </c>
      <c r="R278" s="7">
        <f>N278-K278-L278-M278</f>
        <v>-4121</v>
      </c>
      <c r="S278" s="227">
        <f t="shared" si="101"/>
        <v>-847121</v>
      </c>
      <c r="T278" s="248">
        <f t="shared" si="102"/>
        <v>-0.64175833333333332</v>
      </c>
      <c r="U278" s="193">
        <f>T278*365/O278</f>
        <v>-0.43138451503990177</v>
      </c>
      <c r="V278" s="6"/>
    </row>
    <row r="279" spans="2:22" ht="15" customHeight="1" x14ac:dyDescent="0.4">
      <c r="B279" s="38" t="s">
        <v>246</v>
      </c>
      <c r="C279" s="6" t="s">
        <v>187</v>
      </c>
      <c r="D279" s="6"/>
      <c r="E279" s="36">
        <v>80</v>
      </c>
      <c r="F279" s="212">
        <v>14000</v>
      </c>
      <c r="G279" s="195">
        <v>42325</v>
      </c>
      <c r="H279" s="8"/>
      <c r="I279" s="212">
        <v>5550</v>
      </c>
      <c r="J279" s="8">
        <v>42587</v>
      </c>
      <c r="K279" s="7">
        <f>ROUNDDOWN(E279*F279*0.00015,-1)</f>
        <v>160</v>
      </c>
      <c r="L279" s="7">
        <v>660</v>
      </c>
      <c r="M279" s="196">
        <f>I279*E279*0.003</f>
        <v>1332</v>
      </c>
      <c r="N279" s="36">
        <v>-1000</v>
      </c>
      <c r="O279" s="191">
        <f t="shared" si="100"/>
        <v>263</v>
      </c>
      <c r="P279" s="36">
        <f>F279*E279</f>
        <v>1120000</v>
      </c>
      <c r="Q279" s="36">
        <f>I279*E279</f>
        <v>444000</v>
      </c>
      <c r="R279" s="7">
        <f>N279-K279-L279-M279</f>
        <v>-3152</v>
      </c>
      <c r="S279" s="227">
        <f t="shared" si="101"/>
        <v>-679152</v>
      </c>
      <c r="T279" s="248">
        <f t="shared" si="102"/>
        <v>-0.60638571428571431</v>
      </c>
      <c r="U279" s="193">
        <f>T279*365/O279</f>
        <v>-0.84156192286800657</v>
      </c>
      <c r="V279" s="6"/>
    </row>
    <row r="280" spans="2:22" ht="15" customHeight="1" x14ac:dyDescent="0.4">
      <c r="B280" s="38" t="s">
        <v>22</v>
      </c>
      <c r="C280" s="6" t="s">
        <v>122</v>
      </c>
      <c r="D280" s="6">
        <f>IF(OR($C280="신한",$C280="OTC",$C280="무상증자(신한)",$C280="토스",$C280="R토스"),1,"확인")</f>
        <v>1</v>
      </c>
      <c r="E280" s="34">
        <v>1200</v>
      </c>
      <c r="F280" s="212">
        <v>6850</v>
      </c>
      <c r="G280" s="195">
        <v>45562</v>
      </c>
      <c r="H280" s="8"/>
      <c r="I280" s="212">
        <v>6950</v>
      </c>
      <c r="J280" s="8">
        <v>45562</v>
      </c>
      <c r="K280" s="23">
        <f>IF($C280="OTC",ROUNDDOWN($E280*$F280*0.000909187,-1),(IF($C280="신한",ROUNDDOWN($E280*$F280*0.000036396,-1),(IF($C280="토스",$E280*$F280*0.00015,(IF($C280="US",(IF($E280*$F280*0.0025&gt;0.01,$E280*$F280*0.0025,0.01)),IF($C280="JP",(IF($E280*$F280*0.0025&gt;1000,$E280*$F280*0.0025,1000)),(IF($C280="R토스",0,IF($C280="무상증자(신한)",0,"")))))))))))</f>
        <v>1233</v>
      </c>
      <c r="L280" s="23">
        <f>IF($C280="OTC",ROUNDDOWN($I280*$E280*0.000909187,-1),(IF($C280="신한",ROUNDDOWN($I280*$E280*0.000036396,-1),(IF($C280="토스",$I280*$E280*0.00015,(IF($C280="US",(IF($I280*$E280*0.0025&gt;0.01,$I280*$E280*0.0025,0.01)),(IF($C280="JP",(IF($I280*$E280*0.0025&gt;1000,$I280*$E280*0.0025,1000)),(IF($C280="R토스",$I280*$E280*0.00015,(IF($C280="무상증자(신한)",ROUNDDOWN($I280*$E280*0.000036396,-1),"")))))))))))))</f>
        <v>1251</v>
      </c>
      <c r="M280" s="206">
        <f>Q280*0.0018</f>
        <v>15012</v>
      </c>
      <c r="N280" s="34"/>
      <c r="O280" s="40">
        <f t="shared" si="100"/>
        <v>1</v>
      </c>
      <c r="P280" s="34">
        <f>$E280*$F280*$D280</f>
        <v>8220000</v>
      </c>
      <c r="Q280" s="34">
        <f>$E280*$I280*$D280</f>
        <v>8340000</v>
      </c>
      <c r="R280" s="7">
        <f>($N280-$K280-$L280-$M280)*$D280</f>
        <v>-17496</v>
      </c>
      <c r="S280" s="227">
        <f t="shared" si="101"/>
        <v>102504</v>
      </c>
      <c r="T280" s="249">
        <f t="shared" si="102"/>
        <v>1.2470072992700729E-2</v>
      </c>
      <c r="U280" s="38"/>
      <c r="V280" s="33"/>
    </row>
    <row r="281" spans="2:22" ht="15" customHeight="1" x14ac:dyDescent="0.4">
      <c r="B281" s="38" t="s">
        <v>247</v>
      </c>
      <c r="C281" s="6" t="s">
        <v>187</v>
      </c>
      <c r="D281" s="6"/>
      <c r="E281" s="36">
        <v>50</v>
      </c>
      <c r="F281" s="212">
        <v>9950</v>
      </c>
      <c r="G281" s="195">
        <v>42310</v>
      </c>
      <c r="H281" s="8"/>
      <c r="I281" s="212">
        <v>8000</v>
      </c>
      <c r="J281" s="8">
        <v>42569</v>
      </c>
      <c r="K281" s="7">
        <f>ROUNDDOWN(E281*F281*0.00015,-1)</f>
        <v>70</v>
      </c>
      <c r="L281" s="7">
        <v>600</v>
      </c>
      <c r="M281" s="196">
        <f t="shared" ref="M281:M293" si="114">I281*E281*0.003</f>
        <v>1200</v>
      </c>
      <c r="N281" s="36"/>
      <c r="O281" s="191">
        <f t="shared" si="100"/>
        <v>260</v>
      </c>
      <c r="P281" s="36">
        <f t="shared" ref="P281:P293" si="115">F281*E281</f>
        <v>497500</v>
      </c>
      <c r="Q281" s="36">
        <f t="shared" ref="Q281:Q293" si="116">I281*E281</f>
        <v>400000</v>
      </c>
      <c r="R281" s="7">
        <f t="shared" ref="R281:R293" si="117">N281-K281-L281-M281</f>
        <v>-1870</v>
      </c>
      <c r="S281" s="227">
        <f t="shared" si="101"/>
        <v>-99370</v>
      </c>
      <c r="T281" s="248">
        <f t="shared" si="102"/>
        <v>-0.19973869346733669</v>
      </c>
      <c r="U281" s="193">
        <f t="shared" ref="U281:U293" si="118">T281*365/O281</f>
        <v>-0.28040239659837651</v>
      </c>
      <c r="V281" s="6"/>
    </row>
    <row r="282" spans="2:22" ht="15" customHeight="1" x14ac:dyDescent="0.4">
      <c r="B282" s="38" t="s">
        <v>247</v>
      </c>
      <c r="C282" s="6" t="s">
        <v>187</v>
      </c>
      <c r="D282" s="6"/>
      <c r="E282" s="36">
        <v>13</v>
      </c>
      <c r="F282" s="212">
        <v>4530</v>
      </c>
      <c r="G282" s="195">
        <v>42549</v>
      </c>
      <c r="H282" s="8"/>
      <c r="I282" s="212">
        <v>8000</v>
      </c>
      <c r="J282" s="8">
        <v>42569</v>
      </c>
      <c r="K282" s="7">
        <f>ROUNDDOWN(E282*F282*0.00015,-1)</f>
        <v>0</v>
      </c>
      <c r="L282" s="7">
        <f>ROUNDDOWN(I282*E282*0.0015,-1)</f>
        <v>150</v>
      </c>
      <c r="M282" s="196">
        <f t="shared" si="114"/>
        <v>312</v>
      </c>
      <c r="N282" s="36"/>
      <c r="O282" s="191">
        <f t="shared" si="100"/>
        <v>21</v>
      </c>
      <c r="P282" s="36">
        <f t="shared" si="115"/>
        <v>58890</v>
      </c>
      <c r="Q282" s="36">
        <f t="shared" si="116"/>
        <v>104000</v>
      </c>
      <c r="R282" s="7">
        <f t="shared" si="117"/>
        <v>-462</v>
      </c>
      <c r="S282" s="227">
        <f t="shared" si="101"/>
        <v>44648</v>
      </c>
      <c r="T282" s="248">
        <f t="shared" si="102"/>
        <v>0.75815928001358468</v>
      </c>
      <c r="U282" s="193">
        <f t="shared" si="118"/>
        <v>13.177530343093256</v>
      </c>
      <c r="V282" s="6" t="s">
        <v>248</v>
      </c>
    </row>
    <row r="283" spans="2:22" ht="15" customHeight="1" x14ac:dyDescent="0.4">
      <c r="B283" s="38" t="s">
        <v>247</v>
      </c>
      <c r="C283" s="6" t="s">
        <v>187</v>
      </c>
      <c r="D283" s="6"/>
      <c r="E283" s="36">
        <v>31</v>
      </c>
      <c r="F283" s="212">
        <v>0</v>
      </c>
      <c r="G283" s="195">
        <v>42557</v>
      </c>
      <c r="H283" s="8"/>
      <c r="I283" s="212">
        <v>8000</v>
      </c>
      <c r="J283" s="8">
        <v>42569</v>
      </c>
      <c r="K283" s="7">
        <f>ROUNDDOWN(E283*F283*0.00015,-1)</f>
        <v>0</v>
      </c>
      <c r="L283" s="7">
        <f>ROUNDDOWN(I283*E283*0.0015,-1)</f>
        <v>370</v>
      </c>
      <c r="M283" s="196">
        <f t="shared" si="114"/>
        <v>744</v>
      </c>
      <c r="N283" s="36">
        <f>-1000+2447</f>
        <v>1447</v>
      </c>
      <c r="O283" s="191">
        <f t="shared" si="100"/>
        <v>13</v>
      </c>
      <c r="P283" s="36">
        <f t="shared" si="115"/>
        <v>0</v>
      </c>
      <c r="Q283" s="36">
        <f t="shared" si="116"/>
        <v>248000</v>
      </c>
      <c r="R283" s="7">
        <f t="shared" si="117"/>
        <v>333</v>
      </c>
      <c r="S283" s="227">
        <f t="shared" si="101"/>
        <v>248333</v>
      </c>
      <c r="T283" s="248" t="e">
        <f t="shared" si="102"/>
        <v>#DIV/0!</v>
      </c>
      <c r="U283" s="193" t="e">
        <f t="shared" si="118"/>
        <v>#DIV/0!</v>
      </c>
      <c r="V283" s="6" t="s">
        <v>249</v>
      </c>
    </row>
    <row r="284" spans="2:22" ht="15" customHeight="1" x14ac:dyDescent="0.4">
      <c r="B284" s="38" t="s">
        <v>250</v>
      </c>
      <c r="C284" s="6" t="s">
        <v>187</v>
      </c>
      <c r="D284" s="6"/>
      <c r="E284" s="36">
        <v>10</v>
      </c>
      <c r="F284" s="212">
        <v>104100</v>
      </c>
      <c r="G284" s="195">
        <v>42171</v>
      </c>
      <c r="H284" s="8"/>
      <c r="I284" s="212">
        <v>119500</v>
      </c>
      <c r="J284" s="8">
        <v>42182</v>
      </c>
      <c r="K284" s="7">
        <f>ROUNDDOWN(E284*F284*0.00015,-1)</f>
        <v>150</v>
      </c>
      <c r="L284" s="7">
        <f>ROUNDDOWN(I284*E284*0.00015,-1)</f>
        <v>170</v>
      </c>
      <c r="M284" s="196">
        <f t="shared" si="114"/>
        <v>3585</v>
      </c>
      <c r="N284" s="36"/>
      <c r="O284" s="191">
        <f t="shared" si="100"/>
        <v>12</v>
      </c>
      <c r="P284" s="36">
        <f t="shared" si="115"/>
        <v>1041000</v>
      </c>
      <c r="Q284" s="36">
        <f t="shared" si="116"/>
        <v>1195000</v>
      </c>
      <c r="R284" s="7">
        <f t="shared" si="117"/>
        <v>-3905</v>
      </c>
      <c r="S284" s="227">
        <f t="shared" si="101"/>
        <v>150095</v>
      </c>
      <c r="T284" s="248">
        <f t="shared" si="102"/>
        <v>0.14418347742555235</v>
      </c>
      <c r="U284" s="193">
        <f t="shared" si="118"/>
        <v>4.3855807716938839</v>
      </c>
      <c r="V284" s="6"/>
    </row>
    <row r="285" spans="2:22" ht="15" customHeight="1" x14ac:dyDescent="0.4">
      <c r="B285" s="38" t="s">
        <v>251</v>
      </c>
      <c r="C285" s="6" t="s">
        <v>162</v>
      </c>
      <c r="D285" s="6"/>
      <c r="E285" s="36">
        <v>3</v>
      </c>
      <c r="F285" s="212">
        <v>86800</v>
      </c>
      <c r="G285" s="195">
        <v>42601</v>
      </c>
      <c r="H285" s="8"/>
      <c r="I285" s="212">
        <v>85000</v>
      </c>
      <c r="J285" s="8">
        <v>42647</v>
      </c>
      <c r="K285" s="7">
        <f t="shared" ref="K285:K293" si="119">ROUNDDOWN(E285*F285*0.0015,-1)</f>
        <v>390</v>
      </c>
      <c r="L285" s="7">
        <f t="shared" ref="L285:L293" si="120">ROUNDDOWN(I285*E285*0.0015,-1)</f>
        <v>380</v>
      </c>
      <c r="M285" s="196">
        <f t="shared" si="114"/>
        <v>765</v>
      </c>
      <c r="N285" s="36"/>
      <c r="O285" s="191">
        <f t="shared" si="100"/>
        <v>47</v>
      </c>
      <c r="P285" s="36">
        <f t="shared" si="115"/>
        <v>260400</v>
      </c>
      <c r="Q285" s="36">
        <f t="shared" si="116"/>
        <v>255000</v>
      </c>
      <c r="R285" s="7">
        <f t="shared" si="117"/>
        <v>-1535</v>
      </c>
      <c r="S285" s="227">
        <f t="shared" si="101"/>
        <v>-6935</v>
      </c>
      <c r="T285" s="248">
        <f t="shared" si="102"/>
        <v>-2.6632104454685099E-2</v>
      </c>
      <c r="U285" s="193">
        <f t="shared" si="118"/>
        <v>-0.20682378991404388</v>
      </c>
      <c r="V285" s="6"/>
    </row>
    <row r="286" spans="2:22" ht="15" customHeight="1" x14ac:dyDescent="0.4">
      <c r="B286" s="38" t="s">
        <v>251</v>
      </c>
      <c r="C286" s="6" t="s">
        <v>162</v>
      </c>
      <c r="D286" s="6"/>
      <c r="E286" s="36">
        <v>3</v>
      </c>
      <c r="F286" s="212">
        <v>85500</v>
      </c>
      <c r="G286" s="195">
        <v>42605</v>
      </c>
      <c r="H286" s="8"/>
      <c r="I286" s="212">
        <v>85000</v>
      </c>
      <c r="J286" s="8">
        <v>42647</v>
      </c>
      <c r="K286" s="7">
        <f t="shared" si="119"/>
        <v>380</v>
      </c>
      <c r="L286" s="7">
        <f t="shared" si="120"/>
        <v>380</v>
      </c>
      <c r="M286" s="196">
        <f t="shared" si="114"/>
        <v>765</v>
      </c>
      <c r="N286" s="36"/>
      <c r="O286" s="191">
        <f t="shared" ref="O286:O349" si="121">J286-G286+1</f>
        <v>43</v>
      </c>
      <c r="P286" s="36">
        <f t="shared" si="115"/>
        <v>256500</v>
      </c>
      <c r="Q286" s="36">
        <f t="shared" si="116"/>
        <v>255000</v>
      </c>
      <c r="R286" s="7">
        <f t="shared" si="117"/>
        <v>-1525</v>
      </c>
      <c r="S286" s="227">
        <f t="shared" ref="S286:S349" si="122">IF(Q286=0,0,Q286-P286+R286)</f>
        <v>-3025</v>
      </c>
      <c r="T286" s="248">
        <f t="shared" ref="T286:T349" si="123">S286/P286</f>
        <v>-1.1793372319688109E-2</v>
      </c>
      <c r="U286" s="193">
        <f t="shared" si="118"/>
        <v>-0.10010653248107348</v>
      </c>
      <c r="V286" s="6"/>
    </row>
    <row r="287" spans="2:22" s="33" customFormat="1" ht="15" customHeight="1" x14ac:dyDescent="0.4">
      <c r="B287" s="38" t="s">
        <v>251</v>
      </c>
      <c r="C287" s="6" t="s">
        <v>162</v>
      </c>
      <c r="D287" s="6"/>
      <c r="E287" s="36">
        <v>4</v>
      </c>
      <c r="F287" s="212">
        <v>83100</v>
      </c>
      <c r="G287" s="195">
        <v>42607</v>
      </c>
      <c r="H287" s="8"/>
      <c r="I287" s="212">
        <v>85000</v>
      </c>
      <c r="J287" s="8">
        <v>42647</v>
      </c>
      <c r="K287" s="7">
        <f t="shared" si="119"/>
        <v>490</v>
      </c>
      <c r="L287" s="7">
        <f t="shared" si="120"/>
        <v>510</v>
      </c>
      <c r="M287" s="196">
        <f t="shared" si="114"/>
        <v>1020</v>
      </c>
      <c r="N287" s="36"/>
      <c r="O287" s="191">
        <f t="shared" si="121"/>
        <v>41</v>
      </c>
      <c r="P287" s="36">
        <f t="shared" si="115"/>
        <v>332400</v>
      </c>
      <c r="Q287" s="36">
        <f t="shared" si="116"/>
        <v>340000</v>
      </c>
      <c r="R287" s="7">
        <f t="shared" si="117"/>
        <v>-2020</v>
      </c>
      <c r="S287" s="227">
        <f t="shared" si="122"/>
        <v>5580</v>
      </c>
      <c r="T287" s="248">
        <f t="shared" si="123"/>
        <v>1.6787003610108302E-2</v>
      </c>
      <c r="U287" s="9">
        <f t="shared" si="118"/>
        <v>0.14944527604120805</v>
      </c>
      <c r="V287" s="6"/>
    </row>
    <row r="288" spans="2:22" ht="15" customHeight="1" x14ac:dyDescent="0.4">
      <c r="B288" s="38" t="s">
        <v>251</v>
      </c>
      <c r="C288" s="6" t="s">
        <v>162</v>
      </c>
      <c r="D288" s="6"/>
      <c r="E288" s="36">
        <v>5</v>
      </c>
      <c r="F288" s="212">
        <v>81900</v>
      </c>
      <c r="G288" s="195">
        <v>42611</v>
      </c>
      <c r="H288" s="8"/>
      <c r="I288" s="212">
        <v>85000</v>
      </c>
      <c r="J288" s="8">
        <v>42647</v>
      </c>
      <c r="K288" s="7">
        <f t="shared" si="119"/>
        <v>610</v>
      </c>
      <c r="L288" s="7">
        <f t="shared" si="120"/>
        <v>630</v>
      </c>
      <c r="M288" s="196">
        <f t="shared" si="114"/>
        <v>1275</v>
      </c>
      <c r="N288" s="36"/>
      <c r="O288" s="191">
        <f t="shared" si="121"/>
        <v>37</v>
      </c>
      <c r="P288" s="36">
        <f t="shared" si="115"/>
        <v>409500</v>
      </c>
      <c r="Q288" s="36">
        <f t="shared" si="116"/>
        <v>425000</v>
      </c>
      <c r="R288" s="7">
        <f t="shared" si="117"/>
        <v>-2515</v>
      </c>
      <c r="S288" s="227">
        <f t="shared" si="122"/>
        <v>12985</v>
      </c>
      <c r="T288" s="248">
        <f t="shared" si="123"/>
        <v>3.1709401709401709E-2</v>
      </c>
      <c r="U288" s="193">
        <f t="shared" si="118"/>
        <v>0.31280896280896281</v>
      </c>
      <c r="V288" s="6"/>
    </row>
    <row r="289" spans="2:34" ht="15" customHeight="1" x14ac:dyDescent="0.4">
      <c r="B289" s="38" t="s">
        <v>251</v>
      </c>
      <c r="C289" s="6" t="s">
        <v>162</v>
      </c>
      <c r="D289" s="6"/>
      <c r="E289" s="36">
        <v>3</v>
      </c>
      <c r="F289" s="212">
        <v>80400</v>
      </c>
      <c r="G289" s="195">
        <v>42615</v>
      </c>
      <c r="H289" s="8"/>
      <c r="I289" s="212">
        <v>85000</v>
      </c>
      <c r="J289" s="8">
        <v>42647</v>
      </c>
      <c r="K289" s="7">
        <f t="shared" si="119"/>
        <v>360</v>
      </c>
      <c r="L289" s="7">
        <f t="shared" si="120"/>
        <v>380</v>
      </c>
      <c r="M289" s="196">
        <f t="shared" si="114"/>
        <v>765</v>
      </c>
      <c r="N289" s="36"/>
      <c r="O289" s="191">
        <f t="shared" si="121"/>
        <v>33</v>
      </c>
      <c r="P289" s="36">
        <f t="shared" si="115"/>
        <v>241200</v>
      </c>
      <c r="Q289" s="36">
        <f t="shared" si="116"/>
        <v>255000</v>
      </c>
      <c r="R289" s="7">
        <f t="shared" si="117"/>
        <v>-1505</v>
      </c>
      <c r="S289" s="227">
        <f t="shared" si="122"/>
        <v>12295</v>
      </c>
      <c r="T289" s="248">
        <f t="shared" si="123"/>
        <v>5.0974295190713101E-2</v>
      </c>
      <c r="U289" s="193">
        <f t="shared" si="118"/>
        <v>0.56380659832152369</v>
      </c>
      <c r="V289" s="6"/>
    </row>
    <row r="290" spans="2:34" ht="15" customHeight="1" x14ac:dyDescent="0.4">
      <c r="B290" s="38" t="s">
        <v>251</v>
      </c>
      <c r="C290" s="6" t="s">
        <v>162</v>
      </c>
      <c r="D290" s="6"/>
      <c r="E290" s="36">
        <v>3</v>
      </c>
      <c r="F290" s="212">
        <v>78500</v>
      </c>
      <c r="G290" s="195">
        <v>42625</v>
      </c>
      <c r="H290" s="8"/>
      <c r="I290" s="212">
        <v>85000</v>
      </c>
      <c r="J290" s="8">
        <v>42647</v>
      </c>
      <c r="K290" s="7">
        <f t="shared" si="119"/>
        <v>350</v>
      </c>
      <c r="L290" s="7">
        <f t="shared" si="120"/>
        <v>380</v>
      </c>
      <c r="M290" s="196">
        <f t="shared" si="114"/>
        <v>765</v>
      </c>
      <c r="N290" s="36"/>
      <c r="O290" s="191">
        <f t="shared" si="121"/>
        <v>23</v>
      </c>
      <c r="P290" s="36">
        <f t="shared" si="115"/>
        <v>235500</v>
      </c>
      <c r="Q290" s="36">
        <f t="shared" si="116"/>
        <v>255000</v>
      </c>
      <c r="R290" s="7">
        <f t="shared" si="117"/>
        <v>-1495</v>
      </c>
      <c r="S290" s="227">
        <f t="shared" si="122"/>
        <v>18005</v>
      </c>
      <c r="T290" s="248">
        <f t="shared" si="123"/>
        <v>7.6454352441613582E-2</v>
      </c>
      <c r="U290" s="193">
        <f t="shared" si="118"/>
        <v>1.2132973322256069</v>
      </c>
      <c r="V290" s="6"/>
    </row>
    <row r="291" spans="2:34" ht="15" customHeight="1" x14ac:dyDescent="0.4">
      <c r="B291" s="38" t="s">
        <v>251</v>
      </c>
      <c r="C291" s="6" t="s">
        <v>162</v>
      </c>
      <c r="D291" s="6"/>
      <c r="E291" s="36">
        <v>20</v>
      </c>
      <c r="F291" s="212">
        <v>84500</v>
      </c>
      <c r="G291" s="195">
        <v>42647</v>
      </c>
      <c r="H291" s="8"/>
      <c r="I291" s="212">
        <v>88000</v>
      </c>
      <c r="J291" s="8">
        <v>42656</v>
      </c>
      <c r="K291" s="7">
        <f t="shared" si="119"/>
        <v>2530</v>
      </c>
      <c r="L291" s="7">
        <f t="shared" si="120"/>
        <v>2640</v>
      </c>
      <c r="M291" s="196">
        <f t="shared" si="114"/>
        <v>5280</v>
      </c>
      <c r="N291" s="36"/>
      <c r="O291" s="191">
        <f t="shared" si="121"/>
        <v>10</v>
      </c>
      <c r="P291" s="36">
        <f t="shared" si="115"/>
        <v>1690000</v>
      </c>
      <c r="Q291" s="36">
        <f t="shared" si="116"/>
        <v>1760000</v>
      </c>
      <c r="R291" s="7">
        <f t="shared" si="117"/>
        <v>-10450</v>
      </c>
      <c r="S291" s="227">
        <f t="shared" si="122"/>
        <v>59550</v>
      </c>
      <c r="T291" s="248">
        <f t="shared" si="123"/>
        <v>3.5236686390532547E-2</v>
      </c>
      <c r="U291" s="193">
        <f t="shared" si="118"/>
        <v>1.2861390532544381</v>
      </c>
      <c r="V291" s="6"/>
    </row>
    <row r="292" spans="2:34" ht="15" customHeight="1" x14ac:dyDescent="0.4">
      <c r="B292" s="38" t="s">
        <v>252</v>
      </c>
      <c r="C292" s="6" t="s">
        <v>162</v>
      </c>
      <c r="D292" s="6"/>
      <c r="E292" s="36">
        <v>100</v>
      </c>
      <c r="F292" s="212">
        <v>9370</v>
      </c>
      <c r="G292" s="195">
        <v>43124</v>
      </c>
      <c r="H292" s="8"/>
      <c r="I292" s="212">
        <v>9980</v>
      </c>
      <c r="J292" s="8">
        <v>43152</v>
      </c>
      <c r="K292" s="7">
        <f t="shared" si="119"/>
        <v>1400</v>
      </c>
      <c r="L292" s="7">
        <f t="shared" si="120"/>
        <v>1490</v>
      </c>
      <c r="M292" s="196">
        <f t="shared" si="114"/>
        <v>2994</v>
      </c>
      <c r="N292" s="36"/>
      <c r="O292" s="191">
        <f t="shared" si="121"/>
        <v>29</v>
      </c>
      <c r="P292" s="36">
        <f t="shared" si="115"/>
        <v>937000</v>
      </c>
      <c r="Q292" s="36">
        <f t="shared" si="116"/>
        <v>998000</v>
      </c>
      <c r="R292" s="7">
        <f t="shared" si="117"/>
        <v>-5884</v>
      </c>
      <c r="S292" s="227">
        <f t="shared" si="122"/>
        <v>55116</v>
      </c>
      <c r="T292" s="248">
        <f t="shared" si="123"/>
        <v>5.8821771611526144E-2</v>
      </c>
      <c r="U292" s="193">
        <f t="shared" si="118"/>
        <v>0.74034298752438077</v>
      </c>
      <c r="V292" s="6"/>
    </row>
    <row r="293" spans="2:34" ht="15" customHeight="1" x14ac:dyDescent="0.4">
      <c r="B293" s="38" t="s">
        <v>253</v>
      </c>
      <c r="C293" s="6" t="s">
        <v>162</v>
      </c>
      <c r="D293" s="6"/>
      <c r="E293" s="36">
        <v>300</v>
      </c>
      <c r="F293" s="212">
        <v>1190</v>
      </c>
      <c r="G293" s="195">
        <v>42608</v>
      </c>
      <c r="H293" s="8"/>
      <c r="I293" s="212">
        <v>1220</v>
      </c>
      <c r="J293" s="8">
        <v>42634</v>
      </c>
      <c r="K293" s="7">
        <f t="shared" si="119"/>
        <v>530</v>
      </c>
      <c r="L293" s="7">
        <f t="shared" si="120"/>
        <v>540</v>
      </c>
      <c r="M293" s="196">
        <f t="shared" si="114"/>
        <v>1098</v>
      </c>
      <c r="N293" s="36"/>
      <c r="O293" s="191">
        <f t="shared" si="121"/>
        <v>27</v>
      </c>
      <c r="P293" s="36">
        <f t="shared" si="115"/>
        <v>357000</v>
      </c>
      <c r="Q293" s="36">
        <f t="shared" si="116"/>
        <v>366000</v>
      </c>
      <c r="R293" s="7">
        <f t="shared" si="117"/>
        <v>-2168</v>
      </c>
      <c r="S293" s="227">
        <f t="shared" si="122"/>
        <v>6832</v>
      </c>
      <c r="T293" s="248">
        <f t="shared" si="123"/>
        <v>1.9137254901960783E-2</v>
      </c>
      <c r="U293" s="193">
        <f t="shared" si="118"/>
        <v>0.25870733478576613</v>
      </c>
      <c r="V293" s="6"/>
    </row>
    <row r="294" spans="2:34" ht="15" customHeight="1" x14ac:dyDescent="0.4">
      <c r="B294" s="38" t="s">
        <v>254</v>
      </c>
      <c r="C294" s="6" t="s">
        <v>160</v>
      </c>
      <c r="D294" s="6">
        <f t="shared" ref="D294:D302" si="124">IF(OR($C294="신한",$C294="OTC",$C294="무상증자(신한)",$C294="토스",$C294="R토스"),1,"확인")</f>
        <v>1</v>
      </c>
      <c r="E294" s="34">
        <v>457</v>
      </c>
      <c r="F294" s="212">
        <v>4175</v>
      </c>
      <c r="G294" s="195">
        <v>44202</v>
      </c>
      <c r="H294" s="8"/>
      <c r="I294" s="212">
        <v>1570</v>
      </c>
      <c r="J294" s="8">
        <v>45910</v>
      </c>
      <c r="K294" s="23">
        <f>IF($C294="OTC",ROUNDDOWN($E294*$F294*0.000909187,-1),(IF($C294="신한",ROUNDDOWN($E294*$F294*0.000036396,-1),(IF($C294="토스",$E294*$F294*0.00015,(IF($C294="US",(IF($E294*$F294*0.0025&gt;0.01,$E294*$F294*0.0025,0.01)),IF($C294="JP",(IF($E294*$F294*0.0025&gt;1000,$E294*$F294*0.0025,1000)),(IF($C294="R토스",0,IF($C294="무상증자(신한)",0,"")))))))))))</f>
        <v>60</v>
      </c>
      <c r="L294" s="23">
        <f t="shared" ref="L294:L302" si="125">IF($C294="OTC",ROUNDDOWN($I294*$E294*0.000909187,-1),(IF($C294="신한",ROUNDDOWN($I294*$E294*0.000036396,-1),(IF($C294="토스",$I294*$E294*0.00015,(IF($C294="US",(IF($I294*$E294*0.0025&gt;0.01,$I294*$E294*0.0025,0.01)),(IF($C294="JP",(IF($I294*$E294*0.0025&gt;1000,$I294*$E294*0.0025,1000)),(IF($C294="R토스",$I294*$E294*0.00015,(IF($C294="무상증자(신한)",ROUNDDOWN($I294*$E294*0.000036396,-1),"")))))))))))))</f>
        <v>20</v>
      </c>
      <c r="M294" s="206">
        <f t="shared" ref="M294:M302" si="126">Q294*0.0015</f>
        <v>1076.2350000000001</v>
      </c>
      <c r="N294" s="34"/>
      <c r="O294" s="209">
        <f t="shared" si="121"/>
        <v>1709</v>
      </c>
      <c r="P294" s="34">
        <f t="shared" ref="P294:P302" si="127">$E294*$F294*$D294</f>
        <v>1907975</v>
      </c>
      <c r="Q294" s="34">
        <f t="shared" ref="Q294:Q302" si="128">$E294*$I294*$D294</f>
        <v>717490</v>
      </c>
      <c r="R294" s="7">
        <f t="shared" ref="R294:R302" si="129">($N294-$K294-$L294-$M294)*$D294</f>
        <v>-1156.2350000000001</v>
      </c>
      <c r="S294" s="227">
        <f t="shared" si="122"/>
        <v>-1191641.2350000001</v>
      </c>
      <c r="T294" s="249">
        <f t="shared" si="123"/>
        <v>-0.62455809693523245</v>
      </c>
      <c r="U294" s="38"/>
      <c r="V294" s="33"/>
    </row>
    <row r="295" spans="2:34" ht="15" customHeight="1" x14ac:dyDescent="0.4">
      <c r="B295" s="38" t="s">
        <v>254</v>
      </c>
      <c r="C295" s="6" t="s">
        <v>160</v>
      </c>
      <c r="D295" s="6">
        <f t="shared" si="124"/>
        <v>1</v>
      </c>
      <c r="E295" s="34">
        <v>150</v>
      </c>
      <c r="F295" s="212">
        <v>2950</v>
      </c>
      <c r="G295" s="195">
        <v>44432</v>
      </c>
      <c r="H295" s="8"/>
      <c r="I295" s="212">
        <v>1570</v>
      </c>
      <c r="J295" s="8">
        <v>45910</v>
      </c>
      <c r="K295" s="23">
        <f>IF($C295="OTC",ROUNDDOWN($E295*$F295*0.000909187,-1),(IF($C295="신한",ROUNDDOWN($E295*$F295*0.000036396,-1),(IF($C295="토스",$E295*$F295*0.00015,(IF($C295="US",(IF($E295*$F295*0.0025&gt;0.01,$E295*$F295*0.0025,0.01)),IF($C295="JP",(IF($E295*$F295*0.0025&gt;1000,$E295*$F295*0.0025,1000)),(IF($C295="R토스",0,IF($C295="무상증자(신한)",0,"")))))))))))</f>
        <v>10</v>
      </c>
      <c r="L295" s="23">
        <f t="shared" si="125"/>
        <v>0</v>
      </c>
      <c r="M295" s="206">
        <f t="shared" si="126"/>
        <v>353.25</v>
      </c>
      <c r="N295" s="34"/>
      <c r="O295" s="209">
        <f t="shared" si="121"/>
        <v>1479</v>
      </c>
      <c r="P295" s="34">
        <f t="shared" si="127"/>
        <v>442500</v>
      </c>
      <c r="Q295" s="34">
        <f t="shared" si="128"/>
        <v>235500</v>
      </c>
      <c r="R295" s="7">
        <f t="shared" si="129"/>
        <v>-363.25</v>
      </c>
      <c r="S295" s="227">
        <f t="shared" si="122"/>
        <v>-207363.25</v>
      </c>
      <c r="T295" s="249">
        <f t="shared" si="123"/>
        <v>-0.46861751412429381</v>
      </c>
      <c r="U295" s="38"/>
      <c r="V295" s="33"/>
    </row>
    <row r="296" spans="2:34" ht="15" customHeight="1" x14ac:dyDescent="0.4">
      <c r="B296" s="38" t="s">
        <v>254</v>
      </c>
      <c r="C296" s="6" t="s">
        <v>160</v>
      </c>
      <c r="D296" s="6">
        <f t="shared" si="124"/>
        <v>1</v>
      </c>
      <c r="E296" s="34">
        <v>200</v>
      </c>
      <c r="F296" s="212">
        <v>2110</v>
      </c>
      <c r="G296" s="195">
        <v>44600</v>
      </c>
      <c r="H296" s="8"/>
      <c r="I296" s="212">
        <v>1570</v>
      </c>
      <c r="J296" s="8">
        <v>45910</v>
      </c>
      <c r="K296" s="23">
        <f>IF($C296="OTC",ROUNDDOWN($E296*$F296*0.000909187,-1),(IF($C296="신한",ROUNDDOWN($E296*$F296*0.000036396,-1),(IF($C296="토스",$E296*$F296*0.00015,(IF($C296="US",(IF($E296*$F296*0.0025&gt;0.01,$E296*$F296*0.0025,0.01)),IF($C296="JP",(IF($E296*$F296*0.0025&gt;1000,$E296*$F296*0.0025,1000)),(IF($C296="R토스",0,IF($C296="무상증자(신한)",0,"")))))))))))</f>
        <v>10</v>
      </c>
      <c r="L296" s="23">
        <f t="shared" si="125"/>
        <v>10</v>
      </c>
      <c r="M296" s="206">
        <f t="shared" si="126"/>
        <v>471</v>
      </c>
      <c r="N296" s="34"/>
      <c r="O296" s="209">
        <f t="shared" si="121"/>
        <v>1311</v>
      </c>
      <c r="P296" s="34">
        <f t="shared" si="127"/>
        <v>422000</v>
      </c>
      <c r="Q296" s="34">
        <f t="shared" si="128"/>
        <v>314000</v>
      </c>
      <c r="R296" s="7">
        <f t="shared" si="129"/>
        <v>-491</v>
      </c>
      <c r="S296" s="227">
        <f t="shared" si="122"/>
        <v>-108491</v>
      </c>
      <c r="T296" s="249">
        <f t="shared" si="123"/>
        <v>-0.25708767772511848</v>
      </c>
      <c r="U296" s="38"/>
      <c r="V296" s="33"/>
    </row>
    <row r="297" spans="2:34" ht="15" customHeight="1" x14ac:dyDescent="0.4">
      <c r="B297" s="38" t="s">
        <v>254</v>
      </c>
      <c r="C297" s="6" t="s">
        <v>160</v>
      </c>
      <c r="D297" s="6">
        <f t="shared" si="124"/>
        <v>1</v>
      </c>
      <c r="E297" s="34">
        <v>81</v>
      </c>
      <c r="F297" s="212">
        <v>2465</v>
      </c>
      <c r="G297" s="195">
        <v>45098</v>
      </c>
      <c r="H297" s="8"/>
      <c r="I297" s="212">
        <v>1570</v>
      </c>
      <c r="J297" s="8">
        <v>45910</v>
      </c>
      <c r="K297" s="23">
        <f>IF($C297="OTC",ROUNDDOWN($E297*$F297*0.000909187,-1),(IF($C297="신한",ROUNDDOWN($E297*$F297*0.000036396,-1),(IF($C297="토스",$E297*$F297*0.00015,(IF($C297="US",(IF($E297*$F297*0.0025&gt;0.01,$E297*$F297*0.0025,0.01)),IF($C297="JP",(IF($E297*$F297*0.0025&gt;1000,$E297*$F297*0.0025,1000)),(IF($C297="R토스",0,IF($C297="무상증자(신한)",0,"")))))))))))</f>
        <v>0</v>
      </c>
      <c r="L297" s="23">
        <f t="shared" si="125"/>
        <v>0</v>
      </c>
      <c r="M297" s="206">
        <f t="shared" si="126"/>
        <v>190.755</v>
      </c>
      <c r="N297" s="34"/>
      <c r="O297" s="209">
        <f t="shared" si="121"/>
        <v>813</v>
      </c>
      <c r="P297" s="34">
        <f t="shared" si="127"/>
        <v>199665</v>
      </c>
      <c r="Q297" s="34">
        <f t="shared" si="128"/>
        <v>127170</v>
      </c>
      <c r="R297" s="7">
        <f t="shared" si="129"/>
        <v>-190.755</v>
      </c>
      <c r="S297" s="227">
        <f t="shared" si="122"/>
        <v>-72685.755000000005</v>
      </c>
      <c r="T297" s="249">
        <f t="shared" si="123"/>
        <v>-0.36403853955375254</v>
      </c>
      <c r="U297" s="38"/>
      <c r="V297" s="33"/>
    </row>
    <row r="298" spans="2:34" ht="15" customHeight="1" x14ac:dyDescent="0.4">
      <c r="B298" s="38" t="s">
        <v>254</v>
      </c>
      <c r="C298" s="6" t="s">
        <v>160</v>
      </c>
      <c r="D298" s="6">
        <f t="shared" si="124"/>
        <v>1</v>
      </c>
      <c r="E298" s="34">
        <v>2900</v>
      </c>
      <c r="F298" s="212">
        <v>629</v>
      </c>
      <c r="G298" s="195">
        <v>45721</v>
      </c>
      <c r="H298" s="8" t="s">
        <v>248</v>
      </c>
      <c r="I298" s="212">
        <v>1570</v>
      </c>
      <c r="J298" s="8">
        <v>45910</v>
      </c>
      <c r="K298" s="23">
        <f>2000*105</f>
        <v>210000</v>
      </c>
      <c r="L298" s="23">
        <f t="shared" si="125"/>
        <v>160</v>
      </c>
      <c r="M298" s="206">
        <f t="shared" si="126"/>
        <v>6829.5</v>
      </c>
      <c r="N298" s="34"/>
      <c r="O298" s="209">
        <f t="shared" si="121"/>
        <v>190</v>
      </c>
      <c r="P298" s="34">
        <f t="shared" si="127"/>
        <v>1824100</v>
      </c>
      <c r="Q298" s="34">
        <f t="shared" si="128"/>
        <v>4553000</v>
      </c>
      <c r="R298" s="7">
        <f t="shared" si="129"/>
        <v>-216989.5</v>
      </c>
      <c r="S298" s="227">
        <f t="shared" si="122"/>
        <v>2511910.5</v>
      </c>
      <c r="T298" s="249">
        <f t="shared" si="123"/>
        <v>1.3770684173016829</v>
      </c>
      <c r="U298" s="38"/>
      <c r="V298" s="33"/>
    </row>
    <row r="299" spans="2:34" ht="15" customHeight="1" x14ac:dyDescent="0.4">
      <c r="B299" s="38" t="s">
        <v>254</v>
      </c>
      <c r="C299" s="6" t="s">
        <v>160</v>
      </c>
      <c r="D299" s="6">
        <f t="shared" si="124"/>
        <v>1</v>
      </c>
      <c r="E299" s="34">
        <v>50</v>
      </c>
      <c r="F299" s="212">
        <v>805</v>
      </c>
      <c r="G299" s="195">
        <v>45827</v>
      </c>
      <c r="H299" s="8"/>
      <c r="I299" s="212">
        <v>1570</v>
      </c>
      <c r="J299" s="8">
        <v>45910</v>
      </c>
      <c r="K299" s="23">
        <f>IF($C299="OTC",ROUNDDOWN($E299*$F299*0.000909187,-1),(IF($C299="신한",ROUNDDOWN($E299*$F299*0.000036396,-1),(IF($C299="토스",$E299*$F299*0.00015,(IF($C299="US",(IF($E299*$F299*0.0025&gt;0.01,$E299*$F299*0.0025,0.01)),IF($C299="JP",(IF($E299*$F299*0.0025&gt;1000,$E299*$F299*0.0025,1000)),(IF($C299="R토스",0,IF($C299="무상증자(신한)",0,"")))))))))))</f>
        <v>0</v>
      </c>
      <c r="L299" s="23">
        <f t="shared" si="125"/>
        <v>0</v>
      </c>
      <c r="M299" s="206">
        <f t="shared" si="126"/>
        <v>117.75</v>
      </c>
      <c r="N299" s="34"/>
      <c r="O299" s="209">
        <f t="shared" si="121"/>
        <v>84</v>
      </c>
      <c r="P299" s="34">
        <f t="shared" si="127"/>
        <v>40250</v>
      </c>
      <c r="Q299" s="34">
        <f t="shared" si="128"/>
        <v>78500</v>
      </c>
      <c r="R299" s="7">
        <f t="shared" si="129"/>
        <v>-117.75</v>
      </c>
      <c r="S299" s="227">
        <f t="shared" si="122"/>
        <v>38132.25</v>
      </c>
      <c r="T299" s="249">
        <f t="shared" si="123"/>
        <v>0.94738509316770181</v>
      </c>
      <c r="U299" s="38"/>
      <c r="V299" s="33"/>
    </row>
    <row r="300" spans="2:34" ht="15" customHeight="1" x14ac:dyDescent="0.4">
      <c r="B300" s="38" t="s">
        <v>254</v>
      </c>
      <c r="C300" s="6" t="s">
        <v>160</v>
      </c>
      <c r="D300" s="6">
        <f t="shared" si="124"/>
        <v>1</v>
      </c>
      <c r="E300" s="34">
        <v>200</v>
      </c>
      <c r="F300" s="212">
        <v>792</v>
      </c>
      <c r="G300" s="195">
        <v>45831</v>
      </c>
      <c r="H300" s="8"/>
      <c r="I300" s="212">
        <v>1570</v>
      </c>
      <c r="J300" s="8">
        <v>45910</v>
      </c>
      <c r="K300" s="23">
        <f>IF($C300="OTC",ROUNDDOWN($E300*$F300*0.000909187,-1),(IF($C300="신한",ROUNDDOWN($E300*$F300*0.000036396,-1),(IF($C300="토스",$E300*$F300*0.00015,(IF($C300="US",(IF($E300*$F300*0.0025&gt;0.01,$E300*$F300*0.0025,0.01)),IF($C300="JP",(IF($E300*$F300*0.0025&gt;1000,$E300*$F300*0.0025,1000)),(IF($C300="R토스",0,IF($C300="무상증자(신한)",0,"")))))))))))</f>
        <v>0</v>
      </c>
      <c r="L300" s="23">
        <f t="shared" si="125"/>
        <v>10</v>
      </c>
      <c r="M300" s="206">
        <f t="shared" si="126"/>
        <v>471</v>
      </c>
      <c r="N300" s="34"/>
      <c r="O300" s="209">
        <f t="shared" si="121"/>
        <v>80</v>
      </c>
      <c r="P300" s="34">
        <f t="shared" si="127"/>
        <v>158400</v>
      </c>
      <c r="Q300" s="34">
        <f t="shared" si="128"/>
        <v>314000</v>
      </c>
      <c r="R300" s="7">
        <f t="shared" si="129"/>
        <v>-481</v>
      </c>
      <c r="S300" s="227">
        <f t="shared" si="122"/>
        <v>155119</v>
      </c>
      <c r="T300" s="249">
        <f t="shared" si="123"/>
        <v>0.97928661616161616</v>
      </c>
      <c r="U300" s="38"/>
      <c r="V300" s="33"/>
    </row>
    <row r="301" spans="2:34" s="33" customFormat="1" ht="15" customHeight="1" x14ac:dyDescent="0.4">
      <c r="B301" s="38" t="s">
        <v>254</v>
      </c>
      <c r="C301" s="6" t="s">
        <v>160</v>
      </c>
      <c r="D301" s="6">
        <f t="shared" si="124"/>
        <v>1</v>
      </c>
      <c r="E301" s="34">
        <v>100</v>
      </c>
      <c r="F301" s="212">
        <v>995</v>
      </c>
      <c r="G301" s="195">
        <v>45840</v>
      </c>
      <c r="H301" s="8"/>
      <c r="I301" s="212">
        <v>1570</v>
      </c>
      <c r="J301" s="8">
        <v>45910</v>
      </c>
      <c r="K301" s="23">
        <f>IF($C301="OTC",ROUNDDOWN($E301*$F301*0.000909187,-1),(IF($C301="신한",ROUNDDOWN($E301*$F301*0.000036396,-1),(IF($C301="토스",$E301*$F301*0.00015,(IF($C301="US",(IF($E301*$F301*0.0025&gt;0.01,$E301*$F301*0.0025,0.01)),IF($C301="JP",(IF($E301*$F301*0.0025&gt;1000,$E301*$F301*0.0025,1000)),(IF($C301="R토스",0,IF($C301="무상증자(신한)",0,"")))))))))))</f>
        <v>0</v>
      </c>
      <c r="L301" s="23">
        <f t="shared" si="125"/>
        <v>0</v>
      </c>
      <c r="M301" s="206">
        <f t="shared" si="126"/>
        <v>235.5</v>
      </c>
      <c r="N301" s="34"/>
      <c r="O301" s="209">
        <f t="shared" si="121"/>
        <v>71</v>
      </c>
      <c r="P301" s="34">
        <f t="shared" si="127"/>
        <v>99500</v>
      </c>
      <c r="Q301" s="34">
        <f t="shared" si="128"/>
        <v>157000</v>
      </c>
      <c r="R301" s="7">
        <f t="shared" si="129"/>
        <v>-235.5</v>
      </c>
      <c r="S301" s="227">
        <f t="shared" si="122"/>
        <v>57264.5</v>
      </c>
      <c r="T301" s="249">
        <f t="shared" si="123"/>
        <v>0.57552261306532659</v>
      </c>
    </row>
    <row r="302" spans="2:34" s="33" customFormat="1" ht="15" customHeight="1" x14ac:dyDescent="0.4">
      <c r="B302" s="38" t="s">
        <v>254</v>
      </c>
      <c r="C302" s="6" t="s">
        <v>160</v>
      </c>
      <c r="D302" s="6">
        <f t="shared" si="124"/>
        <v>1</v>
      </c>
      <c r="E302" s="34">
        <v>80</v>
      </c>
      <c r="F302" s="212">
        <v>980</v>
      </c>
      <c r="G302" s="195">
        <v>45840</v>
      </c>
      <c r="H302" s="8"/>
      <c r="I302" s="212">
        <v>1570</v>
      </c>
      <c r="J302" s="8">
        <v>45910</v>
      </c>
      <c r="K302" s="23">
        <f>IF($C302="OTC",ROUNDDOWN($E302*$F302*0.000909187,-1),(IF($C302="신한",ROUNDDOWN($E302*$F302*0.000036396,-1),(IF($C302="토스",$E302*$F302*0.00015,(IF($C302="US",(IF($E302*$F302*0.0025&gt;0.01,$E302*$F302*0.0025,0.01)),IF($C302="JP",(IF($E302*$F302*0.0025&gt;1000,$E302*$F302*0.0025,1000)),(IF($C302="R토스",0,IF($C302="무상증자(신한)",0,"")))))))))))</f>
        <v>0</v>
      </c>
      <c r="L302" s="23">
        <f t="shared" si="125"/>
        <v>0</v>
      </c>
      <c r="M302" s="206">
        <f t="shared" si="126"/>
        <v>188.4</v>
      </c>
      <c r="N302" s="34"/>
      <c r="O302" s="209">
        <f t="shared" si="121"/>
        <v>71</v>
      </c>
      <c r="P302" s="34">
        <f t="shared" si="127"/>
        <v>78400</v>
      </c>
      <c r="Q302" s="34">
        <f t="shared" si="128"/>
        <v>125600</v>
      </c>
      <c r="R302" s="7">
        <f t="shared" si="129"/>
        <v>-188.4</v>
      </c>
      <c r="S302" s="227">
        <f t="shared" si="122"/>
        <v>47011.6</v>
      </c>
      <c r="T302" s="249">
        <f t="shared" si="123"/>
        <v>0.59963775510204076</v>
      </c>
      <c r="U302" s="33">
        <f>SUM(P294:P302)/SUM(E294:E302)</f>
        <v>1226.3608345187292</v>
      </c>
    </row>
    <row r="303" spans="2:34" s="33" customFormat="1" ht="15" customHeight="1" x14ac:dyDescent="0.4">
      <c r="B303" s="38" t="s">
        <v>255</v>
      </c>
      <c r="C303" s="6" t="s">
        <v>162</v>
      </c>
      <c r="D303" s="6"/>
      <c r="E303" s="36">
        <v>3</v>
      </c>
      <c r="F303" s="212">
        <v>309000</v>
      </c>
      <c r="G303" s="195">
        <v>43119</v>
      </c>
      <c r="H303" s="8"/>
      <c r="I303" s="212">
        <v>336000</v>
      </c>
      <c r="J303" s="8">
        <v>43133</v>
      </c>
      <c r="K303" s="7">
        <f>ROUNDDOWN(E303*F303*0.0015,-1)</f>
        <v>1390</v>
      </c>
      <c r="L303" s="7">
        <f>ROUNDDOWN(I303*E303*0.0015,-1)</f>
        <v>1510</v>
      </c>
      <c r="M303" s="196">
        <f>I303*E303*0.003</f>
        <v>3024</v>
      </c>
      <c r="N303" s="36"/>
      <c r="O303" s="191">
        <f t="shared" si="121"/>
        <v>15</v>
      </c>
      <c r="P303" s="36">
        <f>F303*E303</f>
        <v>927000</v>
      </c>
      <c r="Q303" s="36">
        <f>I303*E303</f>
        <v>1008000</v>
      </c>
      <c r="R303" s="7">
        <f>N303-K303-L303-M303</f>
        <v>-5924</v>
      </c>
      <c r="S303" s="227">
        <f t="shared" si="122"/>
        <v>75076</v>
      </c>
      <c r="T303" s="248">
        <f t="shared" si="123"/>
        <v>8.0988133764832798E-2</v>
      </c>
      <c r="U303" s="9">
        <f>T303*365/O303</f>
        <v>1.9707112549442649</v>
      </c>
      <c r="V303" s="6"/>
    </row>
    <row r="304" spans="2:34" s="33" customFormat="1" ht="15" customHeight="1" x14ac:dyDescent="0.4">
      <c r="B304" s="38" t="s">
        <v>256</v>
      </c>
      <c r="C304" s="6" t="s">
        <v>160</v>
      </c>
      <c r="D304" s="6">
        <f>IF(OR($C304="신한",$C304="OTC",$C304="무상증자(신한)",$C304="토스",$C304="R토스"),1,"확인")</f>
        <v>1</v>
      </c>
      <c r="E304" s="34">
        <v>500</v>
      </c>
      <c r="F304" s="212">
        <v>1500</v>
      </c>
      <c r="G304" s="195">
        <v>44183</v>
      </c>
      <c r="H304" s="8"/>
      <c r="I304" s="212">
        <v>1675</v>
      </c>
      <c r="J304" s="8">
        <v>44344</v>
      </c>
      <c r="K304" s="23">
        <f>IF($C304="OTC",ROUNDDOWN($E304*$F304*0.000909187,-1),(IF($C304="신한",ROUNDDOWN($E304*$F304*0.000036396,-1),(IF($C304="토스",$E304*$F304*0.00015,(IF($C304="US",(IF($E304*$F304*0.0025&gt;0.01,$E304*$F304*0.0025,0.01)),IF($C304="JP",(IF($E304*$F304*0.0025&gt;1000,$E304*$F304*0.0025,1000)),(IF($C304="R토스",0,IF($C304="무상증자(신한)",0,"")))))))))))</f>
        <v>20</v>
      </c>
      <c r="L304" s="23">
        <f>IF($C304="OTC",ROUNDDOWN($I304*$E304*0.000909187,-1),(IF($C304="신한",ROUNDDOWN($I304*$E304*0.000036396,-1),(IF($C304="토스",$I304*$E304*0.00015,(IF($C304="US",(IF($I304*$E304*0.0025&gt;0.01,$I304*$E304*0.0025,0.01)),(IF($C304="JP",(IF($I304*$E304*0.0025&gt;1000,$I304*$E304*0.0025,1000)),(IF($C304="R토스",$I304*$E304*0.00015,(IF($C304="무상증자(신한)",ROUNDDOWN($I304*$E304*0.000036396,-1),"")))))))))))))</f>
        <v>30</v>
      </c>
      <c r="M304" s="206">
        <f>Q304*0.0023</f>
        <v>1926.25</v>
      </c>
      <c r="N304" s="34"/>
      <c r="O304" s="209">
        <f t="shared" si="121"/>
        <v>162</v>
      </c>
      <c r="P304" s="34">
        <f>$E304*$F304*$D304</f>
        <v>750000</v>
      </c>
      <c r="Q304" s="34">
        <f>$E304*$I304*$D304</f>
        <v>837500</v>
      </c>
      <c r="R304" s="7">
        <f>($N304-$K304-$L304-$M304)*$D304</f>
        <v>-1976.25</v>
      </c>
      <c r="S304" s="227">
        <f t="shared" si="122"/>
        <v>85523.75</v>
      </c>
      <c r="T304" s="249">
        <f t="shared" si="123"/>
        <v>0.11403166666666667</v>
      </c>
      <c r="AH304" s="33" t="s">
        <v>257</v>
      </c>
    </row>
    <row r="305" spans="1:34" s="33" customFormat="1" ht="15" customHeight="1" x14ac:dyDescent="0.4">
      <c r="B305" s="38" t="s">
        <v>256</v>
      </c>
      <c r="C305" s="6" t="s">
        <v>160</v>
      </c>
      <c r="D305" s="6">
        <f>IF(OR($C305="신한",$C305="OTC",$C305="무상증자(신한)",$C305="토스",$C305="R토스"),1,"확인")</f>
        <v>1</v>
      </c>
      <c r="E305" s="34">
        <v>500</v>
      </c>
      <c r="F305" s="212">
        <v>1480</v>
      </c>
      <c r="G305" s="195">
        <v>44187</v>
      </c>
      <c r="H305" s="8"/>
      <c r="I305" s="212">
        <v>1675</v>
      </c>
      <c r="J305" s="8">
        <v>44344</v>
      </c>
      <c r="K305" s="23">
        <f>IF($C305="OTC",ROUNDDOWN($E305*$F305*0.000909187,-1),(IF($C305="신한",ROUNDDOWN($E305*$F305*0.000036396,-1),(IF($C305="토스",$E305*$F305*0.00015,(IF($C305="US",(IF($E305*$F305*0.0025&gt;0.01,$E305*$F305*0.0025,0.01)),IF($C305="JP",(IF($E305*$F305*0.0025&gt;1000,$E305*$F305*0.0025,1000)),(IF($C305="R토스",0,IF($C305="무상증자(신한)",0,"")))))))))))</f>
        <v>20</v>
      </c>
      <c r="L305" s="23">
        <f>IF($C305="OTC",ROUNDDOWN($I305*$E305*0.000909187,-1),(IF($C305="신한",ROUNDDOWN($I305*$E305*0.000036396,-1),(IF($C305="토스",$I305*$E305*0.00015,(IF($C305="US",(IF($I305*$E305*0.0025&gt;0.01,$I305*$E305*0.0025,0.01)),(IF($C305="JP",(IF($I305*$E305*0.0025&gt;1000,$I305*$E305*0.0025,1000)),(IF($C305="R토스",$I305*$E305*0.00015,(IF($C305="무상증자(신한)",ROUNDDOWN($I305*$E305*0.000036396,-1),"")))))))))))))</f>
        <v>30</v>
      </c>
      <c r="M305" s="206">
        <f>Q305*0.0023</f>
        <v>1926.25</v>
      </c>
      <c r="N305" s="34"/>
      <c r="O305" s="209">
        <f t="shared" si="121"/>
        <v>158</v>
      </c>
      <c r="P305" s="34">
        <f>$E305*$F305*$D305</f>
        <v>740000</v>
      </c>
      <c r="Q305" s="34">
        <f>$E305*$I305*$D305</f>
        <v>837500</v>
      </c>
      <c r="R305" s="7">
        <f>($N305-$K305-$L305-$M305)*$D305</f>
        <v>-1976.25</v>
      </c>
      <c r="S305" s="227">
        <f t="shared" si="122"/>
        <v>95523.75</v>
      </c>
      <c r="T305" s="249">
        <f t="shared" si="123"/>
        <v>0.12908614864864865</v>
      </c>
    </row>
    <row r="306" spans="1:34" s="33" customFormat="1" ht="15" customHeight="1" x14ac:dyDescent="0.4">
      <c r="B306" s="38" t="s">
        <v>256</v>
      </c>
      <c r="C306" s="6" t="s">
        <v>160</v>
      </c>
      <c r="D306" s="6">
        <f>IF(OR($C306="신한",$C306="OTC",$C306="무상증자(신한)",$C306="토스",$C306="R토스"),1,"확인")</f>
        <v>1</v>
      </c>
      <c r="E306" s="34">
        <v>1000</v>
      </c>
      <c r="F306" s="212">
        <v>1350</v>
      </c>
      <c r="G306" s="195">
        <v>44201</v>
      </c>
      <c r="H306" s="8"/>
      <c r="I306" s="212">
        <v>1675</v>
      </c>
      <c r="J306" s="8">
        <v>44344</v>
      </c>
      <c r="K306" s="23">
        <f>IF($C306="OTC",ROUNDDOWN($E306*$F306*0.000909187,-1),(IF($C306="신한",ROUNDDOWN($E306*$F306*0.000036396,-1),(IF($C306="토스",$E306*$F306*0.00015,(IF($C306="US",(IF($E306*$F306*0.0025&gt;0.01,$E306*$F306*0.0025,0.01)),IF($C306="JP",(IF($E306*$F306*0.0025&gt;1000,$E306*$F306*0.0025,1000)),(IF($C306="R토스",0,IF($C306="무상증자(신한)",0,"")))))))))))</f>
        <v>40</v>
      </c>
      <c r="L306" s="23">
        <f>IF($C306="OTC",ROUNDDOWN($I306*$E306*0.000909187,-1),(IF($C306="신한",ROUNDDOWN($I306*$E306*0.000036396,-1),(IF($C306="토스",$I306*$E306*0.00015,(IF($C306="US",(IF($I306*$E306*0.0025&gt;0.01,$I306*$E306*0.0025,0.01)),(IF($C306="JP",(IF($I306*$E306*0.0025&gt;1000,$I306*$E306*0.0025,1000)),(IF($C306="R토스",$I306*$E306*0.00015,(IF($C306="무상증자(신한)",ROUNDDOWN($I306*$E306*0.000036396,-1),"")))))))))))))</f>
        <v>60</v>
      </c>
      <c r="M306" s="206">
        <f>Q306*0.0023</f>
        <v>3852.5</v>
      </c>
      <c r="N306" s="34"/>
      <c r="O306" s="209">
        <f t="shared" si="121"/>
        <v>144</v>
      </c>
      <c r="P306" s="34">
        <f>$E306*$F306*$D306</f>
        <v>1350000</v>
      </c>
      <c r="Q306" s="34">
        <f>$E306*$I306*$D306</f>
        <v>1675000</v>
      </c>
      <c r="R306" s="7">
        <f>($N306-$K306-$L306-$M306)*$D306</f>
        <v>-3952.5</v>
      </c>
      <c r="S306" s="227">
        <f t="shared" si="122"/>
        <v>321047.5</v>
      </c>
      <c r="T306" s="249">
        <f t="shared" si="123"/>
        <v>0.23781296296296298</v>
      </c>
    </row>
    <row r="307" spans="1:34" s="33" customFormat="1" ht="15" customHeight="1" x14ac:dyDescent="0.4">
      <c r="B307" s="38" t="s">
        <v>258</v>
      </c>
      <c r="C307" s="6" t="s">
        <v>185</v>
      </c>
      <c r="D307" s="6"/>
      <c r="E307" s="36">
        <v>10</v>
      </c>
      <c r="F307" s="212">
        <v>4320</v>
      </c>
      <c r="G307" s="195">
        <v>39254</v>
      </c>
      <c r="H307" s="8"/>
      <c r="I307" s="212">
        <v>5230</v>
      </c>
      <c r="J307" s="8">
        <v>39274</v>
      </c>
      <c r="K307" s="7">
        <f>ROUNDDOWN(E307*F307*0.005,-1)</f>
        <v>210</v>
      </c>
      <c r="L307" s="7">
        <f>ROUNDDOWN(I307*E307*0.005,-1)</f>
        <v>260</v>
      </c>
      <c r="M307" s="196">
        <f>I307*E307*0.003</f>
        <v>156.9</v>
      </c>
      <c r="N307" s="36"/>
      <c r="O307" s="191">
        <f t="shared" si="121"/>
        <v>21</v>
      </c>
      <c r="P307" s="36">
        <f>F307*E307</f>
        <v>43200</v>
      </c>
      <c r="Q307" s="36">
        <f>I307*E307</f>
        <v>52300</v>
      </c>
      <c r="R307" s="7">
        <f>N307-K307-L307-M307</f>
        <v>-626.9</v>
      </c>
      <c r="S307" s="227">
        <f t="shared" si="122"/>
        <v>8473.1</v>
      </c>
      <c r="T307" s="248">
        <f t="shared" si="123"/>
        <v>0.19613657407407409</v>
      </c>
      <c r="U307" s="9">
        <f>T307*365/O307</f>
        <v>3.4090404541446211</v>
      </c>
      <c r="V307" s="6"/>
    </row>
    <row r="308" spans="1:34" s="33" customFormat="1" ht="15" customHeight="1" x14ac:dyDescent="0.4">
      <c r="B308" s="38" t="s">
        <v>259</v>
      </c>
      <c r="C308" s="6" t="s">
        <v>162</v>
      </c>
      <c r="D308" s="6"/>
      <c r="E308" s="36">
        <v>5</v>
      </c>
      <c r="F308" s="212">
        <v>20800</v>
      </c>
      <c r="G308" s="195">
        <v>42564</v>
      </c>
      <c r="H308" s="8"/>
      <c r="I308" s="212">
        <v>20000</v>
      </c>
      <c r="J308" s="8">
        <v>42653</v>
      </c>
      <c r="K308" s="7">
        <f>ROUNDDOWN(E308*F308*0.004975,-1)</f>
        <v>510</v>
      </c>
      <c r="L308" s="7">
        <f>ROUNDDOWN(I308*E308*0.0015,-1)</f>
        <v>150</v>
      </c>
      <c r="M308" s="196">
        <f>I308*E308*0.003</f>
        <v>300</v>
      </c>
      <c r="N308" s="36"/>
      <c r="O308" s="191">
        <f t="shared" si="121"/>
        <v>90</v>
      </c>
      <c r="P308" s="36">
        <f>F308*E308</f>
        <v>104000</v>
      </c>
      <c r="Q308" s="36">
        <f>I308*E308</f>
        <v>100000</v>
      </c>
      <c r="R308" s="7">
        <f>N308-K308-L308-M308</f>
        <v>-960</v>
      </c>
      <c r="S308" s="227">
        <f t="shared" si="122"/>
        <v>-4960</v>
      </c>
      <c r="T308" s="248">
        <f t="shared" si="123"/>
        <v>-4.7692307692307694E-2</v>
      </c>
      <c r="U308" s="9">
        <f>T308*365/O308</f>
        <v>-0.19341880341880341</v>
      </c>
      <c r="V308" s="6"/>
    </row>
    <row r="309" spans="1:34" s="33" customFormat="1" ht="15" customHeight="1" x14ac:dyDescent="0.4">
      <c r="B309" s="38" t="s">
        <v>260</v>
      </c>
      <c r="C309" s="6" t="s">
        <v>162</v>
      </c>
      <c r="D309" s="6"/>
      <c r="E309" s="36">
        <v>1150</v>
      </c>
      <c r="F309" s="212">
        <v>6880</v>
      </c>
      <c r="G309" s="195">
        <v>43537</v>
      </c>
      <c r="H309" s="8"/>
      <c r="I309" s="212">
        <v>7080</v>
      </c>
      <c r="J309" s="8">
        <v>43564</v>
      </c>
      <c r="K309" s="7">
        <f>ROUNDDOWN(E309*F309*0.0015,-1)</f>
        <v>11860</v>
      </c>
      <c r="L309" s="7">
        <f>ROUNDDOWN(I309*E309*0.0015,-1)</f>
        <v>12210</v>
      </c>
      <c r="M309" s="196">
        <f>I309*E309*0.003</f>
        <v>24426</v>
      </c>
      <c r="N309" s="36"/>
      <c r="O309" s="191">
        <f t="shared" si="121"/>
        <v>28</v>
      </c>
      <c r="P309" s="36">
        <f>F309*E309</f>
        <v>7912000</v>
      </c>
      <c r="Q309" s="36">
        <f>I309*E309</f>
        <v>8142000</v>
      </c>
      <c r="R309" s="7">
        <f>N309-K309-L309-M309</f>
        <v>-48496</v>
      </c>
      <c r="S309" s="227">
        <f t="shared" si="122"/>
        <v>181504</v>
      </c>
      <c r="T309" s="248">
        <f t="shared" si="123"/>
        <v>2.2940343781597573E-2</v>
      </c>
      <c r="U309" s="9">
        <f>T309*365/O309</f>
        <v>0.29904376715296838</v>
      </c>
      <c r="V309" s="6"/>
    </row>
    <row r="310" spans="1:34" ht="15" customHeight="1" x14ac:dyDescent="0.4">
      <c r="B310" s="38" t="s">
        <v>260</v>
      </c>
      <c r="C310" s="6" t="s">
        <v>162</v>
      </c>
      <c r="D310" s="6"/>
      <c r="E310" s="36">
        <v>150</v>
      </c>
      <c r="F310" s="212">
        <v>6870</v>
      </c>
      <c r="G310" s="195">
        <v>43537</v>
      </c>
      <c r="H310" s="8"/>
      <c r="I310" s="212">
        <v>7080</v>
      </c>
      <c r="J310" s="8">
        <v>43564</v>
      </c>
      <c r="K310" s="7">
        <f>ROUNDDOWN(E310*F310*0.0015,-1)</f>
        <v>1540</v>
      </c>
      <c r="L310" s="7">
        <f>ROUNDDOWN(I310*E310*0.0015,-1)</f>
        <v>1590</v>
      </c>
      <c r="M310" s="196">
        <f>I310*E310*0.003</f>
        <v>3186</v>
      </c>
      <c r="N310" s="36"/>
      <c r="O310" s="191">
        <f t="shared" si="121"/>
        <v>28</v>
      </c>
      <c r="P310" s="36">
        <f>F310*E310</f>
        <v>1030500</v>
      </c>
      <c r="Q310" s="36">
        <f>I310*E310</f>
        <v>1062000</v>
      </c>
      <c r="R310" s="7">
        <f>N310-K310-L310-M310</f>
        <v>-6316</v>
      </c>
      <c r="S310" s="227">
        <f t="shared" si="122"/>
        <v>25184</v>
      </c>
      <c r="T310" s="248">
        <f t="shared" si="123"/>
        <v>2.443862202814168E-2</v>
      </c>
      <c r="U310" s="193">
        <f>T310*365/O310</f>
        <v>0.31857489429541835</v>
      </c>
      <c r="V310" s="6"/>
    </row>
    <row r="311" spans="1:34" s="33" customFormat="1" ht="15" customHeight="1" x14ac:dyDescent="0.4">
      <c r="B311" s="198" t="s">
        <v>261</v>
      </c>
      <c r="C311" s="6" t="s">
        <v>162</v>
      </c>
      <c r="D311" s="15"/>
      <c r="E311" s="36">
        <v>28</v>
      </c>
      <c r="F311" s="212">
        <v>18000</v>
      </c>
      <c r="G311" s="195">
        <v>43766</v>
      </c>
      <c r="H311" s="8"/>
      <c r="I311" s="212">
        <v>18700</v>
      </c>
      <c r="J311" s="8">
        <v>43846</v>
      </c>
      <c r="K311" s="7">
        <f>ROUNDDOWN(E311*F311*0.0015,-1)</f>
        <v>750</v>
      </c>
      <c r="L311" s="7">
        <f>ROUNDDOWN(I311*E311*0.0015,-1)</f>
        <v>780</v>
      </c>
      <c r="M311" s="196">
        <f>ROUNDDOWN(I311*E311*0.0025, )</f>
        <v>1309</v>
      </c>
      <c r="N311" s="36">
        <v>2520</v>
      </c>
      <c r="O311" s="191">
        <f t="shared" si="121"/>
        <v>81</v>
      </c>
      <c r="P311" s="36">
        <f>F311*E311</f>
        <v>504000</v>
      </c>
      <c r="Q311" s="36">
        <f>I311*E311</f>
        <v>523600</v>
      </c>
      <c r="R311" s="7">
        <f>N311-K311-L311-M311</f>
        <v>-319</v>
      </c>
      <c r="S311" s="227">
        <f t="shared" si="122"/>
        <v>19281</v>
      </c>
      <c r="T311" s="248">
        <f t="shared" si="123"/>
        <v>3.8255952380952384E-2</v>
      </c>
      <c r="U311" s="193">
        <f>T311*365/O311</f>
        <v>0.17238793356848914</v>
      </c>
      <c r="V311" s="6" t="s">
        <v>262</v>
      </c>
    </row>
    <row r="312" spans="1:34" s="33" customFormat="1" ht="15" customHeight="1" x14ac:dyDescent="0.4">
      <c r="B312" s="38" t="s">
        <v>263</v>
      </c>
      <c r="C312" s="6" t="s">
        <v>160</v>
      </c>
      <c r="D312" s="6">
        <f>IF(OR($C312="신한",$C312="OTC",$C312="무상증자(신한)",$C312="토스",$C312="R토스"),1,"확인")</f>
        <v>1</v>
      </c>
      <c r="E312" s="34">
        <v>21</v>
      </c>
      <c r="F312" s="212">
        <v>54100</v>
      </c>
      <c r="G312" s="195">
        <v>44162</v>
      </c>
      <c r="H312" s="8"/>
      <c r="I312" s="212">
        <v>51000</v>
      </c>
      <c r="J312" s="8">
        <v>44162</v>
      </c>
      <c r="K312" s="23">
        <f>IF($C312="OTC",ROUNDDOWN($E312*$F312*0.000909187,-1),(IF($C312="신한",ROUNDDOWN($E312*$F312*0.000036396,-1),(IF($C312="토스",$E312*$F312*0.00015,(IF($C312="US",(IF($E312*$F312*0.0025&gt;0.01,$E312*$F312*0.0025,0.01)),IF($C312="JP",(IF($E312*$F312*0.0025&gt;1000,$E312*$F312*0.0025,1000)),(IF($C312="R토스",0,IF($C312="무상증자(신한)",0,"")))))))))))</f>
        <v>40</v>
      </c>
      <c r="L312" s="23">
        <f>IF($C312="OTC",ROUNDDOWN($I312*$E312*0.000909187,-1),(IF($C312="신한",ROUNDDOWN($I312*$E312*0.000036396,-1),(IF($C312="토스",$I312*$E312*0.00015,(IF($C312="US",(IF($I312*$E312*0.0025&gt;0.01,$I312*$E312*0.0025,0.01)),(IF($C312="JP",(IF($I312*$E312*0.0025&gt;1000,$I312*$E312*0.0025,1000)),(IF($C312="R토스",$I312*$E312*0.00015,(IF($C312="무상증자(신한)",ROUNDDOWN($I312*$E312*0.000036396,-1),"")))))))))))))</f>
        <v>30</v>
      </c>
      <c r="M312" s="206">
        <f>Q312*0.0025</f>
        <v>2677.5</v>
      </c>
      <c r="N312" s="34"/>
      <c r="O312" s="209">
        <f t="shared" si="121"/>
        <v>1</v>
      </c>
      <c r="P312" s="34">
        <f>$E312*$F312*$D312</f>
        <v>1136100</v>
      </c>
      <c r="Q312" s="34">
        <f>$E312*$I312*$D312</f>
        <v>1071000</v>
      </c>
      <c r="R312" s="7">
        <f>($N312-$K312-$L312-$M312)*$D312</f>
        <v>-2747.5</v>
      </c>
      <c r="S312" s="227">
        <f t="shared" si="122"/>
        <v>-67847.5</v>
      </c>
      <c r="T312" s="249">
        <f t="shared" si="123"/>
        <v>-5.9719654959950706E-2</v>
      </c>
      <c r="U312" s="38"/>
    </row>
    <row r="313" spans="1:34" s="33" customFormat="1" ht="15" customHeight="1" x14ac:dyDescent="0.4">
      <c r="B313" s="38" t="s">
        <v>145</v>
      </c>
      <c r="C313" s="6" t="s">
        <v>122</v>
      </c>
      <c r="D313" s="6">
        <f>IF(OR($C313="신한",$C313="OTC",$C313="무상증자(신한)",$C313="토스",$C313="R토스"),1,"확인")</f>
        <v>1</v>
      </c>
      <c r="E313" s="34">
        <v>20</v>
      </c>
      <c r="F313" s="212">
        <v>65500</v>
      </c>
      <c r="G313" s="195">
        <v>45833</v>
      </c>
      <c r="I313" s="212">
        <v>68000</v>
      </c>
      <c r="J313" s="8">
        <v>45940</v>
      </c>
      <c r="K313" s="23">
        <f>IF($C313="OTC",ROUNDDOWN($E313*$F313*0.000909187,-1),(IF($C313="신한",ROUNDDOWN($E313*$F313*0.000036396,-1),(IF($C313="토스",$E313*$F313*0.00015,(IF($C313="US",(IF($E313*$F313*0.0025&gt;0.01,$E313*$F313*0.0025,0.01)),IF($C313="JP",(IF($E313*$F313*0.0025&gt;1000,$E313*$F313*0.0025,1000)),(IF($C313="R토스",0,IF($C313="무상증자(신한)",0,"")))))))))))</f>
        <v>196.49999999999997</v>
      </c>
      <c r="L313" s="23">
        <f>IF($C313="OTC",ROUNDDOWN($I313*$E313*0.000909187,-1),(IF($C313="신한",ROUNDDOWN($I313*$E313*0.000036396,-1),(IF($C313="토스",$I313*$E313*0.00015,(IF($C313="US",(IF($I313*$E313*0.0025&gt;0.01,$I313*$E313*0.0025,0.01)),(IF($C313="JP",(IF($I313*$E313*0.0025&gt;1000,$I313*$E313*0.0025,1000)),(IF($C313="R토스",$I313*$E313*0.00015,(IF($C313="무상증자(신한)",ROUNDDOWN($I313*$E313*0.000036396,-1),"")))))))))))))</f>
        <v>203.99999999999997</v>
      </c>
      <c r="M313" s="206">
        <f>Q313*0.0015</f>
        <v>2040</v>
      </c>
      <c r="N313" s="34"/>
      <c r="O313" s="209">
        <f t="shared" si="121"/>
        <v>108</v>
      </c>
      <c r="P313" s="34">
        <f>$E313*$F313*$D313</f>
        <v>1310000</v>
      </c>
      <c r="Q313" s="34">
        <f>$E313*$I313*$D313</f>
        <v>1360000</v>
      </c>
      <c r="R313" s="7">
        <f>($N313-$K313-$L313-$M313)*$D313</f>
        <v>-2440.5</v>
      </c>
      <c r="S313" s="227">
        <f t="shared" si="122"/>
        <v>47559.5</v>
      </c>
      <c r="T313" s="249">
        <f t="shared" si="123"/>
        <v>3.630496183206107E-2</v>
      </c>
      <c r="U313" s="38"/>
      <c r="V313" s="36"/>
    </row>
    <row r="314" spans="1:34" s="33" customFormat="1" ht="15" customHeight="1" x14ac:dyDescent="0.4">
      <c r="B314" s="38" t="s">
        <v>145</v>
      </c>
      <c r="C314" s="6" t="s">
        <v>122</v>
      </c>
      <c r="D314" s="6">
        <f>IF(OR($C314="신한",$C314="OTC",$C314="무상증자(신한)",$C314="토스",$C314="R토스"),1,"확인")</f>
        <v>1</v>
      </c>
      <c r="E314" s="34">
        <v>6</v>
      </c>
      <c r="F314" s="212">
        <v>63500</v>
      </c>
      <c r="G314" s="195">
        <v>45834</v>
      </c>
      <c r="I314" s="212">
        <v>68000</v>
      </c>
      <c r="J314" s="8">
        <v>45940</v>
      </c>
      <c r="K314" s="23">
        <f>IF($C314="OTC",ROUNDDOWN($E314*$F314*0.000909187,-1),(IF($C314="신한",ROUNDDOWN($E314*$F314*0.000036396,-1),(IF($C314="토스",$E314*$F314*0.00015,(IF($C314="US",(IF($E314*$F314*0.0025&gt;0.01,$E314*$F314*0.0025,0.01)),IF($C314="JP",(IF($E314*$F314*0.0025&gt;1000,$E314*$F314*0.0025,1000)),(IF($C314="R토스",0,IF($C314="무상증자(신한)",0,"")))))))))))</f>
        <v>57.149999999999991</v>
      </c>
      <c r="L314" s="23">
        <f>IF($C314="OTC",ROUNDDOWN($I314*$E314*0.000909187,-1),(IF($C314="신한",ROUNDDOWN($I314*$E314*0.000036396,-1),(IF($C314="토스",$I314*$E314*0.00015,(IF($C314="US",(IF($I314*$E314*0.0025&gt;0.01,$I314*$E314*0.0025,0.01)),(IF($C314="JP",(IF($I314*$E314*0.0025&gt;1000,$I314*$E314*0.0025,1000)),(IF($C314="R토스",$I314*$E314*0.00015,(IF($C314="무상증자(신한)",ROUNDDOWN($I314*$E314*0.000036396,-1),"")))))))))))))</f>
        <v>61.199999999999996</v>
      </c>
      <c r="M314" s="206">
        <f>Q314*0.0015</f>
        <v>612</v>
      </c>
      <c r="N314" s="34"/>
      <c r="O314" s="209">
        <f t="shared" si="121"/>
        <v>107</v>
      </c>
      <c r="P314" s="34">
        <f>$E314*$F314*$D314</f>
        <v>381000</v>
      </c>
      <c r="Q314" s="34">
        <f>$E314*$I314*$D314</f>
        <v>408000</v>
      </c>
      <c r="R314" s="7">
        <f>($N314-$K314-$L314-$M314)*$D314</f>
        <v>-730.35</v>
      </c>
      <c r="S314" s="227">
        <f t="shared" si="122"/>
        <v>26269.65</v>
      </c>
      <c r="T314" s="249">
        <f t="shared" si="123"/>
        <v>6.8949212598425194E-2</v>
      </c>
      <c r="U314" s="38"/>
      <c r="V314" s="36"/>
      <c r="AH314" s="33" t="s">
        <v>264</v>
      </c>
    </row>
    <row r="315" spans="1:34" s="33" customFormat="1" ht="15" customHeight="1" x14ac:dyDescent="0.4">
      <c r="B315" s="38" t="s">
        <v>145</v>
      </c>
      <c r="C315" s="6" t="s">
        <v>122</v>
      </c>
      <c r="D315" s="6">
        <f>IF(OR($C315="신한",$C315="OTC",$C315="무상증자(신한)",$C315="토스",$C315="R토스"),1,"확인")</f>
        <v>1</v>
      </c>
      <c r="E315" s="34">
        <v>7</v>
      </c>
      <c r="F315" s="212">
        <v>66600</v>
      </c>
      <c r="G315" s="195">
        <v>45839</v>
      </c>
      <c r="H315" s="33" t="s">
        <v>113</v>
      </c>
      <c r="I315" s="212">
        <v>68000</v>
      </c>
      <c r="J315" s="8">
        <v>45940</v>
      </c>
      <c r="K315" s="23">
        <f>IF($C315="OTC",ROUNDDOWN($E315*$F315*0.000909187,-1),(IF($C315="신한",ROUNDDOWN($E315*$F315*0.000036396,-1),(IF($C315="토스",$E315*$F315*0.00015,(IF($C315="US",(IF($E315*$F315*0.0025&gt;0.01,$E315*$F315*0.0025,0.01)),IF($C315="JP",(IF($E315*$F315*0.0025&gt;1000,$E315*$F315*0.0025,1000)),(IF($C315="R토스",0,IF($C315="무상증자(신한)",0,"")))))))))))</f>
        <v>69.929999999999993</v>
      </c>
      <c r="L315" s="23">
        <f>IF($C315="OTC",ROUNDDOWN($I315*$E315*0.000909187,-1),(IF($C315="신한",ROUNDDOWN($I315*$E315*0.000036396,-1),(IF($C315="토스",$I315*$E315*0.00015,(IF($C315="US",(IF($I315*$E315*0.0025&gt;0.01,$I315*$E315*0.0025,0.01)),(IF($C315="JP",(IF($I315*$E315*0.0025&gt;1000,$I315*$E315*0.0025,1000)),(IF($C315="R토스",$I315*$E315*0.00015,(IF($C315="무상증자(신한)",ROUNDDOWN($I315*$E315*0.000036396,-1),"")))))))))))))</f>
        <v>71.399999999999991</v>
      </c>
      <c r="M315" s="206">
        <f>Q315*0.0015</f>
        <v>714</v>
      </c>
      <c r="N315" s="34"/>
      <c r="O315" s="209">
        <f t="shared" si="121"/>
        <v>102</v>
      </c>
      <c r="P315" s="34">
        <f>$E315*$F315*$D315</f>
        <v>466200</v>
      </c>
      <c r="Q315" s="34">
        <f>$E315*$I315*$D315</f>
        <v>476000</v>
      </c>
      <c r="R315" s="7">
        <f>($N315-$K315-$L315-$M315)*$D315</f>
        <v>-855.32999999999993</v>
      </c>
      <c r="S315" s="227">
        <f t="shared" si="122"/>
        <v>8944.67</v>
      </c>
      <c r="T315" s="249">
        <f t="shared" si="123"/>
        <v>1.9186336336336336E-2</v>
      </c>
      <c r="U315" s="38"/>
      <c r="V315" s="36">
        <f>+P315*0.05*O315/365</f>
        <v>6514.0273972602736</v>
      </c>
    </row>
    <row r="316" spans="1:34" ht="15" customHeight="1" x14ac:dyDescent="0.4">
      <c r="B316" s="38" t="s">
        <v>145</v>
      </c>
      <c r="C316" s="6" t="s">
        <v>122</v>
      </c>
      <c r="D316" s="6">
        <f>IF(OR($C316="신한",$C316="OTC",$C316="무상증자(신한)",$C316="토스",$C316="R토스"),1,"확인")</f>
        <v>1</v>
      </c>
      <c r="E316" s="34">
        <v>2</v>
      </c>
      <c r="F316" s="212">
        <v>59700</v>
      </c>
      <c r="G316" s="195">
        <v>45842</v>
      </c>
      <c r="H316" s="33" t="s">
        <v>113</v>
      </c>
      <c r="I316" s="212">
        <v>68000</v>
      </c>
      <c r="J316" s="8">
        <v>45940</v>
      </c>
      <c r="K316" s="23">
        <f>IF($C316="OTC",ROUNDDOWN($E316*$F316*0.000909187,-1),(IF($C316="신한",ROUNDDOWN($E316*$F316*0.000036396,-1),(IF($C316="토스",$E316*$F316*0.00015,(IF($C316="US",(IF($E316*$F316*0.0025&gt;0.01,$E316*$F316*0.0025,0.01)),IF($C316="JP",(IF($E316*$F316*0.0025&gt;1000,$E316*$F316*0.0025,1000)),(IF($C316="R토스",0,IF($C316="무상증자(신한)",0,"")))))))))))</f>
        <v>17.91</v>
      </c>
      <c r="L316" s="23">
        <f>IF($C316="OTC",ROUNDDOWN($I316*$E316*0.000909187,-1),(IF($C316="신한",ROUNDDOWN($I316*$E316*0.000036396,-1),(IF($C316="토스",$I316*$E316*0.00015,(IF($C316="US",(IF($I316*$E316*0.0025&gt;0.01,$I316*$E316*0.0025,0.01)),(IF($C316="JP",(IF($I316*$E316*0.0025&gt;1000,$I316*$E316*0.0025,1000)),(IF($C316="R토스",$I316*$E316*0.00015,(IF($C316="무상증자(신한)",ROUNDDOWN($I316*$E316*0.000036396,-1),"")))))))))))))</f>
        <v>20.399999999999999</v>
      </c>
      <c r="M316" s="206">
        <f>Q316*0.0015</f>
        <v>204</v>
      </c>
      <c r="N316" s="34"/>
      <c r="O316" s="209">
        <f t="shared" si="121"/>
        <v>99</v>
      </c>
      <c r="P316" s="34">
        <f>$E316*$F316*$D316</f>
        <v>119400</v>
      </c>
      <c r="Q316" s="34">
        <f>$E316*$I316*$D316</f>
        <v>136000</v>
      </c>
      <c r="R316" s="7">
        <f>($N316-$K316-$L316-$M316)*$D316</f>
        <v>-242.31</v>
      </c>
      <c r="S316" s="227">
        <f t="shared" si="122"/>
        <v>16357.69</v>
      </c>
      <c r="T316" s="249">
        <f t="shared" si="123"/>
        <v>0.13699907872696818</v>
      </c>
      <c r="U316" s="38"/>
      <c r="V316" s="36">
        <f>+P316*0.05*O316/365</f>
        <v>1619.2602739726028</v>
      </c>
    </row>
    <row r="317" spans="1:34" ht="15" customHeight="1" x14ac:dyDescent="0.4">
      <c r="B317" s="38" t="s">
        <v>265</v>
      </c>
      <c r="C317" s="6" t="s">
        <v>185</v>
      </c>
      <c r="D317" s="6"/>
      <c r="E317" s="36">
        <v>10</v>
      </c>
      <c r="F317" s="212">
        <v>34850</v>
      </c>
      <c r="G317" s="195">
        <v>39282</v>
      </c>
      <c r="H317" s="8"/>
      <c r="I317" s="212">
        <v>37000</v>
      </c>
      <c r="J317" s="8">
        <v>39302</v>
      </c>
      <c r="K317" s="7">
        <f>ROUNDDOWN(E317*F317*0.005,-1)</f>
        <v>1740</v>
      </c>
      <c r="L317" s="7">
        <f>ROUNDDOWN(I317*E317*0.005,-1)</f>
        <v>1850</v>
      </c>
      <c r="M317" s="196">
        <f>I317*E317*0.003</f>
        <v>1110</v>
      </c>
      <c r="N317" s="36"/>
      <c r="O317" s="191">
        <f t="shared" si="121"/>
        <v>21</v>
      </c>
      <c r="P317" s="36">
        <f t="shared" ref="P317:P324" si="130">F317*E317</f>
        <v>348500</v>
      </c>
      <c r="Q317" s="36">
        <f t="shared" ref="Q317:Q324" si="131">I317*E317</f>
        <v>370000</v>
      </c>
      <c r="R317" s="7">
        <f t="shared" ref="R317:R324" si="132">N317-K317-L317-M317</f>
        <v>-4700</v>
      </c>
      <c r="S317" s="227">
        <f t="shared" si="122"/>
        <v>16800</v>
      </c>
      <c r="T317" s="248">
        <f t="shared" si="123"/>
        <v>4.8206599713055957E-2</v>
      </c>
      <c r="U317" s="193">
        <f t="shared" ref="U317:U324" si="133">T317*365/O317</f>
        <v>0.83787661406025837</v>
      </c>
      <c r="V317" s="6"/>
    </row>
    <row r="318" spans="1:34" ht="15" customHeight="1" x14ac:dyDescent="0.4">
      <c r="B318" s="38" t="s">
        <v>265</v>
      </c>
      <c r="C318" s="6" t="s">
        <v>185</v>
      </c>
      <c r="D318" s="6"/>
      <c r="E318" s="36">
        <v>10</v>
      </c>
      <c r="F318" s="212">
        <v>33750</v>
      </c>
      <c r="G318" s="195">
        <v>39336</v>
      </c>
      <c r="H318" s="8"/>
      <c r="I318" s="212">
        <v>38500</v>
      </c>
      <c r="J318" s="8">
        <v>39366</v>
      </c>
      <c r="K318" s="7">
        <f>ROUNDDOWN(E318*F318*0.005,-1)</f>
        <v>1680</v>
      </c>
      <c r="L318" s="7">
        <f>ROUNDDOWN(I318*E318*0.005,-1)</f>
        <v>1920</v>
      </c>
      <c r="M318" s="196">
        <f>I318*E318*0.003</f>
        <v>1155</v>
      </c>
      <c r="N318" s="36"/>
      <c r="O318" s="191">
        <f t="shared" si="121"/>
        <v>31</v>
      </c>
      <c r="P318" s="36">
        <f t="shared" si="130"/>
        <v>337500</v>
      </c>
      <c r="Q318" s="36">
        <f t="shared" si="131"/>
        <v>385000</v>
      </c>
      <c r="R318" s="7">
        <f t="shared" si="132"/>
        <v>-4755</v>
      </c>
      <c r="S318" s="227">
        <f t="shared" si="122"/>
        <v>42745</v>
      </c>
      <c r="T318" s="248">
        <f t="shared" si="123"/>
        <v>0.12665185185185185</v>
      </c>
      <c r="U318" s="193">
        <f t="shared" si="133"/>
        <v>1.4912234169653524</v>
      </c>
      <c r="V318" s="6"/>
    </row>
    <row r="319" spans="1:34" ht="15" customHeight="1" x14ac:dyDescent="0.4">
      <c r="B319" s="38" t="s">
        <v>265</v>
      </c>
      <c r="C319" s="6" t="s">
        <v>187</v>
      </c>
      <c r="D319" s="6"/>
      <c r="E319" s="36">
        <v>10</v>
      </c>
      <c r="F319" s="212">
        <v>31300</v>
      </c>
      <c r="G319" s="195">
        <v>39545</v>
      </c>
      <c r="H319" s="8"/>
      <c r="I319" s="212">
        <v>36750</v>
      </c>
      <c r="J319" s="8">
        <v>39583</v>
      </c>
      <c r="K319" s="7">
        <v>90</v>
      </c>
      <c r="L319" s="7">
        <v>100</v>
      </c>
      <c r="M319" s="196"/>
      <c r="N319" s="36"/>
      <c r="O319" s="191">
        <f t="shared" si="121"/>
        <v>39</v>
      </c>
      <c r="P319" s="36">
        <f t="shared" si="130"/>
        <v>313000</v>
      </c>
      <c r="Q319" s="36">
        <f t="shared" si="131"/>
        <v>367500</v>
      </c>
      <c r="R319" s="7">
        <f t="shared" si="132"/>
        <v>-190</v>
      </c>
      <c r="S319" s="227">
        <f t="shared" si="122"/>
        <v>54310</v>
      </c>
      <c r="T319" s="248">
        <f t="shared" si="123"/>
        <v>0.17351437699680511</v>
      </c>
      <c r="U319" s="193">
        <f t="shared" si="133"/>
        <v>1.6239166052265095</v>
      </c>
      <c r="V319" s="6"/>
    </row>
    <row r="320" spans="1:34" s="33" customFormat="1" ht="15" customHeight="1" x14ac:dyDescent="0.4">
      <c r="A320" s="33" t="s">
        <v>113</v>
      </c>
      <c r="B320" s="38" t="s">
        <v>265</v>
      </c>
      <c r="C320" s="6" t="s">
        <v>187</v>
      </c>
      <c r="D320" s="6"/>
      <c r="E320" s="36">
        <v>20</v>
      </c>
      <c r="F320" s="212">
        <v>17500</v>
      </c>
      <c r="G320" s="195">
        <v>39932</v>
      </c>
      <c r="H320" s="8"/>
      <c r="I320" s="212">
        <v>19100</v>
      </c>
      <c r="J320" s="8">
        <v>39940</v>
      </c>
      <c r="K320" s="7">
        <v>100</v>
      </c>
      <c r="L320" s="7">
        <v>110</v>
      </c>
      <c r="M320" s="196"/>
      <c r="N320" s="36"/>
      <c r="O320" s="191">
        <f t="shared" si="121"/>
        <v>9</v>
      </c>
      <c r="P320" s="36">
        <f t="shared" si="130"/>
        <v>350000</v>
      </c>
      <c r="Q320" s="36">
        <f t="shared" si="131"/>
        <v>382000</v>
      </c>
      <c r="R320" s="7">
        <f t="shared" si="132"/>
        <v>-210</v>
      </c>
      <c r="S320" s="227">
        <f t="shared" si="122"/>
        <v>31790</v>
      </c>
      <c r="T320" s="248">
        <f t="shared" si="123"/>
        <v>9.0828571428571425E-2</v>
      </c>
      <c r="U320" s="9">
        <f t="shared" si="133"/>
        <v>3.6836031746031748</v>
      </c>
      <c r="V320" s="6"/>
    </row>
    <row r="321" spans="1:22" s="33" customFormat="1" ht="15" customHeight="1" x14ac:dyDescent="0.4">
      <c r="A321" s="33" t="s">
        <v>113</v>
      </c>
      <c r="B321" s="38" t="s">
        <v>265</v>
      </c>
      <c r="C321" s="6" t="s">
        <v>187</v>
      </c>
      <c r="D321" s="6"/>
      <c r="E321" s="36">
        <v>30</v>
      </c>
      <c r="F321" s="212">
        <v>17950</v>
      </c>
      <c r="G321" s="195">
        <v>39951</v>
      </c>
      <c r="H321" s="8"/>
      <c r="I321" s="212">
        <v>21700</v>
      </c>
      <c r="J321" s="8">
        <v>40277</v>
      </c>
      <c r="K321" s="7">
        <v>150</v>
      </c>
      <c r="L321" s="7">
        <v>180</v>
      </c>
      <c r="M321" s="196"/>
      <c r="N321" s="36"/>
      <c r="O321" s="191">
        <f t="shared" si="121"/>
        <v>327</v>
      </c>
      <c r="P321" s="36">
        <f t="shared" si="130"/>
        <v>538500</v>
      </c>
      <c r="Q321" s="36">
        <f t="shared" si="131"/>
        <v>651000</v>
      </c>
      <c r="R321" s="7">
        <f t="shared" si="132"/>
        <v>-330</v>
      </c>
      <c r="S321" s="227">
        <f t="shared" si="122"/>
        <v>112170</v>
      </c>
      <c r="T321" s="248">
        <f t="shared" si="123"/>
        <v>0.20830083565459609</v>
      </c>
      <c r="U321" s="9">
        <f t="shared" si="133"/>
        <v>0.23250704897225558</v>
      </c>
      <c r="V321" s="6"/>
    </row>
    <row r="322" spans="1:22" s="33" customFormat="1" ht="15" customHeight="1" x14ac:dyDescent="0.4">
      <c r="A322" s="33" t="s">
        <v>113</v>
      </c>
      <c r="B322" s="38" t="s">
        <v>265</v>
      </c>
      <c r="C322" s="6" t="s">
        <v>187</v>
      </c>
      <c r="D322" s="6"/>
      <c r="E322" s="36">
        <v>20</v>
      </c>
      <c r="F322" s="212">
        <v>21200</v>
      </c>
      <c r="G322" s="195">
        <v>40304</v>
      </c>
      <c r="H322" s="8"/>
      <c r="I322" s="212">
        <v>24000</v>
      </c>
      <c r="J322" s="8">
        <v>40450</v>
      </c>
      <c r="K322" s="7">
        <v>120</v>
      </c>
      <c r="L322" s="7">
        <v>130</v>
      </c>
      <c r="M322" s="196"/>
      <c r="N322" s="36"/>
      <c r="O322" s="191">
        <f t="shared" si="121"/>
        <v>147</v>
      </c>
      <c r="P322" s="36">
        <f t="shared" si="130"/>
        <v>424000</v>
      </c>
      <c r="Q322" s="36">
        <f t="shared" si="131"/>
        <v>480000</v>
      </c>
      <c r="R322" s="7">
        <f t="shared" si="132"/>
        <v>-250</v>
      </c>
      <c r="S322" s="227">
        <f t="shared" si="122"/>
        <v>55750</v>
      </c>
      <c r="T322" s="248">
        <f t="shared" si="123"/>
        <v>0.13148584905660377</v>
      </c>
      <c r="U322" s="9">
        <f t="shared" si="133"/>
        <v>0.3264784687459889</v>
      </c>
      <c r="V322" s="6"/>
    </row>
    <row r="323" spans="1:22" s="33" customFormat="1" ht="15" customHeight="1" x14ac:dyDescent="0.4">
      <c r="A323" s="33" t="s">
        <v>113</v>
      </c>
      <c r="B323" s="38" t="s">
        <v>265</v>
      </c>
      <c r="C323" s="6" t="s">
        <v>187</v>
      </c>
      <c r="D323" s="6"/>
      <c r="E323" s="36">
        <v>200</v>
      </c>
      <c r="F323" s="212">
        <v>12400</v>
      </c>
      <c r="G323" s="195">
        <v>41668</v>
      </c>
      <c r="H323" s="8"/>
      <c r="I323" s="212">
        <v>13000</v>
      </c>
      <c r="J323" s="8">
        <v>41674</v>
      </c>
      <c r="K323" s="7">
        <f>ROUNDDOWN(E323*F323*0.00015,-1)</f>
        <v>370</v>
      </c>
      <c r="L323" s="7">
        <f>ROUNDDOWN(I323*E323*0.00015,-1)</f>
        <v>390</v>
      </c>
      <c r="M323" s="196">
        <f>I323*E323*0.003</f>
        <v>7800</v>
      </c>
      <c r="N323" s="36"/>
      <c r="O323" s="191">
        <f t="shared" si="121"/>
        <v>7</v>
      </c>
      <c r="P323" s="36">
        <f t="shared" si="130"/>
        <v>2480000</v>
      </c>
      <c r="Q323" s="36">
        <f t="shared" si="131"/>
        <v>2600000</v>
      </c>
      <c r="R323" s="7">
        <f t="shared" si="132"/>
        <v>-8560</v>
      </c>
      <c r="S323" s="227">
        <f t="shared" si="122"/>
        <v>111440</v>
      </c>
      <c r="T323" s="248">
        <f t="shared" si="123"/>
        <v>4.4935483870967741E-2</v>
      </c>
      <c r="U323" s="9">
        <f t="shared" si="133"/>
        <v>2.3430645161290324</v>
      </c>
      <c r="V323" s="6"/>
    </row>
    <row r="324" spans="1:22" ht="15" customHeight="1" x14ac:dyDescent="0.4">
      <c r="B324" s="38" t="s">
        <v>265</v>
      </c>
      <c r="C324" s="6" t="s">
        <v>187</v>
      </c>
      <c r="D324" s="6"/>
      <c r="E324" s="36">
        <v>150</v>
      </c>
      <c r="F324" s="212">
        <v>11500</v>
      </c>
      <c r="G324" s="195">
        <v>41899</v>
      </c>
      <c r="H324" s="8"/>
      <c r="I324" s="212">
        <v>12000</v>
      </c>
      <c r="J324" s="8">
        <v>42051</v>
      </c>
      <c r="K324" s="7">
        <f>ROUNDDOWN(E324*F324*0.00015,-1)</f>
        <v>250</v>
      </c>
      <c r="L324" s="7">
        <f>ROUNDDOWN(I324*E324*0.00015,-1)</f>
        <v>270</v>
      </c>
      <c r="M324" s="196">
        <f>I324*E324*0.003</f>
        <v>5400</v>
      </c>
      <c r="N324" s="36"/>
      <c r="O324" s="191">
        <f t="shared" si="121"/>
        <v>153</v>
      </c>
      <c r="P324" s="36">
        <f t="shared" si="130"/>
        <v>1725000</v>
      </c>
      <c r="Q324" s="36">
        <f t="shared" si="131"/>
        <v>1800000</v>
      </c>
      <c r="R324" s="7">
        <f t="shared" si="132"/>
        <v>-5920</v>
      </c>
      <c r="S324" s="227">
        <f t="shared" si="122"/>
        <v>69080</v>
      </c>
      <c r="T324" s="248">
        <f t="shared" si="123"/>
        <v>4.0046376811594203E-2</v>
      </c>
      <c r="U324" s="193">
        <f t="shared" si="133"/>
        <v>9.5535474093018852E-2</v>
      </c>
      <c r="V324" s="6"/>
    </row>
    <row r="325" spans="1:22" ht="15" customHeight="1" x14ac:dyDescent="0.4">
      <c r="B325" s="38" t="s">
        <v>266</v>
      </c>
      <c r="C325" s="6" t="s">
        <v>160</v>
      </c>
      <c r="D325" s="6">
        <f>IF(OR($C325="신한",$C325="OTC",$C325="무상증자(신한)",$C325="토스",$C325="R토스"),1,"확인")</f>
        <v>1</v>
      </c>
      <c r="E325" s="34">
        <v>93</v>
      </c>
      <c r="F325" s="212">
        <v>47850</v>
      </c>
      <c r="G325" s="195">
        <v>44358</v>
      </c>
      <c r="H325" s="8"/>
      <c r="I325" s="212">
        <v>49200</v>
      </c>
      <c r="J325" s="8">
        <v>44361</v>
      </c>
      <c r="K325" s="23">
        <f>IF($C325="OTC",ROUNDDOWN($E325*$F325*0.000909187,-1),(IF($C325="신한",ROUNDDOWN($E325*$F325*0.000036396,-1),(IF($C325="토스",$E325*$F325*0.00015,(IF($C325="US",(IF($E325*$F325*0.0025&gt;0.01,$E325*$F325*0.0025,0.01)),IF($C325="JP",(IF($E325*$F325*0.0025&gt;1000,$E325*$F325*0.0025,1000)),(IF($C325="R토스",0,IF($C325="무상증자(신한)",0,"")))))))))))</f>
        <v>160</v>
      </c>
      <c r="L325" s="23">
        <f>IF($C325="OTC",ROUNDDOWN($I325*$E325*0.000909187,-1),(IF($C325="신한",ROUNDDOWN($I325*$E325*0.000036396,-1),(IF($C325="토스",$I325*$E325*0.00015,(IF($C325="US",(IF($I325*$E325*0.0025&gt;0.01,$I325*$E325*0.0025,0.01)),(IF($C325="JP",(IF($I325*$E325*0.0025&gt;1000,$I325*$E325*0.0025,1000)),(IF($C325="R토스",$I325*$E325*0.00015,(IF($C325="무상증자(신한)",ROUNDDOWN($I325*$E325*0.000036396,-1),"")))))))))))))</f>
        <v>160</v>
      </c>
      <c r="M325" s="206">
        <f>Q325*0.0023</f>
        <v>10523.88</v>
      </c>
      <c r="N325" s="34"/>
      <c r="O325" s="209">
        <f t="shared" si="121"/>
        <v>4</v>
      </c>
      <c r="P325" s="34">
        <f>$E325*$F325*$D325</f>
        <v>4450050</v>
      </c>
      <c r="Q325" s="34">
        <f>$E325*$I325*$D325</f>
        <v>4575600</v>
      </c>
      <c r="R325" s="7">
        <f>($N325-$K325-$L325-$M325)*$D325</f>
        <v>-10843.88</v>
      </c>
      <c r="S325" s="227">
        <f t="shared" si="122"/>
        <v>114706.12</v>
      </c>
      <c r="T325" s="249">
        <f t="shared" si="123"/>
        <v>2.5776366557679127E-2</v>
      </c>
      <c r="U325" s="38"/>
      <c r="V325" s="33"/>
    </row>
    <row r="326" spans="1:22" ht="15" customHeight="1" x14ac:dyDescent="0.4">
      <c r="B326" s="38" t="s">
        <v>266</v>
      </c>
      <c r="C326" s="6" t="s">
        <v>160</v>
      </c>
      <c r="D326" s="6">
        <f>IF(OR($C326="신한",$C326="OTC",$C326="무상증자(신한)",$C326="토스",$C326="R토스"),1,"확인")</f>
        <v>1</v>
      </c>
      <c r="E326" s="34">
        <v>205</v>
      </c>
      <c r="F326" s="212">
        <v>30600</v>
      </c>
      <c r="G326" s="195">
        <v>45896</v>
      </c>
      <c r="H326" s="8"/>
      <c r="I326" s="212">
        <v>30950</v>
      </c>
      <c r="J326" s="8">
        <v>45896</v>
      </c>
      <c r="K326" s="23">
        <f>IF($C326="OTC",ROUNDDOWN($E326*$F326*0.000909187,-1),(IF($C326="신한",ROUNDDOWN($E326*$F326*0.000036396,-1),(IF($C326="토스",$E326*$F326*0.00015,(IF($C326="US",(IF($E326*$F326*0.0025&gt;0.01,$E326*$F326*0.0025,0.01)),IF($C326="JP",(IF($E326*$F326*0.0025&gt;1000,$E326*$F326*0.0025,1000)),(IF($C326="R토스",0,IF($C326="무상증자(신한)",0,"")))))))))))</f>
        <v>220</v>
      </c>
      <c r="L326" s="23">
        <f>IF($C326="OTC",ROUNDDOWN($I326*$E326*0.000909187,-1),(IF($C326="신한",ROUNDDOWN($I326*$E326*0.000036396,-1),(IF($C326="토스",$I326*$E326*0.00015,(IF($C326="US",(IF($I326*$E326*0.0025&gt;0.01,$I326*$E326*0.0025,0.01)),(IF($C326="JP",(IF($I326*$E326*0.0025&gt;1000,$I326*$E326*0.0025,1000)),(IF($C326="R토스",$I326*$E326*0.00015,(IF($C326="무상증자(신한)",ROUNDDOWN($I326*$E326*0.000036396,-1),"")))))))))))))</f>
        <v>230</v>
      </c>
      <c r="M326" s="206">
        <f>Q326*0.0015</f>
        <v>9517.125</v>
      </c>
      <c r="N326" s="34"/>
      <c r="O326" s="209">
        <f t="shared" si="121"/>
        <v>1</v>
      </c>
      <c r="P326" s="34">
        <f>$E326*$F326*$D326</f>
        <v>6273000</v>
      </c>
      <c r="Q326" s="34">
        <f>$E326*$I326*$D326</f>
        <v>6344750</v>
      </c>
      <c r="R326" s="7">
        <f>($N326-$K326-$L326-$M326)*$D326</f>
        <v>-9967.125</v>
      </c>
      <c r="S326" s="227">
        <f t="shared" si="122"/>
        <v>61782.875</v>
      </c>
      <c r="T326" s="249">
        <f t="shared" si="123"/>
        <v>9.8490156225091666E-3</v>
      </c>
      <c r="U326" s="38"/>
      <c r="V326" s="33"/>
    </row>
    <row r="327" spans="1:22" ht="15" customHeight="1" x14ac:dyDescent="0.4">
      <c r="B327" s="198" t="s">
        <v>267</v>
      </c>
      <c r="C327" s="6" t="s">
        <v>162</v>
      </c>
      <c r="D327" s="15"/>
      <c r="E327" s="36">
        <v>2000</v>
      </c>
      <c r="F327" s="212">
        <v>1110</v>
      </c>
      <c r="G327" s="195">
        <v>43630</v>
      </c>
      <c r="H327" s="8"/>
      <c r="I327" s="212">
        <v>812</v>
      </c>
      <c r="J327" s="8">
        <v>43643</v>
      </c>
      <c r="K327" s="7">
        <f t="shared" ref="K327:K332" si="134">ROUNDDOWN(E327*F327*0.0015,-1)</f>
        <v>3330</v>
      </c>
      <c r="L327" s="7">
        <f t="shared" ref="L327:L332" si="135">ROUNDDOWN(I327*E327*0.0015,-1)</f>
        <v>2430</v>
      </c>
      <c r="M327" s="196">
        <f t="shared" ref="M327:M332" si="136">ROUNDDOWN(I327*E327*0.0025, )</f>
        <v>4060</v>
      </c>
      <c r="N327" s="36"/>
      <c r="O327" s="191">
        <f t="shared" si="121"/>
        <v>14</v>
      </c>
      <c r="P327" s="36">
        <f t="shared" ref="P327:P332" si="137">F327*E327</f>
        <v>2220000</v>
      </c>
      <c r="Q327" s="36">
        <f t="shared" ref="Q327:Q332" si="138">I327*E327</f>
        <v>1624000</v>
      </c>
      <c r="R327" s="7">
        <f t="shared" ref="R327:R332" si="139">N327-K327-L327-M327</f>
        <v>-9820</v>
      </c>
      <c r="S327" s="227">
        <f t="shared" si="122"/>
        <v>-605820</v>
      </c>
      <c r="T327" s="248">
        <f t="shared" si="123"/>
        <v>-0.27289189189189189</v>
      </c>
      <c r="U327" s="193">
        <f t="shared" ref="U327:U332" si="140">T327*365/O327</f>
        <v>-7.1146814671814678</v>
      </c>
      <c r="V327" s="6"/>
    </row>
    <row r="328" spans="1:22" ht="15" customHeight="1" x14ac:dyDescent="0.4">
      <c r="B328" s="198" t="s">
        <v>267</v>
      </c>
      <c r="C328" s="6" t="s">
        <v>162</v>
      </c>
      <c r="D328" s="15"/>
      <c r="E328" s="36">
        <v>2000</v>
      </c>
      <c r="F328" s="212">
        <v>1105</v>
      </c>
      <c r="G328" s="195">
        <v>43633</v>
      </c>
      <c r="H328" s="8"/>
      <c r="I328" s="212">
        <v>812</v>
      </c>
      <c r="J328" s="8">
        <v>43643</v>
      </c>
      <c r="K328" s="7">
        <f t="shared" si="134"/>
        <v>3310</v>
      </c>
      <c r="L328" s="7">
        <f t="shared" si="135"/>
        <v>2430</v>
      </c>
      <c r="M328" s="196">
        <f t="shared" si="136"/>
        <v>4060</v>
      </c>
      <c r="N328" s="36"/>
      <c r="O328" s="191">
        <f t="shared" si="121"/>
        <v>11</v>
      </c>
      <c r="P328" s="36">
        <f t="shared" si="137"/>
        <v>2210000</v>
      </c>
      <c r="Q328" s="36">
        <f t="shared" si="138"/>
        <v>1624000</v>
      </c>
      <c r="R328" s="7">
        <f t="shared" si="139"/>
        <v>-9800</v>
      </c>
      <c r="S328" s="227">
        <f t="shared" si="122"/>
        <v>-595800</v>
      </c>
      <c r="T328" s="248">
        <f t="shared" si="123"/>
        <v>-0.26959276018099548</v>
      </c>
      <c r="U328" s="193">
        <f t="shared" si="140"/>
        <v>-8.9455779514603044</v>
      </c>
      <c r="V328" s="6"/>
    </row>
    <row r="329" spans="1:22" ht="15" customHeight="1" x14ac:dyDescent="0.4">
      <c r="B329" s="198" t="s">
        <v>267</v>
      </c>
      <c r="C329" s="6" t="s">
        <v>162</v>
      </c>
      <c r="D329" s="15"/>
      <c r="E329" s="36">
        <v>14000</v>
      </c>
      <c r="F329" s="212">
        <v>1170</v>
      </c>
      <c r="G329" s="195">
        <v>43634</v>
      </c>
      <c r="H329" s="8"/>
      <c r="I329" s="212">
        <v>-9.9999999999999995E-8</v>
      </c>
      <c r="J329" s="8">
        <v>44869</v>
      </c>
      <c r="K329" s="7">
        <f t="shared" si="134"/>
        <v>24570</v>
      </c>
      <c r="L329" s="7">
        <f t="shared" si="135"/>
        <v>0</v>
      </c>
      <c r="M329" s="196">
        <f t="shared" si="136"/>
        <v>0</v>
      </c>
      <c r="N329" s="36"/>
      <c r="O329" s="191">
        <f t="shared" si="121"/>
        <v>1236</v>
      </c>
      <c r="P329" s="36">
        <f t="shared" si="137"/>
        <v>16380000</v>
      </c>
      <c r="Q329" s="36">
        <f t="shared" si="138"/>
        <v>-1.4E-3</v>
      </c>
      <c r="R329" s="7">
        <f t="shared" si="139"/>
        <v>-24570</v>
      </c>
      <c r="S329" s="227">
        <f t="shared" si="122"/>
        <v>-16404570.001399999</v>
      </c>
      <c r="T329" s="248">
        <f t="shared" si="123"/>
        <v>-1.0015000000854701</v>
      </c>
      <c r="U329" s="193">
        <f t="shared" si="140"/>
        <v>-0.29575040455598428</v>
      </c>
      <c r="V329" s="6"/>
    </row>
    <row r="330" spans="1:22" ht="15" customHeight="1" x14ac:dyDescent="0.4">
      <c r="B330" s="198" t="s">
        <v>267</v>
      </c>
      <c r="C330" s="6" t="s">
        <v>162</v>
      </c>
      <c r="D330" s="15"/>
      <c r="E330" s="36">
        <v>7000</v>
      </c>
      <c r="F330" s="212">
        <v>1150</v>
      </c>
      <c r="G330" s="195">
        <v>43634</v>
      </c>
      <c r="H330" s="8"/>
      <c r="I330" s="212">
        <v>-9.9999999999999995E-8</v>
      </c>
      <c r="J330" s="8">
        <v>44869</v>
      </c>
      <c r="K330" s="7">
        <f t="shared" si="134"/>
        <v>12070</v>
      </c>
      <c r="L330" s="7">
        <f t="shared" si="135"/>
        <v>0</v>
      </c>
      <c r="M330" s="196">
        <f t="shared" si="136"/>
        <v>0</v>
      </c>
      <c r="N330" s="36"/>
      <c r="O330" s="191">
        <f t="shared" si="121"/>
        <v>1236</v>
      </c>
      <c r="P330" s="36">
        <f t="shared" si="137"/>
        <v>8050000</v>
      </c>
      <c r="Q330" s="36">
        <f t="shared" si="138"/>
        <v>-6.9999999999999999E-4</v>
      </c>
      <c r="R330" s="7">
        <f t="shared" si="139"/>
        <v>-12070</v>
      </c>
      <c r="S330" s="227">
        <f t="shared" si="122"/>
        <v>-8062070.0006999997</v>
      </c>
      <c r="T330" s="248">
        <f t="shared" si="123"/>
        <v>-1.0014993789689441</v>
      </c>
      <c r="U330" s="193">
        <f t="shared" si="140"/>
        <v>-0.29575022113565097</v>
      </c>
      <c r="V330" s="6"/>
    </row>
    <row r="331" spans="1:22" s="33" customFormat="1" ht="15" customHeight="1" x14ac:dyDescent="0.4">
      <c r="B331" s="198" t="s">
        <v>267</v>
      </c>
      <c r="C331" s="6" t="s">
        <v>162</v>
      </c>
      <c r="D331" s="15"/>
      <c r="E331" s="36">
        <v>2000</v>
      </c>
      <c r="F331" s="212">
        <v>1145</v>
      </c>
      <c r="G331" s="195">
        <v>43634</v>
      </c>
      <c r="H331" s="8"/>
      <c r="I331" s="212">
        <v>812</v>
      </c>
      <c r="J331" s="8">
        <v>43643</v>
      </c>
      <c r="K331" s="7">
        <f t="shared" si="134"/>
        <v>3430</v>
      </c>
      <c r="L331" s="7">
        <f t="shared" si="135"/>
        <v>2430</v>
      </c>
      <c r="M331" s="196">
        <f t="shared" si="136"/>
        <v>4060</v>
      </c>
      <c r="N331" s="36"/>
      <c r="O331" s="191">
        <f t="shared" si="121"/>
        <v>10</v>
      </c>
      <c r="P331" s="36">
        <f t="shared" si="137"/>
        <v>2290000</v>
      </c>
      <c r="Q331" s="36">
        <f t="shared" si="138"/>
        <v>1624000</v>
      </c>
      <c r="R331" s="7">
        <f t="shared" si="139"/>
        <v>-9920</v>
      </c>
      <c r="S331" s="227">
        <f t="shared" si="122"/>
        <v>-675920</v>
      </c>
      <c r="T331" s="248">
        <f t="shared" si="123"/>
        <v>-0.29516157205240173</v>
      </c>
      <c r="U331" s="9">
        <f t="shared" si="140"/>
        <v>-10.773397379912662</v>
      </c>
      <c r="V331" s="6"/>
    </row>
    <row r="332" spans="1:22" ht="15" customHeight="1" x14ac:dyDescent="0.4">
      <c r="B332" s="198" t="s">
        <v>267</v>
      </c>
      <c r="C332" s="6" t="s">
        <v>162</v>
      </c>
      <c r="D332" s="15"/>
      <c r="E332" s="36">
        <v>9000</v>
      </c>
      <c r="F332" s="212">
        <v>1155</v>
      </c>
      <c r="G332" s="195">
        <v>43640</v>
      </c>
      <c r="H332" s="8"/>
      <c r="I332" s="212">
        <v>-9.9999999999999995E-8</v>
      </c>
      <c r="J332" s="8">
        <v>44869</v>
      </c>
      <c r="K332" s="7">
        <f t="shared" si="134"/>
        <v>15590</v>
      </c>
      <c r="L332" s="7">
        <f t="shared" si="135"/>
        <v>0</v>
      </c>
      <c r="M332" s="196">
        <f t="shared" si="136"/>
        <v>0</v>
      </c>
      <c r="N332" s="36">
        <v>1829</v>
      </c>
      <c r="O332" s="191">
        <f t="shared" si="121"/>
        <v>1230</v>
      </c>
      <c r="P332" s="36">
        <f t="shared" si="137"/>
        <v>10395000</v>
      </c>
      <c r="Q332" s="36">
        <f t="shared" si="138"/>
        <v>-8.9999999999999998E-4</v>
      </c>
      <c r="R332" s="7">
        <f t="shared" si="139"/>
        <v>-13761</v>
      </c>
      <c r="S332" s="227">
        <f t="shared" si="122"/>
        <v>-10408761.0009</v>
      </c>
      <c r="T332" s="248">
        <f t="shared" si="123"/>
        <v>-1.0013238096103896</v>
      </c>
      <c r="U332" s="193">
        <f t="shared" si="140"/>
        <v>-0.29714080529088793</v>
      </c>
      <c r="V332" s="6"/>
    </row>
    <row r="333" spans="1:22" ht="15" customHeight="1" x14ac:dyDescent="0.4">
      <c r="B333" s="38" t="s">
        <v>268</v>
      </c>
      <c r="C333" s="6" t="s">
        <v>160</v>
      </c>
      <c r="D333" s="6">
        <f>IF(OR($C333="신한",$C333="OTC",$C333="무상증자(신한)",$C333="토스",$C333="R토스"),1,"확인")</f>
        <v>1</v>
      </c>
      <c r="E333" s="34">
        <v>40</v>
      </c>
      <c r="F333" s="212">
        <v>49800</v>
      </c>
      <c r="G333" s="195">
        <v>44026</v>
      </c>
      <c r="H333" s="8"/>
      <c r="I333" s="212">
        <v>45200</v>
      </c>
      <c r="J333" s="8">
        <v>44061</v>
      </c>
      <c r="K333" s="23">
        <f>IF($C333="OTC",ROUNDDOWN($E333*$F333*0.000909187,-1),(IF($C333="신한",ROUNDDOWN($E333*$F333*0.000036396,-1),(IF($C333="토스",$E333*$F333*0.00015,(IF($C333="US",(IF($E333*$F333*0.0025&gt;0.01,$E333*$F333*0.0025,0.01)),IF($C333="JP",(IF($E333*$F333*0.0025&gt;1000,$E333*$F333*0.0025,1000)),(IF($C333="R토스",0,IF($C333="무상증자(신한)",0,"")))))))))))</f>
        <v>70</v>
      </c>
      <c r="L333" s="23">
        <f>IF($C333="OTC",ROUNDDOWN($I333*$E333*0.000909187,-1),(IF($C333="신한",ROUNDDOWN($I333*$E333*0.000036396,-1),(IF($C333="토스",$I333*$E333*0.00015,(IF($C333="US",(IF($I333*$E333*0.0025&gt;0.01,$I333*$E333*0.0025,0.01)),(IF($C333="JP",(IF($I333*$E333*0.0025&gt;1000,$I333*$E333*0.0025,1000)),(IF($C333="R토스",$I333*$E333*0.00015,(IF($C333="무상증자(신한)",ROUNDDOWN($I333*$E333*0.000036396,-1),"")))))))))))))</f>
        <v>60</v>
      </c>
      <c r="M333" s="206">
        <f>Q333*0.0025</f>
        <v>4520</v>
      </c>
      <c r="N333" s="34"/>
      <c r="O333" s="209">
        <f t="shared" si="121"/>
        <v>36</v>
      </c>
      <c r="P333" s="34">
        <f>$E333*$F333*$D333</f>
        <v>1992000</v>
      </c>
      <c r="Q333" s="34">
        <f>$E333*$I333*$D333</f>
        <v>1808000</v>
      </c>
      <c r="R333" s="7">
        <f>($N333-$K333-$L333-$M333)*$D333</f>
        <v>-4650</v>
      </c>
      <c r="S333" s="227">
        <f t="shared" si="122"/>
        <v>-188650</v>
      </c>
      <c r="T333" s="249">
        <f t="shared" si="123"/>
        <v>-9.4703815261044183E-2</v>
      </c>
      <c r="U333" s="38"/>
      <c r="V333" s="33"/>
    </row>
    <row r="334" spans="1:22" ht="15" customHeight="1" x14ac:dyDescent="0.4">
      <c r="B334" s="38" t="s">
        <v>268</v>
      </c>
      <c r="C334" s="6" t="s">
        <v>160</v>
      </c>
      <c r="D334" s="6">
        <f>IF(OR($C334="신한",$C334="OTC",$C334="무상증자(신한)",$C334="토스",$C334="R토스"),1,"확인")</f>
        <v>1</v>
      </c>
      <c r="E334" s="34">
        <v>50</v>
      </c>
      <c r="F334" s="212">
        <v>41000</v>
      </c>
      <c r="G334" s="195">
        <v>44071</v>
      </c>
      <c r="H334" s="8"/>
      <c r="I334" s="212">
        <v>42700</v>
      </c>
      <c r="J334" s="8">
        <v>44075</v>
      </c>
      <c r="K334" s="23">
        <f>IF($C334="OTC",ROUNDDOWN($E334*$F334*0.000909187,-1),(IF($C334="신한",ROUNDDOWN($E334*$F334*0.000036396,-1),(IF($C334="토스",$E334*$F334*0.00015,(IF($C334="US",(IF($E334*$F334*0.0025&gt;0.01,$E334*$F334*0.0025,0.01)),IF($C334="JP",(IF($E334*$F334*0.0025&gt;1000,$E334*$F334*0.0025,1000)),(IF($C334="R토스",0,IF($C334="무상증자(신한)",0,"")))))))))))</f>
        <v>70</v>
      </c>
      <c r="L334" s="23">
        <f>IF($C334="OTC",ROUNDDOWN($I334*$E334*0.000909187,-1),(IF($C334="신한",ROUNDDOWN($I334*$E334*0.000036396,-1),(IF($C334="토스",$I334*$E334*0.00015,(IF($C334="US",(IF($I334*$E334*0.0025&gt;0.01,$I334*$E334*0.0025,0.01)),(IF($C334="JP",(IF($I334*$E334*0.0025&gt;1000,$I334*$E334*0.0025,1000)),(IF($C334="R토스",$I334*$E334*0.00015,(IF($C334="무상증자(신한)",ROUNDDOWN($I334*$E334*0.000036396,-1),"")))))))))))))</f>
        <v>70</v>
      </c>
      <c r="M334" s="206">
        <f>Q334*0.0025</f>
        <v>5337.5</v>
      </c>
      <c r="N334" s="34"/>
      <c r="O334" s="209">
        <f t="shared" si="121"/>
        <v>5</v>
      </c>
      <c r="P334" s="34">
        <f>$E334*$F334*$D334</f>
        <v>2050000</v>
      </c>
      <c r="Q334" s="34">
        <f>$E334*$I334*$D334</f>
        <v>2135000</v>
      </c>
      <c r="R334" s="7">
        <f>($N334-$K334-$L334-$M334)*$D334</f>
        <v>-5477.5</v>
      </c>
      <c r="S334" s="227">
        <f t="shared" si="122"/>
        <v>79522.5</v>
      </c>
      <c r="T334" s="249">
        <f t="shared" si="123"/>
        <v>3.8791463414634145E-2</v>
      </c>
      <c r="U334" s="38"/>
      <c r="V334" s="33"/>
    </row>
    <row r="335" spans="1:22" ht="15" customHeight="1" x14ac:dyDescent="0.4">
      <c r="B335" s="38" t="s">
        <v>269</v>
      </c>
      <c r="C335" s="6" t="s">
        <v>160</v>
      </c>
      <c r="D335" s="6">
        <f>IF(OR($C335="신한",$C335="OTC",$C335="무상증자(신한)",$C335="토스",$C335="R토스"),1,"확인")</f>
        <v>1</v>
      </c>
      <c r="E335" s="34">
        <v>300</v>
      </c>
      <c r="F335" s="212">
        <v>2035</v>
      </c>
      <c r="G335" s="195">
        <v>44069</v>
      </c>
      <c r="H335" s="8"/>
      <c r="I335" s="212">
        <v>2300</v>
      </c>
      <c r="J335" s="8">
        <v>44159</v>
      </c>
      <c r="K335" s="23">
        <f>IF($C335="OTC",ROUNDDOWN($E335*$F335*0.000909187,-1),(IF($C335="신한",ROUNDDOWN($E335*$F335*0.000036396,-1),(IF($C335="토스",$E335*$F335*0.00015,(IF($C335="US",(IF($E335*$F335*0.0025&gt;0.01,$E335*$F335*0.0025,0.01)),IF($C335="JP",(IF($E335*$F335*0.0025&gt;1000,$E335*$F335*0.0025,1000)),(IF($C335="R토스",0,IF($C335="무상증자(신한)",0,"")))))))))))</f>
        <v>20</v>
      </c>
      <c r="L335" s="23">
        <f>IF($C335="OTC",ROUNDDOWN($I335*$E335*0.000909187,-1),(IF($C335="신한",ROUNDDOWN($I335*$E335*0.000036396,-1),(IF($C335="토스",$I335*$E335*0.00015,(IF($C335="US",(IF($I335*$E335*0.0025&gt;0.01,$I335*$E335*0.0025,0.01)),(IF($C335="JP",(IF($I335*$E335*0.0025&gt;1000,$I335*$E335*0.0025,1000)),(IF($C335="R토스",$I335*$E335*0.00015,(IF($C335="무상증자(신한)",ROUNDDOWN($I335*$E335*0.000036396,-1),"")))))))))))))</f>
        <v>20</v>
      </c>
      <c r="M335" s="206">
        <f>Q335*0.0025</f>
        <v>1725</v>
      </c>
      <c r="N335" s="34"/>
      <c r="O335" s="209">
        <f t="shared" si="121"/>
        <v>91</v>
      </c>
      <c r="P335" s="34">
        <f>$E335*$F335*$D335</f>
        <v>610500</v>
      </c>
      <c r="Q335" s="34">
        <f>$E335*$I335*$D335</f>
        <v>690000</v>
      </c>
      <c r="R335" s="7">
        <f>($N335-$K335-$L335-$M335)*$D335</f>
        <v>-1765</v>
      </c>
      <c r="S335" s="227">
        <f t="shared" si="122"/>
        <v>77735</v>
      </c>
      <c r="T335" s="249">
        <f t="shared" si="123"/>
        <v>0.12733005733005734</v>
      </c>
      <c r="U335" s="38"/>
      <c r="V335" s="33"/>
    </row>
    <row r="336" spans="1:22" ht="15" customHeight="1" x14ac:dyDescent="0.4">
      <c r="B336" s="38" t="s">
        <v>269</v>
      </c>
      <c r="C336" s="6" t="s">
        <v>160</v>
      </c>
      <c r="D336" s="6">
        <f>IF(OR($C336="신한",$C336="OTC",$C336="무상증자(신한)",$C336="토스",$C336="R토스"),1,"확인")</f>
        <v>1</v>
      </c>
      <c r="E336" s="34">
        <v>300</v>
      </c>
      <c r="F336" s="212">
        <v>1980</v>
      </c>
      <c r="G336" s="195">
        <v>44070</v>
      </c>
      <c r="H336" s="8"/>
      <c r="I336" s="212">
        <v>2300</v>
      </c>
      <c r="J336" s="8">
        <v>44159</v>
      </c>
      <c r="K336" s="23">
        <f>IF($C336="OTC",ROUNDDOWN($E336*$F336*0.000909187,-1),(IF($C336="신한",ROUNDDOWN($E336*$F336*0.000036396,-1),(IF($C336="토스",$E336*$F336*0.00015,(IF($C336="US",(IF($E336*$F336*0.0025&gt;0.01,$E336*$F336*0.0025,0.01)),IF($C336="JP",(IF($E336*$F336*0.0025&gt;1000,$E336*$F336*0.0025,1000)),(IF($C336="R토스",0,IF($C336="무상증자(신한)",0,"")))))))))))</f>
        <v>20</v>
      </c>
      <c r="L336" s="23">
        <f>IF($C336="OTC",ROUNDDOWN($I336*$E336*0.000909187,-1),(IF($C336="신한",ROUNDDOWN($I336*$E336*0.000036396,-1),(IF($C336="토스",$I336*$E336*0.00015,(IF($C336="US",(IF($I336*$E336*0.0025&gt;0.01,$I336*$E336*0.0025,0.01)),(IF($C336="JP",(IF($I336*$E336*0.0025&gt;1000,$I336*$E336*0.0025,1000)),(IF($C336="R토스",$I336*$E336*0.00015,(IF($C336="무상증자(신한)",ROUNDDOWN($I336*$E336*0.000036396,-1),"")))))))))))))</f>
        <v>20</v>
      </c>
      <c r="M336" s="206">
        <f>Q336*0.0025</f>
        <v>1725</v>
      </c>
      <c r="N336" s="34"/>
      <c r="O336" s="209">
        <f t="shared" si="121"/>
        <v>90</v>
      </c>
      <c r="P336" s="34">
        <f>$E336*$F336*$D336</f>
        <v>594000</v>
      </c>
      <c r="Q336" s="34">
        <f>$E336*$I336*$D336</f>
        <v>690000</v>
      </c>
      <c r="R336" s="7">
        <f>($N336-$K336-$L336-$M336)*$D336</f>
        <v>-1765</v>
      </c>
      <c r="S336" s="227">
        <f t="shared" si="122"/>
        <v>94235</v>
      </c>
      <c r="T336" s="249">
        <f t="shared" si="123"/>
        <v>0.15864478114478114</v>
      </c>
      <c r="U336" s="38"/>
      <c r="V336" s="33"/>
    </row>
    <row r="337" spans="2:22" ht="15" customHeight="1" x14ac:dyDescent="0.4">
      <c r="B337" s="38" t="s">
        <v>270</v>
      </c>
      <c r="C337" s="6" t="s">
        <v>162</v>
      </c>
      <c r="D337" s="6"/>
      <c r="E337" s="36">
        <v>35</v>
      </c>
      <c r="F337" s="212">
        <v>15700</v>
      </c>
      <c r="G337" s="195">
        <v>43529</v>
      </c>
      <c r="H337" s="8"/>
      <c r="I337" s="212">
        <v>20100</v>
      </c>
      <c r="J337" s="8">
        <v>43549</v>
      </c>
      <c r="K337" s="7">
        <f t="shared" ref="K337:K343" si="141">ROUNDDOWN(E337*F337*0.0015,-1)</f>
        <v>820</v>
      </c>
      <c r="L337" s="7">
        <f t="shared" ref="L337:L343" si="142">ROUNDDOWN(I337*E337*0.0015,-1)</f>
        <v>1050</v>
      </c>
      <c r="M337" s="196">
        <f>I337*E337*0.003</f>
        <v>2110.5</v>
      </c>
      <c r="N337" s="36"/>
      <c r="O337" s="191">
        <f t="shared" si="121"/>
        <v>21</v>
      </c>
      <c r="P337" s="36">
        <f t="shared" ref="P337:P343" si="143">F337*E337</f>
        <v>549500</v>
      </c>
      <c r="Q337" s="36">
        <f t="shared" ref="Q337:Q343" si="144">I337*E337</f>
        <v>703500</v>
      </c>
      <c r="R337" s="7">
        <f t="shared" ref="R337:R343" si="145">N337-K337-L337-M337</f>
        <v>-3980.5</v>
      </c>
      <c r="S337" s="227">
        <f t="shared" si="122"/>
        <v>150019.5</v>
      </c>
      <c r="T337" s="248">
        <f t="shared" si="123"/>
        <v>0.27301091901728847</v>
      </c>
      <c r="U337" s="193">
        <f t="shared" ref="U337:U343" si="146">T337*365/O337</f>
        <v>4.7451897829195371</v>
      </c>
      <c r="V337" s="6"/>
    </row>
    <row r="338" spans="2:22" s="33" customFormat="1" ht="15" customHeight="1" x14ac:dyDescent="0.4">
      <c r="B338" s="38" t="s">
        <v>271</v>
      </c>
      <c r="C338" s="6" t="s">
        <v>162</v>
      </c>
      <c r="D338" s="6"/>
      <c r="E338" s="36">
        <v>400</v>
      </c>
      <c r="F338" s="212">
        <v>3750</v>
      </c>
      <c r="G338" s="195">
        <v>43236</v>
      </c>
      <c r="H338" s="8"/>
      <c r="I338" s="212">
        <v>4500</v>
      </c>
      <c r="J338" s="8">
        <v>43241</v>
      </c>
      <c r="K338" s="7">
        <f t="shared" si="141"/>
        <v>2250</v>
      </c>
      <c r="L338" s="7">
        <f t="shared" si="142"/>
        <v>2700</v>
      </c>
      <c r="M338" s="196">
        <f>I338*E338*0.003</f>
        <v>5400</v>
      </c>
      <c r="N338" s="36"/>
      <c r="O338" s="191">
        <f t="shared" si="121"/>
        <v>6</v>
      </c>
      <c r="P338" s="36">
        <f t="shared" si="143"/>
        <v>1500000</v>
      </c>
      <c r="Q338" s="36">
        <f t="shared" si="144"/>
        <v>1800000</v>
      </c>
      <c r="R338" s="7">
        <f t="shared" si="145"/>
        <v>-10350</v>
      </c>
      <c r="S338" s="227">
        <f t="shared" si="122"/>
        <v>289650</v>
      </c>
      <c r="T338" s="248">
        <f t="shared" si="123"/>
        <v>0.19309999999999999</v>
      </c>
      <c r="U338" s="9">
        <f t="shared" si="146"/>
        <v>11.746916666666666</v>
      </c>
      <c r="V338" s="6"/>
    </row>
    <row r="339" spans="2:22" s="33" customFormat="1" ht="15" customHeight="1" x14ac:dyDescent="0.4">
      <c r="B339" s="38" t="s">
        <v>272</v>
      </c>
      <c r="C339" s="6" t="s">
        <v>162</v>
      </c>
      <c r="D339" s="6"/>
      <c r="E339" s="36">
        <v>500</v>
      </c>
      <c r="F339" s="212">
        <v>867</v>
      </c>
      <c r="G339" s="195">
        <v>42636</v>
      </c>
      <c r="H339" s="8"/>
      <c r="I339" s="212">
        <v>925</v>
      </c>
      <c r="J339" s="8">
        <v>42640</v>
      </c>
      <c r="K339" s="7">
        <f t="shared" si="141"/>
        <v>650</v>
      </c>
      <c r="L339" s="7">
        <f t="shared" si="142"/>
        <v>690</v>
      </c>
      <c r="M339" s="196">
        <f>I339*E339*0.003</f>
        <v>1387.5</v>
      </c>
      <c r="N339" s="36"/>
      <c r="O339" s="191">
        <f t="shared" si="121"/>
        <v>5</v>
      </c>
      <c r="P339" s="36">
        <f t="shared" si="143"/>
        <v>433500</v>
      </c>
      <c r="Q339" s="36">
        <f t="shared" si="144"/>
        <v>462500</v>
      </c>
      <c r="R339" s="7">
        <f t="shared" si="145"/>
        <v>-2727.5</v>
      </c>
      <c r="S339" s="227">
        <f t="shared" si="122"/>
        <v>26272.5</v>
      </c>
      <c r="T339" s="248">
        <f t="shared" si="123"/>
        <v>6.0605536332179931E-2</v>
      </c>
      <c r="U339" s="9">
        <f t="shared" si="146"/>
        <v>4.4242041522491347</v>
      </c>
      <c r="V339" s="6"/>
    </row>
    <row r="340" spans="2:22" s="33" customFormat="1" ht="15" customHeight="1" x14ac:dyDescent="0.4">
      <c r="B340" s="38" t="s">
        <v>273</v>
      </c>
      <c r="C340" s="6" t="s">
        <v>162</v>
      </c>
      <c r="D340" s="6"/>
      <c r="E340" s="36">
        <v>650</v>
      </c>
      <c r="F340" s="212">
        <v>1580</v>
      </c>
      <c r="G340" s="195">
        <v>43551</v>
      </c>
      <c r="H340" s="8"/>
      <c r="I340" s="212">
        <v>1870</v>
      </c>
      <c r="J340" s="8">
        <v>43862</v>
      </c>
      <c r="K340" s="7">
        <f t="shared" si="141"/>
        <v>1540</v>
      </c>
      <c r="L340" s="7">
        <f t="shared" si="142"/>
        <v>1820</v>
      </c>
      <c r="M340" s="196">
        <f>ROUNDDOWN(I340*E340*0.0025, )</f>
        <v>3038</v>
      </c>
      <c r="N340" s="36"/>
      <c r="O340" s="191">
        <f t="shared" si="121"/>
        <v>312</v>
      </c>
      <c r="P340" s="36">
        <f t="shared" si="143"/>
        <v>1027000</v>
      </c>
      <c r="Q340" s="36">
        <f t="shared" si="144"/>
        <v>1215500</v>
      </c>
      <c r="R340" s="7">
        <f t="shared" si="145"/>
        <v>-6398</v>
      </c>
      <c r="S340" s="227">
        <f t="shared" si="122"/>
        <v>182102</v>
      </c>
      <c r="T340" s="248">
        <f t="shared" si="123"/>
        <v>0.17731450827653358</v>
      </c>
      <c r="U340" s="9">
        <f t="shared" si="146"/>
        <v>0.20743524205427805</v>
      </c>
      <c r="V340" s="6"/>
    </row>
    <row r="341" spans="2:22" s="33" customFormat="1" ht="15" customHeight="1" x14ac:dyDescent="0.4">
      <c r="B341" s="38" t="s">
        <v>274</v>
      </c>
      <c r="C341" s="6" t="s">
        <v>162</v>
      </c>
      <c r="D341" s="6"/>
      <c r="E341" s="36">
        <v>15</v>
      </c>
      <c r="F341" s="212">
        <v>101500</v>
      </c>
      <c r="G341" s="195">
        <v>43348</v>
      </c>
      <c r="H341" s="8"/>
      <c r="I341" s="212">
        <v>106600</v>
      </c>
      <c r="J341" s="8">
        <v>43363</v>
      </c>
      <c r="K341" s="7">
        <f t="shared" si="141"/>
        <v>2280</v>
      </c>
      <c r="L341" s="7">
        <f t="shared" si="142"/>
        <v>2390</v>
      </c>
      <c r="M341" s="196">
        <f>I341*E341*0.003</f>
        <v>4797</v>
      </c>
      <c r="N341" s="36"/>
      <c r="O341" s="191">
        <f t="shared" si="121"/>
        <v>16</v>
      </c>
      <c r="P341" s="36">
        <f t="shared" si="143"/>
        <v>1522500</v>
      </c>
      <c r="Q341" s="36">
        <f t="shared" si="144"/>
        <v>1599000</v>
      </c>
      <c r="R341" s="7">
        <f t="shared" si="145"/>
        <v>-9467</v>
      </c>
      <c r="S341" s="227">
        <f t="shared" si="122"/>
        <v>67033</v>
      </c>
      <c r="T341" s="248">
        <f t="shared" si="123"/>
        <v>4.4028243021346468E-2</v>
      </c>
      <c r="U341" s="9">
        <f t="shared" si="146"/>
        <v>1.0043942939244663</v>
      </c>
      <c r="V341" s="6"/>
    </row>
    <row r="342" spans="2:22" ht="15" customHeight="1" x14ac:dyDescent="0.4">
      <c r="B342" s="38" t="s">
        <v>275</v>
      </c>
      <c r="C342" s="6" t="s">
        <v>162</v>
      </c>
      <c r="D342" s="6"/>
      <c r="E342" s="36">
        <v>60</v>
      </c>
      <c r="F342" s="212">
        <v>95000</v>
      </c>
      <c r="G342" s="195">
        <v>43374</v>
      </c>
      <c r="H342" s="8"/>
      <c r="I342" s="212">
        <v>98500</v>
      </c>
      <c r="J342" s="8">
        <v>43430</v>
      </c>
      <c r="K342" s="7">
        <f t="shared" si="141"/>
        <v>8550</v>
      </c>
      <c r="L342" s="7">
        <f t="shared" si="142"/>
        <v>8860</v>
      </c>
      <c r="M342" s="196">
        <f>I342*E342*0.003</f>
        <v>17730</v>
      </c>
      <c r="N342" s="36"/>
      <c r="O342" s="191">
        <f t="shared" si="121"/>
        <v>57</v>
      </c>
      <c r="P342" s="36">
        <f t="shared" si="143"/>
        <v>5700000</v>
      </c>
      <c r="Q342" s="36">
        <f t="shared" si="144"/>
        <v>5910000</v>
      </c>
      <c r="R342" s="7">
        <f t="shared" si="145"/>
        <v>-35140</v>
      </c>
      <c r="S342" s="227">
        <f t="shared" si="122"/>
        <v>174860</v>
      </c>
      <c r="T342" s="248">
        <f t="shared" si="123"/>
        <v>3.067719298245614E-2</v>
      </c>
      <c r="U342" s="193">
        <f t="shared" si="146"/>
        <v>0.19644167436134194</v>
      </c>
      <c r="V342" s="6"/>
    </row>
    <row r="343" spans="2:22" ht="15" customHeight="1" x14ac:dyDescent="0.4">
      <c r="B343" s="38" t="s">
        <v>275</v>
      </c>
      <c r="C343" s="6" t="s">
        <v>162</v>
      </c>
      <c r="D343" s="6"/>
      <c r="E343" s="36">
        <v>35</v>
      </c>
      <c r="F343" s="212">
        <v>93000</v>
      </c>
      <c r="G343" s="195">
        <v>43430</v>
      </c>
      <c r="H343" s="8"/>
      <c r="I343" s="212">
        <v>95100</v>
      </c>
      <c r="J343" s="8">
        <v>43507</v>
      </c>
      <c r="K343" s="7">
        <f t="shared" si="141"/>
        <v>4880</v>
      </c>
      <c r="L343" s="7">
        <f t="shared" si="142"/>
        <v>4990</v>
      </c>
      <c r="M343" s="196">
        <f>I343*E343*0.003</f>
        <v>9985.5</v>
      </c>
      <c r="N343" s="36"/>
      <c r="O343" s="191">
        <f t="shared" si="121"/>
        <v>78</v>
      </c>
      <c r="P343" s="36">
        <f t="shared" si="143"/>
        <v>3255000</v>
      </c>
      <c r="Q343" s="36">
        <f t="shared" si="144"/>
        <v>3328500</v>
      </c>
      <c r="R343" s="7">
        <f t="shared" si="145"/>
        <v>-19855.5</v>
      </c>
      <c r="S343" s="227">
        <f t="shared" si="122"/>
        <v>53644.5</v>
      </c>
      <c r="T343" s="248">
        <f t="shared" si="123"/>
        <v>1.6480645161290323E-2</v>
      </c>
      <c r="U343" s="193">
        <f t="shared" si="146"/>
        <v>7.7120967741935484E-2</v>
      </c>
      <c r="V343" s="6"/>
    </row>
    <row r="344" spans="2:22" ht="15" customHeight="1" x14ac:dyDescent="0.4">
      <c r="B344" s="38" t="s">
        <v>275</v>
      </c>
      <c r="C344" s="6" t="s">
        <v>160</v>
      </c>
      <c r="D344" s="6">
        <f>IF(OR($C344="신한",$C344="OTC",$C344="무상증자(신한)",$C344="토스",$C344="R토스"),1,"확인")</f>
        <v>1</v>
      </c>
      <c r="E344" s="34">
        <v>22</v>
      </c>
      <c r="F344" s="212">
        <v>179000</v>
      </c>
      <c r="G344" s="195">
        <v>44014</v>
      </c>
      <c r="H344" s="8"/>
      <c r="I344" s="212">
        <v>183800</v>
      </c>
      <c r="J344" s="8">
        <v>44020</v>
      </c>
      <c r="K344" s="23">
        <f>IF($C344="OTC",ROUNDDOWN($E344*$F344*0.000909187,-1),(IF($C344="신한",ROUNDDOWN($E344*$F344*0.000036396,-1),(IF($C344="토스",$E344*$F344*0.00015,(IF($C344="US",(IF($E344*$F344*0.0025&gt;0.01,$E344*$F344*0.0025,0.01)),IF($C344="JP",(IF($E344*$F344*0.0025&gt;1000,$E344*$F344*0.0025,1000)),(IF($C344="R토스",0,IF($C344="무상증자(신한)",0,"")))))))))))</f>
        <v>140</v>
      </c>
      <c r="L344" s="23">
        <f>IF($C344="OTC",ROUNDDOWN($I344*$E344*0.000909187,-1),(IF($C344="신한",ROUNDDOWN($I344*$E344*0.000036396,-1),(IF($C344="토스",$I344*$E344*0.00015,(IF($C344="US",(IF($I344*$E344*0.0025&gt;0.01,$I344*$E344*0.0025,0.01)),(IF($C344="JP",(IF($I344*$E344*0.0025&gt;1000,$I344*$E344*0.0025,1000)),(IF($C344="R토스",$I344*$E344*0.00015,(IF($C344="무상증자(신한)",ROUNDDOWN($I344*$E344*0.000036396,-1),"")))))))))))))</f>
        <v>140</v>
      </c>
      <c r="M344" s="206">
        <f>Q344*0.0025</f>
        <v>10109</v>
      </c>
      <c r="N344" s="34"/>
      <c r="O344" s="209">
        <f t="shared" si="121"/>
        <v>7</v>
      </c>
      <c r="P344" s="34">
        <f>$E344*$F344*$D344</f>
        <v>3938000</v>
      </c>
      <c r="Q344" s="34">
        <f>$E344*$I344*$D344</f>
        <v>4043600</v>
      </c>
      <c r="R344" s="7">
        <f>($N344-$K344-$L344-$M344)*$D344</f>
        <v>-10389</v>
      </c>
      <c r="S344" s="227">
        <f t="shared" si="122"/>
        <v>95211</v>
      </c>
      <c r="T344" s="248">
        <f t="shared" si="123"/>
        <v>2.4177501269680039E-2</v>
      </c>
      <c r="U344" s="38"/>
      <c r="V344" s="33"/>
    </row>
    <row r="345" spans="2:22" ht="15" customHeight="1" x14ac:dyDescent="0.4">
      <c r="B345" s="38" t="s">
        <v>275</v>
      </c>
      <c r="C345" s="6" t="s">
        <v>160</v>
      </c>
      <c r="D345" s="6">
        <f>IF(OR($C345="신한",$C345="OTC",$C345="무상증자(신한)",$C345="토스",$C345="R토스"),1,"확인")</f>
        <v>1</v>
      </c>
      <c r="E345" s="34">
        <v>60</v>
      </c>
      <c r="F345" s="212">
        <v>39800</v>
      </c>
      <c r="G345" s="195">
        <v>45897</v>
      </c>
      <c r="H345" s="8"/>
      <c r="I345" s="212">
        <v>43600</v>
      </c>
      <c r="J345" s="8">
        <v>45902</v>
      </c>
      <c r="K345" s="23">
        <f>IF($C345="OTC",ROUNDDOWN($E345*$F345*0.000909187,-1),(IF($C345="신한",ROUNDDOWN($E345*$F345*0.000036396,-1),(IF($C345="토스",$E345*$F345*0.00015,(IF($C345="US",(IF($E345*$F345*0.0025&gt;0.01,$E345*$F345*0.0025,0.01)),IF($C345="JP",(IF($E345*$F345*0.0025&gt;1000,$E345*$F345*0.0025,1000)),(IF($C345="R토스",0,IF($C345="무상증자(신한)",0,"")))))))))))</f>
        <v>80</v>
      </c>
      <c r="L345" s="23">
        <f>IF($C345="OTC",ROUNDDOWN($I345*$E345*0.000909187,-1),(IF($C345="신한",ROUNDDOWN($I345*$E345*0.000036396,-1),(IF($C345="토스",$I345*$E345*0.00015,(IF($C345="US",(IF($I345*$E345*0.0025&gt;0.01,$I345*$E345*0.0025,0.01)),(IF($C345="JP",(IF($I345*$E345*0.0025&gt;1000,$I345*$E345*0.0025,1000)),(IF($C345="R토스",$I345*$E345*0.00015,(IF($C345="무상증자(신한)",ROUNDDOWN($I345*$E345*0.000036396,-1),"")))))))))))))</f>
        <v>90</v>
      </c>
      <c r="M345" s="206">
        <f>Q345*0.0015</f>
        <v>3924</v>
      </c>
      <c r="N345" s="34"/>
      <c r="O345" s="209">
        <f t="shared" si="121"/>
        <v>6</v>
      </c>
      <c r="P345" s="34">
        <f>$E345*$F345*$D345</f>
        <v>2388000</v>
      </c>
      <c r="Q345" s="34">
        <f>$E345*$I345*$D345</f>
        <v>2616000</v>
      </c>
      <c r="R345" s="7">
        <f>($N345-$K345-$L345-$M345)*$D345</f>
        <v>-4094</v>
      </c>
      <c r="S345" s="227">
        <f t="shared" si="122"/>
        <v>223906</v>
      </c>
      <c r="T345" s="249">
        <f t="shared" si="123"/>
        <v>9.376298157453937E-2</v>
      </c>
      <c r="U345" s="38"/>
      <c r="V345" s="33"/>
    </row>
    <row r="346" spans="2:22" ht="15" customHeight="1" x14ac:dyDescent="0.4">
      <c r="B346" s="38" t="s">
        <v>275</v>
      </c>
      <c r="C346" s="6" t="s">
        <v>160</v>
      </c>
      <c r="D346" s="6">
        <f>IF(OR($C346="신한",$C346="OTC",$C346="무상증자(신한)",$C346="토스",$C346="R토스"),1,"확인")</f>
        <v>1</v>
      </c>
      <c r="E346" s="34">
        <v>80</v>
      </c>
      <c r="F346" s="212">
        <v>40050</v>
      </c>
      <c r="G346" s="195">
        <v>45897</v>
      </c>
      <c r="H346" s="8"/>
      <c r="I346" s="212">
        <v>41000</v>
      </c>
      <c r="J346" s="8">
        <v>45897</v>
      </c>
      <c r="K346" s="23">
        <f>IF($C346="OTC",ROUNDDOWN($E346*$F346*0.000909187,-1),(IF($C346="신한",ROUNDDOWN($E346*$F346*0.000036396,-1),(IF($C346="토스",$E346*$F346*0.00015,(IF($C346="US",(IF($E346*$F346*0.0025&gt;0.01,$E346*$F346*0.0025,0.01)),IF($C346="JP",(IF($E346*$F346*0.0025&gt;1000,$E346*$F346*0.0025,1000)),(IF($C346="R토스",0,IF($C346="무상증자(신한)",0,"")))))))))))</f>
        <v>110</v>
      </c>
      <c r="L346" s="23">
        <f>IF($C346="OTC",ROUNDDOWN($I346*$E346*0.000909187,-1),(IF($C346="신한",ROUNDDOWN($I346*$E346*0.000036396,-1),(IF($C346="토스",$I346*$E346*0.00015,(IF($C346="US",(IF($I346*$E346*0.0025&gt;0.01,$I346*$E346*0.0025,0.01)),(IF($C346="JP",(IF($I346*$E346*0.0025&gt;1000,$I346*$E346*0.0025,1000)),(IF($C346="R토스",$I346*$E346*0.00015,(IF($C346="무상증자(신한)",ROUNDDOWN($I346*$E346*0.000036396,-1),"")))))))))))))</f>
        <v>110</v>
      </c>
      <c r="M346" s="206">
        <f>Q346*0.0015</f>
        <v>4920</v>
      </c>
      <c r="N346" s="34"/>
      <c r="O346" s="209">
        <f t="shared" si="121"/>
        <v>1</v>
      </c>
      <c r="P346" s="34">
        <f>$E346*$F346*$D346</f>
        <v>3204000</v>
      </c>
      <c r="Q346" s="34">
        <f>$E346*$I346*$D346</f>
        <v>3280000</v>
      </c>
      <c r="R346" s="7">
        <f>($N346-$K346-$L346-$M346)*$D346</f>
        <v>-5140</v>
      </c>
      <c r="S346" s="227">
        <f t="shared" si="122"/>
        <v>70860</v>
      </c>
      <c r="T346" s="249">
        <f t="shared" si="123"/>
        <v>2.2116104868913859E-2</v>
      </c>
      <c r="U346" s="38"/>
      <c r="V346" s="33"/>
    </row>
    <row r="347" spans="2:22" ht="15" customHeight="1" x14ac:dyDescent="0.4">
      <c r="B347" s="38" t="s">
        <v>137</v>
      </c>
      <c r="C347" s="6" t="s">
        <v>162</v>
      </c>
      <c r="D347" s="6"/>
      <c r="E347" s="33">
        <v>50</v>
      </c>
      <c r="F347" s="212">
        <v>44000</v>
      </c>
      <c r="G347" s="195">
        <v>43091</v>
      </c>
      <c r="H347" s="8"/>
      <c r="I347" s="212">
        <v>38500</v>
      </c>
      <c r="J347" s="8">
        <v>43133</v>
      </c>
      <c r="K347" s="7">
        <f t="shared" ref="K347:K358" si="147">ROUNDDOWN(E347*F347*0.0015,-1)</f>
        <v>3300</v>
      </c>
      <c r="L347" s="7">
        <f t="shared" ref="L347:L358" si="148">ROUNDDOWN(I347*E347*0.0015,-1)</f>
        <v>2880</v>
      </c>
      <c r="M347" s="196">
        <f t="shared" ref="M347:M356" si="149">I347*E347*0.003</f>
        <v>5775</v>
      </c>
      <c r="N347" s="36">
        <f>ROUNDUP(E347*610*(1-0.154),-1)</f>
        <v>25810</v>
      </c>
      <c r="O347" s="191">
        <f t="shared" si="121"/>
        <v>43</v>
      </c>
      <c r="P347" s="36">
        <f t="shared" ref="P347:P358" si="150">F347*E347</f>
        <v>2200000</v>
      </c>
      <c r="Q347" s="36">
        <f t="shared" ref="Q347:Q358" si="151">I347*E347</f>
        <v>1925000</v>
      </c>
      <c r="R347" s="7">
        <f t="shared" ref="R347:R358" si="152">N347-K347-L347-M347</f>
        <v>13855</v>
      </c>
      <c r="S347" s="229">
        <f t="shared" si="122"/>
        <v>-261145</v>
      </c>
      <c r="T347" s="248">
        <f t="shared" si="123"/>
        <v>-0.11870227272727273</v>
      </c>
      <c r="U347" s="9">
        <f t="shared" ref="U347:U358" si="153">T347*365/O347</f>
        <v>-1.0075890591966172</v>
      </c>
      <c r="V347" s="6"/>
    </row>
    <row r="348" spans="2:22" ht="15" customHeight="1" x14ac:dyDescent="0.4">
      <c r="B348" s="38" t="s">
        <v>137</v>
      </c>
      <c r="C348" s="6" t="s">
        <v>162</v>
      </c>
      <c r="D348" s="6"/>
      <c r="E348" s="33">
        <v>10</v>
      </c>
      <c r="F348" s="212">
        <v>40000</v>
      </c>
      <c r="G348" s="195">
        <v>43097</v>
      </c>
      <c r="H348" s="8"/>
      <c r="I348" s="212">
        <v>38500</v>
      </c>
      <c r="J348" s="8">
        <v>43133</v>
      </c>
      <c r="K348" s="7">
        <f t="shared" si="147"/>
        <v>600</v>
      </c>
      <c r="L348" s="7">
        <f t="shared" si="148"/>
        <v>570</v>
      </c>
      <c r="M348" s="196">
        <f t="shared" si="149"/>
        <v>1155</v>
      </c>
      <c r="N348" s="36">
        <f>ROUNDUP(E348*610*(1-0.154),-1)</f>
        <v>5170</v>
      </c>
      <c r="O348" s="191">
        <f t="shared" si="121"/>
        <v>37</v>
      </c>
      <c r="P348" s="36">
        <f t="shared" si="150"/>
        <v>400000</v>
      </c>
      <c r="Q348" s="36">
        <f t="shared" si="151"/>
        <v>385000</v>
      </c>
      <c r="R348" s="7">
        <f t="shared" si="152"/>
        <v>2845</v>
      </c>
      <c r="S348" s="229">
        <f t="shared" si="122"/>
        <v>-12155</v>
      </c>
      <c r="T348" s="248">
        <f t="shared" si="123"/>
        <v>-3.0387500000000001E-2</v>
      </c>
      <c r="U348" s="9">
        <f t="shared" si="153"/>
        <v>-0.29976858108108106</v>
      </c>
      <c r="V348" s="6"/>
    </row>
    <row r="349" spans="2:22" ht="15" customHeight="1" x14ac:dyDescent="0.4">
      <c r="B349" s="38" t="s">
        <v>137</v>
      </c>
      <c r="C349" s="6" t="s">
        <v>162</v>
      </c>
      <c r="D349" s="6"/>
      <c r="E349" s="33">
        <v>5</v>
      </c>
      <c r="F349" s="212">
        <v>39350</v>
      </c>
      <c r="G349" s="195">
        <v>43102</v>
      </c>
      <c r="H349" s="8"/>
      <c r="I349" s="212">
        <v>38500</v>
      </c>
      <c r="J349" s="8">
        <v>43133</v>
      </c>
      <c r="K349" s="7">
        <f t="shared" si="147"/>
        <v>290</v>
      </c>
      <c r="L349" s="7">
        <f t="shared" si="148"/>
        <v>280</v>
      </c>
      <c r="M349" s="196">
        <f t="shared" si="149"/>
        <v>577.5</v>
      </c>
      <c r="N349" s="36"/>
      <c r="O349" s="191">
        <f t="shared" si="121"/>
        <v>32</v>
      </c>
      <c r="P349" s="36">
        <f t="shared" si="150"/>
        <v>196750</v>
      </c>
      <c r="Q349" s="36">
        <f t="shared" si="151"/>
        <v>192500</v>
      </c>
      <c r="R349" s="7">
        <f t="shared" si="152"/>
        <v>-1147.5</v>
      </c>
      <c r="S349" s="229">
        <f t="shared" si="122"/>
        <v>-5397.5</v>
      </c>
      <c r="T349" s="248">
        <f t="shared" si="123"/>
        <v>-2.7433290978398982E-2</v>
      </c>
      <c r="U349" s="193">
        <f t="shared" si="153"/>
        <v>-0.31291097522236339</v>
      </c>
      <c r="V349" s="6"/>
    </row>
    <row r="350" spans="2:22" ht="15" customHeight="1" x14ac:dyDescent="0.4">
      <c r="B350" s="38" t="s">
        <v>137</v>
      </c>
      <c r="C350" s="6" t="s">
        <v>162</v>
      </c>
      <c r="D350" s="6"/>
      <c r="E350" s="36">
        <v>30</v>
      </c>
      <c r="F350" s="212">
        <v>38700</v>
      </c>
      <c r="G350" s="195">
        <v>43124</v>
      </c>
      <c r="H350" s="8"/>
      <c r="I350" s="212">
        <v>38500</v>
      </c>
      <c r="J350" s="8">
        <v>43133</v>
      </c>
      <c r="K350" s="7">
        <f t="shared" si="147"/>
        <v>1740</v>
      </c>
      <c r="L350" s="7">
        <f t="shared" si="148"/>
        <v>1730</v>
      </c>
      <c r="M350" s="196">
        <f t="shared" si="149"/>
        <v>3465</v>
      </c>
      <c r="N350" s="36"/>
      <c r="O350" s="191">
        <f t="shared" ref="O350:O413" si="154">J350-G350+1</f>
        <v>10</v>
      </c>
      <c r="P350" s="36">
        <f t="shared" si="150"/>
        <v>1161000</v>
      </c>
      <c r="Q350" s="36">
        <f t="shared" si="151"/>
        <v>1155000</v>
      </c>
      <c r="R350" s="7">
        <f t="shared" si="152"/>
        <v>-6935</v>
      </c>
      <c r="S350" s="229">
        <f t="shared" ref="S350:S413" si="155">IF(Q350=0,0,Q350-P350+R350)</f>
        <v>-12935</v>
      </c>
      <c r="T350" s="248">
        <f t="shared" ref="T350:T413" si="156">S350/P350</f>
        <v>-1.1141257536606374E-2</v>
      </c>
      <c r="U350" s="193">
        <f t="shared" si="153"/>
        <v>-0.40665590008613267</v>
      </c>
      <c r="V350" s="6"/>
    </row>
    <row r="351" spans="2:22" ht="15" customHeight="1" x14ac:dyDescent="0.4">
      <c r="B351" s="38" t="s">
        <v>137</v>
      </c>
      <c r="C351" s="6" t="s">
        <v>162</v>
      </c>
      <c r="D351" s="6"/>
      <c r="E351" s="36">
        <v>150</v>
      </c>
      <c r="F351" s="212">
        <v>34450</v>
      </c>
      <c r="G351" s="195">
        <v>43166</v>
      </c>
      <c r="H351" s="8"/>
      <c r="I351" s="212">
        <v>37600</v>
      </c>
      <c r="J351" s="8">
        <v>43175</v>
      </c>
      <c r="K351" s="7">
        <f t="shared" si="147"/>
        <v>7750</v>
      </c>
      <c r="L351" s="7">
        <f t="shared" si="148"/>
        <v>8460</v>
      </c>
      <c r="M351" s="196">
        <f t="shared" si="149"/>
        <v>16920</v>
      </c>
      <c r="N351" s="36"/>
      <c r="O351" s="191">
        <f t="shared" si="154"/>
        <v>10</v>
      </c>
      <c r="P351" s="36">
        <f t="shared" si="150"/>
        <v>5167500</v>
      </c>
      <c r="Q351" s="36">
        <f t="shared" si="151"/>
        <v>5640000</v>
      </c>
      <c r="R351" s="7">
        <f t="shared" si="152"/>
        <v>-33130</v>
      </c>
      <c r="S351" s="227">
        <f t="shared" si="155"/>
        <v>439370</v>
      </c>
      <c r="T351" s="248">
        <f t="shared" si="156"/>
        <v>8.502564102564103E-2</v>
      </c>
      <c r="U351" s="193">
        <f t="shared" si="153"/>
        <v>3.1034358974358978</v>
      </c>
      <c r="V351" s="6"/>
    </row>
    <row r="352" spans="2:22" ht="15" customHeight="1" x14ac:dyDescent="0.4">
      <c r="B352" s="38" t="s">
        <v>137</v>
      </c>
      <c r="C352" s="6" t="s">
        <v>162</v>
      </c>
      <c r="D352" s="6"/>
      <c r="E352" s="36">
        <v>60</v>
      </c>
      <c r="F352" s="212">
        <v>34300</v>
      </c>
      <c r="G352" s="195">
        <v>43194</v>
      </c>
      <c r="H352" s="8"/>
      <c r="I352" s="212">
        <v>36200</v>
      </c>
      <c r="J352" s="8">
        <v>43199</v>
      </c>
      <c r="K352" s="7">
        <f t="shared" si="147"/>
        <v>3080</v>
      </c>
      <c r="L352" s="7">
        <f t="shared" si="148"/>
        <v>3250</v>
      </c>
      <c r="M352" s="196">
        <f t="shared" si="149"/>
        <v>6516</v>
      </c>
      <c r="N352" s="36"/>
      <c r="O352" s="191">
        <f t="shared" si="154"/>
        <v>6</v>
      </c>
      <c r="P352" s="36">
        <f t="shared" si="150"/>
        <v>2058000</v>
      </c>
      <c r="Q352" s="36">
        <f t="shared" si="151"/>
        <v>2172000</v>
      </c>
      <c r="R352" s="7">
        <f t="shared" si="152"/>
        <v>-12846</v>
      </c>
      <c r="S352" s="227">
        <f t="shared" si="155"/>
        <v>101154</v>
      </c>
      <c r="T352" s="248">
        <f t="shared" si="156"/>
        <v>4.9151603498542272E-2</v>
      </c>
      <c r="U352" s="193">
        <f t="shared" si="153"/>
        <v>2.9900558794946548</v>
      </c>
      <c r="V352" s="6"/>
    </row>
    <row r="353" spans="1:22" ht="15" customHeight="1" x14ac:dyDescent="0.4">
      <c r="B353" s="38" t="s">
        <v>137</v>
      </c>
      <c r="C353" s="6" t="s">
        <v>162</v>
      </c>
      <c r="D353" s="6"/>
      <c r="E353" s="36">
        <v>60</v>
      </c>
      <c r="F353" s="212">
        <v>34800</v>
      </c>
      <c r="G353" s="195">
        <v>43235</v>
      </c>
      <c r="H353" s="8"/>
      <c r="I353" s="212">
        <v>37500</v>
      </c>
      <c r="J353" s="8">
        <v>43238</v>
      </c>
      <c r="K353" s="7">
        <f t="shared" si="147"/>
        <v>3130</v>
      </c>
      <c r="L353" s="7">
        <f t="shared" si="148"/>
        <v>3370</v>
      </c>
      <c r="M353" s="196">
        <f t="shared" si="149"/>
        <v>6750</v>
      </c>
      <c r="N353" s="36"/>
      <c r="O353" s="191">
        <f t="shared" si="154"/>
        <v>4</v>
      </c>
      <c r="P353" s="36">
        <f t="shared" si="150"/>
        <v>2088000</v>
      </c>
      <c r="Q353" s="36">
        <f t="shared" si="151"/>
        <v>2250000</v>
      </c>
      <c r="R353" s="7">
        <f t="shared" si="152"/>
        <v>-13250</v>
      </c>
      <c r="S353" s="227">
        <f t="shared" si="155"/>
        <v>148750</v>
      </c>
      <c r="T353" s="248">
        <f t="shared" si="156"/>
        <v>7.1240421455938702E-2</v>
      </c>
      <c r="U353" s="193">
        <f t="shared" si="153"/>
        <v>6.5006884578544062</v>
      </c>
      <c r="V353" s="6"/>
    </row>
    <row r="354" spans="1:22" ht="15" customHeight="1" x14ac:dyDescent="0.4">
      <c r="B354" s="38" t="s">
        <v>137</v>
      </c>
      <c r="C354" s="6" t="s">
        <v>162</v>
      </c>
      <c r="D354" s="6"/>
      <c r="E354" s="36">
        <v>20</v>
      </c>
      <c r="F354" s="212">
        <v>29200</v>
      </c>
      <c r="G354" s="195">
        <v>43279</v>
      </c>
      <c r="H354" s="8"/>
      <c r="I354" s="212">
        <v>23300</v>
      </c>
      <c r="J354" s="8">
        <v>43362</v>
      </c>
      <c r="K354" s="7">
        <f t="shared" si="147"/>
        <v>870</v>
      </c>
      <c r="L354" s="7">
        <f t="shared" si="148"/>
        <v>690</v>
      </c>
      <c r="M354" s="196">
        <f t="shared" si="149"/>
        <v>1398</v>
      </c>
      <c r="N354" s="36"/>
      <c r="O354" s="191">
        <f t="shared" si="154"/>
        <v>84</v>
      </c>
      <c r="P354" s="36">
        <f t="shared" si="150"/>
        <v>584000</v>
      </c>
      <c r="Q354" s="36">
        <f t="shared" si="151"/>
        <v>466000</v>
      </c>
      <c r="R354" s="7">
        <f t="shared" si="152"/>
        <v>-2958</v>
      </c>
      <c r="S354" s="229">
        <f t="shared" si="155"/>
        <v>-120958</v>
      </c>
      <c r="T354" s="248">
        <f t="shared" si="156"/>
        <v>-0.20711986301369864</v>
      </c>
      <c r="U354" s="193">
        <f t="shared" si="153"/>
        <v>-0.89998511904761913</v>
      </c>
      <c r="V354" s="6"/>
    </row>
    <row r="355" spans="1:22" ht="15" customHeight="1" x14ac:dyDescent="0.4">
      <c r="A355" s="188"/>
      <c r="B355" s="199" t="s">
        <v>137</v>
      </c>
      <c r="C355" s="6" t="s">
        <v>162</v>
      </c>
      <c r="D355" s="29"/>
      <c r="E355" s="215">
        <v>30</v>
      </c>
      <c r="F355" s="214">
        <v>15850</v>
      </c>
      <c r="G355" s="224">
        <v>43440</v>
      </c>
      <c r="H355" s="28"/>
      <c r="I355" s="214">
        <v>17500</v>
      </c>
      <c r="J355" s="28">
        <v>43497</v>
      </c>
      <c r="K355" s="27">
        <f t="shared" si="147"/>
        <v>710</v>
      </c>
      <c r="L355" s="27">
        <f t="shared" si="148"/>
        <v>780</v>
      </c>
      <c r="M355" s="226">
        <f t="shared" si="149"/>
        <v>1575</v>
      </c>
      <c r="N355" s="215">
        <v>14600</v>
      </c>
      <c r="O355" s="192">
        <f t="shared" si="154"/>
        <v>58</v>
      </c>
      <c r="P355" s="215">
        <f t="shared" si="150"/>
        <v>475500</v>
      </c>
      <c r="Q355" s="215">
        <f t="shared" si="151"/>
        <v>525000</v>
      </c>
      <c r="R355" s="27">
        <f t="shared" si="152"/>
        <v>11535</v>
      </c>
      <c r="S355" s="228">
        <f t="shared" si="155"/>
        <v>61035</v>
      </c>
      <c r="T355" s="250">
        <f t="shared" si="156"/>
        <v>0.12835962145110411</v>
      </c>
      <c r="U355" s="194">
        <f t="shared" si="153"/>
        <v>0.80778037637332756</v>
      </c>
      <c r="V355" s="29"/>
    </row>
    <row r="356" spans="1:22" ht="15" customHeight="1" x14ac:dyDescent="0.4">
      <c r="B356" s="38" t="s">
        <v>137</v>
      </c>
      <c r="C356" s="6" t="s">
        <v>162</v>
      </c>
      <c r="D356" s="6"/>
      <c r="E356" s="36">
        <v>550</v>
      </c>
      <c r="F356" s="212">
        <v>18750</v>
      </c>
      <c r="G356" s="195">
        <v>43517</v>
      </c>
      <c r="H356" s="8"/>
      <c r="I356" s="212">
        <v>19800</v>
      </c>
      <c r="J356" s="8">
        <v>43560</v>
      </c>
      <c r="K356" s="7">
        <f t="shared" si="147"/>
        <v>15460</v>
      </c>
      <c r="L356" s="7">
        <f t="shared" si="148"/>
        <v>16330</v>
      </c>
      <c r="M356" s="196">
        <f t="shared" si="149"/>
        <v>32670</v>
      </c>
      <c r="N356" s="36"/>
      <c r="O356" s="191">
        <f t="shared" si="154"/>
        <v>44</v>
      </c>
      <c r="P356" s="36">
        <f t="shared" si="150"/>
        <v>10312500</v>
      </c>
      <c r="Q356" s="36">
        <f t="shared" si="151"/>
        <v>10890000</v>
      </c>
      <c r="R356" s="7">
        <f t="shared" si="152"/>
        <v>-64460</v>
      </c>
      <c r="S356" s="227">
        <f t="shared" si="155"/>
        <v>513040</v>
      </c>
      <c r="T356" s="248">
        <f t="shared" si="156"/>
        <v>4.9749333333333333E-2</v>
      </c>
      <c r="U356" s="193">
        <f t="shared" si="153"/>
        <v>0.41269333333333336</v>
      </c>
      <c r="V356" s="6"/>
    </row>
    <row r="357" spans="1:22" ht="15" customHeight="1" x14ac:dyDescent="0.4">
      <c r="B357" s="198" t="s">
        <v>137</v>
      </c>
      <c r="C357" s="6" t="s">
        <v>162</v>
      </c>
      <c r="D357" s="15"/>
      <c r="E357" s="36">
        <v>150</v>
      </c>
      <c r="F357" s="212">
        <v>15600</v>
      </c>
      <c r="G357" s="195">
        <v>43669</v>
      </c>
      <c r="H357" s="8"/>
      <c r="I357" s="212">
        <v>16100</v>
      </c>
      <c r="J357" s="8">
        <v>43847</v>
      </c>
      <c r="K357" s="7">
        <f t="shared" si="147"/>
        <v>3510</v>
      </c>
      <c r="L357" s="7">
        <f t="shared" si="148"/>
        <v>3620</v>
      </c>
      <c r="M357" s="196">
        <f>ROUNDDOWN(I357*E357*0.0025, )</f>
        <v>6037</v>
      </c>
      <c r="N357" s="36"/>
      <c r="O357" s="191">
        <f t="shared" si="154"/>
        <v>179</v>
      </c>
      <c r="P357" s="36">
        <f t="shared" si="150"/>
        <v>2340000</v>
      </c>
      <c r="Q357" s="36">
        <f t="shared" si="151"/>
        <v>2415000</v>
      </c>
      <c r="R357" s="7">
        <f t="shared" si="152"/>
        <v>-13167</v>
      </c>
      <c r="S357" s="227">
        <f t="shared" si="155"/>
        <v>61833</v>
      </c>
      <c r="T357" s="248">
        <f t="shared" si="156"/>
        <v>2.6424358974358974E-2</v>
      </c>
      <c r="U357" s="193">
        <f t="shared" si="153"/>
        <v>5.3882072768944272E-2</v>
      </c>
      <c r="V357" s="6"/>
    </row>
    <row r="358" spans="1:22" ht="15" customHeight="1" x14ac:dyDescent="0.4">
      <c r="B358" s="198" t="s">
        <v>137</v>
      </c>
      <c r="C358" s="6" t="s">
        <v>162</v>
      </c>
      <c r="D358" s="15"/>
      <c r="E358" s="36">
        <v>150</v>
      </c>
      <c r="F358" s="212">
        <v>14000</v>
      </c>
      <c r="G358" s="195">
        <v>43683</v>
      </c>
      <c r="H358" s="8"/>
      <c r="I358" s="212">
        <v>16100</v>
      </c>
      <c r="J358" s="8">
        <v>43847</v>
      </c>
      <c r="K358" s="7">
        <f t="shared" si="147"/>
        <v>3150</v>
      </c>
      <c r="L358" s="7">
        <f t="shared" si="148"/>
        <v>3620</v>
      </c>
      <c r="M358" s="196">
        <f>ROUNDDOWN(I358*E358*0.0025, )</f>
        <v>6037</v>
      </c>
      <c r="N358" s="36">
        <f>48000-7390</f>
        <v>40610</v>
      </c>
      <c r="O358" s="191">
        <f t="shared" si="154"/>
        <v>165</v>
      </c>
      <c r="P358" s="36">
        <f t="shared" si="150"/>
        <v>2100000</v>
      </c>
      <c r="Q358" s="36">
        <f t="shared" si="151"/>
        <v>2415000</v>
      </c>
      <c r="R358" s="7">
        <f t="shared" si="152"/>
        <v>27803</v>
      </c>
      <c r="S358" s="227">
        <f t="shared" si="155"/>
        <v>342803</v>
      </c>
      <c r="T358" s="248">
        <f t="shared" si="156"/>
        <v>0.16323952380952381</v>
      </c>
      <c r="U358" s="193">
        <f t="shared" si="153"/>
        <v>0.3611056132756133</v>
      </c>
      <c r="V358" s="6"/>
    </row>
    <row r="359" spans="1:22" ht="15" customHeight="1" x14ac:dyDescent="0.4">
      <c r="B359" s="38" t="s">
        <v>137</v>
      </c>
      <c r="C359" s="6" t="s">
        <v>122</v>
      </c>
      <c r="D359" s="6">
        <f>IF(OR($C359="신한",$C359="OTC",$C359="무상증자(신한)",$C359="토스",$C359="R토스"),1,"확인")</f>
        <v>1</v>
      </c>
      <c r="E359" s="34">
        <v>200</v>
      </c>
      <c r="F359" s="212">
        <v>11850</v>
      </c>
      <c r="G359" s="195">
        <v>45813</v>
      </c>
      <c r="H359" s="33" t="s">
        <v>113</v>
      </c>
      <c r="I359" s="212">
        <v>12400</v>
      </c>
      <c r="J359" s="8">
        <v>45819</v>
      </c>
      <c r="K359" s="23">
        <f>IF($C359="OTC",ROUNDDOWN($E359*$F359*0.000909187,-1),(IF($C359="신한",ROUNDDOWN($E359*$F359*0.000036396,-1),(IF($C359="토스",$E359*$F359*0.00015,(IF($C359="US",(IF($E359*$F359*0.0025&gt;0.01,$E359*$F359*0.0025,0.01)),IF($C359="JP",(IF($E359*$F359*0.0025&gt;1000,$E359*$F359*0.0025,1000)),(IF($C359="R토스",0,IF($C359="무상증자(신한)",0,"")))))))))))</f>
        <v>355.49999999999994</v>
      </c>
      <c r="L359" s="23">
        <f>IF($C359="OTC",ROUNDDOWN($I359*$E359*0.000909187,-1),(IF($C359="신한",ROUNDDOWN($I359*$E359*0.000036396,-1),(IF($C359="토스",$I359*$E359*0.00015,(IF($C359="US",(IF($I359*$E359*0.0025&gt;0.01,$I359*$E359*0.0025,0.01)),(IF($C359="JP",(IF($I359*$E359*0.0025&gt;1000,$I359*$E359*0.0025,1000)),(IF($C359="R토스",$I359*$E359*0.00015,(IF($C359="무상증자(신한)",ROUNDDOWN($I359*$E359*0.000036396,-1),"")))))))))))))</f>
        <v>371.99999999999994</v>
      </c>
      <c r="M359" s="206">
        <f>Q359*0.0015</f>
        <v>3720</v>
      </c>
      <c r="N359" s="34"/>
      <c r="O359" s="209">
        <f t="shared" si="154"/>
        <v>7</v>
      </c>
      <c r="P359" s="34">
        <f>$E359*$F359*$D359</f>
        <v>2370000</v>
      </c>
      <c r="Q359" s="34">
        <f>$E359*$I359*$D359</f>
        <v>2480000</v>
      </c>
      <c r="R359" s="7">
        <f>($N359-$K359-$L359-$M359)*$D359</f>
        <v>-4447.5</v>
      </c>
      <c r="S359" s="227">
        <f t="shared" si="155"/>
        <v>105552.5</v>
      </c>
      <c r="T359" s="249">
        <f t="shared" si="156"/>
        <v>4.4536919831223626E-2</v>
      </c>
      <c r="U359" s="38"/>
      <c r="V359" s="36">
        <f>+P359*0.05*O359/365</f>
        <v>2272.6027397260273</v>
      </c>
    </row>
    <row r="360" spans="1:22" ht="15" customHeight="1" x14ac:dyDescent="0.4">
      <c r="B360" s="38" t="s">
        <v>137</v>
      </c>
      <c r="C360" s="6" t="s">
        <v>122</v>
      </c>
      <c r="D360" s="6">
        <f>IF(OR($C360="신한",$C360="OTC",$C360="무상증자(신한)",$C360="토스",$C360="R토스"),1,"확인")</f>
        <v>1</v>
      </c>
      <c r="E360" s="34">
        <v>40</v>
      </c>
      <c r="F360" s="212">
        <v>11700</v>
      </c>
      <c r="G360" s="195">
        <v>45818</v>
      </c>
      <c r="H360" s="33" t="s">
        <v>113</v>
      </c>
      <c r="I360" s="212">
        <v>12400</v>
      </c>
      <c r="J360" s="8">
        <v>45819</v>
      </c>
      <c r="K360" s="23">
        <f>IF($C360="OTC",ROUNDDOWN($E360*$F360*0.000909187,-1),(IF($C360="신한",ROUNDDOWN($E360*$F360*0.000036396,-1),(IF($C360="토스",$E360*$F360*0.00015,(IF($C360="US",(IF($E360*$F360*0.0025&gt;0.01,$E360*$F360*0.0025,0.01)),IF($C360="JP",(IF($E360*$F360*0.0025&gt;1000,$E360*$F360*0.0025,1000)),(IF($C360="R토스",0,IF($C360="무상증자(신한)",0,"")))))))))))</f>
        <v>70.199999999999989</v>
      </c>
      <c r="L360" s="23">
        <f>IF($C360="OTC",ROUNDDOWN($I360*$E360*0.000909187,-1),(IF($C360="신한",ROUNDDOWN($I360*$E360*0.000036396,-1),(IF($C360="토스",$I360*$E360*0.00015,(IF($C360="US",(IF($I360*$E360*0.0025&gt;0.01,$I360*$E360*0.0025,0.01)),(IF($C360="JP",(IF($I360*$E360*0.0025&gt;1000,$I360*$E360*0.0025,1000)),(IF($C360="R토스",$I360*$E360*0.00015,(IF($C360="무상증자(신한)",ROUNDDOWN($I360*$E360*0.000036396,-1),"")))))))))))))</f>
        <v>74.399999999999991</v>
      </c>
      <c r="M360" s="206">
        <f>Q360*0.0015</f>
        <v>744</v>
      </c>
      <c r="N360" s="34"/>
      <c r="O360" s="209">
        <f t="shared" si="154"/>
        <v>2</v>
      </c>
      <c r="P360" s="34">
        <f>$E360*$F360*$D360</f>
        <v>468000</v>
      </c>
      <c r="Q360" s="34">
        <f>$E360*$I360*$D360</f>
        <v>496000</v>
      </c>
      <c r="R360" s="7">
        <f>($N360-$K360-$L360-$M360)*$D360</f>
        <v>-888.59999999999991</v>
      </c>
      <c r="S360" s="227">
        <f t="shared" si="155"/>
        <v>27111.4</v>
      </c>
      <c r="T360" s="249">
        <f t="shared" si="156"/>
        <v>5.7930341880341886E-2</v>
      </c>
      <c r="U360" s="38"/>
      <c r="V360" s="36">
        <f>+P360*0.05*O360/365</f>
        <v>128.21917808219177</v>
      </c>
    </row>
    <row r="361" spans="1:22" ht="15" customHeight="1" x14ac:dyDescent="0.4">
      <c r="B361" s="38" t="s">
        <v>276</v>
      </c>
      <c r="C361" s="6" t="s">
        <v>160</v>
      </c>
      <c r="D361" s="6">
        <f>IF(OR($C361="신한",$C361="OTC",$C361="무상증자(신한)",$C361="토스",$C361="R토스"),1,"확인")</f>
        <v>1</v>
      </c>
      <c r="E361" s="34">
        <v>20</v>
      </c>
      <c r="F361" s="212">
        <v>51500</v>
      </c>
      <c r="G361" s="195">
        <v>44187</v>
      </c>
      <c r="H361" s="8"/>
      <c r="I361" s="212">
        <v>40150</v>
      </c>
      <c r="J361" s="8">
        <v>44189</v>
      </c>
      <c r="K361" s="23">
        <f>IF($C361="OTC",ROUNDDOWN($E361*$F361*0.000909187,-1),(IF($C361="신한",ROUNDDOWN($E361*$F361*0.000036396,-1),(IF($C361="토스",$E361*$F361*0.00015,(IF($C361="US",(IF($E361*$F361*0.0025&gt;0.01,$E361*$F361*0.0025,0.01)),IF($C361="JP",(IF($E361*$F361*0.0025&gt;1000,$E361*$F361*0.0025,1000)),(IF($C361="R토스",0,IF($C361="무상증자(신한)",0,"")))))))))))</f>
        <v>30</v>
      </c>
      <c r="L361" s="23">
        <f>IF($C361="OTC",ROUNDDOWN($I361*$E361*0.000909187,-1),(IF($C361="신한",ROUNDDOWN($I361*$E361*0.000036396,-1),(IF($C361="토스",$I361*$E361*0.00015,(IF($C361="US",(IF($I361*$E361*0.0025&gt;0.01,$I361*$E361*0.0025,0.01)),(IF($C361="JP",(IF($I361*$E361*0.0025&gt;1000,$I361*$E361*0.0025,1000)),(IF($C361="R토스",$I361*$E361*0.00015,(IF($C361="무상증자(신한)",ROUNDDOWN($I361*$E361*0.000036396,-1),"")))))))))))))</f>
        <v>20</v>
      </c>
      <c r="M361" s="206">
        <f>Q361*0.0025</f>
        <v>2007.5</v>
      </c>
      <c r="N361" s="34"/>
      <c r="O361" s="209">
        <f t="shared" si="154"/>
        <v>3</v>
      </c>
      <c r="P361" s="34">
        <f>$E361*$F361*$D361</f>
        <v>1030000</v>
      </c>
      <c r="Q361" s="34">
        <f>$E361*$I361*$D361</f>
        <v>803000</v>
      </c>
      <c r="R361" s="7">
        <f>($N361-$K361-$L361-$M361)*$D361</f>
        <v>-2057.5</v>
      </c>
      <c r="S361" s="227">
        <f t="shared" si="155"/>
        <v>-229057.5</v>
      </c>
      <c r="T361" s="249">
        <f t="shared" si="156"/>
        <v>-0.22238592233009707</v>
      </c>
      <c r="U361" s="33"/>
      <c r="V361" s="33"/>
    </row>
    <row r="362" spans="1:22" ht="15" customHeight="1" x14ac:dyDescent="0.4">
      <c r="B362" s="38" t="s">
        <v>277</v>
      </c>
      <c r="C362" s="6" t="s">
        <v>162</v>
      </c>
      <c r="D362" s="6"/>
      <c r="E362" s="36">
        <v>37</v>
      </c>
      <c r="F362" s="212">
        <v>27300</v>
      </c>
      <c r="G362" s="195">
        <v>43299</v>
      </c>
      <c r="H362" s="8"/>
      <c r="I362" s="212">
        <v>21500</v>
      </c>
      <c r="J362" s="8">
        <v>44167</v>
      </c>
      <c r="K362" s="7">
        <f>ROUNDDOWN(E362*F362*0.0015,-1)</f>
        <v>1510</v>
      </c>
      <c r="L362" s="7">
        <f>ROUNDDOWN(I362*E362*0.0015,-1)</f>
        <v>1190</v>
      </c>
      <c r="M362" s="196">
        <f>ROUNDDOWN(I362*E362*0.0025, )</f>
        <v>1988</v>
      </c>
      <c r="N362" s="36">
        <f>10960+16440-2530</f>
        <v>24870</v>
      </c>
      <c r="O362" s="191">
        <f t="shared" si="154"/>
        <v>869</v>
      </c>
      <c r="P362" s="36">
        <f>F362*E362</f>
        <v>1010100</v>
      </c>
      <c r="Q362" s="36">
        <f>I362*E362</f>
        <v>795500</v>
      </c>
      <c r="R362" s="7">
        <f>N362-K362-L362-M362</f>
        <v>20182</v>
      </c>
      <c r="S362" s="227">
        <f t="shared" si="155"/>
        <v>-194418</v>
      </c>
      <c r="T362" s="248">
        <f t="shared" si="156"/>
        <v>-0.19247401247401247</v>
      </c>
      <c r="U362" s="9">
        <f>T362*365/O362</f>
        <v>-8.0843515020730214E-2</v>
      </c>
      <c r="V362" s="6"/>
    </row>
    <row r="363" spans="1:22" ht="15" customHeight="1" x14ac:dyDescent="0.4">
      <c r="B363" s="198" t="s">
        <v>277</v>
      </c>
      <c r="C363" s="6" t="s">
        <v>162</v>
      </c>
      <c r="D363" s="15"/>
      <c r="E363" s="36">
        <v>100</v>
      </c>
      <c r="F363" s="212">
        <v>17000</v>
      </c>
      <c r="G363" s="195">
        <v>43671</v>
      </c>
      <c r="H363" s="8"/>
      <c r="I363" s="212">
        <v>21500</v>
      </c>
      <c r="J363" s="8">
        <v>44167</v>
      </c>
      <c r="K363" s="7">
        <f>ROUNDDOWN(E363*F363*0.0015,-1)</f>
        <v>2550</v>
      </c>
      <c r="L363" s="7">
        <f>ROUNDDOWN(I363*E363*0.0015,-1)</f>
        <v>3220</v>
      </c>
      <c r="M363" s="196">
        <f>ROUNDDOWN(I363*E363*0.0025, )</f>
        <v>5375</v>
      </c>
      <c r="N363" s="36"/>
      <c r="O363" s="191">
        <f t="shared" si="154"/>
        <v>497</v>
      </c>
      <c r="P363" s="36">
        <f>F363*E363</f>
        <v>1700000</v>
      </c>
      <c r="Q363" s="36">
        <f>I363*E363</f>
        <v>2150000</v>
      </c>
      <c r="R363" s="7">
        <f>N363-K363-L363-M363</f>
        <v>-11145</v>
      </c>
      <c r="S363" s="227">
        <f t="shared" si="155"/>
        <v>438855</v>
      </c>
      <c r="T363" s="248">
        <f t="shared" si="156"/>
        <v>0.25814999999999999</v>
      </c>
      <c r="U363" s="193">
        <f>T363*365/O363</f>
        <v>0.18958702213279677</v>
      </c>
      <c r="V363" s="6"/>
    </row>
    <row r="364" spans="1:22" ht="15" customHeight="1" x14ac:dyDescent="0.4">
      <c r="B364" s="38" t="s">
        <v>278</v>
      </c>
      <c r="C364" s="6" t="s">
        <v>162</v>
      </c>
      <c r="D364" s="6"/>
      <c r="E364" s="33">
        <v>50</v>
      </c>
      <c r="F364" s="212">
        <v>4620</v>
      </c>
      <c r="G364" s="195">
        <v>43081</v>
      </c>
      <c r="H364" s="8"/>
      <c r="I364" s="212">
        <v>5350</v>
      </c>
      <c r="J364" s="8">
        <v>43133</v>
      </c>
      <c r="K364" s="7">
        <f>ROUNDDOWN(E364*F364*0.0015,-1)</f>
        <v>340</v>
      </c>
      <c r="L364" s="7">
        <f>ROUNDDOWN(I364*E364*0.0015,-1)</f>
        <v>400</v>
      </c>
      <c r="M364" s="196">
        <f>I364*E364*0.003</f>
        <v>802.5</v>
      </c>
      <c r="N364" s="36">
        <f>ROUNDUP(E364*150*(1-0.154),-1)</f>
        <v>6350</v>
      </c>
      <c r="O364" s="191">
        <f t="shared" si="154"/>
        <v>53</v>
      </c>
      <c r="P364" s="36">
        <f>F364*E364</f>
        <v>231000</v>
      </c>
      <c r="Q364" s="36">
        <f>I364*E364</f>
        <v>267500</v>
      </c>
      <c r="R364" s="7">
        <f>N364-K364-L364-M364</f>
        <v>4807.5</v>
      </c>
      <c r="S364" s="227">
        <f t="shared" si="155"/>
        <v>41307.5</v>
      </c>
      <c r="T364" s="248">
        <f t="shared" si="156"/>
        <v>0.17882034632034632</v>
      </c>
      <c r="U364" s="193">
        <f>T364*365/O364</f>
        <v>1.2314986114514417</v>
      </c>
      <c r="V364" s="6"/>
    </row>
    <row r="365" spans="1:22" ht="15" customHeight="1" x14ac:dyDescent="0.4">
      <c r="B365" s="38" t="s">
        <v>278</v>
      </c>
      <c r="C365" s="6" t="s">
        <v>162</v>
      </c>
      <c r="D365" s="6"/>
      <c r="E365" s="33">
        <v>120</v>
      </c>
      <c r="F365" s="212">
        <v>4550</v>
      </c>
      <c r="G365" s="195">
        <v>43083</v>
      </c>
      <c r="H365" s="8"/>
      <c r="I365" s="212">
        <v>5350</v>
      </c>
      <c r="J365" s="8">
        <v>43133</v>
      </c>
      <c r="K365" s="7">
        <f>ROUNDDOWN(E365*F365*0.0015,-1)</f>
        <v>810</v>
      </c>
      <c r="L365" s="7">
        <f>ROUNDDOWN(I365*E365*0.0015,-1)</f>
        <v>960</v>
      </c>
      <c r="M365" s="196">
        <f>I365*E365*0.003</f>
        <v>1926</v>
      </c>
      <c r="N365" s="36">
        <f>ROUNDUP(E365*150*(1-0.154),-1)</f>
        <v>15230</v>
      </c>
      <c r="O365" s="191">
        <f t="shared" si="154"/>
        <v>51</v>
      </c>
      <c r="P365" s="36">
        <f>F365*E365</f>
        <v>546000</v>
      </c>
      <c r="Q365" s="36">
        <f>I365*E365</f>
        <v>642000</v>
      </c>
      <c r="R365" s="7">
        <f>N365-K365-L365-M365</f>
        <v>11534</v>
      </c>
      <c r="S365" s="227">
        <f t="shared" si="155"/>
        <v>107534</v>
      </c>
      <c r="T365" s="248">
        <f t="shared" si="156"/>
        <v>0.19694871794871796</v>
      </c>
      <c r="U365" s="193">
        <f>T365*365/O365</f>
        <v>1.4095349421820009</v>
      </c>
      <c r="V365" s="6"/>
    </row>
    <row r="366" spans="1:22" ht="15" customHeight="1" x14ac:dyDescent="0.4">
      <c r="B366" s="38" t="s">
        <v>279</v>
      </c>
      <c r="C366" s="6" t="s">
        <v>160</v>
      </c>
      <c r="D366" s="6">
        <f t="shared" ref="D366:D402" si="157">IF(OR($C366="신한",$C366="OTC",$C366="무상증자(신한)",$C366="토스",$C366="R토스"),1,"확인")</f>
        <v>1</v>
      </c>
      <c r="E366" s="34">
        <v>591</v>
      </c>
      <c r="F366" s="212">
        <v>4840</v>
      </c>
      <c r="G366" s="195">
        <v>44193</v>
      </c>
      <c r="H366" s="8"/>
      <c r="I366" s="212">
        <v>4970</v>
      </c>
      <c r="J366" s="8">
        <v>45789</v>
      </c>
      <c r="K366" s="23">
        <v>0</v>
      </c>
      <c r="L366" s="23">
        <f t="shared" ref="L366:L402" si="158">IF($C366="OTC",ROUNDDOWN($I366*$E366*0.000909187,-1),(IF($C366="신한",ROUNDDOWN($I366*$E366*0.000036396,-1),(IF($C366="토스",$I366*$E366*0.00015,(IF($C366="US",(IF($I366*$E366*0.0025&gt;0.01,$I366*$E366*0.0025,0.01)),(IF($C366="JP",(IF($I366*$E366*0.0025&gt;1000,$I366*$E366*0.0025,1000)),(IF($C366="R토스",$I366*$E366*0.00015,(IF($C366="무상증자(신한)",ROUNDDOWN($I366*$E366*0.000036396,-1),"")))))))))))))</f>
        <v>100</v>
      </c>
      <c r="M366" s="206">
        <f t="shared" ref="M366:M402" si="159">Q366*0.0015</f>
        <v>4405.9049999999997</v>
      </c>
      <c r="N366" s="34">
        <f>E366*200*(1-0.154)+E366*300*(1-0.154)+E366*200*(1-0.154)+E366*150*(1-0.154)+ROUNDUP(E366*250*(1-0.154),-1)</f>
        <v>549988.1</v>
      </c>
      <c r="O366" s="209">
        <f t="shared" si="154"/>
        <v>1597</v>
      </c>
      <c r="P366" s="34">
        <f t="shared" ref="P366:P402" si="160">$E366*$F366*$D366</f>
        <v>2860440</v>
      </c>
      <c r="Q366" s="34">
        <f t="shared" ref="Q366:Q402" si="161">$E366*$I366*$D366</f>
        <v>2937270</v>
      </c>
      <c r="R366" s="7">
        <f t="shared" ref="R366:R402" si="162">($N366-$K366-$L366-$M366)*$D366</f>
        <v>545482.19499999995</v>
      </c>
      <c r="S366" s="227">
        <f t="shared" si="155"/>
        <v>622312.19499999995</v>
      </c>
      <c r="T366" s="249">
        <f t="shared" si="156"/>
        <v>0.21755820608018345</v>
      </c>
      <c r="U366" s="38"/>
      <c r="V366" s="33"/>
    </row>
    <row r="367" spans="1:22" ht="15" customHeight="1" x14ac:dyDescent="0.4">
      <c r="B367" s="38" t="s">
        <v>279</v>
      </c>
      <c r="C367" s="6" t="s">
        <v>160</v>
      </c>
      <c r="D367" s="6">
        <f t="shared" si="157"/>
        <v>1</v>
      </c>
      <c r="E367" s="34">
        <v>70</v>
      </c>
      <c r="F367" s="212">
        <v>4520</v>
      </c>
      <c r="G367" s="195">
        <v>44432</v>
      </c>
      <c r="H367" s="8"/>
      <c r="I367" s="212">
        <v>4970</v>
      </c>
      <c r="J367" s="8">
        <v>45789</v>
      </c>
      <c r="K367" s="23">
        <f t="shared" ref="K367:K402" si="163">IF($C367="OTC",ROUNDDOWN($E367*$F367*0.000909187,-1),(IF($C367="신한",ROUNDDOWN($E367*$F367*0.000036396,-1),(IF($C367="토스",$E367*$F367*0.00015,(IF($C367="US",(IF($E367*$F367*0.0025&gt;0.01,$E367*$F367*0.0025,0.01)),IF($C367="JP",(IF($E367*$F367*0.0025&gt;1000,$E367*$F367*0.0025,1000)),(IF($C367="R토스",0,IF($C367="무상증자(신한)",0,"")))))))))))</f>
        <v>10</v>
      </c>
      <c r="L367" s="23">
        <f t="shared" si="158"/>
        <v>10</v>
      </c>
      <c r="M367" s="206">
        <f t="shared" si="159"/>
        <v>521.85</v>
      </c>
      <c r="N367" s="34">
        <f>E367*300*(1-0.154)+E367*200*(1-0.154)+E367*150*(1-0.154)+ROUNDUP(E367*250*(1-0.154),-1)</f>
        <v>53303</v>
      </c>
      <c r="O367" s="209">
        <f t="shared" si="154"/>
        <v>1358</v>
      </c>
      <c r="P367" s="34">
        <f t="shared" si="160"/>
        <v>316400</v>
      </c>
      <c r="Q367" s="34">
        <f t="shared" si="161"/>
        <v>347900</v>
      </c>
      <c r="R367" s="7">
        <f t="shared" si="162"/>
        <v>52761.15</v>
      </c>
      <c r="S367" s="227">
        <f t="shared" si="155"/>
        <v>84261.15</v>
      </c>
      <c r="T367" s="249">
        <f t="shared" si="156"/>
        <v>0.26631210493046775</v>
      </c>
      <c r="U367" s="38"/>
      <c r="V367" s="33"/>
    </row>
    <row r="368" spans="1:22" s="33" customFormat="1" ht="15" customHeight="1" x14ac:dyDescent="0.4">
      <c r="B368" s="38" t="s">
        <v>279</v>
      </c>
      <c r="C368" s="6" t="s">
        <v>160</v>
      </c>
      <c r="D368" s="6">
        <f t="shared" si="157"/>
        <v>1</v>
      </c>
      <c r="E368" s="34">
        <v>1</v>
      </c>
      <c r="F368" s="212">
        <v>3900</v>
      </c>
      <c r="G368" s="195">
        <v>45664</v>
      </c>
      <c r="H368" s="8"/>
      <c r="I368" s="212">
        <v>4970</v>
      </c>
      <c r="J368" s="8">
        <v>45789</v>
      </c>
      <c r="K368" s="23">
        <f t="shared" si="163"/>
        <v>0</v>
      </c>
      <c r="L368" s="23">
        <f t="shared" si="158"/>
        <v>0</v>
      </c>
      <c r="M368" s="206">
        <f t="shared" si="159"/>
        <v>7.4550000000000001</v>
      </c>
      <c r="N368" s="34">
        <f>ROUNDUP(250*E368*(1-0.154),-1)</f>
        <v>220</v>
      </c>
      <c r="O368" s="209">
        <f t="shared" si="154"/>
        <v>126</v>
      </c>
      <c r="P368" s="34">
        <f t="shared" si="160"/>
        <v>3900</v>
      </c>
      <c r="Q368" s="34">
        <f t="shared" si="161"/>
        <v>4970</v>
      </c>
      <c r="R368" s="7">
        <f t="shared" si="162"/>
        <v>212.54499999999999</v>
      </c>
      <c r="S368" s="227">
        <f t="shared" si="155"/>
        <v>1282.5450000000001</v>
      </c>
      <c r="T368" s="249">
        <f t="shared" si="156"/>
        <v>0.32885769230769235</v>
      </c>
    </row>
    <row r="369" spans="2:20" s="33" customFormat="1" ht="15" customHeight="1" x14ac:dyDescent="0.4">
      <c r="B369" s="38" t="s">
        <v>279</v>
      </c>
      <c r="C369" s="6" t="s">
        <v>160</v>
      </c>
      <c r="D369" s="6">
        <f t="shared" si="157"/>
        <v>1</v>
      </c>
      <c r="E369" s="34">
        <v>1</v>
      </c>
      <c r="F369" s="212">
        <v>3900</v>
      </c>
      <c r="G369" s="195">
        <v>45671</v>
      </c>
      <c r="H369" s="8"/>
      <c r="I369" s="212">
        <v>4970</v>
      </c>
      <c r="J369" s="8">
        <v>45789</v>
      </c>
      <c r="K369" s="23">
        <f t="shared" si="163"/>
        <v>0</v>
      </c>
      <c r="L369" s="23">
        <f t="shared" si="158"/>
        <v>0</v>
      </c>
      <c r="M369" s="206">
        <f t="shared" si="159"/>
        <v>7.4550000000000001</v>
      </c>
      <c r="N369" s="34">
        <f>ROUNDUP(250*E369*(1-0.154),-1)</f>
        <v>220</v>
      </c>
      <c r="O369" s="209">
        <f t="shared" si="154"/>
        <v>119</v>
      </c>
      <c r="P369" s="34">
        <f t="shared" si="160"/>
        <v>3900</v>
      </c>
      <c r="Q369" s="34">
        <f t="shared" si="161"/>
        <v>4970</v>
      </c>
      <c r="R369" s="7">
        <f t="shared" si="162"/>
        <v>212.54499999999999</v>
      </c>
      <c r="S369" s="227">
        <f t="shared" si="155"/>
        <v>1282.5450000000001</v>
      </c>
      <c r="T369" s="249">
        <f t="shared" si="156"/>
        <v>0.32885769230769235</v>
      </c>
    </row>
    <row r="370" spans="2:20" s="33" customFormat="1" ht="15" customHeight="1" x14ac:dyDescent="0.4">
      <c r="B370" s="38" t="s">
        <v>279</v>
      </c>
      <c r="C370" s="6" t="s">
        <v>160</v>
      </c>
      <c r="D370" s="6">
        <f t="shared" si="157"/>
        <v>1</v>
      </c>
      <c r="E370" s="34">
        <v>1</v>
      </c>
      <c r="F370" s="212">
        <v>3940</v>
      </c>
      <c r="G370" s="195">
        <v>45678</v>
      </c>
      <c r="H370" s="8"/>
      <c r="I370" s="212">
        <v>4970</v>
      </c>
      <c r="J370" s="8">
        <v>45789</v>
      </c>
      <c r="K370" s="23">
        <f t="shared" si="163"/>
        <v>0</v>
      </c>
      <c r="L370" s="23">
        <f t="shared" si="158"/>
        <v>0</v>
      </c>
      <c r="M370" s="206">
        <f t="shared" si="159"/>
        <v>7.4550000000000001</v>
      </c>
      <c r="N370" s="34">
        <f t="shared" ref="N370:N379" si="164">ROUNDDOWN(250*E370*(1-0.154),-1)</f>
        <v>210</v>
      </c>
      <c r="O370" s="209">
        <f t="shared" si="154"/>
        <v>112</v>
      </c>
      <c r="P370" s="34">
        <f t="shared" si="160"/>
        <v>3940</v>
      </c>
      <c r="Q370" s="34">
        <f t="shared" si="161"/>
        <v>4970</v>
      </c>
      <c r="R370" s="7">
        <f t="shared" si="162"/>
        <v>202.54499999999999</v>
      </c>
      <c r="S370" s="227">
        <f t="shared" si="155"/>
        <v>1232.5450000000001</v>
      </c>
      <c r="T370" s="249">
        <f t="shared" si="156"/>
        <v>0.31282868020304572</v>
      </c>
    </row>
    <row r="371" spans="2:20" s="33" customFormat="1" ht="15" customHeight="1" x14ac:dyDescent="0.4">
      <c r="B371" s="38" t="s">
        <v>279</v>
      </c>
      <c r="C371" s="6" t="s">
        <v>160</v>
      </c>
      <c r="D371" s="6">
        <f t="shared" si="157"/>
        <v>1</v>
      </c>
      <c r="E371" s="34">
        <v>1</v>
      </c>
      <c r="F371" s="212">
        <v>4000</v>
      </c>
      <c r="G371" s="195">
        <v>45688</v>
      </c>
      <c r="H371" s="8"/>
      <c r="I371" s="212">
        <v>4970</v>
      </c>
      <c r="J371" s="8">
        <v>45789</v>
      </c>
      <c r="K371" s="23">
        <f t="shared" si="163"/>
        <v>0</v>
      </c>
      <c r="L371" s="23">
        <f t="shared" si="158"/>
        <v>0</v>
      </c>
      <c r="M371" s="206">
        <f t="shared" si="159"/>
        <v>7.4550000000000001</v>
      </c>
      <c r="N371" s="34">
        <f t="shared" si="164"/>
        <v>210</v>
      </c>
      <c r="O371" s="209">
        <f t="shared" si="154"/>
        <v>102</v>
      </c>
      <c r="P371" s="34">
        <f t="shared" si="160"/>
        <v>4000</v>
      </c>
      <c r="Q371" s="34">
        <f t="shared" si="161"/>
        <v>4970</v>
      </c>
      <c r="R371" s="7">
        <f t="shared" si="162"/>
        <v>202.54499999999999</v>
      </c>
      <c r="S371" s="227">
        <f t="shared" si="155"/>
        <v>1172.5450000000001</v>
      </c>
      <c r="T371" s="249">
        <f t="shared" si="156"/>
        <v>0.29313625000000004</v>
      </c>
    </row>
    <row r="372" spans="2:20" s="33" customFormat="1" ht="15" customHeight="1" x14ac:dyDescent="0.4">
      <c r="B372" s="38" t="s">
        <v>279</v>
      </c>
      <c r="C372" s="6" t="s">
        <v>160</v>
      </c>
      <c r="D372" s="6">
        <f t="shared" si="157"/>
        <v>1</v>
      </c>
      <c r="E372" s="34">
        <v>1</v>
      </c>
      <c r="F372" s="212">
        <v>3995</v>
      </c>
      <c r="G372" s="195">
        <v>45692</v>
      </c>
      <c r="H372" s="8"/>
      <c r="I372" s="212">
        <v>4970</v>
      </c>
      <c r="J372" s="8">
        <v>45789</v>
      </c>
      <c r="K372" s="23">
        <f t="shared" si="163"/>
        <v>0</v>
      </c>
      <c r="L372" s="23">
        <f t="shared" si="158"/>
        <v>0</v>
      </c>
      <c r="M372" s="206">
        <f t="shared" si="159"/>
        <v>7.4550000000000001</v>
      </c>
      <c r="N372" s="34">
        <f t="shared" si="164"/>
        <v>210</v>
      </c>
      <c r="O372" s="209">
        <f t="shared" si="154"/>
        <v>98</v>
      </c>
      <c r="P372" s="34">
        <f t="shared" si="160"/>
        <v>3995</v>
      </c>
      <c r="Q372" s="34">
        <f t="shared" si="161"/>
        <v>4970</v>
      </c>
      <c r="R372" s="7">
        <f t="shared" si="162"/>
        <v>202.54499999999999</v>
      </c>
      <c r="S372" s="227">
        <f t="shared" si="155"/>
        <v>1177.5450000000001</v>
      </c>
      <c r="T372" s="249">
        <f t="shared" si="156"/>
        <v>0.2947546933667084</v>
      </c>
    </row>
    <row r="373" spans="2:20" s="33" customFormat="1" ht="15" customHeight="1" x14ac:dyDescent="0.4">
      <c r="B373" s="38" t="s">
        <v>279</v>
      </c>
      <c r="C373" s="6" t="s">
        <v>160</v>
      </c>
      <c r="D373" s="6">
        <f t="shared" si="157"/>
        <v>1</v>
      </c>
      <c r="E373" s="34">
        <v>1</v>
      </c>
      <c r="F373" s="212">
        <v>4050</v>
      </c>
      <c r="G373" s="195">
        <v>45699</v>
      </c>
      <c r="H373" s="8"/>
      <c r="I373" s="212">
        <v>4970</v>
      </c>
      <c r="J373" s="8">
        <v>45789</v>
      </c>
      <c r="K373" s="23">
        <f t="shared" si="163"/>
        <v>0</v>
      </c>
      <c r="L373" s="23">
        <f t="shared" si="158"/>
        <v>0</v>
      </c>
      <c r="M373" s="206">
        <f t="shared" si="159"/>
        <v>7.4550000000000001</v>
      </c>
      <c r="N373" s="34">
        <f t="shared" si="164"/>
        <v>210</v>
      </c>
      <c r="O373" s="209">
        <f t="shared" si="154"/>
        <v>91</v>
      </c>
      <c r="P373" s="34">
        <f t="shared" si="160"/>
        <v>4050</v>
      </c>
      <c r="Q373" s="34">
        <f t="shared" si="161"/>
        <v>4970</v>
      </c>
      <c r="R373" s="7">
        <f t="shared" si="162"/>
        <v>202.54499999999999</v>
      </c>
      <c r="S373" s="227">
        <f t="shared" si="155"/>
        <v>1122.5450000000001</v>
      </c>
      <c r="T373" s="249">
        <f t="shared" si="156"/>
        <v>0.27717160493827164</v>
      </c>
    </row>
    <row r="374" spans="2:20" s="33" customFormat="1" ht="15" customHeight="1" x14ac:dyDescent="0.4">
      <c r="B374" s="38" t="s">
        <v>279</v>
      </c>
      <c r="C374" s="6" t="s">
        <v>160</v>
      </c>
      <c r="D374" s="6">
        <f t="shared" si="157"/>
        <v>1</v>
      </c>
      <c r="E374" s="34">
        <v>1</v>
      </c>
      <c r="F374" s="212">
        <v>4100</v>
      </c>
      <c r="G374" s="195">
        <v>45706</v>
      </c>
      <c r="H374" s="8"/>
      <c r="I374" s="212">
        <v>4970</v>
      </c>
      <c r="J374" s="8">
        <v>45789</v>
      </c>
      <c r="K374" s="23">
        <f t="shared" si="163"/>
        <v>0</v>
      </c>
      <c r="L374" s="23">
        <f t="shared" si="158"/>
        <v>0</v>
      </c>
      <c r="M374" s="206">
        <f t="shared" si="159"/>
        <v>7.4550000000000001</v>
      </c>
      <c r="N374" s="34">
        <f t="shared" si="164"/>
        <v>210</v>
      </c>
      <c r="O374" s="209">
        <f t="shared" si="154"/>
        <v>84</v>
      </c>
      <c r="P374" s="34">
        <f t="shared" si="160"/>
        <v>4100</v>
      </c>
      <c r="Q374" s="34">
        <f t="shared" si="161"/>
        <v>4970</v>
      </c>
      <c r="R374" s="7">
        <f t="shared" si="162"/>
        <v>202.54499999999999</v>
      </c>
      <c r="S374" s="227">
        <f t="shared" si="155"/>
        <v>1072.5450000000001</v>
      </c>
      <c r="T374" s="249">
        <f t="shared" si="156"/>
        <v>0.26159634146341465</v>
      </c>
    </row>
    <row r="375" spans="2:20" s="33" customFormat="1" ht="15" customHeight="1" x14ac:dyDescent="0.4">
      <c r="B375" s="38" t="s">
        <v>279</v>
      </c>
      <c r="C375" s="6" t="s">
        <v>160</v>
      </c>
      <c r="D375" s="6">
        <f t="shared" si="157"/>
        <v>1</v>
      </c>
      <c r="E375" s="34">
        <v>1</v>
      </c>
      <c r="F375" s="212">
        <v>4135</v>
      </c>
      <c r="G375" s="195">
        <v>45713</v>
      </c>
      <c r="H375" s="8"/>
      <c r="I375" s="212">
        <v>4970</v>
      </c>
      <c r="J375" s="8">
        <v>45789</v>
      </c>
      <c r="K375" s="23">
        <f t="shared" si="163"/>
        <v>0</v>
      </c>
      <c r="L375" s="23">
        <f t="shared" si="158"/>
        <v>0</v>
      </c>
      <c r="M375" s="206">
        <f t="shared" si="159"/>
        <v>7.4550000000000001</v>
      </c>
      <c r="N375" s="34">
        <f t="shared" si="164"/>
        <v>210</v>
      </c>
      <c r="O375" s="209">
        <f t="shared" si="154"/>
        <v>77</v>
      </c>
      <c r="P375" s="34">
        <f t="shared" si="160"/>
        <v>4135</v>
      </c>
      <c r="Q375" s="34">
        <f t="shared" si="161"/>
        <v>4970</v>
      </c>
      <c r="R375" s="7">
        <f t="shared" si="162"/>
        <v>202.54499999999999</v>
      </c>
      <c r="S375" s="227">
        <f t="shared" si="155"/>
        <v>1037.5450000000001</v>
      </c>
      <c r="T375" s="249">
        <f t="shared" si="156"/>
        <v>0.25091777509068924</v>
      </c>
    </row>
    <row r="376" spans="2:20" s="33" customFormat="1" ht="15" customHeight="1" x14ac:dyDescent="0.4">
      <c r="B376" s="38" t="s">
        <v>279</v>
      </c>
      <c r="C376" s="6" t="s">
        <v>160</v>
      </c>
      <c r="D376" s="6">
        <f t="shared" si="157"/>
        <v>1</v>
      </c>
      <c r="E376" s="34">
        <v>1</v>
      </c>
      <c r="F376" s="212">
        <v>4140</v>
      </c>
      <c r="G376" s="195">
        <v>45720</v>
      </c>
      <c r="H376" s="8"/>
      <c r="I376" s="212">
        <v>4970</v>
      </c>
      <c r="J376" s="8">
        <v>45789</v>
      </c>
      <c r="K376" s="23">
        <f t="shared" si="163"/>
        <v>0</v>
      </c>
      <c r="L376" s="23">
        <f t="shared" si="158"/>
        <v>0</v>
      </c>
      <c r="M376" s="206">
        <f t="shared" si="159"/>
        <v>7.4550000000000001</v>
      </c>
      <c r="N376" s="34">
        <f t="shared" si="164"/>
        <v>210</v>
      </c>
      <c r="O376" s="209">
        <f t="shared" si="154"/>
        <v>70</v>
      </c>
      <c r="P376" s="34">
        <f t="shared" si="160"/>
        <v>4140</v>
      </c>
      <c r="Q376" s="34">
        <f t="shared" si="161"/>
        <v>4970</v>
      </c>
      <c r="R376" s="7">
        <f t="shared" si="162"/>
        <v>202.54499999999999</v>
      </c>
      <c r="S376" s="227">
        <f t="shared" si="155"/>
        <v>1032.5450000000001</v>
      </c>
      <c r="T376" s="249">
        <f t="shared" si="156"/>
        <v>0.24940700483091791</v>
      </c>
    </row>
    <row r="377" spans="2:20" s="33" customFormat="1" ht="15" customHeight="1" x14ac:dyDescent="0.4">
      <c r="B377" s="38" t="s">
        <v>279</v>
      </c>
      <c r="C377" s="6" t="s">
        <v>160</v>
      </c>
      <c r="D377" s="6">
        <f t="shared" si="157"/>
        <v>1</v>
      </c>
      <c r="E377" s="34">
        <v>1</v>
      </c>
      <c r="F377" s="212">
        <v>4190</v>
      </c>
      <c r="G377" s="195">
        <v>45727</v>
      </c>
      <c r="H377" s="8"/>
      <c r="I377" s="212">
        <v>4970</v>
      </c>
      <c r="J377" s="8">
        <v>45789</v>
      </c>
      <c r="K377" s="23">
        <f t="shared" si="163"/>
        <v>0</v>
      </c>
      <c r="L377" s="23">
        <f t="shared" si="158"/>
        <v>0</v>
      </c>
      <c r="M377" s="206">
        <f t="shared" si="159"/>
        <v>7.4550000000000001</v>
      </c>
      <c r="N377" s="34">
        <f t="shared" si="164"/>
        <v>210</v>
      </c>
      <c r="O377" s="209">
        <f t="shared" si="154"/>
        <v>63</v>
      </c>
      <c r="P377" s="34">
        <f t="shared" si="160"/>
        <v>4190</v>
      </c>
      <c r="Q377" s="34">
        <f t="shared" si="161"/>
        <v>4970</v>
      </c>
      <c r="R377" s="7">
        <f t="shared" si="162"/>
        <v>202.54499999999999</v>
      </c>
      <c r="S377" s="227">
        <f t="shared" si="155"/>
        <v>982.54499999999996</v>
      </c>
      <c r="T377" s="249">
        <f t="shared" si="156"/>
        <v>0.23449761336515512</v>
      </c>
    </row>
    <row r="378" spans="2:20" s="33" customFormat="1" ht="15" customHeight="1" x14ac:dyDescent="0.4">
      <c r="B378" s="38" t="s">
        <v>279</v>
      </c>
      <c r="C378" s="6" t="s">
        <v>160</v>
      </c>
      <c r="D378" s="6">
        <f t="shared" si="157"/>
        <v>1</v>
      </c>
      <c r="E378" s="34">
        <v>1</v>
      </c>
      <c r="F378" s="212">
        <v>4275</v>
      </c>
      <c r="G378" s="195">
        <v>45734</v>
      </c>
      <c r="H378" s="8"/>
      <c r="I378" s="212">
        <v>4970</v>
      </c>
      <c r="J378" s="8">
        <v>45789</v>
      </c>
      <c r="K378" s="23">
        <f t="shared" si="163"/>
        <v>0</v>
      </c>
      <c r="L378" s="23">
        <f t="shared" si="158"/>
        <v>0</v>
      </c>
      <c r="M378" s="206">
        <f t="shared" si="159"/>
        <v>7.4550000000000001</v>
      </c>
      <c r="N378" s="34">
        <f t="shared" si="164"/>
        <v>210</v>
      </c>
      <c r="O378" s="209">
        <f t="shared" si="154"/>
        <v>56</v>
      </c>
      <c r="P378" s="34">
        <f t="shared" si="160"/>
        <v>4275</v>
      </c>
      <c r="Q378" s="34">
        <f t="shared" si="161"/>
        <v>4970</v>
      </c>
      <c r="R378" s="7">
        <f t="shared" si="162"/>
        <v>202.54499999999999</v>
      </c>
      <c r="S378" s="227">
        <f t="shared" si="155"/>
        <v>897.54499999999996</v>
      </c>
      <c r="T378" s="249">
        <f t="shared" si="156"/>
        <v>0.20995204678362572</v>
      </c>
    </row>
    <row r="379" spans="2:20" s="33" customFormat="1" ht="15" customHeight="1" x14ac:dyDescent="0.4">
      <c r="B379" s="38" t="s">
        <v>279</v>
      </c>
      <c r="C379" s="6" t="s">
        <v>160</v>
      </c>
      <c r="D379" s="6">
        <f t="shared" si="157"/>
        <v>1</v>
      </c>
      <c r="E379" s="34">
        <v>1</v>
      </c>
      <c r="F379" s="212">
        <v>4285</v>
      </c>
      <c r="G379" s="195">
        <v>45741</v>
      </c>
      <c r="H379" s="8"/>
      <c r="I379" s="212">
        <v>4970</v>
      </c>
      <c r="J379" s="8">
        <v>45789</v>
      </c>
      <c r="K379" s="23">
        <f t="shared" si="163"/>
        <v>0</v>
      </c>
      <c r="L379" s="23">
        <f t="shared" si="158"/>
        <v>0</v>
      </c>
      <c r="M379" s="206">
        <f t="shared" si="159"/>
        <v>7.4550000000000001</v>
      </c>
      <c r="N379" s="34">
        <f t="shared" si="164"/>
        <v>210</v>
      </c>
      <c r="O379" s="209">
        <f t="shared" si="154"/>
        <v>49</v>
      </c>
      <c r="P379" s="34">
        <f t="shared" si="160"/>
        <v>4285</v>
      </c>
      <c r="Q379" s="34">
        <f t="shared" si="161"/>
        <v>4970</v>
      </c>
      <c r="R379" s="7">
        <f t="shared" si="162"/>
        <v>202.54499999999999</v>
      </c>
      <c r="S379" s="227">
        <f t="shared" si="155"/>
        <v>887.54499999999996</v>
      </c>
      <c r="T379" s="249">
        <f t="shared" si="156"/>
        <v>0.20712835472578761</v>
      </c>
    </row>
    <row r="380" spans="2:20" s="33" customFormat="1" ht="15" customHeight="1" x14ac:dyDescent="0.4">
      <c r="B380" s="38" t="s">
        <v>279</v>
      </c>
      <c r="C380" s="6" t="s">
        <v>160</v>
      </c>
      <c r="D380" s="6">
        <f t="shared" si="157"/>
        <v>1</v>
      </c>
      <c r="E380" s="34">
        <v>1</v>
      </c>
      <c r="F380" s="212">
        <v>4010</v>
      </c>
      <c r="G380" s="195">
        <v>45748</v>
      </c>
      <c r="H380" s="8"/>
      <c r="I380" s="212">
        <v>4970</v>
      </c>
      <c r="J380" s="8">
        <v>45789</v>
      </c>
      <c r="K380" s="23">
        <f t="shared" si="163"/>
        <v>0</v>
      </c>
      <c r="L380" s="23">
        <f t="shared" si="158"/>
        <v>0</v>
      </c>
      <c r="M380" s="206">
        <f t="shared" si="159"/>
        <v>7.4550000000000001</v>
      </c>
      <c r="N380" s="34"/>
      <c r="O380" s="209">
        <f t="shared" si="154"/>
        <v>42</v>
      </c>
      <c r="P380" s="34">
        <f t="shared" si="160"/>
        <v>4010</v>
      </c>
      <c r="Q380" s="34">
        <f t="shared" si="161"/>
        <v>4970</v>
      </c>
      <c r="R380" s="7">
        <f t="shared" si="162"/>
        <v>-7.4550000000000001</v>
      </c>
      <c r="S380" s="227">
        <f t="shared" si="155"/>
        <v>952.54499999999996</v>
      </c>
      <c r="T380" s="249">
        <f t="shared" si="156"/>
        <v>0.23754239401496258</v>
      </c>
    </row>
    <row r="381" spans="2:20" s="33" customFormat="1" ht="15" customHeight="1" x14ac:dyDescent="0.4">
      <c r="B381" s="38" t="s">
        <v>279</v>
      </c>
      <c r="C381" s="6" t="s">
        <v>160</v>
      </c>
      <c r="D381" s="6">
        <f t="shared" si="157"/>
        <v>1</v>
      </c>
      <c r="E381" s="34">
        <v>51</v>
      </c>
      <c r="F381" s="212">
        <v>3900</v>
      </c>
      <c r="G381" s="195">
        <v>45754</v>
      </c>
      <c r="H381" s="8"/>
      <c r="I381" s="212">
        <v>4970</v>
      </c>
      <c r="J381" s="8">
        <v>45789</v>
      </c>
      <c r="K381" s="23">
        <f t="shared" si="163"/>
        <v>0</v>
      </c>
      <c r="L381" s="23">
        <f t="shared" si="158"/>
        <v>0</v>
      </c>
      <c r="M381" s="206">
        <f t="shared" si="159"/>
        <v>380.20499999999998</v>
      </c>
      <c r="N381" s="34"/>
      <c r="O381" s="209">
        <f t="shared" si="154"/>
        <v>36</v>
      </c>
      <c r="P381" s="34">
        <f t="shared" si="160"/>
        <v>198900</v>
      </c>
      <c r="Q381" s="34">
        <f t="shared" si="161"/>
        <v>253470</v>
      </c>
      <c r="R381" s="7">
        <f t="shared" si="162"/>
        <v>-380.20499999999998</v>
      </c>
      <c r="S381" s="227">
        <f t="shared" si="155"/>
        <v>54189.794999999998</v>
      </c>
      <c r="T381" s="249">
        <f t="shared" si="156"/>
        <v>0.27244743589743586</v>
      </c>
    </row>
    <row r="382" spans="2:20" s="33" customFormat="1" ht="15" customHeight="1" x14ac:dyDescent="0.4">
      <c r="B382" s="38" t="s">
        <v>279</v>
      </c>
      <c r="C382" s="6" t="s">
        <v>160</v>
      </c>
      <c r="D382" s="6">
        <f t="shared" si="157"/>
        <v>1</v>
      </c>
      <c r="E382" s="34">
        <v>1</v>
      </c>
      <c r="F382" s="212">
        <v>3945</v>
      </c>
      <c r="G382" s="195">
        <v>45755</v>
      </c>
      <c r="H382" s="8"/>
      <c r="I382" s="212">
        <v>4970</v>
      </c>
      <c r="J382" s="8">
        <v>45789</v>
      </c>
      <c r="K382" s="23">
        <f t="shared" si="163"/>
        <v>0</v>
      </c>
      <c r="L382" s="23">
        <f t="shared" si="158"/>
        <v>0</v>
      </c>
      <c r="M382" s="206">
        <f t="shared" si="159"/>
        <v>7.4550000000000001</v>
      </c>
      <c r="N382" s="34"/>
      <c r="O382" s="209">
        <f t="shared" si="154"/>
        <v>35</v>
      </c>
      <c r="P382" s="34">
        <f t="shared" si="160"/>
        <v>3945</v>
      </c>
      <c r="Q382" s="34">
        <f t="shared" si="161"/>
        <v>4970</v>
      </c>
      <c r="R382" s="7">
        <f t="shared" si="162"/>
        <v>-7.4550000000000001</v>
      </c>
      <c r="S382" s="227">
        <f t="shared" si="155"/>
        <v>1017.545</v>
      </c>
      <c r="T382" s="249">
        <f t="shared" si="156"/>
        <v>0.25793282636248416</v>
      </c>
    </row>
    <row r="383" spans="2:20" s="33" customFormat="1" ht="15" customHeight="1" x14ac:dyDescent="0.4">
      <c r="B383" s="38" t="s">
        <v>279</v>
      </c>
      <c r="C383" s="6" t="s">
        <v>160</v>
      </c>
      <c r="D383" s="6">
        <f t="shared" si="157"/>
        <v>1</v>
      </c>
      <c r="E383" s="34">
        <v>1</v>
      </c>
      <c r="F383" s="212">
        <v>4100</v>
      </c>
      <c r="G383" s="195">
        <v>45762</v>
      </c>
      <c r="H383" s="8"/>
      <c r="I383" s="212">
        <v>4970</v>
      </c>
      <c r="J383" s="8">
        <v>45789</v>
      </c>
      <c r="K383" s="23">
        <f t="shared" si="163"/>
        <v>0</v>
      </c>
      <c r="L383" s="23">
        <f t="shared" si="158"/>
        <v>0</v>
      </c>
      <c r="M383" s="206">
        <f t="shared" si="159"/>
        <v>7.4550000000000001</v>
      </c>
      <c r="N383" s="34"/>
      <c r="O383" s="209">
        <f t="shared" si="154"/>
        <v>28</v>
      </c>
      <c r="P383" s="34">
        <f t="shared" si="160"/>
        <v>4100</v>
      </c>
      <c r="Q383" s="34">
        <f t="shared" si="161"/>
        <v>4970</v>
      </c>
      <c r="R383" s="7">
        <f t="shared" si="162"/>
        <v>-7.4550000000000001</v>
      </c>
      <c r="S383" s="227">
        <f t="shared" si="155"/>
        <v>862.54499999999996</v>
      </c>
      <c r="T383" s="249">
        <f t="shared" si="156"/>
        <v>0.21037682926829268</v>
      </c>
    </row>
    <row r="384" spans="2:20" s="33" customFormat="1" ht="15" customHeight="1" x14ac:dyDescent="0.4">
      <c r="B384" s="38" t="s">
        <v>279</v>
      </c>
      <c r="C384" s="6" t="s">
        <v>160</v>
      </c>
      <c r="D384" s="6">
        <f t="shared" si="157"/>
        <v>1</v>
      </c>
      <c r="E384" s="34">
        <v>1</v>
      </c>
      <c r="F384" s="212">
        <v>4250</v>
      </c>
      <c r="G384" s="195">
        <v>45769</v>
      </c>
      <c r="H384" s="8"/>
      <c r="I384" s="212">
        <v>4970</v>
      </c>
      <c r="J384" s="8">
        <v>45789</v>
      </c>
      <c r="K384" s="23">
        <f t="shared" si="163"/>
        <v>0</v>
      </c>
      <c r="L384" s="23">
        <f t="shared" si="158"/>
        <v>0</v>
      </c>
      <c r="M384" s="206">
        <f t="shared" si="159"/>
        <v>7.4550000000000001</v>
      </c>
      <c r="N384" s="34"/>
      <c r="O384" s="209">
        <f t="shared" si="154"/>
        <v>21</v>
      </c>
      <c r="P384" s="34">
        <f t="shared" si="160"/>
        <v>4250</v>
      </c>
      <c r="Q384" s="34">
        <f t="shared" si="161"/>
        <v>4970</v>
      </c>
      <c r="R384" s="7">
        <f t="shared" si="162"/>
        <v>-7.4550000000000001</v>
      </c>
      <c r="S384" s="227">
        <f t="shared" si="155"/>
        <v>712.54499999999996</v>
      </c>
      <c r="T384" s="249">
        <f t="shared" si="156"/>
        <v>0.16765764705882352</v>
      </c>
    </row>
    <row r="385" spans="1:22" s="33" customFormat="1" ht="15" customHeight="1" x14ac:dyDescent="0.4">
      <c r="B385" s="38" t="s">
        <v>279</v>
      </c>
      <c r="C385" s="6" t="s">
        <v>160</v>
      </c>
      <c r="D385" s="6">
        <f t="shared" si="157"/>
        <v>1</v>
      </c>
      <c r="E385" s="34">
        <v>1</v>
      </c>
      <c r="F385" s="212">
        <v>4870</v>
      </c>
      <c r="G385" s="195">
        <v>45784</v>
      </c>
      <c r="H385" s="8"/>
      <c r="I385" s="212">
        <v>4970</v>
      </c>
      <c r="J385" s="8">
        <v>45789</v>
      </c>
      <c r="K385" s="23">
        <f t="shared" si="163"/>
        <v>0</v>
      </c>
      <c r="L385" s="23">
        <f t="shared" si="158"/>
        <v>0</v>
      </c>
      <c r="M385" s="206">
        <f t="shared" si="159"/>
        <v>7.4550000000000001</v>
      </c>
      <c r="N385" s="34"/>
      <c r="O385" s="209">
        <f t="shared" si="154"/>
        <v>6</v>
      </c>
      <c r="P385" s="34">
        <f t="shared" si="160"/>
        <v>4870</v>
      </c>
      <c r="Q385" s="34">
        <f t="shared" si="161"/>
        <v>4970</v>
      </c>
      <c r="R385" s="7">
        <f t="shared" si="162"/>
        <v>-7.4550000000000001</v>
      </c>
      <c r="S385" s="227">
        <f t="shared" si="155"/>
        <v>92.545000000000002</v>
      </c>
      <c r="T385" s="249">
        <f t="shared" si="156"/>
        <v>1.9003080082135523E-2</v>
      </c>
    </row>
    <row r="386" spans="1:22" s="33" customFormat="1" ht="15" customHeight="1" x14ac:dyDescent="0.4">
      <c r="B386" s="38" t="s">
        <v>143</v>
      </c>
      <c r="C386" s="6" t="s">
        <v>160</v>
      </c>
      <c r="D386" s="6">
        <f t="shared" si="157"/>
        <v>1</v>
      </c>
      <c r="E386" s="34">
        <v>5</v>
      </c>
      <c r="F386" s="212">
        <v>18720</v>
      </c>
      <c r="G386" s="195">
        <v>45821</v>
      </c>
      <c r="H386" s="8"/>
      <c r="I386" s="212">
        <v>21550</v>
      </c>
      <c r="J386" s="8">
        <v>45846</v>
      </c>
      <c r="K386" s="23">
        <f t="shared" si="163"/>
        <v>0</v>
      </c>
      <c r="L386" s="23">
        <f t="shared" si="158"/>
        <v>0</v>
      </c>
      <c r="M386" s="206">
        <f t="shared" si="159"/>
        <v>161.625</v>
      </c>
      <c r="N386" s="34"/>
      <c r="O386" s="209">
        <f t="shared" si="154"/>
        <v>26</v>
      </c>
      <c r="P386" s="34">
        <f t="shared" si="160"/>
        <v>93600</v>
      </c>
      <c r="Q386" s="34">
        <f t="shared" si="161"/>
        <v>107750</v>
      </c>
      <c r="R386" s="7">
        <f t="shared" si="162"/>
        <v>-161.625</v>
      </c>
      <c r="S386" s="227">
        <f t="shared" si="155"/>
        <v>13988.375</v>
      </c>
      <c r="T386" s="249">
        <f t="shared" si="156"/>
        <v>0.14944845085470085</v>
      </c>
    </row>
    <row r="387" spans="1:22" s="33" customFormat="1" ht="15" customHeight="1" x14ac:dyDescent="0.4">
      <c r="B387" s="38" t="s">
        <v>143</v>
      </c>
      <c r="C387" s="6" t="s">
        <v>160</v>
      </c>
      <c r="D387" s="6">
        <f t="shared" si="157"/>
        <v>1</v>
      </c>
      <c r="E387" s="34">
        <v>100</v>
      </c>
      <c r="F387" s="212">
        <v>18860</v>
      </c>
      <c r="G387" s="195">
        <v>45821</v>
      </c>
      <c r="H387" s="8"/>
      <c r="I387" s="212">
        <v>21550</v>
      </c>
      <c r="J387" s="8">
        <v>45846</v>
      </c>
      <c r="K387" s="23">
        <f t="shared" si="163"/>
        <v>60</v>
      </c>
      <c r="L387" s="23">
        <f t="shared" si="158"/>
        <v>70</v>
      </c>
      <c r="M387" s="206">
        <f t="shared" si="159"/>
        <v>3232.5</v>
      </c>
      <c r="N387" s="34"/>
      <c r="O387" s="209">
        <f t="shared" si="154"/>
        <v>26</v>
      </c>
      <c r="P387" s="34">
        <f t="shared" si="160"/>
        <v>1886000</v>
      </c>
      <c r="Q387" s="34">
        <f t="shared" si="161"/>
        <v>2155000</v>
      </c>
      <c r="R387" s="7">
        <f t="shared" si="162"/>
        <v>-3362.5</v>
      </c>
      <c r="S387" s="227">
        <f t="shared" si="155"/>
        <v>265637.5</v>
      </c>
      <c r="T387" s="249">
        <f t="shared" si="156"/>
        <v>0.14084703075291621</v>
      </c>
    </row>
    <row r="388" spans="1:22" s="33" customFormat="1" ht="15" customHeight="1" x14ac:dyDescent="0.4">
      <c r="A388" s="33" t="s">
        <v>113</v>
      </c>
      <c r="B388" s="38" t="s">
        <v>143</v>
      </c>
      <c r="C388" s="6" t="s">
        <v>160</v>
      </c>
      <c r="D388" s="6">
        <f t="shared" si="157"/>
        <v>1</v>
      </c>
      <c r="E388" s="34">
        <v>16</v>
      </c>
      <c r="F388" s="212">
        <v>18820</v>
      </c>
      <c r="G388" s="195">
        <v>45821</v>
      </c>
      <c r="H388" s="8"/>
      <c r="I388" s="212">
        <v>21550</v>
      </c>
      <c r="J388" s="8">
        <v>45846</v>
      </c>
      <c r="K388" s="23">
        <f t="shared" si="163"/>
        <v>10</v>
      </c>
      <c r="L388" s="23">
        <f t="shared" si="158"/>
        <v>10</v>
      </c>
      <c r="M388" s="206">
        <f t="shared" si="159"/>
        <v>517.20000000000005</v>
      </c>
      <c r="N388" s="34"/>
      <c r="O388" s="209">
        <f t="shared" si="154"/>
        <v>26</v>
      </c>
      <c r="P388" s="34">
        <f t="shared" si="160"/>
        <v>301120</v>
      </c>
      <c r="Q388" s="34">
        <f t="shared" si="161"/>
        <v>344800</v>
      </c>
      <c r="R388" s="7">
        <f t="shared" si="162"/>
        <v>-537.20000000000005</v>
      </c>
      <c r="S388" s="227">
        <f t="shared" si="155"/>
        <v>43142.8</v>
      </c>
      <c r="T388" s="249">
        <f t="shared" si="156"/>
        <v>0.14327444208289056</v>
      </c>
    </row>
    <row r="389" spans="1:22" s="33" customFormat="1" ht="15" customHeight="1" x14ac:dyDescent="0.4">
      <c r="A389" s="33" t="s">
        <v>113</v>
      </c>
      <c r="B389" s="38" t="s">
        <v>143</v>
      </c>
      <c r="C389" s="6" t="s">
        <v>160</v>
      </c>
      <c r="D389" s="6">
        <f t="shared" si="157"/>
        <v>1</v>
      </c>
      <c r="E389" s="34">
        <v>5</v>
      </c>
      <c r="F389" s="212">
        <v>19400</v>
      </c>
      <c r="G389" s="195">
        <v>45842</v>
      </c>
      <c r="H389" s="8"/>
      <c r="I389" s="212">
        <v>21550</v>
      </c>
      <c r="J389" s="8">
        <v>45846</v>
      </c>
      <c r="K389" s="23">
        <f t="shared" si="163"/>
        <v>0</v>
      </c>
      <c r="L389" s="23">
        <f t="shared" si="158"/>
        <v>0</v>
      </c>
      <c r="M389" s="206">
        <f t="shared" si="159"/>
        <v>161.625</v>
      </c>
      <c r="N389" s="34"/>
      <c r="O389" s="209">
        <f t="shared" si="154"/>
        <v>5</v>
      </c>
      <c r="P389" s="34">
        <f t="shared" si="160"/>
        <v>97000</v>
      </c>
      <c r="Q389" s="34">
        <f t="shared" si="161"/>
        <v>107750</v>
      </c>
      <c r="R389" s="7">
        <f t="shared" si="162"/>
        <v>-161.625</v>
      </c>
      <c r="S389" s="227">
        <f t="shared" si="155"/>
        <v>10588.375</v>
      </c>
      <c r="T389" s="249">
        <f t="shared" si="156"/>
        <v>0.10915850515463918</v>
      </c>
    </row>
    <row r="390" spans="1:22" s="33" customFormat="1" ht="15" customHeight="1" x14ac:dyDescent="0.4">
      <c r="A390" s="33" t="s">
        <v>113</v>
      </c>
      <c r="B390" s="38" t="s">
        <v>143</v>
      </c>
      <c r="C390" s="6" t="s">
        <v>160</v>
      </c>
      <c r="D390" s="6">
        <f t="shared" si="157"/>
        <v>1</v>
      </c>
      <c r="E390" s="34">
        <v>10</v>
      </c>
      <c r="F390" s="212">
        <v>21300</v>
      </c>
      <c r="G390" s="195">
        <v>45847</v>
      </c>
      <c r="H390" s="8"/>
      <c r="I390" s="212">
        <v>24500</v>
      </c>
      <c r="J390" s="8">
        <v>45950</v>
      </c>
      <c r="K390" s="23">
        <f t="shared" si="163"/>
        <v>0</v>
      </c>
      <c r="L390" s="23">
        <f t="shared" si="158"/>
        <v>0</v>
      </c>
      <c r="M390" s="206">
        <f t="shared" si="159"/>
        <v>367.5</v>
      </c>
      <c r="N390" s="34"/>
      <c r="O390" s="209">
        <f t="shared" si="154"/>
        <v>104</v>
      </c>
      <c r="P390" s="34">
        <f t="shared" si="160"/>
        <v>213000</v>
      </c>
      <c r="Q390" s="34">
        <f t="shared" si="161"/>
        <v>245000</v>
      </c>
      <c r="R390" s="7">
        <f t="shared" si="162"/>
        <v>-367.5</v>
      </c>
      <c r="S390" s="227">
        <f t="shared" si="155"/>
        <v>31632.5</v>
      </c>
      <c r="T390" s="249">
        <f t="shared" si="156"/>
        <v>0.14850938967136151</v>
      </c>
    </row>
    <row r="391" spans="1:22" s="33" customFormat="1" ht="15" customHeight="1" x14ac:dyDescent="0.4">
      <c r="A391" s="33" t="s">
        <v>113</v>
      </c>
      <c r="B391" s="38" t="s">
        <v>143</v>
      </c>
      <c r="C391" s="6" t="s">
        <v>160</v>
      </c>
      <c r="D391" s="6">
        <f t="shared" si="157"/>
        <v>1</v>
      </c>
      <c r="E391" s="34">
        <v>15</v>
      </c>
      <c r="F391" s="212">
        <v>21300</v>
      </c>
      <c r="G391" s="195">
        <v>45854</v>
      </c>
      <c r="H391" s="8"/>
      <c r="I391" s="212">
        <v>24500</v>
      </c>
      <c r="J391" s="8">
        <v>45950</v>
      </c>
      <c r="K391" s="23">
        <f t="shared" si="163"/>
        <v>10</v>
      </c>
      <c r="L391" s="23">
        <f t="shared" si="158"/>
        <v>10</v>
      </c>
      <c r="M391" s="206">
        <f t="shared" si="159"/>
        <v>551.25</v>
      </c>
      <c r="N391" s="34"/>
      <c r="O391" s="209">
        <f t="shared" si="154"/>
        <v>97</v>
      </c>
      <c r="P391" s="34">
        <f t="shared" si="160"/>
        <v>319500</v>
      </c>
      <c r="Q391" s="34">
        <f t="shared" si="161"/>
        <v>367500</v>
      </c>
      <c r="R391" s="7">
        <f t="shared" si="162"/>
        <v>-571.25</v>
      </c>
      <c r="S391" s="227">
        <f t="shared" si="155"/>
        <v>47428.75</v>
      </c>
      <c r="T391" s="249">
        <f t="shared" si="156"/>
        <v>0.14844679186228482</v>
      </c>
    </row>
    <row r="392" spans="1:22" s="33" customFormat="1" ht="15" customHeight="1" x14ac:dyDescent="0.4">
      <c r="A392" s="33" t="s">
        <v>113</v>
      </c>
      <c r="B392" s="38" t="s">
        <v>143</v>
      </c>
      <c r="C392" s="6" t="s">
        <v>160</v>
      </c>
      <c r="D392" s="6">
        <f t="shared" si="157"/>
        <v>1</v>
      </c>
      <c r="E392" s="34">
        <v>10</v>
      </c>
      <c r="F392" s="212">
        <v>19100</v>
      </c>
      <c r="G392" s="195">
        <v>45868</v>
      </c>
      <c r="H392" s="8"/>
      <c r="I392" s="212">
        <v>24500</v>
      </c>
      <c r="J392" s="8">
        <v>45950</v>
      </c>
      <c r="K392" s="23">
        <f t="shared" si="163"/>
        <v>0</v>
      </c>
      <c r="L392" s="23">
        <f t="shared" si="158"/>
        <v>0</v>
      </c>
      <c r="M392" s="206">
        <f t="shared" si="159"/>
        <v>367.5</v>
      </c>
      <c r="N392" s="34"/>
      <c r="O392" s="209">
        <f t="shared" si="154"/>
        <v>83</v>
      </c>
      <c r="P392" s="34">
        <f t="shared" si="160"/>
        <v>191000</v>
      </c>
      <c r="Q392" s="34">
        <f t="shared" si="161"/>
        <v>245000</v>
      </c>
      <c r="R392" s="7">
        <f t="shared" si="162"/>
        <v>-367.5</v>
      </c>
      <c r="S392" s="227">
        <f t="shared" si="155"/>
        <v>53632.5</v>
      </c>
      <c r="T392" s="249">
        <f t="shared" si="156"/>
        <v>0.28079842931937171</v>
      </c>
    </row>
    <row r="393" spans="1:22" s="33" customFormat="1" ht="15" customHeight="1" x14ac:dyDescent="0.4">
      <c r="A393" s="33" t="s">
        <v>113</v>
      </c>
      <c r="B393" s="38" t="s">
        <v>143</v>
      </c>
      <c r="C393" s="6" t="s">
        <v>122</v>
      </c>
      <c r="D393" s="6">
        <f t="shared" si="157"/>
        <v>1</v>
      </c>
      <c r="E393" s="34">
        <v>100</v>
      </c>
      <c r="F393" s="212">
        <v>17950</v>
      </c>
      <c r="G393" s="195">
        <v>45819</v>
      </c>
      <c r="H393" s="33" t="s">
        <v>113</v>
      </c>
      <c r="I393" s="212">
        <v>18990</v>
      </c>
      <c r="J393" s="8">
        <v>45819</v>
      </c>
      <c r="K393" s="23">
        <f t="shared" si="163"/>
        <v>269.25</v>
      </c>
      <c r="L393" s="23">
        <f t="shared" si="158"/>
        <v>284.84999999999997</v>
      </c>
      <c r="M393" s="206">
        <f t="shared" si="159"/>
        <v>2848.5</v>
      </c>
      <c r="N393" s="34"/>
      <c r="O393" s="209">
        <f t="shared" si="154"/>
        <v>1</v>
      </c>
      <c r="P393" s="34">
        <f t="shared" si="160"/>
        <v>1795000</v>
      </c>
      <c r="Q393" s="34">
        <f t="shared" si="161"/>
        <v>1899000</v>
      </c>
      <c r="R393" s="7">
        <f t="shared" si="162"/>
        <v>-3402.6</v>
      </c>
      <c r="S393" s="227">
        <f t="shared" si="155"/>
        <v>100597.4</v>
      </c>
      <c r="T393" s="249">
        <f t="shared" si="156"/>
        <v>5.604311977715877E-2</v>
      </c>
      <c r="V393" s="36">
        <f t="shared" ref="V393:V399" si="165">+P393*0.05*O393/365</f>
        <v>245.89041095890411</v>
      </c>
    </row>
    <row r="394" spans="1:22" s="33" customFormat="1" ht="15" customHeight="1" x14ac:dyDescent="0.4">
      <c r="A394" s="33" t="s">
        <v>113</v>
      </c>
      <c r="B394" s="38" t="s">
        <v>143</v>
      </c>
      <c r="C394" s="6" t="s">
        <v>122</v>
      </c>
      <c r="D394" s="6">
        <f t="shared" si="157"/>
        <v>1</v>
      </c>
      <c r="E394" s="34">
        <v>50</v>
      </c>
      <c r="F394" s="212">
        <v>17880</v>
      </c>
      <c r="G394" s="195">
        <v>45819</v>
      </c>
      <c r="H394" s="33" t="s">
        <v>113</v>
      </c>
      <c r="I394" s="212">
        <v>18990</v>
      </c>
      <c r="J394" s="8">
        <v>45819</v>
      </c>
      <c r="K394" s="23">
        <f t="shared" si="163"/>
        <v>134.1</v>
      </c>
      <c r="L394" s="23">
        <f t="shared" si="158"/>
        <v>142.42499999999998</v>
      </c>
      <c r="M394" s="206">
        <f t="shared" si="159"/>
        <v>1424.25</v>
      </c>
      <c r="N394" s="34"/>
      <c r="O394" s="209">
        <f t="shared" si="154"/>
        <v>1</v>
      </c>
      <c r="P394" s="34">
        <f t="shared" si="160"/>
        <v>894000</v>
      </c>
      <c r="Q394" s="34">
        <f t="shared" si="161"/>
        <v>949500</v>
      </c>
      <c r="R394" s="7">
        <f t="shared" si="162"/>
        <v>-1700.7750000000001</v>
      </c>
      <c r="S394" s="227">
        <f t="shared" si="155"/>
        <v>53799.224999999999</v>
      </c>
      <c r="T394" s="249">
        <f t="shared" si="156"/>
        <v>6.0178104026845633E-2</v>
      </c>
      <c r="V394" s="36">
        <f t="shared" si="165"/>
        <v>122.46575342465754</v>
      </c>
    </row>
    <row r="395" spans="1:22" s="33" customFormat="1" ht="15" customHeight="1" x14ac:dyDescent="0.4">
      <c r="A395" s="33" t="s">
        <v>113</v>
      </c>
      <c r="B395" s="38" t="s">
        <v>143</v>
      </c>
      <c r="C395" s="6" t="s">
        <v>122</v>
      </c>
      <c r="D395" s="6">
        <f t="shared" si="157"/>
        <v>1</v>
      </c>
      <c r="E395" s="34">
        <v>300</v>
      </c>
      <c r="F395" s="212">
        <v>18720</v>
      </c>
      <c r="G395" s="195">
        <v>45819</v>
      </c>
      <c r="H395" s="33" t="s">
        <v>113</v>
      </c>
      <c r="I395" s="212">
        <v>18990</v>
      </c>
      <c r="J395" s="8">
        <v>45819</v>
      </c>
      <c r="K395" s="23">
        <f t="shared" si="163"/>
        <v>842.4</v>
      </c>
      <c r="L395" s="23">
        <f t="shared" si="158"/>
        <v>854.55</v>
      </c>
      <c r="M395" s="206">
        <f t="shared" si="159"/>
        <v>8545.5</v>
      </c>
      <c r="N395" s="34"/>
      <c r="O395" s="209">
        <f t="shared" si="154"/>
        <v>1</v>
      </c>
      <c r="P395" s="34">
        <f t="shared" si="160"/>
        <v>5616000</v>
      </c>
      <c r="Q395" s="34">
        <f t="shared" si="161"/>
        <v>5697000</v>
      </c>
      <c r="R395" s="7">
        <f t="shared" si="162"/>
        <v>-10242.450000000001</v>
      </c>
      <c r="S395" s="227">
        <f t="shared" si="155"/>
        <v>70757.55</v>
      </c>
      <c r="T395" s="249">
        <f t="shared" si="156"/>
        <v>1.2599278846153847E-2</v>
      </c>
      <c r="V395" s="36">
        <f t="shared" si="165"/>
        <v>769.31506849315065</v>
      </c>
    </row>
    <row r="396" spans="1:22" s="33" customFormat="1" ht="15" customHeight="1" x14ac:dyDescent="0.4">
      <c r="A396" s="33" t="s">
        <v>113</v>
      </c>
      <c r="B396" s="38" t="s">
        <v>143</v>
      </c>
      <c r="C396" s="6" t="s">
        <v>122</v>
      </c>
      <c r="D396" s="6">
        <f t="shared" si="157"/>
        <v>1</v>
      </c>
      <c r="E396" s="34">
        <v>50</v>
      </c>
      <c r="F396" s="212">
        <v>18770</v>
      </c>
      <c r="G396" s="195">
        <v>45821</v>
      </c>
      <c r="H396" s="33" t="s">
        <v>113</v>
      </c>
      <c r="I396" s="212">
        <v>22500</v>
      </c>
      <c r="J396" s="8">
        <v>45848</v>
      </c>
      <c r="K396" s="23">
        <f t="shared" si="163"/>
        <v>140.77499999999998</v>
      </c>
      <c r="L396" s="23">
        <f t="shared" si="158"/>
        <v>168.74999999999997</v>
      </c>
      <c r="M396" s="206">
        <f t="shared" si="159"/>
        <v>1687.5</v>
      </c>
      <c r="N396" s="34"/>
      <c r="O396" s="209">
        <f t="shared" si="154"/>
        <v>28</v>
      </c>
      <c r="P396" s="34">
        <f t="shared" si="160"/>
        <v>938500</v>
      </c>
      <c r="Q396" s="34">
        <f t="shared" si="161"/>
        <v>1125000</v>
      </c>
      <c r="R396" s="7">
        <f t="shared" si="162"/>
        <v>-1997.0250000000001</v>
      </c>
      <c r="S396" s="227">
        <f t="shared" si="155"/>
        <v>184502.97500000001</v>
      </c>
      <c r="T396" s="249">
        <f t="shared" si="156"/>
        <v>0.19659347362813001</v>
      </c>
      <c r="V396" s="36">
        <f t="shared" si="165"/>
        <v>3599.7260273972602</v>
      </c>
    </row>
    <row r="397" spans="1:22" s="33" customFormat="1" ht="15" customHeight="1" x14ac:dyDescent="0.4">
      <c r="A397" s="33" t="s">
        <v>113</v>
      </c>
      <c r="B397" s="38" t="s">
        <v>143</v>
      </c>
      <c r="C397" s="6" t="s">
        <v>122</v>
      </c>
      <c r="D397" s="6">
        <f t="shared" si="157"/>
        <v>1</v>
      </c>
      <c r="E397" s="34">
        <v>80</v>
      </c>
      <c r="F397" s="212">
        <v>18990</v>
      </c>
      <c r="G397" s="195">
        <v>45821</v>
      </c>
      <c r="H397" s="33" t="s">
        <v>113</v>
      </c>
      <c r="I397" s="212">
        <v>22500</v>
      </c>
      <c r="J397" s="8">
        <v>45848</v>
      </c>
      <c r="K397" s="23">
        <f t="shared" si="163"/>
        <v>227.87999999999997</v>
      </c>
      <c r="L397" s="23">
        <f t="shared" si="158"/>
        <v>270</v>
      </c>
      <c r="M397" s="206">
        <f t="shared" si="159"/>
        <v>2700</v>
      </c>
      <c r="N397" s="34"/>
      <c r="O397" s="209">
        <f t="shared" si="154"/>
        <v>28</v>
      </c>
      <c r="P397" s="34">
        <f t="shared" si="160"/>
        <v>1519200</v>
      </c>
      <c r="Q397" s="34">
        <f t="shared" si="161"/>
        <v>1800000</v>
      </c>
      <c r="R397" s="7">
        <f t="shared" si="162"/>
        <v>-3197.88</v>
      </c>
      <c r="S397" s="227">
        <f t="shared" si="155"/>
        <v>277602.12</v>
      </c>
      <c r="T397" s="249">
        <f t="shared" si="156"/>
        <v>0.18272914691943129</v>
      </c>
      <c r="V397" s="36">
        <f t="shared" si="165"/>
        <v>5827.0684931506848</v>
      </c>
    </row>
    <row r="398" spans="1:22" s="33" customFormat="1" ht="15" customHeight="1" x14ac:dyDescent="0.4">
      <c r="B398" s="38" t="s">
        <v>143</v>
      </c>
      <c r="C398" s="6" t="s">
        <v>122</v>
      </c>
      <c r="D398" s="6">
        <f t="shared" si="157"/>
        <v>1</v>
      </c>
      <c r="E398" s="34">
        <v>20</v>
      </c>
      <c r="F398" s="212">
        <v>18880</v>
      </c>
      <c r="G398" s="195">
        <v>45821</v>
      </c>
      <c r="H398" s="33" t="s">
        <v>113</v>
      </c>
      <c r="I398" s="212">
        <v>22500</v>
      </c>
      <c r="J398" s="8">
        <v>45848</v>
      </c>
      <c r="K398" s="23">
        <f t="shared" si="163"/>
        <v>56.639999999999993</v>
      </c>
      <c r="L398" s="23">
        <f t="shared" si="158"/>
        <v>67.5</v>
      </c>
      <c r="M398" s="206">
        <f t="shared" si="159"/>
        <v>675</v>
      </c>
      <c r="N398" s="34"/>
      <c r="O398" s="209">
        <f t="shared" si="154"/>
        <v>28</v>
      </c>
      <c r="P398" s="34">
        <f t="shared" si="160"/>
        <v>377600</v>
      </c>
      <c r="Q398" s="34">
        <f t="shared" si="161"/>
        <v>450000</v>
      </c>
      <c r="R398" s="7">
        <f t="shared" si="162"/>
        <v>-799.14</v>
      </c>
      <c r="S398" s="227">
        <f t="shared" si="155"/>
        <v>71600.86</v>
      </c>
      <c r="T398" s="249">
        <f t="shared" si="156"/>
        <v>0.1896209216101695</v>
      </c>
      <c r="V398" s="36">
        <f t="shared" si="165"/>
        <v>1448.3287671232877</v>
      </c>
    </row>
    <row r="399" spans="1:22" s="33" customFormat="1" ht="15" customHeight="1" x14ac:dyDescent="0.4">
      <c r="B399" s="38" t="s">
        <v>143</v>
      </c>
      <c r="C399" s="6" t="s">
        <v>122</v>
      </c>
      <c r="D399" s="6">
        <f t="shared" si="157"/>
        <v>1</v>
      </c>
      <c r="E399" s="34">
        <v>10</v>
      </c>
      <c r="F399" s="212">
        <v>21850</v>
      </c>
      <c r="G399" s="195">
        <v>45849</v>
      </c>
      <c r="H399" s="33" t="s">
        <v>113</v>
      </c>
      <c r="I399" s="212">
        <v>22600</v>
      </c>
      <c r="J399" s="8">
        <v>45910</v>
      </c>
      <c r="K399" s="23">
        <f t="shared" si="163"/>
        <v>32.774999999999999</v>
      </c>
      <c r="L399" s="23">
        <f t="shared" si="158"/>
        <v>33.9</v>
      </c>
      <c r="M399" s="206">
        <f t="shared" si="159"/>
        <v>339</v>
      </c>
      <c r="N399" s="34"/>
      <c r="O399" s="209">
        <f t="shared" si="154"/>
        <v>62</v>
      </c>
      <c r="P399" s="34">
        <f t="shared" si="160"/>
        <v>218500</v>
      </c>
      <c r="Q399" s="34">
        <f t="shared" si="161"/>
        <v>226000</v>
      </c>
      <c r="R399" s="7">
        <f t="shared" si="162"/>
        <v>-405.67500000000001</v>
      </c>
      <c r="S399" s="227">
        <f t="shared" si="155"/>
        <v>7094.3249999999998</v>
      </c>
      <c r="T399" s="249">
        <f t="shared" si="156"/>
        <v>3.2468306636155603E-2</v>
      </c>
      <c r="V399" s="36">
        <f t="shared" si="165"/>
        <v>1855.7534246575342</v>
      </c>
    </row>
    <row r="400" spans="1:22" s="33" customFormat="1" ht="15" customHeight="1" x14ac:dyDescent="0.4">
      <c r="B400" s="38" t="s">
        <v>143</v>
      </c>
      <c r="C400" s="6" t="s">
        <v>122</v>
      </c>
      <c r="D400" s="6">
        <f t="shared" si="157"/>
        <v>1</v>
      </c>
      <c r="E400" s="34">
        <v>25</v>
      </c>
      <c r="F400" s="212">
        <v>21100</v>
      </c>
      <c r="G400" s="195">
        <v>45854</v>
      </c>
      <c r="I400" s="212">
        <v>22600</v>
      </c>
      <c r="J400" s="8">
        <v>45910</v>
      </c>
      <c r="K400" s="23">
        <f t="shared" si="163"/>
        <v>79.125</v>
      </c>
      <c r="L400" s="23">
        <f t="shared" si="158"/>
        <v>84.749999999999986</v>
      </c>
      <c r="M400" s="206">
        <f t="shared" si="159"/>
        <v>847.5</v>
      </c>
      <c r="N400" s="34"/>
      <c r="O400" s="209">
        <f t="shared" si="154"/>
        <v>57</v>
      </c>
      <c r="P400" s="34">
        <f t="shared" si="160"/>
        <v>527500</v>
      </c>
      <c r="Q400" s="34">
        <f t="shared" si="161"/>
        <v>565000</v>
      </c>
      <c r="R400" s="7">
        <f t="shared" si="162"/>
        <v>-1011.375</v>
      </c>
      <c r="S400" s="227">
        <f t="shared" si="155"/>
        <v>36488.625</v>
      </c>
      <c r="T400" s="249">
        <f t="shared" si="156"/>
        <v>6.9172748815165871E-2</v>
      </c>
      <c r="V400" s="36"/>
    </row>
    <row r="401" spans="1:22" s="33" customFormat="1" ht="15" customHeight="1" x14ac:dyDescent="0.4">
      <c r="B401" s="38" t="s">
        <v>143</v>
      </c>
      <c r="C401" s="6" t="s">
        <v>122</v>
      </c>
      <c r="D401" s="6">
        <f t="shared" si="157"/>
        <v>1</v>
      </c>
      <c r="E401" s="34">
        <v>30</v>
      </c>
      <c r="F401" s="212">
        <v>21000</v>
      </c>
      <c r="G401" s="195">
        <v>45854</v>
      </c>
      <c r="I401" s="212">
        <v>22600</v>
      </c>
      <c r="J401" s="8">
        <v>45910</v>
      </c>
      <c r="K401" s="23">
        <f t="shared" si="163"/>
        <v>94.499999999999986</v>
      </c>
      <c r="L401" s="23">
        <f t="shared" si="158"/>
        <v>101.69999999999999</v>
      </c>
      <c r="M401" s="206">
        <f t="shared" si="159"/>
        <v>1017</v>
      </c>
      <c r="N401" s="34"/>
      <c r="O401" s="209">
        <f t="shared" si="154"/>
        <v>57</v>
      </c>
      <c r="P401" s="34">
        <f t="shared" si="160"/>
        <v>630000</v>
      </c>
      <c r="Q401" s="34">
        <f t="shared" si="161"/>
        <v>678000</v>
      </c>
      <c r="R401" s="7">
        <f t="shared" si="162"/>
        <v>-1213.2</v>
      </c>
      <c r="S401" s="227">
        <f t="shared" si="155"/>
        <v>46786.8</v>
      </c>
      <c r="T401" s="249">
        <f t="shared" si="156"/>
        <v>7.4264761904761903E-2</v>
      </c>
      <c r="V401" s="36"/>
    </row>
    <row r="402" spans="1:22" s="33" customFormat="1" ht="15" customHeight="1" x14ac:dyDescent="0.4">
      <c r="B402" s="38" t="s">
        <v>143</v>
      </c>
      <c r="C402" s="6" t="s">
        <v>122</v>
      </c>
      <c r="D402" s="6">
        <f t="shared" si="157"/>
        <v>1</v>
      </c>
      <c r="E402" s="34">
        <v>10</v>
      </c>
      <c r="F402" s="212">
        <v>18530</v>
      </c>
      <c r="G402" s="195">
        <v>45894</v>
      </c>
      <c r="H402" s="33" t="s">
        <v>113</v>
      </c>
      <c r="I402" s="212">
        <v>22600</v>
      </c>
      <c r="J402" s="8">
        <v>45910</v>
      </c>
      <c r="K402" s="23">
        <f t="shared" si="163"/>
        <v>27.794999999999998</v>
      </c>
      <c r="L402" s="23">
        <f t="shared" si="158"/>
        <v>33.9</v>
      </c>
      <c r="M402" s="206">
        <f t="shared" si="159"/>
        <v>339</v>
      </c>
      <c r="N402" s="34"/>
      <c r="O402" s="209">
        <f t="shared" si="154"/>
        <v>17</v>
      </c>
      <c r="P402" s="34">
        <f t="shared" si="160"/>
        <v>185300</v>
      </c>
      <c r="Q402" s="34">
        <f t="shared" si="161"/>
        <v>226000</v>
      </c>
      <c r="R402" s="7">
        <f t="shared" si="162"/>
        <v>-400.69499999999999</v>
      </c>
      <c r="S402" s="227">
        <f t="shared" si="155"/>
        <v>40299.305</v>
      </c>
      <c r="T402" s="249">
        <f t="shared" si="156"/>
        <v>0.21748140852671344</v>
      </c>
      <c r="V402" s="36">
        <f>+P402*0.05*O402/365</f>
        <v>431.52054794520546</v>
      </c>
    </row>
    <row r="403" spans="1:22" s="33" customFormat="1" ht="15" customHeight="1" x14ac:dyDescent="0.4">
      <c r="B403" s="38" t="s">
        <v>280</v>
      </c>
      <c r="C403" s="6" t="s">
        <v>162</v>
      </c>
      <c r="D403" s="6"/>
      <c r="E403" s="36">
        <v>937</v>
      </c>
      <c r="F403" s="212">
        <v>553</v>
      </c>
      <c r="G403" s="195">
        <v>42614</v>
      </c>
      <c r="H403" s="8"/>
      <c r="I403" s="212">
        <v>619</v>
      </c>
      <c r="J403" s="8">
        <v>42802</v>
      </c>
      <c r="K403" s="7">
        <f>ROUNDDOWN(E403*F403*0.0015,-1)</f>
        <v>770</v>
      </c>
      <c r="L403" s="7">
        <f>ROUNDDOWN(I403*E403*0.0015,-1)</f>
        <v>870</v>
      </c>
      <c r="M403" s="196">
        <f>I403*(E403+4)*0.003</f>
        <v>1747.4370000000001</v>
      </c>
      <c r="N403" s="36">
        <v>100000</v>
      </c>
      <c r="O403" s="191">
        <f t="shared" si="154"/>
        <v>189</v>
      </c>
      <c r="P403" s="36">
        <f>F403*E403</f>
        <v>518161</v>
      </c>
      <c r="Q403" s="36">
        <f>I403*(E403+4)</f>
        <v>582479</v>
      </c>
      <c r="R403" s="7">
        <f>N403-K403-L403-M403</f>
        <v>96612.562999999995</v>
      </c>
      <c r="S403" s="227">
        <f t="shared" si="155"/>
        <v>160930.56299999999</v>
      </c>
      <c r="T403" s="248">
        <f t="shared" si="156"/>
        <v>0.31058023085488873</v>
      </c>
      <c r="U403" s="9">
        <f>T403*365/O403</f>
        <v>0.59979780032822427</v>
      </c>
      <c r="V403" s="6"/>
    </row>
    <row r="404" spans="1:22" ht="15" customHeight="1" x14ac:dyDescent="0.4">
      <c r="B404" s="38" t="s">
        <v>280</v>
      </c>
      <c r="C404" s="6" t="s">
        <v>162</v>
      </c>
      <c r="D404" s="6"/>
      <c r="E404" s="36">
        <v>63</v>
      </c>
      <c r="F404" s="212">
        <v>553</v>
      </c>
      <c r="G404" s="195">
        <v>42614</v>
      </c>
      <c r="H404" s="8"/>
      <c r="I404" s="212">
        <v>543</v>
      </c>
      <c r="J404" s="8">
        <v>42650</v>
      </c>
      <c r="K404" s="7">
        <f>ROUNDDOWN(E404*F404*0.0015,-1)</f>
        <v>50</v>
      </c>
      <c r="L404" s="7">
        <f>ROUNDDOWN(I404*E404*0.0015,-1)</f>
        <v>50</v>
      </c>
      <c r="M404" s="196">
        <f>I404*E404*0.003</f>
        <v>102.627</v>
      </c>
      <c r="N404" s="36">
        <f>618+235</f>
        <v>853</v>
      </c>
      <c r="O404" s="191">
        <f t="shared" si="154"/>
        <v>37</v>
      </c>
      <c r="P404" s="36">
        <f>F404*E404</f>
        <v>34839</v>
      </c>
      <c r="Q404" s="36">
        <f>I404*E404</f>
        <v>34209</v>
      </c>
      <c r="R404" s="7">
        <f>N404-K404-L404-M404</f>
        <v>650.37300000000005</v>
      </c>
      <c r="S404" s="227">
        <f t="shared" si="155"/>
        <v>20.373000000000047</v>
      </c>
      <c r="T404" s="248">
        <f t="shared" si="156"/>
        <v>5.8477568242487003E-4</v>
      </c>
      <c r="U404" s="193">
        <f>T404*365/O404</f>
        <v>5.7687330833804751E-3</v>
      </c>
      <c r="V404" s="6"/>
    </row>
    <row r="405" spans="1:22" ht="15" customHeight="1" x14ac:dyDescent="0.4">
      <c r="B405" s="38" t="s">
        <v>280</v>
      </c>
      <c r="C405" s="6" t="s">
        <v>162</v>
      </c>
      <c r="D405" s="6"/>
      <c r="E405" s="36">
        <v>1200</v>
      </c>
      <c r="F405" s="212">
        <v>513</v>
      </c>
      <c r="G405" s="195">
        <v>42776</v>
      </c>
      <c r="H405" s="8"/>
      <c r="I405" s="212">
        <v>619</v>
      </c>
      <c r="J405" s="8">
        <v>42802</v>
      </c>
      <c r="K405" s="7">
        <f>ROUNDDOWN(E405*F405*0.0015,-1)</f>
        <v>920</v>
      </c>
      <c r="L405" s="7">
        <f>ROUNDDOWN(I405*E405*0.0015,-1)</f>
        <v>1110</v>
      </c>
      <c r="M405" s="196">
        <f>I405*E405*0.003</f>
        <v>2228.4</v>
      </c>
      <c r="N405" s="36"/>
      <c r="O405" s="191">
        <f t="shared" si="154"/>
        <v>27</v>
      </c>
      <c r="P405" s="36">
        <f>F405*E405</f>
        <v>615600</v>
      </c>
      <c r="Q405" s="36">
        <f>I405*E405</f>
        <v>742800</v>
      </c>
      <c r="R405" s="7">
        <f>N405-K405-L405-M405</f>
        <v>-4258.3999999999996</v>
      </c>
      <c r="S405" s="227">
        <f t="shared" si="155"/>
        <v>122941.6</v>
      </c>
      <c r="T405" s="248">
        <f t="shared" si="156"/>
        <v>0.19971020142949969</v>
      </c>
      <c r="U405" s="193">
        <f>T405*365/O405</f>
        <v>2.6997860563617553</v>
      </c>
      <c r="V405" s="6"/>
    </row>
    <row r="406" spans="1:22" ht="15" customHeight="1" x14ac:dyDescent="0.4">
      <c r="B406" s="38" t="s">
        <v>280</v>
      </c>
      <c r="C406" s="6" t="s">
        <v>162</v>
      </c>
      <c r="D406" s="6"/>
      <c r="E406" s="36">
        <v>4</v>
      </c>
      <c r="F406" s="212">
        <v>0</v>
      </c>
      <c r="G406" s="195">
        <v>42793</v>
      </c>
      <c r="H406" s="8"/>
      <c r="I406" s="212">
        <v>619</v>
      </c>
      <c r="J406" s="8">
        <v>42802</v>
      </c>
      <c r="K406" s="7">
        <f>ROUNDDOWN(E406*F406*0.0015,-1)</f>
        <v>0</v>
      </c>
      <c r="L406" s="7">
        <f>ROUNDDOWN(I406*E406*0.0015,-1)</f>
        <v>0</v>
      </c>
      <c r="M406" s="196">
        <f>I406*E406*0.003</f>
        <v>7.4279999999999999</v>
      </c>
      <c r="N406" s="36"/>
      <c r="O406" s="191">
        <f t="shared" si="154"/>
        <v>10</v>
      </c>
      <c r="P406" s="36">
        <f>F406*E406</f>
        <v>0</v>
      </c>
      <c r="Q406" s="36">
        <f>I406*E406</f>
        <v>2476</v>
      </c>
      <c r="R406" s="7">
        <f>N406-K406-L406-M406</f>
        <v>-7.4279999999999999</v>
      </c>
      <c r="S406" s="227">
        <f t="shared" si="155"/>
        <v>2468.5720000000001</v>
      </c>
      <c r="T406" s="248" t="e">
        <f t="shared" si="156"/>
        <v>#DIV/0!</v>
      </c>
      <c r="U406" s="193" t="e">
        <f>T406*365/O406</f>
        <v>#DIV/0!</v>
      </c>
      <c r="V406" s="6" t="s">
        <v>281</v>
      </c>
    </row>
    <row r="407" spans="1:22" s="33" customFormat="1" ht="15" customHeight="1" x14ac:dyDescent="0.4">
      <c r="B407" s="38" t="s">
        <v>282</v>
      </c>
      <c r="C407" s="6" t="s">
        <v>160</v>
      </c>
      <c r="D407" s="6">
        <f>IF(OR($C407="신한",$C407="OTC",$C407="무상증자(신한)",$C407="토스",$C407="R토스"),1,"확인")</f>
        <v>1</v>
      </c>
      <c r="E407" s="34">
        <v>5</v>
      </c>
      <c r="F407" s="212">
        <v>219500</v>
      </c>
      <c r="G407" s="195">
        <v>46020</v>
      </c>
      <c r="H407" s="8"/>
      <c r="I407" s="212">
        <v>331000</v>
      </c>
      <c r="J407" s="8">
        <v>46080</v>
      </c>
      <c r="K407" s="23">
        <f>IF($C407="OTC",ROUNDDOWN($E407*$F407*0.000909187,-1),(IF($C407="신한",ROUNDDOWN($E407*$F407*0.000036396,-1),(IF($C407="토스",$E407*$F407*0.00015,(IF($C407="US",(IF($E407*$F407*0.0025&gt;0.01,$E407*$F407*0.0025,0.01)),IF($C407="JP",(IF($E407*$F407*0.0025&gt;1000,$E407*$F407*0.0025,1000)),(IF($C407="R토스",0,IF($C407="무상증자(신한)",0,"")))))))))))</f>
        <v>30</v>
      </c>
      <c r="L407" s="23">
        <f>IF($C407="OTC",ROUNDDOWN($I407*$E407*0.000909187,-1),(IF($C407="신한",ROUNDDOWN($I407*$E407*0.000036396,-1),(IF($C407="토스",$I407*$E407*0.00015,(IF($C407="US",(IF($I407*$E407*0.0025&gt;0.01,$I407*$E407*0.0025,0.01)),(IF($C407="JP",(IF($I407*$E407*0.0025&gt;1000,$I407*$E407*0.0025,1000)),(IF($C407="R토스",$I407*$E407*0.00015,(IF($C407="무상증자(신한)",ROUNDDOWN($I407*$E407*0.000036396,-1),"")))))))))))))</f>
        <v>60</v>
      </c>
      <c r="M407" s="206">
        <f>Q407*0.002</f>
        <v>3310</v>
      </c>
      <c r="N407" s="34"/>
      <c r="O407" s="209">
        <f t="shared" si="154"/>
        <v>61</v>
      </c>
      <c r="P407" s="34">
        <f>$E407*$F407*$D407</f>
        <v>1097500</v>
      </c>
      <c r="Q407" s="34">
        <f>$E407*$I407*$D407</f>
        <v>1655000</v>
      </c>
      <c r="R407" s="7">
        <f>($N407-$K407-$L407-$M407)*$D407</f>
        <v>-3400</v>
      </c>
      <c r="S407" s="227">
        <f t="shared" si="155"/>
        <v>554100</v>
      </c>
      <c r="T407" s="249">
        <f t="shared" si="156"/>
        <v>0.50487471526195904</v>
      </c>
    </row>
    <row r="408" spans="1:22" s="33" customFormat="1" ht="15" customHeight="1" x14ac:dyDescent="0.4">
      <c r="B408" s="38" t="s">
        <v>282</v>
      </c>
      <c r="C408" s="6" t="s">
        <v>160</v>
      </c>
      <c r="D408" s="6">
        <f>IF(OR($C408="신한",$C408="OTC",$C408="무상증자(신한)",$C408="토스",$C408="R토스"),1,"확인")</f>
        <v>1</v>
      </c>
      <c r="E408" s="34">
        <v>2</v>
      </c>
      <c r="F408" s="212">
        <v>215000</v>
      </c>
      <c r="G408" s="195">
        <v>46021</v>
      </c>
      <c r="H408" s="8"/>
      <c r="I408" s="212">
        <v>331000</v>
      </c>
      <c r="J408" s="8">
        <v>46080</v>
      </c>
      <c r="K408" s="23">
        <f>IF($C408="OTC",ROUNDDOWN($E408*$F408*0.000909187,-1),(IF($C408="신한",ROUNDDOWN($E408*$F408*0.000036396,-1),(IF($C408="토스",$E408*$F408*0.00015,(IF($C408="US",(IF($E408*$F408*0.0025&gt;0.01,$E408*$F408*0.0025,0.01)),IF($C408="JP",(IF($E408*$F408*0.0025&gt;1000,$E408*$F408*0.0025,1000)),(IF($C408="R토스",0,IF($C408="무상증자(신한)",0,"")))))))))))</f>
        <v>10</v>
      </c>
      <c r="L408" s="23">
        <f>IF($C408="OTC",ROUNDDOWN($I408*$E408*0.000909187,-1),(IF($C408="신한",ROUNDDOWN($I408*$E408*0.000036396,-1),(IF($C408="토스",$I408*$E408*0.00015,(IF($C408="US",(IF($I408*$E408*0.0025&gt;0.01,$I408*$E408*0.0025,0.01)),(IF($C408="JP",(IF($I408*$E408*0.0025&gt;1000,$I408*$E408*0.0025,1000)),(IF($C408="R토스",$I408*$E408*0.00015,(IF($C408="무상증자(신한)",ROUNDDOWN($I408*$E408*0.000036396,-1),"")))))))))))))</f>
        <v>20</v>
      </c>
      <c r="M408" s="206">
        <f>Q408*0.002</f>
        <v>1324</v>
      </c>
      <c r="N408" s="34"/>
      <c r="O408" s="209">
        <f t="shared" si="154"/>
        <v>60</v>
      </c>
      <c r="P408" s="34">
        <f>$E408*$F408*$D408</f>
        <v>430000</v>
      </c>
      <c r="Q408" s="34">
        <f>$E408*$I408*$D408</f>
        <v>662000</v>
      </c>
      <c r="R408" s="7">
        <f>($N408-$K408-$L408-$M408)*$D408</f>
        <v>-1354</v>
      </c>
      <c r="S408" s="227">
        <f t="shared" si="155"/>
        <v>230646</v>
      </c>
      <c r="T408" s="249">
        <f t="shared" si="156"/>
        <v>0.53638604651162791</v>
      </c>
    </row>
    <row r="409" spans="1:22" s="33" customFormat="1" ht="15" customHeight="1" x14ac:dyDescent="0.4">
      <c r="B409" s="38" t="s">
        <v>282</v>
      </c>
      <c r="C409" s="6" t="s">
        <v>160</v>
      </c>
      <c r="D409" s="6">
        <f>IF(OR($C409="신한",$C409="OTC",$C409="무상증자(신한)",$C409="토스",$C409="R토스"),1,"확인")</f>
        <v>1</v>
      </c>
      <c r="E409" s="34">
        <v>3</v>
      </c>
      <c r="F409" s="212">
        <v>174300</v>
      </c>
      <c r="G409" s="195">
        <v>46044</v>
      </c>
      <c r="H409" s="8"/>
      <c r="I409" s="212">
        <v>331000</v>
      </c>
      <c r="J409" s="8">
        <v>46080</v>
      </c>
      <c r="K409" s="23">
        <f>IF($C409="OTC",ROUNDDOWN($E409*$F409*0.000909187,-1),(IF($C409="신한",ROUNDDOWN($E409*$F409*0.000036396,-1),(IF($C409="토스",$E409*$F409*0.00015,(IF($C409="US",(IF($E409*$F409*0.0025&gt;0.01,$E409*$F409*0.0025,0.01)),IF($C409="JP",(IF($E409*$F409*0.0025&gt;1000,$E409*$F409*0.0025,1000)),(IF($C409="R토스",0,IF($C409="무상증자(신한)",0,"")))))))))))</f>
        <v>10</v>
      </c>
      <c r="L409" s="23">
        <f>IF($C409="OTC",ROUNDDOWN($I409*$E409*0.000909187,-1),(IF($C409="신한",ROUNDDOWN($I409*$E409*0.000036396,-1),(IF($C409="토스",$I409*$E409*0.00015,(IF($C409="US",(IF($I409*$E409*0.0025&gt;0.01,$I409*$E409*0.0025,0.01)),(IF($C409="JP",(IF($I409*$E409*0.0025&gt;1000,$I409*$E409*0.0025,1000)),(IF($C409="R토스",$I409*$E409*0.00015,(IF($C409="무상증자(신한)",ROUNDDOWN($I409*$E409*0.000036396,-1),"")))))))))))))</f>
        <v>30</v>
      </c>
      <c r="M409" s="206">
        <f>Q409*0.002</f>
        <v>1986</v>
      </c>
      <c r="N409" s="34"/>
      <c r="O409" s="209">
        <f t="shared" si="154"/>
        <v>37</v>
      </c>
      <c r="P409" s="34">
        <f>$E409*$F409*$D409</f>
        <v>522900</v>
      </c>
      <c r="Q409" s="34">
        <f>$E409*$I409*$D409</f>
        <v>993000</v>
      </c>
      <c r="R409" s="7">
        <f>($N409-$K409-$L409-$M409)*$D409</f>
        <v>-2026</v>
      </c>
      <c r="S409" s="227">
        <f t="shared" si="155"/>
        <v>468074</v>
      </c>
      <c r="T409" s="249">
        <f t="shared" si="156"/>
        <v>0.89515012430675078</v>
      </c>
    </row>
    <row r="410" spans="1:22" s="33" customFormat="1" ht="15" customHeight="1" x14ac:dyDescent="0.4">
      <c r="B410" s="38" t="s">
        <v>282</v>
      </c>
      <c r="C410" s="6" t="s">
        <v>160</v>
      </c>
      <c r="D410" s="6">
        <f>IF(OR($C410="신한",$C410="OTC",$C410="무상증자(신한)",$C410="토스",$C410="R토스"),1,"확인")</f>
        <v>1</v>
      </c>
      <c r="E410" s="34">
        <v>5</v>
      </c>
      <c r="F410" s="212">
        <v>197000</v>
      </c>
      <c r="G410" s="195">
        <v>46045</v>
      </c>
      <c r="H410" s="8"/>
      <c r="I410" s="212">
        <v>331000</v>
      </c>
      <c r="J410" s="8">
        <v>46080</v>
      </c>
      <c r="K410" s="23">
        <f>IF($C410="OTC",ROUNDDOWN($E410*$F410*0.000909187,-1),(IF($C410="신한",ROUNDDOWN($E410*$F410*0.000036396,-1),(IF($C410="토스",$E410*$F410*0.00015,(IF($C410="US",(IF($E410*$F410*0.0025&gt;0.01,$E410*$F410*0.0025,0.01)),IF($C410="JP",(IF($E410*$F410*0.0025&gt;1000,$E410*$F410*0.0025,1000)),(IF($C410="R토스",0,IF($C410="무상증자(신한)",0,"")))))))))))</f>
        <v>30</v>
      </c>
      <c r="L410" s="23">
        <f>IF($C410="OTC",ROUNDDOWN($I410*$E410*0.000909187,-1),(IF($C410="신한",ROUNDDOWN($I410*$E410*0.000036396,-1),(IF($C410="토스",$I410*$E410*0.00015,(IF($C410="US",(IF($I410*$E410*0.0025&gt;0.01,$I410*$E410*0.0025,0.01)),(IF($C410="JP",(IF($I410*$E410*0.0025&gt;1000,$I410*$E410*0.0025,1000)),(IF($C410="R토스",$I410*$E410*0.00015,(IF($C410="무상증자(신한)",ROUNDDOWN($I410*$E410*0.000036396,-1),"")))))))))))))</f>
        <v>60</v>
      </c>
      <c r="M410" s="206">
        <f>Q410*0.002</f>
        <v>3310</v>
      </c>
      <c r="N410" s="34"/>
      <c r="O410" s="209">
        <f t="shared" si="154"/>
        <v>36</v>
      </c>
      <c r="P410" s="34">
        <f>$E410*$F410*$D410</f>
        <v>985000</v>
      </c>
      <c r="Q410" s="34">
        <f>$E410*$I410*$D410</f>
        <v>1655000</v>
      </c>
      <c r="R410" s="7">
        <f>($N410-$K410-$L410-$M410)*$D410</f>
        <v>-3400</v>
      </c>
      <c r="S410" s="227">
        <f t="shared" si="155"/>
        <v>666600</v>
      </c>
      <c r="T410" s="249">
        <f t="shared" si="156"/>
        <v>0.67675126903553295</v>
      </c>
    </row>
    <row r="411" spans="1:22" s="33" customFormat="1" ht="15" customHeight="1" x14ac:dyDescent="0.4">
      <c r="B411" s="38" t="s">
        <v>282</v>
      </c>
      <c r="C411" s="6" t="s">
        <v>160</v>
      </c>
      <c r="D411" s="6">
        <f>IF(OR($C411="신한",$C411="OTC",$C411="무상증자(신한)",$C411="토스",$C411="R토스"),1,"확인")</f>
        <v>1</v>
      </c>
      <c r="E411" s="34">
        <v>6</v>
      </c>
      <c r="F411" s="212">
        <v>228000</v>
      </c>
      <c r="G411" s="195">
        <v>46052</v>
      </c>
      <c r="H411" s="8"/>
      <c r="I411" s="212">
        <v>331000</v>
      </c>
      <c r="J411" s="8">
        <v>46080</v>
      </c>
      <c r="K411" s="23">
        <f>IF($C411="OTC",ROUNDDOWN($E411*$F411*0.000909187,-1),(IF($C411="신한",ROUNDDOWN($E411*$F411*0.000036396,-1),(IF($C411="토스",$E411*$F411*0.00015,(IF($C411="US",(IF($E411*$F411*0.0025&gt;0.01,$E411*$F411*0.0025,0.01)),IF($C411="JP",(IF($E411*$F411*0.0025&gt;1000,$E411*$F411*0.0025,1000)),(IF($C411="R토스",0,IF($C411="무상증자(신한)",0,"")))))))))))</f>
        <v>40</v>
      </c>
      <c r="L411" s="23">
        <f>IF($C411="OTC",ROUNDDOWN($I411*$E411*0.000909187,-1),(IF($C411="신한",ROUNDDOWN($I411*$E411*0.000036396,-1),(IF($C411="토스",$I411*$E411*0.00015,(IF($C411="US",(IF($I411*$E411*0.0025&gt;0.01,$I411*$E411*0.0025,0.01)),(IF($C411="JP",(IF($I411*$E411*0.0025&gt;1000,$I411*$E411*0.0025,1000)),(IF($C411="R토스",$I411*$E411*0.00015,(IF($C411="무상증자(신한)",ROUNDDOWN($I411*$E411*0.000036396,-1),"")))))))))))))</f>
        <v>70</v>
      </c>
      <c r="M411" s="206">
        <f>Q411*0.002</f>
        <v>3972</v>
      </c>
      <c r="N411" s="34"/>
      <c r="O411" s="209">
        <f t="shared" si="154"/>
        <v>29</v>
      </c>
      <c r="P411" s="34">
        <f>$E411*$F411*$D411</f>
        <v>1368000</v>
      </c>
      <c r="Q411" s="34">
        <f>$E411*$I411*$D411</f>
        <v>1986000</v>
      </c>
      <c r="R411" s="7">
        <f>($N411-$K411-$L411-$M411)*$D411</f>
        <v>-4082</v>
      </c>
      <c r="S411" s="227">
        <f t="shared" si="155"/>
        <v>613918</v>
      </c>
      <c r="T411" s="249">
        <f t="shared" si="156"/>
        <v>0.44877046783625729</v>
      </c>
    </row>
    <row r="412" spans="1:22" ht="15" customHeight="1" x14ac:dyDescent="0.4">
      <c r="B412" s="38" t="s">
        <v>283</v>
      </c>
      <c r="C412" s="6" t="s">
        <v>187</v>
      </c>
      <c r="D412" s="6"/>
      <c r="E412" s="36">
        <v>20</v>
      </c>
      <c r="F412" s="212">
        <v>16000</v>
      </c>
      <c r="G412" s="195">
        <v>39927</v>
      </c>
      <c r="H412" s="8"/>
      <c r="I412" s="212">
        <v>16700</v>
      </c>
      <c r="J412" s="8">
        <v>40115</v>
      </c>
      <c r="K412" s="7">
        <v>90</v>
      </c>
      <c r="L412" s="7">
        <v>90</v>
      </c>
      <c r="M412" s="196"/>
      <c r="N412" s="36"/>
      <c r="O412" s="191">
        <f t="shared" si="154"/>
        <v>189</v>
      </c>
      <c r="P412" s="36">
        <f>F412*E412</f>
        <v>320000</v>
      </c>
      <c r="Q412" s="36">
        <f>I412*E412</f>
        <v>334000</v>
      </c>
      <c r="R412" s="7">
        <f>N412-K412-L412-M412</f>
        <v>-180</v>
      </c>
      <c r="S412" s="227">
        <f t="shared" si="155"/>
        <v>13820</v>
      </c>
      <c r="T412" s="248">
        <f t="shared" si="156"/>
        <v>4.3187499999999997E-2</v>
      </c>
      <c r="U412" s="193">
        <f>T412*365/O412</f>
        <v>8.340443121693121E-2</v>
      </c>
      <c r="V412" s="6"/>
    </row>
    <row r="413" spans="1:22" ht="15" customHeight="1" x14ac:dyDescent="0.4">
      <c r="B413" s="38" t="s">
        <v>284</v>
      </c>
      <c r="C413" s="6" t="s">
        <v>162</v>
      </c>
      <c r="D413" s="6"/>
      <c r="E413" s="33">
        <v>50</v>
      </c>
      <c r="F413" s="212">
        <v>38900</v>
      </c>
      <c r="G413" s="195">
        <v>43028</v>
      </c>
      <c r="H413" s="8"/>
      <c r="I413" s="212">
        <v>42100</v>
      </c>
      <c r="J413" s="8">
        <v>43117</v>
      </c>
      <c r="K413" s="7">
        <f>ROUNDDOWN(E413*F413*0.0015,-1)</f>
        <v>2910</v>
      </c>
      <c r="L413" s="7">
        <f>ROUNDDOWN(I413*E413*0.0015,-1)</f>
        <v>3150</v>
      </c>
      <c r="M413" s="196">
        <f>I413*E413*0.003</f>
        <v>6315</v>
      </c>
      <c r="N413" s="36">
        <f>ROUNDUP(E413*200*(1-0.154),-1)</f>
        <v>8460</v>
      </c>
      <c r="O413" s="191">
        <f t="shared" si="154"/>
        <v>90</v>
      </c>
      <c r="P413" s="36">
        <f>F413*E413</f>
        <v>1945000</v>
      </c>
      <c r="Q413" s="36">
        <f>I413*E413</f>
        <v>2105000</v>
      </c>
      <c r="R413" s="7">
        <f>N413-K413-L413-M413</f>
        <v>-3915</v>
      </c>
      <c r="S413" s="227">
        <f t="shared" si="155"/>
        <v>156085</v>
      </c>
      <c r="T413" s="248">
        <f t="shared" si="156"/>
        <v>8.0249357326478143E-2</v>
      </c>
      <c r="U413" s="193">
        <f>T413*365/O413</f>
        <v>0.32545572693516139</v>
      </c>
      <c r="V413" s="6"/>
    </row>
    <row r="414" spans="1:22" ht="15" customHeight="1" x14ac:dyDescent="0.4">
      <c r="B414" s="38" t="s">
        <v>285</v>
      </c>
      <c r="C414" s="6" t="s">
        <v>160</v>
      </c>
      <c r="D414" s="6">
        <f t="shared" ref="D414:D432" si="166">IF(OR($C414="신한",$C414="OTC",$C414="무상증자(신한)",$C414="토스",$C414="R토스"),1,"확인")</f>
        <v>1</v>
      </c>
      <c r="E414" s="34">
        <v>29</v>
      </c>
      <c r="F414" s="212">
        <v>16900</v>
      </c>
      <c r="G414" s="195">
        <v>45365</v>
      </c>
      <c r="H414" s="8"/>
      <c r="I414" s="212">
        <v>17200</v>
      </c>
      <c r="J414" s="8">
        <v>45365</v>
      </c>
      <c r="K414" s="23">
        <f t="shared" ref="K414:K432" si="167">IF($C414="OTC",ROUNDDOWN($E414*$F414*0.000909187,-1),(IF($C414="신한",ROUNDDOWN($E414*$F414*0.000036396,-1),(IF($C414="토스",$E414*$F414*0.00015,(IF($C414="US",(IF($E414*$F414*0.0025&gt;0.01,$E414*$F414*0.0025,0.01)),IF($C414="JP",(IF($E414*$F414*0.0025&gt;1000,$E414*$F414*0.0025,1000)),(IF($C414="R토스",0,IF($C414="무상증자(신한)",0,"")))))))))))</f>
        <v>10</v>
      </c>
      <c r="L414" s="23">
        <f t="shared" ref="L414:L432" si="168">IF($C414="OTC",ROUNDDOWN($I414*$E414*0.000909187,-1),(IF($C414="신한",ROUNDDOWN($I414*$E414*0.000036396,-1),(IF($C414="토스",$I414*$E414*0.00015,(IF($C414="US",(IF($I414*$E414*0.0025&gt;0.01,$I414*$E414*0.0025,0.01)),(IF($C414="JP",(IF($I414*$E414*0.0025&gt;1000,$I414*$E414*0.0025,1000)),(IF($C414="R토스",$I414*$E414*0.00015,(IF($C414="무상증자(신한)",ROUNDDOWN($I414*$E414*0.000036396,-1),"")))))))))))))</f>
        <v>10</v>
      </c>
      <c r="M414" s="206">
        <f>Q414*0.0018</f>
        <v>897.84</v>
      </c>
      <c r="N414" s="34"/>
      <c r="O414" s="209">
        <f t="shared" ref="O414:O477" si="169">J414-G414+1</f>
        <v>1</v>
      </c>
      <c r="P414" s="34">
        <f t="shared" ref="P414:P432" si="170">$E414*$F414*$D414</f>
        <v>490100</v>
      </c>
      <c r="Q414" s="34">
        <f t="shared" ref="Q414:Q432" si="171">$E414*$I414*$D414</f>
        <v>498800</v>
      </c>
      <c r="R414" s="7">
        <f t="shared" ref="R414:R432" si="172">($N414-$K414-$L414-$M414)*$D414</f>
        <v>-917.84</v>
      </c>
      <c r="S414" s="227">
        <f t="shared" ref="S414:S477" si="173">IF(Q414=0,0,Q414-P414+R414)</f>
        <v>7782.16</v>
      </c>
      <c r="T414" s="249">
        <f t="shared" ref="T414:T477" si="174">S414/P414</f>
        <v>1.5878718628851256E-2</v>
      </c>
      <c r="U414" s="38"/>
      <c r="V414" s="33"/>
    </row>
    <row r="415" spans="1:22" s="33" customFormat="1" ht="15" customHeight="1" x14ac:dyDescent="0.4">
      <c r="A415" s="33" t="s">
        <v>113</v>
      </c>
      <c r="B415" s="38" t="s">
        <v>147</v>
      </c>
      <c r="C415" s="6" t="s">
        <v>122</v>
      </c>
      <c r="D415" s="6">
        <f t="shared" si="166"/>
        <v>1</v>
      </c>
      <c r="E415" s="34">
        <v>20</v>
      </c>
      <c r="F415" s="212">
        <v>49000</v>
      </c>
      <c r="G415" s="195">
        <v>45940</v>
      </c>
      <c r="H415" s="8" t="s">
        <v>113</v>
      </c>
      <c r="I415" s="212">
        <v>58500</v>
      </c>
      <c r="J415" s="8">
        <v>45958</v>
      </c>
      <c r="K415" s="23">
        <f t="shared" si="167"/>
        <v>147</v>
      </c>
      <c r="L415" s="23">
        <f t="shared" si="168"/>
        <v>175.49999999999997</v>
      </c>
      <c r="M415" s="206">
        <f t="shared" ref="M415:M432" si="175">Q415*0.0015</f>
        <v>1755</v>
      </c>
      <c r="N415" s="34"/>
      <c r="O415" s="209">
        <f t="shared" si="169"/>
        <v>19</v>
      </c>
      <c r="P415" s="34">
        <f t="shared" si="170"/>
        <v>980000</v>
      </c>
      <c r="Q415" s="34">
        <f t="shared" si="171"/>
        <v>1170000</v>
      </c>
      <c r="R415" s="7">
        <f t="shared" si="172"/>
        <v>-2077.5</v>
      </c>
      <c r="S415" s="227">
        <f t="shared" si="173"/>
        <v>187922.5</v>
      </c>
      <c r="T415" s="249">
        <f t="shared" si="174"/>
        <v>0.1917576530612245</v>
      </c>
      <c r="V415" s="36">
        <f>+P415*0.05*O415/365</f>
        <v>2550.6849315068494</v>
      </c>
    </row>
    <row r="416" spans="1:22" s="33" customFormat="1" ht="15" customHeight="1" x14ac:dyDescent="0.4">
      <c r="A416" s="33" t="s">
        <v>113</v>
      </c>
      <c r="B416" s="38" t="s">
        <v>147</v>
      </c>
      <c r="C416" s="6" t="s">
        <v>122</v>
      </c>
      <c r="D416" s="6">
        <f t="shared" si="166"/>
        <v>1</v>
      </c>
      <c r="E416" s="34">
        <v>20</v>
      </c>
      <c r="F416" s="212">
        <v>48450</v>
      </c>
      <c r="G416" s="195">
        <v>45943</v>
      </c>
      <c r="H416" s="8"/>
      <c r="I416" s="212">
        <v>58500</v>
      </c>
      <c r="J416" s="8">
        <v>45958</v>
      </c>
      <c r="K416" s="23">
        <f t="shared" si="167"/>
        <v>145.35</v>
      </c>
      <c r="L416" s="23">
        <f t="shared" si="168"/>
        <v>175.49999999999997</v>
      </c>
      <c r="M416" s="206">
        <f t="shared" si="175"/>
        <v>1755</v>
      </c>
      <c r="N416" s="34"/>
      <c r="O416" s="209">
        <f t="shared" si="169"/>
        <v>16</v>
      </c>
      <c r="P416" s="34">
        <f t="shared" si="170"/>
        <v>969000</v>
      </c>
      <c r="Q416" s="34">
        <f t="shared" si="171"/>
        <v>1170000</v>
      </c>
      <c r="R416" s="7">
        <f t="shared" si="172"/>
        <v>-2075.85</v>
      </c>
      <c r="S416" s="227">
        <f t="shared" si="173"/>
        <v>198924.15</v>
      </c>
      <c r="T416" s="249">
        <f t="shared" si="174"/>
        <v>0.20528808049535602</v>
      </c>
      <c r="V416" s="36"/>
    </row>
    <row r="417" spans="1:22" s="33" customFormat="1" ht="15" customHeight="1" x14ac:dyDescent="0.4">
      <c r="A417" s="33" t="s">
        <v>113</v>
      </c>
      <c r="B417" s="38" t="s">
        <v>147</v>
      </c>
      <c r="C417" s="6" t="s">
        <v>122</v>
      </c>
      <c r="D417" s="6">
        <f t="shared" si="166"/>
        <v>1</v>
      </c>
      <c r="E417" s="34">
        <v>2</v>
      </c>
      <c r="F417" s="212">
        <v>52800</v>
      </c>
      <c r="G417" s="195">
        <v>45945</v>
      </c>
      <c r="H417" s="8"/>
      <c r="I417" s="212">
        <v>58500</v>
      </c>
      <c r="J417" s="8">
        <v>45958</v>
      </c>
      <c r="K417" s="23">
        <f t="shared" si="167"/>
        <v>15.839999999999998</v>
      </c>
      <c r="L417" s="23">
        <f t="shared" si="168"/>
        <v>17.549999999999997</v>
      </c>
      <c r="M417" s="206">
        <f t="shared" si="175"/>
        <v>175.5</v>
      </c>
      <c r="N417" s="34"/>
      <c r="O417" s="209">
        <f t="shared" si="169"/>
        <v>14</v>
      </c>
      <c r="P417" s="34">
        <f t="shared" si="170"/>
        <v>105600</v>
      </c>
      <c r="Q417" s="34">
        <f t="shared" si="171"/>
        <v>117000</v>
      </c>
      <c r="R417" s="7">
        <f t="shared" si="172"/>
        <v>-208.89</v>
      </c>
      <c r="S417" s="227">
        <f t="shared" si="173"/>
        <v>11191.11</v>
      </c>
      <c r="T417" s="249">
        <f t="shared" si="174"/>
        <v>0.10597642045454546</v>
      </c>
      <c r="V417" s="36"/>
    </row>
    <row r="418" spans="1:22" s="33" customFormat="1" ht="15" customHeight="1" x14ac:dyDescent="0.4">
      <c r="A418" s="33" t="s">
        <v>113</v>
      </c>
      <c r="B418" s="38" t="s">
        <v>147</v>
      </c>
      <c r="C418" s="6" t="s">
        <v>122</v>
      </c>
      <c r="D418" s="6">
        <f t="shared" si="166"/>
        <v>1</v>
      </c>
      <c r="E418" s="34">
        <v>15</v>
      </c>
      <c r="F418" s="212">
        <v>48300</v>
      </c>
      <c r="G418" s="195">
        <v>45951</v>
      </c>
      <c r="H418" s="8"/>
      <c r="I418" s="212">
        <v>58500</v>
      </c>
      <c r="J418" s="8">
        <v>45958</v>
      </c>
      <c r="K418" s="23">
        <f t="shared" si="167"/>
        <v>108.675</v>
      </c>
      <c r="L418" s="23">
        <f t="shared" si="168"/>
        <v>131.625</v>
      </c>
      <c r="M418" s="206">
        <f t="shared" si="175"/>
        <v>1316.25</v>
      </c>
      <c r="N418" s="34"/>
      <c r="O418" s="209">
        <f t="shared" si="169"/>
        <v>8</v>
      </c>
      <c r="P418" s="34">
        <f t="shared" si="170"/>
        <v>724500</v>
      </c>
      <c r="Q418" s="34">
        <f t="shared" si="171"/>
        <v>877500</v>
      </c>
      <c r="R418" s="7">
        <f t="shared" si="172"/>
        <v>-1556.55</v>
      </c>
      <c r="S418" s="227">
        <f t="shared" si="173"/>
        <v>151443.45000000001</v>
      </c>
      <c r="T418" s="249">
        <f t="shared" si="174"/>
        <v>0.20903167701863357</v>
      </c>
      <c r="V418" s="36"/>
    </row>
    <row r="419" spans="1:22" s="33" customFormat="1" ht="15" customHeight="1" x14ac:dyDescent="0.4">
      <c r="A419" s="33" t="s">
        <v>113</v>
      </c>
      <c r="B419" s="38" t="s">
        <v>147</v>
      </c>
      <c r="C419" s="6" t="s">
        <v>122</v>
      </c>
      <c r="D419" s="6">
        <f t="shared" si="166"/>
        <v>1</v>
      </c>
      <c r="E419" s="34">
        <v>2</v>
      </c>
      <c r="F419" s="212">
        <v>47150</v>
      </c>
      <c r="G419" s="195">
        <v>45952</v>
      </c>
      <c r="H419" s="8"/>
      <c r="I419" s="212">
        <v>58500</v>
      </c>
      <c r="J419" s="8">
        <v>45958</v>
      </c>
      <c r="K419" s="23">
        <f t="shared" si="167"/>
        <v>14.145</v>
      </c>
      <c r="L419" s="23">
        <f t="shared" si="168"/>
        <v>17.549999999999997</v>
      </c>
      <c r="M419" s="206">
        <f t="shared" si="175"/>
        <v>175.5</v>
      </c>
      <c r="N419" s="34"/>
      <c r="O419" s="209">
        <f t="shared" si="169"/>
        <v>7</v>
      </c>
      <c r="P419" s="34">
        <f t="shared" si="170"/>
        <v>94300</v>
      </c>
      <c r="Q419" s="34">
        <f t="shared" si="171"/>
        <v>117000</v>
      </c>
      <c r="R419" s="7">
        <f t="shared" si="172"/>
        <v>-207.19499999999999</v>
      </c>
      <c r="S419" s="227">
        <f t="shared" si="173"/>
        <v>22492.805</v>
      </c>
      <c r="T419" s="249">
        <f t="shared" si="174"/>
        <v>0.23852391304347825</v>
      </c>
      <c r="V419" s="36"/>
    </row>
    <row r="420" spans="1:22" s="33" customFormat="1" ht="15" customHeight="1" x14ac:dyDescent="0.4">
      <c r="B420" s="38" t="s">
        <v>147</v>
      </c>
      <c r="C420" s="6" t="s">
        <v>165</v>
      </c>
      <c r="D420" s="6">
        <f t="shared" si="166"/>
        <v>1</v>
      </c>
      <c r="E420" s="34">
        <v>2</v>
      </c>
      <c r="F420" s="212">
        <v>59100</v>
      </c>
      <c r="G420" s="195">
        <v>45959</v>
      </c>
      <c r="H420" s="8"/>
      <c r="I420" s="212">
        <v>60800</v>
      </c>
      <c r="J420" s="8">
        <v>45986</v>
      </c>
      <c r="K420" s="23">
        <f t="shared" si="167"/>
        <v>0</v>
      </c>
      <c r="L420" s="23">
        <f t="shared" si="168"/>
        <v>18.239999999999998</v>
      </c>
      <c r="M420" s="206">
        <f t="shared" si="175"/>
        <v>182.4</v>
      </c>
      <c r="N420" s="34"/>
      <c r="O420" s="209">
        <f t="shared" si="169"/>
        <v>28</v>
      </c>
      <c r="P420" s="34">
        <f t="shared" si="170"/>
        <v>118200</v>
      </c>
      <c r="Q420" s="34">
        <f t="shared" si="171"/>
        <v>121600</v>
      </c>
      <c r="R420" s="7">
        <f t="shared" si="172"/>
        <v>-200.64000000000001</v>
      </c>
      <c r="S420" s="227">
        <f t="shared" si="173"/>
        <v>3199.36</v>
      </c>
      <c r="T420" s="249">
        <f t="shared" si="174"/>
        <v>2.7067343485617599E-2</v>
      </c>
    </row>
    <row r="421" spans="1:22" s="33" customFormat="1" ht="15" customHeight="1" x14ac:dyDescent="0.4">
      <c r="A421" s="33" t="s">
        <v>113</v>
      </c>
      <c r="B421" s="38" t="s">
        <v>147</v>
      </c>
      <c r="C421" s="6" t="s">
        <v>122</v>
      </c>
      <c r="D421" s="6">
        <f t="shared" si="166"/>
        <v>1</v>
      </c>
      <c r="E421" s="34">
        <v>40</v>
      </c>
      <c r="F421" s="212">
        <v>55500</v>
      </c>
      <c r="G421" s="195">
        <v>45961</v>
      </c>
      <c r="H421" s="8"/>
      <c r="I421" s="212">
        <v>60800</v>
      </c>
      <c r="J421" s="8">
        <v>45986</v>
      </c>
      <c r="K421" s="23">
        <f t="shared" si="167"/>
        <v>332.99999999999994</v>
      </c>
      <c r="L421" s="23">
        <f t="shared" si="168"/>
        <v>364.79999999999995</v>
      </c>
      <c r="M421" s="206">
        <f t="shared" si="175"/>
        <v>3648</v>
      </c>
      <c r="N421" s="34"/>
      <c r="O421" s="209">
        <f t="shared" si="169"/>
        <v>26</v>
      </c>
      <c r="P421" s="34">
        <f t="shared" si="170"/>
        <v>2220000</v>
      </c>
      <c r="Q421" s="34">
        <f t="shared" si="171"/>
        <v>2432000</v>
      </c>
      <c r="R421" s="7">
        <f t="shared" si="172"/>
        <v>-4345.8</v>
      </c>
      <c r="S421" s="227">
        <f t="shared" si="173"/>
        <v>207654.2</v>
      </c>
      <c r="T421" s="249">
        <f t="shared" si="174"/>
        <v>9.3537927927927936E-2</v>
      </c>
      <c r="V421" s="36"/>
    </row>
    <row r="422" spans="1:22" s="33" customFormat="1" ht="15" customHeight="1" x14ac:dyDescent="0.4">
      <c r="A422" s="33" t="s">
        <v>113</v>
      </c>
      <c r="B422" s="38" t="s">
        <v>147</v>
      </c>
      <c r="C422" s="6" t="s">
        <v>122</v>
      </c>
      <c r="D422" s="6">
        <f t="shared" si="166"/>
        <v>1</v>
      </c>
      <c r="E422" s="34">
        <v>10</v>
      </c>
      <c r="F422" s="212">
        <v>55300</v>
      </c>
      <c r="G422" s="195">
        <v>45964</v>
      </c>
      <c r="H422" s="8"/>
      <c r="I422" s="212">
        <v>60800</v>
      </c>
      <c r="J422" s="8">
        <v>45986</v>
      </c>
      <c r="K422" s="23">
        <f t="shared" si="167"/>
        <v>82.949999999999989</v>
      </c>
      <c r="L422" s="23">
        <f t="shared" si="168"/>
        <v>91.199999999999989</v>
      </c>
      <c r="M422" s="206">
        <f t="shared" si="175"/>
        <v>912</v>
      </c>
      <c r="N422" s="34"/>
      <c r="O422" s="209">
        <f t="shared" si="169"/>
        <v>23</v>
      </c>
      <c r="P422" s="34">
        <f t="shared" si="170"/>
        <v>553000</v>
      </c>
      <c r="Q422" s="34">
        <f t="shared" si="171"/>
        <v>608000</v>
      </c>
      <c r="R422" s="7">
        <f t="shared" si="172"/>
        <v>-1086.1500000000001</v>
      </c>
      <c r="S422" s="227">
        <f t="shared" si="173"/>
        <v>53913.85</v>
      </c>
      <c r="T422" s="249">
        <f t="shared" si="174"/>
        <v>9.749339963833635E-2</v>
      </c>
      <c r="V422" s="36"/>
    </row>
    <row r="423" spans="1:22" s="33" customFormat="1" ht="15" customHeight="1" x14ac:dyDescent="0.4">
      <c r="B423" s="38" t="s">
        <v>147</v>
      </c>
      <c r="C423" s="6" t="s">
        <v>165</v>
      </c>
      <c r="D423" s="6">
        <f t="shared" si="166"/>
        <v>1</v>
      </c>
      <c r="E423" s="34">
        <v>2</v>
      </c>
      <c r="F423" s="212">
        <v>53600</v>
      </c>
      <c r="G423" s="195">
        <v>45966</v>
      </c>
      <c r="H423" s="8"/>
      <c r="I423" s="212">
        <v>60800</v>
      </c>
      <c r="J423" s="8">
        <v>45986</v>
      </c>
      <c r="K423" s="23">
        <f t="shared" si="167"/>
        <v>0</v>
      </c>
      <c r="L423" s="23">
        <f t="shared" si="168"/>
        <v>18.239999999999998</v>
      </c>
      <c r="M423" s="206">
        <f t="shared" si="175"/>
        <v>182.4</v>
      </c>
      <c r="N423" s="34"/>
      <c r="O423" s="209">
        <f t="shared" si="169"/>
        <v>21</v>
      </c>
      <c r="P423" s="34">
        <f t="shared" si="170"/>
        <v>107200</v>
      </c>
      <c r="Q423" s="34">
        <f t="shared" si="171"/>
        <v>121600</v>
      </c>
      <c r="R423" s="7">
        <f t="shared" si="172"/>
        <v>-200.64000000000001</v>
      </c>
      <c r="S423" s="227">
        <f t="shared" si="173"/>
        <v>14199.36</v>
      </c>
      <c r="T423" s="249">
        <f t="shared" si="174"/>
        <v>0.13245671641791046</v>
      </c>
    </row>
    <row r="424" spans="1:22" s="33" customFormat="1" ht="15" customHeight="1" x14ac:dyDescent="0.4">
      <c r="A424" s="33" t="s">
        <v>113</v>
      </c>
      <c r="B424" s="38" t="s">
        <v>147</v>
      </c>
      <c r="C424" s="6" t="s">
        <v>122</v>
      </c>
      <c r="D424" s="6">
        <f t="shared" si="166"/>
        <v>1</v>
      </c>
      <c r="E424" s="34">
        <v>10</v>
      </c>
      <c r="F424" s="212">
        <v>52600</v>
      </c>
      <c r="G424" s="195">
        <v>45973</v>
      </c>
      <c r="H424" s="8"/>
      <c r="I424" s="212">
        <v>60800</v>
      </c>
      <c r="J424" s="8">
        <v>45986</v>
      </c>
      <c r="K424" s="23">
        <f t="shared" si="167"/>
        <v>78.899999999999991</v>
      </c>
      <c r="L424" s="23">
        <f t="shared" si="168"/>
        <v>91.199999999999989</v>
      </c>
      <c r="M424" s="206">
        <f t="shared" si="175"/>
        <v>912</v>
      </c>
      <c r="N424" s="34"/>
      <c r="O424" s="209">
        <f t="shared" si="169"/>
        <v>14</v>
      </c>
      <c r="P424" s="34">
        <f t="shared" si="170"/>
        <v>526000</v>
      </c>
      <c r="Q424" s="34">
        <f t="shared" si="171"/>
        <v>608000</v>
      </c>
      <c r="R424" s="7">
        <f t="shared" si="172"/>
        <v>-1082.0999999999999</v>
      </c>
      <c r="S424" s="227">
        <f t="shared" si="173"/>
        <v>80917.899999999994</v>
      </c>
      <c r="T424" s="249">
        <f t="shared" si="174"/>
        <v>0.15383631178707224</v>
      </c>
      <c r="V424" s="36"/>
    </row>
    <row r="425" spans="1:22" s="33" customFormat="1" ht="15" customHeight="1" x14ac:dyDescent="0.4">
      <c r="B425" s="38" t="s">
        <v>147</v>
      </c>
      <c r="C425" s="6" t="s">
        <v>165</v>
      </c>
      <c r="D425" s="6">
        <f t="shared" si="166"/>
        <v>1</v>
      </c>
      <c r="E425" s="34">
        <v>2</v>
      </c>
      <c r="F425" s="212">
        <v>52000</v>
      </c>
      <c r="G425" s="195">
        <v>45973</v>
      </c>
      <c r="H425" s="8"/>
      <c r="I425" s="212">
        <v>60800</v>
      </c>
      <c r="J425" s="8">
        <v>45986</v>
      </c>
      <c r="K425" s="23">
        <f t="shared" si="167"/>
        <v>0</v>
      </c>
      <c r="L425" s="23">
        <f t="shared" si="168"/>
        <v>18.239999999999998</v>
      </c>
      <c r="M425" s="206">
        <f t="shared" si="175"/>
        <v>182.4</v>
      </c>
      <c r="N425" s="34"/>
      <c r="O425" s="209">
        <f t="shared" si="169"/>
        <v>14</v>
      </c>
      <c r="P425" s="34">
        <f t="shared" si="170"/>
        <v>104000</v>
      </c>
      <c r="Q425" s="34">
        <f t="shared" si="171"/>
        <v>121600</v>
      </c>
      <c r="R425" s="7">
        <f t="shared" si="172"/>
        <v>-200.64000000000001</v>
      </c>
      <c r="S425" s="227">
        <f t="shared" si="173"/>
        <v>17399.36</v>
      </c>
      <c r="T425" s="249">
        <f t="shared" si="174"/>
        <v>0.16730153846153847</v>
      </c>
    </row>
    <row r="426" spans="1:22" s="33" customFormat="1" ht="15" customHeight="1" x14ac:dyDescent="0.4">
      <c r="B426" s="38" t="s">
        <v>147</v>
      </c>
      <c r="C426" s="6" t="s">
        <v>165</v>
      </c>
      <c r="D426" s="6">
        <f t="shared" si="166"/>
        <v>1</v>
      </c>
      <c r="E426" s="34">
        <v>2</v>
      </c>
      <c r="F426" s="212">
        <v>50500</v>
      </c>
      <c r="G426" s="195">
        <v>45980</v>
      </c>
      <c r="H426" s="8"/>
      <c r="I426" s="212">
        <v>60800</v>
      </c>
      <c r="J426" s="8">
        <v>45986</v>
      </c>
      <c r="K426" s="23">
        <f t="shared" si="167"/>
        <v>0</v>
      </c>
      <c r="L426" s="23">
        <f t="shared" si="168"/>
        <v>18.239999999999998</v>
      </c>
      <c r="M426" s="206">
        <f t="shared" si="175"/>
        <v>182.4</v>
      </c>
      <c r="N426" s="34"/>
      <c r="O426" s="209">
        <f t="shared" si="169"/>
        <v>7</v>
      </c>
      <c r="P426" s="34">
        <f t="shared" si="170"/>
        <v>101000</v>
      </c>
      <c r="Q426" s="34">
        <f t="shared" si="171"/>
        <v>121600</v>
      </c>
      <c r="R426" s="7">
        <f t="shared" si="172"/>
        <v>-200.64000000000001</v>
      </c>
      <c r="S426" s="227">
        <f t="shared" si="173"/>
        <v>20399.36</v>
      </c>
      <c r="T426" s="249">
        <f t="shared" si="174"/>
        <v>0.20197386138613863</v>
      </c>
    </row>
    <row r="427" spans="1:22" s="33" customFormat="1" ht="15" customHeight="1" x14ac:dyDescent="0.4">
      <c r="A427" s="33" t="s">
        <v>113</v>
      </c>
      <c r="B427" s="38" t="s">
        <v>147</v>
      </c>
      <c r="C427" s="6" t="s">
        <v>122</v>
      </c>
      <c r="D427" s="6">
        <f t="shared" si="166"/>
        <v>1</v>
      </c>
      <c r="E427" s="34">
        <v>6</v>
      </c>
      <c r="F427" s="212">
        <v>59700</v>
      </c>
      <c r="G427" s="195">
        <v>45987</v>
      </c>
      <c r="H427" s="8"/>
      <c r="I427" s="212">
        <v>81100</v>
      </c>
      <c r="J427" s="8">
        <v>46003</v>
      </c>
      <c r="K427" s="23">
        <f t="shared" si="167"/>
        <v>53.73</v>
      </c>
      <c r="L427" s="23">
        <f t="shared" si="168"/>
        <v>72.989999999999995</v>
      </c>
      <c r="M427" s="206">
        <f t="shared" si="175"/>
        <v>729.9</v>
      </c>
      <c r="N427" s="34"/>
      <c r="O427" s="209">
        <f t="shared" si="169"/>
        <v>17</v>
      </c>
      <c r="P427" s="34">
        <f t="shared" si="170"/>
        <v>358200</v>
      </c>
      <c r="Q427" s="34">
        <f t="shared" si="171"/>
        <v>486600</v>
      </c>
      <c r="R427" s="7">
        <f t="shared" si="172"/>
        <v>-856.62</v>
      </c>
      <c r="S427" s="227">
        <f t="shared" si="173"/>
        <v>127543.38</v>
      </c>
      <c r="T427" s="249">
        <f t="shared" si="174"/>
        <v>0.35606750418760469</v>
      </c>
      <c r="V427" s="36"/>
    </row>
    <row r="428" spans="1:22" s="33" customFormat="1" ht="15" customHeight="1" x14ac:dyDescent="0.4">
      <c r="A428" s="33" t="s">
        <v>113</v>
      </c>
      <c r="B428" s="38" t="s">
        <v>147</v>
      </c>
      <c r="C428" s="6" t="s">
        <v>122</v>
      </c>
      <c r="D428" s="6">
        <f t="shared" si="166"/>
        <v>1</v>
      </c>
      <c r="E428" s="34">
        <v>15</v>
      </c>
      <c r="F428" s="212">
        <v>60400</v>
      </c>
      <c r="G428" s="195">
        <v>45987</v>
      </c>
      <c r="H428" s="8"/>
      <c r="I428" s="212">
        <v>81100</v>
      </c>
      <c r="J428" s="8">
        <v>46003</v>
      </c>
      <c r="K428" s="23">
        <f t="shared" si="167"/>
        <v>135.89999999999998</v>
      </c>
      <c r="L428" s="23">
        <f t="shared" si="168"/>
        <v>182.47499999999999</v>
      </c>
      <c r="M428" s="206">
        <f t="shared" si="175"/>
        <v>1824.75</v>
      </c>
      <c r="N428" s="34"/>
      <c r="O428" s="209">
        <f t="shared" si="169"/>
        <v>17</v>
      </c>
      <c r="P428" s="34">
        <f t="shared" si="170"/>
        <v>906000</v>
      </c>
      <c r="Q428" s="34">
        <f t="shared" si="171"/>
        <v>1216500</v>
      </c>
      <c r="R428" s="7">
        <f t="shared" si="172"/>
        <v>-2143.125</v>
      </c>
      <c r="S428" s="227">
        <f t="shared" si="173"/>
        <v>308356.875</v>
      </c>
      <c r="T428" s="249">
        <f t="shared" si="174"/>
        <v>0.34034975165562914</v>
      </c>
      <c r="V428" s="36"/>
    </row>
    <row r="429" spans="1:22" s="33" customFormat="1" ht="15" customHeight="1" x14ac:dyDescent="0.4">
      <c r="B429" s="38" t="s">
        <v>147</v>
      </c>
      <c r="C429" s="6" t="s">
        <v>165</v>
      </c>
      <c r="D429" s="6">
        <f t="shared" si="166"/>
        <v>1</v>
      </c>
      <c r="E429" s="34">
        <v>2</v>
      </c>
      <c r="F429" s="212">
        <v>59800</v>
      </c>
      <c r="G429" s="195">
        <v>45987</v>
      </c>
      <c r="H429" s="8"/>
      <c r="I429" s="212">
        <v>81100</v>
      </c>
      <c r="J429" s="8">
        <v>46003</v>
      </c>
      <c r="K429" s="23">
        <f t="shared" si="167"/>
        <v>0</v>
      </c>
      <c r="L429" s="23">
        <f t="shared" si="168"/>
        <v>24.33</v>
      </c>
      <c r="M429" s="206">
        <f t="shared" si="175"/>
        <v>243.3</v>
      </c>
      <c r="N429" s="34"/>
      <c r="O429" s="209">
        <f t="shared" si="169"/>
        <v>17</v>
      </c>
      <c r="P429" s="34">
        <f t="shared" si="170"/>
        <v>119600</v>
      </c>
      <c r="Q429" s="34">
        <f t="shared" si="171"/>
        <v>162200</v>
      </c>
      <c r="R429" s="7">
        <f t="shared" si="172"/>
        <v>-267.63</v>
      </c>
      <c r="S429" s="227">
        <f t="shared" si="173"/>
        <v>42332.37</v>
      </c>
      <c r="T429" s="249">
        <f t="shared" si="174"/>
        <v>0.35394958193979936</v>
      </c>
    </row>
    <row r="430" spans="1:22" s="33" customFormat="1" ht="15" customHeight="1" x14ac:dyDescent="0.4">
      <c r="A430" s="33" t="s">
        <v>113</v>
      </c>
      <c r="B430" s="38" t="s">
        <v>147</v>
      </c>
      <c r="C430" s="6" t="s">
        <v>122</v>
      </c>
      <c r="D430" s="6">
        <f t="shared" si="166"/>
        <v>1</v>
      </c>
      <c r="E430" s="34">
        <v>10</v>
      </c>
      <c r="F430" s="212">
        <v>63500</v>
      </c>
      <c r="G430" s="195">
        <v>45993</v>
      </c>
      <c r="H430" s="8"/>
      <c r="I430" s="212">
        <v>81100</v>
      </c>
      <c r="J430" s="8">
        <v>46003</v>
      </c>
      <c r="K430" s="23">
        <f t="shared" si="167"/>
        <v>95.249999999999986</v>
      </c>
      <c r="L430" s="23">
        <f t="shared" si="168"/>
        <v>121.64999999999999</v>
      </c>
      <c r="M430" s="206">
        <f t="shared" si="175"/>
        <v>1216.5</v>
      </c>
      <c r="N430" s="34"/>
      <c r="O430" s="209">
        <f t="shared" si="169"/>
        <v>11</v>
      </c>
      <c r="P430" s="34">
        <f t="shared" si="170"/>
        <v>635000</v>
      </c>
      <c r="Q430" s="34">
        <f t="shared" si="171"/>
        <v>811000</v>
      </c>
      <c r="R430" s="7">
        <f t="shared" si="172"/>
        <v>-1433.4</v>
      </c>
      <c r="S430" s="227">
        <f t="shared" si="173"/>
        <v>174566.6</v>
      </c>
      <c r="T430" s="249">
        <f t="shared" si="174"/>
        <v>0.27490803149606302</v>
      </c>
      <c r="V430" s="36"/>
    </row>
    <row r="431" spans="1:22" s="33" customFormat="1" ht="15" customHeight="1" x14ac:dyDescent="0.4">
      <c r="B431" s="38" t="s">
        <v>147</v>
      </c>
      <c r="C431" s="6" t="s">
        <v>165</v>
      </c>
      <c r="D431" s="6">
        <f t="shared" si="166"/>
        <v>1</v>
      </c>
      <c r="E431" s="34">
        <v>2</v>
      </c>
      <c r="F431" s="212">
        <v>66500</v>
      </c>
      <c r="G431" s="195">
        <v>45994</v>
      </c>
      <c r="H431" s="8"/>
      <c r="I431" s="212">
        <v>81100</v>
      </c>
      <c r="J431" s="8">
        <v>46003</v>
      </c>
      <c r="K431" s="23">
        <f t="shared" si="167"/>
        <v>0</v>
      </c>
      <c r="L431" s="23">
        <f t="shared" si="168"/>
        <v>24.33</v>
      </c>
      <c r="M431" s="206">
        <f t="shared" si="175"/>
        <v>243.3</v>
      </c>
      <c r="N431" s="34"/>
      <c r="O431" s="209">
        <f t="shared" si="169"/>
        <v>10</v>
      </c>
      <c r="P431" s="34">
        <f t="shared" si="170"/>
        <v>133000</v>
      </c>
      <c r="Q431" s="34">
        <f t="shared" si="171"/>
        <v>162200</v>
      </c>
      <c r="R431" s="7">
        <f t="shared" si="172"/>
        <v>-267.63</v>
      </c>
      <c r="S431" s="227">
        <f t="shared" si="173"/>
        <v>28932.37</v>
      </c>
      <c r="T431" s="249">
        <f t="shared" si="174"/>
        <v>0.21753661654135337</v>
      </c>
    </row>
    <row r="432" spans="1:22" s="33" customFormat="1" ht="15" customHeight="1" x14ac:dyDescent="0.4">
      <c r="B432" s="38" t="s">
        <v>147</v>
      </c>
      <c r="C432" s="6" t="s">
        <v>165</v>
      </c>
      <c r="D432" s="6">
        <f t="shared" si="166"/>
        <v>1</v>
      </c>
      <c r="E432" s="34">
        <v>2</v>
      </c>
      <c r="F432" s="212">
        <v>76500</v>
      </c>
      <c r="G432" s="195">
        <v>46001</v>
      </c>
      <c r="H432" s="8"/>
      <c r="I432" s="212">
        <v>81100</v>
      </c>
      <c r="J432" s="8">
        <v>46003</v>
      </c>
      <c r="K432" s="23">
        <f t="shared" si="167"/>
        <v>0</v>
      </c>
      <c r="L432" s="23">
        <f t="shared" si="168"/>
        <v>24.33</v>
      </c>
      <c r="M432" s="206">
        <f t="shared" si="175"/>
        <v>243.3</v>
      </c>
      <c r="N432" s="34"/>
      <c r="O432" s="209">
        <f t="shared" si="169"/>
        <v>3</v>
      </c>
      <c r="P432" s="34">
        <f t="shared" si="170"/>
        <v>153000</v>
      </c>
      <c r="Q432" s="34">
        <f t="shared" si="171"/>
        <v>162200</v>
      </c>
      <c r="R432" s="7">
        <f t="shared" si="172"/>
        <v>-267.63</v>
      </c>
      <c r="S432" s="227">
        <f t="shared" si="173"/>
        <v>8932.3700000000008</v>
      </c>
      <c r="T432" s="249">
        <f t="shared" si="174"/>
        <v>5.838150326797386E-2</v>
      </c>
    </row>
    <row r="433" spans="2:22" ht="15" customHeight="1" x14ac:dyDescent="0.4">
      <c r="B433" s="38" t="s">
        <v>33</v>
      </c>
      <c r="C433" s="6" t="s">
        <v>162</v>
      </c>
      <c r="D433" s="6"/>
      <c r="E433" s="36">
        <v>15</v>
      </c>
      <c r="F433" s="212">
        <v>32250</v>
      </c>
      <c r="G433" s="195">
        <v>43432</v>
      </c>
      <c r="H433" s="8"/>
      <c r="I433" s="212">
        <v>40200</v>
      </c>
      <c r="J433" s="8">
        <v>43766</v>
      </c>
      <c r="K433" s="7">
        <f>ROUNDDOWN(E433*F433*0.0025,-1)</f>
        <v>1200</v>
      </c>
      <c r="L433" s="7">
        <f>ROUNDDOWN(I433*E433*0.0025,-1)</f>
        <v>1500</v>
      </c>
      <c r="M433" s="196">
        <f>ROUNDDOWN(I433*E433*0.0025, )</f>
        <v>1507</v>
      </c>
      <c r="N433" s="36"/>
      <c r="O433" s="191">
        <f t="shared" si="169"/>
        <v>335</v>
      </c>
      <c r="P433" s="36">
        <f>F433*E433</f>
        <v>483750</v>
      </c>
      <c r="Q433" s="36">
        <f>I433*E433</f>
        <v>603000</v>
      </c>
      <c r="R433" s="7">
        <f>N433-K433-L433-M433</f>
        <v>-4207</v>
      </c>
      <c r="S433" s="227">
        <f t="shared" si="173"/>
        <v>115043</v>
      </c>
      <c r="T433" s="248">
        <f t="shared" si="174"/>
        <v>0.23781498708010335</v>
      </c>
      <c r="U433" s="193">
        <f>T433*365/O433</f>
        <v>0.25911185159473948</v>
      </c>
      <c r="V433" s="6"/>
    </row>
    <row r="434" spans="2:22" ht="15" customHeight="1" x14ac:dyDescent="0.4">
      <c r="B434" s="198" t="s">
        <v>33</v>
      </c>
      <c r="C434" s="6" t="s">
        <v>162</v>
      </c>
      <c r="D434" s="15"/>
      <c r="E434" s="36">
        <v>100</v>
      </c>
      <c r="F434" s="212">
        <v>19700</v>
      </c>
      <c r="G434" s="195">
        <v>43919</v>
      </c>
      <c r="H434" s="8"/>
      <c r="I434" s="212">
        <v>27600</v>
      </c>
      <c r="J434" s="8">
        <v>44043</v>
      </c>
      <c r="K434" s="7">
        <f>ROUNDDOWN(E434*F434*0.002,-1)</f>
        <v>3940</v>
      </c>
      <c r="L434" s="7">
        <f>ROUNDDOWN(I434*E434*0.002,-1)</f>
        <v>5520</v>
      </c>
      <c r="M434" s="196">
        <f>ROUNDDOWN(I434*E434*0.0025, )</f>
        <v>6900</v>
      </c>
      <c r="N434" s="36"/>
      <c r="O434" s="191">
        <f t="shared" si="169"/>
        <v>125</v>
      </c>
      <c r="P434" s="36">
        <f>F434*E434</f>
        <v>1970000</v>
      </c>
      <c r="Q434" s="36">
        <f>I434*E434</f>
        <v>2760000</v>
      </c>
      <c r="R434" s="7">
        <f>N434-K434-L434-M434</f>
        <v>-16360</v>
      </c>
      <c r="S434" s="227">
        <f t="shared" si="173"/>
        <v>773640</v>
      </c>
      <c r="T434" s="248">
        <f t="shared" si="174"/>
        <v>0.39271065989847714</v>
      </c>
      <c r="U434" s="193">
        <f>T434*365/O434</f>
        <v>1.1467151269035532</v>
      </c>
      <c r="V434" s="6"/>
    </row>
    <row r="435" spans="2:22" s="33" customFormat="1" ht="15" customHeight="1" x14ac:dyDescent="0.4">
      <c r="B435" s="38" t="s">
        <v>24</v>
      </c>
      <c r="C435" s="6" t="s">
        <v>122</v>
      </c>
      <c r="D435" s="6">
        <f t="shared" ref="D435:D466" si="176">IF(OR($C435="신한",$C435="OTC",$C435="무상증자(신한)",$C435="토스",$C435="R토스"),1,"확인")</f>
        <v>1</v>
      </c>
      <c r="E435" s="34">
        <v>100</v>
      </c>
      <c r="F435" s="212">
        <v>5300</v>
      </c>
      <c r="G435" s="195">
        <v>45595</v>
      </c>
      <c r="H435" s="8"/>
      <c r="I435" s="212">
        <v>6050</v>
      </c>
      <c r="J435" s="8">
        <v>45596</v>
      </c>
      <c r="K435" s="23">
        <f t="shared" ref="K435:K466" si="177">IF($C435="OTC",ROUNDDOWN($E435*$F435*0.000909187,-1),(IF($C435="신한",ROUNDDOWN($E435*$F435*0.000036396,-1),(IF($C435="토스",$E435*$F435*0.00015,(IF($C435="US",(IF($E435*$F435*0.0025&gt;0.01,$E435*$F435*0.0025,0.01)),IF($C435="JP",(IF($E435*$F435*0.0025&gt;1000,$E435*$F435*0.0025,1000)),(IF($C435="R토스",0,IF($C435="무상증자(신한)",0,"")))))))))))</f>
        <v>79.5</v>
      </c>
      <c r="L435" s="23">
        <f t="shared" ref="L435:L466" si="178">IF($C435="OTC",ROUNDDOWN($I435*$E435*0.000909187,-1),(IF($C435="신한",ROUNDDOWN($I435*$E435*0.000036396,-1),(IF($C435="토스",$I435*$E435*0.00015,(IF($C435="US",(IF($I435*$E435*0.0025&gt;0.01,$I435*$E435*0.0025,0.01)),(IF($C435="JP",(IF($I435*$E435*0.0025&gt;1000,$I435*$E435*0.0025,1000)),(IF($C435="R토스",$I435*$E435*0.00015,(IF($C435="무상증자(신한)",ROUNDDOWN($I435*$E435*0.000036396,-1),"")))))))))))))</f>
        <v>90.749999999999986</v>
      </c>
      <c r="M435" s="206">
        <f>Q435*0.0018</f>
        <v>1089</v>
      </c>
      <c r="N435" s="34"/>
      <c r="O435" s="40">
        <f t="shared" si="169"/>
        <v>2</v>
      </c>
      <c r="P435" s="34">
        <f t="shared" ref="P435:P466" si="179">$E435*$F435*$D435</f>
        <v>530000</v>
      </c>
      <c r="Q435" s="34">
        <f t="shared" ref="Q435:Q466" si="180">$E435*$I435*$D435</f>
        <v>605000</v>
      </c>
      <c r="R435" s="7">
        <f t="shared" ref="R435:R466" si="181">($N435-$K435-$L435-$M435)*$D435</f>
        <v>-1259.25</v>
      </c>
      <c r="S435" s="227">
        <f t="shared" si="173"/>
        <v>73740.75</v>
      </c>
      <c r="T435" s="249">
        <f t="shared" si="174"/>
        <v>0.13913349056603774</v>
      </c>
    </row>
    <row r="436" spans="2:22" s="33" customFormat="1" ht="15" customHeight="1" x14ac:dyDescent="0.4">
      <c r="B436" s="38" t="s">
        <v>24</v>
      </c>
      <c r="C436" s="6" t="s">
        <v>122</v>
      </c>
      <c r="D436" s="6">
        <f t="shared" si="176"/>
        <v>1</v>
      </c>
      <c r="E436" s="34">
        <v>67</v>
      </c>
      <c r="F436" s="212">
        <v>7370</v>
      </c>
      <c r="G436" s="195">
        <v>45625</v>
      </c>
      <c r="H436" s="8"/>
      <c r="I436" s="212">
        <v>10000</v>
      </c>
      <c r="J436" s="8">
        <v>45643</v>
      </c>
      <c r="K436" s="23">
        <f t="shared" si="177"/>
        <v>74.0685</v>
      </c>
      <c r="L436" s="23">
        <f t="shared" si="178"/>
        <v>100.49999999999999</v>
      </c>
      <c r="M436" s="206">
        <f>Q436*0.0018</f>
        <v>1206</v>
      </c>
      <c r="N436" s="34"/>
      <c r="O436" s="40">
        <f t="shared" si="169"/>
        <v>19</v>
      </c>
      <c r="P436" s="34">
        <f t="shared" si="179"/>
        <v>493790</v>
      </c>
      <c r="Q436" s="34">
        <f t="shared" si="180"/>
        <v>670000</v>
      </c>
      <c r="R436" s="7">
        <f t="shared" si="181"/>
        <v>-1380.5684999999999</v>
      </c>
      <c r="S436" s="227">
        <f t="shared" si="173"/>
        <v>174829.43150000001</v>
      </c>
      <c r="T436" s="249">
        <f t="shared" si="174"/>
        <v>0.35405624151967435</v>
      </c>
    </row>
    <row r="437" spans="2:22" s="33" customFormat="1" ht="15" customHeight="1" x14ac:dyDescent="0.4">
      <c r="B437" s="38" t="s">
        <v>24</v>
      </c>
      <c r="C437" s="6" t="s">
        <v>122</v>
      </c>
      <c r="D437" s="6">
        <f t="shared" si="176"/>
        <v>1</v>
      </c>
      <c r="E437" s="34">
        <v>67</v>
      </c>
      <c r="F437" s="212">
        <v>7350</v>
      </c>
      <c r="G437" s="195">
        <v>45628</v>
      </c>
      <c r="H437" s="8"/>
      <c r="I437" s="212">
        <v>10000</v>
      </c>
      <c r="J437" s="8">
        <v>45643</v>
      </c>
      <c r="K437" s="23">
        <f t="shared" si="177"/>
        <v>73.867499999999993</v>
      </c>
      <c r="L437" s="23">
        <f t="shared" si="178"/>
        <v>100.49999999999999</v>
      </c>
      <c r="M437" s="206">
        <f>Q437*0.0018</f>
        <v>1206</v>
      </c>
      <c r="N437" s="34"/>
      <c r="O437" s="40">
        <f t="shared" si="169"/>
        <v>16</v>
      </c>
      <c r="P437" s="34">
        <f t="shared" si="179"/>
        <v>492450</v>
      </c>
      <c r="Q437" s="34">
        <f t="shared" si="180"/>
        <v>670000</v>
      </c>
      <c r="R437" s="7">
        <f t="shared" si="181"/>
        <v>-1380.3675000000001</v>
      </c>
      <c r="S437" s="227">
        <f t="shared" si="173"/>
        <v>176169.63250000001</v>
      </c>
      <c r="T437" s="249">
        <f t="shared" si="174"/>
        <v>0.35774115646258503</v>
      </c>
    </row>
    <row r="438" spans="2:22" s="33" customFormat="1" ht="15" customHeight="1" x14ac:dyDescent="0.4">
      <c r="B438" s="38" t="s">
        <v>24</v>
      </c>
      <c r="C438" s="6" t="s">
        <v>122</v>
      </c>
      <c r="D438" s="6">
        <f t="shared" si="176"/>
        <v>1</v>
      </c>
      <c r="E438" s="34">
        <v>67</v>
      </c>
      <c r="F438" s="212">
        <v>7370</v>
      </c>
      <c r="G438" s="195">
        <v>45630</v>
      </c>
      <c r="H438" s="8"/>
      <c r="I438" s="212">
        <v>10000</v>
      </c>
      <c r="J438" s="8">
        <v>45643</v>
      </c>
      <c r="K438" s="23">
        <f t="shared" si="177"/>
        <v>74.0685</v>
      </c>
      <c r="L438" s="23">
        <f t="shared" si="178"/>
        <v>100.49999999999999</v>
      </c>
      <c r="M438" s="206">
        <f>Q438*0.0018</f>
        <v>1206</v>
      </c>
      <c r="N438" s="34"/>
      <c r="O438" s="40">
        <f t="shared" si="169"/>
        <v>14</v>
      </c>
      <c r="P438" s="34">
        <f t="shared" si="179"/>
        <v>493790</v>
      </c>
      <c r="Q438" s="34">
        <f t="shared" si="180"/>
        <v>670000</v>
      </c>
      <c r="R438" s="7">
        <f t="shared" si="181"/>
        <v>-1380.5684999999999</v>
      </c>
      <c r="S438" s="227">
        <f t="shared" si="173"/>
        <v>174829.43150000001</v>
      </c>
      <c r="T438" s="249">
        <f t="shared" si="174"/>
        <v>0.35405624151967435</v>
      </c>
    </row>
    <row r="439" spans="2:22" s="33" customFormat="1" ht="15" customHeight="1" x14ac:dyDescent="0.4">
      <c r="B439" s="38" t="s">
        <v>24</v>
      </c>
      <c r="C439" s="6" t="s">
        <v>122</v>
      </c>
      <c r="D439" s="6">
        <f t="shared" si="176"/>
        <v>1</v>
      </c>
      <c r="E439" s="34">
        <v>30</v>
      </c>
      <c r="F439" s="212">
        <v>9850</v>
      </c>
      <c r="G439" s="195">
        <v>45643</v>
      </c>
      <c r="H439" s="8"/>
      <c r="I439" s="212">
        <v>7770</v>
      </c>
      <c r="J439" s="8">
        <v>45912</v>
      </c>
      <c r="K439" s="23">
        <f t="shared" si="177"/>
        <v>44.324999999999996</v>
      </c>
      <c r="L439" s="23">
        <f t="shared" si="178"/>
        <v>34.964999999999996</v>
      </c>
      <c r="M439" s="206">
        <f t="shared" ref="M439:M470" si="182">Q439*0.0015</f>
        <v>349.65000000000003</v>
      </c>
      <c r="N439" s="34"/>
      <c r="O439" s="209">
        <f t="shared" si="169"/>
        <v>270</v>
      </c>
      <c r="P439" s="34">
        <f t="shared" si="179"/>
        <v>295500</v>
      </c>
      <c r="Q439" s="34">
        <f t="shared" si="180"/>
        <v>233100</v>
      </c>
      <c r="R439" s="7">
        <f t="shared" si="181"/>
        <v>-428.94000000000005</v>
      </c>
      <c r="S439" s="227">
        <f t="shared" si="173"/>
        <v>-62828.94</v>
      </c>
      <c r="T439" s="249">
        <f t="shared" si="174"/>
        <v>-0.21261908629441625</v>
      </c>
    </row>
    <row r="440" spans="2:22" s="33" customFormat="1" ht="15" customHeight="1" x14ac:dyDescent="0.4">
      <c r="B440" s="38" t="s">
        <v>24</v>
      </c>
      <c r="C440" s="6" t="s">
        <v>122</v>
      </c>
      <c r="D440" s="6">
        <f t="shared" si="176"/>
        <v>1</v>
      </c>
      <c r="E440" s="34">
        <v>22</v>
      </c>
      <c r="F440" s="212">
        <v>9650</v>
      </c>
      <c r="G440" s="195">
        <v>45643</v>
      </c>
      <c r="H440" s="8"/>
      <c r="I440" s="212">
        <v>7770</v>
      </c>
      <c r="J440" s="8">
        <v>45912</v>
      </c>
      <c r="K440" s="23">
        <f t="shared" si="177"/>
        <v>31.844999999999999</v>
      </c>
      <c r="L440" s="23">
        <f t="shared" si="178"/>
        <v>25.640999999999998</v>
      </c>
      <c r="M440" s="206">
        <f t="shared" si="182"/>
        <v>256.41000000000003</v>
      </c>
      <c r="N440" s="34"/>
      <c r="O440" s="209">
        <f t="shared" si="169"/>
        <v>270</v>
      </c>
      <c r="P440" s="34">
        <f t="shared" si="179"/>
        <v>212300</v>
      </c>
      <c r="Q440" s="34">
        <f t="shared" si="180"/>
        <v>170940</v>
      </c>
      <c r="R440" s="7">
        <f t="shared" si="181"/>
        <v>-313.89600000000002</v>
      </c>
      <c r="S440" s="227">
        <f t="shared" si="173"/>
        <v>-41673.896000000001</v>
      </c>
      <c r="T440" s="249">
        <f t="shared" si="174"/>
        <v>-0.19629720207253887</v>
      </c>
    </row>
    <row r="441" spans="2:22" s="33" customFormat="1" ht="15" customHeight="1" x14ac:dyDescent="0.4">
      <c r="B441" s="38" t="s">
        <v>24</v>
      </c>
      <c r="C441" s="6" t="s">
        <v>122</v>
      </c>
      <c r="D441" s="6">
        <f t="shared" si="176"/>
        <v>1</v>
      </c>
      <c r="E441" s="34">
        <v>15</v>
      </c>
      <c r="F441" s="212">
        <v>9000</v>
      </c>
      <c r="G441" s="195">
        <v>45643</v>
      </c>
      <c r="H441" s="8"/>
      <c r="I441" s="212">
        <v>7770</v>
      </c>
      <c r="J441" s="8">
        <v>45912</v>
      </c>
      <c r="K441" s="23">
        <f t="shared" si="177"/>
        <v>20.25</v>
      </c>
      <c r="L441" s="23">
        <f t="shared" si="178"/>
        <v>17.482499999999998</v>
      </c>
      <c r="M441" s="206">
        <f t="shared" si="182"/>
        <v>174.82500000000002</v>
      </c>
      <c r="N441" s="34"/>
      <c r="O441" s="209">
        <f t="shared" si="169"/>
        <v>270</v>
      </c>
      <c r="P441" s="34">
        <f t="shared" si="179"/>
        <v>135000</v>
      </c>
      <c r="Q441" s="34">
        <f t="shared" si="180"/>
        <v>116550</v>
      </c>
      <c r="R441" s="7">
        <f t="shared" si="181"/>
        <v>-212.5575</v>
      </c>
      <c r="S441" s="227">
        <f t="shared" si="173"/>
        <v>-18662.557499999999</v>
      </c>
      <c r="T441" s="249">
        <f t="shared" si="174"/>
        <v>-0.13824116666666666</v>
      </c>
    </row>
    <row r="442" spans="2:22" s="33" customFormat="1" ht="15" customHeight="1" x14ac:dyDescent="0.4">
      <c r="B442" s="38" t="s">
        <v>24</v>
      </c>
      <c r="C442" s="6" t="s">
        <v>122</v>
      </c>
      <c r="D442" s="6">
        <f t="shared" si="176"/>
        <v>1</v>
      </c>
      <c r="E442" s="34">
        <v>21</v>
      </c>
      <c r="F442" s="212">
        <v>9470</v>
      </c>
      <c r="G442" s="195">
        <v>45646</v>
      </c>
      <c r="H442" s="8"/>
      <c r="I442" s="212">
        <v>7770</v>
      </c>
      <c r="J442" s="8">
        <v>45912</v>
      </c>
      <c r="K442" s="23">
        <f t="shared" si="177"/>
        <v>29.830499999999997</v>
      </c>
      <c r="L442" s="23">
        <f t="shared" si="178"/>
        <v>24.475499999999997</v>
      </c>
      <c r="M442" s="206">
        <f t="shared" si="182"/>
        <v>244.755</v>
      </c>
      <c r="N442" s="34"/>
      <c r="O442" s="209">
        <f t="shared" si="169"/>
        <v>267</v>
      </c>
      <c r="P442" s="34">
        <f t="shared" si="179"/>
        <v>198870</v>
      </c>
      <c r="Q442" s="34">
        <f t="shared" si="180"/>
        <v>163170</v>
      </c>
      <c r="R442" s="7">
        <f t="shared" si="181"/>
        <v>-299.06099999999998</v>
      </c>
      <c r="S442" s="227">
        <f t="shared" si="173"/>
        <v>-35999.061000000002</v>
      </c>
      <c r="T442" s="249">
        <f t="shared" si="174"/>
        <v>-0.1810180570221753</v>
      </c>
    </row>
    <row r="443" spans="2:22" s="33" customFormat="1" ht="15" customHeight="1" x14ac:dyDescent="0.4">
      <c r="B443" s="38" t="s">
        <v>24</v>
      </c>
      <c r="C443" s="6" t="s">
        <v>122</v>
      </c>
      <c r="D443" s="6">
        <f t="shared" si="176"/>
        <v>1</v>
      </c>
      <c r="E443" s="34">
        <v>13</v>
      </c>
      <c r="F443" s="212">
        <v>9400</v>
      </c>
      <c r="G443" s="195">
        <v>45646</v>
      </c>
      <c r="H443" s="8"/>
      <c r="I443" s="212">
        <v>7770</v>
      </c>
      <c r="J443" s="8">
        <v>45912</v>
      </c>
      <c r="K443" s="23">
        <f t="shared" si="177"/>
        <v>18.329999999999998</v>
      </c>
      <c r="L443" s="23">
        <f t="shared" si="178"/>
        <v>15.151499999999999</v>
      </c>
      <c r="M443" s="206">
        <f t="shared" si="182"/>
        <v>151.51500000000001</v>
      </c>
      <c r="N443" s="34"/>
      <c r="O443" s="209">
        <f t="shared" si="169"/>
        <v>267</v>
      </c>
      <c r="P443" s="34">
        <f t="shared" si="179"/>
        <v>122200</v>
      </c>
      <c r="Q443" s="34">
        <f t="shared" si="180"/>
        <v>101010</v>
      </c>
      <c r="R443" s="7">
        <f t="shared" si="181"/>
        <v>-184.99650000000003</v>
      </c>
      <c r="S443" s="227">
        <f t="shared" si="173"/>
        <v>-21374.996500000001</v>
      </c>
      <c r="T443" s="249">
        <f t="shared" si="174"/>
        <v>-0.17491813829787234</v>
      </c>
    </row>
    <row r="444" spans="2:22" s="33" customFormat="1" ht="15" customHeight="1" x14ac:dyDescent="0.4">
      <c r="B444" s="38" t="s">
        <v>24</v>
      </c>
      <c r="C444" s="6" t="s">
        <v>122</v>
      </c>
      <c r="D444" s="6">
        <f t="shared" si="176"/>
        <v>1</v>
      </c>
      <c r="E444" s="34">
        <v>13</v>
      </c>
      <c r="F444" s="212">
        <v>9110</v>
      </c>
      <c r="G444" s="195">
        <v>45646</v>
      </c>
      <c r="H444" s="8"/>
      <c r="I444" s="212">
        <v>7770</v>
      </c>
      <c r="J444" s="8">
        <v>45912</v>
      </c>
      <c r="K444" s="23">
        <f t="shared" si="177"/>
        <v>17.764499999999998</v>
      </c>
      <c r="L444" s="23">
        <f t="shared" si="178"/>
        <v>15.151499999999999</v>
      </c>
      <c r="M444" s="206">
        <f t="shared" si="182"/>
        <v>151.51500000000001</v>
      </c>
      <c r="N444" s="34"/>
      <c r="O444" s="209">
        <f t="shared" si="169"/>
        <v>267</v>
      </c>
      <c r="P444" s="34">
        <f t="shared" si="179"/>
        <v>118430</v>
      </c>
      <c r="Q444" s="34">
        <f t="shared" si="180"/>
        <v>101010</v>
      </c>
      <c r="R444" s="7">
        <f t="shared" si="181"/>
        <v>-184.43100000000001</v>
      </c>
      <c r="S444" s="227">
        <f t="shared" si="173"/>
        <v>-17604.431</v>
      </c>
      <c r="T444" s="249">
        <f t="shared" si="174"/>
        <v>-0.1486484083424808</v>
      </c>
    </row>
    <row r="445" spans="2:22" s="33" customFormat="1" ht="15" customHeight="1" x14ac:dyDescent="0.4">
      <c r="B445" s="38" t="s">
        <v>24</v>
      </c>
      <c r="C445" s="6" t="s">
        <v>122</v>
      </c>
      <c r="D445" s="6">
        <f t="shared" si="176"/>
        <v>1</v>
      </c>
      <c r="E445" s="34">
        <v>20</v>
      </c>
      <c r="F445" s="212">
        <v>8800</v>
      </c>
      <c r="G445" s="195">
        <v>45649</v>
      </c>
      <c r="H445" s="8"/>
      <c r="I445" s="212">
        <v>7770</v>
      </c>
      <c r="J445" s="8">
        <v>45912</v>
      </c>
      <c r="K445" s="23">
        <f t="shared" si="177"/>
        <v>26.4</v>
      </c>
      <c r="L445" s="23">
        <f t="shared" si="178"/>
        <v>23.31</v>
      </c>
      <c r="M445" s="206">
        <f t="shared" si="182"/>
        <v>233.1</v>
      </c>
      <c r="N445" s="34"/>
      <c r="O445" s="209">
        <f t="shared" si="169"/>
        <v>264</v>
      </c>
      <c r="P445" s="34">
        <f t="shared" si="179"/>
        <v>176000</v>
      </c>
      <c r="Q445" s="34">
        <f t="shared" si="180"/>
        <v>155400</v>
      </c>
      <c r="R445" s="7">
        <f t="shared" si="181"/>
        <v>-282.81</v>
      </c>
      <c r="S445" s="227">
        <f t="shared" si="173"/>
        <v>-20882.810000000001</v>
      </c>
      <c r="T445" s="249">
        <f t="shared" si="174"/>
        <v>-0.11865232954545456</v>
      </c>
    </row>
    <row r="446" spans="2:22" s="33" customFormat="1" ht="15" customHeight="1" x14ac:dyDescent="0.4">
      <c r="B446" s="38" t="s">
        <v>24</v>
      </c>
      <c r="C446" s="6" t="s">
        <v>122</v>
      </c>
      <c r="D446" s="6">
        <f t="shared" si="176"/>
        <v>1</v>
      </c>
      <c r="E446" s="34">
        <v>23</v>
      </c>
      <c r="F446" s="212">
        <v>8750</v>
      </c>
      <c r="G446" s="195">
        <v>45650</v>
      </c>
      <c r="H446" s="8"/>
      <c r="I446" s="212">
        <v>7770</v>
      </c>
      <c r="J446" s="8">
        <v>45912</v>
      </c>
      <c r="K446" s="23">
        <f t="shared" si="177"/>
        <v>30.187499999999996</v>
      </c>
      <c r="L446" s="23">
        <f t="shared" si="178"/>
        <v>26.806499999999996</v>
      </c>
      <c r="M446" s="206">
        <f t="shared" si="182"/>
        <v>268.065</v>
      </c>
      <c r="N446" s="34"/>
      <c r="O446" s="209">
        <f t="shared" si="169"/>
        <v>263</v>
      </c>
      <c r="P446" s="34">
        <f t="shared" si="179"/>
        <v>201250</v>
      </c>
      <c r="Q446" s="34">
        <f t="shared" si="180"/>
        <v>178710</v>
      </c>
      <c r="R446" s="7">
        <f t="shared" si="181"/>
        <v>-325.05899999999997</v>
      </c>
      <c r="S446" s="227">
        <f t="shared" si="173"/>
        <v>-22865.059000000001</v>
      </c>
      <c r="T446" s="249">
        <f t="shared" si="174"/>
        <v>-0.1136152</v>
      </c>
    </row>
    <row r="447" spans="2:22" s="33" customFormat="1" ht="15" customHeight="1" x14ac:dyDescent="0.4">
      <c r="B447" s="38" t="s">
        <v>24</v>
      </c>
      <c r="C447" s="6" t="s">
        <v>122</v>
      </c>
      <c r="D447" s="6">
        <f t="shared" si="176"/>
        <v>1</v>
      </c>
      <c r="E447" s="34">
        <v>13</v>
      </c>
      <c r="F447" s="212">
        <v>8600</v>
      </c>
      <c r="G447" s="195">
        <v>45650</v>
      </c>
      <c r="H447" s="8"/>
      <c r="I447" s="212">
        <v>7770</v>
      </c>
      <c r="J447" s="8">
        <v>45912</v>
      </c>
      <c r="K447" s="23">
        <f t="shared" si="177"/>
        <v>16.77</v>
      </c>
      <c r="L447" s="23">
        <f t="shared" si="178"/>
        <v>15.151499999999999</v>
      </c>
      <c r="M447" s="206">
        <f t="shared" si="182"/>
        <v>151.51500000000001</v>
      </c>
      <c r="N447" s="34"/>
      <c r="O447" s="209">
        <f t="shared" si="169"/>
        <v>263</v>
      </c>
      <c r="P447" s="34">
        <f t="shared" si="179"/>
        <v>111800</v>
      </c>
      <c r="Q447" s="34">
        <f t="shared" si="180"/>
        <v>101010</v>
      </c>
      <c r="R447" s="7">
        <f t="shared" si="181"/>
        <v>-183.43650000000002</v>
      </c>
      <c r="S447" s="227">
        <f t="shared" si="173"/>
        <v>-10973.4365</v>
      </c>
      <c r="T447" s="249">
        <f t="shared" si="174"/>
        <v>-9.8152383720930228E-2</v>
      </c>
    </row>
    <row r="448" spans="2:22" s="33" customFormat="1" ht="15" customHeight="1" x14ac:dyDescent="0.4">
      <c r="B448" s="38" t="s">
        <v>24</v>
      </c>
      <c r="C448" s="6" t="s">
        <v>122</v>
      </c>
      <c r="D448" s="6">
        <f t="shared" si="176"/>
        <v>1</v>
      </c>
      <c r="E448" s="34">
        <v>12</v>
      </c>
      <c r="F448" s="212">
        <v>8450</v>
      </c>
      <c r="G448" s="195">
        <v>45650</v>
      </c>
      <c r="H448" s="8"/>
      <c r="I448" s="212">
        <v>7770</v>
      </c>
      <c r="J448" s="8">
        <v>45912</v>
      </c>
      <c r="K448" s="23">
        <f t="shared" si="177"/>
        <v>15.209999999999999</v>
      </c>
      <c r="L448" s="23">
        <f t="shared" si="178"/>
        <v>13.985999999999999</v>
      </c>
      <c r="M448" s="206">
        <f t="shared" si="182"/>
        <v>139.86000000000001</v>
      </c>
      <c r="N448" s="34"/>
      <c r="O448" s="209">
        <f t="shared" si="169"/>
        <v>263</v>
      </c>
      <c r="P448" s="34">
        <f t="shared" si="179"/>
        <v>101400</v>
      </c>
      <c r="Q448" s="34">
        <f t="shared" si="180"/>
        <v>93240</v>
      </c>
      <c r="R448" s="7">
        <f t="shared" si="181"/>
        <v>-169.05600000000001</v>
      </c>
      <c r="S448" s="227">
        <f t="shared" si="173"/>
        <v>-8329.0560000000005</v>
      </c>
      <c r="T448" s="249">
        <f t="shared" si="174"/>
        <v>-8.2140591715976333E-2</v>
      </c>
    </row>
    <row r="449" spans="2:20" s="33" customFormat="1" ht="15" customHeight="1" x14ac:dyDescent="0.4">
      <c r="B449" s="38" t="s">
        <v>24</v>
      </c>
      <c r="C449" s="6" t="s">
        <v>122</v>
      </c>
      <c r="D449" s="6">
        <f t="shared" si="176"/>
        <v>1</v>
      </c>
      <c r="E449" s="34">
        <v>13</v>
      </c>
      <c r="F449" s="212">
        <v>8200</v>
      </c>
      <c r="G449" s="195">
        <v>45650</v>
      </c>
      <c r="H449" s="8"/>
      <c r="I449" s="212">
        <v>7770</v>
      </c>
      <c r="J449" s="8">
        <v>45912</v>
      </c>
      <c r="K449" s="23">
        <f t="shared" si="177"/>
        <v>15.989999999999998</v>
      </c>
      <c r="L449" s="23">
        <f t="shared" si="178"/>
        <v>15.151499999999999</v>
      </c>
      <c r="M449" s="206">
        <f t="shared" si="182"/>
        <v>151.51500000000001</v>
      </c>
      <c r="N449" s="34"/>
      <c r="O449" s="209">
        <f t="shared" si="169"/>
        <v>263</v>
      </c>
      <c r="P449" s="34">
        <f t="shared" si="179"/>
        <v>106600</v>
      </c>
      <c r="Q449" s="34">
        <f t="shared" si="180"/>
        <v>101010</v>
      </c>
      <c r="R449" s="7">
        <f t="shared" si="181"/>
        <v>-182.65650000000002</v>
      </c>
      <c r="S449" s="227">
        <f t="shared" si="173"/>
        <v>-5772.6565000000001</v>
      </c>
      <c r="T449" s="249">
        <f t="shared" si="174"/>
        <v>-5.4152499999999999E-2</v>
      </c>
    </row>
    <row r="450" spans="2:20" s="33" customFormat="1" ht="15" customHeight="1" x14ac:dyDescent="0.4">
      <c r="B450" s="38" t="s">
        <v>24</v>
      </c>
      <c r="C450" s="6" t="s">
        <v>122</v>
      </c>
      <c r="D450" s="6">
        <f t="shared" si="176"/>
        <v>1</v>
      </c>
      <c r="E450" s="34">
        <v>10</v>
      </c>
      <c r="F450" s="212">
        <v>8000</v>
      </c>
      <c r="G450" s="195">
        <v>45650</v>
      </c>
      <c r="H450" s="8"/>
      <c r="I450" s="212">
        <v>7770</v>
      </c>
      <c r="J450" s="8">
        <v>45912</v>
      </c>
      <c r="K450" s="23">
        <f t="shared" si="177"/>
        <v>11.999999999999998</v>
      </c>
      <c r="L450" s="23">
        <f t="shared" si="178"/>
        <v>11.654999999999999</v>
      </c>
      <c r="M450" s="206">
        <f t="shared" si="182"/>
        <v>116.55</v>
      </c>
      <c r="N450" s="34"/>
      <c r="O450" s="209">
        <f t="shared" si="169"/>
        <v>263</v>
      </c>
      <c r="P450" s="34">
        <f t="shared" si="179"/>
        <v>80000</v>
      </c>
      <c r="Q450" s="34">
        <f t="shared" si="180"/>
        <v>77700</v>
      </c>
      <c r="R450" s="7">
        <f t="shared" si="181"/>
        <v>-140.20499999999998</v>
      </c>
      <c r="S450" s="227">
        <f t="shared" si="173"/>
        <v>-2440.2049999999999</v>
      </c>
      <c r="T450" s="249">
        <f t="shared" si="174"/>
        <v>-3.05025625E-2</v>
      </c>
    </row>
    <row r="451" spans="2:20" s="33" customFormat="1" ht="15" customHeight="1" x14ac:dyDescent="0.4">
      <c r="B451" s="38" t="s">
        <v>24</v>
      </c>
      <c r="C451" s="6" t="s">
        <v>122</v>
      </c>
      <c r="D451" s="6">
        <f t="shared" si="176"/>
        <v>1</v>
      </c>
      <c r="E451" s="34">
        <v>10</v>
      </c>
      <c r="F451" s="212">
        <v>7850</v>
      </c>
      <c r="G451" s="195">
        <v>45650</v>
      </c>
      <c r="H451" s="8"/>
      <c r="I451" s="212">
        <v>7770</v>
      </c>
      <c r="J451" s="8">
        <v>45912</v>
      </c>
      <c r="K451" s="23">
        <f t="shared" si="177"/>
        <v>11.774999999999999</v>
      </c>
      <c r="L451" s="23">
        <f t="shared" si="178"/>
        <v>11.654999999999999</v>
      </c>
      <c r="M451" s="206">
        <f t="shared" si="182"/>
        <v>116.55</v>
      </c>
      <c r="N451" s="34"/>
      <c r="O451" s="209">
        <f t="shared" si="169"/>
        <v>263</v>
      </c>
      <c r="P451" s="34">
        <f t="shared" si="179"/>
        <v>78500</v>
      </c>
      <c r="Q451" s="34">
        <f t="shared" si="180"/>
        <v>77700</v>
      </c>
      <c r="R451" s="7">
        <f t="shared" si="181"/>
        <v>-139.97999999999999</v>
      </c>
      <c r="S451" s="227">
        <f t="shared" si="173"/>
        <v>-939.98</v>
      </c>
      <c r="T451" s="249">
        <f t="shared" si="174"/>
        <v>-1.1974267515923566E-2</v>
      </c>
    </row>
    <row r="452" spans="2:20" s="33" customFormat="1" ht="15" customHeight="1" x14ac:dyDescent="0.4">
      <c r="B452" s="38" t="s">
        <v>24</v>
      </c>
      <c r="C452" s="6" t="s">
        <v>122</v>
      </c>
      <c r="D452" s="6">
        <f t="shared" si="176"/>
        <v>1</v>
      </c>
      <c r="E452" s="34">
        <v>10</v>
      </c>
      <c r="F452" s="212">
        <v>7350</v>
      </c>
      <c r="G452" s="195">
        <v>45653</v>
      </c>
      <c r="H452" s="8"/>
      <c r="I452" s="212">
        <v>7770</v>
      </c>
      <c r="J452" s="8">
        <v>45912</v>
      </c>
      <c r="K452" s="23">
        <f t="shared" si="177"/>
        <v>11.024999999999999</v>
      </c>
      <c r="L452" s="23">
        <f t="shared" si="178"/>
        <v>11.654999999999999</v>
      </c>
      <c r="M452" s="206">
        <f t="shared" si="182"/>
        <v>116.55</v>
      </c>
      <c r="N452" s="34"/>
      <c r="O452" s="209">
        <f t="shared" si="169"/>
        <v>260</v>
      </c>
      <c r="P452" s="34">
        <f t="shared" si="179"/>
        <v>73500</v>
      </c>
      <c r="Q452" s="34">
        <f t="shared" si="180"/>
        <v>77700</v>
      </c>
      <c r="R452" s="7">
        <f t="shared" si="181"/>
        <v>-139.22999999999999</v>
      </c>
      <c r="S452" s="227">
        <f t="shared" si="173"/>
        <v>4060.77</v>
      </c>
      <c r="T452" s="249">
        <f t="shared" si="174"/>
        <v>5.5248571428571432E-2</v>
      </c>
    </row>
    <row r="453" spans="2:20" s="33" customFormat="1" ht="15" customHeight="1" x14ac:dyDescent="0.4">
      <c r="B453" s="38" t="s">
        <v>24</v>
      </c>
      <c r="C453" s="6" t="s">
        <v>122</v>
      </c>
      <c r="D453" s="6">
        <f t="shared" si="176"/>
        <v>1</v>
      </c>
      <c r="E453" s="34">
        <v>10</v>
      </c>
      <c r="F453" s="212">
        <v>7100</v>
      </c>
      <c r="G453" s="195">
        <v>45670</v>
      </c>
      <c r="H453" s="8"/>
      <c r="I453" s="212">
        <v>7770</v>
      </c>
      <c r="J453" s="8">
        <v>45912</v>
      </c>
      <c r="K453" s="23">
        <f t="shared" si="177"/>
        <v>10.649999999999999</v>
      </c>
      <c r="L453" s="23">
        <f t="shared" si="178"/>
        <v>11.654999999999999</v>
      </c>
      <c r="M453" s="206">
        <f t="shared" si="182"/>
        <v>116.55</v>
      </c>
      <c r="N453" s="34"/>
      <c r="O453" s="209">
        <f t="shared" si="169"/>
        <v>243</v>
      </c>
      <c r="P453" s="34">
        <f t="shared" si="179"/>
        <v>71000</v>
      </c>
      <c r="Q453" s="34">
        <f t="shared" si="180"/>
        <v>77700</v>
      </c>
      <c r="R453" s="7">
        <f t="shared" si="181"/>
        <v>-138.85499999999999</v>
      </c>
      <c r="S453" s="227">
        <f t="shared" si="173"/>
        <v>6561.1450000000004</v>
      </c>
      <c r="T453" s="249">
        <f t="shared" si="174"/>
        <v>9.241049295774649E-2</v>
      </c>
    </row>
    <row r="454" spans="2:20" s="33" customFormat="1" ht="15" customHeight="1" x14ac:dyDescent="0.4">
      <c r="B454" s="38" t="s">
        <v>24</v>
      </c>
      <c r="C454" s="6" t="s">
        <v>122</v>
      </c>
      <c r="D454" s="6">
        <f t="shared" si="176"/>
        <v>1</v>
      </c>
      <c r="E454" s="34">
        <v>70</v>
      </c>
      <c r="F454" s="212">
        <v>7050</v>
      </c>
      <c r="G454" s="195">
        <v>45672</v>
      </c>
      <c r="H454" s="8"/>
      <c r="I454" s="212">
        <v>7770</v>
      </c>
      <c r="J454" s="8">
        <v>45912</v>
      </c>
      <c r="K454" s="23">
        <f t="shared" si="177"/>
        <v>74.024999999999991</v>
      </c>
      <c r="L454" s="23">
        <f t="shared" si="178"/>
        <v>81.584999999999994</v>
      </c>
      <c r="M454" s="206">
        <f t="shared" si="182"/>
        <v>815.85</v>
      </c>
      <c r="N454" s="34"/>
      <c r="O454" s="209">
        <f t="shared" si="169"/>
        <v>241</v>
      </c>
      <c r="P454" s="34">
        <f t="shared" si="179"/>
        <v>493500</v>
      </c>
      <c r="Q454" s="34">
        <f t="shared" si="180"/>
        <v>543900</v>
      </c>
      <c r="R454" s="7">
        <f t="shared" si="181"/>
        <v>-971.46</v>
      </c>
      <c r="S454" s="227">
        <f t="shared" si="173"/>
        <v>49428.54</v>
      </c>
      <c r="T454" s="249">
        <f t="shared" si="174"/>
        <v>0.10015914893617021</v>
      </c>
    </row>
    <row r="455" spans="2:20" s="33" customFormat="1" ht="15" customHeight="1" x14ac:dyDescent="0.4">
      <c r="B455" s="38" t="s">
        <v>24</v>
      </c>
      <c r="C455" s="6" t="s">
        <v>122</v>
      </c>
      <c r="D455" s="6">
        <f t="shared" si="176"/>
        <v>1</v>
      </c>
      <c r="E455" s="34">
        <v>25</v>
      </c>
      <c r="F455" s="212">
        <v>6700</v>
      </c>
      <c r="G455" s="195">
        <v>45674</v>
      </c>
      <c r="H455" s="8"/>
      <c r="I455" s="212">
        <v>7770</v>
      </c>
      <c r="J455" s="8">
        <v>45912</v>
      </c>
      <c r="K455" s="23">
        <f t="shared" si="177"/>
        <v>25.124999999999996</v>
      </c>
      <c r="L455" s="23">
        <f t="shared" si="178"/>
        <v>29.137499999999996</v>
      </c>
      <c r="M455" s="206">
        <f t="shared" si="182"/>
        <v>291.375</v>
      </c>
      <c r="N455" s="34"/>
      <c r="O455" s="209">
        <f t="shared" si="169"/>
        <v>239</v>
      </c>
      <c r="P455" s="34">
        <f t="shared" si="179"/>
        <v>167500</v>
      </c>
      <c r="Q455" s="34">
        <f t="shared" si="180"/>
        <v>194250</v>
      </c>
      <c r="R455" s="7">
        <f t="shared" si="181"/>
        <v>-345.63749999999999</v>
      </c>
      <c r="S455" s="227">
        <f t="shared" si="173"/>
        <v>26404.362499999999</v>
      </c>
      <c r="T455" s="249">
        <f t="shared" si="174"/>
        <v>0.15763798507462687</v>
      </c>
    </row>
    <row r="456" spans="2:20" s="33" customFormat="1" ht="15" customHeight="1" x14ac:dyDescent="0.4">
      <c r="B456" s="38" t="s">
        <v>24</v>
      </c>
      <c r="C456" s="6" t="s">
        <v>122</v>
      </c>
      <c r="D456" s="6">
        <f t="shared" si="176"/>
        <v>1</v>
      </c>
      <c r="E456" s="34">
        <v>20</v>
      </c>
      <c r="F456" s="212">
        <v>8100</v>
      </c>
      <c r="G456" s="195">
        <v>45681</v>
      </c>
      <c r="H456" s="8"/>
      <c r="I456" s="212">
        <v>7770</v>
      </c>
      <c r="J456" s="8">
        <v>45912</v>
      </c>
      <c r="K456" s="23">
        <f t="shared" si="177"/>
        <v>24.299999999999997</v>
      </c>
      <c r="L456" s="23">
        <f t="shared" si="178"/>
        <v>23.31</v>
      </c>
      <c r="M456" s="206">
        <f t="shared" si="182"/>
        <v>233.1</v>
      </c>
      <c r="N456" s="34"/>
      <c r="O456" s="209">
        <f t="shared" si="169"/>
        <v>232</v>
      </c>
      <c r="P456" s="34">
        <f t="shared" si="179"/>
        <v>162000</v>
      </c>
      <c r="Q456" s="34">
        <f t="shared" si="180"/>
        <v>155400</v>
      </c>
      <c r="R456" s="7">
        <f t="shared" si="181"/>
        <v>-280.70999999999998</v>
      </c>
      <c r="S456" s="227">
        <f t="shared" si="173"/>
        <v>-6880.71</v>
      </c>
      <c r="T456" s="249">
        <f t="shared" si="174"/>
        <v>-4.2473518518518522E-2</v>
      </c>
    </row>
    <row r="457" spans="2:20" s="33" customFormat="1" ht="15" customHeight="1" x14ac:dyDescent="0.4">
      <c r="B457" s="38" t="s">
        <v>24</v>
      </c>
      <c r="C457" s="6" t="s">
        <v>122</v>
      </c>
      <c r="D457" s="6">
        <f t="shared" si="176"/>
        <v>1</v>
      </c>
      <c r="E457" s="34">
        <v>15</v>
      </c>
      <c r="F457" s="212">
        <v>8800</v>
      </c>
      <c r="G457" s="195">
        <v>45699</v>
      </c>
      <c r="H457" s="8"/>
      <c r="I457" s="212">
        <v>7770</v>
      </c>
      <c r="J457" s="8">
        <v>45912</v>
      </c>
      <c r="K457" s="23">
        <f t="shared" si="177"/>
        <v>19.799999999999997</v>
      </c>
      <c r="L457" s="23">
        <f t="shared" si="178"/>
        <v>17.482499999999998</v>
      </c>
      <c r="M457" s="206">
        <f t="shared" si="182"/>
        <v>174.82500000000002</v>
      </c>
      <c r="N457" s="34"/>
      <c r="O457" s="209">
        <f t="shared" si="169"/>
        <v>214</v>
      </c>
      <c r="P457" s="34">
        <f t="shared" si="179"/>
        <v>132000</v>
      </c>
      <c r="Q457" s="34">
        <f t="shared" si="180"/>
        <v>116550</v>
      </c>
      <c r="R457" s="7">
        <f t="shared" si="181"/>
        <v>-212.10750000000002</v>
      </c>
      <c r="S457" s="227">
        <f t="shared" si="173"/>
        <v>-15662.1075</v>
      </c>
      <c r="T457" s="249">
        <f t="shared" si="174"/>
        <v>-0.11865232954545454</v>
      </c>
    </row>
    <row r="458" spans="2:20" s="33" customFormat="1" ht="15" customHeight="1" x14ac:dyDescent="0.4">
      <c r="B458" s="38" t="s">
        <v>24</v>
      </c>
      <c r="C458" s="6" t="s">
        <v>122</v>
      </c>
      <c r="D458" s="6">
        <f t="shared" si="176"/>
        <v>1</v>
      </c>
      <c r="E458" s="34">
        <v>42</v>
      </c>
      <c r="F458" s="212">
        <v>7200</v>
      </c>
      <c r="G458" s="195">
        <v>45714</v>
      </c>
      <c r="H458" s="8"/>
      <c r="I458" s="212">
        <v>7770</v>
      </c>
      <c r="J458" s="8">
        <v>45912</v>
      </c>
      <c r="K458" s="23">
        <f t="shared" si="177"/>
        <v>45.36</v>
      </c>
      <c r="L458" s="23">
        <f t="shared" si="178"/>
        <v>48.950999999999993</v>
      </c>
      <c r="M458" s="206">
        <f t="shared" si="182"/>
        <v>489.51</v>
      </c>
      <c r="N458" s="34"/>
      <c r="O458" s="209">
        <f t="shared" si="169"/>
        <v>199</v>
      </c>
      <c r="P458" s="34">
        <f t="shared" si="179"/>
        <v>302400</v>
      </c>
      <c r="Q458" s="34">
        <f t="shared" si="180"/>
        <v>326340</v>
      </c>
      <c r="R458" s="7">
        <f t="shared" si="181"/>
        <v>-583.82100000000003</v>
      </c>
      <c r="S458" s="227">
        <f t="shared" si="173"/>
        <v>23356.179</v>
      </c>
      <c r="T458" s="249">
        <f t="shared" si="174"/>
        <v>7.7236041666666672E-2</v>
      </c>
    </row>
    <row r="459" spans="2:20" s="33" customFormat="1" ht="15" customHeight="1" x14ac:dyDescent="0.4">
      <c r="B459" s="38" t="s">
        <v>24</v>
      </c>
      <c r="C459" s="6" t="s">
        <v>122</v>
      </c>
      <c r="D459" s="6">
        <f t="shared" si="176"/>
        <v>1</v>
      </c>
      <c r="E459" s="34">
        <v>14</v>
      </c>
      <c r="F459" s="212">
        <v>7080</v>
      </c>
      <c r="G459" s="195">
        <v>45715</v>
      </c>
      <c r="H459" s="8"/>
      <c r="I459" s="212">
        <v>7770</v>
      </c>
      <c r="J459" s="8">
        <v>45912</v>
      </c>
      <c r="K459" s="23">
        <f t="shared" si="177"/>
        <v>14.867999999999999</v>
      </c>
      <c r="L459" s="23">
        <f t="shared" si="178"/>
        <v>16.317</v>
      </c>
      <c r="M459" s="206">
        <f t="shared" si="182"/>
        <v>163.17000000000002</v>
      </c>
      <c r="N459" s="34"/>
      <c r="O459" s="209">
        <f t="shared" si="169"/>
        <v>198</v>
      </c>
      <c r="P459" s="34">
        <f t="shared" si="179"/>
        <v>99120</v>
      </c>
      <c r="Q459" s="34">
        <f t="shared" si="180"/>
        <v>108780</v>
      </c>
      <c r="R459" s="7">
        <f t="shared" si="181"/>
        <v>-194.35500000000002</v>
      </c>
      <c r="S459" s="227">
        <f t="shared" si="173"/>
        <v>9465.6450000000004</v>
      </c>
      <c r="T459" s="249">
        <f t="shared" si="174"/>
        <v>9.549682203389831E-2</v>
      </c>
    </row>
    <row r="460" spans="2:20" s="33" customFormat="1" ht="15" customHeight="1" x14ac:dyDescent="0.4">
      <c r="B460" s="38" t="s">
        <v>24</v>
      </c>
      <c r="C460" s="6" t="s">
        <v>122</v>
      </c>
      <c r="D460" s="6">
        <f t="shared" si="176"/>
        <v>1</v>
      </c>
      <c r="E460" s="34">
        <v>14</v>
      </c>
      <c r="F460" s="212">
        <v>6970</v>
      </c>
      <c r="G460" s="195">
        <v>45716</v>
      </c>
      <c r="H460" s="8"/>
      <c r="I460" s="212">
        <v>7770</v>
      </c>
      <c r="J460" s="8">
        <v>45912</v>
      </c>
      <c r="K460" s="23">
        <f t="shared" si="177"/>
        <v>14.636999999999999</v>
      </c>
      <c r="L460" s="23">
        <f t="shared" si="178"/>
        <v>16.317</v>
      </c>
      <c r="M460" s="206">
        <f t="shared" si="182"/>
        <v>163.17000000000002</v>
      </c>
      <c r="N460" s="34"/>
      <c r="O460" s="209">
        <f t="shared" si="169"/>
        <v>197</v>
      </c>
      <c r="P460" s="34">
        <f t="shared" si="179"/>
        <v>97580</v>
      </c>
      <c r="Q460" s="34">
        <f t="shared" si="180"/>
        <v>108780</v>
      </c>
      <c r="R460" s="7">
        <f t="shared" si="181"/>
        <v>-194.12400000000002</v>
      </c>
      <c r="S460" s="227">
        <f t="shared" si="173"/>
        <v>11005.876</v>
      </c>
      <c r="T460" s="249">
        <f t="shared" si="174"/>
        <v>0.11278823529411765</v>
      </c>
    </row>
    <row r="461" spans="2:20" s="33" customFormat="1" ht="15" customHeight="1" x14ac:dyDescent="0.4">
      <c r="B461" s="38" t="s">
        <v>24</v>
      </c>
      <c r="C461" s="6" t="s">
        <v>122</v>
      </c>
      <c r="D461" s="6">
        <f t="shared" si="176"/>
        <v>1</v>
      </c>
      <c r="E461" s="34">
        <v>20</v>
      </c>
      <c r="F461" s="212">
        <v>6830</v>
      </c>
      <c r="G461" s="195">
        <v>45728</v>
      </c>
      <c r="H461" s="8"/>
      <c r="I461" s="212">
        <v>7770</v>
      </c>
      <c r="J461" s="8">
        <v>45912</v>
      </c>
      <c r="K461" s="23">
        <f t="shared" si="177"/>
        <v>20.49</v>
      </c>
      <c r="L461" s="23">
        <f t="shared" si="178"/>
        <v>23.31</v>
      </c>
      <c r="M461" s="206">
        <f t="shared" si="182"/>
        <v>233.1</v>
      </c>
      <c r="N461" s="34"/>
      <c r="O461" s="209">
        <f t="shared" si="169"/>
        <v>185</v>
      </c>
      <c r="P461" s="34">
        <f t="shared" si="179"/>
        <v>136600</v>
      </c>
      <c r="Q461" s="34">
        <f t="shared" si="180"/>
        <v>155400</v>
      </c>
      <c r="R461" s="7">
        <f t="shared" si="181"/>
        <v>-276.89999999999998</v>
      </c>
      <c r="S461" s="227">
        <f t="shared" si="173"/>
        <v>18523.099999999999</v>
      </c>
      <c r="T461" s="249">
        <f t="shared" si="174"/>
        <v>0.13560102489019032</v>
      </c>
    </row>
    <row r="462" spans="2:20" s="33" customFormat="1" ht="15" customHeight="1" x14ac:dyDescent="0.4">
      <c r="B462" s="38" t="s">
        <v>24</v>
      </c>
      <c r="C462" s="6" t="s">
        <v>122</v>
      </c>
      <c r="D462" s="6">
        <f t="shared" si="176"/>
        <v>1</v>
      </c>
      <c r="E462" s="34">
        <v>20</v>
      </c>
      <c r="F462" s="212">
        <v>6950</v>
      </c>
      <c r="G462" s="195">
        <v>45736</v>
      </c>
      <c r="H462" s="8"/>
      <c r="I462" s="212">
        <v>7770</v>
      </c>
      <c r="J462" s="8">
        <v>45912</v>
      </c>
      <c r="K462" s="23">
        <f t="shared" si="177"/>
        <v>20.849999999999998</v>
      </c>
      <c r="L462" s="23">
        <f t="shared" si="178"/>
        <v>23.31</v>
      </c>
      <c r="M462" s="206">
        <f t="shared" si="182"/>
        <v>233.1</v>
      </c>
      <c r="N462" s="34"/>
      <c r="O462" s="209">
        <f t="shared" si="169"/>
        <v>177</v>
      </c>
      <c r="P462" s="34">
        <f t="shared" si="179"/>
        <v>139000</v>
      </c>
      <c r="Q462" s="34">
        <f t="shared" si="180"/>
        <v>155400</v>
      </c>
      <c r="R462" s="7">
        <f t="shared" si="181"/>
        <v>-277.26</v>
      </c>
      <c r="S462" s="227">
        <f t="shared" si="173"/>
        <v>16122.74</v>
      </c>
      <c r="T462" s="249">
        <f t="shared" si="174"/>
        <v>0.11599093525179856</v>
      </c>
    </row>
    <row r="463" spans="2:20" s="33" customFormat="1" ht="15" customHeight="1" x14ac:dyDescent="0.4">
      <c r="B463" s="38" t="s">
        <v>24</v>
      </c>
      <c r="C463" s="6" t="s">
        <v>122</v>
      </c>
      <c r="D463" s="6">
        <f t="shared" si="176"/>
        <v>1</v>
      </c>
      <c r="E463" s="34">
        <v>15</v>
      </c>
      <c r="F463" s="212">
        <v>5900</v>
      </c>
      <c r="G463" s="195">
        <v>45754</v>
      </c>
      <c r="H463" s="8"/>
      <c r="I463" s="212">
        <v>7770</v>
      </c>
      <c r="J463" s="8">
        <v>45912</v>
      </c>
      <c r="K463" s="23">
        <f t="shared" si="177"/>
        <v>13.274999999999999</v>
      </c>
      <c r="L463" s="23">
        <f t="shared" si="178"/>
        <v>17.482499999999998</v>
      </c>
      <c r="M463" s="206">
        <f t="shared" si="182"/>
        <v>174.82500000000002</v>
      </c>
      <c r="N463" s="34"/>
      <c r="O463" s="209">
        <f t="shared" si="169"/>
        <v>159</v>
      </c>
      <c r="P463" s="34">
        <f t="shared" si="179"/>
        <v>88500</v>
      </c>
      <c r="Q463" s="34">
        <f t="shared" si="180"/>
        <v>116550</v>
      </c>
      <c r="R463" s="7">
        <f t="shared" si="181"/>
        <v>-205.58250000000001</v>
      </c>
      <c r="S463" s="227">
        <f t="shared" si="173"/>
        <v>27844.4175</v>
      </c>
      <c r="T463" s="249">
        <f t="shared" si="174"/>
        <v>0.31462618644067797</v>
      </c>
    </row>
    <row r="464" spans="2:20" s="33" customFormat="1" ht="15" customHeight="1" x14ac:dyDescent="0.4">
      <c r="B464" s="38" t="s">
        <v>24</v>
      </c>
      <c r="C464" s="6" t="s">
        <v>122</v>
      </c>
      <c r="D464" s="6">
        <f t="shared" si="176"/>
        <v>1</v>
      </c>
      <c r="E464" s="34">
        <v>10</v>
      </c>
      <c r="F464" s="212">
        <v>6850</v>
      </c>
      <c r="G464" s="195">
        <v>45779</v>
      </c>
      <c r="H464" s="8"/>
      <c r="I464" s="212">
        <v>7770</v>
      </c>
      <c r="J464" s="8">
        <v>45912</v>
      </c>
      <c r="K464" s="23">
        <f t="shared" si="177"/>
        <v>10.274999999999999</v>
      </c>
      <c r="L464" s="23">
        <f t="shared" si="178"/>
        <v>11.654999999999999</v>
      </c>
      <c r="M464" s="206">
        <f t="shared" si="182"/>
        <v>116.55</v>
      </c>
      <c r="N464" s="34"/>
      <c r="O464" s="209">
        <f t="shared" si="169"/>
        <v>134</v>
      </c>
      <c r="P464" s="34">
        <f t="shared" si="179"/>
        <v>68500</v>
      </c>
      <c r="Q464" s="34">
        <f t="shared" si="180"/>
        <v>77700</v>
      </c>
      <c r="R464" s="7">
        <f t="shared" si="181"/>
        <v>-138.47999999999999</v>
      </c>
      <c r="S464" s="227">
        <f t="shared" si="173"/>
        <v>9061.52</v>
      </c>
      <c r="T464" s="249">
        <f t="shared" si="174"/>
        <v>0.13228496350364966</v>
      </c>
    </row>
    <row r="465" spans="1:22" s="33" customFormat="1" ht="15" customHeight="1" x14ac:dyDescent="0.4">
      <c r="A465" s="33" t="s">
        <v>113</v>
      </c>
      <c r="B465" s="38" t="s">
        <v>24</v>
      </c>
      <c r="C465" s="6" t="s">
        <v>122</v>
      </c>
      <c r="D465" s="6">
        <f t="shared" si="176"/>
        <v>1</v>
      </c>
      <c r="E465" s="34">
        <v>100</v>
      </c>
      <c r="F465" s="212">
        <v>6060</v>
      </c>
      <c r="G465" s="195">
        <v>45820</v>
      </c>
      <c r="H465" s="33" t="s">
        <v>113</v>
      </c>
      <c r="I465" s="212">
        <v>7150</v>
      </c>
      <c r="J465" s="8">
        <v>45847</v>
      </c>
      <c r="K465" s="23">
        <f t="shared" si="177"/>
        <v>90.899999999999991</v>
      </c>
      <c r="L465" s="23">
        <f t="shared" si="178"/>
        <v>107.24999999999999</v>
      </c>
      <c r="M465" s="206">
        <f t="shared" si="182"/>
        <v>1072.5</v>
      </c>
      <c r="N465" s="34"/>
      <c r="O465" s="209">
        <f t="shared" si="169"/>
        <v>28</v>
      </c>
      <c r="P465" s="34">
        <f t="shared" si="179"/>
        <v>606000</v>
      </c>
      <c r="Q465" s="34">
        <f t="shared" si="180"/>
        <v>715000</v>
      </c>
      <c r="R465" s="7">
        <f t="shared" si="181"/>
        <v>-1270.6500000000001</v>
      </c>
      <c r="S465" s="227">
        <f t="shared" si="173"/>
        <v>107729.35</v>
      </c>
      <c r="T465" s="249">
        <f t="shared" si="174"/>
        <v>0.17777120462046206</v>
      </c>
      <c r="V465" s="36">
        <f t="shared" ref="V465:V472" si="183">+P465*0.05*O465/365</f>
        <v>2324.3835616438355</v>
      </c>
    </row>
    <row r="466" spans="1:22" s="33" customFormat="1" ht="15" customHeight="1" x14ac:dyDescent="0.4">
      <c r="A466" s="33" t="s">
        <v>113</v>
      </c>
      <c r="B466" s="38" t="s">
        <v>24</v>
      </c>
      <c r="C466" s="6" t="s">
        <v>122</v>
      </c>
      <c r="D466" s="6">
        <f t="shared" si="176"/>
        <v>1</v>
      </c>
      <c r="E466" s="34">
        <v>150</v>
      </c>
      <c r="F466" s="212">
        <v>6020</v>
      </c>
      <c r="G466" s="195">
        <v>45821</v>
      </c>
      <c r="H466" s="33" t="s">
        <v>113</v>
      </c>
      <c r="I466" s="212">
        <v>7770</v>
      </c>
      <c r="J466" s="8">
        <v>45912</v>
      </c>
      <c r="K466" s="23">
        <f t="shared" si="177"/>
        <v>135.44999999999999</v>
      </c>
      <c r="L466" s="23">
        <f t="shared" si="178"/>
        <v>174.82499999999999</v>
      </c>
      <c r="M466" s="206">
        <f t="shared" si="182"/>
        <v>1748.25</v>
      </c>
      <c r="N466" s="34"/>
      <c r="O466" s="209">
        <f t="shared" si="169"/>
        <v>92</v>
      </c>
      <c r="P466" s="34">
        <f t="shared" si="179"/>
        <v>903000</v>
      </c>
      <c r="Q466" s="34">
        <f t="shared" si="180"/>
        <v>1165500</v>
      </c>
      <c r="R466" s="7">
        <f t="shared" si="181"/>
        <v>-2058.5250000000001</v>
      </c>
      <c r="S466" s="227">
        <f t="shared" si="173"/>
        <v>260441.47500000001</v>
      </c>
      <c r="T466" s="249">
        <f t="shared" si="174"/>
        <v>0.28841802325581395</v>
      </c>
      <c r="V466" s="36">
        <f t="shared" si="183"/>
        <v>11380.273972602739</v>
      </c>
    </row>
    <row r="467" spans="1:22" s="33" customFormat="1" ht="15" customHeight="1" x14ac:dyDescent="0.4">
      <c r="A467" s="33" t="s">
        <v>113</v>
      </c>
      <c r="B467" s="38" t="s">
        <v>24</v>
      </c>
      <c r="C467" s="6" t="s">
        <v>122</v>
      </c>
      <c r="D467" s="6">
        <f t="shared" ref="D467:D489" si="184">IF(OR($C467="신한",$C467="OTC",$C467="무상증자(신한)",$C467="토스",$C467="R토스"),1,"확인")</f>
        <v>1</v>
      </c>
      <c r="E467" s="34">
        <v>200</v>
      </c>
      <c r="F467" s="212">
        <v>5900</v>
      </c>
      <c r="G467" s="195">
        <v>45824</v>
      </c>
      <c r="H467" s="33" t="s">
        <v>113</v>
      </c>
      <c r="I467" s="212">
        <v>7150</v>
      </c>
      <c r="J467" s="8">
        <v>45847</v>
      </c>
      <c r="K467" s="23">
        <f t="shared" ref="K467:K489" si="185">IF($C467="OTC",ROUNDDOWN($E467*$F467*0.000909187,-1),(IF($C467="신한",ROUNDDOWN($E467*$F467*0.000036396,-1),(IF($C467="토스",$E467*$F467*0.00015,(IF($C467="US",(IF($E467*$F467*0.0025&gt;0.01,$E467*$F467*0.0025,0.01)),IF($C467="JP",(IF($E467*$F467*0.0025&gt;1000,$E467*$F467*0.0025,1000)),(IF($C467="R토스",0,IF($C467="무상증자(신한)",0,"")))))))))))</f>
        <v>176.99999999999997</v>
      </c>
      <c r="L467" s="23">
        <f t="shared" ref="L467:L489" si="186">IF($C467="OTC",ROUNDDOWN($I467*$E467*0.000909187,-1),(IF($C467="신한",ROUNDDOWN($I467*$E467*0.000036396,-1),(IF($C467="토스",$I467*$E467*0.00015,(IF($C467="US",(IF($I467*$E467*0.0025&gt;0.01,$I467*$E467*0.0025,0.01)),(IF($C467="JP",(IF($I467*$E467*0.0025&gt;1000,$I467*$E467*0.0025,1000)),(IF($C467="R토스",$I467*$E467*0.00015,(IF($C467="무상증자(신한)",ROUNDDOWN($I467*$E467*0.000036396,-1),"")))))))))))))</f>
        <v>214.49999999999997</v>
      </c>
      <c r="M467" s="206">
        <f t="shared" si="182"/>
        <v>2145</v>
      </c>
      <c r="N467" s="34"/>
      <c r="O467" s="209">
        <f t="shared" si="169"/>
        <v>24</v>
      </c>
      <c r="P467" s="34">
        <f t="shared" ref="P467:P489" si="187">$E467*$F467*$D467</f>
        <v>1180000</v>
      </c>
      <c r="Q467" s="34">
        <f t="shared" ref="Q467:Q489" si="188">$E467*$I467*$D467</f>
        <v>1430000</v>
      </c>
      <c r="R467" s="7">
        <f t="shared" ref="R467:R489" si="189">($N467-$K467-$L467-$M467)*$D467</f>
        <v>-2536.5</v>
      </c>
      <c r="S467" s="227">
        <f t="shared" si="173"/>
        <v>247463.5</v>
      </c>
      <c r="T467" s="249">
        <f t="shared" si="174"/>
        <v>0.20971483050847459</v>
      </c>
      <c r="V467" s="36">
        <f t="shared" si="183"/>
        <v>3879.4520547945203</v>
      </c>
    </row>
    <row r="468" spans="1:22" s="33" customFormat="1" ht="15" customHeight="1" x14ac:dyDescent="0.4">
      <c r="A468" s="33" t="s">
        <v>113</v>
      </c>
      <c r="B468" s="38" t="s">
        <v>24</v>
      </c>
      <c r="C468" s="6" t="s">
        <v>122</v>
      </c>
      <c r="D468" s="6">
        <f t="shared" si="184"/>
        <v>1</v>
      </c>
      <c r="E468" s="34">
        <v>50</v>
      </c>
      <c r="F468" s="212">
        <v>6290</v>
      </c>
      <c r="G468" s="195">
        <v>45824</v>
      </c>
      <c r="H468" s="33" t="s">
        <v>113</v>
      </c>
      <c r="I468" s="212">
        <v>7150</v>
      </c>
      <c r="J468" s="8">
        <v>45847</v>
      </c>
      <c r="K468" s="23">
        <f t="shared" si="185"/>
        <v>47.174999999999997</v>
      </c>
      <c r="L468" s="23">
        <f t="shared" si="186"/>
        <v>53.624999999999993</v>
      </c>
      <c r="M468" s="206">
        <f t="shared" si="182"/>
        <v>536.25</v>
      </c>
      <c r="N468" s="34"/>
      <c r="O468" s="209">
        <f t="shared" si="169"/>
        <v>24</v>
      </c>
      <c r="P468" s="34">
        <f t="shared" si="187"/>
        <v>314500</v>
      </c>
      <c r="Q468" s="34">
        <f t="shared" si="188"/>
        <v>357500</v>
      </c>
      <c r="R468" s="7">
        <f t="shared" si="189"/>
        <v>-637.04999999999995</v>
      </c>
      <c r="S468" s="227">
        <f t="shared" si="173"/>
        <v>42362.95</v>
      </c>
      <c r="T468" s="249">
        <f t="shared" si="174"/>
        <v>0.13469936406995231</v>
      </c>
      <c r="V468" s="36">
        <f t="shared" si="183"/>
        <v>1033.972602739726</v>
      </c>
    </row>
    <row r="469" spans="1:22" s="33" customFormat="1" ht="15" customHeight="1" x14ac:dyDescent="0.4">
      <c r="A469" s="33" t="s">
        <v>113</v>
      </c>
      <c r="B469" s="38" t="s">
        <v>24</v>
      </c>
      <c r="C469" s="6" t="s">
        <v>122</v>
      </c>
      <c r="D469" s="6">
        <f t="shared" si="184"/>
        <v>1</v>
      </c>
      <c r="E469" s="34">
        <v>100</v>
      </c>
      <c r="F469" s="212">
        <v>6310</v>
      </c>
      <c r="G469" s="195">
        <v>45825</v>
      </c>
      <c r="H469" s="33" t="s">
        <v>113</v>
      </c>
      <c r="I469" s="212">
        <v>7150</v>
      </c>
      <c r="J469" s="8">
        <v>45847</v>
      </c>
      <c r="K469" s="23">
        <f t="shared" si="185"/>
        <v>94.649999999999991</v>
      </c>
      <c r="L469" s="23">
        <f t="shared" si="186"/>
        <v>107.24999999999999</v>
      </c>
      <c r="M469" s="206">
        <f t="shared" si="182"/>
        <v>1072.5</v>
      </c>
      <c r="N469" s="34"/>
      <c r="O469" s="209">
        <f t="shared" si="169"/>
        <v>23</v>
      </c>
      <c r="P469" s="34">
        <f t="shared" si="187"/>
        <v>631000</v>
      </c>
      <c r="Q469" s="34">
        <f t="shared" si="188"/>
        <v>715000</v>
      </c>
      <c r="R469" s="7">
        <f t="shared" si="189"/>
        <v>-1274.4000000000001</v>
      </c>
      <c r="S469" s="227">
        <f t="shared" si="173"/>
        <v>82725.600000000006</v>
      </c>
      <c r="T469" s="249">
        <f t="shared" si="174"/>
        <v>0.13110237717908083</v>
      </c>
      <c r="V469" s="36">
        <f t="shared" si="183"/>
        <v>1988.0821917808219</v>
      </c>
    </row>
    <row r="470" spans="1:22" s="33" customFormat="1" ht="15" customHeight="1" x14ac:dyDescent="0.4">
      <c r="A470" s="33" t="s">
        <v>113</v>
      </c>
      <c r="B470" s="38" t="s">
        <v>24</v>
      </c>
      <c r="C470" s="6" t="s">
        <v>122</v>
      </c>
      <c r="D470" s="6">
        <f t="shared" si="184"/>
        <v>1</v>
      </c>
      <c r="E470" s="34">
        <v>100</v>
      </c>
      <c r="F470" s="212">
        <v>6660</v>
      </c>
      <c r="G470" s="195">
        <v>45825</v>
      </c>
      <c r="H470" s="33" t="s">
        <v>113</v>
      </c>
      <c r="I470" s="212">
        <v>7150</v>
      </c>
      <c r="J470" s="8">
        <v>45847</v>
      </c>
      <c r="K470" s="23">
        <f t="shared" si="185"/>
        <v>99.899999999999991</v>
      </c>
      <c r="L470" s="23">
        <f t="shared" si="186"/>
        <v>107.24999999999999</v>
      </c>
      <c r="M470" s="206">
        <f t="shared" si="182"/>
        <v>1072.5</v>
      </c>
      <c r="N470" s="34"/>
      <c r="O470" s="209">
        <f t="shared" si="169"/>
        <v>23</v>
      </c>
      <c r="P470" s="34">
        <f t="shared" si="187"/>
        <v>666000</v>
      </c>
      <c r="Q470" s="34">
        <f t="shared" si="188"/>
        <v>715000</v>
      </c>
      <c r="R470" s="7">
        <f t="shared" si="189"/>
        <v>-1279.6500000000001</v>
      </c>
      <c r="S470" s="227">
        <f t="shared" si="173"/>
        <v>47720.35</v>
      </c>
      <c r="T470" s="249">
        <f t="shared" si="174"/>
        <v>7.1652177177177173E-2</v>
      </c>
      <c r="V470" s="36">
        <f t="shared" si="183"/>
        <v>2098.3561643835615</v>
      </c>
    </row>
    <row r="471" spans="1:22" s="33" customFormat="1" ht="15" customHeight="1" x14ac:dyDescent="0.4">
      <c r="A471" s="33" t="s">
        <v>113</v>
      </c>
      <c r="B471" s="38" t="s">
        <v>24</v>
      </c>
      <c r="C471" s="6" t="s">
        <v>122</v>
      </c>
      <c r="D471" s="6">
        <f t="shared" si="184"/>
        <v>1</v>
      </c>
      <c r="E471" s="34">
        <v>50</v>
      </c>
      <c r="F471" s="212">
        <v>6360</v>
      </c>
      <c r="G471" s="195">
        <v>45826</v>
      </c>
      <c r="H471" s="33" t="s">
        <v>113</v>
      </c>
      <c r="I471" s="212">
        <v>7150</v>
      </c>
      <c r="J471" s="8">
        <v>45847</v>
      </c>
      <c r="K471" s="23">
        <f t="shared" si="185"/>
        <v>47.699999999999996</v>
      </c>
      <c r="L471" s="23">
        <f t="shared" si="186"/>
        <v>53.624999999999993</v>
      </c>
      <c r="M471" s="206">
        <f t="shared" ref="M471:M489" si="190">Q471*0.0015</f>
        <v>536.25</v>
      </c>
      <c r="N471" s="34"/>
      <c r="O471" s="209">
        <f t="shared" si="169"/>
        <v>22</v>
      </c>
      <c r="P471" s="34">
        <f t="shared" si="187"/>
        <v>318000</v>
      </c>
      <c r="Q471" s="34">
        <f t="shared" si="188"/>
        <v>357500</v>
      </c>
      <c r="R471" s="7">
        <f t="shared" si="189"/>
        <v>-637.57500000000005</v>
      </c>
      <c r="S471" s="227">
        <f t="shared" si="173"/>
        <v>38862.425000000003</v>
      </c>
      <c r="T471" s="249">
        <f t="shared" si="174"/>
        <v>0.12220888364779875</v>
      </c>
      <c r="V471" s="36">
        <f t="shared" si="183"/>
        <v>958.35616438356169</v>
      </c>
    </row>
    <row r="472" spans="1:22" s="33" customFormat="1" ht="15" customHeight="1" x14ac:dyDescent="0.4">
      <c r="A472" s="33" t="s">
        <v>113</v>
      </c>
      <c r="B472" s="38" t="s">
        <v>24</v>
      </c>
      <c r="C472" s="6" t="s">
        <v>122</v>
      </c>
      <c r="D472" s="6">
        <f t="shared" si="184"/>
        <v>1</v>
      </c>
      <c r="E472" s="34">
        <v>300</v>
      </c>
      <c r="F472" s="212">
        <v>7100</v>
      </c>
      <c r="G472" s="195">
        <v>45848</v>
      </c>
      <c r="H472" s="33" t="s">
        <v>113</v>
      </c>
      <c r="I472" s="212">
        <v>7770</v>
      </c>
      <c r="J472" s="8">
        <v>45912</v>
      </c>
      <c r="K472" s="23">
        <f t="shared" si="185"/>
        <v>319.5</v>
      </c>
      <c r="L472" s="23">
        <f t="shared" si="186"/>
        <v>349.65</v>
      </c>
      <c r="M472" s="206">
        <f t="shared" si="190"/>
        <v>3496.5</v>
      </c>
      <c r="N472" s="34"/>
      <c r="O472" s="209">
        <f t="shared" si="169"/>
        <v>65</v>
      </c>
      <c r="P472" s="34">
        <f t="shared" si="187"/>
        <v>2130000</v>
      </c>
      <c r="Q472" s="34">
        <f t="shared" si="188"/>
        <v>2331000</v>
      </c>
      <c r="R472" s="7">
        <f t="shared" si="189"/>
        <v>-4165.6499999999996</v>
      </c>
      <c r="S472" s="227">
        <f t="shared" si="173"/>
        <v>196834.35</v>
      </c>
      <c r="T472" s="249">
        <f t="shared" si="174"/>
        <v>9.2410492957746476E-2</v>
      </c>
      <c r="V472" s="36">
        <f t="shared" si="183"/>
        <v>18965.753424657534</v>
      </c>
    </row>
    <row r="473" spans="1:22" s="33" customFormat="1" ht="15" customHeight="1" x14ac:dyDescent="0.4">
      <c r="B473" s="38" t="s">
        <v>52</v>
      </c>
      <c r="C473" s="6" t="s">
        <v>160</v>
      </c>
      <c r="D473" s="6">
        <f t="shared" si="184"/>
        <v>1</v>
      </c>
      <c r="E473" s="34">
        <v>25</v>
      </c>
      <c r="F473" s="212">
        <v>11750</v>
      </c>
      <c r="G473" s="195">
        <v>45068</v>
      </c>
      <c r="H473" s="8"/>
      <c r="I473" s="212">
        <v>12500</v>
      </c>
      <c r="J473" s="8">
        <v>45859</v>
      </c>
      <c r="K473" s="23">
        <f t="shared" si="185"/>
        <v>10</v>
      </c>
      <c r="L473" s="23">
        <f t="shared" si="186"/>
        <v>10</v>
      </c>
      <c r="M473" s="206">
        <f t="shared" si="190"/>
        <v>468.75</v>
      </c>
      <c r="N473" s="34">
        <f>180*E473*(1-0.154)+180*E473*(1-0.154)</f>
        <v>7614</v>
      </c>
      <c r="O473" s="209">
        <f t="shared" si="169"/>
        <v>792</v>
      </c>
      <c r="P473" s="34">
        <f t="shared" si="187"/>
        <v>293750</v>
      </c>
      <c r="Q473" s="34">
        <f t="shared" si="188"/>
        <v>312500</v>
      </c>
      <c r="R473" s="7">
        <f t="shared" si="189"/>
        <v>7125.25</v>
      </c>
      <c r="S473" s="227">
        <f t="shared" si="173"/>
        <v>25875.25</v>
      </c>
      <c r="T473" s="249">
        <f t="shared" si="174"/>
        <v>8.8085957446808513E-2</v>
      </c>
    </row>
    <row r="474" spans="1:22" s="33" customFormat="1" ht="15" customHeight="1" x14ac:dyDescent="0.4">
      <c r="B474" s="38" t="s">
        <v>52</v>
      </c>
      <c r="C474" s="6" t="s">
        <v>160</v>
      </c>
      <c r="D474" s="6">
        <f t="shared" si="184"/>
        <v>1</v>
      </c>
      <c r="E474" s="34">
        <v>13</v>
      </c>
      <c r="F474" s="212">
        <v>11750</v>
      </c>
      <c r="G474" s="195">
        <v>45077</v>
      </c>
      <c r="H474" s="8"/>
      <c r="I474" s="212">
        <v>12500</v>
      </c>
      <c r="J474" s="8">
        <v>45859</v>
      </c>
      <c r="K474" s="23">
        <f t="shared" si="185"/>
        <v>0</v>
      </c>
      <c r="L474" s="23">
        <f t="shared" si="186"/>
        <v>0</v>
      </c>
      <c r="M474" s="206">
        <f t="shared" si="190"/>
        <v>243.75</v>
      </c>
      <c r="N474" s="34">
        <f>180*E474*(1-0.154)+180*E474*(1-0.154)</f>
        <v>3959.2799999999997</v>
      </c>
      <c r="O474" s="209">
        <f t="shared" si="169"/>
        <v>783</v>
      </c>
      <c r="P474" s="34">
        <f t="shared" si="187"/>
        <v>152750</v>
      </c>
      <c r="Q474" s="34">
        <f t="shared" si="188"/>
        <v>162500</v>
      </c>
      <c r="R474" s="7">
        <f t="shared" si="189"/>
        <v>3715.5299999999997</v>
      </c>
      <c r="S474" s="227">
        <f t="shared" si="173"/>
        <v>13465.529999999999</v>
      </c>
      <c r="T474" s="249">
        <f t="shared" si="174"/>
        <v>8.8154042553191481E-2</v>
      </c>
    </row>
    <row r="475" spans="1:22" s="33" customFormat="1" ht="15" customHeight="1" x14ac:dyDescent="0.4">
      <c r="B475" s="38" t="s">
        <v>52</v>
      </c>
      <c r="C475" s="6" t="s">
        <v>160</v>
      </c>
      <c r="D475" s="6">
        <f t="shared" si="184"/>
        <v>1</v>
      </c>
      <c r="E475" s="34">
        <v>17</v>
      </c>
      <c r="F475" s="212">
        <v>11380</v>
      </c>
      <c r="G475" s="195">
        <v>45085</v>
      </c>
      <c r="H475" s="8"/>
      <c r="I475" s="212">
        <v>12500</v>
      </c>
      <c r="J475" s="8">
        <v>45859</v>
      </c>
      <c r="K475" s="23">
        <f t="shared" si="185"/>
        <v>0</v>
      </c>
      <c r="L475" s="23">
        <f t="shared" si="186"/>
        <v>0</v>
      </c>
      <c r="M475" s="206">
        <f t="shared" si="190"/>
        <v>318.75</v>
      </c>
      <c r="N475" s="34">
        <f>180*E475*(1-0.154)+180*E475*(1-0.154)</f>
        <v>5177.5199999999995</v>
      </c>
      <c r="O475" s="209">
        <f t="shared" si="169"/>
        <v>775</v>
      </c>
      <c r="P475" s="34">
        <f t="shared" si="187"/>
        <v>193460</v>
      </c>
      <c r="Q475" s="34">
        <f t="shared" si="188"/>
        <v>212500</v>
      </c>
      <c r="R475" s="7">
        <f t="shared" si="189"/>
        <v>4858.7699999999995</v>
      </c>
      <c r="S475" s="227">
        <f t="shared" si="173"/>
        <v>23898.77</v>
      </c>
      <c r="T475" s="249">
        <f t="shared" si="174"/>
        <v>0.12353339191564147</v>
      </c>
    </row>
    <row r="476" spans="1:22" s="33" customFormat="1" ht="15" customHeight="1" x14ac:dyDescent="0.4">
      <c r="B476" s="38" t="s">
        <v>52</v>
      </c>
      <c r="C476" s="6" t="s">
        <v>160</v>
      </c>
      <c r="D476" s="6">
        <f t="shared" si="184"/>
        <v>1</v>
      </c>
      <c r="E476" s="34">
        <v>22</v>
      </c>
      <c r="F476" s="212">
        <v>11700</v>
      </c>
      <c r="G476" s="195">
        <v>45098</v>
      </c>
      <c r="H476" s="8"/>
      <c r="I476" s="212">
        <v>12500</v>
      </c>
      <c r="J476" s="8">
        <v>45859</v>
      </c>
      <c r="K476" s="23">
        <f t="shared" si="185"/>
        <v>0</v>
      </c>
      <c r="L476" s="23">
        <f t="shared" si="186"/>
        <v>10</v>
      </c>
      <c r="M476" s="206">
        <f t="shared" si="190"/>
        <v>412.5</v>
      </c>
      <c r="N476" s="34">
        <f>180*E476*(1-0.154)+180*E476*(1-0.154)</f>
        <v>6700.32</v>
      </c>
      <c r="O476" s="209">
        <f t="shared" si="169"/>
        <v>762</v>
      </c>
      <c r="P476" s="34">
        <f t="shared" si="187"/>
        <v>257400</v>
      </c>
      <c r="Q476" s="34">
        <f t="shared" si="188"/>
        <v>275000</v>
      </c>
      <c r="R476" s="7">
        <f t="shared" si="189"/>
        <v>6277.82</v>
      </c>
      <c r="S476" s="227">
        <f t="shared" si="173"/>
        <v>23877.82</v>
      </c>
      <c r="T476" s="249">
        <f t="shared" si="174"/>
        <v>9.2765423465423463E-2</v>
      </c>
    </row>
    <row r="477" spans="1:22" s="33" customFormat="1" ht="15" customHeight="1" x14ac:dyDescent="0.4">
      <c r="B477" s="38" t="s">
        <v>52</v>
      </c>
      <c r="C477" s="6" t="s">
        <v>160</v>
      </c>
      <c r="D477" s="6">
        <f t="shared" si="184"/>
        <v>1</v>
      </c>
      <c r="E477" s="34">
        <v>9</v>
      </c>
      <c r="F477" s="212">
        <v>10900</v>
      </c>
      <c r="G477" s="195">
        <v>45364</v>
      </c>
      <c r="H477" s="8"/>
      <c r="I477" s="212">
        <v>12500</v>
      </c>
      <c r="J477" s="8">
        <v>45859</v>
      </c>
      <c r="K477" s="23">
        <f t="shared" si="185"/>
        <v>0</v>
      </c>
      <c r="L477" s="23">
        <f t="shared" si="186"/>
        <v>0</v>
      </c>
      <c r="M477" s="206">
        <f t="shared" si="190"/>
        <v>168.75</v>
      </c>
      <c r="N477" s="34">
        <f>180*E477*(1-0.154)</f>
        <v>1370.52</v>
      </c>
      <c r="O477" s="209">
        <f t="shared" si="169"/>
        <v>496</v>
      </c>
      <c r="P477" s="34">
        <f t="shared" si="187"/>
        <v>98100</v>
      </c>
      <c r="Q477" s="34">
        <f t="shared" si="188"/>
        <v>112500</v>
      </c>
      <c r="R477" s="7">
        <f t="shared" si="189"/>
        <v>1201.77</v>
      </c>
      <c r="S477" s="227">
        <f t="shared" si="173"/>
        <v>15601.77</v>
      </c>
      <c r="T477" s="249">
        <f t="shared" si="174"/>
        <v>0.15903944954128441</v>
      </c>
    </row>
    <row r="478" spans="1:22" s="33" customFormat="1" ht="15" customHeight="1" x14ac:dyDescent="0.4">
      <c r="B478" s="38" t="s">
        <v>52</v>
      </c>
      <c r="C478" s="6" t="s">
        <v>160</v>
      </c>
      <c r="D478" s="6">
        <f t="shared" si="184"/>
        <v>1</v>
      </c>
      <c r="E478" s="34">
        <v>1</v>
      </c>
      <c r="F478" s="212">
        <v>6150</v>
      </c>
      <c r="G478" s="195">
        <v>45667</v>
      </c>
      <c r="H478" s="8"/>
      <c r="I478" s="212">
        <v>12500</v>
      </c>
      <c r="J478" s="8">
        <v>45859</v>
      </c>
      <c r="K478" s="23">
        <f t="shared" si="185"/>
        <v>0</v>
      </c>
      <c r="L478" s="23">
        <f t="shared" si="186"/>
        <v>0</v>
      </c>
      <c r="M478" s="206">
        <f t="shared" si="190"/>
        <v>18.75</v>
      </c>
      <c r="N478" s="34"/>
      <c r="O478" s="209">
        <f t="shared" ref="O478:O545" si="191">J478-G478+1</f>
        <v>193</v>
      </c>
      <c r="P478" s="34">
        <f t="shared" si="187"/>
        <v>6150</v>
      </c>
      <c r="Q478" s="34">
        <f t="shared" si="188"/>
        <v>12500</v>
      </c>
      <c r="R478" s="7">
        <f t="shared" si="189"/>
        <v>-18.75</v>
      </c>
      <c r="S478" s="227">
        <f t="shared" ref="S478:S541" si="192">IF(Q478=0,0,Q478-P478+R478)</f>
        <v>6331.25</v>
      </c>
      <c r="T478" s="249">
        <f t="shared" ref="T478:T541" si="193">S478/P478</f>
        <v>1.0294715447154472</v>
      </c>
    </row>
    <row r="479" spans="1:22" s="33" customFormat="1" ht="15" customHeight="1" x14ac:dyDescent="0.4">
      <c r="B479" s="38" t="s">
        <v>52</v>
      </c>
      <c r="C479" s="6" t="s">
        <v>160</v>
      </c>
      <c r="D479" s="6">
        <f t="shared" si="184"/>
        <v>1</v>
      </c>
      <c r="E479" s="34">
        <v>1</v>
      </c>
      <c r="F479" s="212">
        <v>6100</v>
      </c>
      <c r="G479" s="195">
        <v>45698</v>
      </c>
      <c r="H479" s="8"/>
      <c r="I479" s="212">
        <v>12500</v>
      </c>
      <c r="J479" s="8">
        <v>45859</v>
      </c>
      <c r="K479" s="23">
        <f t="shared" si="185"/>
        <v>0</v>
      </c>
      <c r="L479" s="23">
        <f t="shared" si="186"/>
        <v>0</v>
      </c>
      <c r="M479" s="206">
        <f t="shared" si="190"/>
        <v>18.75</v>
      </c>
      <c r="N479" s="34"/>
      <c r="O479" s="209">
        <f t="shared" si="191"/>
        <v>162</v>
      </c>
      <c r="P479" s="34">
        <f t="shared" si="187"/>
        <v>6100</v>
      </c>
      <c r="Q479" s="34">
        <f t="shared" si="188"/>
        <v>12500</v>
      </c>
      <c r="R479" s="7">
        <f t="shared" si="189"/>
        <v>-18.75</v>
      </c>
      <c r="S479" s="227">
        <f t="shared" si="192"/>
        <v>6381.25</v>
      </c>
      <c r="T479" s="249">
        <f t="shared" si="193"/>
        <v>1.0461065573770492</v>
      </c>
    </row>
    <row r="480" spans="1:22" s="33" customFormat="1" ht="15" customHeight="1" x14ac:dyDescent="0.4">
      <c r="B480" s="38" t="s">
        <v>52</v>
      </c>
      <c r="C480" s="6" t="s">
        <v>160</v>
      </c>
      <c r="D480" s="6">
        <f t="shared" si="184"/>
        <v>1</v>
      </c>
      <c r="E480" s="34">
        <v>1</v>
      </c>
      <c r="F480" s="212">
        <v>6670</v>
      </c>
      <c r="G480" s="195">
        <v>45726</v>
      </c>
      <c r="H480" s="8"/>
      <c r="I480" s="212">
        <v>12500</v>
      </c>
      <c r="J480" s="8">
        <v>45859</v>
      </c>
      <c r="K480" s="23">
        <f t="shared" si="185"/>
        <v>0</v>
      </c>
      <c r="L480" s="23">
        <f t="shared" si="186"/>
        <v>0</v>
      </c>
      <c r="M480" s="206">
        <f t="shared" si="190"/>
        <v>18.75</v>
      </c>
      <c r="N480" s="34"/>
      <c r="O480" s="209">
        <f t="shared" si="191"/>
        <v>134</v>
      </c>
      <c r="P480" s="34">
        <f t="shared" si="187"/>
        <v>6670</v>
      </c>
      <c r="Q480" s="34">
        <f t="shared" si="188"/>
        <v>12500</v>
      </c>
      <c r="R480" s="7">
        <f t="shared" si="189"/>
        <v>-18.75</v>
      </c>
      <c r="S480" s="227">
        <f t="shared" si="192"/>
        <v>5811.25</v>
      </c>
      <c r="T480" s="249">
        <f t="shared" si="193"/>
        <v>0.87125187406296856</v>
      </c>
    </row>
    <row r="481" spans="2:22" s="33" customFormat="1" ht="15" customHeight="1" x14ac:dyDescent="0.4">
      <c r="B481" s="38" t="s">
        <v>52</v>
      </c>
      <c r="C481" s="6" t="s">
        <v>160</v>
      </c>
      <c r="D481" s="6">
        <f t="shared" si="184"/>
        <v>1</v>
      </c>
      <c r="E481" s="34">
        <v>1</v>
      </c>
      <c r="F481" s="212">
        <v>6840</v>
      </c>
      <c r="G481" s="195">
        <v>45757</v>
      </c>
      <c r="H481" s="8"/>
      <c r="I481" s="212">
        <v>12500</v>
      </c>
      <c r="J481" s="8">
        <v>45859</v>
      </c>
      <c r="K481" s="23">
        <f t="shared" si="185"/>
        <v>0</v>
      </c>
      <c r="L481" s="23">
        <f t="shared" si="186"/>
        <v>0</v>
      </c>
      <c r="M481" s="206">
        <f t="shared" si="190"/>
        <v>18.75</v>
      </c>
      <c r="N481" s="34"/>
      <c r="O481" s="209">
        <f t="shared" si="191"/>
        <v>103</v>
      </c>
      <c r="P481" s="34">
        <f t="shared" si="187"/>
        <v>6840</v>
      </c>
      <c r="Q481" s="34">
        <f t="shared" si="188"/>
        <v>12500</v>
      </c>
      <c r="R481" s="7">
        <f t="shared" si="189"/>
        <v>-18.75</v>
      </c>
      <c r="S481" s="227">
        <f t="shared" si="192"/>
        <v>5641.25</v>
      </c>
      <c r="T481" s="249">
        <f t="shared" si="193"/>
        <v>0.82474415204678364</v>
      </c>
    </row>
    <row r="482" spans="2:22" s="33" customFormat="1" ht="15" customHeight="1" x14ac:dyDescent="0.4">
      <c r="B482" s="38" t="s">
        <v>52</v>
      </c>
      <c r="C482" s="6" t="s">
        <v>160</v>
      </c>
      <c r="D482" s="6">
        <f t="shared" si="184"/>
        <v>1</v>
      </c>
      <c r="E482" s="34">
        <v>1</v>
      </c>
      <c r="F482" s="212">
        <v>7490</v>
      </c>
      <c r="G482" s="195">
        <v>45789</v>
      </c>
      <c r="H482" s="8"/>
      <c r="I482" s="212">
        <v>12500</v>
      </c>
      <c r="J482" s="8">
        <v>45859</v>
      </c>
      <c r="K482" s="23">
        <f t="shared" si="185"/>
        <v>0</v>
      </c>
      <c r="L482" s="23">
        <f t="shared" si="186"/>
        <v>0</v>
      </c>
      <c r="M482" s="206">
        <f t="shared" si="190"/>
        <v>18.75</v>
      </c>
      <c r="N482" s="34"/>
      <c r="O482" s="209">
        <f t="shared" si="191"/>
        <v>71</v>
      </c>
      <c r="P482" s="34">
        <f t="shared" si="187"/>
        <v>7490</v>
      </c>
      <c r="Q482" s="34">
        <f t="shared" si="188"/>
        <v>12500</v>
      </c>
      <c r="R482" s="7">
        <f t="shared" si="189"/>
        <v>-18.75</v>
      </c>
      <c r="S482" s="227">
        <f t="shared" si="192"/>
        <v>4991.25</v>
      </c>
      <c r="T482" s="249">
        <f t="shared" si="193"/>
        <v>0.66638851802403209</v>
      </c>
    </row>
    <row r="483" spans="2:22" s="33" customFormat="1" ht="15" customHeight="1" x14ac:dyDescent="0.4">
      <c r="B483" s="38" t="s">
        <v>52</v>
      </c>
      <c r="C483" s="6" t="s">
        <v>160</v>
      </c>
      <c r="D483" s="6">
        <f t="shared" si="184"/>
        <v>1</v>
      </c>
      <c r="E483" s="34">
        <v>1</v>
      </c>
      <c r="F483" s="212">
        <v>7950</v>
      </c>
      <c r="G483" s="195">
        <v>45818</v>
      </c>
      <c r="H483" s="8"/>
      <c r="I483" s="212">
        <v>12500</v>
      </c>
      <c r="J483" s="8">
        <v>45859</v>
      </c>
      <c r="K483" s="23">
        <f t="shared" si="185"/>
        <v>0</v>
      </c>
      <c r="L483" s="23">
        <f t="shared" si="186"/>
        <v>0</v>
      </c>
      <c r="M483" s="206">
        <f t="shared" si="190"/>
        <v>18.75</v>
      </c>
      <c r="N483" s="34"/>
      <c r="O483" s="209">
        <f t="shared" si="191"/>
        <v>42</v>
      </c>
      <c r="P483" s="34">
        <f t="shared" si="187"/>
        <v>7950</v>
      </c>
      <c r="Q483" s="34">
        <f t="shared" si="188"/>
        <v>12500</v>
      </c>
      <c r="R483" s="7">
        <f t="shared" si="189"/>
        <v>-18.75</v>
      </c>
      <c r="S483" s="227">
        <f t="shared" si="192"/>
        <v>4531.25</v>
      </c>
      <c r="T483" s="249">
        <f t="shared" si="193"/>
        <v>0.56996855345911945</v>
      </c>
    </row>
    <row r="484" spans="2:22" s="33" customFormat="1" ht="15" customHeight="1" x14ac:dyDescent="0.4">
      <c r="B484" s="38" t="s">
        <v>52</v>
      </c>
      <c r="C484" s="6" t="s">
        <v>160</v>
      </c>
      <c r="D484" s="6">
        <f t="shared" si="184"/>
        <v>1</v>
      </c>
      <c r="E484" s="34">
        <v>15</v>
      </c>
      <c r="F484" s="212">
        <v>9560</v>
      </c>
      <c r="G484" s="195">
        <v>45826</v>
      </c>
      <c r="H484" s="8"/>
      <c r="I484" s="212">
        <v>12500</v>
      </c>
      <c r="J484" s="8">
        <v>45859</v>
      </c>
      <c r="K484" s="23">
        <f t="shared" si="185"/>
        <v>0</v>
      </c>
      <c r="L484" s="23">
        <f t="shared" si="186"/>
        <v>0</v>
      </c>
      <c r="M484" s="206">
        <f t="shared" si="190"/>
        <v>281.25</v>
      </c>
      <c r="N484" s="34"/>
      <c r="O484" s="209">
        <f t="shared" si="191"/>
        <v>34</v>
      </c>
      <c r="P484" s="34">
        <f t="shared" si="187"/>
        <v>143400</v>
      </c>
      <c r="Q484" s="34">
        <f t="shared" si="188"/>
        <v>187500</v>
      </c>
      <c r="R484" s="7">
        <f t="shared" si="189"/>
        <v>-281.25</v>
      </c>
      <c r="S484" s="227">
        <f t="shared" si="192"/>
        <v>43818.75</v>
      </c>
      <c r="T484" s="249">
        <f t="shared" si="193"/>
        <v>0.30557008368200839</v>
      </c>
    </row>
    <row r="485" spans="2:22" s="33" customFormat="1" ht="15" customHeight="1" x14ac:dyDescent="0.4">
      <c r="B485" s="38" t="s">
        <v>52</v>
      </c>
      <c r="C485" s="6" t="s">
        <v>160</v>
      </c>
      <c r="D485" s="6">
        <f t="shared" si="184"/>
        <v>1</v>
      </c>
      <c r="E485" s="34">
        <v>50</v>
      </c>
      <c r="F485" s="212">
        <v>9400</v>
      </c>
      <c r="G485" s="195">
        <v>45831</v>
      </c>
      <c r="H485" s="8"/>
      <c r="I485" s="212">
        <v>12500</v>
      </c>
      <c r="J485" s="8">
        <v>45859</v>
      </c>
      <c r="K485" s="23">
        <f t="shared" si="185"/>
        <v>10</v>
      </c>
      <c r="L485" s="23">
        <f t="shared" si="186"/>
        <v>20</v>
      </c>
      <c r="M485" s="206">
        <f t="shared" si="190"/>
        <v>937.5</v>
      </c>
      <c r="N485" s="34"/>
      <c r="O485" s="209">
        <f t="shared" si="191"/>
        <v>29</v>
      </c>
      <c r="P485" s="34">
        <f t="shared" si="187"/>
        <v>470000</v>
      </c>
      <c r="Q485" s="34">
        <f t="shared" si="188"/>
        <v>625000</v>
      </c>
      <c r="R485" s="7">
        <f t="shared" si="189"/>
        <v>-967.5</v>
      </c>
      <c r="S485" s="227">
        <f t="shared" si="192"/>
        <v>154032.5</v>
      </c>
      <c r="T485" s="249">
        <f t="shared" si="193"/>
        <v>0.3277287234042553</v>
      </c>
    </row>
    <row r="486" spans="2:22" s="33" customFormat="1" ht="15" customHeight="1" x14ac:dyDescent="0.4">
      <c r="B486" s="38" t="s">
        <v>52</v>
      </c>
      <c r="C486" s="6" t="s">
        <v>160</v>
      </c>
      <c r="D486" s="6">
        <f t="shared" si="184"/>
        <v>1</v>
      </c>
      <c r="E486" s="34">
        <v>10</v>
      </c>
      <c r="F486" s="212">
        <v>9330</v>
      </c>
      <c r="G486" s="195">
        <v>45840</v>
      </c>
      <c r="H486" s="8"/>
      <c r="I486" s="212">
        <v>12500</v>
      </c>
      <c r="J486" s="8">
        <v>45859</v>
      </c>
      <c r="K486" s="23">
        <f t="shared" si="185"/>
        <v>0</v>
      </c>
      <c r="L486" s="23">
        <f t="shared" si="186"/>
        <v>0</v>
      </c>
      <c r="M486" s="206">
        <f t="shared" si="190"/>
        <v>187.5</v>
      </c>
      <c r="N486" s="34"/>
      <c r="O486" s="209">
        <f t="shared" si="191"/>
        <v>20</v>
      </c>
      <c r="P486" s="34">
        <f t="shared" si="187"/>
        <v>93300</v>
      </c>
      <c r="Q486" s="34">
        <f t="shared" si="188"/>
        <v>125000</v>
      </c>
      <c r="R486" s="7">
        <f t="shared" si="189"/>
        <v>-187.5</v>
      </c>
      <c r="S486" s="227">
        <f t="shared" si="192"/>
        <v>31512.5</v>
      </c>
      <c r="T486" s="249">
        <f t="shared" si="193"/>
        <v>0.33775455519828512</v>
      </c>
    </row>
    <row r="487" spans="2:22" s="33" customFormat="1" ht="15" customHeight="1" x14ac:dyDescent="0.4">
      <c r="B487" s="38" t="s">
        <v>52</v>
      </c>
      <c r="C487" s="6" t="s">
        <v>160</v>
      </c>
      <c r="D487" s="6">
        <f t="shared" si="184"/>
        <v>1</v>
      </c>
      <c r="E487" s="34">
        <v>1</v>
      </c>
      <c r="F487" s="212">
        <v>8790</v>
      </c>
      <c r="G487" s="195">
        <v>45848</v>
      </c>
      <c r="H487" s="8"/>
      <c r="I487" s="212">
        <v>12500</v>
      </c>
      <c r="J487" s="8">
        <v>45859</v>
      </c>
      <c r="K487" s="23">
        <f t="shared" si="185"/>
        <v>0</v>
      </c>
      <c r="L487" s="23">
        <f t="shared" si="186"/>
        <v>0</v>
      </c>
      <c r="M487" s="206">
        <f t="shared" si="190"/>
        <v>18.75</v>
      </c>
      <c r="N487" s="34"/>
      <c r="O487" s="209">
        <f t="shared" si="191"/>
        <v>12</v>
      </c>
      <c r="P487" s="34">
        <f t="shared" si="187"/>
        <v>8790</v>
      </c>
      <c r="Q487" s="34">
        <f t="shared" si="188"/>
        <v>12500</v>
      </c>
      <c r="R487" s="7">
        <f t="shared" si="189"/>
        <v>-18.75</v>
      </c>
      <c r="S487" s="227">
        <f t="shared" si="192"/>
        <v>3691.25</v>
      </c>
      <c r="T487" s="249">
        <f t="shared" si="193"/>
        <v>0.41993742889647329</v>
      </c>
    </row>
    <row r="488" spans="2:22" s="33" customFormat="1" ht="15" customHeight="1" x14ac:dyDescent="0.4">
      <c r="B488" s="38" t="s">
        <v>52</v>
      </c>
      <c r="C488" s="6" t="s">
        <v>160</v>
      </c>
      <c r="D488" s="6">
        <f t="shared" si="184"/>
        <v>1</v>
      </c>
      <c r="E488" s="34">
        <v>20</v>
      </c>
      <c r="F488" s="212">
        <v>8950</v>
      </c>
      <c r="G488" s="195">
        <v>45848</v>
      </c>
      <c r="H488" s="8"/>
      <c r="I488" s="212">
        <v>12500</v>
      </c>
      <c r="J488" s="8">
        <v>45859</v>
      </c>
      <c r="K488" s="23">
        <f t="shared" si="185"/>
        <v>0</v>
      </c>
      <c r="L488" s="23">
        <f t="shared" si="186"/>
        <v>0</v>
      </c>
      <c r="M488" s="206">
        <f t="shared" si="190"/>
        <v>375</v>
      </c>
      <c r="N488" s="34"/>
      <c r="O488" s="209">
        <f t="shared" si="191"/>
        <v>12</v>
      </c>
      <c r="P488" s="34">
        <f t="shared" si="187"/>
        <v>179000</v>
      </c>
      <c r="Q488" s="34">
        <f t="shared" si="188"/>
        <v>250000</v>
      </c>
      <c r="R488" s="7">
        <f t="shared" si="189"/>
        <v>-375</v>
      </c>
      <c r="S488" s="227">
        <f t="shared" si="192"/>
        <v>70625</v>
      </c>
      <c r="T488" s="249">
        <f t="shared" si="193"/>
        <v>0.39455307262569833</v>
      </c>
    </row>
    <row r="489" spans="2:22" s="33" customFormat="1" ht="15" customHeight="1" x14ac:dyDescent="0.4">
      <c r="B489" s="38" t="s">
        <v>52</v>
      </c>
      <c r="C489" s="6" t="s">
        <v>160</v>
      </c>
      <c r="D489" s="6">
        <f t="shared" si="184"/>
        <v>1</v>
      </c>
      <c r="E489" s="34">
        <v>1</v>
      </c>
      <c r="F489" s="212">
        <v>6500</v>
      </c>
      <c r="G489" s="195">
        <v>45880</v>
      </c>
      <c r="H489" s="8"/>
      <c r="I489" s="212">
        <v>7010</v>
      </c>
      <c r="J489" s="8">
        <v>45896</v>
      </c>
      <c r="K489" s="23">
        <f t="shared" si="185"/>
        <v>0</v>
      </c>
      <c r="L489" s="23">
        <f t="shared" si="186"/>
        <v>0</v>
      </c>
      <c r="M489" s="206">
        <f t="shared" si="190"/>
        <v>10.515000000000001</v>
      </c>
      <c r="N489" s="34"/>
      <c r="O489" s="209">
        <f t="shared" si="191"/>
        <v>17</v>
      </c>
      <c r="P489" s="34">
        <f t="shared" si="187"/>
        <v>6500</v>
      </c>
      <c r="Q489" s="34">
        <f t="shared" si="188"/>
        <v>7010</v>
      </c>
      <c r="R489" s="7">
        <f t="shared" si="189"/>
        <v>-10.515000000000001</v>
      </c>
      <c r="S489" s="227">
        <f t="shared" si="192"/>
        <v>499.48500000000001</v>
      </c>
      <c r="T489" s="249">
        <f t="shared" si="193"/>
        <v>7.6843846153846151E-2</v>
      </c>
    </row>
    <row r="490" spans="2:22" ht="15" customHeight="1" x14ac:dyDescent="0.4">
      <c r="B490" s="38" t="s">
        <v>286</v>
      </c>
      <c r="C490" s="6" t="s">
        <v>162</v>
      </c>
      <c r="D490" s="6"/>
      <c r="E490" s="36">
        <v>200</v>
      </c>
      <c r="F490" s="212">
        <v>7490</v>
      </c>
      <c r="G490" s="195">
        <v>42650</v>
      </c>
      <c r="H490" s="8"/>
      <c r="I490" s="212">
        <v>4870</v>
      </c>
      <c r="J490" s="8">
        <v>43164</v>
      </c>
      <c r="K490" s="7">
        <f>ROUNDDOWN(E490*F490*0.0015,-1)</f>
        <v>2240</v>
      </c>
      <c r="L490" s="7">
        <f>ROUNDDOWN(I490*E490*0.0015,-1)</f>
        <v>1460</v>
      </c>
      <c r="M490" s="196">
        <f>I490*E490*0.003</f>
        <v>2922</v>
      </c>
      <c r="N490" s="36">
        <f>E490*50*(1-0.154)+E490*75*(1-0.154)</f>
        <v>21150</v>
      </c>
      <c r="O490" s="191">
        <f t="shared" si="191"/>
        <v>515</v>
      </c>
      <c r="P490" s="36">
        <f>F490*E490</f>
        <v>1498000</v>
      </c>
      <c r="Q490" s="36">
        <f>I490*E490</f>
        <v>974000</v>
      </c>
      <c r="R490" s="7">
        <f>N490-K490-L490-M490</f>
        <v>14528</v>
      </c>
      <c r="S490" s="227">
        <f t="shared" si="192"/>
        <v>-509472</v>
      </c>
      <c r="T490" s="248">
        <f t="shared" si="193"/>
        <v>-0.34010146862483309</v>
      </c>
      <c r="U490" s="193">
        <f>T490*365/O490</f>
        <v>-0.24104278844284285</v>
      </c>
      <c r="V490" s="6"/>
    </row>
    <row r="491" spans="2:22" ht="15" customHeight="1" x14ac:dyDescent="0.4">
      <c r="B491" s="38" t="s">
        <v>287</v>
      </c>
      <c r="C491" s="6" t="s">
        <v>162</v>
      </c>
      <c r="D491" s="6"/>
      <c r="E491" s="36">
        <v>100</v>
      </c>
      <c r="F491" s="212">
        <v>9910</v>
      </c>
      <c r="G491" s="195">
        <v>43559</v>
      </c>
      <c r="H491" s="8"/>
      <c r="I491" s="212">
        <v>10600</v>
      </c>
      <c r="J491" s="8">
        <v>43564</v>
      </c>
      <c r="K491" s="7">
        <f>ROUNDDOWN(E491*F491*0.0015,-1)</f>
        <v>1480</v>
      </c>
      <c r="L491" s="7">
        <f>ROUNDDOWN(I491*E491*0.0015,-1)</f>
        <v>1590</v>
      </c>
      <c r="M491" s="196">
        <f>I491*E491*0.003</f>
        <v>3180</v>
      </c>
      <c r="N491" s="36"/>
      <c r="O491" s="191">
        <f t="shared" si="191"/>
        <v>6</v>
      </c>
      <c r="P491" s="36">
        <f>F491*E491</f>
        <v>991000</v>
      </c>
      <c r="Q491" s="36">
        <f>I491*E491</f>
        <v>1060000</v>
      </c>
      <c r="R491" s="7">
        <f>N491-K491-L491-M491</f>
        <v>-6250</v>
      </c>
      <c r="S491" s="227">
        <f t="shared" si="192"/>
        <v>62750</v>
      </c>
      <c r="T491" s="248">
        <f t="shared" si="193"/>
        <v>6.3319878910191724E-2</v>
      </c>
      <c r="U491" s="193">
        <f>T491*365/O491</f>
        <v>3.8519593003699963</v>
      </c>
      <c r="V491" s="6"/>
    </row>
    <row r="492" spans="2:22" s="33" customFormat="1" ht="15" customHeight="1" x14ac:dyDescent="0.4">
      <c r="B492" s="38" t="s">
        <v>288</v>
      </c>
      <c r="C492" s="6" t="s">
        <v>122</v>
      </c>
      <c r="D492" s="6">
        <f t="shared" ref="D492:D498" si="194">IF(OR($C492="신한",$C492="OTC",$C492="무상증자(신한)",$C492="토스",$C492="R토스"),1,"확인")</f>
        <v>1</v>
      </c>
      <c r="E492" s="34">
        <v>3</v>
      </c>
      <c r="F492" s="212">
        <v>999000</v>
      </c>
      <c r="G492" s="195">
        <v>45573</v>
      </c>
      <c r="H492" s="8"/>
      <c r="I492" s="212">
        <v>1014000</v>
      </c>
      <c r="J492" s="8">
        <v>45575</v>
      </c>
      <c r="K492" s="23">
        <f t="shared" ref="K492:K498" si="195">IF($C492="OTC",ROUNDDOWN($E492*$F492*0.000909187,-1),(IF($C492="신한",ROUNDDOWN($E492*$F492*0.000036396,-1),(IF($C492="토스",$E492*$F492*0.00015,(IF($C492="US",(IF($E492*$F492*0.0025&gt;0.01,$E492*$F492*0.0025,0.01)),IF($C492="JP",(IF($E492*$F492*0.0025&gt;1000,$E492*$F492*0.0025,1000)),(IF($C492="R토스",0,IF($C492="무상증자(신한)",0,"")))))))))))</f>
        <v>449.54999999999995</v>
      </c>
      <c r="L492" s="23">
        <f t="shared" ref="L492:L498" si="196">IF($C492="OTC",ROUNDDOWN($I492*$E492*0.000909187,-1),(IF($C492="신한",ROUNDDOWN($I492*$E492*0.000036396,-1),(IF($C492="토스",$I492*$E492*0.00015,(IF($C492="US",(IF($I492*$E492*0.0025&gt;0.01,$I492*$E492*0.0025,0.01)),(IF($C492="JP",(IF($I492*$E492*0.0025&gt;1000,$I492*$E492*0.0025,1000)),(IF($C492="R토스",$I492*$E492*0.00015,(IF($C492="무상증자(신한)",ROUNDDOWN($I492*$E492*0.000036396,-1),"")))))))))))))</f>
        <v>456.29999999999995</v>
      </c>
      <c r="M492" s="206">
        <f>Q492*0.0018</f>
        <v>5475.5999999999995</v>
      </c>
      <c r="N492" s="34"/>
      <c r="O492" s="209">
        <f t="shared" si="191"/>
        <v>3</v>
      </c>
      <c r="P492" s="34">
        <f t="shared" ref="P492:P498" si="197">$E492*$F492*$D492</f>
        <v>2997000</v>
      </c>
      <c r="Q492" s="34">
        <f t="shared" ref="Q492:Q498" si="198">$E492*$I492*$D492</f>
        <v>3042000</v>
      </c>
      <c r="R492" s="7">
        <f t="shared" ref="R492:R498" si="199">($N492-$K492-$L492-$M492)*$D492</f>
        <v>-6381.4499999999989</v>
      </c>
      <c r="S492" s="227">
        <f t="shared" si="192"/>
        <v>38618.550000000003</v>
      </c>
      <c r="T492" s="249">
        <f t="shared" si="193"/>
        <v>1.2885735735735737E-2</v>
      </c>
      <c r="U492" s="38"/>
    </row>
    <row r="493" spans="2:22" s="33" customFormat="1" ht="15" customHeight="1" x14ac:dyDescent="0.4">
      <c r="B493" s="38" t="s">
        <v>288</v>
      </c>
      <c r="C493" s="6" t="s">
        <v>122</v>
      </c>
      <c r="D493" s="6">
        <f t="shared" si="194"/>
        <v>1</v>
      </c>
      <c r="E493" s="34">
        <v>3</v>
      </c>
      <c r="F493" s="212">
        <v>998000</v>
      </c>
      <c r="G493" s="195">
        <v>45575</v>
      </c>
      <c r="H493" s="8"/>
      <c r="I493" s="212">
        <v>1061000</v>
      </c>
      <c r="J493" s="8">
        <v>45580</v>
      </c>
      <c r="K493" s="23">
        <f t="shared" si="195"/>
        <v>449.09999999999997</v>
      </c>
      <c r="L493" s="23">
        <f t="shared" si="196"/>
        <v>477.44999999999993</v>
      </c>
      <c r="M493" s="206">
        <f>Q493*0.0018</f>
        <v>5729.4</v>
      </c>
      <c r="N493" s="34"/>
      <c r="O493" s="209">
        <f t="shared" si="191"/>
        <v>6</v>
      </c>
      <c r="P493" s="34">
        <f t="shared" si="197"/>
        <v>2994000</v>
      </c>
      <c r="Q493" s="34">
        <f t="shared" si="198"/>
        <v>3183000</v>
      </c>
      <c r="R493" s="7">
        <f t="shared" si="199"/>
        <v>-6655.95</v>
      </c>
      <c r="S493" s="227">
        <f t="shared" si="192"/>
        <v>182344.05</v>
      </c>
      <c r="T493" s="249">
        <f t="shared" si="193"/>
        <v>6.0903156312625245E-2</v>
      </c>
      <c r="U493" s="38"/>
    </row>
    <row r="494" spans="2:22" s="33" customFormat="1" ht="15" customHeight="1" x14ac:dyDescent="0.4">
      <c r="B494" s="38" t="s">
        <v>288</v>
      </c>
      <c r="C494" s="6" t="s">
        <v>122</v>
      </c>
      <c r="D494" s="6">
        <f t="shared" si="194"/>
        <v>1</v>
      </c>
      <c r="E494" s="34">
        <v>3</v>
      </c>
      <c r="F494" s="212">
        <v>985000</v>
      </c>
      <c r="G494" s="195">
        <v>45608</v>
      </c>
      <c r="H494" s="8"/>
      <c r="I494" s="212">
        <v>1012000</v>
      </c>
      <c r="J494" s="8">
        <v>45666</v>
      </c>
      <c r="K494" s="23">
        <f t="shared" si="195"/>
        <v>443.24999999999994</v>
      </c>
      <c r="L494" s="23">
        <f t="shared" si="196"/>
        <v>455.4</v>
      </c>
      <c r="M494" s="206">
        <f>Q494*0.0015</f>
        <v>4554</v>
      </c>
      <c r="N494" s="34"/>
      <c r="O494" s="209">
        <f t="shared" si="191"/>
        <v>59</v>
      </c>
      <c r="P494" s="34">
        <f t="shared" si="197"/>
        <v>2955000</v>
      </c>
      <c r="Q494" s="34">
        <f t="shared" si="198"/>
        <v>3036000</v>
      </c>
      <c r="R494" s="7">
        <f t="shared" si="199"/>
        <v>-5452.65</v>
      </c>
      <c r="S494" s="227">
        <f t="shared" si="192"/>
        <v>75547.350000000006</v>
      </c>
      <c r="T494" s="249">
        <f t="shared" si="193"/>
        <v>2.5565939086294419E-2</v>
      </c>
      <c r="U494" s="38"/>
    </row>
    <row r="495" spans="2:22" s="33" customFormat="1" ht="15" customHeight="1" x14ac:dyDescent="0.4">
      <c r="B495" s="38" t="s">
        <v>288</v>
      </c>
      <c r="C495" s="6" t="s">
        <v>122</v>
      </c>
      <c r="D495" s="6">
        <f t="shared" si="194"/>
        <v>1</v>
      </c>
      <c r="E495" s="34">
        <v>1</v>
      </c>
      <c r="F495" s="212">
        <v>924000</v>
      </c>
      <c r="G495" s="195">
        <v>45622</v>
      </c>
      <c r="H495" s="8"/>
      <c r="I495" s="212">
        <v>1012000</v>
      </c>
      <c r="J495" s="8">
        <v>45666</v>
      </c>
      <c r="K495" s="23">
        <f t="shared" si="195"/>
        <v>138.6</v>
      </c>
      <c r="L495" s="23">
        <f t="shared" si="196"/>
        <v>151.79999999999998</v>
      </c>
      <c r="M495" s="206">
        <f>Q495*0.0015</f>
        <v>1518</v>
      </c>
      <c r="N495" s="34"/>
      <c r="O495" s="209">
        <f t="shared" si="191"/>
        <v>45</v>
      </c>
      <c r="P495" s="34">
        <f t="shared" si="197"/>
        <v>924000</v>
      </c>
      <c r="Q495" s="34">
        <f t="shared" si="198"/>
        <v>1012000</v>
      </c>
      <c r="R495" s="7">
        <f t="shared" si="199"/>
        <v>-1808.4</v>
      </c>
      <c r="S495" s="227">
        <f t="shared" si="192"/>
        <v>86191.6</v>
      </c>
      <c r="T495" s="249">
        <f t="shared" si="193"/>
        <v>9.3280952380952381E-2</v>
      </c>
      <c r="U495" s="38"/>
    </row>
    <row r="496" spans="2:22" s="33" customFormat="1" ht="15" customHeight="1" x14ac:dyDescent="0.4">
      <c r="B496" s="38" t="s">
        <v>288</v>
      </c>
      <c r="C496" s="6" t="s">
        <v>122</v>
      </c>
      <c r="D496" s="6">
        <f t="shared" si="194"/>
        <v>1</v>
      </c>
      <c r="E496" s="34">
        <v>1</v>
      </c>
      <c r="F496" s="212">
        <v>928000</v>
      </c>
      <c r="G496" s="195">
        <v>45653</v>
      </c>
      <c r="H496" s="8"/>
      <c r="I496" s="212">
        <v>1012000</v>
      </c>
      <c r="J496" s="8">
        <v>45666</v>
      </c>
      <c r="K496" s="23">
        <f t="shared" si="195"/>
        <v>139.19999999999999</v>
      </c>
      <c r="L496" s="23">
        <f t="shared" si="196"/>
        <v>151.79999999999998</v>
      </c>
      <c r="M496" s="206">
        <f>Q496*0.0015</f>
        <v>1518</v>
      </c>
      <c r="N496" s="34"/>
      <c r="O496" s="209">
        <f t="shared" si="191"/>
        <v>14</v>
      </c>
      <c r="P496" s="34">
        <f t="shared" si="197"/>
        <v>928000</v>
      </c>
      <c r="Q496" s="34">
        <f t="shared" si="198"/>
        <v>1012000</v>
      </c>
      <c r="R496" s="7">
        <f t="shared" si="199"/>
        <v>-1809</v>
      </c>
      <c r="S496" s="227">
        <f t="shared" si="192"/>
        <v>82191</v>
      </c>
      <c r="T496" s="249">
        <f t="shared" si="193"/>
        <v>8.8567887931034484E-2</v>
      </c>
      <c r="U496" s="38"/>
    </row>
    <row r="497" spans="2:22" s="33" customFormat="1" ht="15" customHeight="1" x14ac:dyDescent="0.4">
      <c r="B497" s="38" t="s">
        <v>288</v>
      </c>
      <c r="C497" s="6" t="s">
        <v>160</v>
      </c>
      <c r="D497" s="6">
        <f t="shared" si="194"/>
        <v>1</v>
      </c>
      <c r="E497" s="34">
        <v>2</v>
      </c>
      <c r="F497" s="212">
        <v>1015000</v>
      </c>
      <c r="G497" s="195">
        <v>45803</v>
      </c>
      <c r="H497" s="8"/>
      <c r="I497" s="212">
        <v>1077000</v>
      </c>
      <c r="J497" s="8">
        <v>45848</v>
      </c>
      <c r="K497" s="23">
        <f t="shared" si="195"/>
        <v>70</v>
      </c>
      <c r="L497" s="23">
        <f t="shared" si="196"/>
        <v>70</v>
      </c>
      <c r="M497" s="206">
        <f>Q497*0.0015</f>
        <v>3231</v>
      </c>
      <c r="N497" s="34"/>
      <c r="O497" s="209">
        <f t="shared" si="191"/>
        <v>46</v>
      </c>
      <c r="P497" s="34">
        <f t="shared" si="197"/>
        <v>2030000</v>
      </c>
      <c r="Q497" s="34">
        <f t="shared" si="198"/>
        <v>2154000</v>
      </c>
      <c r="R497" s="7">
        <f t="shared" si="199"/>
        <v>-3371</v>
      </c>
      <c r="S497" s="227">
        <f t="shared" si="192"/>
        <v>120629</v>
      </c>
      <c r="T497" s="249">
        <f t="shared" si="193"/>
        <v>5.9423152709359606E-2</v>
      </c>
    </row>
    <row r="498" spans="2:22" s="33" customFormat="1" ht="15" customHeight="1" x14ac:dyDescent="0.4">
      <c r="B498" s="38" t="s">
        <v>288</v>
      </c>
      <c r="C498" s="6" t="s">
        <v>160</v>
      </c>
      <c r="D498" s="6">
        <f t="shared" si="194"/>
        <v>1</v>
      </c>
      <c r="E498" s="34">
        <v>1</v>
      </c>
      <c r="F498" s="212">
        <v>998000</v>
      </c>
      <c r="G498" s="195">
        <v>45827</v>
      </c>
      <c r="H498" s="8"/>
      <c r="I498" s="212">
        <v>1077000</v>
      </c>
      <c r="J498" s="8">
        <v>45848</v>
      </c>
      <c r="K498" s="23">
        <f t="shared" si="195"/>
        <v>30</v>
      </c>
      <c r="L498" s="23">
        <f t="shared" si="196"/>
        <v>30</v>
      </c>
      <c r="M498" s="206">
        <f>Q498*0.0015</f>
        <v>1615.5</v>
      </c>
      <c r="N498" s="34"/>
      <c r="O498" s="209">
        <f t="shared" si="191"/>
        <v>22</v>
      </c>
      <c r="P498" s="34">
        <f t="shared" si="197"/>
        <v>998000</v>
      </c>
      <c r="Q498" s="34">
        <f t="shared" si="198"/>
        <v>1077000</v>
      </c>
      <c r="R498" s="7">
        <f t="shared" si="199"/>
        <v>-1675.5</v>
      </c>
      <c r="S498" s="227">
        <f t="shared" si="192"/>
        <v>77324.5</v>
      </c>
      <c r="T498" s="249">
        <f t="shared" si="193"/>
        <v>7.747945891783567E-2</v>
      </c>
    </row>
    <row r="499" spans="2:22" s="33" customFormat="1" ht="15" customHeight="1" x14ac:dyDescent="0.4">
      <c r="B499" s="38" t="s">
        <v>289</v>
      </c>
      <c r="C499" s="6" t="s">
        <v>187</v>
      </c>
      <c r="D499" s="6"/>
      <c r="E499" s="36">
        <v>2</v>
      </c>
      <c r="F499" s="212">
        <v>87500</v>
      </c>
      <c r="G499" s="195">
        <v>39492</v>
      </c>
      <c r="H499" s="8"/>
      <c r="I499" s="212">
        <v>90500</v>
      </c>
      <c r="J499" s="8">
        <v>39958</v>
      </c>
      <c r="K499" s="7">
        <v>50</v>
      </c>
      <c r="L499" s="7">
        <v>50</v>
      </c>
      <c r="M499" s="196"/>
      <c r="N499" s="36">
        <v>3000</v>
      </c>
      <c r="O499" s="191">
        <f t="shared" si="191"/>
        <v>467</v>
      </c>
      <c r="P499" s="36">
        <f t="shared" ref="P499:P517" si="200">F499*E499</f>
        <v>175000</v>
      </c>
      <c r="Q499" s="36">
        <f t="shared" ref="Q499:Q517" si="201">I499*E499</f>
        <v>181000</v>
      </c>
      <c r="R499" s="7">
        <f t="shared" ref="R499:R517" si="202">N499-K499-L499-M499</f>
        <v>2900</v>
      </c>
      <c r="S499" s="227">
        <f t="shared" si="192"/>
        <v>8900</v>
      </c>
      <c r="T499" s="248">
        <f t="shared" si="193"/>
        <v>5.0857142857142858E-2</v>
      </c>
      <c r="U499" s="193">
        <f t="shared" ref="U499:U517" si="203">T499*365/O499</f>
        <v>3.9749158764148057E-2</v>
      </c>
      <c r="V499" s="6"/>
    </row>
    <row r="500" spans="2:22" s="33" customFormat="1" ht="15" customHeight="1" x14ac:dyDescent="0.4">
      <c r="B500" s="38" t="s">
        <v>289</v>
      </c>
      <c r="C500" s="6" t="s">
        <v>187</v>
      </c>
      <c r="D500" s="6"/>
      <c r="E500" s="36">
        <v>3</v>
      </c>
      <c r="F500" s="212">
        <v>64000</v>
      </c>
      <c r="G500" s="195">
        <v>39924</v>
      </c>
      <c r="H500" s="8"/>
      <c r="I500" s="212">
        <v>67800</v>
      </c>
      <c r="J500" s="8">
        <v>39926</v>
      </c>
      <c r="K500" s="7">
        <v>50</v>
      </c>
      <c r="L500" s="7">
        <v>50</v>
      </c>
      <c r="M500" s="196"/>
      <c r="N500" s="36"/>
      <c r="O500" s="191">
        <f t="shared" si="191"/>
        <v>3</v>
      </c>
      <c r="P500" s="36">
        <f t="shared" si="200"/>
        <v>192000</v>
      </c>
      <c r="Q500" s="36">
        <f t="shared" si="201"/>
        <v>203400</v>
      </c>
      <c r="R500" s="7">
        <f t="shared" si="202"/>
        <v>-100</v>
      </c>
      <c r="S500" s="227">
        <f t="shared" si="192"/>
        <v>11300</v>
      </c>
      <c r="T500" s="248">
        <f t="shared" si="193"/>
        <v>5.8854166666666666E-2</v>
      </c>
      <c r="U500" s="193">
        <f t="shared" si="203"/>
        <v>7.1605902777777777</v>
      </c>
      <c r="V500" s="6"/>
    </row>
    <row r="501" spans="2:22" s="33" customFormat="1" ht="15" customHeight="1" x14ac:dyDescent="0.4">
      <c r="B501" s="38" t="s">
        <v>289</v>
      </c>
      <c r="C501" s="6" t="s">
        <v>187</v>
      </c>
      <c r="D501" s="6"/>
      <c r="E501" s="36">
        <v>3</v>
      </c>
      <c r="F501" s="212">
        <v>86900</v>
      </c>
      <c r="G501" s="195">
        <v>39972</v>
      </c>
      <c r="H501" s="8"/>
      <c r="I501" s="212">
        <v>111500</v>
      </c>
      <c r="J501" s="8">
        <v>40086</v>
      </c>
      <c r="K501" s="7">
        <v>70</v>
      </c>
      <c r="L501" s="7">
        <v>90</v>
      </c>
      <c r="M501" s="196"/>
      <c r="N501" s="36"/>
      <c r="O501" s="191">
        <f t="shared" si="191"/>
        <v>115</v>
      </c>
      <c r="P501" s="36">
        <f t="shared" si="200"/>
        <v>260700</v>
      </c>
      <c r="Q501" s="36">
        <f t="shared" si="201"/>
        <v>334500</v>
      </c>
      <c r="R501" s="7">
        <f t="shared" si="202"/>
        <v>-160</v>
      </c>
      <c r="S501" s="227">
        <f t="shared" si="192"/>
        <v>73640</v>
      </c>
      <c r="T501" s="248">
        <f t="shared" si="193"/>
        <v>0.28247027234369004</v>
      </c>
      <c r="U501" s="193">
        <f t="shared" si="203"/>
        <v>0.89653608178649447</v>
      </c>
      <c r="V501" s="6"/>
    </row>
    <row r="502" spans="2:22" s="33" customFormat="1" ht="15" customHeight="1" x14ac:dyDescent="0.4">
      <c r="B502" s="38" t="s">
        <v>289</v>
      </c>
      <c r="C502" s="6" t="s">
        <v>187</v>
      </c>
      <c r="D502" s="6"/>
      <c r="E502" s="36">
        <v>50</v>
      </c>
      <c r="F502" s="212">
        <v>18900</v>
      </c>
      <c r="G502" s="195">
        <v>42311</v>
      </c>
      <c r="H502" s="8"/>
      <c r="I502" s="212">
        <v>12400</v>
      </c>
      <c r="J502" s="8">
        <v>42474</v>
      </c>
      <c r="K502" s="7">
        <f>ROUNDDOWN(E502*F502*0.00015,-1)</f>
        <v>140</v>
      </c>
      <c r="L502" s="7">
        <f>ROUNDDOWN(I502*E502*0.00015,-1)</f>
        <v>90</v>
      </c>
      <c r="M502" s="196">
        <f>I502*E502*0.003</f>
        <v>1860</v>
      </c>
      <c r="N502" s="36"/>
      <c r="O502" s="191">
        <f t="shared" si="191"/>
        <v>164</v>
      </c>
      <c r="P502" s="36">
        <f t="shared" si="200"/>
        <v>945000</v>
      </c>
      <c r="Q502" s="36">
        <f t="shared" si="201"/>
        <v>620000</v>
      </c>
      <c r="R502" s="7">
        <f t="shared" si="202"/>
        <v>-2090</v>
      </c>
      <c r="S502" s="227">
        <f t="shared" si="192"/>
        <v>-327090</v>
      </c>
      <c r="T502" s="248">
        <f t="shared" si="193"/>
        <v>-0.34612698412698412</v>
      </c>
      <c r="U502" s="9">
        <f t="shared" si="203"/>
        <v>-0.77034359272164143</v>
      </c>
      <c r="V502" s="6"/>
    </row>
    <row r="503" spans="2:22" s="33" customFormat="1" ht="15" customHeight="1" x14ac:dyDescent="0.4">
      <c r="B503" s="38" t="s">
        <v>289</v>
      </c>
      <c r="C503" s="6" t="s">
        <v>187</v>
      </c>
      <c r="D503" s="6"/>
      <c r="E503" s="36">
        <v>201</v>
      </c>
      <c r="F503" s="212">
        <v>8110</v>
      </c>
      <c r="G503" s="195">
        <v>42411</v>
      </c>
      <c r="H503" s="8"/>
      <c r="I503" s="212">
        <v>12400</v>
      </c>
      <c r="J503" s="8">
        <v>42474</v>
      </c>
      <c r="K503" s="7">
        <v>0</v>
      </c>
      <c r="L503" s="7">
        <f>ROUNDDOWN(I503*E503*0.00015,-1)</f>
        <v>370</v>
      </c>
      <c r="M503" s="196">
        <f>I503*E503*0.003</f>
        <v>7477.2</v>
      </c>
      <c r="N503" s="36"/>
      <c r="O503" s="191">
        <f t="shared" si="191"/>
        <v>64</v>
      </c>
      <c r="P503" s="36">
        <f t="shared" si="200"/>
        <v>1630110</v>
      </c>
      <c r="Q503" s="36">
        <f t="shared" si="201"/>
        <v>2492400</v>
      </c>
      <c r="R503" s="7">
        <f t="shared" si="202"/>
        <v>-7847.2</v>
      </c>
      <c r="S503" s="227">
        <f t="shared" si="192"/>
        <v>854442.8</v>
      </c>
      <c r="T503" s="248">
        <f t="shared" si="193"/>
        <v>0.52416266386930943</v>
      </c>
      <c r="U503" s="193">
        <f t="shared" si="203"/>
        <v>2.9893651923796551</v>
      </c>
      <c r="V503" s="6" t="s">
        <v>248</v>
      </c>
    </row>
    <row r="504" spans="2:22" s="33" customFormat="1" ht="15" customHeight="1" x14ac:dyDescent="0.4">
      <c r="B504" s="38" t="s">
        <v>290</v>
      </c>
      <c r="C504" s="6" t="s">
        <v>162</v>
      </c>
      <c r="D504" s="6"/>
      <c r="E504" s="33">
        <v>100</v>
      </c>
      <c r="F504" s="212">
        <v>92800</v>
      </c>
      <c r="G504" s="195">
        <v>42954</v>
      </c>
      <c r="H504" s="8"/>
      <c r="I504" s="212">
        <v>98300</v>
      </c>
      <c r="J504" s="8">
        <v>42970</v>
      </c>
      <c r="K504" s="7">
        <f>ROUNDDOWN(E504*F504*0.0015,-1)</f>
        <v>13920</v>
      </c>
      <c r="L504" s="7">
        <f>ROUNDDOWN(I504*E504*0.0015,-1)</f>
        <v>14740</v>
      </c>
      <c r="M504" s="196">
        <f>I504*E504*0.003</f>
        <v>29490</v>
      </c>
      <c r="N504" s="36"/>
      <c r="O504" s="191">
        <f t="shared" si="191"/>
        <v>17</v>
      </c>
      <c r="P504" s="36">
        <f t="shared" si="200"/>
        <v>9280000</v>
      </c>
      <c r="Q504" s="36">
        <f t="shared" si="201"/>
        <v>9830000</v>
      </c>
      <c r="R504" s="7">
        <f t="shared" si="202"/>
        <v>-58150</v>
      </c>
      <c r="S504" s="227">
        <f t="shared" si="192"/>
        <v>491850</v>
      </c>
      <c r="T504" s="248">
        <f t="shared" si="193"/>
        <v>5.3001077586206896E-2</v>
      </c>
      <c r="U504" s="193">
        <f t="shared" si="203"/>
        <v>1.1379643128803245</v>
      </c>
      <c r="V504" s="6"/>
    </row>
    <row r="505" spans="2:22" s="33" customFormat="1" ht="15" customHeight="1" x14ac:dyDescent="0.4">
      <c r="B505" s="38" t="s">
        <v>291</v>
      </c>
      <c r="C505" s="6" t="s">
        <v>185</v>
      </c>
      <c r="D505" s="6"/>
      <c r="E505" s="36">
        <v>1</v>
      </c>
      <c r="F505" s="212">
        <v>551000</v>
      </c>
      <c r="G505" s="195">
        <v>39371</v>
      </c>
      <c r="H505" s="8"/>
      <c r="I505" s="212">
        <v>577000</v>
      </c>
      <c r="J505" s="8">
        <v>39422</v>
      </c>
      <c r="K505" s="7">
        <f>ROUNDDOWN(E505*F505*0.005,-1)</f>
        <v>2750</v>
      </c>
      <c r="L505" s="7">
        <f>ROUNDDOWN(I505*E505*0.005,-1)</f>
        <v>2880</v>
      </c>
      <c r="M505" s="196">
        <f>I505*E505*0.003</f>
        <v>1731</v>
      </c>
      <c r="N505" s="36"/>
      <c r="O505" s="191">
        <f t="shared" si="191"/>
        <v>52</v>
      </c>
      <c r="P505" s="36">
        <f t="shared" si="200"/>
        <v>551000</v>
      </c>
      <c r="Q505" s="36">
        <f t="shared" si="201"/>
        <v>577000</v>
      </c>
      <c r="R505" s="7">
        <f t="shared" si="202"/>
        <v>-7361</v>
      </c>
      <c r="S505" s="227">
        <f t="shared" si="192"/>
        <v>18639</v>
      </c>
      <c r="T505" s="248">
        <f t="shared" si="193"/>
        <v>3.3827586206896548E-2</v>
      </c>
      <c r="U505" s="193">
        <f t="shared" si="203"/>
        <v>0.2374436339522546</v>
      </c>
      <c r="V505" s="6"/>
    </row>
    <row r="506" spans="2:22" s="33" customFormat="1" ht="15" customHeight="1" x14ac:dyDescent="0.4">
      <c r="B506" s="38" t="s">
        <v>292</v>
      </c>
      <c r="C506" s="6" t="s">
        <v>187</v>
      </c>
      <c r="D506" s="6"/>
      <c r="E506" s="36">
        <v>1</v>
      </c>
      <c r="F506" s="212">
        <v>280000</v>
      </c>
      <c r="G506" s="195">
        <v>39797</v>
      </c>
      <c r="H506" s="8"/>
      <c r="I506" s="212">
        <v>285000</v>
      </c>
      <c r="J506" s="8">
        <v>39805</v>
      </c>
      <c r="K506" s="7">
        <v>80</v>
      </c>
      <c r="L506" s="7">
        <v>80</v>
      </c>
      <c r="M506" s="196"/>
      <c r="N506" s="36"/>
      <c r="O506" s="191">
        <f t="shared" si="191"/>
        <v>9</v>
      </c>
      <c r="P506" s="36">
        <f t="shared" si="200"/>
        <v>280000</v>
      </c>
      <c r="Q506" s="36">
        <f t="shared" si="201"/>
        <v>285000</v>
      </c>
      <c r="R506" s="7">
        <f t="shared" si="202"/>
        <v>-160</v>
      </c>
      <c r="S506" s="227">
        <f t="shared" si="192"/>
        <v>4840</v>
      </c>
      <c r="T506" s="248">
        <f t="shared" si="193"/>
        <v>1.7285714285714286E-2</v>
      </c>
      <c r="U506" s="193">
        <f t="shared" si="203"/>
        <v>0.70103174603174601</v>
      </c>
      <c r="V506" s="6"/>
    </row>
    <row r="507" spans="2:22" ht="15" customHeight="1" x14ac:dyDescent="0.4">
      <c r="B507" s="38" t="s">
        <v>293</v>
      </c>
      <c r="C507" s="6" t="s">
        <v>185</v>
      </c>
      <c r="D507" s="6"/>
      <c r="E507" s="36">
        <v>4</v>
      </c>
      <c r="F507" s="212">
        <v>54800</v>
      </c>
      <c r="G507" s="195">
        <v>39282</v>
      </c>
      <c r="H507" s="8"/>
      <c r="I507" s="212">
        <v>38500</v>
      </c>
      <c r="J507" s="8">
        <v>41499</v>
      </c>
      <c r="K507" s="7">
        <f>ROUNDDOWN(E507*F507*0.005,-1)</f>
        <v>1090</v>
      </c>
      <c r="L507" s="7">
        <f>ROUNDDOWN(I507*E507*0.005,-1)</f>
        <v>770</v>
      </c>
      <c r="M507" s="196">
        <f>I507*E507*0.003</f>
        <v>462</v>
      </c>
      <c r="N507" s="36">
        <v>12000</v>
      </c>
      <c r="O507" s="191">
        <f t="shared" si="191"/>
        <v>2218</v>
      </c>
      <c r="P507" s="36">
        <f t="shared" si="200"/>
        <v>219200</v>
      </c>
      <c r="Q507" s="36">
        <f t="shared" si="201"/>
        <v>154000</v>
      </c>
      <c r="R507" s="7">
        <f t="shared" si="202"/>
        <v>9678</v>
      </c>
      <c r="S507" s="227">
        <f t="shared" si="192"/>
        <v>-55522</v>
      </c>
      <c r="T507" s="248">
        <f t="shared" si="193"/>
        <v>-0.25329379562043797</v>
      </c>
      <c r="U507" s="193">
        <f t="shared" si="203"/>
        <v>-4.1682703066483258E-2</v>
      </c>
      <c r="V507" s="6"/>
    </row>
    <row r="508" spans="2:22" ht="15" customHeight="1" x14ac:dyDescent="0.4">
      <c r="B508" s="38" t="s">
        <v>293</v>
      </c>
      <c r="C508" s="6" t="s">
        <v>187</v>
      </c>
      <c r="D508" s="6"/>
      <c r="E508" s="36">
        <v>20</v>
      </c>
      <c r="F508" s="212">
        <v>19500</v>
      </c>
      <c r="G508" s="195">
        <v>39763</v>
      </c>
      <c r="H508" s="8"/>
      <c r="I508" s="212">
        <v>20100</v>
      </c>
      <c r="J508" s="8">
        <v>39763</v>
      </c>
      <c r="K508" s="7">
        <v>110</v>
      </c>
      <c r="L508" s="7">
        <v>110</v>
      </c>
      <c r="M508" s="196"/>
      <c r="N508" s="36"/>
      <c r="O508" s="191">
        <f t="shared" si="191"/>
        <v>1</v>
      </c>
      <c r="P508" s="36">
        <f t="shared" si="200"/>
        <v>390000</v>
      </c>
      <c r="Q508" s="36">
        <f t="shared" si="201"/>
        <v>402000</v>
      </c>
      <c r="R508" s="7">
        <f t="shared" si="202"/>
        <v>-220</v>
      </c>
      <c r="S508" s="227">
        <f t="shared" si="192"/>
        <v>11780</v>
      </c>
      <c r="T508" s="248">
        <f t="shared" si="193"/>
        <v>3.0205128205128204E-2</v>
      </c>
      <c r="U508" s="193">
        <f t="shared" si="203"/>
        <v>11.024871794871794</v>
      </c>
      <c r="V508" s="6"/>
    </row>
    <row r="509" spans="2:22" ht="15" customHeight="1" x14ac:dyDescent="0.4">
      <c r="B509" s="38" t="s">
        <v>293</v>
      </c>
      <c r="C509" s="6" t="s">
        <v>187</v>
      </c>
      <c r="D509" s="6"/>
      <c r="E509" s="36">
        <v>10</v>
      </c>
      <c r="F509" s="212">
        <v>25100</v>
      </c>
      <c r="G509" s="195">
        <v>39832</v>
      </c>
      <c r="H509" s="8"/>
      <c r="I509" s="212">
        <v>27700</v>
      </c>
      <c r="J509" s="8">
        <v>39834</v>
      </c>
      <c r="K509" s="7">
        <v>70</v>
      </c>
      <c r="L509" s="7">
        <v>80</v>
      </c>
      <c r="M509" s="196"/>
      <c r="N509" s="36"/>
      <c r="O509" s="191">
        <f t="shared" si="191"/>
        <v>3</v>
      </c>
      <c r="P509" s="36">
        <f t="shared" si="200"/>
        <v>251000</v>
      </c>
      <c r="Q509" s="36">
        <f t="shared" si="201"/>
        <v>277000</v>
      </c>
      <c r="R509" s="7">
        <f t="shared" si="202"/>
        <v>-150</v>
      </c>
      <c r="S509" s="227">
        <f t="shared" si="192"/>
        <v>25850</v>
      </c>
      <c r="T509" s="248">
        <f t="shared" si="193"/>
        <v>0.10298804780876494</v>
      </c>
      <c r="U509" s="193">
        <f t="shared" si="203"/>
        <v>12.530212483399735</v>
      </c>
      <c r="V509" s="6"/>
    </row>
    <row r="510" spans="2:22" ht="15" customHeight="1" x14ac:dyDescent="0.4">
      <c r="B510" s="38" t="s">
        <v>293</v>
      </c>
      <c r="C510" s="6" t="s">
        <v>187</v>
      </c>
      <c r="D510" s="6"/>
      <c r="E510" s="36">
        <v>10</v>
      </c>
      <c r="F510" s="212">
        <v>26300</v>
      </c>
      <c r="G510" s="195">
        <v>39835</v>
      </c>
      <c r="H510" s="8"/>
      <c r="I510" s="212">
        <v>28500</v>
      </c>
      <c r="J510" s="8">
        <v>39850</v>
      </c>
      <c r="K510" s="7">
        <v>70</v>
      </c>
      <c r="L510" s="7">
        <v>80</v>
      </c>
      <c r="M510" s="196"/>
      <c r="N510" s="36"/>
      <c r="O510" s="191">
        <f t="shared" si="191"/>
        <v>16</v>
      </c>
      <c r="P510" s="36">
        <f t="shared" si="200"/>
        <v>263000</v>
      </c>
      <c r="Q510" s="36">
        <f t="shared" si="201"/>
        <v>285000</v>
      </c>
      <c r="R510" s="7">
        <f t="shared" si="202"/>
        <v>-150</v>
      </c>
      <c r="S510" s="227">
        <f t="shared" si="192"/>
        <v>21850</v>
      </c>
      <c r="T510" s="248">
        <f t="shared" si="193"/>
        <v>8.3079847908745244E-2</v>
      </c>
      <c r="U510" s="193">
        <f t="shared" si="203"/>
        <v>1.8952590304182508</v>
      </c>
      <c r="V510" s="6"/>
    </row>
    <row r="511" spans="2:22" ht="15" customHeight="1" x14ac:dyDescent="0.4">
      <c r="B511" s="38" t="s">
        <v>293</v>
      </c>
      <c r="C511" s="6" t="s">
        <v>187</v>
      </c>
      <c r="D511" s="6"/>
      <c r="E511" s="36">
        <v>10</v>
      </c>
      <c r="F511" s="212">
        <v>27200</v>
      </c>
      <c r="G511" s="195">
        <v>39860</v>
      </c>
      <c r="H511" s="8"/>
      <c r="I511" s="212">
        <v>31550</v>
      </c>
      <c r="J511" s="8">
        <v>39926</v>
      </c>
      <c r="K511" s="7">
        <v>70</v>
      </c>
      <c r="L511" s="7">
        <v>90</v>
      </c>
      <c r="M511" s="196"/>
      <c r="N511" s="36"/>
      <c r="O511" s="191">
        <f t="shared" si="191"/>
        <v>67</v>
      </c>
      <c r="P511" s="36">
        <f t="shared" si="200"/>
        <v>272000</v>
      </c>
      <c r="Q511" s="36">
        <f t="shared" si="201"/>
        <v>315500</v>
      </c>
      <c r="R511" s="7">
        <f t="shared" si="202"/>
        <v>-160</v>
      </c>
      <c r="S511" s="227">
        <f t="shared" si="192"/>
        <v>43340</v>
      </c>
      <c r="T511" s="248">
        <f t="shared" si="193"/>
        <v>0.15933823529411764</v>
      </c>
      <c r="U511" s="193">
        <f t="shared" si="203"/>
        <v>0.86803665496049165</v>
      </c>
      <c r="V511" s="6"/>
    </row>
    <row r="512" spans="2:22" ht="15" customHeight="1" x14ac:dyDescent="0.4">
      <c r="B512" s="38" t="s">
        <v>293</v>
      </c>
      <c r="C512" s="6" t="s">
        <v>187</v>
      </c>
      <c r="D512" s="6"/>
      <c r="E512" s="36">
        <v>10</v>
      </c>
      <c r="F512" s="212">
        <v>28500</v>
      </c>
      <c r="G512" s="195">
        <v>39952</v>
      </c>
      <c r="H512" s="8"/>
      <c r="I512" s="212">
        <v>32050</v>
      </c>
      <c r="J512" s="8">
        <v>39969</v>
      </c>
      <c r="K512" s="7">
        <v>80</v>
      </c>
      <c r="L512" s="7">
        <v>90</v>
      </c>
      <c r="M512" s="196"/>
      <c r="N512" s="36"/>
      <c r="O512" s="191">
        <f t="shared" si="191"/>
        <v>18</v>
      </c>
      <c r="P512" s="36">
        <f t="shared" si="200"/>
        <v>285000</v>
      </c>
      <c r="Q512" s="36">
        <f t="shared" si="201"/>
        <v>320500</v>
      </c>
      <c r="R512" s="7">
        <f t="shared" si="202"/>
        <v>-170</v>
      </c>
      <c r="S512" s="227">
        <f t="shared" si="192"/>
        <v>35330</v>
      </c>
      <c r="T512" s="248">
        <f t="shared" si="193"/>
        <v>0.12396491228070175</v>
      </c>
      <c r="U512" s="193">
        <f t="shared" si="203"/>
        <v>2.5137329434697855</v>
      </c>
      <c r="V512" s="6"/>
    </row>
    <row r="513" spans="2:22" ht="15" customHeight="1" x14ac:dyDescent="0.4">
      <c r="B513" s="38" t="s">
        <v>293</v>
      </c>
      <c r="C513" s="6" t="s">
        <v>187</v>
      </c>
      <c r="D513" s="6"/>
      <c r="E513" s="36">
        <v>10</v>
      </c>
      <c r="F513" s="212">
        <v>30900</v>
      </c>
      <c r="G513" s="195">
        <v>39972</v>
      </c>
      <c r="H513" s="8"/>
      <c r="I513" s="212">
        <v>32550</v>
      </c>
      <c r="J513" s="8">
        <v>40029</v>
      </c>
      <c r="K513" s="7">
        <v>80</v>
      </c>
      <c r="L513" s="7">
        <v>90</v>
      </c>
      <c r="M513" s="196"/>
      <c r="N513" s="36"/>
      <c r="O513" s="191">
        <f t="shared" si="191"/>
        <v>58</v>
      </c>
      <c r="P513" s="36">
        <f t="shared" si="200"/>
        <v>309000</v>
      </c>
      <c r="Q513" s="36">
        <f t="shared" si="201"/>
        <v>325500</v>
      </c>
      <c r="R513" s="7">
        <f t="shared" si="202"/>
        <v>-170</v>
      </c>
      <c r="S513" s="227">
        <f t="shared" si="192"/>
        <v>16330</v>
      </c>
      <c r="T513" s="248">
        <f t="shared" si="193"/>
        <v>5.2847896440129452E-2</v>
      </c>
      <c r="U513" s="193">
        <f t="shared" si="203"/>
        <v>0.33257727932150433</v>
      </c>
      <c r="V513" s="6"/>
    </row>
    <row r="514" spans="2:22" ht="15" customHeight="1" x14ac:dyDescent="0.4">
      <c r="B514" s="38" t="s">
        <v>294</v>
      </c>
      <c r="C514" s="6" t="s">
        <v>187</v>
      </c>
      <c r="D514" s="6"/>
      <c r="E514" s="36">
        <v>2</v>
      </c>
      <c r="F514" s="212">
        <v>198000</v>
      </c>
      <c r="G514" s="195">
        <v>39738</v>
      </c>
      <c r="H514" s="8"/>
      <c r="I514" s="212">
        <v>203000</v>
      </c>
      <c r="J514" s="8">
        <v>39738</v>
      </c>
      <c r="K514" s="7">
        <v>110</v>
      </c>
      <c r="L514" s="7">
        <v>110</v>
      </c>
      <c r="M514" s="196"/>
      <c r="N514" s="36"/>
      <c r="O514" s="191">
        <f t="shared" si="191"/>
        <v>1</v>
      </c>
      <c r="P514" s="36">
        <f t="shared" si="200"/>
        <v>396000</v>
      </c>
      <c r="Q514" s="36">
        <f t="shared" si="201"/>
        <v>406000</v>
      </c>
      <c r="R514" s="7">
        <f t="shared" si="202"/>
        <v>-220</v>
      </c>
      <c r="S514" s="227">
        <f t="shared" si="192"/>
        <v>9780</v>
      </c>
      <c r="T514" s="248">
        <f t="shared" si="193"/>
        <v>2.4696969696969696E-2</v>
      </c>
      <c r="U514" s="193">
        <f t="shared" si="203"/>
        <v>9.0143939393939387</v>
      </c>
      <c r="V514" s="6"/>
    </row>
    <row r="515" spans="2:22" ht="15" customHeight="1" x14ac:dyDescent="0.4">
      <c r="B515" s="38" t="s">
        <v>294</v>
      </c>
      <c r="C515" s="6" t="s">
        <v>187</v>
      </c>
      <c r="D515" s="6"/>
      <c r="E515" s="36">
        <v>1</v>
      </c>
      <c r="F515" s="212">
        <v>190500</v>
      </c>
      <c r="G515" s="195">
        <v>39741</v>
      </c>
      <c r="H515" s="8"/>
      <c r="I515" s="212">
        <v>202500</v>
      </c>
      <c r="J515" s="8">
        <v>39766</v>
      </c>
      <c r="K515" s="7">
        <v>50</v>
      </c>
      <c r="L515" s="7">
        <v>50</v>
      </c>
      <c r="M515" s="196"/>
      <c r="N515" s="36"/>
      <c r="O515" s="191">
        <f t="shared" si="191"/>
        <v>26</v>
      </c>
      <c r="P515" s="36">
        <f t="shared" si="200"/>
        <v>190500</v>
      </c>
      <c r="Q515" s="36">
        <f t="shared" si="201"/>
        <v>202500</v>
      </c>
      <c r="R515" s="7">
        <f t="shared" si="202"/>
        <v>-100</v>
      </c>
      <c r="S515" s="227">
        <f t="shared" si="192"/>
        <v>11900</v>
      </c>
      <c r="T515" s="248">
        <f t="shared" si="193"/>
        <v>6.2467191601049868E-2</v>
      </c>
      <c r="U515" s="193">
        <f t="shared" si="203"/>
        <v>0.87694326670704625</v>
      </c>
      <c r="V515" s="6"/>
    </row>
    <row r="516" spans="2:22" s="33" customFormat="1" ht="15" customHeight="1" x14ac:dyDescent="0.4">
      <c r="B516" s="38" t="s">
        <v>295</v>
      </c>
      <c r="C516" s="6" t="s">
        <v>185</v>
      </c>
      <c r="D516" s="6"/>
      <c r="E516" s="36">
        <v>10</v>
      </c>
      <c r="F516" s="212">
        <v>8520</v>
      </c>
      <c r="G516" s="195">
        <v>39213</v>
      </c>
      <c r="H516" s="8"/>
      <c r="I516" s="212">
        <v>9070</v>
      </c>
      <c r="J516" s="8">
        <v>39251</v>
      </c>
      <c r="K516" s="7">
        <f>ROUNDDOWN(E516*F516*0.005,-1)</f>
        <v>420</v>
      </c>
      <c r="L516" s="7">
        <f>ROUNDDOWN(I516*E516*0.005,-1)</f>
        <v>450</v>
      </c>
      <c r="M516" s="196">
        <f>ROUNDUP(I516*E516*0.003,-1)</f>
        <v>280</v>
      </c>
      <c r="N516" s="36"/>
      <c r="O516" s="191">
        <f t="shared" si="191"/>
        <v>39</v>
      </c>
      <c r="P516" s="36">
        <f t="shared" si="200"/>
        <v>85200</v>
      </c>
      <c r="Q516" s="36">
        <f t="shared" si="201"/>
        <v>90700</v>
      </c>
      <c r="R516" s="7">
        <f t="shared" si="202"/>
        <v>-1150</v>
      </c>
      <c r="S516" s="227">
        <f t="shared" si="192"/>
        <v>4350</v>
      </c>
      <c r="T516" s="248">
        <f t="shared" si="193"/>
        <v>5.1056338028169015E-2</v>
      </c>
      <c r="U516" s="9">
        <f t="shared" si="203"/>
        <v>0.47783495846876134</v>
      </c>
      <c r="V516" s="6"/>
    </row>
    <row r="517" spans="2:22" s="33" customFormat="1" ht="15" customHeight="1" x14ac:dyDescent="0.4">
      <c r="B517" s="38" t="s">
        <v>296</v>
      </c>
      <c r="C517" s="6" t="s">
        <v>187</v>
      </c>
      <c r="D517" s="6"/>
      <c r="E517" s="36">
        <v>20</v>
      </c>
      <c r="F517" s="212">
        <v>16500</v>
      </c>
      <c r="G517" s="195">
        <v>39793</v>
      </c>
      <c r="H517" s="8"/>
      <c r="I517" s="212">
        <v>17500</v>
      </c>
      <c r="J517" s="8">
        <v>39876</v>
      </c>
      <c r="K517" s="7">
        <v>90</v>
      </c>
      <c r="L517" s="7">
        <v>100</v>
      </c>
      <c r="M517" s="196"/>
      <c r="N517" s="36">
        <v>4000</v>
      </c>
      <c r="O517" s="191">
        <f t="shared" si="191"/>
        <v>84</v>
      </c>
      <c r="P517" s="36">
        <f t="shared" si="200"/>
        <v>330000</v>
      </c>
      <c r="Q517" s="36">
        <f t="shared" si="201"/>
        <v>350000</v>
      </c>
      <c r="R517" s="7">
        <f t="shared" si="202"/>
        <v>3810</v>
      </c>
      <c r="S517" s="227">
        <f t="shared" si="192"/>
        <v>23810</v>
      </c>
      <c r="T517" s="248">
        <f t="shared" si="193"/>
        <v>7.2151515151515147E-2</v>
      </c>
      <c r="U517" s="9">
        <f t="shared" si="203"/>
        <v>0.31351551226551222</v>
      </c>
      <c r="V517" s="6"/>
    </row>
    <row r="518" spans="2:22" s="33" customFormat="1" ht="15" customHeight="1" x14ac:dyDescent="0.4">
      <c r="B518" s="38" t="s">
        <v>297</v>
      </c>
      <c r="C518" s="6" t="s">
        <v>160</v>
      </c>
      <c r="D518" s="6">
        <f t="shared" ref="D518:D530" si="204">IF(OR($C518="신한",$C518="OTC",$C518="무상증자(신한)",$C518="토스",$C518="R토스"),1,"확인")</f>
        <v>1</v>
      </c>
      <c r="E518" s="34">
        <v>100</v>
      </c>
      <c r="F518" s="212">
        <v>16820</v>
      </c>
      <c r="G518" s="195">
        <v>45898</v>
      </c>
      <c r="H518" s="8"/>
      <c r="I518" s="212">
        <v>17950</v>
      </c>
      <c r="J518" s="8">
        <v>45901</v>
      </c>
      <c r="K518" s="23">
        <f t="shared" ref="K518:K530" si="205">IF($C518="OTC",ROUNDDOWN($E518*$F518*0.000909187,-1),(IF($C518="신한",ROUNDDOWN($E518*$F518*0.000036396,-1),(IF($C518="토스",$E518*$F518*0.00015,(IF($C518="US",(IF($E518*$F518*0.0025&gt;0.01,$E518*$F518*0.0025,0.01)),IF($C518="JP",(IF($E518*$F518*0.0025&gt;1000,$E518*$F518*0.0025,1000)),(IF($C518="R토스",0,IF($C518="무상증자(신한)",0,"")))))))))))</f>
        <v>60</v>
      </c>
      <c r="L518" s="23">
        <f t="shared" ref="L518:L528" si="206">IF($C518="OTC",ROUNDDOWN($I518*$E518*0.000909187,-1),(IF($C518="신한",ROUNDDOWN($I518*$E518*0.000036396,-1),(IF($C518="토스",$I518*$E518*0.00015,(IF($C518="US",(IF($I518*$E518*0.0025&gt;0.01,$I518*$E518*0.0025,0.01)),(IF($C518="JP",(IF($I518*$E518*0.0025&gt;1000,$I518*$E518*0.0025,1000)),(IF($C518="R토스",$I518*$E518*0.00015,(IF($C518="무상증자(신한)",ROUNDDOWN($I518*$E518*0.000036396,-1),"")))))))))))))</f>
        <v>60</v>
      </c>
      <c r="M518" s="206">
        <f>Q518*0.0015</f>
        <v>2692.5</v>
      </c>
      <c r="N518" s="34"/>
      <c r="O518" s="209">
        <f t="shared" si="191"/>
        <v>4</v>
      </c>
      <c r="P518" s="34">
        <f t="shared" ref="P518:P530" si="207">$E518*$F518*$D518</f>
        <v>1682000</v>
      </c>
      <c r="Q518" s="34">
        <f t="shared" ref="Q518:Q530" si="208">$E518*$I518*$D518</f>
        <v>1795000</v>
      </c>
      <c r="R518" s="7">
        <f t="shared" ref="R518:R530" si="209">($N518-$K518-$L518-$M518)*$D518</f>
        <v>-2812.5</v>
      </c>
      <c r="S518" s="227">
        <f t="shared" si="192"/>
        <v>110187.5</v>
      </c>
      <c r="T518" s="249">
        <f t="shared" si="193"/>
        <v>6.5509809750297271E-2</v>
      </c>
    </row>
    <row r="519" spans="2:22" ht="15" customHeight="1" x14ac:dyDescent="0.4">
      <c r="B519" s="38" t="s">
        <v>297</v>
      </c>
      <c r="C519" s="6" t="s">
        <v>160</v>
      </c>
      <c r="D519" s="6">
        <f t="shared" si="204"/>
        <v>1</v>
      </c>
      <c r="E519" s="34">
        <v>100</v>
      </c>
      <c r="F519" s="212">
        <v>16850</v>
      </c>
      <c r="G519" s="195">
        <v>45898</v>
      </c>
      <c r="H519" s="8"/>
      <c r="I519" s="212">
        <v>17950</v>
      </c>
      <c r="J519" s="8">
        <v>45901</v>
      </c>
      <c r="K519" s="23">
        <f t="shared" si="205"/>
        <v>60</v>
      </c>
      <c r="L519" s="23">
        <f t="shared" si="206"/>
        <v>60</v>
      </c>
      <c r="M519" s="206">
        <f>Q519*0.0015</f>
        <v>2692.5</v>
      </c>
      <c r="N519" s="34"/>
      <c r="O519" s="209">
        <f t="shared" si="191"/>
        <v>4</v>
      </c>
      <c r="P519" s="34">
        <f t="shared" si="207"/>
        <v>1685000</v>
      </c>
      <c r="Q519" s="34">
        <f t="shared" si="208"/>
        <v>1795000</v>
      </c>
      <c r="R519" s="7">
        <f t="shared" si="209"/>
        <v>-2812.5</v>
      </c>
      <c r="S519" s="227">
        <f t="shared" si="192"/>
        <v>107187.5</v>
      </c>
      <c r="T519" s="249">
        <f t="shared" si="193"/>
        <v>6.3612759643916911E-2</v>
      </c>
      <c r="U519" s="38"/>
      <c r="V519" s="33"/>
    </row>
    <row r="520" spans="2:22" ht="15" customHeight="1" x14ac:dyDescent="0.4">
      <c r="B520" s="38" t="s">
        <v>297</v>
      </c>
      <c r="C520" s="6" t="s">
        <v>160</v>
      </c>
      <c r="D520" s="6">
        <f t="shared" si="204"/>
        <v>1</v>
      </c>
      <c r="E520" s="34">
        <v>100</v>
      </c>
      <c r="F520" s="212">
        <v>16800</v>
      </c>
      <c r="G520" s="195">
        <v>45898</v>
      </c>
      <c r="H520" s="8"/>
      <c r="I520" s="212">
        <v>17950</v>
      </c>
      <c r="J520" s="8">
        <v>45901</v>
      </c>
      <c r="K520" s="23">
        <f t="shared" si="205"/>
        <v>60</v>
      </c>
      <c r="L520" s="23">
        <f t="shared" si="206"/>
        <v>60</v>
      </c>
      <c r="M520" s="206">
        <f>Q520*0.0015</f>
        <v>2692.5</v>
      </c>
      <c r="N520" s="34"/>
      <c r="O520" s="209">
        <f t="shared" si="191"/>
        <v>4</v>
      </c>
      <c r="P520" s="34">
        <f t="shared" si="207"/>
        <v>1680000</v>
      </c>
      <c r="Q520" s="34">
        <f t="shared" si="208"/>
        <v>1795000</v>
      </c>
      <c r="R520" s="7">
        <f t="shared" si="209"/>
        <v>-2812.5</v>
      </c>
      <c r="S520" s="227">
        <f t="shared" si="192"/>
        <v>112187.5</v>
      </c>
      <c r="T520" s="249">
        <f t="shared" si="193"/>
        <v>6.6778273809523808E-2</v>
      </c>
      <c r="U520" s="38"/>
      <c r="V520" s="33"/>
    </row>
    <row r="521" spans="2:22" ht="15" customHeight="1" x14ac:dyDescent="0.4">
      <c r="B521" s="38" t="s">
        <v>297</v>
      </c>
      <c r="C521" s="6" t="s">
        <v>160</v>
      </c>
      <c r="D521" s="6">
        <f t="shared" si="204"/>
        <v>1</v>
      </c>
      <c r="E521" s="34">
        <v>100</v>
      </c>
      <c r="F521" s="212">
        <v>16600</v>
      </c>
      <c r="G521" s="195">
        <v>45898</v>
      </c>
      <c r="H521" s="8"/>
      <c r="I521" s="212">
        <v>17950</v>
      </c>
      <c r="J521" s="8">
        <v>45901</v>
      </c>
      <c r="K521" s="23">
        <f t="shared" si="205"/>
        <v>60</v>
      </c>
      <c r="L521" s="23">
        <f t="shared" si="206"/>
        <v>60</v>
      </c>
      <c r="M521" s="206">
        <f>Q521*0.0015</f>
        <v>2692.5</v>
      </c>
      <c r="N521" s="34"/>
      <c r="O521" s="209">
        <f t="shared" si="191"/>
        <v>4</v>
      </c>
      <c r="P521" s="34">
        <f t="shared" si="207"/>
        <v>1660000</v>
      </c>
      <c r="Q521" s="34">
        <f t="shared" si="208"/>
        <v>1795000</v>
      </c>
      <c r="R521" s="7">
        <f t="shared" si="209"/>
        <v>-2812.5</v>
      </c>
      <c r="S521" s="227">
        <f t="shared" si="192"/>
        <v>132187.5</v>
      </c>
      <c r="T521" s="249">
        <f t="shared" si="193"/>
        <v>7.9631024096385547E-2</v>
      </c>
      <c r="U521" s="38"/>
      <c r="V521" s="33"/>
    </row>
    <row r="522" spans="2:22" ht="15" customHeight="1" x14ac:dyDescent="0.4">
      <c r="B522" s="38" t="s">
        <v>298</v>
      </c>
      <c r="C522" s="6" t="s">
        <v>160</v>
      </c>
      <c r="D522" s="6">
        <f t="shared" si="204"/>
        <v>1</v>
      </c>
      <c r="E522" s="34">
        <v>154</v>
      </c>
      <c r="F522" s="212">
        <v>65000</v>
      </c>
      <c r="G522" s="195">
        <v>44027</v>
      </c>
      <c r="H522" s="8"/>
      <c r="I522" s="212">
        <v>79000</v>
      </c>
      <c r="J522" s="8">
        <v>44033</v>
      </c>
      <c r="K522" s="23">
        <f t="shared" si="205"/>
        <v>360</v>
      </c>
      <c r="L522" s="23">
        <f t="shared" si="206"/>
        <v>440</v>
      </c>
      <c r="M522" s="206">
        <f>Q522*0.0025</f>
        <v>30415</v>
      </c>
      <c r="N522" s="34"/>
      <c r="O522" s="209">
        <f t="shared" si="191"/>
        <v>7</v>
      </c>
      <c r="P522" s="34">
        <f t="shared" si="207"/>
        <v>10010000</v>
      </c>
      <c r="Q522" s="34">
        <f t="shared" si="208"/>
        <v>12166000</v>
      </c>
      <c r="R522" s="7">
        <f t="shared" si="209"/>
        <v>-31215</v>
      </c>
      <c r="S522" s="227">
        <f t="shared" si="192"/>
        <v>2124785</v>
      </c>
      <c r="T522" s="249">
        <f t="shared" si="193"/>
        <v>0.21226623376623377</v>
      </c>
      <c r="U522" s="38"/>
      <c r="V522" s="33"/>
    </row>
    <row r="523" spans="2:22" ht="15" customHeight="1" x14ac:dyDescent="0.4">
      <c r="B523" s="38" t="s">
        <v>298</v>
      </c>
      <c r="C523" s="6" t="s">
        <v>160</v>
      </c>
      <c r="D523" s="6">
        <f t="shared" si="204"/>
        <v>1</v>
      </c>
      <c r="E523" s="34">
        <v>10</v>
      </c>
      <c r="F523" s="212">
        <v>71000</v>
      </c>
      <c r="G523" s="195">
        <v>44047</v>
      </c>
      <c r="H523" s="8"/>
      <c r="I523" s="212">
        <v>74000</v>
      </c>
      <c r="J523" s="8">
        <v>44194</v>
      </c>
      <c r="K523" s="23">
        <f t="shared" si="205"/>
        <v>20</v>
      </c>
      <c r="L523" s="23">
        <f t="shared" si="206"/>
        <v>20</v>
      </c>
      <c r="M523" s="206">
        <f t="shared" ref="M523:M528" si="210">Q523*0.0023</f>
        <v>1702</v>
      </c>
      <c r="N523" s="34">
        <f t="shared" ref="N523:N528" si="211">E523*2250*(1-0.154)</f>
        <v>19035</v>
      </c>
      <c r="O523" s="209">
        <f t="shared" si="191"/>
        <v>148</v>
      </c>
      <c r="P523" s="34">
        <f t="shared" si="207"/>
        <v>710000</v>
      </c>
      <c r="Q523" s="34">
        <f t="shared" si="208"/>
        <v>740000</v>
      </c>
      <c r="R523" s="7">
        <f t="shared" si="209"/>
        <v>17293</v>
      </c>
      <c r="S523" s="227">
        <f t="shared" si="192"/>
        <v>47293</v>
      </c>
      <c r="T523" s="249">
        <f t="shared" si="193"/>
        <v>6.6609859154929577E-2</v>
      </c>
      <c r="U523" s="38"/>
      <c r="V523" s="33"/>
    </row>
    <row r="524" spans="2:22" ht="15" customHeight="1" x14ac:dyDescent="0.4">
      <c r="B524" s="38" t="s">
        <v>298</v>
      </c>
      <c r="C524" s="6" t="s">
        <v>160</v>
      </c>
      <c r="D524" s="6">
        <f t="shared" si="204"/>
        <v>1</v>
      </c>
      <c r="E524" s="34">
        <v>5</v>
      </c>
      <c r="F524" s="212">
        <v>70800</v>
      </c>
      <c r="G524" s="195">
        <v>44050</v>
      </c>
      <c r="H524" s="8"/>
      <c r="I524" s="212">
        <v>74000</v>
      </c>
      <c r="J524" s="8">
        <v>44194</v>
      </c>
      <c r="K524" s="23">
        <f t="shared" si="205"/>
        <v>10</v>
      </c>
      <c r="L524" s="23">
        <f t="shared" si="206"/>
        <v>10</v>
      </c>
      <c r="M524" s="206">
        <f t="shared" si="210"/>
        <v>851</v>
      </c>
      <c r="N524" s="34">
        <f t="shared" si="211"/>
        <v>9517.5</v>
      </c>
      <c r="O524" s="209">
        <f t="shared" si="191"/>
        <v>145</v>
      </c>
      <c r="P524" s="34">
        <f t="shared" si="207"/>
        <v>354000</v>
      </c>
      <c r="Q524" s="34">
        <f t="shared" si="208"/>
        <v>370000</v>
      </c>
      <c r="R524" s="7">
        <f t="shared" si="209"/>
        <v>8646.5</v>
      </c>
      <c r="S524" s="227">
        <f t="shared" si="192"/>
        <v>24646.5</v>
      </c>
      <c r="T524" s="249">
        <f t="shared" si="193"/>
        <v>6.9622881355932198E-2</v>
      </c>
      <c r="U524" s="38"/>
      <c r="V524" s="33"/>
    </row>
    <row r="525" spans="2:22" ht="15" customHeight="1" x14ac:dyDescent="0.4">
      <c r="B525" s="38" t="s">
        <v>298</v>
      </c>
      <c r="C525" s="6" t="s">
        <v>160</v>
      </c>
      <c r="D525" s="6">
        <f t="shared" si="204"/>
        <v>1</v>
      </c>
      <c r="E525" s="34">
        <v>10</v>
      </c>
      <c r="F525" s="212">
        <v>67500</v>
      </c>
      <c r="G525" s="195">
        <v>44063</v>
      </c>
      <c r="H525" s="8"/>
      <c r="I525" s="212">
        <v>74000</v>
      </c>
      <c r="J525" s="8">
        <v>44194</v>
      </c>
      <c r="K525" s="23">
        <f t="shared" si="205"/>
        <v>20</v>
      </c>
      <c r="L525" s="23">
        <f t="shared" si="206"/>
        <v>20</v>
      </c>
      <c r="M525" s="206">
        <f t="shared" si="210"/>
        <v>1702</v>
      </c>
      <c r="N525" s="34">
        <f t="shared" si="211"/>
        <v>19035</v>
      </c>
      <c r="O525" s="209">
        <f t="shared" si="191"/>
        <v>132</v>
      </c>
      <c r="P525" s="34">
        <f t="shared" si="207"/>
        <v>675000</v>
      </c>
      <c r="Q525" s="34">
        <f t="shared" si="208"/>
        <v>740000</v>
      </c>
      <c r="R525" s="7">
        <f t="shared" si="209"/>
        <v>17293</v>
      </c>
      <c r="S525" s="227">
        <f t="shared" si="192"/>
        <v>82293</v>
      </c>
      <c r="T525" s="249">
        <f t="shared" si="193"/>
        <v>0.12191555555555555</v>
      </c>
      <c r="U525" s="38"/>
      <c r="V525" s="33"/>
    </row>
    <row r="526" spans="2:22" ht="15" customHeight="1" x14ac:dyDescent="0.4">
      <c r="B526" s="38" t="s">
        <v>298</v>
      </c>
      <c r="C526" s="6" t="s">
        <v>160</v>
      </c>
      <c r="D526" s="6">
        <f t="shared" si="204"/>
        <v>1</v>
      </c>
      <c r="E526" s="34">
        <v>8</v>
      </c>
      <c r="F526" s="212">
        <v>66000</v>
      </c>
      <c r="G526" s="195">
        <v>44063</v>
      </c>
      <c r="H526" s="8"/>
      <c r="I526" s="212">
        <v>74000</v>
      </c>
      <c r="J526" s="8">
        <v>44194</v>
      </c>
      <c r="K526" s="23">
        <f t="shared" si="205"/>
        <v>10</v>
      </c>
      <c r="L526" s="23">
        <f t="shared" si="206"/>
        <v>20</v>
      </c>
      <c r="M526" s="206">
        <f t="shared" si="210"/>
        <v>1361.6</v>
      </c>
      <c r="N526" s="34">
        <f t="shared" si="211"/>
        <v>15228</v>
      </c>
      <c r="O526" s="209">
        <f t="shared" si="191"/>
        <v>132</v>
      </c>
      <c r="P526" s="34">
        <f t="shared" si="207"/>
        <v>528000</v>
      </c>
      <c r="Q526" s="34">
        <f t="shared" si="208"/>
        <v>592000</v>
      </c>
      <c r="R526" s="7">
        <f t="shared" si="209"/>
        <v>13836.4</v>
      </c>
      <c r="S526" s="227">
        <f t="shared" si="192"/>
        <v>77836.399999999994</v>
      </c>
      <c r="T526" s="249">
        <f t="shared" si="193"/>
        <v>0.14741742424242424</v>
      </c>
      <c r="U526" s="38"/>
      <c r="V526" s="33"/>
    </row>
    <row r="527" spans="2:22" ht="15" customHeight="1" x14ac:dyDescent="0.4">
      <c r="B527" s="38" t="s">
        <v>298</v>
      </c>
      <c r="C527" s="6" t="s">
        <v>160</v>
      </c>
      <c r="D527" s="6">
        <f t="shared" si="204"/>
        <v>1</v>
      </c>
      <c r="E527" s="34">
        <v>8</v>
      </c>
      <c r="F527" s="212">
        <v>64300</v>
      </c>
      <c r="G527" s="195">
        <v>44071</v>
      </c>
      <c r="H527" s="8"/>
      <c r="I527" s="212">
        <v>74000</v>
      </c>
      <c r="J527" s="8">
        <v>44194</v>
      </c>
      <c r="K527" s="23">
        <f t="shared" si="205"/>
        <v>10</v>
      </c>
      <c r="L527" s="23">
        <f t="shared" si="206"/>
        <v>20</v>
      </c>
      <c r="M527" s="206">
        <f t="shared" si="210"/>
        <v>1361.6</v>
      </c>
      <c r="N527" s="34">
        <f t="shared" si="211"/>
        <v>15228</v>
      </c>
      <c r="O527" s="209">
        <f t="shared" si="191"/>
        <v>124</v>
      </c>
      <c r="P527" s="34">
        <f t="shared" si="207"/>
        <v>514400</v>
      </c>
      <c r="Q527" s="34">
        <f t="shared" si="208"/>
        <v>592000</v>
      </c>
      <c r="R527" s="7">
        <f t="shared" si="209"/>
        <v>13836.4</v>
      </c>
      <c r="S527" s="227">
        <f t="shared" si="192"/>
        <v>91436.4</v>
      </c>
      <c r="T527" s="249">
        <f t="shared" si="193"/>
        <v>0.177753499222395</v>
      </c>
      <c r="U527" s="38"/>
      <c r="V527" s="33"/>
    </row>
    <row r="528" spans="2:22" ht="15" customHeight="1" x14ac:dyDescent="0.4">
      <c r="B528" s="38" t="s">
        <v>298</v>
      </c>
      <c r="C528" s="6" t="s">
        <v>160</v>
      </c>
      <c r="D528" s="6">
        <f t="shared" si="204"/>
        <v>1</v>
      </c>
      <c r="E528" s="34">
        <v>10</v>
      </c>
      <c r="F528" s="212">
        <v>68000</v>
      </c>
      <c r="G528" s="195">
        <v>44181</v>
      </c>
      <c r="H528" s="8"/>
      <c r="I528" s="212">
        <v>74000</v>
      </c>
      <c r="J528" s="8">
        <v>44194</v>
      </c>
      <c r="K528" s="23">
        <f t="shared" si="205"/>
        <v>20</v>
      </c>
      <c r="L528" s="23">
        <f t="shared" si="206"/>
        <v>20</v>
      </c>
      <c r="M528" s="206">
        <f t="shared" si="210"/>
        <v>1702</v>
      </c>
      <c r="N528" s="34">
        <f t="shared" si="211"/>
        <v>19035</v>
      </c>
      <c r="O528" s="209">
        <f t="shared" si="191"/>
        <v>14</v>
      </c>
      <c r="P528" s="34">
        <f t="shared" si="207"/>
        <v>680000</v>
      </c>
      <c r="Q528" s="34">
        <f t="shared" si="208"/>
        <v>740000</v>
      </c>
      <c r="R528" s="7">
        <f t="shared" si="209"/>
        <v>17293</v>
      </c>
      <c r="S528" s="227">
        <f t="shared" si="192"/>
        <v>77293</v>
      </c>
      <c r="T528" s="249">
        <f t="shared" si="193"/>
        <v>0.11366617647058823</v>
      </c>
      <c r="U528" s="38"/>
      <c r="V528" s="33"/>
    </row>
    <row r="529" spans="2:22" ht="15" customHeight="1" x14ac:dyDescent="0.4">
      <c r="B529" s="38" t="s">
        <v>299</v>
      </c>
      <c r="C529" s="6" t="s">
        <v>160</v>
      </c>
      <c r="D529" s="6">
        <f t="shared" si="204"/>
        <v>1</v>
      </c>
      <c r="E529" s="34">
        <v>80</v>
      </c>
      <c r="F529" s="212">
        <v>59000</v>
      </c>
      <c r="G529" s="195">
        <v>44076</v>
      </c>
      <c r="H529" s="8"/>
      <c r="I529" s="212">
        <v>62000</v>
      </c>
      <c r="J529" s="8">
        <v>44168</v>
      </c>
      <c r="K529" s="23">
        <f t="shared" si="205"/>
        <v>170</v>
      </c>
      <c r="L529" s="23">
        <v>0</v>
      </c>
      <c r="M529" s="206">
        <f>Q529*0.0025</f>
        <v>12400</v>
      </c>
      <c r="N529" s="34"/>
      <c r="O529" s="209">
        <f t="shared" si="191"/>
        <v>93</v>
      </c>
      <c r="P529" s="34">
        <f t="shared" si="207"/>
        <v>4720000</v>
      </c>
      <c r="Q529" s="34">
        <f t="shared" si="208"/>
        <v>4960000</v>
      </c>
      <c r="R529" s="7">
        <f t="shared" si="209"/>
        <v>-12570</v>
      </c>
      <c r="S529" s="227">
        <f t="shared" si="192"/>
        <v>227430</v>
      </c>
      <c r="T529" s="249">
        <f t="shared" si="193"/>
        <v>4.8184322033898302E-2</v>
      </c>
      <c r="U529" s="38"/>
      <c r="V529" s="33"/>
    </row>
    <row r="530" spans="2:22" ht="15" customHeight="1" x14ac:dyDescent="0.4">
      <c r="B530" s="38" t="s">
        <v>300</v>
      </c>
      <c r="C530" s="6" t="s">
        <v>160</v>
      </c>
      <c r="D530" s="6">
        <f t="shared" si="204"/>
        <v>1</v>
      </c>
      <c r="E530" s="34">
        <v>29</v>
      </c>
      <c r="F530" s="212">
        <v>22850</v>
      </c>
      <c r="G530" s="195">
        <v>44330</v>
      </c>
      <c r="H530" s="8"/>
      <c r="I530" s="212">
        <v>24000</v>
      </c>
      <c r="J530" s="8">
        <v>44330</v>
      </c>
      <c r="K530" s="23">
        <f t="shared" si="205"/>
        <v>20</v>
      </c>
      <c r="L530" s="23">
        <f>IF($C530="OTC",ROUNDDOWN($I530*$E530*0.000909187,-1),(IF($C530="신한",ROUNDDOWN($I530*$E530*0.000036396,-1),(IF($C530="토스",$I530*$E530*0.00015,(IF($C530="US",(IF($I530*$E530*0.0025&gt;0.01,$I530*$E530*0.0025,0.01)),(IF($C530="JP",(IF($I530*$E530*0.0025&gt;1000,$I530*$E530*0.0025,1000)),(IF($C530="R토스",$I530*$E530*0.00015,(IF($C530="무상증자(신한)",ROUNDDOWN($I530*$E530*0.000036396,-1),"")))))))))))))</f>
        <v>20</v>
      </c>
      <c r="M530" s="206">
        <f>Q530*0.0023</f>
        <v>1600.8</v>
      </c>
      <c r="N530" s="34"/>
      <c r="O530" s="209">
        <f t="shared" si="191"/>
        <v>1</v>
      </c>
      <c r="P530" s="34">
        <f t="shared" si="207"/>
        <v>662650</v>
      </c>
      <c r="Q530" s="34">
        <f t="shared" si="208"/>
        <v>696000</v>
      </c>
      <c r="R530" s="7">
        <f t="shared" si="209"/>
        <v>-1640.8</v>
      </c>
      <c r="S530" s="227">
        <f t="shared" si="192"/>
        <v>31709.200000000001</v>
      </c>
      <c r="T530" s="249">
        <f t="shared" si="193"/>
        <v>4.7852108956462691E-2</v>
      </c>
      <c r="U530" s="38"/>
      <c r="V530" s="33"/>
    </row>
    <row r="531" spans="2:22" ht="15" customHeight="1" x14ac:dyDescent="0.4">
      <c r="B531" s="198" t="s">
        <v>301</v>
      </c>
      <c r="C531" s="6" t="s">
        <v>162</v>
      </c>
      <c r="D531" s="15"/>
      <c r="E531" s="36">
        <v>9</v>
      </c>
      <c r="F531" s="212">
        <v>56400</v>
      </c>
      <c r="G531" s="195">
        <v>43766</v>
      </c>
      <c r="H531" s="8"/>
      <c r="I531" s="212">
        <v>32550</v>
      </c>
      <c r="J531" s="8">
        <v>43846</v>
      </c>
      <c r="K531" s="7">
        <f t="shared" ref="K531:K543" si="212">ROUNDDOWN(E531*F531*0.0015,-1)</f>
        <v>760</v>
      </c>
      <c r="L531" s="7">
        <f t="shared" ref="L531:L543" si="213">ROUNDDOWN(I531*E531*0.0015,-1)</f>
        <v>430</v>
      </c>
      <c r="M531" s="196">
        <f>ROUNDDOWN(I531*E531*0.0025, )</f>
        <v>732</v>
      </c>
      <c r="N531" s="36">
        <v>2250</v>
      </c>
      <c r="O531" s="191">
        <f t="shared" si="191"/>
        <v>81</v>
      </c>
      <c r="P531" s="36">
        <f t="shared" ref="P531:P543" si="214">F531*E531</f>
        <v>507600</v>
      </c>
      <c r="Q531" s="36">
        <f t="shared" ref="Q531:Q543" si="215">I531*E531</f>
        <v>292950</v>
      </c>
      <c r="R531" s="7">
        <f t="shared" ref="R531:R543" si="216">N531-K531-L531-M531</f>
        <v>328</v>
      </c>
      <c r="S531" s="227">
        <f t="shared" si="192"/>
        <v>-214322</v>
      </c>
      <c r="T531" s="248">
        <f t="shared" si="193"/>
        <v>-0.42222616233254529</v>
      </c>
      <c r="U531" s="193">
        <f t="shared" ref="U531:U543" si="217">T531*365/O531</f>
        <v>-1.9026240648318398</v>
      </c>
      <c r="V531" s="6" t="s">
        <v>262</v>
      </c>
    </row>
    <row r="532" spans="2:22" ht="15" customHeight="1" x14ac:dyDescent="0.4">
      <c r="B532" s="198" t="s">
        <v>302</v>
      </c>
      <c r="C532" s="6" t="s">
        <v>162</v>
      </c>
      <c r="D532" s="15"/>
      <c r="E532" s="36">
        <v>9</v>
      </c>
      <c r="F532" s="212">
        <v>0</v>
      </c>
      <c r="G532" s="195">
        <v>43819</v>
      </c>
      <c r="H532" s="8"/>
      <c r="I532" s="212">
        <v>32550</v>
      </c>
      <c r="J532" s="8">
        <v>43846</v>
      </c>
      <c r="K532" s="7">
        <f t="shared" si="212"/>
        <v>0</v>
      </c>
      <c r="L532" s="7">
        <f t="shared" si="213"/>
        <v>430</v>
      </c>
      <c r="M532" s="196">
        <f>ROUNDDOWN(I532*E532*0.0025, )</f>
        <v>732</v>
      </c>
      <c r="N532" s="36">
        <v>2250</v>
      </c>
      <c r="O532" s="191">
        <f t="shared" si="191"/>
        <v>28</v>
      </c>
      <c r="P532" s="36">
        <f t="shared" si="214"/>
        <v>0</v>
      </c>
      <c r="Q532" s="36">
        <f t="shared" si="215"/>
        <v>292950</v>
      </c>
      <c r="R532" s="7">
        <f t="shared" si="216"/>
        <v>1088</v>
      </c>
      <c r="S532" s="227">
        <f t="shared" si="192"/>
        <v>294038</v>
      </c>
      <c r="T532" s="248" t="e">
        <f t="shared" si="193"/>
        <v>#DIV/0!</v>
      </c>
      <c r="U532" s="193" t="e">
        <f t="shared" si="217"/>
        <v>#DIV/0!</v>
      </c>
      <c r="V532" s="6"/>
    </row>
    <row r="533" spans="2:22" ht="15" customHeight="1" x14ac:dyDescent="0.4">
      <c r="B533" s="38" t="s">
        <v>303</v>
      </c>
      <c r="C533" s="6" t="s">
        <v>162</v>
      </c>
      <c r="D533" s="6"/>
      <c r="E533" s="36">
        <v>5</v>
      </c>
      <c r="F533" s="212">
        <v>19150</v>
      </c>
      <c r="G533" s="195">
        <v>42564</v>
      </c>
      <c r="H533" s="8"/>
      <c r="I533" s="212">
        <v>13350</v>
      </c>
      <c r="J533" s="8">
        <v>43042</v>
      </c>
      <c r="K533" s="7">
        <f t="shared" si="212"/>
        <v>140</v>
      </c>
      <c r="L533" s="7">
        <f t="shared" si="213"/>
        <v>100</v>
      </c>
      <c r="M533" s="196">
        <f>I533*E533*0.003</f>
        <v>200.25</v>
      </c>
      <c r="N533" s="36">
        <v>1000</v>
      </c>
      <c r="O533" s="191">
        <f t="shared" si="191"/>
        <v>479</v>
      </c>
      <c r="P533" s="36">
        <f t="shared" si="214"/>
        <v>95750</v>
      </c>
      <c r="Q533" s="36">
        <f t="shared" si="215"/>
        <v>66750</v>
      </c>
      <c r="R533" s="7">
        <f t="shared" si="216"/>
        <v>559.75</v>
      </c>
      <c r="S533" s="227">
        <f t="shared" si="192"/>
        <v>-28440.25</v>
      </c>
      <c r="T533" s="248">
        <f t="shared" si="193"/>
        <v>-0.29702610966057441</v>
      </c>
      <c r="U533" s="193">
        <f t="shared" si="217"/>
        <v>-0.22633513575388237</v>
      </c>
      <c r="V533" s="6"/>
    </row>
    <row r="534" spans="2:22" ht="15" customHeight="1" x14ac:dyDescent="0.4">
      <c r="B534" s="38" t="s">
        <v>304</v>
      </c>
      <c r="C534" s="6" t="s">
        <v>162</v>
      </c>
      <c r="D534" s="6"/>
      <c r="E534" s="36">
        <v>100</v>
      </c>
      <c r="F534" s="212">
        <v>5050</v>
      </c>
      <c r="G534" s="195">
        <v>43277</v>
      </c>
      <c r="H534" s="8"/>
      <c r="I534" s="212">
        <v>5310</v>
      </c>
      <c r="J534" s="8">
        <v>43362</v>
      </c>
      <c r="K534" s="7">
        <f t="shared" si="212"/>
        <v>750</v>
      </c>
      <c r="L534" s="7">
        <f t="shared" si="213"/>
        <v>790</v>
      </c>
      <c r="M534" s="196">
        <f>I534*E534*0.003</f>
        <v>1593</v>
      </c>
      <c r="N534" s="36"/>
      <c r="O534" s="191">
        <f t="shared" si="191"/>
        <v>86</v>
      </c>
      <c r="P534" s="36">
        <f t="shared" si="214"/>
        <v>505000</v>
      </c>
      <c r="Q534" s="36">
        <f t="shared" si="215"/>
        <v>531000</v>
      </c>
      <c r="R534" s="7">
        <f t="shared" si="216"/>
        <v>-3133</v>
      </c>
      <c r="S534" s="227">
        <f t="shared" si="192"/>
        <v>22867</v>
      </c>
      <c r="T534" s="248">
        <f t="shared" si="193"/>
        <v>4.5281188118811884E-2</v>
      </c>
      <c r="U534" s="193">
        <f t="shared" si="217"/>
        <v>0.19218178678332951</v>
      </c>
      <c r="V534" s="6"/>
    </row>
    <row r="535" spans="2:22" ht="15" customHeight="1" x14ac:dyDescent="0.4">
      <c r="B535" s="38" t="s">
        <v>305</v>
      </c>
      <c r="C535" s="6" t="s">
        <v>162</v>
      </c>
      <c r="D535" s="6"/>
      <c r="E535" s="36">
        <v>10</v>
      </c>
      <c r="F535" s="212">
        <v>33800</v>
      </c>
      <c r="G535" s="195">
        <v>43529</v>
      </c>
      <c r="H535" s="8"/>
      <c r="I535" s="212">
        <v>39050</v>
      </c>
      <c r="J535" s="8">
        <v>43532</v>
      </c>
      <c r="K535" s="7">
        <f t="shared" si="212"/>
        <v>500</v>
      </c>
      <c r="L535" s="7">
        <f t="shared" si="213"/>
        <v>580</v>
      </c>
      <c r="M535" s="196">
        <f>I535*E535*0.003</f>
        <v>1171.5</v>
      </c>
      <c r="N535" s="36"/>
      <c r="O535" s="191">
        <f t="shared" si="191"/>
        <v>4</v>
      </c>
      <c r="P535" s="36">
        <f t="shared" si="214"/>
        <v>338000</v>
      </c>
      <c r="Q535" s="36">
        <f t="shared" si="215"/>
        <v>390500</v>
      </c>
      <c r="R535" s="7">
        <f t="shared" si="216"/>
        <v>-2251.5</v>
      </c>
      <c r="S535" s="227">
        <f t="shared" si="192"/>
        <v>50248.5</v>
      </c>
      <c r="T535" s="248">
        <f t="shared" si="193"/>
        <v>0.14866420118343196</v>
      </c>
      <c r="U535" s="193">
        <f t="shared" si="217"/>
        <v>13.565608357988166</v>
      </c>
      <c r="V535" s="6"/>
    </row>
    <row r="536" spans="2:22" ht="15" customHeight="1" x14ac:dyDescent="0.4">
      <c r="B536" s="38" t="s">
        <v>305</v>
      </c>
      <c r="C536" s="6" t="s">
        <v>162</v>
      </c>
      <c r="D536" s="6"/>
      <c r="E536" s="36">
        <v>20</v>
      </c>
      <c r="F536" s="212">
        <v>33700</v>
      </c>
      <c r="G536" s="195">
        <v>43529</v>
      </c>
      <c r="H536" s="8"/>
      <c r="I536" s="212">
        <v>39050</v>
      </c>
      <c r="J536" s="8">
        <v>43532</v>
      </c>
      <c r="K536" s="7">
        <f t="shared" si="212"/>
        <v>1010</v>
      </c>
      <c r="L536" s="7">
        <f t="shared" si="213"/>
        <v>1170</v>
      </c>
      <c r="M536" s="196">
        <f>I536*E536*0.003</f>
        <v>2343</v>
      </c>
      <c r="N536" s="36"/>
      <c r="O536" s="191">
        <f t="shared" si="191"/>
        <v>4</v>
      </c>
      <c r="P536" s="36">
        <f t="shared" si="214"/>
        <v>674000</v>
      </c>
      <c r="Q536" s="36">
        <f t="shared" si="215"/>
        <v>781000</v>
      </c>
      <c r="R536" s="7">
        <f t="shared" si="216"/>
        <v>-4523</v>
      </c>
      <c r="S536" s="227">
        <f t="shared" si="192"/>
        <v>102477</v>
      </c>
      <c r="T536" s="248">
        <f t="shared" si="193"/>
        <v>0.15204302670623146</v>
      </c>
      <c r="U536" s="193">
        <f t="shared" si="217"/>
        <v>13.873926186943621</v>
      </c>
      <c r="V536" s="6"/>
    </row>
    <row r="537" spans="2:22" ht="15" customHeight="1" x14ac:dyDescent="0.4">
      <c r="B537" s="198" t="s">
        <v>305</v>
      </c>
      <c r="C537" s="6" t="s">
        <v>162</v>
      </c>
      <c r="D537" s="15"/>
      <c r="E537" s="36">
        <v>40</v>
      </c>
      <c r="F537" s="212">
        <v>83000</v>
      </c>
      <c r="G537" s="195">
        <v>43896</v>
      </c>
      <c r="H537" s="8"/>
      <c r="I537" s="212">
        <v>97200</v>
      </c>
      <c r="J537" s="8">
        <v>44025</v>
      </c>
      <c r="K537" s="7">
        <f t="shared" si="212"/>
        <v>4980</v>
      </c>
      <c r="L537" s="7">
        <f t="shared" si="213"/>
        <v>5830</v>
      </c>
      <c r="M537" s="196">
        <f>ROUNDDOWN(I537*E537*0.0025, )</f>
        <v>9720</v>
      </c>
      <c r="N537" s="36"/>
      <c r="O537" s="191">
        <f t="shared" si="191"/>
        <v>130</v>
      </c>
      <c r="P537" s="36">
        <f t="shared" si="214"/>
        <v>3320000</v>
      </c>
      <c r="Q537" s="36">
        <f t="shared" si="215"/>
        <v>3888000</v>
      </c>
      <c r="R537" s="7">
        <f t="shared" si="216"/>
        <v>-20530</v>
      </c>
      <c r="S537" s="227">
        <f t="shared" si="192"/>
        <v>547470</v>
      </c>
      <c r="T537" s="248">
        <f t="shared" si="193"/>
        <v>0.16490060240963855</v>
      </c>
      <c r="U537" s="193">
        <f t="shared" si="217"/>
        <v>0.46299015291936979</v>
      </c>
      <c r="V537" s="6"/>
    </row>
    <row r="538" spans="2:22" ht="15" customHeight="1" x14ac:dyDescent="0.4">
      <c r="B538" s="38" t="s">
        <v>306</v>
      </c>
      <c r="C538" s="6" t="s">
        <v>162</v>
      </c>
      <c r="D538" s="6"/>
      <c r="E538" s="36">
        <v>400</v>
      </c>
      <c r="F538" s="212">
        <v>5370</v>
      </c>
      <c r="G538" s="195">
        <v>43235</v>
      </c>
      <c r="H538" s="8"/>
      <c r="I538" s="212">
        <v>5700</v>
      </c>
      <c r="J538" s="8">
        <v>43256</v>
      </c>
      <c r="K538" s="7">
        <f t="shared" si="212"/>
        <v>3220</v>
      </c>
      <c r="L538" s="7">
        <f t="shared" si="213"/>
        <v>3420</v>
      </c>
      <c r="M538" s="196">
        <f>I538*E538*0.003</f>
        <v>6840</v>
      </c>
      <c r="N538" s="36"/>
      <c r="O538" s="191">
        <f t="shared" si="191"/>
        <v>22</v>
      </c>
      <c r="P538" s="36">
        <f t="shared" si="214"/>
        <v>2148000</v>
      </c>
      <c r="Q538" s="36">
        <f t="shared" si="215"/>
        <v>2280000</v>
      </c>
      <c r="R538" s="7">
        <f t="shared" si="216"/>
        <v>-13480</v>
      </c>
      <c r="S538" s="227">
        <f t="shared" si="192"/>
        <v>118520</v>
      </c>
      <c r="T538" s="248">
        <f t="shared" si="193"/>
        <v>5.5176908752327745E-2</v>
      </c>
      <c r="U538" s="193">
        <f t="shared" si="217"/>
        <v>0.91543507702725579</v>
      </c>
      <c r="V538" s="6"/>
    </row>
    <row r="539" spans="2:22" ht="15" customHeight="1" x14ac:dyDescent="0.4">
      <c r="B539" s="38" t="s">
        <v>306</v>
      </c>
      <c r="C539" s="6" t="s">
        <v>162</v>
      </c>
      <c r="D539" s="6"/>
      <c r="E539" s="36">
        <v>400</v>
      </c>
      <c r="F539" s="212">
        <v>5000</v>
      </c>
      <c r="G539" s="195">
        <v>43235</v>
      </c>
      <c r="H539" s="8"/>
      <c r="I539" s="212">
        <v>5700</v>
      </c>
      <c r="J539" s="8">
        <v>43256</v>
      </c>
      <c r="K539" s="7">
        <f t="shared" si="212"/>
        <v>3000</v>
      </c>
      <c r="L539" s="7">
        <f t="shared" si="213"/>
        <v>3420</v>
      </c>
      <c r="M539" s="196">
        <f>I539*E539*0.003</f>
        <v>6840</v>
      </c>
      <c r="N539" s="36"/>
      <c r="O539" s="191">
        <f t="shared" si="191"/>
        <v>22</v>
      </c>
      <c r="P539" s="36">
        <f t="shared" si="214"/>
        <v>2000000</v>
      </c>
      <c r="Q539" s="36">
        <f t="shared" si="215"/>
        <v>2280000</v>
      </c>
      <c r="R539" s="7">
        <f t="shared" si="216"/>
        <v>-13260</v>
      </c>
      <c r="S539" s="227">
        <f t="shared" si="192"/>
        <v>266740</v>
      </c>
      <c r="T539" s="248">
        <f t="shared" si="193"/>
        <v>0.13336999999999999</v>
      </c>
      <c r="U539" s="193">
        <f t="shared" si="217"/>
        <v>2.212729545454545</v>
      </c>
      <c r="V539" s="6"/>
    </row>
    <row r="540" spans="2:22" ht="15" customHeight="1" x14ac:dyDescent="0.4">
      <c r="B540" s="38" t="s">
        <v>306</v>
      </c>
      <c r="C540" s="6" t="s">
        <v>162</v>
      </c>
      <c r="D540" s="6"/>
      <c r="E540" s="36">
        <v>220</v>
      </c>
      <c r="F540" s="212">
        <v>3935</v>
      </c>
      <c r="G540" s="195">
        <v>43453</v>
      </c>
      <c r="H540" s="8"/>
      <c r="I540" s="212">
        <v>4250</v>
      </c>
      <c r="J540" s="8">
        <v>43509</v>
      </c>
      <c r="K540" s="7">
        <f t="shared" si="212"/>
        <v>1290</v>
      </c>
      <c r="L540" s="7">
        <f t="shared" si="213"/>
        <v>1400</v>
      </c>
      <c r="M540" s="196">
        <f>I540*E540*0.003</f>
        <v>2805</v>
      </c>
      <c r="N540" s="36"/>
      <c r="O540" s="191">
        <f t="shared" si="191"/>
        <v>57</v>
      </c>
      <c r="P540" s="36">
        <f t="shared" si="214"/>
        <v>865700</v>
      </c>
      <c r="Q540" s="36">
        <f t="shared" si="215"/>
        <v>935000</v>
      </c>
      <c r="R540" s="7">
        <f t="shared" si="216"/>
        <v>-5495</v>
      </c>
      <c r="S540" s="227">
        <f t="shared" si="192"/>
        <v>63805</v>
      </c>
      <c r="T540" s="248">
        <f t="shared" si="193"/>
        <v>7.3703361441607954E-2</v>
      </c>
      <c r="U540" s="193">
        <f t="shared" si="217"/>
        <v>0.47196012151205091</v>
      </c>
      <c r="V540" s="6"/>
    </row>
    <row r="541" spans="2:22" s="33" customFormat="1" ht="15" customHeight="1" x14ac:dyDescent="0.4">
      <c r="B541" s="38" t="s">
        <v>307</v>
      </c>
      <c r="C541" s="6" t="s">
        <v>162</v>
      </c>
      <c r="D541" s="6"/>
      <c r="E541" s="33">
        <v>10</v>
      </c>
      <c r="F541" s="212">
        <v>149600</v>
      </c>
      <c r="G541" s="195">
        <v>43116</v>
      </c>
      <c r="H541" s="8"/>
      <c r="I541" s="212">
        <v>120200</v>
      </c>
      <c r="J541" s="8">
        <v>43165</v>
      </c>
      <c r="K541" s="7">
        <f t="shared" si="212"/>
        <v>2240</v>
      </c>
      <c r="L541" s="7">
        <f t="shared" si="213"/>
        <v>1800</v>
      </c>
      <c r="M541" s="196">
        <f>I541*E541*0.003</f>
        <v>3606</v>
      </c>
      <c r="N541" s="36"/>
      <c r="O541" s="191">
        <f t="shared" si="191"/>
        <v>50</v>
      </c>
      <c r="P541" s="36">
        <f t="shared" si="214"/>
        <v>1496000</v>
      </c>
      <c r="Q541" s="36">
        <f t="shared" si="215"/>
        <v>1202000</v>
      </c>
      <c r="R541" s="7">
        <f t="shared" si="216"/>
        <v>-7646</v>
      </c>
      <c r="S541" s="227">
        <f t="shared" si="192"/>
        <v>-301646</v>
      </c>
      <c r="T541" s="248">
        <f t="shared" si="193"/>
        <v>-0.2016350267379679</v>
      </c>
      <c r="U541" s="9">
        <f t="shared" si="217"/>
        <v>-1.4719356951871658</v>
      </c>
      <c r="V541" s="6"/>
    </row>
    <row r="542" spans="2:22" s="33" customFormat="1" ht="15" customHeight="1" x14ac:dyDescent="0.4">
      <c r="B542" s="38" t="s">
        <v>307</v>
      </c>
      <c r="C542" s="6" t="s">
        <v>162</v>
      </c>
      <c r="D542" s="6"/>
      <c r="E542" s="36">
        <v>7</v>
      </c>
      <c r="F542" s="212">
        <v>89600</v>
      </c>
      <c r="G542" s="195">
        <v>43348</v>
      </c>
      <c r="H542" s="8"/>
      <c r="I542" s="212">
        <v>70000</v>
      </c>
      <c r="J542" s="8">
        <v>43529</v>
      </c>
      <c r="K542" s="7">
        <f t="shared" si="212"/>
        <v>940</v>
      </c>
      <c r="L542" s="7">
        <f t="shared" si="213"/>
        <v>730</v>
      </c>
      <c r="M542" s="196">
        <f>I542*E542*0.003</f>
        <v>1470</v>
      </c>
      <c r="N542" s="36"/>
      <c r="O542" s="191">
        <f t="shared" si="191"/>
        <v>182</v>
      </c>
      <c r="P542" s="36">
        <f t="shared" si="214"/>
        <v>627200</v>
      </c>
      <c r="Q542" s="36">
        <f t="shared" si="215"/>
        <v>490000</v>
      </c>
      <c r="R542" s="7">
        <f t="shared" si="216"/>
        <v>-3140</v>
      </c>
      <c r="S542" s="227">
        <f t="shared" ref="S542:S605" si="218">IF(Q542=0,0,Q542-P542+R542)</f>
        <v>-140340</v>
      </c>
      <c r="T542" s="248">
        <f t="shared" ref="T542:T605" si="219">S542/P542</f>
        <v>-0.2237563775510204</v>
      </c>
      <c r="U542" s="9">
        <f t="shared" si="217"/>
        <v>-0.44874218574792551</v>
      </c>
      <c r="V542" s="6"/>
    </row>
    <row r="543" spans="2:22" ht="15" customHeight="1" x14ac:dyDescent="0.4">
      <c r="B543" s="38" t="s">
        <v>307</v>
      </c>
      <c r="C543" s="6" t="s">
        <v>162</v>
      </c>
      <c r="D543" s="6"/>
      <c r="E543" s="36">
        <v>8</v>
      </c>
      <c r="F543" s="212">
        <v>89600</v>
      </c>
      <c r="G543" s="195">
        <v>43348</v>
      </c>
      <c r="H543" s="8"/>
      <c r="I543" s="212">
        <v>95500</v>
      </c>
      <c r="J543" s="8">
        <v>44042</v>
      </c>
      <c r="K543" s="7">
        <f t="shared" si="212"/>
        <v>1070</v>
      </c>
      <c r="L543" s="7">
        <f t="shared" si="213"/>
        <v>1140</v>
      </c>
      <c r="M543" s="196">
        <f>ROUNDDOWN(I543*E543*0.0025, )</f>
        <v>1910</v>
      </c>
      <c r="N543" s="36">
        <f>20790+26400</f>
        <v>47190</v>
      </c>
      <c r="O543" s="191">
        <f t="shared" si="191"/>
        <v>695</v>
      </c>
      <c r="P543" s="36">
        <f t="shared" si="214"/>
        <v>716800</v>
      </c>
      <c r="Q543" s="36">
        <f t="shared" si="215"/>
        <v>764000</v>
      </c>
      <c r="R543" s="7">
        <f t="shared" si="216"/>
        <v>43070</v>
      </c>
      <c r="S543" s="227">
        <f t="shared" si="218"/>
        <v>90270</v>
      </c>
      <c r="T543" s="248">
        <f t="shared" si="219"/>
        <v>0.12593470982142857</v>
      </c>
      <c r="U543" s="193">
        <f t="shared" si="217"/>
        <v>6.6138372783915725E-2</v>
      </c>
      <c r="V543" s="6"/>
    </row>
    <row r="544" spans="2:22" s="33" customFormat="1" ht="15" customHeight="1" x14ac:dyDescent="0.4">
      <c r="B544" s="262" t="s">
        <v>308</v>
      </c>
      <c r="C544" s="263" t="s">
        <v>175</v>
      </c>
      <c r="D544" s="263">
        <v>11.357100000000001</v>
      </c>
      <c r="E544" s="264">
        <v>200</v>
      </c>
      <c r="F544" s="212">
        <v>1260</v>
      </c>
      <c r="G544" s="265">
        <v>44148</v>
      </c>
      <c r="H544" s="266"/>
      <c r="I544" s="212">
        <v>1439.25</v>
      </c>
      <c r="J544" s="266">
        <v>44235</v>
      </c>
      <c r="K544" s="275">
        <f>IF($C544="OTC",ROUNDDOWN($E544*$F544*0.000909187,-1),(IF($C544="신한",ROUNDDOWN($E544*$F544*0.000036396,-1),(IF($C544="토스",$E544*$F544*0.00015,(IF($C544="US",(IF($E544*$F544*0.0025&gt;0.01,$E544*$F544*0.0025,0.01)),IF($C544="JP",(IF($E544*$F544*0.0025&gt;1000,$E544*$F544*0.0025,1000)),(IF($C544="R토스",0,IF($C544="무상증자(신한)",0,"")))))))))))</f>
        <v>1000</v>
      </c>
      <c r="L544" s="275">
        <f>IF($C544="OTC",ROUNDDOWN($I544*$E544*0.000909187,-1),(IF($C544="신한",ROUNDDOWN($I544*$E544*0.000036396,-1),(IF($C544="토스",$I544*$E544*0.00015,(IF($C544="US",(IF($I544*$E544*0.0025&gt;0.01,$I544*$E544*0.0025,0.01)),(IF($C544="JP",(IF($I544*$E544*0.0025&gt;1000,$I544*$E544*0.0025,1000)),(IF($C544="R토스",$I544*$E544*0.00015,(IF($C544="무상증자(신한)",ROUNDDOWN($I544*$E544*0.000036396,-1),"")))))))))))))</f>
        <v>1000</v>
      </c>
      <c r="M544" s="276"/>
      <c r="N544" s="264"/>
      <c r="O544" s="268">
        <f t="shared" si="191"/>
        <v>88</v>
      </c>
      <c r="P544" s="34">
        <f t="shared" ref="P544:P573" si="220">$E544*$F544*$D544</f>
        <v>2861989.2</v>
      </c>
      <c r="Q544" s="34">
        <f t="shared" ref="Q544:Q573" si="221">$E544*$I544*$D544</f>
        <v>3269141.2350000003</v>
      </c>
      <c r="R544" s="7">
        <f t="shared" ref="R544:R573" si="222">($N544-$K544-$L544-$M544)*$D544</f>
        <v>-22714.2</v>
      </c>
      <c r="S544" s="227">
        <f t="shared" si="218"/>
        <v>384437.83500000014</v>
      </c>
      <c r="T544" s="249">
        <f t="shared" si="219"/>
        <v>0.13432539682539688</v>
      </c>
      <c r="U544" s="38"/>
    </row>
    <row r="545" spans="2:22" s="33" customFormat="1" ht="15" customHeight="1" x14ac:dyDescent="0.4">
      <c r="B545" s="262" t="s">
        <v>309</v>
      </c>
      <c r="C545" s="263" t="s">
        <v>175</v>
      </c>
      <c r="D545" s="263">
        <v>10.3698</v>
      </c>
      <c r="E545" s="264">
        <v>100</v>
      </c>
      <c r="F545" s="212">
        <v>7979</v>
      </c>
      <c r="G545" s="265">
        <v>44365</v>
      </c>
      <c r="H545" s="266"/>
      <c r="I545" s="212">
        <v>17836.599999999999</v>
      </c>
      <c r="J545" s="266">
        <v>45911</v>
      </c>
      <c r="K545" s="275">
        <f>IF($C545="OTC",ROUNDDOWN($E545*$F545*0.000909187,-1),(IF($C545="신한",ROUNDDOWN($E545*$F545*0.000036396,-1),(IF($C545="토스",$E545*$F545*0.00015,(IF($C545="US",(IF($E545*$F545*0.0025&gt;0.01,$E545*$F545*0.0025,0.01)),IF($C545="JP",(IF($E545*$F545*0.0025&gt;1000,$E545*$F545*0.0025,1000)),(IF($C545="R토스",0,IF($C545="무상증자(신한)",0,"")))))))))))</f>
        <v>1994.75</v>
      </c>
      <c r="L545" s="275">
        <f>IF($C545="OTC",ROUNDDOWN($I545*$E545*0.000909187,-1),(IF($C545="신한",ROUNDDOWN($I545*$E545*0.000036396,-1),(IF($C545="토스",$I545*$E545*0.00015,(IF($C545="US",(IF($I545*$E545*0.0025&gt;0.01,$I545*$E545*0.0025,0.01)),(IF($C545="JP",(IF($I545*$E545*0.0025&gt;1000,$I545*$E545*0.0025,1000)),(IF($C545="R토스",$I545*$E545*0.00015,(IF($C545="무상증자(신한)",ROUNDDOWN($I545*$E545*0.000036396,-1),"")))))))))))))</f>
        <v>4459.1499999999996</v>
      </c>
      <c r="M545" s="276"/>
      <c r="N545" s="264">
        <f>(2200-337)+(2200-337)+(2200-337)+(2200-337)+(2200-337)+(2200-337)+(2200-337)+(2200-337)</f>
        <v>14904</v>
      </c>
      <c r="O545" s="268">
        <f t="shared" si="191"/>
        <v>1547</v>
      </c>
      <c r="P545" s="34">
        <f t="shared" si="220"/>
        <v>8274063.4199999999</v>
      </c>
      <c r="Q545" s="34">
        <f t="shared" si="221"/>
        <v>18496197.467999998</v>
      </c>
      <c r="R545" s="7">
        <f t="shared" si="222"/>
        <v>87625.846980000002</v>
      </c>
      <c r="S545" s="227">
        <f t="shared" si="218"/>
        <v>10309759.894979998</v>
      </c>
      <c r="T545" s="249">
        <f t="shared" si="219"/>
        <v>1.2460334628399548</v>
      </c>
      <c r="U545" s="38"/>
    </row>
    <row r="546" spans="2:22" s="33" customFormat="1" ht="15" customHeight="1" x14ac:dyDescent="0.4">
      <c r="B546" s="316" t="s">
        <v>310</v>
      </c>
      <c r="C546" s="270" t="s">
        <v>162</v>
      </c>
      <c r="D546" s="271">
        <v>1102.9000000000001</v>
      </c>
      <c r="E546" s="270">
        <v>3</v>
      </c>
      <c r="F546" s="67">
        <v>300</v>
      </c>
      <c r="G546" s="321">
        <v>44181</v>
      </c>
      <c r="H546" s="263"/>
      <c r="I546" s="67">
        <v>313</v>
      </c>
      <c r="J546" s="272">
        <v>44824</v>
      </c>
      <c r="K546" s="271">
        <f>E546*F546*0.001</f>
        <v>0.9</v>
      </c>
      <c r="L546" s="271">
        <f>ROUNDDOWN(E546*I546*0.001, 2)</f>
        <v>0.93</v>
      </c>
      <c r="M546" s="325">
        <f>ROUNDUP((E546*I546*0.0000221),2)</f>
        <v>0.03</v>
      </c>
      <c r="N546" s="274"/>
      <c r="O546" s="330">
        <f>IF(J546="","",J546-G546+1)</f>
        <v>644</v>
      </c>
      <c r="P546" s="34">
        <f t="shared" si="220"/>
        <v>992610.00000000012</v>
      </c>
      <c r="Q546" s="34">
        <f t="shared" si="221"/>
        <v>1035623.1000000001</v>
      </c>
      <c r="R546" s="7">
        <f t="shared" si="222"/>
        <v>-2051.3940000000002</v>
      </c>
      <c r="S546" s="7">
        <f>IF(Q546=0,"",Q546-P546+R546)</f>
        <v>40961.705999999976</v>
      </c>
      <c r="T546" s="248">
        <f>IF(Q546=0,"",S546/P546)</f>
        <v>4.1266666666666639E-2</v>
      </c>
      <c r="U546" s="334"/>
      <c r="V546" s="7">
        <f>K546/(E546*F546)</f>
        <v>1E-3</v>
      </c>
    </row>
    <row r="547" spans="2:22" s="33" customFormat="1" ht="15" customHeight="1" x14ac:dyDescent="0.4">
      <c r="B547" s="38" t="s">
        <v>311</v>
      </c>
      <c r="C547" s="6" t="s">
        <v>160</v>
      </c>
      <c r="D547" s="6">
        <f t="shared" ref="D547:D573" si="223">IF(OR($C547="신한",$C547="OTC",$C547="무상증자(신한)",$C547="토스",$C547="R토스"),1,"확인")</f>
        <v>1</v>
      </c>
      <c r="E547" s="34">
        <v>10</v>
      </c>
      <c r="F547" s="212">
        <v>24750</v>
      </c>
      <c r="G547" s="195">
        <v>45070</v>
      </c>
      <c r="H547" s="8"/>
      <c r="I547" s="212">
        <v>29500</v>
      </c>
      <c r="J547" s="8">
        <v>45111</v>
      </c>
      <c r="K547" s="23">
        <f t="shared" ref="K547:K573" si="224">IF($C547="OTC",ROUNDDOWN($E547*$F547*0.000909187,-1),(IF($C547="신한",ROUNDDOWN($E547*$F547*0.000036396,-1),(IF($C547="토스",$E547*$F547*0.00015,(IF($C547="US",(IF($E547*$F547*0.0025&gt;0.01,$E547*$F547*0.0025,0.01)),IF($C547="JP",(IF($E547*$F547*0.0025&gt;1000,$E547*$F547*0.0025,1000)),(IF($C547="R토스",0,IF($C547="무상증자(신한)",0,"")))))))))))</f>
        <v>0</v>
      </c>
      <c r="L547" s="23">
        <f t="shared" ref="L547:L573" si="225">IF($C547="OTC",ROUNDDOWN($I547*$E547*0.000909187,-1),(IF($C547="신한",ROUNDDOWN($I547*$E547*0.000036396,-1),(IF($C547="토스",$I547*$E547*0.00015,(IF($C547="US",(IF($I547*$E547*0.0025&gt;0.01,$I547*$E547*0.0025,0.01)),(IF($C547="JP",(IF($I547*$E547*0.0025&gt;1000,$I547*$E547*0.0025,1000)),(IF($C547="R토스",$I547*$E547*0.00015,(IF($C547="무상증자(신한)",ROUNDDOWN($I547*$E547*0.000036396,-1),"")))))))))))))</f>
        <v>10</v>
      </c>
      <c r="M547" s="206">
        <f>Q547*0.002</f>
        <v>590</v>
      </c>
      <c r="N547" s="34"/>
      <c r="O547" s="209">
        <f t="shared" ref="O547:O578" si="226">J547-G547+1</f>
        <v>42</v>
      </c>
      <c r="P547" s="34">
        <f t="shared" si="220"/>
        <v>247500</v>
      </c>
      <c r="Q547" s="34">
        <f t="shared" si="221"/>
        <v>295000</v>
      </c>
      <c r="R547" s="7">
        <f t="shared" si="222"/>
        <v>-600</v>
      </c>
      <c r="S547" s="227">
        <f t="shared" ref="S547:S578" si="227">IF(Q547=0,0,Q547-P547+R547)</f>
        <v>46900</v>
      </c>
      <c r="T547" s="249">
        <f t="shared" ref="T547:T578" si="228">S547/P547</f>
        <v>0.18949494949494949</v>
      </c>
    </row>
    <row r="548" spans="2:22" s="33" customFormat="1" ht="15" customHeight="1" x14ac:dyDescent="0.4">
      <c r="B548" s="38" t="s">
        <v>311</v>
      </c>
      <c r="C548" s="6" t="s">
        <v>160</v>
      </c>
      <c r="D548" s="6">
        <f t="shared" si="223"/>
        <v>1</v>
      </c>
      <c r="E548" s="34">
        <v>5</v>
      </c>
      <c r="F548" s="212">
        <v>24500</v>
      </c>
      <c r="G548" s="195">
        <v>45077</v>
      </c>
      <c r="H548" s="8"/>
      <c r="I548" s="212">
        <v>29500</v>
      </c>
      <c r="J548" s="8">
        <v>45111</v>
      </c>
      <c r="K548" s="23">
        <f t="shared" si="224"/>
        <v>0</v>
      </c>
      <c r="L548" s="23">
        <f t="shared" si="225"/>
        <v>0</v>
      </c>
      <c r="M548" s="206">
        <f>Q548*0.002</f>
        <v>295</v>
      </c>
      <c r="N548" s="34"/>
      <c r="O548" s="209">
        <f t="shared" si="226"/>
        <v>35</v>
      </c>
      <c r="P548" s="34">
        <f t="shared" si="220"/>
        <v>122500</v>
      </c>
      <c r="Q548" s="34">
        <f t="shared" si="221"/>
        <v>147500</v>
      </c>
      <c r="R548" s="7">
        <f t="shared" si="222"/>
        <v>-295</v>
      </c>
      <c r="S548" s="227">
        <f t="shared" si="227"/>
        <v>24705</v>
      </c>
      <c r="T548" s="249">
        <f t="shared" si="228"/>
        <v>0.2016734693877551</v>
      </c>
    </row>
    <row r="549" spans="2:22" s="33" customFormat="1" ht="15" customHeight="1" x14ac:dyDescent="0.4">
      <c r="B549" s="38" t="s">
        <v>311</v>
      </c>
      <c r="C549" s="6" t="s">
        <v>160</v>
      </c>
      <c r="D549" s="6">
        <f t="shared" si="223"/>
        <v>1</v>
      </c>
      <c r="E549" s="34">
        <v>8</v>
      </c>
      <c r="F549" s="212">
        <v>24900</v>
      </c>
      <c r="G549" s="195">
        <v>45085</v>
      </c>
      <c r="H549" s="8"/>
      <c r="I549" s="212">
        <v>29500</v>
      </c>
      <c r="J549" s="8">
        <v>45111</v>
      </c>
      <c r="K549" s="23">
        <f t="shared" si="224"/>
        <v>0</v>
      </c>
      <c r="L549" s="23">
        <f t="shared" si="225"/>
        <v>0</v>
      </c>
      <c r="M549" s="206">
        <f>Q549*0.002</f>
        <v>472</v>
      </c>
      <c r="N549" s="34"/>
      <c r="O549" s="209">
        <f t="shared" si="226"/>
        <v>27</v>
      </c>
      <c r="P549" s="34">
        <f t="shared" si="220"/>
        <v>199200</v>
      </c>
      <c r="Q549" s="34">
        <f t="shared" si="221"/>
        <v>236000</v>
      </c>
      <c r="R549" s="7">
        <f t="shared" si="222"/>
        <v>-472</v>
      </c>
      <c r="S549" s="227">
        <f t="shared" si="227"/>
        <v>36328</v>
      </c>
      <c r="T549" s="249">
        <f t="shared" si="228"/>
        <v>0.18236947791164659</v>
      </c>
    </row>
    <row r="550" spans="2:22" s="33" customFormat="1" ht="15" customHeight="1" x14ac:dyDescent="0.4">
      <c r="B550" s="38" t="s">
        <v>311</v>
      </c>
      <c r="C550" s="6" t="s">
        <v>160</v>
      </c>
      <c r="D550" s="6">
        <f t="shared" si="223"/>
        <v>1</v>
      </c>
      <c r="E550" s="34">
        <v>10</v>
      </c>
      <c r="F550" s="212">
        <v>28000</v>
      </c>
      <c r="G550" s="195">
        <v>45098</v>
      </c>
      <c r="H550" s="8"/>
      <c r="I550" s="212">
        <v>29500</v>
      </c>
      <c r="J550" s="8">
        <v>45111</v>
      </c>
      <c r="K550" s="23">
        <f t="shared" si="224"/>
        <v>10</v>
      </c>
      <c r="L550" s="23">
        <f t="shared" si="225"/>
        <v>10</v>
      </c>
      <c r="M550" s="206">
        <f>Q550*0.002</f>
        <v>590</v>
      </c>
      <c r="N550" s="34"/>
      <c r="O550" s="209">
        <f t="shared" si="226"/>
        <v>14</v>
      </c>
      <c r="P550" s="34">
        <f t="shared" si="220"/>
        <v>280000</v>
      </c>
      <c r="Q550" s="34">
        <f t="shared" si="221"/>
        <v>295000</v>
      </c>
      <c r="R550" s="7">
        <f t="shared" si="222"/>
        <v>-610</v>
      </c>
      <c r="S550" s="227">
        <f t="shared" si="227"/>
        <v>14390</v>
      </c>
      <c r="T550" s="249">
        <f t="shared" si="228"/>
        <v>5.1392857142857143E-2</v>
      </c>
    </row>
    <row r="551" spans="2:22" s="33" customFormat="1" ht="15" customHeight="1" x14ac:dyDescent="0.4">
      <c r="B551" s="38" t="s">
        <v>312</v>
      </c>
      <c r="C551" s="6" t="s">
        <v>160</v>
      </c>
      <c r="D551" s="6">
        <f t="shared" si="223"/>
        <v>1</v>
      </c>
      <c r="E551" s="34">
        <v>100</v>
      </c>
      <c r="F551" s="212">
        <v>4480</v>
      </c>
      <c r="G551" s="195">
        <v>45826</v>
      </c>
      <c r="H551" s="8"/>
      <c r="I551" s="212">
        <v>5050</v>
      </c>
      <c r="J551" s="8">
        <v>45971</v>
      </c>
      <c r="K551" s="23">
        <f t="shared" si="224"/>
        <v>10</v>
      </c>
      <c r="L551" s="23">
        <f t="shared" si="225"/>
        <v>10</v>
      </c>
      <c r="M551" s="206">
        <f t="shared" ref="M551:M573" si="229">Q551*0.0015</f>
        <v>757.5</v>
      </c>
      <c r="N551" s="34"/>
      <c r="O551" s="209">
        <f t="shared" si="226"/>
        <v>146</v>
      </c>
      <c r="P551" s="34">
        <f t="shared" si="220"/>
        <v>448000</v>
      </c>
      <c r="Q551" s="34">
        <f t="shared" si="221"/>
        <v>505000</v>
      </c>
      <c r="R551" s="7">
        <f t="shared" si="222"/>
        <v>-777.5</v>
      </c>
      <c r="S551" s="227">
        <f t="shared" si="227"/>
        <v>56222.5</v>
      </c>
      <c r="T551" s="249">
        <f t="shared" si="228"/>
        <v>0.12549665178571429</v>
      </c>
    </row>
    <row r="552" spans="2:22" s="33" customFormat="1" ht="15" customHeight="1" x14ac:dyDescent="0.4">
      <c r="B552" s="38" t="s">
        <v>312</v>
      </c>
      <c r="C552" s="6" t="s">
        <v>160</v>
      </c>
      <c r="D552" s="6">
        <f t="shared" si="223"/>
        <v>1</v>
      </c>
      <c r="E552" s="34">
        <v>50</v>
      </c>
      <c r="F552" s="212">
        <v>4560</v>
      </c>
      <c r="G552" s="195">
        <v>45831</v>
      </c>
      <c r="H552" s="8"/>
      <c r="I552" s="212">
        <v>5050</v>
      </c>
      <c r="J552" s="8">
        <v>45971</v>
      </c>
      <c r="K552" s="23">
        <f t="shared" si="224"/>
        <v>0</v>
      </c>
      <c r="L552" s="23">
        <f t="shared" si="225"/>
        <v>0</v>
      </c>
      <c r="M552" s="206">
        <f t="shared" si="229"/>
        <v>378.75</v>
      </c>
      <c r="N552" s="34"/>
      <c r="O552" s="209">
        <f t="shared" si="226"/>
        <v>141</v>
      </c>
      <c r="P552" s="34">
        <f t="shared" si="220"/>
        <v>228000</v>
      </c>
      <c r="Q552" s="34">
        <f t="shared" si="221"/>
        <v>252500</v>
      </c>
      <c r="R552" s="7">
        <f t="shared" si="222"/>
        <v>-378.75</v>
      </c>
      <c r="S552" s="227">
        <f t="shared" si="227"/>
        <v>24121.25</v>
      </c>
      <c r="T552" s="249">
        <f t="shared" si="228"/>
        <v>0.10579495614035088</v>
      </c>
    </row>
    <row r="553" spans="2:22" s="33" customFormat="1" ht="15" customHeight="1" x14ac:dyDescent="0.4">
      <c r="B553" s="38" t="s">
        <v>312</v>
      </c>
      <c r="C553" s="6" t="s">
        <v>160</v>
      </c>
      <c r="D553" s="6">
        <f t="shared" si="223"/>
        <v>1</v>
      </c>
      <c r="E553" s="34">
        <v>2</v>
      </c>
      <c r="F553" s="212">
        <v>4660</v>
      </c>
      <c r="G553" s="195">
        <v>45833</v>
      </c>
      <c r="H553" s="8"/>
      <c r="I553" s="212">
        <v>5050</v>
      </c>
      <c r="J553" s="8">
        <v>45971</v>
      </c>
      <c r="K553" s="23">
        <f t="shared" si="224"/>
        <v>0</v>
      </c>
      <c r="L553" s="23">
        <f t="shared" si="225"/>
        <v>0</v>
      </c>
      <c r="M553" s="206">
        <f t="shared" si="229"/>
        <v>15.15</v>
      </c>
      <c r="N553" s="34"/>
      <c r="O553" s="209">
        <f t="shared" si="226"/>
        <v>139</v>
      </c>
      <c r="P553" s="34">
        <f t="shared" si="220"/>
        <v>9320</v>
      </c>
      <c r="Q553" s="34">
        <f t="shared" si="221"/>
        <v>10100</v>
      </c>
      <c r="R553" s="7">
        <f t="shared" si="222"/>
        <v>-15.15</v>
      </c>
      <c r="S553" s="227">
        <f t="shared" si="227"/>
        <v>764.85</v>
      </c>
      <c r="T553" s="249">
        <f t="shared" si="228"/>
        <v>8.2065450643776822E-2</v>
      </c>
    </row>
    <row r="554" spans="2:22" s="33" customFormat="1" ht="15" customHeight="1" x14ac:dyDescent="0.4">
      <c r="B554" s="38" t="s">
        <v>312</v>
      </c>
      <c r="C554" s="6" t="s">
        <v>160</v>
      </c>
      <c r="D554" s="6">
        <f t="shared" si="223"/>
        <v>1</v>
      </c>
      <c r="E554" s="34">
        <v>44</v>
      </c>
      <c r="F554" s="212">
        <v>4500</v>
      </c>
      <c r="G554" s="195">
        <v>45839</v>
      </c>
      <c r="H554" s="8"/>
      <c r="I554" s="212">
        <v>5050</v>
      </c>
      <c r="J554" s="8">
        <v>45971</v>
      </c>
      <c r="K554" s="23">
        <f t="shared" si="224"/>
        <v>0</v>
      </c>
      <c r="L554" s="23">
        <f t="shared" si="225"/>
        <v>0</v>
      </c>
      <c r="M554" s="206">
        <f t="shared" si="229"/>
        <v>333.3</v>
      </c>
      <c r="N554" s="34"/>
      <c r="O554" s="209">
        <f t="shared" si="226"/>
        <v>133</v>
      </c>
      <c r="P554" s="34">
        <f t="shared" si="220"/>
        <v>198000</v>
      </c>
      <c r="Q554" s="34">
        <f t="shared" si="221"/>
        <v>222200</v>
      </c>
      <c r="R554" s="7">
        <f t="shared" si="222"/>
        <v>-333.3</v>
      </c>
      <c r="S554" s="227">
        <f t="shared" si="227"/>
        <v>23866.7</v>
      </c>
      <c r="T554" s="249">
        <f t="shared" si="228"/>
        <v>0.12053888888888889</v>
      </c>
    </row>
    <row r="555" spans="2:22" s="33" customFormat="1" ht="15" customHeight="1" x14ac:dyDescent="0.4">
      <c r="B555" s="38" t="s">
        <v>312</v>
      </c>
      <c r="C555" s="6" t="s">
        <v>160</v>
      </c>
      <c r="D555" s="6">
        <f t="shared" si="223"/>
        <v>1</v>
      </c>
      <c r="E555" s="34">
        <v>2</v>
      </c>
      <c r="F555" s="212">
        <v>4540</v>
      </c>
      <c r="G555" s="195">
        <v>45840</v>
      </c>
      <c r="H555" s="8"/>
      <c r="I555" s="212">
        <v>5050</v>
      </c>
      <c r="J555" s="8">
        <v>45971</v>
      </c>
      <c r="K555" s="23">
        <f t="shared" si="224"/>
        <v>0</v>
      </c>
      <c r="L555" s="23">
        <f t="shared" si="225"/>
        <v>0</v>
      </c>
      <c r="M555" s="206">
        <f t="shared" si="229"/>
        <v>15.15</v>
      </c>
      <c r="N555" s="34"/>
      <c r="O555" s="209">
        <f t="shared" si="226"/>
        <v>132</v>
      </c>
      <c r="P555" s="34">
        <f t="shared" si="220"/>
        <v>9080</v>
      </c>
      <c r="Q555" s="34">
        <f t="shared" si="221"/>
        <v>10100</v>
      </c>
      <c r="R555" s="7">
        <f t="shared" si="222"/>
        <v>-15.15</v>
      </c>
      <c r="S555" s="227">
        <f t="shared" si="227"/>
        <v>1004.85</v>
      </c>
      <c r="T555" s="249">
        <f t="shared" si="228"/>
        <v>0.11066629955947137</v>
      </c>
    </row>
    <row r="556" spans="2:22" s="33" customFormat="1" ht="15" customHeight="1" x14ac:dyDescent="0.4">
      <c r="B556" s="38" t="s">
        <v>312</v>
      </c>
      <c r="C556" s="6" t="s">
        <v>160</v>
      </c>
      <c r="D556" s="6">
        <f t="shared" si="223"/>
        <v>1</v>
      </c>
      <c r="E556" s="34">
        <v>2</v>
      </c>
      <c r="F556" s="212">
        <v>4720</v>
      </c>
      <c r="G556" s="195">
        <v>45847</v>
      </c>
      <c r="H556" s="8"/>
      <c r="I556" s="212">
        <v>5050</v>
      </c>
      <c r="J556" s="8">
        <v>45971</v>
      </c>
      <c r="K556" s="23">
        <f t="shared" si="224"/>
        <v>0</v>
      </c>
      <c r="L556" s="23">
        <f t="shared" si="225"/>
        <v>0</v>
      </c>
      <c r="M556" s="206">
        <f t="shared" si="229"/>
        <v>15.15</v>
      </c>
      <c r="N556" s="34"/>
      <c r="O556" s="209">
        <f t="shared" si="226"/>
        <v>125</v>
      </c>
      <c r="P556" s="34">
        <f t="shared" si="220"/>
        <v>9440</v>
      </c>
      <c r="Q556" s="34">
        <f t="shared" si="221"/>
        <v>10100</v>
      </c>
      <c r="R556" s="7">
        <f t="shared" si="222"/>
        <v>-15.15</v>
      </c>
      <c r="S556" s="227">
        <f t="shared" si="227"/>
        <v>644.85</v>
      </c>
      <c r="T556" s="249">
        <f t="shared" si="228"/>
        <v>6.8310381355932204E-2</v>
      </c>
    </row>
    <row r="557" spans="2:22" s="33" customFormat="1" ht="15" customHeight="1" x14ac:dyDescent="0.4">
      <c r="B557" s="38" t="s">
        <v>312</v>
      </c>
      <c r="C557" s="6" t="s">
        <v>160</v>
      </c>
      <c r="D557" s="6">
        <f t="shared" si="223"/>
        <v>1</v>
      </c>
      <c r="E557" s="34">
        <v>2</v>
      </c>
      <c r="F557" s="212">
        <v>4795</v>
      </c>
      <c r="G557" s="195">
        <v>45854</v>
      </c>
      <c r="H557" s="8"/>
      <c r="I557" s="212">
        <v>5050</v>
      </c>
      <c r="J557" s="8">
        <v>45971</v>
      </c>
      <c r="K557" s="23">
        <f t="shared" si="224"/>
        <v>0</v>
      </c>
      <c r="L557" s="23">
        <f t="shared" si="225"/>
        <v>0</v>
      </c>
      <c r="M557" s="206">
        <f t="shared" si="229"/>
        <v>15.15</v>
      </c>
      <c r="N557" s="34"/>
      <c r="O557" s="209">
        <f t="shared" si="226"/>
        <v>118</v>
      </c>
      <c r="P557" s="34">
        <f t="shared" si="220"/>
        <v>9590</v>
      </c>
      <c r="Q557" s="34">
        <f t="shared" si="221"/>
        <v>10100</v>
      </c>
      <c r="R557" s="7">
        <f t="shared" si="222"/>
        <v>-15.15</v>
      </c>
      <c r="S557" s="227">
        <f t="shared" si="227"/>
        <v>494.85</v>
      </c>
      <c r="T557" s="249">
        <f t="shared" si="228"/>
        <v>5.1600625651720543E-2</v>
      </c>
    </row>
    <row r="558" spans="2:22" s="33" customFormat="1" ht="15" customHeight="1" x14ac:dyDescent="0.4">
      <c r="B558" s="38" t="s">
        <v>312</v>
      </c>
      <c r="C558" s="6" t="s">
        <v>160</v>
      </c>
      <c r="D558" s="6">
        <f t="shared" si="223"/>
        <v>1</v>
      </c>
      <c r="E558" s="34">
        <v>2</v>
      </c>
      <c r="F558" s="212">
        <v>4690</v>
      </c>
      <c r="G558" s="195">
        <v>45861</v>
      </c>
      <c r="H558" s="8"/>
      <c r="I558" s="212">
        <v>5050</v>
      </c>
      <c r="J558" s="8">
        <v>45971</v>
      </c>
      <c r="K558" s="23">
        <f t="shared" si="224"/>
        <v>0</v>
      </c>
      <c r="L558" s="23">
        <f t="shared" si="225"/>
        <v>0</v>
      </c>
      <c r="M558" s="206">
        <f t="shared" si="229"/>
        <v>15.15</v>
      </c>
      <c r="N558" s="34"/>
      <c r="O558" s="209">
        <f t="shared" si="226"/>
        <v>111</v>
      </c>
      <c r="P558" s="34">
        <f t="shared" si="220"/>
        <v>9380</v>
      </c>
      <c r="Q558" s="34">
        <f t="shared" si="221"/>
        <v>10100</v>
      </c>
      <c r="R558" s="7">
        <f t="shared" si="222"/>
        <v>-15.15</v>
      </c>
      <c r="S558" s="227">
        <f t="shared" si="227"/>
        <v>704.85</v>
      </c>
      <c r="T558" s="249">
        <f t="shared" si="228"/>
        <v>7.5143923240938174E-2</v>
      </c>
    </row>
    <row r="559" spans="2:22" s="33" customFormat="1" ht="15" customHeight="1" x14ac:dyDescent="0.4">
      <c r="B559" s="38" t="s">
        <v>312</v>
      </c>
      <c r="C559" s="6" t="s">
        <v>160</v>
      </c>
      <c r="D559" s="6">
        <f t="shared" si="223"/>
        <v>1</v>
      </c>
      <c r="E559" s="34">
        <v>2</v>
      </c>
      <c r="F559" s="212">
        <v>4635</v>
      </c>
      <c r="G559" s="195">
        <v>45868</v>
      </c>
      <c r="H559" s="8"/>
      <c r="I559" s="212">
        <v>5050</v>
      </c>
      <c r="J559" s="8">
        <v>45971</v>
      </c>
      <c r="K559" s="23">
        <f t="shared" si="224"/>
        <v>0</v>
      </c>
      <c r="L559" s="23">
        <f t="shared" si="225"/>
        <v>0</v>
      </c>
      <c r="M559" s="206">
        <f t="shared" si="229"/>
        <v>15.15</v>
      </c>
      <c r="N559" s="34"/>
      <c r="O559" s="209">
        <f t="shared" si="226"/>
        <v>104</v>
      </c>
      <c r="P559" s="34">
        <f t="shared" si="220"/>
        <v>9270</v>
      </c>
      <c r="Q559" s="34">
        <f t="shared" si="221"/>
        <v>10100</v>
      </c>
      <c r="R559" s="7">
        <f t="shared" si="222"/>
        <v>-15.15</v>
      </c>
      <c r="S559" s="227">
        <f t="shared" si="227"/>
        <v>814.85</v>
      </c>
      <c r="T559" s="249">
        <f t="shared" si="228"/>
        <v>8.7901833872707655E-2</v>
      </c>
    </row>
    <row r="560" spans="2:22" s="33" customFormat="1" ht="15" customHeight="1" x14ac:dyDescent="0.4">
      <c r="B560" s="38" t="s">
        <v>312</v>
      </c>
      <c r="C560" s="6" t="s">
        <v>160</v>
      </c>
      <c r="D560" s="6">
        <f t="shared" si="223"/>
        <v>1</v>
      </c>
      <c r="E560" s="34">
        <v>2</v>
      </c>
      <c r="F560" s="212">
        <v>4420</v>
      </c>
      <c r="G560" s="195">
        <v>45875</v>
      </c>
      <c r="H560" s="8"/>
      <c r="I560" s="212">
        <v>5050</v>
      </c>
      <c r="J560" s="8">
        <v>45971</v>
      </c>
      <c r="K560" s="23">
        <f t="shared" si="224"/>
        <v>0</v>
      </c>
      <c r="L560" s="23">
        <f t="shared" si="225"/>
        <v>0</v>
      </c>
      <c r="M560" s="206">
        <f t="shared" si="229"/>
        <v>15.15</v>
      </c>
      <c r="N560" s="34"/>
      <c r="O560" s="209">
        <f t="shared" si="226"/>
        <v>97</v>
      </c>
      <c r="P560" s="34">
        <f t="shared" si="220"/>
        <v>8840</v>
      </c>
      <c r="Q560" s="34">
        <f t="shared" si="221"/>
        <v>10100</v>
      </c>
      <c r="R560" s="7">
        <f t="shared" si="222"/>
        <v>-15.15</v>
      </c>
      <c r="S560" s="227">
        <f t="shared" si="227"/>
        <v>1244.8499999999999</v>
      </c>
      <c r="T560" s="249">
        <f t="shared" si="228"/>
        <v>0.14082013574660632</v>
      </c>
    </row>
    <row r="561" spans="2:22" s="33" customFormat="1" ht="15" customHeight="1" x14ac:dyDescent="0.4">
      <c r="B561" s="38" t="s">
        <v>312</v>
      </c>
      <c r="C561" s="6" t="s">
        <v>160</v>
      </c>
      <c r="D561" s="6">
        <f t="shared" si="223"/>
        <v>1</v>
      </c>
      <c r="E561" s="34">
        <v>2</v>
      </c>
      <c r="F561" s="212">
        <v>4445</v>
      </c>
      <c r="G561" s="195">
        <v>45882</v>
      </c>
      <c r="H561" s="8"/>
      <c r="I561" s="212">
        <v>5050</v>
      </c>
      <c r="J561" s="8">
        <v>45971</v>
      </c>
      <c r="K561" s="23">
        <f t="shared" si="224"/>
        <v>0</v>
      </c>
      <c r="L561" s="23">
        <f t="shared" si="225"/>
        <v>0</v>
      </c>
      <c r="M561" s="206">
        <f t="shared" si="229"/>
        <v>15.15</v>
      </c>
      <c r="N561" s="34"/>
      <c r="O561" s="209">
        <f t="shared" si="226"/>
        <v>90</v>
      </c>
      <c r="P561" s="34">
        <f t="shared" si="220"/>
        <v>8890</v>
      </c>
      <c r="Q561" s="34">
        <f t="shared" si="221"/>
        <v>10100</v>
      </c>
      <c r="R561" s="7">
        <f t="shared" si="222"/>
        <v>-15.15</v>
      </c>
      <c r="S561" s="227">
        <f t="shared" si="227"/>
        <v>1194.8499999999999</v>
      </c>
      <c r="T561" s="249">
        <f t="shared" si="228"/>
        <v>0.13440382452193475</v>
      </c>
    </row>
    <row r="562" spans="2:22" s="33" customFormat="1" ht="15" customHeight="1" x14ac:dyDescent="0.4">
      <c r="B562" s="38" t="s">
        <v>312</v>
      </c>
      <c r="C562" s="6" t="s">
        <v>160</v>
      </c>
      <c r="D562" s="6">
        <f t="shared" si="223"/>
        <v>1</v>
      </c>
      <c r="E562" s="34">
        <v>2</v>
      </c>
      <c r="F562" s="212">
        <v>4275</v>
      </c>
      <c r="G562" s="195">
        <v>45889</v>
      </c>
      <c r="H562" s="8"/>
      <c r="I562" s="212">
        <v>5050</v>
      </c>
      <c r="J562" s="8">
        <v>45971</v>
      </c>
      <c r="K562" s="23">
        <f t="shared" si="224"/>
        <v>0</v>
      </c>
      <c r="L562" s="23">
        <f t="shared" si="225"/>
        <v>0</v>
      </c>
      <c r="M562" s="206">
        <f t="shared" si="229"/>
        <v>15.15</v>
      </c>
      <c r="N562" s="34"/>
      <c r="O562" s="209">
        <f t="shared" si="226"/>
        <v>83</v>
      </c>
      <c r="P562" s="34">
        <f t="shared" si="220"/>
        <v>8550</v>
      </c>
      <c r="Q562" s="34">
        <f t="shared" si="221"/>
        <v>10100</v>
      </c>
      <c r="R562" s="7">
        <f t="shared" si="222"/>
        <v>-15.15</v>
      </c>
      <c r="S562" s="227">
        <f t="shared" si="227"/>
        <v>1534.85</v>
      </c>
      <c r="T562" s="249">
        <f t="shared" si="228"/>
        <v>0.17951461988304093</v>
      </c>
    </row>
    <row r="563" spans="2:22" s="33" customFormat="1" ht="15" customHeight="1" x14ac:dyDescent="0.4">
      <c r="B563" s="38" t="s">
        <v>312</v>
      </c>
      <c r="C563" s="6" t="s">
        <v>160</v>
      </c>
      <c r="D563" s="6">
        <f t="shared" si="223"/>
        <v>1</v>
      </c>
      <c r="E563" s="34">
        <v>2</v>
      </c>
      <c r="F563" s="212">
        <v>4265</v>
      </c>
      <c r="G563" s="195">
        <v>45896</v>
      </c>
      <c r="H563" s="8"/>
      <c r="I563" s="212">
        <v>5050</v>
      </c>
      <c r="J563" s="8">
        <v>45971</v>
      </c>
      <c r="K563" s="23">
        <f t="shared" si="224"/>
        <v>0</v>
      </c>
      <c r="L563" s="23">
        <f t="shared" si="225"/>
        <v>0</v>
      </c>
      <c r="M563" s="206">
        <f t="shared" si="229"/>
        <v>15.15</v>
      </c>
      <c r="N563" s="34"/>
      <c r="O563" s="209">
        <f t="shared" si="226"/>
        <v>76</v>
      </c>
      <c r="P563" s="34">
        <f t="shared" si="220"/>
        <v>8530</v>
      </c>
      <c r="Q563" s="34">
        <f t="shared" si="221"/>
        <v>10100</v>
      </c>
      <c r="R563" s="7">
        <f t="shared" si="222"/>
        <v>-15.15</v>
      </c>
      <c r="S563" s="227">
        <f t="shared" si="227"/>
        <v>1554.85</v>
      </c>
      <c r="T563" s="249">
        <f t="shared" si="228"/>
        <v>0.1822801875732708</v>
      </c>
    </row>
    <row r="564" spans="2:22" s="33" customFormat="1" ht="15" customHeight="1" x14ac:dyDescent="0.4">
      <c r="B564" s="38" t="s">
        <v>312</v>
      </c>
      <c r="C564" s="6" t="s">
        <v>160</v>
      </c>
      <c r="D564" s="6">
        <f t="shared" si="223"/>
        <v>1</v>
      </c>
      <c r="E564" s="34">
        <v>2</v>
      </c>
      <c r="F564" s="212">
        <v>4270</v>
      </c>
      <c r="G564" s="195">
        <v>45903</v>
      </c>
      <c r="H564" s="8"/>
      <c r="I564" s="212">
        <v>5050</v>
      </c>
      <c r="J564" s="8">
        <v>45971</v>
      </c>
      <c r="K564" s="23">
        <f t="shared" si="224"/>
        <v>0</v>
      </c>
      <c r="L564" s="23">
        <f t="shared" si="225"/>
        <v>0</v>
      </c>
      <c r="M564" s="206">
        <f t="shared" si="229"/>
        <v>15.15</v>
      </c>
      <c r="N564" s="34"/>
      <c r="O564" s="209">
        <f t="shared" si="226"/>
        <v>69</v>
      </c>
      <c r="P564" s="34">
        <f t="shared" si="220"/>
        <v>8540</v>
      </c>
      <c r="Q564" s="34">
        <f t="shared" si="221"/>
        <v>10100</v>
      </c>
      <c r="R564" s="7">
        <f t="shared" si="222"/>
        <v>-15.15</v>
      </c>
      <c r="S564" s="227">
        <f t="shared" si="227"/>
        <v>1544.85</v>
      </c>
      <c r="T564" s="249">
        <f t="shared" si="228"/>
        <v>0.18089578454332553</v>
      </c>
    </row>
    <row r="565" spans="2:22" s="33" customFormat="1" ht="15" customHeight="1" x14ac:dyDescent="0.4">
      <c r="B565" s="38" t="s">
        <v>312</v>
      </c>
      <c r="C565" s="6" t="s">
        <v>160</v>
      </c>
      <c r="D565" s="6">
        <f t="shared" si="223"/>
        <v>1</v>
      </c>
      <c r="E565" s="34">
        <v>2</v>
      </c>
      <c r="F565" s="212">
        <v>4320</v>
      </c>
      <c r="G565" s="195">
        <v>45910</v>
      </c>
      <c r="H565" s="8"/>
      <c r="I565" s="212">
        <v>5050</v>
      </c>
      <c r="J565" s="8">
        <v>45971</v>
      </c>
      <c r="K565" s="23">
        <f t="shared" si="224"/>
        <v>0</v>
      </c>
      <c r="L565" s="23">
        <f t="shared" si="225"/>
        <v>0</v>
      </c>
      <c r="M565" s="206">
        <f t="shared" si="229"/>
        <v>15.15</v>
      </c>
      <c r="N565" s="34"/>
      <c r="O565" s="209">
        <f t="shared" si="226"/>
        <v>62</v>
      </c>
      <c r="P565" s="34">
        <f t="shared" si="220"/>
        <v>8640</v>
      </c>
      <c r="Q565" s="34">
        <f t="shared" si="221"/>
        <v>10100</v>
      </c>
      <c r="R565" s="7">
        <f t="shared" si="222"/>
        <v>-15.15</v>
      </c>
      <c r="S565" s="227">
        <f t="shared" si="227"/>
        <v>1444.85</v>
      </c>
      <c r="T565" s="249">
        <f t="shared" si="228"/>
        <v>0.16722800925925924</v>
      </c>
    </row>
    <row r="566" spans="2:22" s="33" customFormat="1" ht="15" customHeight="1" x14ac:dyDescent="0.4">
      <c r="B566" s="38" t="s">
        <v>312</v>
      </c>
      <c r="C566" s="6" t="s">
        <v>160</v>
      </c>
      <c r="D566" s="6">
        <f t="shared" si="223"/>
        <v>1</v>
      </c>
      <c r="E566" s="34">
        <v>2</v>
      </c>
      <c r="F566" s="212">
        <v>4395</v>
      </c>
      <c r="G566" s="195">
        <v>45917</v>
      </c>
      <c r="H566" s="8"/>
      <c r="I566" s="212">
        <v>5050</v>
      </c>
      <c r="J566" s="8">
        <v>45971</v>
      </c>
      <c r="K566" s="23">
        <f t="shared" si="224"/>
        <v>0</v>
      </c>
      <c r="L566" s="23">
        <f t="shared" si="225"/>
        <v>0</v>
      </c>
      <c r="M566" s="206">
        <f t="shared" si="229"/>
        <v>15.15</v>
      </c>
      <c r="N566" s="34"/>
      <c r="O566" s="209">
        <f t="shared" si="226"/>
        <v>55</v>
      </c>
      <c r="P566" s="34">
        <f t="shared" si="220"/>
        <v>8790</v>
      </c>
      <c r="Q566" s="34">
        <f t="shared" si="221"/>
        <v>10100</v>
      </c>
      <c r="R566" s="7">
        <f t="shared" si="222"/>
        <v>-15.15</v>
      </c>
      <c r="S566" s="227">
        <f t="shared" si="227"/>
        <v>1294.8499999999999</v>
      </c>
      <c r="T566" s="249">
        <f t="shared" si="228"/>
        <v>0.14730944254835038</v>
      </c>
    </row>
    <row r="567" spans="2:22" s="33" customFormat="1" ht="15" customHeight="1" x14ac:dyDescent="0.4">
      <c r="B567" s="38" t="s">
        <v>312</v>
      </c>
      <c r="C567" s="6" t="s">
        <v>160</v>
      </c>
      <c r="D567" s="6">
        <f t="shared" si="223"/>
        <v>1</v>
      </c>
      <c r="E567" s="34">
        <v>2</v>
      </c>
      <c r="F567" s="212">
        <v>4405</v>
      </c>
      <c r="G567" s="195">
        <v>45924</v>
      </c>
      <c r="H567" s="8"/>
      <c r="I567" s="212">
        <v>5050</v>
      </c>
      <c r="J567" s="8">
        <v>45971</v>
      </c>
      <c r="K567" s="23">
        <f t="shared" si="224"/>
        <v>0</v>
      </c>
      <c r="L567" s="23">
        <f t="shared" si="225"/>
        <v>0</v>
      </c>
      <c r="M567" s="206">
        <f t="shared" si="229"/>
        <v>15.15</v>
      </c>
      <c r="N567" s="34"/>
      <c r="O567" s="209">
        <f t="shared" si="226"/>
        <v>48</v>
      </c>
      <c r="P567" s="34">
        <f t="shared" si="220"/>
        <v>8810</v>
      </c>
      <c r="Q567" s="34">
        <f t="shared" si="221"/>
        <v>10100</v>
      </c>
      <c r="R567" s="7">
        <f t="shared" si="222"/>
        <v>-15.15</v>
      </c>
      <c r="S567" s="227">
        <f t="shared" si="227"/>
        <v>1274.8499999999999</v>
      </c>
      <c r="T567" s="249">
        <f t="shared" si="228"/>
        <v>0.14470488081725311</v>
      </c>
    </row>
    <row r="568" spans="2:22" s="33" customFormat="1" ht="15" customHeight="1" x14ac:dyDescent="0.4">
      <c r="B568" s="38" t="s">
        <v>312</v>
      </c>
      <c r="C568" s="6" t="s">
        <v>160</v>
      </c>
      <c r="D568" s="6">
        <f t="shared" si="223"/>
        <v>1</v>
      </c>
      <c r="E568" s="34">
        <v>2</v>
      </c>
      <c r="F568" s="212">
        <v>4540</v>
      </c>
      <c r="G568" s="195">
        <v>45931</v>
      </c>
      <c r="H568" s="8"/>
      <c r="I568" s="212">
        <v>5050</v>
      </c>
      <c r="J568" s="8">
        <v>45971</v>
      </c>
      <c r="K568" s="23">
        <f t="shared" si="224"/>
        <v>0</v>
      </c>
      <c r="L568" s="23">
        <f t="shared" si="225"/>
        <v>0</v>
      </c>
      <c r="M568" s="206">
        <f t="shared" si="229"/>
        <v>15.15</v>
      </c>
      <c r="N568" s="34"/>
      <c r="O568" s="209">
        <f t="shared" si="226"/>
        <v>41</v>
      </c>
      <c r="P568" s="34">
        <f t="shared" si="220"/>
        <v>9080</v>
      </c>
      <c r="Q568" s="34">
        <f t="shared" si="221"/>
        <v>10100</v>
      </c>
      <c r="R568" s="7">
        <f t="shared" si="222"/>
        <v>-15.15</v>
      </c>
      <c r="S568" s="227">
        <f t="shared" si="227"/>
        <v>1004.85</v>
      </c>
      <c r="T568" s="249">
        <f t="shared" si="228"/>
        <v>0.11066629955947137</v>
      </c>
    </row>
    <row r="569" spans="2:22" s="33" customFormat="1" ht="15" customHeight="1" x14ac:dyDescent="0.4">
      <c r="B569" s="38" t="s">
        <v>312</v>
      </c>
      <c r="C569" s="6" t="s">
        <v>160</v>
      </c>
      <c r="D569" s="6">
        <f t="shared" si="223"/>
        <v>1</v>
      </c>
      <c r="E569" s="34">
        <v>2</v>
      </c>
      <c r="F569" s="212">
        <v>4655</v>
      </c>
      <c r="G569" s="195">
        <v>45940</v>
      </c>
      <c r="H569" s="8"/>
      <c r="I569" s="212">
        <v>5050</v>
      </c>
      <c r="J569" s="8">
        <v>45971</v>
      </c>
      <c r="K569" s="23">
        <f t="shared" si="224"/>
        <v>0</v>
      </c>
      <c r="L569" s="23">
        <f t="shared" si="225"/>
        <v>0</v>
      </c>
      <c r="M569" s="206">
        <f t="shared" si="229"/>
        <v>15.15</v>
      </c>
      <c r="N569" s="34"/>
      <c r="O569" s="209">
        <f t="shared" si="226"/>
        <v>32</v>
      </c>
      <c r="P569" s="34">
        <f t="shared" si="220"/>
        <v>9310</v>
      </c>
      <c r="Q569" s="34">
        <f t="shared" si="221"/>
        <v>10100</v>
      </c>
      <c r="R569" s="7">
        <f t="shared" si="222"/>
        <v>-15.15</v>
      </c>
      <c r="S569" s="227">
        <f t="shared" si="227"/>
        <v>774.85</v>
      </c>
      <c r="T569" s="249">
        <f t="shared" si="228"/>
        <v>8.3227712137486573E-2</v>
      </c>
    </row>
    <row r="570" spans="2:22" s="33" customFormat="1" ht="15" customHeight="1" x14ac:dyDescent="0.4">
      <c r="B570" s="38" t="s">
        <v>312</v>
      </c>
      <c r="C570" s="6" t="s">
        <v>160</v>
      </c>
      <c r="D570" s="6">
        <f t="shared" si="223"/>
        <v>1</v>
      </c>
      <c r="E570" s="34">
        <v>2</v>
      </c>
      <c r="F570" s="212">
        <v>4695</v>
      </c>
      <c r="G570" s="195">
        <v>45945</v>
      </c>
      <c r="H570" s="8"/>
      <c r="I570" s="212">
        <v>5050</v>
      </c>
      <c r="J570" s="8">
        <v>45971</v>
      </c>
      <c r="K570" s="23">
        <f t="shared" si="224"/>
        <v>0</v>
      </c>
      <c r="L570" s="23">
        <f t="shared" si="225"/>
        <v>0</v>
      </c>
      <c r="M570" s="206">
        <f t="shared" si="229"/>
        <v>15.15</v>
      </c>
      <c r="N570" s="34"/>
      <c r="O570" s="209">
        <f t="shared" si="226"/>
        <v>27</v>
      </c>
      <c r="P570" s="34">
        <f t="shared" si="220"/>
        <v>9390</v>
      </c>
      <c r="Q570" s="34">
        <f t="shared" si="221"/>
        <v>10100</v>
      </c>
      <c r="R570" s="7">
        <f t="shared" si="222"/>
        <v>-15.15</v>
      </c>
      <c r="S570" s="227">
        <f t="shared" si="227"/>
        <v>694.85</v>
      </c>
      <c r="T570" s="249">
        <f t="shared" si="228"/>
        <v>7.39989350372737E-2</v>
      </c>
      <c r="U570" s="38"/>
    </row>
    <row r="571" spans="2:22" ht="15" customHeight="1" x14ac:dyDescent="0.4">
      <c r="B571" s="38" t="s">
        <v>312</v>
      </c>
      <c r="C571" s="6" t="s">
        <v>160</v>
      </c>
      <c r="D571" s="6">
        <f t="shared" si="223"/>
        <v>1</v>
      </c>
      <c r="E571" s="34">
        <v>2</v>
      </c>
      <c r="F571" s="212">
        <v>4600</v>
      </c>
      <c r="G571" s="195">
        <v>45952</v>
      </c>
      <c r="H571" s="8"/>
      <c r="I571" s="212">
        <v>5050</v>
      </c>
      <c r="J571" s="8">
        <v>45971</v>
      </c>
      <c r="K571" s="23">
        <f t="shared" si="224"/>
        <v>0</v>
      </c>
      <c r="L571" s="23">
        <f t="shared" si="225"/>
        <v>0</v>
      </c>
      <c r="M571" s="206">
        <f t="shared" si="229"/>
        <v>15.15</v>
      </c>
      <c r="N571" s="34"/>
      <c r="O571" s="209">
        <f t="shared" si="226"/>
        <v>20</v>
      </c>
      <c r="P571" s="34">
        <f t="shared" si="220"/>
        <v>9200</v>
      </c>
      <c r="Q571" s="34">
        <f t="shared" si="221"/>
        <v>10100</v>
      </c>
      <c r="R571" s="7">
        <f t="shared" si="222"/>
        <v>-15.15</v>
      </c>
      <c r="S571" s="227">
        <f t="shared" si="227"/>
        <v>884.85</v>
      </c>
      <c r="T571" s="249">
        <f t="shared" si="228"/>
        <v>9.6179347826086961E-2</v>
      </c>
      <c r="U571" s="38"/>
      <c r="V571" s="33"/>
    </row>
    <row r="572" spans="2:22" ht="15" customHeight="1" x14ac:dyDescent="0.4">
      <c r="B572" s="38" t="s">
        <v>312</v>
      </c>
      <c r="C572" s="6" t="s">
        <v>160</v>
      </c>
      <c r="D572" s="6">
        <f t="shared" si="223"/>
        <v>1</v>
      </c>
      <c r="E572" s="34">
        <v>2</v>
      </c>
      <c r="F572" s="212">
        <v>4775</v>
      </c>
      <c r="G572" s="195">
        <v>45959</v>
      </c>
      <c r="H572" s="8"/>
      <c r="I572" s="212">
        <v>5050</v>
      </c>
      <c r="J572" s="8">
        <v>45971</v>
      </c>
      <c r="K572" s="23">
        <f t="shared" si="224"/>
        <v>0</v>
      </c>
      <c r="L572" s="23">
        <f t="shared" si="225"/>
        <v>0</v>
      </c>
      <c r="M572" s="206">
        <f t="shared" si="229"/>
        <v>15.15</v>
      </c>
      <c r="N572" s="34"/>
      <c r="O572" s="209">
        <f t="shared" si="226"/>
        <v>13</v>
      </c>
      <c r="P572" s="34">
        <f t="shared" si="220"/>
        <v>9550</v>
      </c>
      <c r="Q572" s="34">
        <f t="shared" si="221"/>
        <v>10100</v>
      </c>
      <c r="R572" s="7">
        <f t="shared" si="222"/>
        <v>-15.15</v>
      </c>
      <c r="S572" s="227">
        <f t="shared" si="227"/>
        <v>534.85</v>
      </c>
      <c r="T572" s="249">
        <f t="shared" si="228"/>
        <v>5.6005235602094243E-2</v>
      </c>
      <c r="U572" s="38"/>
      <c r="V572" s="33"/>
    </row>
    <row r="573" spans="2:22" ht="15" customHeight="1" x14ac:dyDescent="0.4">
      <c r="B573" s="38" t="s">
        <v>312</v>
      </c>
      <c r="C573" s="6" t="s">
        <v>160</v>
      </c>
      <c r="D573" s="6">
        <f t="shared" si="223"/>
        <v>1</v>
      </c>
      <c r="E573" s="34">
        <v>2</v>
      </c>
      <c r="F573" s="212">
        <v>4700</v>
      </c>
      <c r="G573" s="195">
        <v>45966</v>
      </c>
      <c r="H573" s="8"/>
      <c r="I573" s="212">
        <v>5050</v>
      </c>
      <c r="J573" s="8">
        <v>45971</v>
      </c>
      <c r="K573" s="23">
        <f t="shared" si="224"/>
        <v>0</v>
      </c>
      <c r="L573" s="23">
        <f t="shared" si="225"/>
        <v>0</v>
      </c>
      <c r="M573" s="206">
        <f t="shared" si="229"/>
        <v>15.15</v>
      </c>
      <c r="N573" s="34"/>
      <c r="O573" s="209">
        <f t="shared" si="226"/>
        <v>6</v>
      </c>
      <c r="P573" s="34">
        <f t="shared" si="220"/>
        <v>9400</v>
      </c>
      <c r="Q573" s="34">
        <f t="shared" si="221"/>
        <v>10100</v>
      </c>
      <c r="R573" s="7">
        <f t="shared" si="222"/>
        <v>-15.15</v>
      </c>
      <c r="S573" s="227">
        <f t="shared" si="227"/>
        <v>684.85</v>
      </c>
      <c r="T573" s="249">
        <f t="shared" si="228"/>
        <v>7.2856382978723405E-2</v>
      </c>
      <c r="U573" s="38"/>
      <c r="V573" s="33"/>
    </row>
    <row r="574" spans="2:22" ht="15" customHeight="1" x14ac:dyDescent="0.4">
      <c r="B574" s="198" t="s">
        <v>313</v>
      </c>
      <c r="C574" s="6" t="s">
        <v>162</v>
      </c>
      <c r="D574" s="15"/>
      <c r="E574" s="36">
        <v>10</v>
      </c>
      <c r="F574" s="212">
        <v>57600</v>
      </c>
      <c r="G574" s="195">
        <v>43581</v>
      </c>
      <c r="H574" s="8"/>
      <c r="I574" s="212">
        <v>50000</v>
      </c>
      <c r="J574" s="8">
        <v>43837</v>
      </c>
      <c r="K574" s="7">
        <f t="shared" ref="K574:K584" si="230">ROUNDDOWN(E574*F574*0.0015,-1)</f>
        <v>860</v>
      </c>
      <c r="L574" s="7">
        <f t="shared" ref="L574:L584" si="231">ROUNDDOWN(I574*E574*0.0015,-1)</f>
        <v>750</v>
      </c>
      <c r="M574" s="196">
        <f>ROUNDDOWN(I574*E574*0.0025, )</f>
        <v>1250</v>
      </c>
      <c r="N574" s="36"/>
      <c r="O574" s="191">
        <f t="shared" si="226"/>
        <v>257</v>
      </c>
      <c r="P574" s="36">
        <f t="shared" ref="P574:P584" si="232">F574*E574</f>
        <v>576000</v>
      </c>
      <c r="Q574" s="36">
        <f t="shared" ref="Q574:Q584" si="233">I574*E574</f>
        <v>500000</v>
      </c>
      <c r="R574" s="7">
        <f t="shared" ref="R574:R584" si="234">N574-K574-L574-M574</f>
        <v>-2860</v>
      </c>
      <c r="S574" s="227">
        <f t="shared" si="227"/>
        <v>-78860</v>
      </c>
      <c r="T574" s="248">
        <f t="shared" si="228"/>
        <v>-0.13690972222222222</v>
      </c>
      <c r="U574" s="193">
        <f t="shared" ref="U574:U584" si="235">T574*365/O574</f>
        <v>-0.19444376891482923</v>
      </c>
      <c r="V574" s="6"/>
    </row>
    <row r="575" spans="2:22" ht="15" customHeight="1" x14ac:dyDescent="0.4">
      <c r="B575" s="198" t="s">
        <v>313</v>
      </c>
      <c r="C575" s="6" t="s">
        <v>162</v>
      </c>
      <c r="D575" s="15"/>
      <c r="E575" s="36">
        <v>100</v>
      </c>
      <c r="F575" s="212">
        <v>49000</v>
      </c>
      <c r="G575" s="195">
        <v>43594</v>
      </c>
      <c r="H575" s="8"/>
      <c r="I575" s="212">
        <v>50500</v>
      </c>
      <c r="J575" s="8">
        <v>43602</v>
      </c>
      <c r="K575" s="7">
        <f t="shared" si="230"/>
        <v>7350</v>
      </c>
      <c r="L575" s="7">
        <f t="shared" si="231"/>
        <v>7570</v>
      </c>
      <c r="M575" s="196">
        <f>I575*E575*0.003</f>
        <v>15150</v>
      </c>
      <c r="N575" s="36"/>
      <c r="O575" s="191">
        <f t="shared" si="226"/>
        <v>9</v>
      </c>
      <c r="P575" s="36">
        <f t="shared" si="232"/>
        <v>4900000</v>
      </c>
      <c r="Q575" s="36">
        <f t="shared" si="233"/>
        <v>5050000</v>
      </c>
      <c r="R575" s="7">
        <f t="shared" si="234"/>
        <v>-30070</v>
      </c>
      <c r="S575" s="227">
        <f t="shared" si="227"/>
        <v>119930</v>
      </c>
      <c r="T575" s="248">
        <f t="shared" si="228"/>
        <v>2.4475510204081632E-2</v>
      </c>
      <c r="U575" s="193">
        <f t="shared" si="235"/>
        <v>0.99261791383219966</v>
      </c>
      <c r="V575" s="6"/>
    </row>
    <row r="576" spans="2:22" ht="15" customHeight="1" x14ac:dyDescent="0.4">
      <c r="B576" s="198" t="s">
        <v>313</v>
      </c>
      <c r="C576" s="6" t="s">
        <v>162</v>
      </c>
      <c r="D576" s="15"/>
      <c r="E576" s="36">
        <v>25</v>
      </c>
      <c r="F576" s="212">
        <v>42000</v>
      </c>
      <c r="G576" s="195">
        <v>43614</v>
      </c>
      <c r="H576" s="8"/>
      <c r="I576" s="212">
        <v>50000</v>
      </c>
      <c r="J576" s="8">
        <v>43837</v>
      </c>
      <c r="K576" s="7">
        <f t="shared" si="230"/>
        <v>1570</v>
      </c>
      <c r="L576" s="7">
        <f t="shared" si="231"/>
        <v>1870</v>
      </c>
      <c r="M576" s="196">
        <f>ROUNDDOWN(I576*E576*0.0025, )</f>
        <v>3125</v>
      </c>
      <c r="N576" s="36"/>
      <c r="O576" s="191">
        <f t="shared" si="226"/>
        <v>224</v>
      </c>
      <c r="P576" s="36">
        <f t="shared" si="232"/>
        <v>1050000</v>
      </c>
      <c r="Q576" s="36">
        <f t="shared" si="233"/>
        <v>1250000</v>
      </c>
      <c r="R576" s="7">
        <f t="shared" si="234"/>
        <v>-6565</v>
      </c>
      <c r="S576" s="227">
        <f t="shared" si="227"/>
        <v>193435</v>
      </c>
      <c r="T576" s="248">
        <f t="shared" si="228"/>
        <v>0.18422380952380951</v>
      </c>
      <c r="U576" s="193">
        <f t="shared" si="235"/>
        <v>0.30018611819727886</v>
      </c>
      <c r="V576" s="6"/>
    </row>
    <row r="577" spans="1:22" ht="15" customHeight="1" x14ac:dyDescent="0.4">
      <c r="B577" s="198" t="s">
        <v>313</v>
      </c>
      <c r="C577" s="6" t="s">
        <v>162</v>
      </c>
      <c r="D577" s="15"/>
      <c r="E577" s="36">
        <v>50</v>
      </c>
      <c r="F577" s="212">
        <v>47000</v>
      </c>
      <c r="G577" s="195">
        <v>43838</v>
      </c>
      <c r="H577" s="8"/>
      <c r="I577" s="212">
        <v>49200</v>
      </c>
      <c r="J577" s="8">
        <v>44001</v>
      </c>
      <c r="K577" s="7">
        <f t="shared" si="230"/>
        <v>3520</v>
      </c>
      <c r="L577" s="7">
        <f t="shared" si="231"/>
        <v>3690</v>
      </c>
      <c r="M577" s="196">
        <f>ROUNDDOWN(I577*E577*0.0025, )</f>
        <v>6150</v>
      </c>
      <c r="N577" s="36">
        <f>10500-1610</f>
        <v>8890</v>
      </c>
      <c r="O577" s="191">
        <f t="shared" si="226"/>
        <v>164</v>
      </c>
      <c r="P577" s="36">
        <f t="shared" si="232"/>
        <v>2350000</v>
      </c>
      <c r="Q577" s="36">
        <f t="shared" si="233"/>
        <v>2460000</v>
      </c>
      <c r="R577" s="7">
        <f t="shared" si="234"/>
        <v>-4470</v>
      </c>
      <c r="S577" s="227">
        <f t="shared" si="227"/>
        <v>105530</v>
      </c>
      <c r="T577" s="248">
        <f t="shared" si="228"/>
        <v>4.4906382978723403E-2</v>
      </c>
      <c r="U577" s="193">
        <f t="shared" si="235"/>
        <v>9.9944084068500263E-2</v>
      </c>
      <c r="V577" s="6"/>
    </row>
    <row r="578" spans="1:22" ht="15" customHeight="1" x14ac:dyDescent="0.4">
      <c r="B578" s="38" t="s">
        <v>314</v>
      </c>
      <c r="C578" s="6" t="s">
        <v>162</v>
      </c>
      <c r="D578" s="6"/>
      <c r="E578" s="33">
        <v>300</v>
      </c>
      <c r="F578" s="212">
        <v>4200</v>
      </c>
      <c r="G578" s="195">
        <v>43103</v>
      </c>
      <c r="H578" s="8"/>
      <c r="I578" s="212">
        <v>3280</v>
      </c>
      <c r="J578" s="8">
        <v>43564</v>
      </c>
      <c r="K578" s="7">
        <f t="shared" si="230"/>
        <v>1890</v>
      </c>
      <c r="L578" s="7">
        <f t="shared" si="231"/>
        <v>1470</v>
      </c>
      <c r="M578" s="196">
        <f>I578*E578*0.003</f>
        <v>2952</v>
      </c>
      <c r="N578" s="36"/>
      <c r="O578" s="191">
        <f t="shared" si="226"/>
        <v>462</v>
      </c>
      <c r="P578" s="36">
        <f t="shared" si="232"/>
        <v>1260000</v>
      </c>
      <c r="Q578" s="36">
        <f t="shared" si="233"/>
        <v>984000</v>
      </c>
      <c r="R578" s="7">
        <f t="shared" si="234"/>
        <v>-6312</v>
      </c>
      <c r="S578" s="227">
        <f t="shared" si="227"/>
        <v>-282312</v>
      </c>
      <c r="T578" s="248">
        <f t="shared" si="228"/>
        <v>-0.22405714285714284</v>
      </c>
      <c r="U578" s="193">
        <f t="shared" si="235"/>
        <v>-0.17701484230055659</v>
      </c>
      <c r="V578" s="6"/>
    </row>
    <row r="579" spans="1:22" ht="15" customHeight="1" x14ac:dyDescent="0.4">
      <c r="B579" s="38" t="s">
        <v>314</v>
      </c>
      <c r="C579" s="6" t="s">
        <v>162</v>
      </c>
      <c r="D579" s="6"/>
      <c r="E579" s="33">
        <v>200</v>
      </c>
      <c r="F579" s="212">
        <v>3870</v>
      </c>
      <c r="G579" s="195">
        <v>43109</v>
      </c>
      <c r="H579" s="8"/>
      <c r="I579" s="212">
        <v>3280</v>
      </c>
      <c r="J579" s="8">
        <v>43564</v>
      </c>
      <c r="K579" s="7">
        <f t="shared" si="230"/>
        <v>1160</v>
      </c>
      <c r="L579" s="7">
        <f t="shared" si="231"/>
        <v>980</v>
      </c>
      <c r="M579" s="196">
        <f>I579*E579*0.003</f>
        <v>1968</v>
      </c>
      <c r="N579" s="36">
        <v>21580</v>
      </c>
      <c r="O579" s="191">
        <f t="shared" ref="O579:O610" si="236">J579-G579+1</f>
        <v>456</v>
      </c>
      <c r="P579" s="36">
        <f t="shared" si="232"/>
        <v>774000</v>
      </c>
      <c r="Q579" s="36">
        <f t="shared" si="233"/>
        <v>656000</v>
      </c>
      <c r="R579" s="7">
        <f t="shared" si="234"/>
        <v>17472</v>
      </c>
      <c r="S579" s="227">
        <f t="shared" ref="S579:S610" si="237">IF(Q579=0,0,Q579-P579+R579)</f>
        <v>-100528</v>
      </c>
      <c r="T579" s="248">
        <f t="shared" ref="T579:T610" si="238">S579/P579</f>
        <v>-0.12988113695090439</v>
      </c>
      <c r="U579" s="193">
        <f t="shared" si="235"/>
        <v>-0.1039618749716669</v>
      </c>
      <c r="V579" s="6"/>
    </row>
    <row r="580" spans="1:22" ht="15" customHeight="1" x14ac:dyDescent="0.4">
      <c r="B580" s="38" t="s">
        <v>314</v>
      </c>
      <c r="C580" s="6" t="s">
        <v>162</v>
      </c>
      <c r="D580" s="6"/>
      <c r="E580" s="33">
        <v>100</v>
      </c>
      <c r="F580" s="212">
        <v>3800</v>
      </c>
      <c r="G580" s="195">
        <v>43110</v>
      </c>
      <c r="H580" s="8"/>
      <c r="I580" s="212">
        <v>3280</v>
      </c>
      <c r="J580" s="8">
        <v>43564</v>
      </c>
      <c r="K580" s="7">
        <f t="shared" si="230"/>
        <v>570</v>
      </c>
      <c r="L580" s="7">
        <f t="shared" si="231"/>
        <v>490</v>
      </c>
      <c r="M580" s="196">
        <f>I580*E580*0.003</f>
        <v>984</v>
      </c>
      <c r="N580" s="36"/>
      <c r="O580" s="191">
        <f t="shared" si="236"/>
        <v>455</v>
      </c>
      <c r="P580" s="36">
        <f t="shared" si="232"/>
        <v>380000</v>
      </c>
      <c r="Q580" s="36">
        <f t="shared" si="233"/>
        <v>328000</v>
      </c>
      <c r="R580" s="7">
        <f t="shared" si="234"/>
        <v>-2044</v>
      </c>
      <c r="S580" s="227">
        <f t="shared" si="237"/>
        <v>-54044</v>
      </c>
      <c r="T580" s="248">
        <f t="shared" si="238"/>
        <v>-0.14222105263157894</v>
      </c>
      <c r="U580" s="193">
        <f t="shared" si="235"/>
        <v>-0.11408941584731058</v>
      </c>
      <c r="V580" s="6"/>
    </row>
    <row r="581" spans="1:22" s="33" customFormat="1" ht="15" customHeight="1" x14ac:dyDescent="0.4">
      <c r="A581" s="33" t="s">
        <v>113</v>
      </c>
      <c r="B581" s="38" t="s">
        <v>314</v>
      </c>
      <c r="C581" s="6" t="s">
        <v>162</v>
      </c>
      <c r="D581" s="6"/>
      <c r="E581" s="33">
        <v>150</v>
      </c>
      <c r="F581" s="212">
        <v>3710</v>
      </c>
      <c r="G581" s="195">
        <v>43117</v>
      </c>
      <c r="H581" s="8"/>
      <c r="I581" s="212">
        <v>3280</v>
      </c>
      <c r="J581" s="8">
        <v>43564</v>
      </c>
      <c r="K581" s="7">
        <f t="shared" si="230"/>
        <v>830</v>
      </c>
      <c r="L581" s="7">
        <f t="shared" si="231"/>
        <v>730</v>
      </c>
      <c r="M581" s="196">
        <f>I581*E581*0.003</f>
        <v>1476</v>
      </c>
      <c r="N581" s="36"/>
      <c r="O581" s="191">
        <f t="shared" si="236"/>
        <v>448</v>
      </c>
      <c r="P581" s="36">
        <f t="shared" si="232"/>
        <v>556500</v>
      </c>
      <c r="Q581" s="36">
        <f t="shared" si="233"/>
        <v>492000</v>
      </c>
      <c r="R581" s="7">
        <f t="shared" si="234"/>
        <v>-3036</v>
      </c>
      <c r="S581" s="227">
        <f t="shared" si="237"/>
        <v>-67536</v>
      </c>
      <c r="T581" s="248">
        <f t="shared" si="238"/>
        <v>-0.12135849056603773</v>
      </c>
      <c r="U581" s="9">
        <f t="shared" si="235"/>
        <v>-9.8874663072776273E-2</v>
      </c>
      <c r="V581" s="6"/>
    </row>
    <row r="582" spans="1:22" s="33" customFormat="1" ht="15" customHeight="1" x14ac:dyDescent="0.4">
      <c r="A582" s="33" t="s">
        <v>113</v>
      </c>
      <c r="B582" s="38" t="s">
        <v>314</v>
      </c>
      <c r="C582" s="6" t="s">
        <v>162</v>
      </c>
      <c r="D582" s="6"/>
      <c r="E582" s="36">
        <v>100</v>
      </c>
      <c r="F582" s="212">
        <v>3390</v>
      </c>
      <c r="G582" s="195">
        <v>43277</v>
      </c>
      <c r="H582" s="8"/>
      <c r="I582" s="212">
        <v>3280</v>
      </c>
      <c r="J582" s="8">
        <v>43564</v>
      </c>
      <c r="K582" s="7">
        <f t="shared" si="230"/>
        <v>500</v>
      </c>
      <c r="L582" s="7">
        <f t="shared" si="231"/>
        <v>490</v>
      </c>
      <c r="M582" s="196">
        <f>I582*E582*0.003</f>
        <v>984</v>
      </c>
      <c r="N582" s="36"/>
      <c r="O582" s="191">
        <f t="shared" si="236"/>
        <v>288</v>
      </c>
      <c r="P582" s="36">
        <f t="shared" si="232"/>
        <v>339000</v>
      </c>
      <c r="Q582" s="36">
        <f t="shared" si="233"/>
        <v>328000</v>
      </c>
      <c r="R582" s="7">
        <f t="shared" si="234"/>
        <v>-1974</v>
      </c>
      <c r="S582" s="227">
        <f t="shared" si="237"/>
        <v>-12974</v>
      </c>
      <c r="T582" s="248">
        <f t="shared" si="238"/>
        <v>-3.8271386430678463E-2</v>
      </c>
      <c r="U582" s="9">
        <f t="shared" si="235"/>
        <v>-4.8503666830547361E-2</v>
      </c>
      <c r="V582" s="6"/>
    </row>
    <row r="583" spans="1:22" s="33" customFormat="1" ht="15" customHeight="1" x14ac:dyDescent="0.4">
      <c r="A583" s="33" t="s">
        <v>113</v>
      </c>
      <c r="B583" s="198" t="s">
        <v>314</v>
      </c>
      <c r="C583" s="6" t="s">
        <v>162</v>
      </c>
      <c r="D583" s="15"/>
      <c r="E583" s="36">
        <v>500</v>
      </c>
      <c r="F583" s="212">
        <v>2850</v>
      </c>
      <c r="G583" s="195">
        <v>43595</v>
      </c>
      <c r="H583" s="8"/>
      <c r="I583" s="212">
        <v>3120</v>
      </c>
      <c r="J583" s="8">
        <v>43671</v>
      </c>
      <c r="K583" s="7">
        <f t="shared" si="230"/>
        <v>2130</v>
      </c>
      <c r="L583" s="7">
        <f t="shared" si="231"/>
        <v>2340</v>
      </c>
      <c r="M583" s="196">
        <f>ROUNDDOWN(I583*E583*0.0025, )</f>
        <v>3900</v>
      </c>
      <c r="N583" s="36"/>
      <c r="O583" s="191">
        <f t="shared" si="236"/>
        <v>77</v>
      </c>
      <c r="P583" s="36">
        <f t="shared" si="232"/>
        <v>1425000</v>
      </c>
      <c r="Q583" s="36">
        <f t="shared" si="233"/>
        <v>1560000</v>
      </c>
      <c r="R583" s="7">
        <f t="shared" si="234"/>
        <v>-8370</v>
      </c>
      <c r="S583" s="227">
        <f t="shared" si="237"/>
        <v>126630</v>
      </c>
      <c r="T583" s="248">
        <f t="shared" si="238"/>
        <v>8.8863157894736838E-2</v>
      </c>
      <c r="U583" s="9">
        <f t="shared" si="235"/>
        <v>0.42123444976076557</v>
      </c>
      <c r="V583" s="6"/>
    </row>
    <row r="584" spans="1:22" s="33" customFormat="1" ht="15" customHeight="1" x14ac:dyDescent="0.4">
      <c r="A584" s="33" t="s">
        <v>113</v>
      </c>
      <c r="B584" s="38" t="s">
        <v>315</v>
      </c>
      <c r="C584" s="6" t="s">
        <v>162</v>
      </c>
      <c r="D584" s="6"/>
      <c r="E584" s="36">
        <v>500</v>
      </c>
      <c r="F584" s="212">
        <v>1790</v>
      </c>
      <c r="G584" s="195">
        <v>42580</v>
      </c>
      <c r="H584" s="8"/>
      <c r="I584" s="212">
        <v>1960</v>
      </c>
      <c r="J584" s="8">
        <v>42611</v>
      </c>
      <c r="K584" s="7">
        <f t="shared" si="230"/>
        <v>1340</v>
      </c>
      <c r="L584" s="7">
        <f t="shared" si="231"/>
        <v>1470</v>
      </c>
      <c r="M584" s="196">
        <f>I584*E584*0.003</f>
        <v>2940</v>
      </c>
      <c r="N584" s="36"/>
      <c r="O584" s="191">
        <f t="shared" si="236"/>
        <v>32</v>
      </c>
      <c r="P584" s="36">
        <f t="shared" si="232"/>
        <v>895000</v>
      </c>
      <c r="Q584" s="36">
        <f t="shared" si="233"/>
        <v>980000</v>
      </c>
      <c r="R584" s="7">
        <f t="shared" si="234"/>
        <v>-5750</v>
      </c>
      <c r="S584" s="227">
        <f t="shared" si="237"/>
        <v>79250</v>
      </c>
      <c r="T584" s="248">
        <f t="shared" si="238"/>
        <v>8.8547486033519557E-2</v>
      </c>
      <c r="U584" s="9">
        <f t="shared" si="235"/>
        <v>1.0099947625698324</v>
      </c>
      <c r="V584" s="6"/>
    </row>
    <row r="585" spans="1:22" s="33" customFormat="1" ht="15" customHeight="1" x14ac:dyDescent="0.4">
      <c r="A585" s="33" t="s">
        <v>113</v>
      </c>
      <c r="B585" s="38" t="s">
        <v>43</v>
      </c>
      <c r="C585" s="6" t="s">
        <v>122</v>
      </c>
      <c r="D585" s="6">
        <f t="shared" ref="D585:D590" si="239">IF(OR($C585="신한",$C585="OTC",$C585="무상증자(신한)",$C585="토스",$C585="R토스"),1,"확인")</f>
        <v>1</v>
      </c>
      <c r="E585" s="34">
        <v>10</v>
      </c>
      <c r="F585" s="212">
        <v>7370</v>
      </c>
      <c r="G585" s="195">
        <v>45807</v>
      </c>
      <c r="H585" s="33" t="s">
        <v>113</v>
      </c>
      <c r="I585" s="212">
        <v>7770</v>
      </c>
      <c r="J585" s="8">
        <v>45813</v>
      </c>
      <c r="K585" s="23">
        <f t="shared" ref="K585:K590" si="240">IF($C585="OTC",ROUNDDOWN($E585*$F585*0.000909187,-1),(IF($C585="신한",ROUNDDOWN($E585*$F585*0.000036396,-1),(IF($C585="토스",$E585*$F585*0.00015,(IF($C585="US",(IF($E585*$F585*0.0025&gt;0.01,$E585*$F585*0.0025,0.01)),IF($C585="JP",(IF($E585*$F585*0.0025&gt;1000,$E585*$F585*0.0025,1000)),(IF($C585="R토스",0,IF($C585="무상증자(신한)",0,"")))))))))))</f>
        <v>11.055</v>
      </c>
      <c r="L585" s="23">
        <f t="shared" ref="L585:L590" si="241">IF($C585="OTC",ROUNDDOWN($I585*$E585*0.000909187,-1),(IF($C585="신한",ROUNDDOWN($I585*$E585*0.000036396,-1),(IF($C585="토스",$I585*$E585*0.00015,(IF($C585="US",(IF($I585*$E585*0.0025&gt;0.01,$I585*$E585*0.0025,0.01)),(IF($C585="JP",(IF($I585*$E585*0.0025&gt;1000,$I585*$E585*0.0025,1000)),(IF($C585="R토스",$I585*$E585*0.00015,(IF($C585="무상증자(신한)",ROUNDDOWN($I585*$E585*0.000036396,-1),"")))))))))))))</f>
        <v>11.654999999999999</v>
      </c>
      <c r="M585" s="206">
        <f t="shared" ref="M585:M590" si="242">Q585*0.0015</f>
        <v>116.55</v>
      </c>
      <c r="N585" s="34"/>
      <c r="O585" s="209">
        <f t="shared" si="236"/>
        <v>7</v>
      </c>
      <c r="P585" s="34">
        <f t="shared" ref="P585:P590" si="243">$E585*$F585*$D585</f>
        <v>73700</v>
      </c>
      <c r="Q585" s="34">
        <f t="shared" ref="Q585:Q590" si="244">$E585*$I585*$D585</f>
        <v>77700</v>
      </c>
      <c r="R585" s="7">
        <f t="shared" ref="R585:R590" si="245">($N585-$K585-$L585-$M585)*$D585</f>
        <v>-139.26</v>
      </c>
      <c r="S585" s="227">
        <f t="shared" si="237"/>
        <v>3860.74</v>
      </c>
      <c r="T585" s="249">
        <f t="shared" si="238"/>
        <v>5.2384531886024419E-2</v>
      </c>
      <c r="V585" s="36">
        <f t="shared" ref="V585:V590" si="246">+P585*0.05*O585/365</f>
        <v>70.671232876712324</v>
      </c>
    </row>
    <row r="586" spans="1:22" s="33" customFormat="1" ht="15" customHeight="1" x14ac:dyDescent="0.4">
      <c r="A586" s="33" t="s">
        <v>113</v>
      </c>
      <c r="B586" s="38" t="s">
        <v>43</v>
      </c>
      <c r="C586" s="6" t="s">
        <v>122</v>
      </c>
      <c r="D586" s="6">
        <f t="shared" si="239"/>
        <v>1</v>
      </c>
      <c r="E586" s="34">
        <v>10</v>
      </c>
      <c r="F586" s="212">
        <v>7360</v>
      </c>
      <c r="G586" s="195">
        <v>45807</v>
      </c>
      <c r="H586" s="33" t="s">
        <v>113</v>
      </c>
      <c r="I586" s="212">
        <v>7770</v>
      </c>
      <c r="J586" s="8">
        <v>45813</v>
      </c>
      <c r="K586" s="23">
        <f t="shared" si="240"/>
        <v>11.04</v>
      </c>
      <c r="L586" s="23">
        <f t="shared" si="241"/>
        <v>11.654999999999999</v>
      </c>
      <c r="M586" s="206">
        <f t="shared" si="242"/>
        <v>116.55</v>
      </c>
      <c r="N586" s="34"/>
      <c r="O586" s="209">
        <f t="shared" si="236"/>
        <v>7</v>
      </c>
      <c r="P586" s="34">
        <f t="shared" si="243"/>
        <v>73600</v>
      </c>
      <c r="Q586" s="34">
        <f t="shared" si="244"/>
        <v>77700</v>
      </c>
      <c r="R586" s="7">
        <f t="shared" si="245"/>
        <v>-139.245</v>
      </c>
      <c r="S586" s="227">
        <f t="shared" si="237"/>
        <v>3960.7550000000001</v>
      </c>
      <c r="T586" s="249">
        <f t="shared" si="238"/>
        <v>5.381460597826087E-2</v>
      </c>
      <c r="V586" s="36">
        <f t="shared" si="246"/>
        <v>70.575342465753423</v>
      </c>
    </row>
    <row r="587" spans="1:22" ht="15" customHeight="1" x14ac:dyDescent="0.4">
      <c r="B587" s="38" t="s">
        <v>43</v>
      </c>
      <c r="C587" s="6" t="s">
        <v>122</v>
      </c>
      <c r="D587" s="6">
        <f t="shared" si="239"/>
        <v>1</v>
      </c>
      <c r="E587" s="34">
        <v>50</v>
      </c>
      <c r="F587" s="212">
        <v>7400</v>
      </c>
      <c r="G587" s="195">
        <v>45807</v>
      </c>
      <c r="H587" s="33" t="s">
        <v>113</v>
      </c>
      <c r="I587" s="212">
        <v>7770</v>
      </c>
      <c r="J587" s="8">
        <v>45813</v>
      </c>
      <c r="K587" s="23">
        <f t="shared" si="240"/>
        <v>55.499999999999993</v>
      </c>
      <c r="L587" s="23">
        <f t="shared" si="241"/>
        <v>58.274999999999991</v>
      </c>
      <c r="M587" s="206">
        <f t="shared" si="242"/>
        <v>582.75</v>
      </c>
      <c r="N587" s="34"/>
      <c r="O587" s="209">
        <f t="shared" si="236"/>
        <v>7</v>
      </c>
      <c r="P587" s="34">
        <f t="shared" si="243"/>
        <v>370000</v>
      </c>
      <c r="Q587" s="34">
        <f t="shared" si="244"/>
        <v>388500</v>
      </c>
      <c r="R587" s="7">
        <f t="shared" si="245"/>
        <v>-696.52499999999998</v>
      </c>
      <c r="S587" s="227">
        <f t="shared" si="237"/>
        <v>17803.474999999999</v>
      </c>
      <c r="T587" s="249">
        <f t="shared" si="238"/>
        <v>4.8117499999999994E-2</v>
      </c>
      <c r="U587" s="38"/>
      <c r="V587" s="36">
        <f t="shared" si="246"/>
        <v>354.79452054794518</v>
      </c>
    </row>
    <row r="588" spans="1:22" ht="15" customHeight="1" x14ac:dyDescent="0.4">
      <c r="B588" s="38" t="s">
        <v>43</v>
      </c>
      <c r="C588" s="6" t="s">
        <v>122</v>
      </c>
      <c r="D588" s="6">
        <f t="shared" si="239"/>
        <v>1</v>
      </c>
      <c r="E588" s="34">
        <v>200</v>
      </c>
      <c r="F588" s="212">
        <v>7350</v>
      </c>
      <c r="G588" s="195">
        <v>45807</v>
      </c>
      <c r="H588" s="33" t="s">
        <v>113</v>
      </c>
      <c r="I588" s="212">
        <v>7770</v>
      </c>
      <c r="J588" s="8">
        <v>45813</v>
      </c>
      <c r="K588" s="23">
        <f t="shared" si="240"/>
        <v>220.49999999999997</v>
      </c>
      <c r="L588" s="23">
        <f t="shared" si="241"/>
        <v>233.09999999999997</v>
      </c>
      <c r="M588" s="206">
        <f t="shared" si="242"/>
        <v>2331</v>
      </c>
      <c r="N588" s="34"/>
      <c r="O588" s="209">
        <f t="shared" si="236"/>
        <v>7</v>
      </c>
      <c r="P588" s="34">
        <f t="shared" si="243"/>
        <v>1470000</v>
      </c>
      <c r="Q588" s="34">
        <f t="shared" si="244"/>
        <v>1554000</v>
      </c>
      <c r="R588" s="7">
        <f t="shared" si="245"/>
        <v>-2784.6</v>
      </c>
      <c r="S588" s="227">
        <f t="shared" si="237"/>
        <v>81215.399999999994</v>
      </c>
      <c r="T588" s="249">
        <f t="shared" si="238"/>
        <v>5.5248571428571425E-2</v>
      </c>
      <c r="U588" s="38"/>
      <c r="V588" s="36">
        <f t="shared" si="246"/>
        <v>1409.5890410958905</v>
      </c>
    </row>
    <row r="589" spans="1:22" ht="15" customHeight="1" x14ac:dyDescent="0.4">
      <c r="B589" s="38" t="s">
        <v>43</v>
      </c>
      <c r="C589" s="6" t="s">
        <v>122</v>
      </c>
      <c r="D589" s="6">
        <f t="shared" si="239"/>
        <v>1</v>
      </c>
      <c r="E589" s="34">
        <v>70</v>
      </c>
      <c r="F589" s="212">
        <v>7300</v>
      </c>
      <c r="G589" s="195">
        <v>45810</v>
      </c>
      <c r="H589" s="33" t="s">
        <v>113</v>
      </c>
      <c r="I589" s="212">
        <v>7770</v>
      </c>
      <c r="J589" s="8">
        <v>45813</v>
      </c>
      <c r="K589" s="23">
        <f t="shared" si="240"/>
        <v>76.649999999999991</v>
      </c>
      <c r="L589" s="23">
        <f t="shared" si="241"/>
        <v>81.584999999999994</v>
      </c>
      <c r="M589" s="206">
        <f t="shared" si="242"/>
        <v>815.85</v>
      </c>
      <c r="N589" s="34"/>
      <c r="O589" s="209">
        <f t="shared" si="236"/>
        <v>4</v>
      </c>
      <c r="P589" s="34">
        <f t="shared" si="243"/>
        <v>511000</v>
      </c>
      <c r="Q589" s="34">
        <f t="shared" si="244"/>
        <v>543900</v>
      </c>
      <c r="R589" s="7">
        <f t="shared" si="245"/>
        <v>-974.08500000000004</v>
      </c>
      <c r="S589" s="227">
        <f t="shared" si="237"/>
        <v>31925.915000000001</v>
      </c>
      <c r="T589" s="249">
        <f t="shared" si="238"/>
        <v>6.2477328767123287E-2</v>
      </c>
      <c r="U589" s="38"/>
      <c r="V589" s="36">
        <f t="shared" si="246"/>
        <v>280</v>
      </c>
    </row>
    <row r="590" spans="1:22" ht="15" customHeight="1" x14ac:dyDescent="0.4">
      <c r="B590" s="38" t="s">
        <v>43</v>
      </c>
      <c r="C590" s="6" t="s">
        <v>122</v>
      </c>
      <c r="D590" s="6">
        <f t="shared" si="239"/>
        <v>1</v>
      </c>
      <c r="E590" s="34">
        <v>100</v>
      </c>
      <c r="F590" s="212">
        <v>7380</v>
      </c>
      <c r="G590" s="195">
        <v>45812</v>
      </c>
      <c r="H590" s="33" t="s">
        <v>113</v>
      </c>
      <c r="I590" s="212">
        <v>7770</v>
      </c>
      <c r="J590" s="8">
        <v>45813</v>
      </c>
      <c r="K590" s="23">
        <f t="shared" si="240"/>
        <v>110.69999999999999</v>
      </c>
      <c r="L590" s="23">
        <f t="shared" si="241"/>
        <v>116.54999999999998</v>
      </c>
      <c r="M590" s="206">
        <f t="shared" si="242"/>
        <v>1165.5</v>
      </c>
      <c r="N590" s="34"/>
      <c r="O590" s="209">
        <f t="shared" si="236"/>
        <v>2</v>
      </c>
      <c r="P590" s="34">
        <f t="shared" si="243"/>
        <v>738000</v>
      </c>
      <c r="Q590" s="34">
        <f t="shared" si="244"/>
        <v>777000</v>
      </c>
      <c r="R590" s="7">
        <f t="shared" si="245"/>
        <v>-1392.75</v>
      </c>
      <c r="S590" s="227">
        <f t="shared" si="237"/>
        <v>37607.25</v>
      </c>
      <c r="T590" s="249">
        <f t="shared" si="238"/>
        <v>5.0958333333333335E-2</v>
      </c>
      <c r="U590" s="38"/>
      <c r="V590" s="36">
        <f t="shared" si="246"/>
        <v>202.1917808219178</v>
      </c>
    </row>
    <row r="591" spans="1:22" ht="15" customHeight="1" x14ac:dyDescent="0.4">
      <c r="B591" s="38" t="s">
        <v>316</v>
      </c>
      <c r="C591" s="6" t="s">
        <v>185</v>
      </c>
      <c r="D591" s="6"/>
      <c r="E591" s="36">
        <v>4</v>
      </c>
      <c r="F591" s="212">
        <v>52400</v>
      </c>
      <c r="G591" s="195">
        <v>39217</v>
      </c>
      <c r="H591" s="8"/>
      <c r="I591" s="212">
        <v>57500</v>
      </c>
      <c r="J591" s="8">
        <v>39238</v>
      </c>
      <c r="K591" s="7">
        <f>ROUNDDOWN(E591*F591*0.005,-1)</f>
        <v>1040</v>
      </c>
      <c r="L591" s="7">
        <f>ROUNDDOWN(I591*E591*0.005,-1)</f>
        <v>1150</v>
      </c>
      <c r="M591" s="196">
        <f>I591*E591*0.003</f>
        <v>690</v>
      </c>
      <c r="N591" s="36"/>
      <c r="O591" s="191">
        <f t="shared" si="236"/>
        <v>22</v>
      </c>
      <c r="P591" s="36">
        <f>F591*E591</f>
        <v>209600</v>
      </c>
      <c r="Q591" s="36">
        <f>I591*E591</f>
        <v>230000</v>
      </c>
      <c r="R591" s="7">
        <f>N591-K591-L591-M591</f>
        <v>-2880</v>
      </c>
      <c r="S591" s="227">
        <f t="shared" si="237"/>
        <v>17520</v>
      </c>
      <c r="T591" s="248">
        <f t="shared" si="238"/>
        <v>8.3587786259541982E-2</v>
      </c>
      <c r="U591" s="193">
        <f>T591*365/O591</f>
        <v>1.3867973629424011</v>
      </c>
      <c r="V591" s="6"/>
    </row>
    <row r="592" spans="1:22" ht="15" customHeight="1" x14ac:dyDescent="0.4">
      <c r="B592" s="38" t="s">
        <v>317</v>
      </c>
      <c r="C592" s="6" t="s">
        <v>160</v>
      </c>
      <c r="D592" s="6">
        <f>IF(OR($C592="신한",$C592="OTC",$C592="무상증자(신한)",$C592="토스",$C592="R토스"),1,"확인")</f>
        <v>1</v>
      </c>
      <c r="E592" s="34">
        <v>300</v>
      </c>
      <c r="F592" s="212">
        <v>13400</v>
      </c>
      <c r="G592" s="195">
        <v>44026</v>
      </c>
      <c r="H592" s="8"/>
      <c r="I592" s="212">
        <v>14900</v>
      </c>
      <c r="J592" s="8">
        <v>44027</v>
      </c>
      <c r="K592" s="23">
        <f>IF($C592="OTC",ROUNDDOWN($E592*$F592*0.000909187,-1),(IF($C592="신한",ROUNDDOWN($E592*$F592*0.000036396,-1),(IF($C592="토스",$E592*$F592*0.00015,(IF($C592="US",(IF($E592*$F592*0.0025&gt;0.01,$E592*$F592*0.0025,0.01)),IF($C592="JP",(IF($E592*$F592*0.0025&gt;1000,$E592*$F592*0.0025,1000)),(IF($C592="R토스",0,IF($C592="무상증자(신한)",0,"")))))))))))</f>
        <v>140</v>
      </c>
      <c r="L592" s="23">
        <f>IF($C592="OTC",ROUNDDOWN($I592*$E592*0.000909187,-1),(IF($C592="신한",ROUNDDOWN($I592*$E592*0.000036396,-1),(IF($C592="토스",$I592*$E592*0.00015,(IF($C592="US",(IF($I592*$E592*0.0025&gt;0.01,$I592*$E592*0.0025,0.01)),(IF($C592="JP",(IF($I592*$E592*0.0025&gt;1000,$I592*$E592*0.0025,1000)),(IF($C592="R토스",$I592*$E592*0.00015,(IF($C592="무상증자(신한)",ROUNDDOWN($I592*$E592*0.000036396,-1),"")))))))))))))</f>
        <v>160</v>
      </c>
      <c r="M592" s="206">
        <f>Q592*0.0025</f>
        <v>11175</v>
      </c>
      <c r="N592" s="34"/>
      <c r="O592" s="209">
        <f t="shared" si="236"/>
        <v>2</v>
      </c>
      <c r="P592" s="34">
        <f>$E592*$F592*$D592</f>
        <v>4020000</v>
      </c>
      <c r="Q592" s="34">
        <f>$E592*$I592*$D592</f>
        <v>4470000</v>
      </c>
      <c r="R592" s="7">
        <f>($N592-$K592-$L592-$M592)*$D592</f>
        <v>-11475</v>
      </c>
      <c r="S592" s="227">
        <f t="shared" si="237"/>
        <v>438525</v>
      </c>
      <c r="T592" s="248">
        <f t="shared" si="238"/>
        <v>0.10908582089552239</v>
      </c>
      <c r="U592" s="38"/>
      <c r="V592" s="33"/>
    </row>
    <row r="593" spans="2:22" s="33" customFormat="1" ht="15" customHeight="1" x14ac:dyDescent="0.4">
      <c r="B593" s="198" t="s">
        <v>318</v>
      </c>
      <c r="C593" s="6" t="s">
        <v>162</v>
      </c>
      <c r="D593" s="15"/>
      <c r="E593" s="36">
        <v>200</v>
      </c>
      <c r="F593" s="212">
        <v>11500</v>
      </c>
      <c r="G593" s="195">
        <v>43563</v>
      </c>
      <c r="H593" s="8"/>
      <c r="I593" s="212">
        <v>13100</v>
      </c>
      <c r="J593" s="8">
        <v>43846</v>
      </c>
      <c r="K593" s="7">
        <f>ROUNDDOWN(E593*F593*0.0015,-1)</f>
        <v>3450</v>
      </c>
      <c r="L593" s="7">
        <f>ROUNDDOWN(I593*E593*0.0015,-1)</f>
        <v>3930</v>
      </c>
      <c r="M593" s="196">
        <f>ROUNDDOWN(I593*E593*0.0025, )</f>
        <v>6550</v>
      </c>
      <c r="N593" s="36">
        <f>50000-7700</f>
        <v>42300</v>
      </c>
      <c r="O593" s="191">
        <f t="shared" si="236"/>
        <v>284</v>
      </c>
      <c r="P593" s="36">
        <f>F593*E593</f>
        <v>2300000</v>
      </c>
      <c r="Q593" s="36">
        <f>I593*E593</f>
        <v>2620000</v>
      </c>
      <c r="R593" s="7">
        <f>N593-K593-L593-M593</f>
        <v>28370</v>
      </c>
      <c r="S593" s="227">
        <f t="shared" si="237"/>
        <v>348370</v>
      </c>
      <c r="T593" s="248">
        <f t="shared" si="238"/>
        <v>0.15146521739130434</v>
      </c>
      <c r="U593" s="193">
        <f>T593*365/O593</f>
        <v>0.19466480404164113</v>
      </c>
      <c r="V593" s="6"/>
    </row>
    <row r="594" spans="2:22" s="33" customFormat="1" ht="15" customHeight="1" x14ac:dyDescent="0.4">
      <c r="B594" s="38" t="s">
        <v>319</v>
      </c>
      <c r="C594" s="6" t="s">
        <v>162</v>
      </c>
      <c r="D594" s="6"/>
      <c r="E594" s="33">
        <v>500</v>
      </c>
      <c r="F594" s="212">
        <v>2300</v>
      </c>
      <c r="G594" s="195">
        <v>43109</v>
      </c>
      <c r="H594" s="8"/>
      <c r="I594" s="212">
        <v>2550</v>
      </c>
      <c r="J594" s="8">
        <v>43115</v>
      </c>
      <c r="K594" s="7">
        <f>ROUNDDOWN(E594*F594*0.0015,-1)</f>
        <v>1720</v>
      </c>
      <c r="L594" s="7">
        <f>ROUNDDOWN(I594*E594*0.0015,-1)</f>
        <v>1910</v>
      </c>
      <c r="M594" s="196">
        <f>I594*E594*0.003</f>
        <v>3825</v>
      </c>
      <c r="N594" s="36"/>
      <c r="O594" s="191">
        <f t="shared" si="236"/>
        <v>7</v>
      </c>
      <c r="P594" s="36">
        <f>F594*E594</f>
        <v>1150000</v>
      </c>
      <c r="Q594" s="36">
        <f>I594*E594</f>
        <v>1275000</v>
      </c>
      <c r="R594" s="7">
        <f>N594-K594-L594-M594</f>
        <v>-7455</v>
      </c>
      <c r="S594" s="227">
        <f t="shared" si="237"/>
        <v>117545</v>
      </c>
      <c r="T594" s="248">
        <f t="shared" si="238"/>
        <v>0.10221304347826086</v>
      </c>
      <c r="U594" s="193">
        <f>T594*365/O594</f>
        <v>5.3296801242236018</v>
      </c>
      <c r="V594" s="6"/>
    </row>
    <row r="595" spans="2:22" s="33" customFormat="1" ht="15" customHeight="1" x14ac:dyDescent="0.4">
      <c r="B595" s="38" t="s">
        <v>319</v>
      </c>
      <c r="C595" s="6" t="s">
        <v>162</v>
      </c>
      <c r="D595" s="6"/>
      <c r="E595" s="33">
        <v>200</v>
      </c>
      <c r="F595" s="212">
        <v>2250</v>
      </c>
      <c r="G595" s="195">
        <v>43109</v>
      </c>
      <c r="H595" s="8"/>
      <c r="I595" s="212">
        <v>2550</v>
      </c>
      <c r="J595" s="8">
        <v>43115</v>
      </c>
      <c r="K595" s="7">
        <f>ROUNDDOWN(E595*F595*0.0015,-1)</f>
        <v>670</v>
      </c>
      <c r="L595" s="7">
        <f>ROUNDDOWN(I595*E595*0.0015,-1)</f>
        <v>760</v>
      </c>
      <c r="M595" s="196">
        <f>I595*E595*0.003</f>
        <v>1530</v>
      </c>
      <c r="N595" s="36"/>
      <c r="O595" s="191">
        <f t="shared" si="236"/>
        <v>7</v>
      </c>
      <c r="P595" s="36">
        <f>F595*E595</f>
        <v>450000</v>
      </c>
      <c r="Q595" s="36">
        <f>I595*E595</f>
        <v>510000</v>
      </c>
      <c r="R595" s="7">
        <f>N595-K595-L595-M595</f>
        <v>-2960</v>
      </c>
      <c r="S595" s="227">
        <f t="shared" si="237"/>
        <v>57040</v>
      </c>
      <c r="T595" s="248">
        <f t="shared" si="238"/>
        <v>0.12675555555555557</v>
      </c>
      <c r="U595" s="193">
        <f>T595*365/O595</f>
        <v>6.6093968253968258</v>
      </c>
      <c r="V595" s="6"/>
    </row>
    <row r="596" spans="2:22" s="33" customFormat="1" ht="15" customHeight="1" x14ac:dyDescent="0.4">
      <c r="B596" s="198" t="s">
        <v>320</v>
      </c>
      <c r="C596" s="6" t="s">
        <v>162</v>
      </c>
      <c r="D596" s="15"/>
      <c r="E596" s="36">
        <v>150</v>
      </c>
      <c r="F596" s="212">
        <v>6600</v>
      </c>
      <c r="G596" s="195">
        <v>43619</v>
      </c>
      <c r="H596" s="8"/>
      <c r="I596" s="212">
        <v>7320</v>
      </c>
      <c r="J596" s="8">
        <v>44026</v>
      </c>
      <c r="K596" s="7">
        <f>ROUNDDOWN(E596*F596*0.0015,-1)</f>
        <v>1480</v>
      </c>
      <c r="L596" s="7">
        <f>ROUNDDOWN(I596*E596*0.0015,-1)</f>
        <v>1640</v>
      </c>
      <c r="M596" s="196">
        <f>ROUNDDOWN(I596*E596*0.0025, )</f>
        <v>2745</v>
      </c>
      <c r="N596" s="36"/>
      <c r="O596" s="191">
        <f t="shared" si="236"/>
        <v>408</v>
      </c>
      <c r="P596" s="36">
        <f>F596*E596</f>
        <v>990000</v>
      </c>
      <c r="Q596" s="36">
        <f>I596*E596</f>
        <v>1098000</v>
      </c>
      <c r="R596" s="7">
        <f>N596-K596-L596-M596</f>
        <v>-5865</v>
      </c>
      <c r="S596" s="227">
        <f t="shared" si="237"/>
        <v>102135</v>
      </c>
      <c r="T596" s="248">
        <f t="shared" si="238"/>
        <v>0.10316666666666667</v>
      </c>
      <c r="U596" s="193">
        <f>T596*365/O596</f>
        <v>9.2293709150326794E-2</v>
      </c>
      <c r="V596" s="6"/>
    </row>
    <row r="597" spans="2:22" s="33" customFormat="1" ht="15" customHeight="1" x14ac:dyDescent="0.4">
      <c r="B597" s="38" t="s">
        <v>321</v>
      </c>
      <c r="C597" s="6" t="s">
        <v>160</v>
      </c>
      <c r="D597" s="6">
        <f>IF(OR($C597="신한",$C597="OTC",$C597="무상증자(신한)",$C597="토스",$C597="R토스"),1,"확인")</f>
        <v>1</v>
      </c>
      <c r="E597" s="34">
        <v>50</v>
      </c>
      <c r="F597" s="212">
        <v>40000</v>
      </c>
      <c r="G597" s="195">
        <v>44047</v>
      </c>
      <c r="H597" s="8"/>
      <c r="I597" s="212">
        <v>43150</v>
      </c>
      <c r="J597" s="8">
        <v>44071</v>
      </c>
      <c r="K597" s="23">
        <f>IF($C597="OTC",ROUNDDOWN($E597*$F597*0.000909187,-1),(IF($C597="신한",ROUNDDOWN($E597*$F597*0.000036396,-1),(IF($C597="토스",$E597*$F597*0.00015,(IF($C597="US",(IF($E597*$F597*0.0025&gt;0.01,$E597*$F597*0.0025,0.01)),IF($C597="JP",(IF($E597*$F597*0.0025&gt;1000,$E597*$F597*0.0025,1000)),(IF($C597="R토스",0,IF($C597="무상증자(신한)",0,"")))))))))))</f>
        <v>70</v>
      </c>
      <c r="L597" s="23">
        <f>IF($C597="OTC",ROUNDDOWN($I597*$E597*0.000909187,-1),(IF($C597="신한",ROUNDDOWN($I597*$E597*0.000036396,-1),(IF($C597="토스",$I597*$E597*0.00015,(IF($C597="US",(IF($I597*$E597*0.0025&gt;0.01,$I597*$E597*0.0025,0.01)),(IF($C597="JP",(IF($I597*$E597*0.0025&gt;1000,$I597*$E597*0.0025,1000)),(IF($C597="R토스",$I597*$E597*0.00015,(IF($C597="무상증자(신한)",ROUNDDOWN($I597*$E597*0.000036396,-1),"")))))))))))))</f>
        <v>70</v>
      </c>
      <c r="M597" s="206">
        <f>Q597*0.0025</f>
        <v>5393.75</v>
      </c>
      <c r="N597" s="34"/>
      <c r="O597" s="209">
        <f t="shared" si="236"/>
        <v>25</v>
      </c>
      <c r="P597" s="34">
        <f>$E597*$F597*$D597</f>
        <v>2000000</v>
      </c>
      <c r="Q597" s="34">
        <f>$E597*$I597*$D597</f>
        <v>2157500</v>
      </c>
      <c r="R597" s="7">
        <f>($N597-$K597-$L597-$M597)*$D597</f>
        <v>-5533.75</v>
      </c>
      <c r="S597" s="227">
        <f t="shared" si="237"/>
        <v>151966.25</v>
      </c>
      <c r="T597" s="249">
        <f t="shared" si="238"/>
        <v>7.5983124999999999E-2</v>
      </c>
      <c r="U597" s="38"/>
    </row>
    <row r="598" spans="2:22" s="33" customFormat="1" ht="15" customHeight="1" x14ac:dyDescent="0.4">
      <c r="B598" s="38" t="s">
        <v>321</v>
      </c>
      <c r="C598" s="6" t="s">
        <v>160</v>
      </c>
      <c r="D598" s="6">
        <f>IF(OR($C598="신한",$C598="OTC",$C598="무상증자(신한)",$C598="토스",$C598="R토스"),1,"확인")</f>
        <v>1</v>
      </c>
      <c r="E598" s="34">
        <v>20</v>
      </c>
      <c r="F598" s="212">
        <v>39800</v>
      </c>
      <c r="G598" s="195">
        <v>44047</v>
      </c>
      <c r="H598" s="8"/>
      <c r="I598" s="212">
        <v>43150</v>
      </c>
      <c r="J598" s="8">
        <v>44071</v>
      </c>
      <c r="K598" s="23">
        <f>IF($C598="OTC",ROUNDDOWN($E598*$F598*0.000909187,-1),(IF($C598="신한",ROUNDDOWN($E598*$F598*0.000036396,-1),(IF($C598="토스",$E598*$F598*0.00015,(IF($C598="US",(IF($E598*$F598*0.0025&gt;0.01,$E598*$F598*0.0025,0.01)),IF($C598="JP",(IF($E598*$F598*0.0025&gt;1000,$E598*$F598*0.0025,1000)),(IF($C598="R토스",0,IF($C598="무상증자(신한)",0,"")))))))))))</f>
        <v>20</v>
      </c>
      <c r="L598" s="23">
        <f>IF($C598="OTC",ROUNDDOWN($I598*$E598*0.000909187,-1),(IF($C598="신한",ROUNDDOWN($I598*$E598*0.000036396,-1),(IF($C598="토스",$I598*$E598*0.00015,(IF($C598="US",(IF($I598*$E598*0.0025&gt;0.01,$I598*$E598*0.0025,0.01)),(IF($C598="JP",(IF($I598*$E598*0.0025&gt;1000,$I598*$E598*0.0025,1000)),(IF($C598="R토스",$I598*$E598*0.00015,(IF($C598="무상증자(신한)",ROUNDDOWN($I598*$E598*0.000036396,-1),"")))))))))))))</f>
        <v>30</v>
      </c>
      <c r="M598" s="206">
        <f>Q598*0.0025</f>
        <v>2157.5</v>
      </c>
      <c r="N598" s="34"/>
      <c r="O598" s="209">
        <f t="shared" si="236"/>
        <v>25</v>
      </c>
      <c r="P598" s="34">
        <f>$E598*$F598*$D598</f>
        <v>796000</v>
      </c>
      <c r="Q598" s="34">
        <f>$E598*$I598*$D598</f>
        <v>863000</v>
      </c>
      <c r="R598" s="7">
        <f>($N598-$K598-$L598-$M598)*$D598</f>
        <v>-2207.5</v>
      </c>
      <c r="S598" s="227">
        <f t="shared" si="237"/>
        <v>64792.5</v>
      </c>
      <c r="T598" s="249">
        <f t="shared" si="238"/>
        <v>8.1397613065326627E-2</v>
      </c>
      <c r="U598" s="38"/>
    </row>
    <row r="599" spans="2:22" s="33" customFormat="1" ht="15" customHeight="1" x14ac:dyDescent="0.4">
      <c r="B599" s="38" t="s">
        <v>322</v>
      </c>
      <c r="C599" s="6" t="s">
        <v>162</v>
      </c>
      <c r="D599" s="6"/>
      <c r="E599" s="36">
        <v>200</v>
      </c>
      <c r="F599" s="212">
        <v>16000</v>
      </c>
      <c r="G599" s="195">
        <v>43539</v>
      </c>
      <c r="H599" s="8"/>
      <c r="I599" s="212">
        <v>12000</v>
      </c>
      <c r="J599" s="8">
        <v>43564</v>
      </c>
      <c r="K599" s="7">
        <f>ROUNDDOWN(E599*F599*0.0015,-1)</f>
        <v>4800</v>
      </c>
      <c r="L599" s="7">
        <f>ROUNDDOWN(I599*E599*0.0015,-1)</f>
        <v>3600</v>
      </c>
      <c r="M599" s="196">
        <f>I599*E599*0.003</f>
        <v>7200</v>
      </c>
      <c r="N599" s="36"/>
      <c r="O599" s="191">
        <f t="shared" si="236"/>
        <v>26</v>
      </c>
      <c r="P599" s="36">
        <f t="shared" ref="P599:P610" si="247">F599*E599</f>
        <v>3200000</v>
      </c>
      <c r="Q599" s="36">
        <f t="shared" ref="Q599:Q610" si="248">I599*E599</f>
        <v>2400000</v>
      </c>
      <c r="R599" s="7">
        <f t="shared" ref="R599:R610" si="249">N599-K599-L599-M599</f>
        <v>-15600</v>
      </c>
      <c r="S599" s="227">
        <f t="shared" si="237"/>
        <v>-815600</v>
      </c>
      <c r="T599" s="248">
        <f t="shared" si="238"/>
        <v>-0.25487500000000002</v>
      </c>
      <c r="U599" s="193">
        <f t="shared" ref="U599:U610" si="250">T599*365/O599</f>
        <v>-3.5780528846153845</v>
      </c>
      <c r="V599" s="6"/>
    </row>
    <row r="600" spans="2:22" s="33" customFormat="1" ht="15" customHeight="1" x14ac:dyDescent="0.4">
      <c r="B600" s="38" t="s">
        <v>322</v>
      </c>
      <c r="C600" s="6" t="s">
        <v>162</v>
      </c>
      <c r="D600" s="6"/>
      <c r="E600" s="36">
        <v>300</v>
      </c>
      <c r="F600" s="212">
        <v>15150</v>
      </c>
      <c r="G600" s="195">
        <v>43544</v>
      </c>
      <c r="H600" s="8"/>
      <c r="I600" s="212">
        <v>12000</v>
      </c>
      <c r="J600" s="8">
        <v>43564</v>
      </c>
      <c r="K600" s="7">
        <f>ROUNDDOWN(E600*F600*0.0015,-1)</f>
        <v>6810</v>
      </c>
      <c r="L600" s="7">
        <f>ROUNDDOWN(I600*E600*0.0015,-1)</f>
        <v>5400</v>
      </c>
      <c r="M600" s="196">
        <f>I600*E600*0.003</f>
        <v>10800</v>
      </c>
      <c r="N600" s="36"/>
      <c r="O600" s="191">
        <f t="shared" si="236"/>
        <v>21</v>
      </c>
      <c r="P600" s="36">
        <f t="shared" si="247"/>
        <v>4545000</v>
      </c>
      <c r="Q600" s="36">
        <f t="shared" si="248"/>
        <v>3600000</v>
      </c>
      <c r="R600" s="7">
        <f t="shared" si="249"/>
        <v>-23010</v>
      </c>
      <c r="S600" s="227">
        <f t="shared" si="237"/>
        <v>-968010</v>
      </c>
      <c r="T600" s="248">
        <f t="shared" si="238"/>
        <v>-0.21298349834983499</v>
      </c>
      <c r="U600" s="193">
        <f t="shared" si="250"/>
        <v>-3.7018560427471319</v>
      </c>
      <c r="V600" s="6"/>
    </row>
    <row r="601" spans="2:22" s="33" customFormat="1" ht="15" customHeight="1" x14ac:dyDescent="0.4">
      <c r="B601" s="38" t="s">
        <v>322</v>
      </c>
      <c r="C601" s="6" t="s">
        <v>162</v>
      </c>
      <c r="D601" s="6"/>
      <c r="E601" s="36">
        <v>300</v>
      </c>
      <c r="F601" s="212">
        <v>13850</v>
      </c>
      <c r="G601" s="195">
        <v>43550</v>
      </c>
      <c r="H601" s="8"/>
      <c r="I601" s="212">
        <v>12000</v>
      </c>
      <c r="J601" s="8">
        <v>43564</v>
      </c>
      <c r="K601" s="7">
        <f>ROUNDDOWN(E601*F601*0.0015,-1)</f>
        <v>6230</v>
      </c>
      <c r="L601" s="7">
        <f>ROUNDDOWN(I601*E601*0.0015,-1)</f>
        <v>5400</v>
      </c>
      <c r="M601" s="196">
        <f>I601*E601*0.003</f>
        <v>10800</v>
      </c>
      <c r="N601" s="36"/>
      <c r="O601" s="191">
        <f t="shared" si="236"/>
        <v>15</v>
      </c>
      <c r="P601" s="36">
        <f t="shared" si="247"/>
        <v>4155000</v>
      </c>
      <c r="Q601" s="36">
        <f t="shared" si="248"/>
        <v>3600000</v>
      </c>
      <c r="R601" s="7">
        <f t="shared" si="249"/>
        <v>-22430</v>
      </c>
      <c r="S601" s="227">
        <f t="shared" si="237"/>
        <v>-577430</v>
      </c>
      <c r="T601" s="248">
        <f t="shared" si="238"/>
        <v>-0.13897232250300842</v>
      </c>
      <c r="U601" s="193">
        <f t="shared" si="250"/>
        <v>-3.3816598475732049</v>
      </c>
      <c r="V601" s="6"/>
    </row>
    <row r="602" spans="2:22" s="33" customFormat="1" ht="15" customHeight="1" x14ac:dyDescent="0.4">
      <c r="B602" s="38" t="s">
        <v>323</v>
      </c>
      <c r="C602" s="6" t="s">
        <v>185</v>
      </c>
      <c r="D602" s="6"/>
      <c r="E602" s="36">
        <v>10</v>
      </c>
      <c r="F602" s="212">
        <v>8080</v>
      </c>
      <c r="G602" s="195">
        <v>39213</v>
      </c>
      <c r="H602" s="8"/>
      <c r="I602" s="212">
        <v>9000</v>
      </c>
      <c r="J602" s="8">
        <v>39233</v>
      </c>
      <c r="K602" s="7">
        <f>ROUNDDOWN(E602*F602*0.005,-1)</f>
        <v>400</v>
      </c>
      <c r="L602" s="7">
        <f>ROUNDDOWN(I602*E602*0.005,-1)</f>
        <v>450</v>
      </c>
      <c r="M602" s="196">
        <f>I602*E602*0.003</f>
        <v>270</v>
      </c>
      <c r="N602" s="36"/>
      <c r="O602" s="191">
        <f t="shared" si="236"/>
        <v>21</v>
      </c>
      <c r="P602" s="36">
        <f t="shared" si="247"/>
        <v>80800</v>
      </c>
      <c r="Q602" s="36">
        <f t="shared" si="248"/>
        <v>90000</v>
      </c>
      <c r="R602" s="7">
        <f t="shared" si="249"/>
        <v>-1120</v>
      </c>
      <c r="S602" s="227">
        <f t="shared" si="237"/>
        <v>8080</v>
      </c>
      <c r="T602" s="248">
        <f t="shared" si="238"/>
        <v>0.1</v>
      </c>
      <c r="U602" s="193">
        <f t="shared" si="250"/>
        <v>1.7380952380952381</v>
      </c>
      <c r="V602" s="6"/>
    </row>
    <row r="603" spans="2:22" s="33" customFormat="1" ht="15" customHeight="1" x14ac:dyDescent="0.4">
      <c r="B603" s="38" t="s">
        <v>323</v>
      </c>
      <c r="C603" s="6" t="s">
        <v>185</v>
      </c>
      <c r="D603" s="6"/>
      <c r="E603" s="36">
        <v>10</v>
      </c>
      <c r="F603" s="212">
        <v>9800</v>
      </c>
      <c r="G603" s="195">
        <v>39371</v>
      </c>
      <c r="H603" s="8"/>
      <c r="I603" s="212">
        <v>4570</v>
      </c>
      <c r="J603" s="8">
        <v>41499</v>
      </c>
      <c r="K603" s="7">
        <f>ROUNDDOWN(E603*F603*0.005,-1)</f>
        <v>490</v>
      </c>
      <c r="L603" s="7">
        <f>ROUNDDOWN(I603*E603*0.005,-1)</f>
        <v>220</v>
      </c>
      <c r="M603" s="196">
        <f>I603*E603*0.003</f>
        <v>137.1</v>
      </c>
      <c r="N603" s="36">
        <v>1500</v>
      </c>
      <c r="O603" s="191">
        <f t="shared" si="236"/>
        <v>2129</v>
      </c>
      <c r="P603" s="36">
        <f t="shared" si="247"/>
        <v>98000</v>
      </c>
      <c r="Q603" s="36">
        <f t="shared" si="248"/>
        <v>45700</v>
      </c>
      <c r="R603" s="7">
        <f t="shared" si="249"/>
        <v>652.9</v>
      </c>
      <c r="S603" s="227">
        <f t="shared" si="237"/>
        <v>-51647.1</v>
      </c>
      <c r="T603" s="248">
        <f t="shared" si="238"/>
        <v>-0.52701122448979587</v>
      </c>
      <c r="U603" s="193">
        <f t="shared" si="250"/>
        <v>-9.0351853893271716E-2</v>
      </c>
      <c r="V603" s="6"/>
    </row>
    <row r="604" spans="2:22" s="33" customFormat="1" ht="15" customHeight="1" x14ac:dyDescent="0.4">
      <c r="B604" s="38" t="s">
        <v>323</v>
      </c>
      <c r="C604" s="6" t="s">
        <v>187</v>
      </c>
      <c r="D604" s="6"/>
      <c r="E604" s="36">
        <v>10</v>
      </c>
      <c r="F604" s="212">
        <v>3700</v>
      </c>
      <c r="G604" s="195">
        <v>39808</v>
      </c>
      <c r="H604" s="8"/>
      <c r="I604" s="212">
        <v>3930</v>
      </c>
      <c r="J604" s="8">
        <v>39828</v>
      </c>
      <c r="K604" s="7">
        <v>10</v>
      </c>
      <c r="L604" s="7">
        <v>10</v>
      </c>
      <c r="M604" s="196"/>
      <c r="N604" s="36"/>
      <c r="O604" s="191">
        <f t="shared" si="236"/>
        <v>21</v>
      </c>
      <c r="P604" s="36">
        <f t="shared" si="247"/>
        <v>37000</v>
      </c>
      <c r="Q604" s="36">
        <f t="shared" si="248"/>
        <v>39300</v>
      </c>
      <c r="R604" s="7">
        <f t="shared" si="249"/>
        <v>-20</v>
      </c>
      <c r="S604" s="227">
        <f t="shared" si="237"/>
        <v>2280</v>
      </c>
      <c r="T604" s="248">
        <f t="shared" si="238"/>
        <v>6.1621621621621624E-2</v>
      </c>
      <c r="U604" s="193">
        <f t="shared" si="250"/>
        <v>1.0710424710424711</v>
      </c>
      <c r="V604" s="6"/>
    </row>
    <row r="605" spans="2:22" ht="15" customHeight="1" x14ac:dyDescent="0.4">
      <c r="B605" s="38" t="s">
        <v>323</v>
      </c>
      <c r="C605" s="6" t="s">
        <v>187</v>
      </c>
      <c r="D605" s="6"/>
      <c r="E605" s="36">
        <v>10</v>
      </c>
      <c r="F605" s="212">
        <v>3900</v>
      </c>
      <c r="G605" s="195">
        <v>39828</v>
      </c>
      <c r="H605" s="8"/>
      <c r="I605" s="212">
        <v>4060</v>
      </c>
      <c r="J605" s="8">
        <v>39832</v>
      </c>
      <c r="K605" s="7">
        <v>10</v>
      </c>
      <c r="L605" s="7">
        <v>10</v>
      </c>
      <c r="M605" s="196"/>
      <c r="N605" s="36"/>
      <c r="O605" s="191">
        <f t="shared" si="236"/>
        <v>5</v>
      </c>
      <c r="P605" s="36">
        <f t="shared" si="247"/>
        <v>39000</v>
      </c>
      <c r="Q605" s="36">
        <f t="shared" si="248"/>
        <v>40600</v>
      </c>
      <c r="R605" s="7">
        <f t="shared" si="249"/>
        <v>-20</v>
      </c>
      <c r="S605" s="227">
        <f t="shared" si="237"/>
        <v>1580</v>
      </c>
      <c r="T605" s="248">
        <f t="shared" si="238"/>
        <v>4.0512820512820513E-2</v>
      </c>
      <c r="U605" s="193">
        <f t="shared" si="250"/>
        <v>2.9574358974358974</v>
      </c>
      <c r="V605" s="6"/>
    </row>
    <row r="606" spans="2:22" ht="15" customHeight="1" x14ac:dyDescent="0.4">
      <c r="B606" s="38" t="s">
        <v>323</v>
      </c>
      <c r="C606" s="6" t="s">
        <v>187</v>
      </c>
      <c r="D606" s="6"/>
      <c r="E606" s="36">
        <v>60</v>
      </c>
      <c r="F606" s="212">
        <v>4085</v>
      </c>
      <c r="G606" s="195">
        <v>39932</v>
      </c>
      <c r="H606" s="8"/>
      <c r="I606" s="212">
        <v>4230</v>
      </c>
      <c r="J606" s="8">
        <v>39940</v>
      </c>
      <c r="K606" s="7">
        <v>70</v>
      </c>
      <c r="L606" s="7">
        <v>70</v>
      </c>
      <c r="M606" s="196"/>
      <c r="N606" s="36"/>
      <c r="O606" s="191">
        <f t="shared" si="236"/>
        <v>9</v>
      </c>
      <c r="P606" s="36">
        <f t="shared" si="247"/>
        <v>245100</v>
      </c>
      <c r="Q606" s="36">
        <f t="shared" si="248"/>
        <v>253800</v>
      </c>
      <c r="R606" s="7">
        <f t="shared" si="249"/>
        <v>-140</v>
      </c>
      <c r="S606" s="227">
        <f t="shared" si="237"/>
        <v>8560</v>
      </c>
      <c r="T606" s="248">
        <f t="shared" si="238"/>
        <v>3.492452060383517E-2</v>
      </c>
      <c r="U606" s="193">
        <f t="shared" si="250"/>
        <v>1.416383335599982</v>
      </c>
      <c r="V606" s="6"/>
    </row>
    <row r="607" spans="2:22" ht="15" customHeight="1" x14ac:dyDescent="0.4">
      <c r="B607" s="38" t="s">
        <v>323</v>
      </c>
      <c r="C607" s="6" t="s">
        <v>187</v>
      </c>
      <c r="D607" s="6"/>
      <c r="E607" s="36">
        <v>50</v>
      </c>
      <c r="F607" s="212">
        <v>3930</v>
      </c>
      <c r="G607" s="195">
        <v>39961</v>
      </c>
      <c r="H607" s="8"/>
      <c r="I607" s="212">
        <v>8920</v>
      </c>
      <c r="J607" s="8">
        <v>40350</v>
      </c>
      <c r="K607" s="7">
        <v>50</v>
      </c>
      <c r="L607" s="7">
        <v>120</v>
      </c>
      <c r="M607" s="196"/>
      <c r="N607" s="36"/>
      <c r="O607" s="191">
        <f t="shared" si="236"/>
        <v>390</v>
      </c>
      <c r="P607" s="36">
        <f t="shared" si="247"/>
        <v>196500</v>
      </c>
      <c r="Q607" s="36">
        <f t="shared" si="248"/>
        <v>446000</v>
      </c>
      <c r="R607" s="7">
        <f t="shared" si="249"/>
        <v>-170</v>
      </c>
      <c r="S607" s="227">
        <f t="shared" si="237"/>
        <v>249330</v>
      </c>
      <c r="T607" s="248">
        <f t="shared" si="238"/>
        <v>1.268854961832061</v>
      </c>
      <c r="U607" s="193">
        <f t="shared" si="250"/>
        <v>1.1875181053043649</v>
      </c>
      <c r="V607" s="6"/>
    </row>
    <row r="608" spans="2:22" s="33" customFormat="1" ht="15" customHeight="1" x14ac:dyDescent="0.4">
      <c r="B608" s="38" t="s">
        <v>323</v>
      </c>
      <c r="C608" s="6" t="s">
        <v>162</v>
      </c>
      <c r="D608" s="6"/>
      <c r="E608" s="33">
        <v>10</v>
      </c>
      <c r="F608" s="212">
        <v>6590</v>
      </c>
      <c r="G608" s="195">
        <v>41046</v>
      </c>
      <c r="H608" s="8"/>
      <c r="I608" s="212">
        <v>7570</v>
      </c>
      <c r="J608" s="8">
        <v>41129</v>
      </c>
      <c r="K608" s="7">
        <f>ROUNDDOWN(E608*F608*0.00015,-1)</f>
        <v>0</v>
      </c>
      <c r="L608" s="7">
        <f>ROUNDDOWN(I608*E608*0.00015,-1)</f>
        <v>10</v>
      </c>
      <c r="M608" s="196">
        <f>I608*E608*0.003</f>
        <v>227.1</v>
      </c>
      <c r="N608" s="36"/>
      <c r="O608" s="191">
        <f t="shared" si="236"/>
        <v>84</v>
      </c>
      <c r="P608" s="36">
        <f t="shared" si="247"/>
        <v>65900</v>
      </c>
      <c r="Q608" s="36">
        <f t="shared" si="248"/>
        <v>75700</v>
      </c>
      <c r="R608" s="7">
        <f t="shared" si="249"/>
        <v>-237.1</v>
      </c>
      <c r="S608" s="227">
        <f t="shared" si="237"/>
        <v>9562.9</v>
      </c>
      <c r="T608" s="248">
        <f t="shared" si="238"/>
        <v>0.14511229135053111</v>
      </c>
      <c r="U608" s="9">
        <f t="shared" si="250"/>
        <v>0.63054745646361732</v>
      </c>
      <c r="V608" s="6"/>
    </row>
    <row r="609" spans="2:22" s="33" customFormat="1" ht="15" customHeight="1" x14ac:dyDescent="0.4">
      <c r="B609" s="38" t="s">
        <v>323</v>
      </c>
      <c r="C609" s="6" t="s">
        <v>187</v>
      </c>
      <c r="D609" s="6"/>
      <c r="E609" s="36">
        <v>300</v>
      </c>
      <c r="F609" s="212">
        <v>4900</v>
      </c>
      <c r="G609" s="195">
        <v>41558</v>
      </c>
      <c r="H609" s="8"/>
      <c r="I609" s="212">
        <v>5100</v>
      </c>
      <c r="J609" s="8">
        <v>41570</v>
      </c>
      <c r="K609" s="7">
        <f>ROUNDDOWN(E609*F609*0.00015,-1)</f>
        <v>220</v>
      </c>
      <c r="L609" s="7">
        <f>ROUNDDOWN(I609*E609*0.00015,-1)</f>
        <v>220</v>
      </c>
      <c r="M609" s="196">
        <f>I609*E609*0.003</f>
        <v>4590</v>
      </c>
      <c r="N609" s="36"/>
      <c r="O609" s="191">
        <f t="shared" si="236"/>
        <v>13</v>
      </c>
      <c r="P609" s="36">
        <f t="shared" si="247"/>
        <v>1470000</v>
      </c>
      <c r="Q609" s="36">
        <f t="shared" si="248"/>
        <v>1530000</v>
      </c>
      <c r="R609" s="7">
        <f t="shared" si="249"/>
        <v>-5030</v>
      </c>
      <c r="S609" s="227">
        <f t="shared" si="237"/>
        <v>54970</v>
      </c>
      <c r="T609" s="248">
        <f t="shared" si="238"/>
        <v>3.7394557823129254E-2</v>
      </c>
      <c r="U609" s="9">
        <f t="shared" si="250"/>
        <v>1.0499241234955521</v>
      </c>
      <c r="V609" s="6"/>
    </row>
    <row r="610" spans="2:22" s="33" customFormat="1" ht="15" customHeight="1" x14ac:dyDescent="0.4">
      <c r="B610" s="38" t="s">
        <v>324</v>
      </c>
      <c r="C610" s="6" t="s">
        <v>162</v>
      </c>
      <c r="D610" s="6"/>
      <c r="E610" s="36">
        <v>30</v>
      </c>
      <c r="F610" s="212">
        <v>22800</v>
      </c>
      <c r="G610" s="195">
        <v>43362</v>
      </c>
      <c r="H610" s="8"/>
      <c r="I610" s="212">
        <v>24100</v>
      </c>
      <c r="J610" s="8">
        <v>43412</v>
      </c>
      <c r="K610" s="7">
        <f>ROUNDDOWN(E610*F610*0.0015,-1)</f>
        <v>1020</v>
      </c>
      <c r="L610" s="7">
        <f>ROUNDDOWN(I610*E610*0.0015,-1)</f>
        <v>1080</v>
      </c>
      <c r="M610" s="196">
        <f>I610*E610*0.003</f>
        <v>2169</v>
      </c>
      <c r="N610" s="36"/>
      <c r="O610" s="191">
        <f t="shared" si="236"/>
        <v>51</v>
      </c>
      <c r="P610" s="36">
        <f t="shared" si="247"/>
        <v>684000</v>
      </c>
      <c r="Q610" s="36">
        <f t="shared" si="248"/>
        <v>723000</v>
      </c>
      <c r="R610" s="7">
        <f t="shared" si="249"/>
        <v>-4269</v>
      </c>
      <c r="S610" s="227">
        <f t="shared" si="237"/>
        <v>34731</v>
      </c>
      <c r="T610" s="248">
        <f t="shared" si="238"/>
        <v>5.0776315789473683E-2</v>
      </c>
      <c r="U610" s="9">
        <f t="shared" si="250"/>
        <v>0.36339912280701753</v>
      </c>
      <c r="V610" s="6"/>
    </row>
    <row r="611" spans="2:22" s="33" customFormat="1" ht="15" customHeight="1" x14ac:dyDescent="0.4">
      <c r="B611" s="38" t="s">
        <v>325</v>
      </c>
      <c r="C611" s="6" t="s">
        <v>160</v>
      </c>
      <c r="D611" s="6">
        <f>IF(OR($C611="신한",$C611="OTC",$C611="무상증자(신한)",$C611="토스",$C611="R토스"),1,"확인")</f>
        <v>1</v>
      </c>
      <c r="E611" s="34">
        <v>200</v>
      </c>
      <c r="F611" s="212">
        <v>15750</v>
      </c>
      <c r="G611" s="195">
        <v>44034</v>
      </c>
      <c r="H611" s="8"/>
      <c r="I611" s="212">
        <v>16350</v>
      </c>
      <c r="J611" s="8">
        <v>44179</v>
      </c>
      <c r="K611" s="23">
        <f t="shared" ref="K611:K623" si="251">IF($C611="OTC",ROUNDDOWN($E611*$F611*0.000909187,-1),(IF($C611="신한",ROUNDDOWN($E611*$F611*0.000036396,-1),(IF($C611="토스",$E611*$F611*0.00015,(IF($C611="US",(IF($E611*$F611*0.0025&gt;0.01,$E611*$F611*0.0025,0.01)),IF($C611="JP",(IF($E611*$F611*0.0025&gt;1000,$E611*$F611*0.0025,1000)),(IF($C611="R토스",0,IF($C611="무상증자(신한)",0,"")))))))))))</f>
        <v>110</v>
      </c>
      <c r="L611" s="23">
        <v>0</v>
      </c>
      <c r="M611" s="206">
        <f>Q611*0.0025</f>
        <v>8175</v>
      </c>
      <c r="N611" s="34"/>
      <c r="O611" s="209">
        <f t="shared" ref="O611:O638" si="252">J611-G611+1</f>
        <v>146</v>
      </c>
      <c r="P611" s="34">
        <f t="shared" ref="P611:P623" si="253">$E611*$F611*$D611</f>
        <v>3150000</v>
      </c>
      <c r="Q611" s="34">
        <f t="shared" ref="Q611:Q623" si="254">$E611*$I611*$D611</f>
        <v>3270000</v>
      </c>
      <c r="R611" s="7">
        <f t="shared" ref="R611:R623" si="255">($N611-$K611-$L611-$M611)*$D611</f>
        <v>-8285</v>
      </c>
      <c r="S611" s="227">
        <f t="shared" ref="S611:S642" si="256">IF(Q611=0,0,Q611-P611+R611)</f>
        <v>111715</v>
      </c>
      <c r="T611" s="249">
        <f t="shared" ref="T611:T642" si="257">S611/P611</f>
        <v>3.5465079365079366E-2</v>
      </c>
    </row>
    <row r="612" spans="2:22" s="33" customFormat="1" ht="15" customHeight="1" x14ac:dyDescent="0.4">
      <c r="B612" s="38" t="s">
        <v>326</v>
      </c>
      <c r="C612" s="6" t="s">
        <v>160</v>
      </c>
      <c r="D612" s="6">
        <f>IF(OR($C612="신한",$C612="OTC",$C612="무상증자(신한)",$C612="토스",$C612="R토스"),1,"확인")</f>
        <v>1</v>
      </c>
      <c r="E612" s="34">
        <v>20</v>
      </c>
      <c r="F612" s="212">
        <v>15700</v>
      </c>
      <c r="G612" s="195">
        <v>45919</v>
      </c>
      <c r="H612" s="8"/>
      <c r="I612" s="212">
        <v>21100</v>
      </c>
      <c r="J612" s="8">
        <v>45960</v>
      </c>
      <c r="K612" s="23">
        <f t="shared" si="251"/>
        <v>10</v>
      </c>
      <c r="L612" s="23">
        <f t="shared" ref="L612:L623" si="258">IF($C612="OTC",ROUNDDOWN($I612*$E612*0.000909187,-1),(IF($C612="신한",ROUNDDOWN($I612*$E612*0.000036396,-1),(IF($C612="토스",$I612*$E612*0.00015,(IF($C612="US",(IF($I612*$E612*0.0025&gt;0.01,$I612*$E612*0.0025,0.01)),(IF($C612="JP",(IF($I612*$E612*0.0025&gt;1000,$I612*$E612*0.0025,1000)),(IF($C612="R토스",$I612*$E612*0.00015,(IF($C612="무상증자(신한)",ROUNDDOWN($I612*$E612*0.000036396,-1),"")))))))))))))</f>
        <v>10</v>
      </c>
      <c r="M612" s="206">
        <f t="shared" ref="M612:M623" si="259">Q612*0.0015</f>
        <v>633</v>
      </c>
      <c r="N612" s="34"/>
      <c r="O612" s="209">
        <f t="shared" si="252"/>
        <v>42</v>
      </c>
      <c r="P612" s="34">
        <f t="shared" si="253"/>
        <v>314000</v>
      </c>
      <c r="Q612" s="34">
        <f t="shared" si="254"/>
        <v>422000</v>
      </c>
      <c r="R612" s="7">
        <f t="shared" si="255"/>
        <v>-653</v>
      </c>
      <c r="S612" s="227">
        <f t="shared" si="256"/>
        <v>107347</v>
      </c>
      <c r="T612" s="249">
        <f t="shared" si="257"/>
        <v>0.34186942675159238</v>
      </c>
    </row>
    <row r="613" spans="2:22" s="33" customFormat="1" ht="15" customHeight="1" x14ac:dyDescent="0.4">
      <c r="B613" s="38" t="s">
        <v>326</v>
      </c>
      <c r="C613" s="6" t="s">
        <v>160</v>
      </c>
      <c r="D613" s="6">
        <v>1</v>
      </c>
      <c r="E613" s="34">
        <v>30</v>
      </c>
      <c r="F613" s="212">
        <v>15450</v>
      </c>
      <c r="G613" s="195">
        <v>45919</v>
      </c>
      <c r="H613" s="8"/>
      <c r="I613" s="212">
        <v>21100</v>
      </c>
      <c r="J613" s="8">
        <v>45960</v>
      </c>
      <c r="K613" s="23">
        <f t="shared" si="251"/>
        <v>10</v>
      </c>
      <c r="L613" s="23">
        <f t="shared" si="258"/>
        <v>20</v>
      </c>
      <c r="M613" s="206">
        <f t="shared" si="259"/>
        <v>949.5</v>
      </c>
      <c r="N613" s="34"/>
      <c r="O613" s="209">
        <f t="shared" si="252"/>
        <v>42</v>
      </c>
      <c r="P613" s="34">
        <f t="shared" si="253"/>
        <v>463500</v>
      </c>
      <c r="Q613" s="34">
        <f t="shared" si="254"/>
        <v>633000</v>
      </c>
      <c r="R613" s="7">
        <f t="shared" si="255"/>
        <v>-979.5</v>
      </c>
      <c r="S613" s="227">
        <f t="shared" si="256"/>
        <v>168520.5</v>
      </c>
      <c r="T613" s="249">
        <f t="shared" si="257"/>
        <v>0.36358252427184468</v>
      </c>
    </row>
    <row r="614" spans="2:22" s="33" customFormat="1" ht="15" customHeight="1" x14ac:dyDescent="0.4">
      <c r="B614" s="38" t="s">
        <v>326</v>
      </c>
      <c r="C614" s="6" t="s">
        <v>160</v>
      </c>
      <c r="D614" s="6">
        <v>1</v>
      </c>
      <c r="E614" s="34">
        <v>100</v>
      </c>
      <c r="F614" s="212">
        <v>16650</v>
      </c>
      <c r="G614" s="195">
        <v>45919</v>
      </c>
      <c r="H614" s="8"/>
      <c r="I614" s="212">
        <v>21100</v>
      </c>
      <c r="J614" s="8">
        <v>45960</v>
      </c>
      <c r="K614" s="23">
        <f t="shared" si="251"/>
        <v>60</v>
      </c>
      <c r="L614" s="23">
        <f t="shared" si="258"/>
        <v>70</v>
      </c>
      <c r="M614" s="206">
        <f t="shared" si="259"/>
        <v>3165</v>
      </c>
      <c r="N614" s="34"/>
      <c r="O614" s="209">
        <f t="shared" si="252"/>
        <v>42</v>
      </c>
      <c r="P614" s="34">
        <f t="shared" si="253"/>
        <v>1665000</v>
      </c>
      <c r="Q614" s="34">
        <f t="shared" si="254"/>
        <v>2110000</v>
      </c>
      <c r="R614" s="7">
        <f t="shared" si="255"/>
        <v>-3295</v>
      </c>
      <c r="S614" s="227">
        <f t="shared" si="256"/>
        <v>441705</v>
      </c>
      <c r="T614" s="249">
        <f t="shared" si="257"/>
        <v>0.26528828828828827</v>
      </c>
    </row>
    <row r="615" spans="2:22" s="33" customFormat="1" ht="15" customHeight="1" x14ac:dyDescent="0.4">
      <c r="B615" s="38" t="s">
        <v>326</v>
      </c>
      <c r="C615" s="6" t="s">
        <v>160</v>
      </c>
      <c r="D615" s="6">
        <v>1</v>
      </c>
      <c r="E615" s="34">
        <v>50</v>
      </c>
      <c r="F615" s="212">
        <v>16600</v>
      </c>
      <c r="G615" s="195">
        <v>45919</v>
      </c>
      <c r="H615" s="8"/>
      <c r="I615" s="212">
        <v>21100</v>
      </c>
      <c r="J615" s="8">
        <v>45960</v>
      </c>
      <c r="K615" s="23">
        <f t="shared" si="251"/>
        <v>30</v>
      </c>
      <c r="L615" s="23">
        <f t="shared" si="258"/>
        <v>30</v>
      </c>
      <c r="M615" s="206">
        <f t="shared" si="259"/>
        <v>1582.5</v>
      </c>
      <c r="N615" s="34"/>
      <c r="O615" s="209">
        <f t="shared" si="252"/>
        <v>42</v>
      </c>
      <c r="P615" s="34">
        <f t="shared" si="253"/>
        <v>830000</v>
      </c>
      <c r="Q615" s="34">
        <f t="shared" si="254"/>
        <v>1055000</v>
      </c>
      <c r="R615" s="7">
        <f t="shared" si="255"/>
        <v>-1642.5</v>
      </c>
      <c r="S615" s="227">
        <f t="shared" si="256"/>
        <v>223357.5</v>
      </c>
      <c r="T615" s="249">
        <f t="shared" si="257"/>
        <v>0.269105421686747</v>
      </c>
    </row>
    <row r="616" spans="2:22" s="33" customFormat="1" ht="15" customHeight="1" x14ac:dyDescent="0.4">
      <c r="B616" s="38" t="s">
        <v>326</v>
      </c>
      <c r="C616" s="6" t="s">
        <v>160</v>
      </c>
      <c r="D616" s="6">
        <v>1</v>
      </c>
      <c r="E616" s="34">
        <v>20</v>
      </c>
      <c r="F616" s="212">
        <v>16650</v>
      </c>
      <c r="G616" s="195">
        <v>45919</v>
      </c>
      <c r="H616" s="8"/>
      <c r="I616" s="212">
        <v>21100</v>
      </c>
      <c r="J616" s="8">
        <v>45960</v>
      </c>
      <c r="K616" s="23">
        <f t="shared" si="251"/>
        <v>10</v>
      </c>
      <c r="L616" s="23">
        <f t="shared" si="258"/>
        <v>10</v>
      </c>
      <c r="M616" s="206">
        <f t="shared" si="259"/>
        <v>633</v>
      </c>
      <c r="N616" s="34"/>
      <c r="O616" s="209">
        <f t="shared" si="252"/>
        <v>42</v>
      </c>
      <c r="P616" s="34">
        <f t="shared" si="253"/>
        <v>333000</v>
      </c>
      <c r="Q616" s="34">
        <f t="shared" si="254"/>
        <v>422000</v>
      </c>
      <c r="R616" s="7">
        <f t="shared" si="255"/>
        <v>-653</v>
      </c>
      <c r="S616" s="227">
        <f t="shared" si="256"/>
        <v>88347</v>
      </c>
      <c r="T616" s="249">
        <f t="shared" si="257"/>
        <v>0.26530630630630631</v>
      </c>
    </row>
    <row r="617" spans="2:22" s="33" customFormat="1" ht="15" customHeight="1" x14ac:dyDescent="0.4">
      <c r="B617" s="38" t="s">
        <v>326</v>
      </c>
      <c r="C617" s="6" t="s">
        <v>160</v>
      </c>
      <c r="D617" s="6">
        <v>1</v>
      </c>
      <c r="E617" s="34">
        <v>20</v>
      </c>
      <c r="F617" s="212">
        <v>16700</v>
      </c>
      <c r="G617" s="195">
        <v>45919</v>
      </c>
      <c r="H617" s="8"/>
      <c r="I617" s="212">
        <v>21100</v>
      </c>
      <c r="J617" s="8">
        <v>45960</v>
      </c>
      <c r="K617" s="23">
        <f t="shared" si="251"/>
        <v>10</v>
      </c>
      <c r="L617" s="23">
        <f t="shared" si="258"/>
        <v>10</v>
      </c>
      <c r="M617" s="206">
        <f t="shared" si="259"/>
        <v>633</v>
      </c>
      <c r="N617" s="34"/>
      <c r="O617" s="209">
        <f t="shared" si="252"/>
        <v>42</v>
      </c>
      <c r="P617" s="34">
        <f t="shared" si="253"/>
        <v>334000</v>
      </c>
      <c r="Q617" s="34">
        <f t="shared" si="254"/>
        <v>422000</v>
      </c>
      <c r="R617" s="7">
        <f t="shared" si="255"/>
        <v>-653</v>
      </c>
      <c r="S617" s="227">
        <f t="shared" si="256"/>
        <v>87347</v>
      </c>
      <c r="T617" s="249">
        <f t="shared" si="257"/>
        <v>0.26151796407185629</v>
      </c>
    </row>
    <row r="618" spans="2:22" s="33" customFormat="1" ht="15" customHeight="1" x14ac:dyDescent="0.4">
      <c r="B618" s="38" t="s">
        <v>326</v>
      </c>
      <c r="C618" s="6" t="s">
        <v>160</v>
      </c>
      <c r="D618" s="6">
        <v>1</v>
      </c>
      <c r="E618" s="34">
        <v>10</v>
      </c>
      <c r="F618" s="212">
        <v>16750</v>
      </c>
      <c r="G618" s="195">
        <v>45919</v>
      </c>
      <c r="H618" s="8"/>
      <c r="I618" s="212">
        <v>21100</v>
      </c>
      <c r="J618" s="8">
        <v>45960</v>
      </c>
      <c r="K618" s="23">
        <f t="shared" si="251"/>
        <v>0</v>
      </c>
      <c r="L618" s="23">
        <f t="shared" si="258"/>
        <v>0</v>
      </c>
      <c r="M618" s="206">
        <f t="shared" si="259"/>
        <v>316.5</v>
      </c>
      <c r="N618" s="34"/>
      <c r="O618" s="209">
        <f t="shared" si="252"/>
        <v>42</v>
      </c>
      <c r="P618" s="34">
        <f t="shared" si="253"/>
        <v>167500</v>
      </c>
      <c r="Q618" s="34">
        <f t="shared" si="254"/>
        <v>211000</v>
      </c>
      <c r="R618" s="7">
        <f t="shared" si="255"/>
        <v>-316.5</v>
      </c>
      <c r="S618" s="227">
        <f t="shared" si="256"/>
        <v>43183.5</v>
      </c>
      <c r="T618" s="249">
        <f t="shared" si="257"/>
        <v>0.25781194029850746</v>
      </c>
    </row>
    <row r="619" spans="2:22" s="33" customFormat="1" ht="15" customHeight="1" x14ac:dyDescent="0.4">
      <c r="B619" s="38" t="s">
        <v>326</v>
      </c>
      <c r="C619" s="6" t="s">
        <v>160</v>
      </c>
      <c r="D619" s="6">
        <v>1</v>
      </c>
      <c r="E619" s="34">
        <v>10</v>
      </c>
      <c r="F619" s="212">
        <v>16800</v>
      </c>
      <c r="G619" s="195">
        <v>45919</v>
      </c>
      <c r="H619" s="8"/>
      <c r="I619" s="212">
        <v>21100</v>
      </c>
      <c r="J619" s="8">
        <v>45960</v>
      </c>
      <c r="K619" s="23">
        <f t="shared" si="251"/>
        <v>0</v>
      </c>
      <c r="L619" s="23">
        <f t="shared" si="258"/>
        <v>0</v>
      </c>
      <c r="M619" s="206">
        <f t="shared" si="259"/>
        <v>316.5</v>
      </c>
      <c r="N619" s="34"/>
      <c r="O619" s="209">
        <f t="shared" si="252"/>
        <v>42</v>
      </c>
      <c r="P619" s="34">
        <f t="shared" si="253"/>
        <v>168000</v>
      </c>
      <c r="Q619" s="34">
        <f t="shared" si="254"/>
        <v>211000</v>
      </c>
      <c r="R619" s="7">
        <f t="shared" si="255"/>
        <v>-316.5</v>
      </c>
      <c r="S619" s="227">
        <f t="shared" si="256"/>
        <v>42683.5</v>
      </c>
      <c r="T619" s="249">
        <f t="shared" si="257"/>
        <v>0.25406845238095238</v>
      </c>
    </row>
    <row r="620" spans="2:22" ht="15" customHeight="1" x14ac:dyDescent="0.4">
      <c r="B620" s="38" t="s">
        <v>326</v>
      </c>
      <c r="C620" s="6" t="s">
        <v>160</v>
      </c>
      <c r="D620" s="6">
        <v>1</v>
      </c>
      <c r="E620" s="34">
        <v>10</v>
      </c>
      <c r="F620" s="212">
        <v>16850</v>
      </c>
      <c r="G620" s="195">
        <v>45919</v>
      </c>
      <c r="H620" s="8"/>
      <c r="I620" s="212">
        <v>21100</v>
      </c>
      <c r="J620" s="8">
        <v>45960</v>
      </c>
      <c r="K620" s="23">
        <f t="shared" si="251"/>
        <v>0</v>
      </c>
      <c r="L620" s="23">
        <f t="shared" si="258"/>
        <v>0</v>
      </c>
      <c r="M620" s="206">
        <f t="shared" si="259"/>
        <v>316.5</v>
      </c>
      <c r="N620" s="34"/>
      <c r="O620" s="209">
        <f t="shared" si="252"/>
        <v>42</v>
      </c>
      <c r="P620" s="34">
        <f t="shared" si="253"/>
        <v>168500</v>
      </c>
      <c r="Q620" s="34">
        <f t="shared" si="254"/>
        <v>211000</v>
      </c>
      <c r="R620" s="7">
        <f t="shared" si="255"/>
        <v>-316.5</v>
      </c>
      <c r="S620" s="227">
        <f t="shared" si="256"/>
        <v>42183.5</v>
      </c>
      <c r="T620" s="249">
        <f t="shared" si="257"/>
        <v>0.25034718100890208</v>
      </c>
      <c r="U620" s="38"/>
      <c r="V620" s="33"/>
    </row>
    <row r="621" spans="2:22" ht="15" customHeight="1" x14ac:dyDescent="0.4">
      <c r="B621" s="38" t="s">
        <v>326</v>
      </c>
      <c r="C621" s="6" t="s">
        <v>160</v>
      </c>
      <c r="D621" s="6">
        <v>1</v>
      </c>
      <c r="E621" s="34">
        <v>20</v>
      </c>
      <c r="F621" s="212">
        <v>16470</v>
      </c>
      <c r="G621" s="195">
        <v>45922</v>
      </c>
      <c r="H621" s="8"/>
      <c r="I621" s="212">
        <v>21100</v>
      </c>
      <c r="J621" s="8">
        <v>45960</v>
      </c>
      <c r="K621" s="23">
        <f t="shared" si="251"/>
        <v>10</v>
      </c>
      <c r="L621" s="23">
        <f t="shared" si="258"/>
        <v>10</v>
      </c>
      <c r="M621" s="206">
        <f t="shared" si="259"/>
        <v>633</v>
      </c>
      <c r="N621" s="34"/>
      <c r="O621" s="209">
        <f t="shared" si="252"/>
        <v>39</v>
      </c>
      <c r="P621" s="34">
        <f t="shared" si="253"/>
        <v>329400</v>
      </c>
      <c r="Q621" s="34">
        <f t="shared" si="254"/>
        <v>422000</v>
      </c>
      <c r="R621" s="7">
        <f t="shared" si="255"/>
        <v>-653</v>
      </c>
      <c r="S621" s="227">
        <f t="shared" si="256"/>
        <v>91947</v>
      </c>
      <c r="T621" s="249">
        <f t="shared" si="257"/>
        <v>0.27913479052823315</v>
      </c>
      <c r="U621" s="38"/>
      <c r="V621" s="33"/>
    </row>
    <row r="622" spans="2:22" s="33" customFormat="1" ht="15" customHeight="1" x14ac:dyDescent="0.4">
      <c r="B622" s="38" t="s">
        <v>326</v>
      </c>
      <c r="C622" s="6" t="s">
        <v>160</v>
      </c>
      <c r="D622" s="6">
        <v>1</v>
      </c>
      <c r="E622" s="34">
        <v>10</v>
      </c>
      <c r="F622" s="212">
        <v>16050</v>
      </c>
      <c r="G622" s="195">
        <v>45922</v>
      </c>
      <c r="H622" s="8"/>
      <c r="I622" s="212">
        <v>21100</v>
      </c>
      <c r="J622" s="8">
        <v>45960</v>
      </c>
      <c r="K622" s="23">
        <f t="shared" si="251"/>
        <v>0</v>
      </c>
      <c r="L622" s="23">
        <f t="shared" si="258"/>
        <v>0</v>
      </c>
      <c r="M622" s="206">
        <f t="shared" si="259"/>
        <v>316.5</v>
      </c>
      <c r="N622" s="34"/>
      <c r="O622" s="209">
        <f t="shared" si="252"/>
        <v>39</v>
      </c>
      <c r="P622" s="34">
        <f t="shared" si="253"/>
        <v>160500</v>
      </c>
      <c r="Q622" s="34">
        <f t="shared" si="254"/>
        <v>211000</v>
      </c>
      <c r="R622" s="7">
        <f t="shared" si="255"/>
        <v>-316.5</v>
      </c>
      <c r="S622" s="227">
        <f t="shared" si="256"/>
        <v>50183.5</v>
      </c>
      <c r="T622" s="249">
        <f t="shared" si="257"/>
        <v>0.31266978193146416</v>
      </c>
    </row>
    <row r="623" spans="2:22" ht="15" customHeight="1" x14ac:dyDescent="0.4">
      <c r="B623" s="38" t="s">
        <v>326</v>
      </c>
      <c r="C623" s="6" t="s">
        <v>160</v>
      </c>
      <c r="D623" s="6">
        <v>1</v>
      </c>
      <c r="E623" s="34">
        <v>20</v>
      </c>
      <c r="F623" s="212">
        <v>15400</v>
      </c>
      <c r="G623" s="195">
        <v>45932</v>
      </c>
      <c r="H623" s="8"/>
      <c r="I623" s="212">
        <v>21100</v>
      </c>
      <c r="J623" s="8">
        <v>45960</v>
      </c>
      <c r="K623" s="23">
        <f t="shared" si="251"/>
        <v>10</v>
      </c>
      <c r="L623" s="23">
        <f t="shared" si="258"/>
        <v>10</v>
      </c>
      <c r="M623" s="206">
        <f t="shared" si="259"/>
        <v>633</v>
      </c>
      <c r="N623" s="34"/>
      <c r="O623" s="209">
        <f t="shared" si="252"/>
        <v>29</v>
      </c>
      <c r="P623" s="34">
        <f t="shared" si="253"/>
        <v>308000</v>
      </c>
      <c r="Q623" s="34">
        <f t="shared" si="254"/>
        <v>422000</v>
      </c>
      <c r="R623" s="7">
        <f t="shared" si="255"/>
        <v>-653</v>
      </c>
      <c r="S623" s="227">
        <f t="shared" si="256"/>
        <v>113347</v>
      </c>
      <c r="T623" s="249">
        <f t="shared" si="257"/>
        <v>0.36800974025974026</v>
      </c>
      <c r="U623" s="38"/>
      <c r="V623" s="33"/>
    </row>
    <row r="624" spans="2:22" ht="15" customHeight="1" x14ac:dyDescent="0.4">
      <c r="B624" s="38" t="s">
        <v>327</v>
      </c>
      <c r="C624" s="6" t="s">
        <v>162</v>
      </c>
      <c r="D624" s="6"/>
      <c r="E624" s="36">
        <v>100</v>
      </c>
      <c r="F624" s="212">
        <v>38600</v>
      </c>
      <c r="G624" s="195">
        <v>43375</v>
      </c>
      <c r="H624" s="8"/>
      <c r="I624" s="212">
        <v>34000</v>
      </c>
      <c r="J624" s="8">
        <v>43564</v>
      </c>
      <c r="K624" s="7">
        <f>ROUNDDOWN(E624*F624*0.0015,-1)</f>
        <v>5790</v>
      </c>
      <c r="L624" s="7">
        <f>ROUNDDOWN(I624*E624*0.0015,-1)</f>
        <v>5100</v>
      </c>
      <c r="M624" s="196">
        <f>I624*E624*0.003</f>
        <v>10200</v>
      </c>
      <c r="N624" s="36">
        <v>101520</v>
      </c>
      <c r="O624" s="191">
        <f t="shared" si="252"/>
        <v>190</v>
      </c>
      <c r="P624" s="36">
        <f>F624*E624</f>
        <v>3860000</v>
      </c>
      <c r="Q624" s="36">
        <f>I624*E624</f>
        <v>3400000</v>
      </c>
      <c r="R624" s="7">
        <f>N624-K624-L624-M624</f>
        <v>80430</v>
      </c>
      <c r="S624" s="227">
        <f t="shared" si="256"/>
        <v>-379570</v>
      </c>
      <c r="T624" s="248">
        <f t="shared" si="257"/>
        <v>-9.8334196891191716E-2</v>
      </c>
      <c r="U624" s="193">
        <f>T624*365/O624</f>
        <v>-0.1889051677120262</v>
      </c>
      <c r="V624" s="6"/>
    </row>
    <row r="625" spans="2:22" ht="15" customHeight="1" x14ac:dyDescent="0.4">
      <c r="B625" s="38" t="s">
        <v>328</v>
      </c>
      <c r="C625" s="6" t="s">
        <v>187</v>
      </c>
      <c r="D625" s="6"/>
      <c r="E625" s="36">
        <v>400</v>
      </c>
      <c r="F625" s="212">
        <v>4530</v>
      </c>
      <c r="G625" s="195">
        <v>42479</v>
      </c>
      <c r="H625" s="8"/>
      <c r="I625" s="212">
        <v>3200</v>
      </c>
      <c r="J625" s="8">
        <v>42600</v>
      </c>
      <c r="K625" s="7">
        <f>ROUNDDOWN(E625*F625*0.00015,-1)</f>
        <v>270</v>
      </c>
      <c r="L625" s="7">
        <f>ROUNDDOWN(I625*E625*0.0015,-1)</f>
        <v>1920</v>
      </c>
      <c r="M625" s="196">
        <f>I625*E625*0.003</f>
        <v>3840</v>
      </c>
      <c r="N625" s="36">
        <v>-1000</v>
      </c>
      <c r="O625" s="191">
        <f t="shared" si="252"/>
        <v>122</v>
      </c>
      <c r="P625" s="36">
        <f>F625*E625</f>
        <v>1812000</v>
      </c>
      <c r="Q625" s="36">
        <f>I625*E625</f>
        <v>1280000</v>
      </c>
      <c r="R625" s="7">
        <f>N625-K625-L625-M625</f>
        <v>-7030</v>
      </c>
      <c r="S625" s="227">
        <f t="shared" si="256"/>
        <v>-539030</v>
      </c>
      <c r="T625" s="248">
        <f t="shared" si="257"/>
        <v>-0.29747792494481234</v>
      </c>
      <c r="U625" s="193">
        <f>T625*365/O625</f>
        <v>-0.88999543118734847</v>
      </c>
      <c r="V625" s="6"/>
    </row>
    <row r="626" spans="2:22" ht="15" customHeight="1" x14ac:dyDescent="0.4">
      <c r="B626" s="38" t="s">
        <v>329</v>
      </c>
      <c r="C626" s="6" t="s">
        <v>160</v>
      </c>
      <c r="D626" s="6">
        <v>1</v>
      </c>
      <c r="E626" s="34">
        <v>1</v>
      </c>
      <c r="F626" s="212">
        <v>19500</v>
      </c>
      <c r="G626" s="195">
        <v>46007</v>
      </c>
      <c r="H626" s="8" t="s">
        <v>330</v>
      </c>
      <c r="I626" s="212">
        <v>48550</v>
      </c>
      <c r="J626" s="8">
        <v>46007</v>
      </c>
      <c r="K626" s="23">
        <f>IF($C626="OTC",ROUNDDOWN($E626*$F626*0.000909187,-1),(IF($C626="신한",ROUNDDOWN($E626*$F626*0.000036396,-1),(IF($C626="토스",$E626*$F626*0.00015,(IF($C626="US",(IF($E626*$F626*0.0025&gt;0.01,$E626*$F626*0.0025,0.01)),IF($C626="JP",(IF($E626*$F626*0.0025&gt;1000,$E626*$F626*0.0025,1000)),(IF($C626="R토스",0,IF($C626="무상증자(신한)",0,"")))))))))))</f>
        <v>0</v>
      </c>
      <c r="L626" s="23">
        <f>IF($C626="OTC",ROUNDDOWN($I626*$E626*0.000909187,-1),(IF($C626="신한",ROUNDDOWN($I626*$E626*0.000036396,-1),(IF($C626="토스",$I626*$E626*0.00015,(IF($C626="US",(IF($I626*$E626*0.0025&gt;0.01,$I626*$E626*0.0025,0.01)),(IF($C626="JP",(IF($I626*$E626*0.0025&gt;1000,$I626*$E626*0.0025,1000)),(IF($C626="R토스",$I626*$E626*0.00015,(IF($C626="무상증자(신한)",ROUNDDOWN($I626*$E626*0.000036396,-1),"")))))))))))))</f>
        <v>0</v>
      </c>
      <c r="M626" s="206">
        <f>Q626*0.0015</f>
        <v>72.825000000000003</v>
      </c>
      <c r="N626" s="34"/>
      <c r="O626" s="209">
        <f t="shared" si="252"/>
        <v>1</v>
      </c>
      <c r="P626" s="34">
        <f>$E626*$F626*$D626</f>
        <v>19500</v>
      </c>
      <c r="Q626" s="34">
        <f>$E626*$I626*$D626</f>
        <v>48550</v>
      </c>
      <c r="R626" s="7">
        <f>($N626-$K626-$L626-$M626)*$D626</f>
        <v>-72.825000000000003</v>
      </c>
      <c r="S626" s="227">
        <f t="shared" si="256"/>
        <v>28977.174999999999</v>
      </c>
      <c r="T626" s="249">
        <f t="shared" si="257"/>
        <v>1.4860089743589744</v>
      </c>
      <c r="U626" s="38"/>
      <c r="V626" s="33"/>
    </row>
    <row r="627" spans="2:22" ht="15" customHeight="1" x14ac:dyDescent="0.4">
      <c r="B627" s="198" t="s">
        <v>331</v>
      </c>
      <c r="C627" s="6" t="s">
        <v>162</v>
      </c>
      <c r="D627" s="15"/>
      <c r="E627" s="36">
        <v>150</v>
      </c>
      <c r="F627" s="212">
        <v>6640</v>
      </c>
      <c r="G627" s="195">
        <v>43619</v>
      </c>
      <c r="H627" s="8"/>
      <c r="I627" s="212">
        <v>7670</v>
      </c>
      <c r="J627" s="8">
        <v>43630</v>
      </c>
      <c r="K627" s="7">
        <f>ROUNDDOWN(E627*F627*0.0015,-1)</f>
        <v>1490</v>
      </c>
      <c r="L627" s="7">
        <f>ROUNDDOWN(I627*E627*0.0015,-1)</f>
        <v>1720</v>
      </c>
      <c r="M627" s="196">
        <f>ROUNDDOWN(I627*E627*0.0025, )</f>
        <v>2876</v>
      </c>
      <c r="N627" s="36"/>
      <c r="O627" s="191">
        <f t="shared" si="252"/>
        <v>12</v>
      </c>
      <c r="P627" s="36">
        <f>F627*E627</f>
        <v>996000</v>
      </c>
      <c r="Q627" s="36">
        <f>I627*E627</f>
        <v>1150500</v>
      </c>
      <c r="R627" s="7">
        <f>N627-K627-L627-M627</f>
        <v>-6086</v>
      </c>
      <c r="S627" s="227">
        <f t="shared" si="256"/>
        <v>148414</v>
      </c>
      <c r="T627" s="248">
        <f t="shared" si="257"/>
        <v>0.14901004016064257</v>
      </c>
      <c r="U627" s="193">
        <f>T627*365/O627</f>
        <v>4.532388721552878</v>
      </c>
      <c r="V627" s="6"/>
    </row>
    <row r="628" spans="2:22" ht="15" customHeight="1" x14ac:dyDescent="0.4">
      <c r="B628" s="38" t="s">
        <v>332</v>
      </c>
      <c r="C628" s="6" t="s">
        <v>160</v>
      </c>
      <c r="D628" s="6">
        <f>IF(OR($C628="신한",$C628="OTC",$C628="무상증자(신한)",$C628="토스",$C628="R토스"),1,"확인")</f>
        <v>1</v>
      </c>
      <c r="E628" s="34">
        <v>5</v>
      </c>
      <c r="F628" s="212">
        <v>293000</v>
      </c>
      <c r="G628" s="195">
        <v>44020</v>
      </c>
      <c r="H628" s="8"/>
      <c r="I628" s="212">
        <v>192000</v>
      </c>
      <c r="J628" s="8">
        <v>44035</v>
      </c>
      <c r="K628" s="23">
        <f>IF($C628="OTC",ROUNDDOWN($E628*$F628*0.000909187,-1),(IF($C628="신한",ROUNDDOWN($E628*$F628*0.000036396,-1),(IF($C628="토스",$E628*$F628*0.00015,(IF($C628="US",(IF($E628*$F628*0.0025&gt;0.01,$E628*$F628*0.0025,0.01)),IF($C628="JP",(IF($E628*$F628*0.0025&gt;1000,$E628*$F628*0.0025,1000)),(IF($C628="R토스",0,IF($C628="무상증자(신한)",0,"")))))))))))</f>
        <v>50</v>
      </c>
      <c r="L628" s="23">
        <f>IF($C628="OTC",ROUNDDOWN($I628*$E628*0.000909187,-1),(IF($C628="신한",ROUNDDOWN($I628*$E628*0.000036396,-1),(IF($C628="토스",$I628*$E628*0.00015,(IF($C628="US",(IF($I628*$E628*0.0025&gt;0.01,$I628*$E628*0.0025,0.01)),(IF($C628="JP",(IF($I628*$E628*0.0025&gt;1000,$I628*$E628*0.0025,1000)),(IF($C628="R토스",$I628*$E628*0.00015,(IF($C628="무상증자(신한)",ROUNDDOWN($I628*$E628*0.000036396,-1),"")))))))))))))</f>
        <v>30</v>
      </c>
      <c r="M628" s="206">
        <f>Q628*0.0025</f>
        <v>2400</v>
      </c>
      <c r="N628" s="34"/>
      <c r="O628" s="209">
        <f t="shared" si="252"/>
        <v>16</v>
      </c>
      <c r="P628" s="34">
        <f>$E628*$F628*$D628</f>
        <v>1465000</v>
      </c>
      <c r="Q628" s="34">
        <f>$E628*$I628*$D628</f>
        <v>960000</v>
      </c>
      <c r="R628" s="7">
        <f>($N628-$K628-$L628-$M628)*$D628</f>
        <v>-2480</v>
      </c>
      <c r="S628" s="227">
        <f t="shared" si="256"/>
        <v>-507480</v>
      </c>
      <c r="T628" s="248">
        <f t="shared" si="257"/>
        <v>-0.34640273037542663</v>
      </c>
      <c r="U628" s="38"/>
      <c r="V628" s="33"/>
    </row>
    <row r="629" spans="2:22" ht="15" customHeight="1" x14ac:dyDescent="0.4">
      <c r="B629" s="38" t="s">
        <v>332</v>
      </c>
      <c r="C629" s="6" t="s">
        <v>160</v>
      </c>
      <c r="D629" s="6">
        <f>IF(OR($C629="신한",$C629="OTC",$C629="무상증자(신한)",$C629="토스",$C629="R토스"),1,"확인")</f>
        <v>1</v>
      </c>
      <c r="E629" s="34">
        <v>4</v>
      </c>
      <c r="F629" s="212">
        <v>293000</v>
      </c>
      <c r="G629" s="195">
        <v>44020</v>
      </c>
      <c r="H629" s="8"/>
      <c r="I629" s="212">
        <v>187000</v>
      </c>
      <c r="J629" s="8">
        <v>44043</v>
      </c>
      <c r="K629" s="23">
        <f>IF($C629="OTC",ROUNDDOWN($E629*$F629*0.000909187,-1),(IF($C629="신한",ROUNDDOWN($E629*$F629*0.000036396,-1),(IF($C629="토스",$E629*$F629*0.00015,(IF($C629="US",(IF($E629*$F629*0.0025&gt;0.01,$E629*$F629*0.0025,0.01)),IF($C629="JP",(IF($E629*$F629*0.0025&gt;1000,$E629*$F629*0.0025,1000)),(IF($C629="R토스",0,IF($C629="무상증자(신한)",0,"")))))))))))</f>
        <v>40</v>
      </c>
      <c r="L629" s="23">
        <f>IF($C629="OTC",ROUNDDOWN($I629*$E629*0.000909187,-1),(IF($C629="신한",ROUNDDOWN($I629*$E629*0.000036396,-1),(IF($C629="토스",$I629*$E629*0.00015,(IF($C629="US",(IF($I629*$E629*0.0025&gt;0.01,$I629*$E629*0.0025,0.01)),(IF($C629="JP",(IF($I629*$E629*0.0025&gt;1000,$I629*$E629*0.0025,1000)),(IF($C629="R토스",$I629*$E629*0.00015,(IF($C629="무상증자(신한)",ROUNDDOWN($I629*$E629*0.000036396,-1),"")))))))))))))</f>
        <v>20</v>
      </c>
      <c r="M629" s="206">
        <f>Q629*0.0025</f>
        <v>1870</v>
      </c>
      <c r="N629" s="34"/>
      <c r="O629" s="209">
        <f t="shared" si="252"/>
        <v>24</v>
      </c>
      <c r="P629" s="34">
        <f>$E629*$F629*$D629</f>
        <v>1172000</v>
      </c>
      <c r="Q629" s="34">
        <f>$E629*$I629*$D629</f>
        <v>748000</v>
      </c>
      <c r="R629" s="7">
        <f>($N629-$K629-$L629-$M629)*$D629</f>
        <v>-1930</v>
      </c>
      <c r="S629" s="227">
        <f t="shared" si="256"/>
        <v>-425930</v>
      </c>
      <c r="T629" s="248">
        <f t="shared" si="257"/>
        <v>-0.36342150170648463</v>
      </c>
      <c r="U629" s="38"/>
      <c r="V629" s="33"/>
    </row>
    <row r="630" spans="2:22" ht="15" customHeight="1" x14ac:dyDescent="0.4">
      <c r="B630" s="38" t="s">
        <v>332</v>
      </c>
      <c r="C630" s="6" t="s">
        <v>160</v>
      </c>
      <c r="D630" s="6">
        <f>IF(OR($C630="신한",$C630="OTC",$C630="무상증자(신한)",$C630="토스",$C630="R토스"),1,"확인")</f>
        <v>1</v>
      </c>
      <c r="E630" s="34">
        <v>15</v>
      </c>
      <c r="F630" s="212">
        <v>164000</v>
      </c>
      <c r="G630" s="195">
        <v>44063</v>
      </c>
      <c r="H630" s="8"/>
      <c r="I630" s="212">
        <v>187700</v>
      </c>
      <c r="J630" s="8">
        <v>44069</v>
      </c>
      <c r="K630" s="23">
        <f>IF($C630="OTC",ROUNDDOWN($E630*$F630*0.000909187,-1),(IF($C630="신한",ROUNDDOWN($E630*$F630*0.000036396,-1),(IF($C630="토스",$E630*$F630*0.00015,(IF($C630="US",(IF($E630*$F630*0.0025&gt;0.01,$E630*$F630*0.0025,0.01)),IF($C630="JP",(IF($E630*$F630*0.0025&gt;1000,$E630*$F630*0.0025,1000)),(IF($C630="R토스",0,IF($C630="무상증자(신한)",0,"")))))))))))</f>
        <v>80</v>
      </c>
      <c r="L630" s="23">
        <f>IF($C630="OTC",ROUNDDOWN($I630*$E630*0.000909187,-1),(IF($C630="신한",ROUNDDOWN($I630*$E630*0.000036396,-1),(IF($C630="토스",$I630*$E630*0.00015,(IF($C630="US",(IF($I630*$E630*0.0025&gt;0.01,$I630*$E630*0.0025,0.01)),(IF($C630="JP",(IF($I630*$E630*0.0025&gt;1000,$I630*$E630*0.0025,1000)),(IF($C630="R토스",$I630*$E630*0.00015,(IF($C630="무상증자(신한)",ROUNDDOWN($I630*$E630*0.000036396,-1),"")))))))))))))</f>
        <v>100</v>
      </c>
      <c r="M630" s="206">
        <f>Q630*0.0025</f>
        <v>7038.75</v>
      </c>
      <c r="N630" s="34"/>
      <c r="O630" s="209">
        <f t="shared" si="252"/>
        <v>7</v>
      </c>
      <c r="P630" s="34">
        <f>$E630*$F630*$D630</f>
        <v>2460000</v>
      </c>
      <c r="Q630" s="34">
        <f>$E630*$I630*$D630</f>
        <v>2815500</v>
      </c>
      <c r="R630" s="7">
        <f>($N630-$K630-$L630-$M630)*$D630</f>
        <v>-7218.75</v>
      </c>
      <c r="S630" s="227">
        <f t="shared" si="256"/>
        <v>348281.25</v>
      </c>
      <c r="T630" s="249">
        <f t="shared" si="257"/>
        <v>0.14157774390243902</v>
      </c>
      <c r="U630" s="38"/>
      <c r="V630" s="33"/>
    </row>
    <row r="631" spans="2:22" ht="15" customHeight="1" x14ac:dyDescent="0.4">
      <c r="B631" s="38" t="s">
        <v>333</v>
      </c>
      <c r="C631" s="6" t="s">
        <v>334</v>
      </c>
      <c r="D631" s="6">
        <f>IF(OR($C631="신한",$C631="OTC",$C631="무상증자(신한)",$C631="토스",$C631="R토스"),1,"확인")</f>
        <v>1</v>
      </c>
      <c r="E631" s="34">
        <v>9</v>
      </c>
      <c r="F631" s="212">
        <v>0</v>
      </c>
      <c r="G631" s="195">
        <v>44056</v>
      </c>
      <c r="H631" s="8"/>
      <c r="I631" s="212">
        <v>166000</v>
      </c>
      <c r="J631" s="8">
        <v>44061</v>
      </c>
      <c r="K631" s="23">
        <f>IF($C631="OTC",ROUNDDOWN($E631*$F631*0.000909187,-1),(IF($C631="신한",ROUNDDOWN($E631*$F631*0.000036396,-1),(IF($C631="토스",$E631*$F631*0.00015,(IF($C631="US",(IF($E631*$F631*0.0025&gt;0.01,$E631*$F631*0.0025,0.01)),IF($C631="JP",(IF($E631*$F631*0.0025&gt;1000,$E631*$F631*0.0025,1000)),(IF($C631="R토스",0,IF($C631="무상증자(신한)",0,"")))))))))))</f>
        <v>0</v>
      </c>
      <c r="L631" s="23">
        <f>IF($C631="OTC",ROUNDDOWN($I631*$E631*0.000909187,-1),(IF($C631="신한",ROUNDDOWN($I631*$E631*0.000036396,-1),(IF($C631="토스",$I631*$E631*0.00015,(IF($C631="US",(IF($I631*$E631*0.0025&gt;0.01,$I631*$E631*0.0025,0.01)),(IF($C631="JP",(IF($I631*$E631*0.0025&gt;1000,$I631*$E631*0.0025,1000)),(IF($C631="R토스",$I631*$E631*0.00015,(IF($C631="무상증자(신한)",ROUNDDOWN($I631*$E631*0.000036396,-1),"")))))))))))))</f>
        <v>50</v>
      </c>
      <c r="M631" s="206">
        <f>Q631*0.0025</f>
        <v>3735</v>
      </c>
      <c r="N631" s="34"/>
      <c r="O631" s="209">
        <f t="shared" si="252"/>
        <v>6</v>
      </c>
      <c r="P631" s="34">
        <f>$E631*$F631*$D631</f>
        <v>0</v>
      </c>
      <c r="Q631" s="34">
        <f>$E631*$I631*$D631</f>
        <v>1494000</v>
      </c>
      <c r="R631" s="7">
        <f>($N631-$K631-$L631-$M631)*$D631</f>
        <v>-3785</v>
      </c>
      <c r="S631" s="227">
        <f t="shared" si="256"/>
        <v>1490215</v>
      </c>
      <c r="T631" s="248" t="e">
        <f t="shared" si="257"/>
        <v>#DIV/0!</v>
      </c>
      <c r="U631" s="38"/>
      <c r="V631" s="33"/>
    </row>
    <row r="632" spans="2:22" ht="15" customHeight="1" x14ac:dyDescent="0.4">
      <c r="B632" s="38" t="s">
        <v>335</v>
      </c>
      <c r="C632" s="6" t="s">
        <v>162</v>
      </c>
      <c r="D632" s="6"/>
      <c r="E632" s="36">
        <v>70</v>
      </c>
      <c r="F632" s="212">
        <v>53800</v>
      </c>
      <c r="G632" s="195">
        <v>43529</v>
      </c>
      <c r="H632" s="8"/>
      <c r="I632" s="212">
        <v>57000</v>
      </c>
      <c r="J632" s="8">
        <v>43538</v>
      </c>
      <c r="K632" s="7">
        <f>ROUNDDOWN(E632*F632*0.0015,-1)</f>
        <v>5640</v>
      </c>
      <c r="L632" s="7">
        <f>ROUNDDOWN(I632*E632*0.0015,-1)</f>
        <v>5980</v>
      </c>
      <c r="M632" s="196">
        <f>I632*E632*0.003</f>
        <v>11970</v>
      </c>
      <c r="N632" s="36"/>
      <c r="O632" s="191">
        <f t="shared" si="252"/>
        <v>10</v>
      </c>
      <c r="P632" s="36">
        <f>F632*E632</f>
        <v>3766000</v>
      </c>
      <c r="Q632" s="36">
        <f>I632*E632</f>
        <v>3990000</v>
      </c>
      <c r="R632" s="7">
        <f>N632-K632-L632-M632</f>
        <v>-23590</v>
      </c>
      <c r="S632" s="227">
        <f t="shared" si="256"/>
        <v>200410</v>
      </c>
      <c r="T632" s="248">
        <f t="shared" si="257"/>
        <v>5.3215613382899631E-2</v>
      </c>
      <c r="U632" s="193">
        <f>T632*365/O632</f>
        <v>1.9423698884758367</v>
      </c>
      <c r="V632" s="6"/>
    </row>
    <row r="633" spans="2:22" ht="15" customHeight="1" x14ac:dyDescent="0.4">
      <c r="B633" s="38" t="s">
        <v>335</v>
      </c>
      <c r="C633" s="6" t="s">
        <v>162</v>
      </c>
      <c r="D633" s="6"/>
      <c r="E633" s="36">
        <v>16</v>
      </c>
      <c r="F633" s="212">
        <v>55800</v>
      </c>
      <c r="G633" s="195">
        <v>43539</v>
      </c>
      <c r="H633" s="8"/>
      <c r="I633" s="212">
        <v>47350</v>
      </c>
      <c r="J633" s="8">
        <v>43564</v>
      </c>
      <c r="K633" s="7">
        <f>ROUNDDOWN(E633*F633*0.0015,-1)</f>
        <v>1330</v>
      </c>
      <c r="L633" s="7">
        <f>ROUNDDOWN(I633*E633*0.0015,-1)</f>
        <v>1130</v>
      </c>
      <c r="M633" s="196">
        <f>I633*E633*0.003</f>
        <v>2272.8000000000002</v>
      </c>
      <c r="N633" s="36"/>
      <c r="O633" s="191">
        <f t="shared" si="252"/>
        <v>26</v>
      </c>
      <c r="P633" s="36">
        <f>F633*E633</f>
        <v>892800</v>
      </c>
      <c r="Q633" s="36">
        <f>I633*E633</f>
        <v>757600</v>
      </c>
      <c r="R633" s="7">
        <f>N633-K633-L633-M633</f>
        <v>-4732.8</v>
      </c>
      <c r="S633" s="227">
        <f t="shared" si="256"/>
        <v>-139932.79999999999</v>
      </c>
      <c r="T633" s="248">
        <f t="shared" si="257"/>
        <v>-0.15673476702508959</v>
      </c>
      <c r="U633" s="193">
        <f>T633*365/O633</f>
        <v>-2.2003149986214501</v>
      </c>
      <c r="V633" s="6"/>
    </row>
    <row r="634" spans="2:22" ht="15" customHeight="1" x14ac:dyDescent="0.4">
      <c r="B634" s="198" t="s">
        <v>335</v>
      </c>
      <c r="C634" s="6" t="s">
        <v>162</v>
      </c>
      <c r="D634" s="15"/>
      <c r="E634" s="36">
        <v>20</v>
      </c>
      <c r="F634" s="212">
        <v>44500</v>
      </c>
      <c r="G634" s="195">
        <v>43669</v>
      </c>
      <c r="H634" s="8"/>
      <c r="I634" s="212">
        <v>54200</v>
      </c>
      <c r="J634" s="8">
        <v>43984</v>
      </c>
      <c r="K634" s="7">
        <f>ROUNDDOWN(E634*F634*0.0015,-1)</f>
        <v>1330</v>
      </c>
      <c r="L634" s="7">
        <f>ROUNDDOWN(I634*E634*0.0015,-1)</f>
        <v>1620</v>
      </c>
      <c r="M634" s="196">
        <f>ROUNDDOWN(I634*E634*0.0025, )</f>
        <v>2710</v>
      </c>
      <c r="N634" s="36"/>
      <c r="O634" s="191">
        <f t="shared" si="252"/>
        <v>316</v>
      </c>
      <c r="P634" s="36">
        <f>F634*E634</f>
        <v>890000</v>
      </c>
      <c r="Q634" s="36">
        <f>I634*E634</f>
        <v>1084000</v>
      </c>
      <c r="R634" s="7">
        <f>N634-K634-L634-M634</f>
        <v>-5660</v>
      </c>
      <c r="S634" s="227">
        <f t="shared" si="256"/>
        <v>188340</v>
      </c>
      <c r="T634" s="248">
        <f t="shared" si="257"/>
        <v>0.21161797752808989</v>
      </c>
      <c r="U634" s="193">
        <f>T634*365/O634</f>
        <v>0.24443215758782533</v>
      </c>
      <c r="V634" s="6"/>
    </row>
    <row r="635" spans="2:22" ht="15" customHeight="1" x14ac:dyDescent="0.4">
      <c r="B635" s="38" t="s">
        <v>335</v>
      </c>
      <c r="C635" s="6" t="s">
        <v>160</v>
      </c>
      <c r="D635" s="6">
        <f>IF(OR($C635="신한",$C635="OTC",$C635="무상증자(신한)",$C635="토스",$C635="R토스"),1,"확인")</f>
        <v>1</v>
      </c>
      <c r="E635" s="34">
        <v>7</v>
      </c>
      <c r="F635" s="212">
        <v>75500</v>
      </c>
      <c r="G635" s="195">
        <v>44021</v>
      </c>
      <c r="H635" s="8"/>
      <c r="I635" s="212">
        <v>46000</v>
      </c>
      <c r="J635" s="8">
        <v>44035</v>
      </c>
      <c r="K635" s="23">
        <f>IF($C635="OTC",ROUNDDOWN($E635*$F635*0.000909187,-1),(IF($C635="신한",ROUNDDOWN($E635*$F635*0.000036396,-1),(IF($C635="토스",$E635*$F635*0.00015,(IF($C635="US",(IF($E635*$F635*0.0025&gt;0.01,$E635*$F635*0.0025,0.01)),IF($C635="JP",(IF($E635*$F635*0.0025&gt;1000,$E635*$F635*0.0025,1000)),(IF($C635="R토스",0,IF($C635="무상증자(신한)",0,"")))))))))))</f>
        <v>10</v>
      </c>
      <c r="L635" s="23">
        <f>IF($C635="OTC",ROUNDDOWN($I635*$E635*0.000909187,-1),(IF($C635="신한",ROUNDDOWN($I635*$E635*0.000036396,-1),(IF($C635="토스",$I635*$E635*0.00015,(IF($C635="US",(IF($I635*$E635*0.0025&gt;0.01,$I635*$E635*0.0025,0.01)),(IF($C635="JP",(IF($I635*$E635*0.0025&gt;1000,$I635*$E635*0.0025,1000)),(IF($C635="R토스",$I635*$E635*0.00015,(IF($C635="무상증자(신한)",ROUNDDOWN($I635*$E635*0.000036396,-1),"")))))))))))))</f>
        <v>10</v>
      </c>
      <c r="M635" s="206">
        <f>Q635*0.0025</f>
        <v>805</v>
      </c>
      <c r="N635" s="34"/>
      <c r="O635" s="209">
        <f t="shared" si="252"/>
        <v>15</v>
      </c>
      <c r="P635" s="34">
        <f>$E635*$F635*$D635</f>
        <v>528500</v>
      </c>
      <c r="Q635" s="34">
        <f>$E635*$I635*$D635</f>
        <v>322000</v>
      </c>
      <c r="R635" s="7">
        <f>($N635-$K635-$L635-$M635)*$D635</f>
        <v>-825</v>
      </c>
      <c r="S635" s="227">
        <f t="shared" si="256"/>
        <v>-207325</v>
      </c>
      <c r="T635" s="248">
        <f t="shared" si="257"/>
        <v>-0.3922894985808893</v>
      </c>
      <c r="U635" s="38"/>
      <c r="V635" s="33"/>
    </row>
    <row r="636" spans="2:22" ht="15" customHeight="1" x14ac:dyDescent="0.4">
      <c r="B636" s="38" t="s">
        <v>335</v>
      </c>
      <c r="C636" s="6" t="s">
        <v>160</v>
      </c>
      <c r="D636" s="6">
        <f>IF(OR($C636="신한",$C636="OTC",$C636="무상증자(신한)",$C636="토스",$C636="R토스"),1,"확인")</f>
        <v>1</v>
      </c>
      <c r="E636" s="34">
        <v>7</v>
      </c>
      <c r="F636" s="212">
        <v>75500</v>
      </c>
      <c r="G636" s="195">
        <v>44021</v>
      </c>
      <c r="H636" s="8"/>
      <c r="I636" s="212">
        <v>45700</v>
      </c>
      <c r="J636" s="8">
        <v>44084</v>
      </c>
      <c r="K636" s="23">
        <f>IF($C636="OTC",ROUNDDOWN($E636*$F636*0.000909187,-1),(IF($C636="신한",ROUNDDOWN($E636*$F636*0.000036396,-1),(IF($C636="토스",$E636*$F636*0.00015,(IF($C636="US",(IF($E636*$F636*0.0025&gt;0.01,$E636*$F636*0.0025,0.01)),IF($C636="JP",(IF($E636*$F636*0.0025&gt;1000,$E636*$F636*0.0025,1000)),(IF($C636="R토스",0,IF($C636="무상증자(신한)",0,"")))))))))))</f>
        <v>10</v>
      </c>
      <c r="L636" s="23">
        <f>IF($C636="OTC",ROUNDDOWN($I636*$E636*0.000909187,-1),(IF($C636="신한",ROUNDDOWN($I636*$E636*0.000036396,-1),(IF($C636="토스",$I636*$E636*0.00015,(IF($C636="US",(IF($I636*$E636*0.0025&gt;0.01,$I636*$E636*0.0025,0.01)),(IF($C636="JP",(IF($I636*$E636*0.0025&gt;1000,$I636*$E636*0.0025,1000)),(IF($C636="R토스",$I636*$E636*0.00015,(IF($C636="무상증자(신한)",ROUNDDOWN($I636*$E636*0.000036396,-1),"")))))))))))))</f>
        <v>10</v>
      </c>
      <c r="M636" s="206">
        <f>Q636*0.0025</f>
        <v>799.75</v>
      </c>
      <c r="N636" s="34"/>
      <c r="O636" s="209">
        <f t="shared" si="252"/>
        <v>64</v>
      </c>
      <c r="P636" s="34">
        <f>$E636*$F636*$D636</f>
        <v>528500</v>
      </c>
      <c r="Q636" s="34">
        <f>$E636*$I636*$D636</f>
        <v>319900</v>
      </c>
      <c r="R636" s="7">
        <f>($N636-$K636-$L636-$M636)*$D636</f>
        <v>-819.75</v>
      </c>
      <c r="S636" s="227">
        <f t="shared" si="256"/>
        <v>-209419.75</v>
      </c>
      <c r="T636" s="248">
        <f t="shared" si="257"/>
        <v>-0.39625307473982968</v>
      </c>
      <c r="U636" s="38"/>
      <c r="V636" s="33"/>
    </row>
    <row r="637" spans="2:22" ht="15" customHeight="1" x14ac:dyDescent="0.4">
      <c r="B637" s="38" t="s">
        <v>336</v>
      </c>
      <c r="C637" s="6" t="s">
        <v>334</v>
      </c>
      <c r="D637" s="6">
        <f>IF(OR($C637="신한",$C637="OTC",$C637="무상증자(신한)",$C637="토스",$C637="R토스"),1,"확인")</f>
        <v>1</v>
      </c>
      <c r="E637" s="34">
        <v>14</v>
      </c>
      <c r="F637" s="212">
        <v>0</v>
      </c>
      <c r="G637" s="195">
        <v>44048</v>
      </c>
      <c r="H637" s="8"/>
      <c r="I637" s="212">
        <v>45700</v>
      </c>
      <c r="J637" s="8">
        <v>44084</v>
      </c>
      <c r="K637" s="23">
        <f>IF($C637="OTC",ROUNDDOWN($E637*$F637*0.000909187,-1),(IF($C637="신한",ROUNDDOWN($E637*$F637*0.000036396,-1),(IF($C637="토스",$E637*$F637*0.00015,(IF($C637="US",(IF($E637*$F637*0.0025&gt;0.01,$E637*$F637*0.0025,0.01)),IF($C637="JP",(IF($E637*$F637*0.0025&gt;1000,$E637*$F637*0.0025,1000)),(IF($C637="R토스",0,IF($C637="무상증자(신한)",0,"")))))))))))</f>
        <v>0</v>
      </c>
      <c r="L637" s="23">
        <f>IF($C637="OTC",ROUNDDOWN($I637*$E637*0.000909187,-1),(IF($C637="신한",ROUNDDOWN($I637*$E637*0.000036396,-1),(IF($C637="토스",$I637*$E637*0.00015,(IF($C637="US",(IF($I637*$E637*0.0025&gt;0.01,$I637*$E637*0.0025,0.01)),(IF($C637="JP",(IF($I637*$E637*0.0025&gt;1000,$I637*$E637*0.0025,1000)),(IF($C637="R토스",$I637*$E637*0.00015,(IF($C637="무상증자(신한)",ROUNDDOWN($I637*$E637*0.000036396,-1),"")))))))))))))</f>
        <v>20</v>
      </c>
      <c r="M637" s="206">
        <f>Q637*0.0025</f>
        <v>1599.5</v>
      </c>
      <c r="N637" s="34"/>
      <c r="O637" s="209">
        <f t="shared" si="252"/>
        <v>37</v>
      </c>
      <c r="P637" s="34">
        <f>$E637*$F637*$D637</f>
        <v>0</v>
      </c>
      <c r="Q637" s="34">
        <f>$E637*$I637*$D637</f>
        <v>639800</v>
      </c>
      <c r="R637" s="7">
        <f>($N637-$K637-$L637-$M637)*$D637</f>
        <v>-1619.5</v>
      </c>
      <c r="S637" s="227">
        <f t="shared" si="256"/>
        <v>638180.5</v>
      </c>
      <c r="T637" s="248" t="e">
        <f t="shared" si="257"/>
        <v>#DIV/0!</v>
      </c>
      <c r="U637" s="38"/>
      <c r="V637" s="33"/>
    </row>
    <row r="638" spans="2:22" ht="15" customHeight="1" x14ac:dyDescent="0.4">
      <c r="B638" s="38" t="s">
        <v>337</v>
      </c>
      <c r="C638" s="6" t="s">
        <v>162</v>
      </c>
      <c r="D638" s="6"/>
      <c r="E638" s="36">
        <v>40</v>
      </c>
      <c r="F638" s="212">
        <v>20400</v>
      </c>
      <c r="G638" s="195">
        <v>43535</v>
      </c>
      <c r="H638" s="8"/>
      <c r="I638" s="212">
        <v>22550</v>
      </c>
      <c r="J638" s="8">
        <v>43560</v>
      </c>
      <c r="K638" s="7">
        <f>ROUNDDOWN(E638*F638*0.0015,-1)</f>
        <v>1220</v>
      </c>
      <c r="L638" s="7">
        <f>ROUNDDOWN(I638*E638*0.0015,-1)</f>
        <v>1350</v>
      </c>
      <c r="M638" s="196">
        <f>I638*E638*0.003</f>
        <v>2706</v>
      </c>
      <c r="N638" s="36"/>
      <c r="O638" s="191">
        <f t="shared" si="252"/>
        <v>26</v>
      </c>
      <c r="P638" s="36">
        <f>F638*E638</f>
        <v>816000</v>
      </c>
      <c r="Q638" s="36">
        <f>I638*E638</f>
        <v>902000</v>
      </c>
      <c r="R638" s="7">
        <f>N638-K638-L638-M638</f>
        <v>-5276</v>
      </c>
      <c r="S638" s="227">
        <f t="shared" si="256"/>
        <v>80724</v>
      </c>
      <c r="T638" s="248">
        <f t="shared" si="257"/>
        <v>9.8926470588235296E-2</v>
      </c>
      <c r="U638" s="193">
        <f>T638*365/O638</f>
        <v>1.3887754524886877</v>
      </c>
      <c r="V638" s="6"/>
    </row>
    <row r="639" spans="2:22" ht="15" customHeight="1" x14ac:dyDescent="0.4">
      <c r="B639" s="316" t="s">
        <v>338</v>
      </c>
      <c r="C639" s="270" t="s">
        <v>162</v>
      </c>
      <c r="D639" s="271">
        <v>1231.3</v>
      </c>
      <c r="E639" s="270">
        <v>26</v>
      </c>
      <c r="F639" s="67">
        <v>35.799999999999997</v>
      </c>
      <c r="G639" s="321">
        <v>44179</v>
      </c>
      <c r="H639" s="263"/>
      <c r="I639" s="67">
        <v>47.2</v>
      </c>
      <c r="J639" s="272">
        <v>44229</v>
      </c>
      <c r="K639" s="274">
        <f>E639*F639*0.001</f>
        <v>0.93079999999999996</v>
      </c>
      <c r="L639" s="271">
        <f>ROUNDDOWN(E639*I639*0.001, 2)</f>
        <v>1.22</v>
      </c>
      <c r="M639" s="325">
        <f>ROUNDUP((E639*I639*0.0000221),2)</f>
        <v>0.03</v>
      </c>
      <c r="N639" s="274"/>
      <c r="O639" s="330">
        <f>IF(J639="","",J639-G639+1)</f>
        <v>51</v>
      </c>
      <c r="P639" s="34">
        <f>$E639*$F639*$D639</f>
        <v>1146094.0399999998</v>
      </c>
      <c r="Q639" s="34">
        <f>$E639*$I639*$D639</f>
        <v>1511051.36</v>
      </c>
      <c r="R639" s="7">
        <f>($N639-$K639-$L639-$M639)*$D639</f>
        <v>-2685.2190399999995</v>
      </c>
      <c r="S639" s="7">
        <f>IF(Q639=0,"",Q639-P639+R639)</f>
        <v>362272.1009600003</v>
      </c>
      <c r="T639" s="248">
        <f>IF(Q639=0,"",S639/P639)</f>
        <v>0.31609282337773992</v>
      </c>
      <c r="U639" s="334"/>
      <c r="V639" s="93">
        <f>K639/(E639*F639)</f>
        <v>1E-3</v>
      </c>
    </row>
    <row r="640" spans="2:22" ht="15" customHeight="1" x14ac:dyDescent="0.4">
      <c r="B640" s="38" t="s">
        <v>339</v>
      </c>
      <c r="C640" s="6" t="s">
        <v>162</v>
      </c>
      <c r="D640" s="6"/>
      <c r="E640" s="36">
        <v>500</v>
      </c>
      <c r="F640" s="212">
        <v>2195</v>
      </c>
      <c r="G640" s="195">
        <v>43211</v>
      </c>
      <c r="H640" s="8"/>
      <c r="I640" s="212">
        <v>2270</v>
      </c>
      <c r="J640" s="8">
        <v>43215</v>
      </c>
      <c r="K640" s="7">
        <f>ROUNDDOWN(E640*F640*0.0015,-1)</f>
        <v>1640</v>
      </c>
      <c r="L640" s="7">
        <f>ROUNDDOWN(I640*E640*0.0015,-1)</f>
        <v>1700</v>
      </c>
      <c r="M640" s="196">
        <f>I640*E640*0.003</f>
        <v>3405</v>
      </c>
      <c r="N640" s="36"/>
      <c r="O640" s="191">
        <f t="shared" ref="O640:O664" si="260">J640-G640+1</f>
        <v>5</v>
      </c>
      <c r="P640" s="36">
        <f>F640*E640</f>
        <v>1097500</v>
      </c>
      <c r="Q640" s="36">
        <f>I640*E640</f>
        <v>1135000</v>
      </c>
      <c r="R640" s="7">
        <f>N640-K640-L640-M640</f>
        <v>-6745</v>
      </c>
      <c r="S640" s="227">
        <f t="shared" ref="S640:S664" si="261">IF(Q640=0,0,Q640-P640+R640)</f>
        <v>30755</v>
      </c>
      <c r="T640" s="248">
        <f t="shared" ref="T640:T664" si="262">S640/P640</f>
        <v>2.8022779043280183E-2</v>
      </c>
      <c r="U640" s="193">
        <f>T640*365/O640</f>
        <v>2.045662870159453</v>
      </c>
      <c r="V640" s="6"/>
    </row>
    <row r="641" spans="2:23" ht="15" customHeight="1" x14ac:dyDescent="0.4">
      <c r="B641" s="38" t="s">
        <v>340</v>
      </c>
      <c r="C641" s="6" t="s">
        <v>162</v>
      </c>
      <c r="D641" s="6"/>
      <c r="E641" s="36">
        <v>50</v>
      </c>
      <c r="F641" s="212">
        <v>2920</v>
      </c>
      <c r="G641" s="195">
        <v>42564</v>
      </c>
      <c r="H641" s="8"/>
      <c r="I641" s="212">
        <v>2600</v>
      </c>
      <c r="J641" s="8">
        <v>42641</v>
      </c>
      <c r="K641" s="7">
        <f>ROUNDDOWN(E641*F641*0.004975,-1)</f>
        <v>720</v>
      </c>
      <c r="L641" s="7">
        <f>ROUNDDOWN(I641*E641*0.0015,-1)</f>
        <v>190</v>
      </c>
      <c r="M641" s="196">
        <f>I641*E641*0.003</f>
        <v>390</v>
      </c>
      <c r="N641" s="36"/>
      <c r="O641" s="191">
        <f t="shared" si="260"/>
        <v>78</v>
      </c>
      <c r="P641" s="36">
        <f>F641*E641</f>
        <v>146000</v>
      </c>
      <c r="Q641" s="36">
        <f>I641*E641</f>
        <v>130000</v>
      </c>
      <c r="R641" s="7">
        <f>N641-K641-L641-M641</f>
        <v>-1300</v>
      </c>
      <c r="S641" s="227">
        <f t="shared" si="261"/>
        <v>-17300</v>
      </c>
      <c r="T641" s="248">
        <f t="shared" si="262"/>
        <v>-0.11849315068493151</v>
      </c>
      <c r="U641" s="193">
        <f>T641*365/O641</f>
        <v>-0.55448717948717952</v>
      </c>
      <c r="V641" s="6"/>
    </row>
    <row r="642" spans="2:23" ht="15" customHeight="1" x14ac:dyDescent="0.4">
      <c r="B642" s="38" t="s">
        <v>341</v>
      </c>
      <c r="C642" s="6" t="s">
        <v>162</v>
      </c>
      <c r="D642" s="6"/>
      <c r="E642" s="36">
        <v>58</v>
      </c>
      <c r="F642" s="212">
        <v>17200</v>
      </c>
      <c r="G642" s="195">
        <v>43300</v>
      </c>
      <c r="H642" s="8"/>
      <c r="I642" s="212">
        <v>18000</v>
      </c>
      <c r="J642" s="8">
        <v>43313</v>
      </c>
      <c r="K642" s="7">
        <f>ROUNDDOWN(E642*F642*0.0015,-1)</f>
        <v>1490</v>
      </c>
      <c r="L642" s="7">
        <f>ROUNDDOWN(I642*E642*0.0015,-1)</f>
        <v>1560</v>
      </c>
      <c r="M642" s="196">
        <f>I642*E642*0.003</f>
        <v>3132</v>
      </c>
      <c r="N642" s="36"/>
      <c r="O642" s="191">
        <f t="shared" si="260"/>
        <v>14</v>
      </c>
      <c r="P642" s="36">
        <f>F642*E642</f>
        <v>997600</v>
      </c>
      <c r="Q642" s="36">
        <f>I642*E642</f>
        <v>1044000</v>
      </c>
      <c r="R642" s="7">
        <f>N642-K642-L642-M642</f>
        <v>-6182</v>
      </c>
      <c r="S642" s="227">
        <f t="shared" si="261"/>
        <v>40218</v>
      </c>
      <c r="T642" s="248">
        <f t="shared" si="262"/>
        <v>4.0314755412991177E-2</v>
      </c>
      <c r="U642" s="193">
        <f>T642*365/O642</f>
        <v>1.0510632661244128</v>
      </c>
      <c r="V642" s="6"/>
    </row>
    <row r="643" spans="2:23" ht="15" customHeight="1" x14ac:dyDescent="0.4">
      <c r="B643" s="38" t="s">
        <v>342</v>
      </c>
      <c r="C643" s="6" t="s">
        <v>160</v>
      </c>
      <c r="D643" s="6">
        <f>IF(OR($C643="신한",$C643="OTC",$C643="무상증자(신한)",$C643="토스",$C643="R토스"),1,"확인")</f>
        <v>1</v>
      </c>
      <c r="E643" s="34">
        <v>30</v>
      </c>
      <c r="F643" s="212">
        <v>69300</v>
      </c>
      <c r="G643" s="195">
        <v>44090</v>
      </c>
      <c r="H643" s="8"/>
      <c r="I643" s="212">
        <v>71000</v>
      </c>
      <c r="J643" s="8">
        <v>44090</v>
      </c>
      <c r="K643" s="23">
        <f>IF($C643="OTC",ROUNDDOWN($E643*$F643*0.000909187,-1),(IF($C643="신한",ROUNDDOWN($E643*$F643*0.000036396,-1),(IF($C643="토스",$E643*$F643*0.00015,(IF($C643="US",(IF($E643*$F643*0.0025&gt;0.01,$E643*$F643*0.0025,0.01)),IF($C643="JP",(IF($E643*$F643*0.0025&gt;1000,$E643*$F643*0.0025,1000)),(IF($C643="R토스",0,IF($C643="무상증자(신한)",0,"")))))))))))</f>
        <v>70</v>
      </c>
      <c r="L643" s="23">
        <f>IF($C643="OTC",ROUNDDOWN($I643*$E643*0.000909187,-1),(IF($C643="신한",ROUNDDOWN($I643*$E643*0.000036396,-1),(IF($C643="토스",$I643*$E643*0.00015,(IF($C643="US",(IF($I643*$E643*0.0025&gt;0.01,$I643*$E643*0.0025,0.01)),(IF($C643="JP",(IF($I643*$E643*0.0025&gt;1000,$I643*$E643*0.0025,1000)),(IF($C643="R토스",$I643*$E643*0.00015,(IF($C643="무상증자(신한)",ROUNDDOWN($I643*$E643*0.000036396,-1),"")))))))))))))</f>
        <v>70</v>
      </c>
      <c r="M643" s="206">
        <f>Q643*0.0025</f>
        <v>5325</v>
      </c>
      <c r="N643" s="34"/>
      <c r="O643" s="209">
        <f t="shared" si="260"/>
        <v>1</v>
      </c>
      <c r="P643" s="34">
        <f>$E643*$F643*$D643</f>
        <v>2079000</v>
      </c>
      <c r="Q643" s="34">
        <f>$E643*$I643*$D643</f>
        <v>2130000</v>
      </c>
      <c r="R643" s="7">
        <f>($N643-$K643-$L643-$M643)*$D643</f>
        <v>-5465</v>
      </c>
      <c r="S643" s="227">
        <f t="shared" si="261"/>
        <v>45535</v>
      </c>
      <c r="T643" s="249">
        <f t="shared" si="262"/>
        <v>2.1902356902356902E-2</v>
      </c>
      <c r="U643" s="38"/>
      <c r="V643" s="33"/>
    </row>
    <row r="644" spans="2:23" s="33" customFormat="1" ht="15" customHeight="1" x14ac:dyDescent="0.4">
      <c r="B644" s="198" t="s">
        <v>343</v>
      </c>
      <c r="C644" s="6" t="s">
        <v>162</v>
      </c>
      <c r="D644" s="15"/>
      <c r="E644" s="36">
        <v>200</v>
      </c>
      <c r="F644" s="212">
        <v>3880</v>
      </c>
      <c r="G644" s="195">
        <v>43608</v>
      </c>
      <c r="H644" s="8"/>
      <c r="I644" s="212">
        <v>4350</v>
      </c>
      <c r="J644" s="8">
        <v>43620</v>
      </c>
      <c r="K644" s="7">
        <f>ROUNDDOWN(E644*F644*0.0015,-1)</f>
        <v>1160</v>
      </c>
      <c r="L644" s="7">
        <f>ROUNDDOWN(I644*E644*0.0015,-1)</f>
        <v>1300</v>
      </c>
      <c r="M644" s="196">
        <f>ROUNDDOWN(I644*E644*0.0025, )</f>
        <v>2175</v>
      </c>
      <c r="N644" s="36"/>
      <c r="O644" s="191">
        <f t="shared" si="260"/>
        <v>13</v>
      </c>
      <c r="P644" s="36">
        <f>F644*E644</f>
        <v>776000</v>
      </c>
      <c r="Q644" s="36">
        <f>I644*E644</f>
        <v>870000</v>
      </c>
      <c r="R644" s="7">
        <f>N644-K644-L644-M644</f>
        <v>-4635</v>
      </c>
      <c r="S644" s="227">
        <f t="shared" si="261"/>
        <v>89365</v>
      </c>
      <c r="T644" s="248">
        <f t="shared" si="262"/>
        <v>0.11516108247422681</v>
      </c>
      <c r="U644" s="9">
        <f>T644*365/O644</f>
        <v>3.2333688540840604</v>
      </c>
      <c r="V644" s="6"/>
    </row>
    <row r="645" spans="2:23" s="33" customFormat="1" ht="15" customHeight="1" x14ac:dyDescent="0.4">
      <c r="B645" s="198" t="s">
        <v>343</v>
      </c>
      <c r="C645" s="6" t="s">
        <v>162</v>
      </c>
      <c r="D645" s="15"/>
      <c r="E645" s="36">
        <v>200</v>
      </c>
      <c r="F645" s="212">
        <v>3880</v>
      </c>
      <c r="G645" s="195">
        <v>43608</v>
      </c>
      <c r="H645" s="8"/>
      <c r="I645" s="212">
        <v>4520</v>
      </c>
      <c r="J645" s="8">
        <v>43620</v>
      </c>
      <c r="K645" s="7">
        <f>ROUNDDOWN(E645*F645*0.0015,-1)</f>
        <v>1160</v>
      </c>
      <c r="L645" s="7">
        <f>ROUNDDOWN(I645*E645*0.0015,-1)</f>
        <v>1350</v>
      </c>
      <c r="M645" s="196">
        <f>ROUNDDOWN(I645*E645*0.0025, )</f>
        <v>2260</v>
      </c>
      <c r="N645" s="36"/>
      <c r="O645" s="191">
        <f t="shared" si="260"/>
        <v>13</v>
      </c>
      <c r="P645" s="36">
        <f>F645*E645</f>
        <v>776000</v>
      </c>
      <c r="Q645" s="36">
        <f>I645*E645</f>
        <v>904000</v>
      </c>
      <c r="R645" s="7">
        <f>N645-K645-L645-M645</f>
        <v>-4770</v>
      </c>
      <c r="S645" s="227">
        <f t="shared" si="261"/>
        <v>123230</v>
      </c>
      <c r="T645" s="248">
        <f t="shared" si="262"/>
        <v>0.15880154639175259</v>
      </c>
      <c r="U645" s="9">
        <f>T645*365/O645</f>
        <v>4.458658802537669</v>
      </c>
      <c r="V645" s="6"/>
    </row>
    <row r="646" spans="2:23" s="33" customFormat="1" ht="15" customHeight="1" x14ac:dyDescent="0.4">
      <c r="B646" s="198" t="s">
        <v>343</v>
      </c>
      <c r="C646" s="6" t="s">
        <v>162</v>
      </c>
      <c r="D646" s="15"/>
      <c r="E646" s="36">
        <v>100</v>
      </c>
      <c r="F646" s="212">
        <v>3880</v>
      </c>
      <c r="G646" s="195">
        <v>43608</v>
      </c>
      <c r="H646" s="8"/>
      <c r="I646" s="212">
        <v>4750</v>
      </c>
      <c r="J646" s="8">
        <v>43620</v>
      </c>
      <c r="K646" s="7">
        <f>ROUNDDOWN(E646*F646*0.0015,-1)</f>
        <v>580</v>
      </c>
      <c r="L646" s="7">
        <f>ROUNDDOWN(I646*E646*0.0015,-1)</f>
        <v>710</v>
      </c>
      <c r="M646" s="196">
        <f>ROUNDDOWN(I646*E646*0.0025, )</f>
        <v>1187</v>
      </c>
      <c r="N646" s="36"/>
      <c r="O646" s="191">
        <f t="shared" si="260"/>
        <v>13</v>
      </c>
      <c r="P646" s="36">
        <f>F646*E646</f>
        <v>388000</v>
      </c>
      <c r="Q646" s="36">
        <f>I646*E646</f>
        <v>475000</v>
      </c>
      <c r="R646" s="7">
        <f>N646-K646-L646-M646</f>
        <v>-2477</v>
      </c>
      <c r="S646" s="227">
        <f t="shared" si="261"/>
        <v>84523</v>
      </c>
      <c r="T646" s="248">
        <f t="shared" si="262"/>
        <v>0.21784278350515465</v>
      </c>
      <c r="U646" s="9">
        <f>T646*365/O646</f>
        <v>6.1163550753370348</v>
      </c>
      <c r="V646" s="6"/>
    </row>
    <row r="647" spans="2:23" ht="15" customHeight="1" x14ac:dyDescent="0.4">
      <c r="B647" s="198" t="s">
        <v>343</v>
      </c>
      <c r="C647" s="6" t="s">
        <v>162</v>
      </c>
      <c r="D647" s="15"/>
      <c r="E647" s="36">
        <v>250</v>
      </c>
      <c r="F647" s="212">
        <v>4510</v>
      </c>
      <c r="G647" s="195">
        <v>43671</v>
      </c>
      <c r="H647" s="8"/>
      <c r="I647" s="212">
        <v>4910</v>
      </c>
      <c r="J647" s="8">
        <v>43812</v>
      </c>
      <c r="K647" s="7">
        <f>ROUNDDOWN(E647*F647*0.0015,-1)</f>
        <v>1690</v>
      </c>
      <c r="L647" s="7">
        <f>ROUNDDOWN(I647*E647*0.0015,-1)</f>
        <v>1840</v>
      </c>
      <c r="M647" s="196">
        <f>ROUNDDOWN(I647*E647*0.0025, )</f>
        <v>3068</v>
      </c>
      <c r="N647" s="36"/>
      <c r="O647" s="191">
        <f t="shared" si="260"/>
        <v>142</v>
      </c>
      <c r="P647" s="36">
        <f>F647*E647</f>
        <v>1127500</v>
      </c>
      <c r="Q647" s="36">
        <f>I647*E647</f>
        <v>1227500</v>
      </c>
      <c r="R647" s="7">
        <f>N647-K647-L647-M647</f>
        <v>-6598</v>
      </c>
      <c r="S647" s="227">
        <f t="shared" si="261"/>
        <v>93402</v>
      </c>
      <c r="T647" s="248">
        <f t="shared" si="262"/>
        <v>8.2839911308203992E-2</v>
      </c>
      <c r="U647" s="193">
        <f>T647*365/O647</f>
        <v>0.21293357484151024</v>
      </c>
      <c r="V647" s="6"/>
    </row>
    <row r="648" spans="2:23" s="33" customFormat="1" ht="15" customHeight="1" x14ac:dyDescent="0.4">
      <c r="B648" s="198" t="s">
        <v>344</v>
      </c>
      <c r="C648" s="6" t="s">
        <v>162</v>
      </c>
      <c r="D648" s="15"/>
      <c r="E648" s="36">
        <v>200</v>
      </c>
      <c r="F648" s="212">
        <v>10700</v>
      </c>
      <c r="G648" s="195">
        <v>43612</v>
      </c>
      <c r="H648" s="8"/>
      <c r="I648" s="212">
        <v>11650</v>
      </c>
      <c r="J648" s="8">
        <v>43613</v>
      </c>
      <c r="K648" s="7">
        <f>ROUNDDOWN(E648*F648*0.0015,-1)</f>
        <v>3210</v>
      </c>
      <c r="L648" s="7">
        <f>ROUNDDOWN(I648*E648*0.0015,-1)</f>
        <v>3490</v>
      </c>
      <c r="M648" s="196">
        <f>I648*E648*0.0025</f>
        <v>5825</v>
      </c>
      <c r="N648" s="36"/>
      <c r="O648" s="191">
        <f t="shared" si="260"/>
        <v>2</v>
      </c>
      <c r="P648" s="36">
        <f>F648*E648</f>
        <v>2140000</v>
      </c>
      <c r="Q648" s="36">
        <f>I648*E648</f>
        <v>2330000</v>
      </c>
      <c r="R648" s="7">
        <f>N648-K648-L648-M648</f>
        <v>-12525</v>
      </c>
      <c r="S648" s="227">
        <f t="shared" si="261"/>
        <v>177475</v>
      </c>
      <c r="T648" s="248">
        <f t="shared" si="262"/>
        <v>8.2932242990654201E-2</v>
      </c>
      <c r="U648" s="9">
        <f>T648*365/O648</f>
        <v>15.135134345794391</v>
      </c>
      <c r="V648" s="6"/>
    </row>
    <row r="649" spans="2:23" ht="15" customHeight="1" x14ac:dyDescent="0.4">
      <c r="B649" s="38" t="s">
        <v>345</v>
      </c>
      <c r="C649" s="6" t="s">
        <v>346</v>
      </c>
      <c r="D649" s="6">
        <v>1</v>
      </c>
      <c r="E649" s="34">
        <v>4776</v>
      </c>
      <c r="F649" s="34">
        <v>1006</v>
      </c>
      <c r="G649" s="195">
        <v>45670</v>
      </c>
      <c r="H649" s="8" t="s">
        <v>347</v>
      </c>
      <c r="I649" s="34">
        <v>1000</v>
      </c>
      <c r="J649" s="8">
        <v>45716</v>
      </c>
      <c r="K649" s="23">
        <v>950</v>
      </c>
      <c r="L649" s="23"/>
      <c r="M649" s="206"/>
      <c r="N649" s="34">
        <f>(33830-2510)+(33830-5200)</f>
        <v>59950</v>
      </c>
      <c r="O649" s="209">
        <f t="shared" si="260"/>
        <v>47</v>
      </c>
      <c r="P649" s="34">
        <f>$E649*$F649*$D649</f>
        <v>4804656</v>
      </c>
      <c r="Q649" s="34">
        <f>$E649*$I649*$D649</f>
        <v>4776000</v>
      </c>
      <c r="R649" s="7">
        <f>($N649-$K649-$L649-$M649)*$D649</f>
        <v>59000</v>
      </c>
      <c r="S649" s="41">
        <f t="shared" si="261"/>
        <v>30344</v>
      </c>
      <c r="T649" s="249">
        <f t="shared" si="262"/>
        <v>6.315540592292143E-3</v>
      </c>
      <c r="U649" s="38"/>
      <c r="V649" s="33"/>
    </row>
    <row r="650" spans="2:23" ht="15" customHeight="1" x14ac:dyDescent="0.4">
      <c r="B650" s="38" t="s">
        <v>348</v>
      </c>
      <c r="C650" s="6" t="s">
        <v>346</v>
      </c>
      <c r="D650" s="6">
        <v>1</v>
      </c>
      <c r="E650" s="34">
        <v>2886</v>
      </c>
      <c r="F650" s="212">
        <v>1014</v>
      </c>
      <c r="G650" s="195">
        <v>45672</v>
      </c>
      <c r="H650" s="8" t="s">
        <v>347</v>
      </c>
      <c r="I650" s="212">
        <v>1000</v>
      </c>
      <c r="J650" s="8">
        <v>45829</v>
      </c>
      <c r="K650" s="23">
        <v>1460</v>
      </c>
      <c r="L650" s="23">
        <v>0</v>
      </c>
      <c r="M650" s="206">
        <v>0</v>
      </c>
      <c r="N650" s="34">
        <f>(20443-600)+(20442-3140)+(20442-3140)+(20442-3140)+(20442-3140)+(20162-3100)</f>
        <v>106113</v>
      </c>
      <c r="O650" s="209">
        <f t="shared" si="260"/>
        <v>158</v>
      </c>
      <c r="P650" s="34">
        <f>$E650*$F650*$D650</f>
        <v>2926404</v>
      </c>
      <c r="Q650" s="34">
        <f>$E650*$I650*$D650</f>
        <v>2886000</v>
      </c>
      <c r="R650" s="7">
        <f>($N650-$K650-$L650-$M650)*$D650</f>
        <v>104653</v>
      </c>
      <c r="S650" s="227">
        <f t="shared" si="261"/>
        <v>64249</v>
      </c>
      <c r="T650" s="249">
        <f t="shared" si="262"/>
        <v>2.1954931718245328E-2</v>
      </c>
      <c r="U650" s="38"/>
      <c r="V650" s="33"/>
    </row>
    <row r="651" spans="2:23" s="33" customFormat="1" ht="15" customHeight="1" x14ac:dyDescent="0.4">
      <c r="B651" s="38" t="s">
        <v>349</v>
      </c>
      <c r="C651" s="6" t="s">
        <v>160</v>
      </c>
      <c r="D651" s="6">
        <f>IF(OR($C651="신한",$C651="OTC",$C651="무상증자(신한)",$C651="토스",$C651="R토스"),1,"확인")</f>
        <v>1</v>
      </c>
      <c r="E651" s="34">
        <v>9</v>
      </c>
      <c r="F651" s="212">
        <v>221000</v>
      </c>
      <c r="G651" s="195">
        <v>45881</v>
      </c>
      <c r="H651" s="8"/>
      <c r="I651" s="212">
        <v>262000</v>
      </c>
      <c r="J651" s="8">
        <v>45931</v>
      </c>
      <c r="K651" s="23">
        <f>IF($C651="OTC",ROUNDDOWN($E651*$F651*0.000909187,-1),(IF($C651="신한",ROUNDDOWN($E651*$F651*0.000036396,-1),(IF($C651="토스",$E651*$F651*0.00015,(IF($C651="US",(IF($E651*$F651*0.0025&gt;0.01,$E651*$F651*0.0025,0.01)),IF($C651="JP",(IF($E651*$F651*0.0025&gt;1000,$E651*$F651*0.0025,1000)),(IF($C651="R토스",0,IF($C651="무상증자(신한)",0,"")))))))))))</f>
        <v>70</v>
      </c>
      <c r="L651" s="23">
        <f>IF($C651="OTC",ROUNDDOWN($I651*$E651*0.000909187,-1),(IF($C651="신한",ROUNDDOWN($I651*$E651*0.000036396,-1),(IF($C651="토스",$I651*$E651*0.00015,(IF($C651="US",(IF($I651*$E651*0.0025&gt;0.01,$I651*$E651*0.0025,0.01)),(IF($C651="JP",(IF($I651*$E651*0.0025&gt;1000,$I651*$E651*0.0025,1000)),(IF($C651="R토스",$I651*$E651*0.00015,(IF($C651="무상증자(신한)",ROUNDDOWN($I651*$E651*0.000036396,-1),"")))))))))))))</f>
        <v>80</v>
      </c>
      <c r="M651" s="206">
        <f>Q651*0.0015</f>
        <v>3537</v>
      </c>
      <c r="N651" s="34"/>
      <c r="O651" s="209">
        <f t="shared" si="260"/>
        <v>51</v>
      </c>
      <c r="P651" s="34">
        <f>$E651*$F651*$D651</f>
        <v>1989000</v>
      </c>
      <c r="Q651" s="34">
        <f>$E651*$I651*$D651</f>
        <v>2358000</v>
      </c>
      <c r="R651" s="7">
        <f>($N651-$K651-$L651-$M651)*$D651</f>
        <v>-3687</v>
      </c>
      <c r="S651" s="227">
        <f t="shared" si="261"/>
        <v>365313</v>
      </c>
      <c r="T651" s="249">
        <f t="shared" si="262"/>
        <v>0.18366666666666667</v>
      </c>
      <c r="U651" s="38"/>
      <c r="W651" s="33" t="e">
        <f>ING!W305/ING!V305-1</f>
        <v>#DIV/0!</v>
      </c>
    </row>
    <row r="652" spans="2:23" s="33" customFormat="1" ht="15" customHeight="1" x14ac:dyDescent="0.4">
      <c r="B652" s="38" t="s">
        <v>349</v>
      </c>
      <c r="C652" s="6" t="s">
        <v>160</v>
      </c>
      <c r="D652" s="6">
        <f>IF(OR($C652="신한",$C652="OTC",$C652="무상증자(신한)",$C652="토스",$C652="R토스"),1,"확인")</f>
        <v>1</v>
      </c>
      <c r="E652" s="34">
        <v>10</v>
      </c>
      <c r="F652" s="212">
        <v>202000</v>
      </c>
      <c r="G652" s="195">
        <v>45882</v>
      </c>
      <c r="H652" s="8"/>
      <c r="I652" s="212">
        <v>262000</v>
      </c>
      <c r="J652" s="8">
        <v>45931</v>
      </c>
      <c r="K652" s="23">
        <f>IF($C652="OTC",ROUNDDOWN($E652*$F652*0.000909187,-1),(IF($C652="신한",ROUNDDOWN($E652*$F652*0.000036396,-1),(IF($C652="토스",$E652*$F652*0.00015,(IF($C652="US",(IF($E652*$F652*0.0025&gt;0.01,$E652*$F652*0.0025,0.01)),IF($C652="JP",(IF($E652*$F652*0.0025&gt;1000,$E652*$F652*0.0025,1000)),(IF($C652="R토스",0,IF($C652="무상증자(신한)",0,"")))))))))))</f>
        <v>70</v>
      </c>
      <c r="L652" s="23">
        <f>IF($C652="OTC",ROUNDDOWN($I652*$E652*0.000909187,-1),(IF($C652="신한",ROUNDDOWN($I652*$E652*0.000036396,-1),(IF($C652="토스",$I652*$E652*0.00015,(IF($C652="US",(IF($I652*$E652*0.0025&gt;0.01,$I652*$E652*0.0025,0.01)),(IF($C652="JP",(IF($I652*$E652*0.0025&gt;1000,$I652*$E652*0.0025,1000)),(IF($C652="R토스",$I652*$E652*0.00015,(IF($C652="무상증자(신한)",ROUNDDOWN($I652*$E652*0.000036396,-1),"")))))))))))))</f>
        <v>90</v>
      </c>
      <c r="M652" s="206">
        <f>Q652*0.0015</f>
        <v>3930</v>
      </c>
      <c r="N652" s="34"/>
      <c r="O652" s="209">
        <f t="shared" si="260"/>
        <v>50</v>
      </c>
      <c r="P652" s="34">
        <f>$E652*$F652*$D652</f>
        <v>2020000</v>
      </c>
      <c r="Q652" s="34">
        <f>$E652*$I652*$D652</f>
        <v>2620000</v>
      </c>
      <c r="R652" s="7">
        <f>($N652-$K652-$L652-$M652)*$D652</f>
        <v>-4090</v>
      </c>
      <c r="S652" s="227">
        <f t="shared" si="261"/>
        <v>595910</v>
      </c>
      <c r="T652" s="249">
        <f t="shared" si="262"/>
        <v>0.29500495049504949</v>
      </c>
      <c r="U652" s="38"/>
    </row>
    <row r="653" spans="2:23" s="33" customFormat="1" ht="15" customHeight="1" x14ac:dyDescent="0.4">
      <c r="B653" s="38" t="s">
        <v>349</v>
      </c>
      <c r="C653" s="6" t="s">
        <v>160</v>
      </c>
      <c r="D653" s="6">
        <f>IF(OR($C653="신한",$C653="OTC",$C653="무상증자(신한)",$C653="토스",$C653="R토스"),1,"확인")</f>
        <v>1</v>
      </c>
      <c r="E653" s="34">
        <v>9</v>
      </c>
      <c r="F653" s="212">
        <v>212500</v>
      </c>
      <c r="G653" s="195">
        <v>45887</v>
      </c>
      <c r="H653" s="8"/>
      <c r="I653" s="212">
        <v>262000</v>
      </c>
      <c r="J653" s="8">
        <v>45931</v>
      </c>
      <c r="K653" s="23">
        <f>IF($C653="OTC",ROUNDDOWN($E653*$F653*0.000909187,-1),(IF($C653="신한",ROUNDDOWN($E653*$F653*0.000036396,-1),(IF($C653="토스",$E653*$F653*0.00015,(IF($C653="US",(IF($E653*$F653*0.0025&gt;0.01,$E653*$F653*0.0025,0.01)),IF($C653="JP",(IF($E653*$F653*0.0025&gt;1000,$E653*$F653*0.0025,1000)),(IF($C653="R토스",0,IF($C653="무상증자(신한)",0,"")))))))))))</f>
        <v>60</v>
      </c>
      <c r="L653" s="23">
        <f>IF($C653="OTC",ROUNDDOWN($I653*$E653*0.000909187,-1),(IF($C653="신한",ROUNDDOWN($I653*$E653*0.000036396,-1),(IF($C653="토스",$I653*$E653*0.00015,(IF($C653="US",(IF($I653*$E653*0.0025&gt;0.01,$I653*$E653*0.0025,0.01)),(IF($C653="JP",(IF($I653*$E653*0.0025&gt;1000,$I653*$E653*0.0025,1000)),(IF($C653="R토스",$I653*$E653*0.00015,(IF($C653="무상증자(신한)",ROUNDDOWN($I653*$E653*0.000036396,-1),"")))))))))))))</f>
        <v>80</v>
      </c>
      <c r="M653" s="206">
        <f>Q653*0.0015</f>
        <v>3537</v>
      </c>
      <c r="N653" s="34"/>
      <c r="O653" s="209">
        <f t="shared" si="260"/>
        <v>45</v>
      </c>
      <c r="P653" s="34">
        <f>$E653*$F653*$D653</f>
        <v>1912500</v>
      </c>
      <c r="Q653" s="34">
        <f>$E653*$I653*$D653</f>
        <v>2358000</v>
      </c>
      <c r="R653" s="7">
        <f>($N653-$K653-$L653-$M653)*$D653</f>
        <v>-3677</v>
      </c>
      <c r="S653" s="227">
        <f t="shared" si="261"/>
        <v>441823</v>
      </c>
      <c r="T653" s="249">
        <f t="shared" si="262"/>
        <v>0.23101856209150326</v>
      </c>
      <c r="U653" s="38"/>
    </row>
    <row r="654" spans="2:23" s="33" customFormat="1" ht="15" customHeight="1" x14ac:dyDescent="0.4">
      <c r="B654" s="198" t="s">
        <v>350</v>
      </c>
      <c r="C654" s="6" t="s">
        <v>162</v>
      </c>
      <c r="D654" s="15"/>
      <c r="E654" s="36">
        <v>45</v>
      </c>
      <c r="F654" s="212">
        <v>22100</v>
      </c>
      <c r="G654" s="195">
        <v>43619</v>
      </c>
      <c r="H654" s="8"/>
      <c r="I654" s="212">
        <v>24500</v>
      </c>
      <c r="J654" s="8">
        <v>43626</v>
      </c>
      <c r="K654" s="7">
        <f>ROUNDDOWN(E654*F654*0.0015,-1)</f>
        <v>1490</v>
      </c>
      <c r="L654" s="7">
        <f>ROUNDDOWN(I654*E654*0.0015,-1)</f>
        <v>1650</v>
      </c>
      <c r="M654" s="196">
        <f>ROUNDDOWN(I654*E654*0.0025, )</f>
        <v>2756</v>
      </c>
      <c r="N654" s="36"/>
      <c r="O654" s="191">
        <f t="shared" si="260"/>
        <v>8</v>
      </c>
      <c r="P654" s="36">
        <f>F654*E654</f>
        <v>994500</v>
      </c>
      <c r="Q654" s="36">
        <f>I654*E654</f>
        <v>1102500</v>
      </c>
      <c r="R654" s="7">
        <f>N654-K654-L654-M654</f>
        <v>-5896</v>
      </c>
      <c r="S654" s="227">
        <f t="shared" si="261"/>
        <v>102104</v>
      </c>
      <c r="T654" s="248">
        <f t="shared" si="262"/>
        <v>0.10266867772750125</v>
      </c>
      <c r="U654" s="193">
        <f>T654*365/O654</f>
        <v>4.6842584213172449</v>
      </c>
      <c r="V654" s="6"/>
    </row>
    <row r="655" spans="2:23" s="33" customFormat="1" ht="15" customHeight="1" x14ac:dyDescent="0.4">
      <c r="B655" s="198" t="s">
        <v>351</v>
      </c>
      <c r="C655" s="6" t="s">
        <v>162</v>
      </c>
      <c r="D655" s="15"/>
      <c r="E655" s="36">
        <v>100</v>
      </c>
      <c r="F655" s="212">
        <v>29800</v>
      </c>
      <c r="G655" s="195">
        <v>43878</v>
      </c>
      <c r="H655" s="8"/>
      <c r="I655" s="212">
        <v>35700</v>
      </c>
      <c r="J655" s="8">
        <v>43962</v>
      </c>
      <c r="K655" s="7">
        <f>ROUNDDOWN(E655*F655*0.0015,-1)</f>
        <v>4470</v>
      </c>
      <c r="L655" s="7">
        <f>ROUNDDOWN(I655*E655*0.0015,-1)</f>
        <v>5350</v>
      </c>
      <c r="M655" s="196">
        <f>ROUNDDOWN(I655*E655*0.0025, )</f>
        <v>8925</v>
      </c>
      <c r="N655" s="36"/>
      <c r="O655" s="191">
        <f t="shared" si="260"/>
        <v>85</v>
      </c>
      <c r="P655" s="36">
        <f>F655*E655</f>
        <v>2980000</v>
      </c>
      <c r="Q655" s="36">
        <f>I655*E655</f>
        <v>3570000</v>
      </c>
      <c r="R655" s="7">
        <f>N655-K655-L655-M655</f>
        <v>-18745</v>
      </c>
      <c r="S655" s="227">
        <f t="shared" si="261"/>
        <v>571255</v>
      </c>
      <c r="T655" s="248">
        <f t="shared" si="262"/>
        <v>0.1916963087248322</v>
      </c>
      <c r="U655" s="193">
        <f>T655*365/O655</f>
        <v>0.82316650217133824</v>
      </c>
      <c r="V655" s="6"/>
    </row>
    <row r="656" spans="2:23" s="33" customFormat="1" ht="15" customHeight="1" x14ac:dyDescent="0.4">
      <c r="B656" s="38" t="s">
        <v>351</v>
      </c>
      <c r="C656" s="6" t="s">
        <v>160</v>
      </c>
      <c r="D656" s="6">
        <f>IF(OR($C656="신한",$C656="OTC",$C656="무상증자(신한)",$C656="토스",$C656="R토스"),1,"확인")</f>
        <v>1</v>
      </c>
      <c r="E656" s="34">
        <v>207</v>
      </c>
      <c r="F656" s="212">
        <v>48100</v>
      </c>
      <c r="G656" s="195">
        <v>44039</v>
      </c>
      <c r="H656" s="8"/>
      <c r="I656" s="212">
        <v>45538</v>
      </c>
      <c r="J656" s="8">
        <v>44040</v>
      </c>
      <c r="K656" s="23">
        <f>IF($C656="OTC",ROUNDDOWN($E656*$F656*0.000909187,-1),(IF($C656="신한",ROUNDDOWN($E656*$F656*0.000036396,-1),(IF($C656="토스",$E656*$F656*0.00015,(IF($C656="US",(IF($E656*$F656*0.0025&gt;0.01,$E656*$F656*0.0025,0.01)),IF($C656="JP",(IF($E656*$F656*0.0025&gt;1000,$E656*$F656*0.0025,1000)),(IF($C656="R토스",0,IF($C656="무상증자(신한)",0,"")))))))))))</f>
        <v>360</v>
      </c>
      <c r="L656" s="23">
        <f>IF($C656="OTC",ROUNDDOWN($I656*$E656*0.000909187,-1),(IF($C656="신한",ROUNDDOWN($I656*$E656*0.000036396,-1),(IF($C656="토스",$I656*$E656*0.00015,(IF($C656="US",(IF($I656*$E656*0.0025&gt;0.01,$I656*$E656*0.0025,0.01)),(IF($C656="JP",(IF($I656*$E656*0.0025&gt;1000,$I656*$E656*0.0025,1000)),(IF($C656="R토스",$I656*$E656*0.00015,(IF($C656="무상증자(신한)",ROUNDDOWN($I656*$E656*0.000036396,-1),"")))))))))))))</f>
        <v>340</v>
      </c>
      <c r="M656" s="206">
        <f>Q656*0.0025</f>
        <v>23565.915000000001</v>
      </c>
      <c r="N656" s="34"/>
      <c r="O656" s="209">
        <f t="shared" si="260"/>
        <v>2</v>
      </c>
      <c r="P656" s="34">
        <f>$E656*$F656*$D656</f>
        <v>9956700</v>
      </c>
      <c r="Q656" s="34">
        <f>$E656*$I656*$D656</f>
        <v>9426366</v>
      </c>
      <c r="R656" s="7">
        <f>($N656-$K656-$L656-$M656)*$D656</f>
        <v>-24265.915000000001</v>
      </c>
      <c r="S656" s="227">
        <f t="shared" si="261"/>
        <v>-554599.91500000004</v>
      </c>
      <c r="T656" s="249">
        <f t="shared" si="262"/>
        <v>-5.5701177599003691E-2</v>
      </c>
      <c r="U656" s="38"/>
    </row>
    <row r="657" spans="2:22" ht="15" customHeight="1" x14ac:dyDescent="0.4">
      <c r="B657" s="38" t="s">
        <v>351</v>
      </c>
      <c r="C657" s="6" t="s">
        <v>160</v>
      </c>
      <c r="D657" s="6">
        <f>IF(OR($C657="신한",$C657="OTC",$C657="무상증자(신한)",$C657="토스",$C657="R토스"),1,"확인")</f>
        <v>1</v>
      </c>
      <c r="E657" s="34">
        <v>12</v>
      </c>
      <c r="F657" s="212">
        <v>23800</v>
      </c>
      <c r="G657" s="195">
        <v>44168</v>
      </c>
      <c r="H657" s="8"/>
      <c r="I657" s="212">
        <v>26800</v>
      </c>
      <c r="J657" s="8">
        <v>44182</v>
      </c>
      <c r="K657" s="23">
        <f>IF($C657="OTC",ROUNDDOWN($E657*$F657*0.000909187,-1),(IF($C657="신한",ROUNDDOWN($E657*$F657*0.000036396,-1),(IF($C657="토스",$E657*$F657*0.00015,(IF($C657="US",(IF($E657*$F657*0.0025&gt;0.01,$E657*$F657*0.0025,0.01)),IF($C657="JP",(IF($E657*$F657*0.0025&gt;1000,$E657*$F657*0.0025,1000)),(IF($C657="R토스",0,IF($C657="무상증자(신한)",0,"")))))))))))</f>
        <v>10</v>
      </c>
      <c r="L657" s="23">
        <f>IF($C657="OTC",ROUNDDOWN($I657*$E657*0.000909187,-1),(IF($C657="신한",ROUNDDOWN($I657*$E657*0.000036396,-1),(IF($C657="토스",$I657*$E657*0.00015,(IF($C657="US",(IF($I657*$E657*0.0025&gt;0.01,$I657*$E657*0.0025,0.01)),(IF($C657="JP",(IF($I657*$E657*0.0025&gt;1000,$I657*$E657*0.0025,1000)),(IF($C657="R토스",$I657*$E657*0.00015,(IF($C657="무상증자(신한)",ROUNDDOWN($I657*$E657*0.000036396,-1),"")))))))))))))</f>
        <v>10</v>
      </c>
      <c r="M657" s="206">
        <f>Q657*0.0025</f>
        <v>804</v>
      </c>
      <c r="N657" s="34"/>
      <c r="O657" s="209">
        <f t="shared" si="260"/>
        <v>15</v>
      </c>
      <c r="P657" s="34">
        <f>$E657*$F657*$D657</f>
        <v>285600</v>
      </c>
      <c r="Q657" s="34">
        <f>$E657*$I657*$D657</f>
        <v>321600</v>
      </c>
      <c r="R657" s="7">
        <f>($N657-$K657-$L657-$M657)*$D657</f>
        <v>-824</v>
      </c>
      <c r="S657" s="227">
        <f t="shared" si="261"/>
        <v>35176</v>
      </c>
      <c r="T657" s="249">
        <f t="shared" si="262"/>
        <v>0.12316526610644257</v>
      </c>
      <c r="U657" s="38"/>
      <c r="V657" s="33"/>
    </row>
    <row r="658" spans="2:22" ht="15" customHeight="1" x14ac:dyDescent="0.4">
      <c r="B658" s="38" t="s">
        <v>351</v>
      </c>
      <c r="C658" s="6" t="s">
        <v>160</v>
      </c>
      <c r="D658" s="6">
        <f>IF(OR($C658="신한",$C658="OTC",$C658="무상증자(신한)",$C658="토스",$C658="R토스"),1,"확인")</f>
        <v>1</v>
      </c>
      <c r="E658" s="34">
        <v>20</v>
      </c>
      <c r="F658" s="212">
        <v>24500</v>
      </c>
      <c r="G658" s="195">
        <v>44173</v>
      </c>
      <c r="H658" s="8"/>
      <c r="I658" s="212">
        <v>26800</v>
      </c>
      <c r="J658" s="8">
        <v>44182</v>
      </c>
      <c r="K658" s="23">
        <f>IF($C658="OTC",ROUNDDOWN($E658*$F658*0.000909187,-1),(IF($C658="신한",ROUNDDOWN($E658*$F658*0.000036396,-1),(IF($C658="토스",$E658*$F658*0.00015,(IF($C658="US",(IF($E658*$F658*0.0025&gt;0.01,$E658*$F658*0.0025,0.01)),IF($C658="JP",(IF($E658*$F658*0.0025&gt;1000,$E658*$F658*0.0025,1000)),(IF($C658="R토스",0,IF($C658="무상증자(신한)",0,"")))))))))))</f>
        <v>10</v>
      </c>
      <c r="L658" s="23">
        <f>IF($C658="OTC",ROUNDDOWN($I658*$E658*0.000909187,-1),(IF($C658="신한",ROUNDDOWN($I658*$E658*0.000036396,-1),(IF($C658="토스",$I658*$E658*0.00015,(IF($C658="US",(IF($I658*$E658*0.0025&gt;0.01,$I658*$E658*0.0025,0.01)),(IF($C658="JP",(IF($I658*$E658*0.0025&gt;1000,$I658*$E658*0.0025,1000)),(IF($C658="R토스",$I658*$E658*0.00015,(IF($C658="무상증자(신한)",ROUNDDOWN($I658*$E658*0.000036396,-1),"")))))))))))))</f>
        <v>10</v>
      </c>
      <c r="M658" s="206">
        <f>Q658*0.0025</f>
        <v>1340</v>
      </c>
      <c r="N658" s="34"/>
      <c r="O658" s="209">
        <f t="shared" si="260"/>
        <v>10</v>
      </c>
      <c r="P658" s="34">
        <f>$E658*$F658*$D658</f>
        <v>490000</v>
      </c>
      <c r="Q658" s="34">
        <f>$E658*$I658*$D658</f>
        <v>536000</v>
      </c>
      <c r="R658" s="7">
        <f>($N658-$K658-$L658-$M658)*$D658</f>
        <v>-1360</v>
      </c>
      <c r="S658" s="227">
        <f t="shared" si="261"/>
        <v>44640</v>
      </c>
      <c r="T658" s="249">
        <f t="shared" si="262"/>
        <v>9.1102040816326529E-2</v>
      </c>
      <c r="U658" s="38"/>
      <c r="V658" s="33"/>
    </row>
    <row r="659" spans="2:22" ht="15" customHeight="1" x14ac:dyDescent="0.4">
      <c r="B659" s="38" t="s">
        <v>352</v>
      </c>
      <c r="C659" s="6" t="s">
        <v>185</v>
      </c>
      <c r="D659" s="6"/>
      <c r="E659" s="36">
        <v>5</v>
      </c>
      <c r="F659" s="212">
        <v>10000</v>
      </c>
      <c r="G659" s="195">
        <v>39444</v>
      </c>
      <c r="H659" s="8"/>
      <c r="I659" s="212">
        <v>10500</v>
      </c>
      <c r="J659" s="8">
        <v>39583</v>
      </c>
      <c r="K659" s="7">
        <f>ROUNDDOWN(E659*F659*0.005,-1)</f>
        <v>250</v>
      </c>
      <c r="L659" s="7">
        <f>ROUNDDOWN(I659*E659*0.005,-1)</f>
        <v>260</v>
      </c>
      <c r="M659" s="196">
        <f>I659*E659*0.003</f>
        <v>157.5</v>
      </c>
      <c r="N659" s="36">
        <v>375</v>
      </c>
      <c r="O659" s="191">
        <f t="shared" si="260"/>
        <v>140</v>
      </c>
      <c r="P659" s="36">
        <f>F659*E659</f>
        <v>50000</v>
      </c>
      <c r="Q659" s="36">
        <f>I659*E659</f>
        <v>52500</v>
      </c>
      <c r="R659" s="7">
        <f>N659-K659-L659-M659</f>
        <v>-292.5</v>
      </c>
      <c r="S659" s="227">
        <f t="shared" si="261"/>
        <v>2207.5</v>
      </c>
      <c r="T659" s="248">
        <f t="shared" si="262"/>
        <v>4.4150000000000002E-2</v>
      </c>
      <c r="U659" s="193">
        <f>T659*365/O659</f>
        <v>0.11510535714285715</v>
      </c>
      <c r="V659" s="6"/>
    </row>
    <row r="660" spans="2:22" ht="15" customHeight="1" x14ac:dyDescent="0.4">
      <c r="B660" s="38" t="s">
        <v>352</v>
      </c>
      <c r="C660" s="6" t="s">
        <v>162</v>
      </c>
      <c r="D660" s="6"/>
      <c r="E660" s="36">
        <v>100</v>
      </c>
      <c r="F660" s="212">
        <v>13150</v>
      </c>
      <c r="G660" s="195">
        <v>42587</v>
      </c>
      <c r="H660" s="8"/>
      <c r="I660" s="212">
        <v>13500</v>
      </c>
      <c r="J660" s="8">
        <v>42591</v>
      </c>
      <c r="K660" s="7">
        <f>ROUNDDOWN(E660*F660*0.0015,-1)</f>
        <v>1970</v>
      </c>
      <c r="L660" s="7">
        <f>ROUNDDOWN(I660*E660*0.0015,-1)</f>
        <v>2020</v>
      </c>
      <c r="M660" s="196">
        <f>I660*E660*0.003</f>
        <v>4050</v>
      </c>
      <c r="N660" s="36"/>
      <c r="O660" s="191">
        <f t="shared" si="260"/>
        <v>5</v>
      </c>
      <c r="P660" s="36">
        <f>F660*E660</f>
        <v>1315000</v>
      </c>
      <c r="Q660" s="36">
        <f>I660*E660</f>
        <v>1350000</v>
      </c>
      <c r="R660" s="7">
        <f>N660-K660-L660-M660</f>
        <v>-8040</v>
      </c>
      <c r="S660" s="227">
        <f t="shared" si="261"/>
        <v>26960</v>
      </c>
      <c r="T660" s="248">
        <f t="shared" si="262"/>
        <v>2.0501901140684411E-2</v>
      </c>
      <c r="U660" s="193">
        <f>T660*365/O660</f>
        <v>1.4966387832699621</v>
      </c>
      <c r="V660" s="6"/>
    </row>
    <row r="661" spans="2:22" ht="15" customHeight="1" x14ac:dyDescent="0.4">
      <c r="B661" s="38" t="s">
        <v>352</v>
      </c>
      <c r="C661" s="6" t="s">
        <v>160</v>
      </c>
      <c r="D661" s="6">
        <f>IF(OR($C661="신한",$C661="OTC",$C661="무상증자(신한)",$C661="토스",$C661="R토스"),1,"확인")</f>
        <v>1</v>
      </c>
      <c r="E661" s="34">
        <v>25</v>
      </c>
      <c r="F661" s="212">
        <v>47500</v>
      </c>
      <c r="G661" s="195">
        <v>44180</v>
      </c>
      <c r="H661" s="8"/>
      <c r="I661" s="212">
        <v>50000</v>
      </c>
      <c r="J661" s="8">
        <v>44189</v>
      </c>
      <c r="K661" s="23">
        <f>IF($C661="OTC",ROUNDDOWN($E661*$F661*0.000909187,-1),(IF($C661="신한",ROUNDDOWN($E661*$F661*0.000036396,-1),(IF($C661="토스",$E661*$F661*0.00015,(IF($C661="US",(IF($E661*$F661*0.0025&gt;0.01,$E661*$F661*0.0025,0.01)),IF($C661="JP",(IF($E661*$F661*0.0025&gt;1000,$E661*$F661*0.0025,1000)),(IF($C661="R토스",0,IF($C661="무상증자(신한)",0,"")))))))))))</f>
        <v>40</v>
      </c>
      <c r="L661" s="23">
        <f>IF($C661="OTC",ROUNDDOWN($I661*$E661*0.000909187,-1),(IF($C661="신한",ROUNDDOWN($I661*$E661*0.000036396,-1),(IF($C661="토스",$I661*$E661*0.00015,(IF($C661="US",(IF($I661*$E661*0.0025&gt;0.01,$I661*$E661*0.0025,0.01)),(IF($C661="JP",(IF($I661*$E661*0.0025&gt;1000,$I661*$E661*0.0025,1000)),(IF($C661="R토스",$I661*$E661*0.00015,(IF($C661="무상증자(신한)",ROUNDDOWN($I661*$E661*0.000036396,-1),"")))))))))))))</f>
        <v>40</v>
      </c>
      <c r="M661" s="206">
        <f>Q661*0.0025</f>
        <v>3125</v>
      </c>
      <c r="N661" s="34"/>
      <c r="O661" s="209">
        <f t="shared" si="260"/>
        <v>10</v>
      </c>
      <c r="P661" s="34">
        <f>$E661*$F661*$D661</f>
        <v>1187500</v>
      </c>
      <c r="Q661" s="34">
        <f>$E661*$I661*$D661</f>
        <v>1250000</v>
      </c>
      <c r="R661" s="7">
        <f>($N661-$K661-$L661-$M661)*$D661</f>
        <v>-3205</v>
      </c>
      <c r="S661" s="227">
        <f t="shared" si="261"/>
        <v>59295</v>
      </c>
      <c r="T661" s="249">
        <f t="shared" si="262"/>
        <v>4.9932631578947367E-2</v>
      </c>
      <c r="U661" s="38"/>
      <c r="V661" s="33"/>
    </row>
    <row r="662" spans="2:22" ht="15" customHeight="1" x14ac:dyDescent="0.4">
      <c r="B662" s="38" t="s">
        <v>352</v>
      </c>
      <c r="C662" s="6" t="s">
        <v>160</v>
      </c>
      <c r="D662" s="6">
        <f>IF(OR($C662="신한",$C662="OTC",$C662="무상증자(신한)",$C662="토스",$C662="R토스"),1,"확인")</f>
        <v>1</v>
      </c>
      <c r="E662" s="34">
        <v>20</v>
      </c>
      <c r="F662" s="212">
        <v>46500</v>
      </c>
      <c r="G662" s="195">
        <v>44186</v>
      </c>
      <c r="H662" s="8"/>
      <c r="I662" s="212">
        <v>50000</v>
      </c>
      <c r="J662" s="8">
        <v>44189</v>
      </c>
      <c r="K662" s="23">
        <f>IF($C662="OTC",ROUNDDOWN($E662*$F662*0.000909187,-1),(IF($C662="신한",ROUNDDOWN($E662*$F662*0.000036396,-1),(IF($C662="토스",$E662*$F662*0.00015,(IF($C662="US",(IF($E662*$F662*0.0025&gt;0.01,$E662*$F662*0.0025,0.01)),IF($C662="JP",(IF($E662*$F662*0.0025&gt;1000,$E662*$F662*0.0025,1000)),(IF($C662="R토스",0,IF($C662="무상증자(신한)",0,"")))))))))))</f>
        <v>30</v>
      </c>
      <c r="L662" s="23">
        <f>IF($C662="OTC",ROUNDDOWN($I662*$E662*0.000909187,-1),(IF($C662="신한",ROUNDDOWN($I662*$E662*0.000036396,-1),(IF($C662="토스",$I662*$E662*0.00015,(IF($C662="US",(IF($I662*$E662*0.0025&gt;0.01,$I662*$E662*0.0025,0.01)),(IF($C662="JP",(IF($I662*$E662*0.0025&gt;1000,$I662*$E662*0.0025,1000)),(IF($C662="R토스",$I662*$E662*0.00015,(IF($C662="무상증자(신한)",ROUNDDOWN($I662*$E662*0.000036396,-1),"")))))))))))))</f>
        <v>30</v>
      </c>
      <c r="M662" s="206">
        <f>Q662*0.0025</f>
        <v>2500</v>
      </c>
      <c r="N662" s="34"/>
      <c r="O662" s="209">
        <f t="shared" si="260"/>
        <v>4</v>
      </c>
      <c r="P662" s="34">
        <f>$E662*$F662*$D662</f>
        <v>930000</v>
      </c>
      <c r="Q662" s="34">
        <f>$E662*$I662*$D662</f>
        <v>1000000</v>
      </c>
      <c r="R662" s="7">
        <f>($N662-$K662-$L662-$M662)*$D662</f>
        <v>-2560</v>
      </c>
      <c r="S662" s="227">
        <f t="shared" si="261"/>
        <v>67440</v>
      </c>
      <c r="T662" s="249">
        <f t="shared" si="262"/>
        <v>7.251612903225807E-2</v>
      </c>
      <c r="U662" s="38"/>
      <c r="V662" s="33"/>
    </row>
    <row r="663" spans="2:22" ht="15" customHeight="1" x14ac:dyDescent="0.4">
      <c r="B663" s="38" t="s">
        <v>353</v>
      </c>
      <c r="C663" s="6" t="s">
        <v>160</v>
      </c>
      <c r="D663" s="6">
        <f>IF(OR($C663="신한",$C663="OTC",$C663="무상증자(신한)",$C663="토스",$C663="R토스"),1,"확인")</f>
        <v>1</v>
      </c>
      <c r="E663" s="34">
        <v>14</v>
      </c>
      <c r="F663" s="212">
        <v>134200</v>
      </c>
      <c r="G663" s="195">
        <v>44021</v>
      </c>
      <c r="H663" s="8"/>
      <c r="I663" s="212">
        <v>136600</v>
      </c>
      <c r="J663" s="8">
        <v>44025</v>
      </c>
      <c r="K663" s="23">
        <f>IF($C663="OTC",ROUNDDOWN($E663*$F663*0.000909187,-1),(IF($C663="신한",ROUNDDOWN($E663*$F663*0.000036396,-1),(IF($C663="토스",$E663*$F663*0.00015,(IF($C663="US",(IF($E663*$F663*0.0025&gt;0.01,$E663*$F663*0.0025,0.01)),IF($C663="JP",(IF($E663*$F663*0.0025&gt;1000,$E663*$F663*0.0025,1000)),(IF($C663="R토스",0,IF($C663="무상증자(신한)",0,"")))))))))))</f>
        <v>60</v>
      </c>
      <c r="L663" s="23">
        <f>IF($C663="OTC",ROUNDDOWN($I663*$E663*0.000909187,-1),(IF($C663="신한",ROUNDDOWN($I663*$E663*0.000036396,-1),(IF($C663="토스",$I663*$E663*0.00015,(IF($C663="US",(IF($I663*$E663*0.0025&gt;0.01,$I663*$E663*0.0025,0.01)),(IF($C663="JP",(IF($I663*$E663*0.0025&gt;1000,$I663*$E663*0.0025,1000)),(IF($C663="R토스",$I663*$E663*0.00015,(IF($C663="무상증자(신한)",ROUNDDOWN($I663*$E663*0.000036396,-1),"")))))))))))))</f>
        <v>60</v>
      </c>
      <c r="M663" s="206">
        <f>Q663*0.0025</f>
        <v>4781</v>
      </c>
      <c r="N663" s="34"/>
      <c r="O663" s="209">
        <f t="shared" si="260"/>
        <v>5</v>
      </c>
      <c r="P663" s="34">
        <f>$E663*$F663*$D663</f>
        <v>1878800</v>
      </c>
      <c r="Q663" s="34">
        <f>$E663*$I663*$D663</f>
        <v>1912400</v>
      </c>
      <c r="R663" s="7">
        <f>($N663-$K663-$L663-$M663)*$D663</f>
        <v>-4901</v>
      </c>
      <c r="S663" s="227">
        <f t="shared" si="261"/>
        <v>28699</v>
      </c>
      <c r="T663" s="248">
        <f t="shared" si="262"/>
        <v>1.5275175644028104E-2</v>
      </c>
      <c r="U663" s="38"/>
      <c r="V663" s="33"/>
    </row>
    <row r="664" spans="2:22" s="33" customFormat="1" ht="15" customHeight="1" x14ac:dyDescent="0.4">
      <c r="B664" s="38" t="s">
        <v>354</v>
      </c>
      <c r="C664" s="6" t="s">
        <v>162</v>
      </c>
      <c r="D664" s="6"/>
      <c r="E664" s="33">
        <v>40</v>
      </c>
      <c r="F664" s="212">
        <v>6600</v>
      </c>
      <c r="G664" s="195">
        <v>43110</v>
      </c>
      <c r="H664" s="8"/>
      <c r="I664" s="212">
        <v>7910</v>
      </c>
      <c r="J664" s="8">
        <v>43122</v>
      </c>
      <c r="K664" s="7">
        <f>ROUNDDOWN(E664*F664*0.0015,-1)</f>
        <v>390</v>
      </c>
      <c r="L664" s="7">
        <f>ROUNDDOWN(I664*E664*0.0015,-1)</f>
        <v>470</v>
      </c>
      <c r="M664" s="196">
        <f>I664*E664*0.003</f>
        <v>949.2</v>
      </c>
      <c r="N664" s="36"/>
      <c r="O664" s="191">
        <f t="shared" si="260"/>
        <v>13</v>
      </c>
      <c r="P664" s="36">
        <f>F664*E664</f>
        <v>264000</v>
      </c>
      <c r="Q664" s="36">
        <f>I664*E664</f>
        <v>316400</v>
      </c>
      <c r="R664" s="7">
        <f>N664-K664-L664-M664</f>
        <v>-1809.2</v>
      </c>
      <c r="S664" s="227">
        <f t="shared" si="261"/>
        <v>50590.8</v>
      </c>
      <c r="T664" s="248">
        <f t="shared" si="262"/>
        <v>0.19163181818181818</v>
      </c>
      <c r="U664" s="193">
        <f>T664*365/O664</f>
        <v>5.380431818181818</v>
      </c>
      <c r="V664" s="6"/>
    </row>
    <row r="665" spans="2:22" ht="15" customHeight="1" x14ac:dyDescent="0.4">
      <c r="B665" s="316" t="s">
        <v>355</v>
      </c>
      <c r="C665" s="270" t="s">
        <v>162</v>
      </c>
      <c r="D665" s="271">
        <v>1231.3</v>
      </c>
      <c r="E665" s="270">
        <v>4</v>
      </c>
      <c r="F665" s="67">
        <v>266.08999999999997</v>
      </c>
      <c r="G665" s="321">
        <v>43937</v>
      </c>
      <c r="H665" s="263"/>
      <c r="I665" s="67">
        <v>325</v>
      </c>
      <c r="J665" s="272">
        <v>43971</v>
      </c>
      <c r="K665" s="274">
        <f>ROUNDDOWN(E665*F665*0.001, 2)</f>
        <v>1.06</v>
      </c>
      <c r="L665" s="271">
        <f>ROUNDDOWN(E665*I665*0.001, 2)</f>
        <v>1.3</v>
      </c>
      <c r="M665" s="324">
        <f>ROUNDUP((E665*I665*0.0000221),2)</f>
        <v>0.03</v>
      </c>
      <c r="N665" s="274"/>
      <c r="O665" s="329">
        <f>IF(J665="","",J665-G665+1)</f>
        <v>35</v>
      </c>
      <c r="P665" s="34">
        <f>$E665*$F665*$D665</f>
        <v>1310546.4679999999</v>
      </c>
      <c r="Q665" s="34">
        <f>$E665*$I665*$D665</f>
        <v>1600690</v>
      </c>
      <c r="R665" s="7">
        <f>($N665-$K665-$L665-$M665)*$D665</f>
        <v>-2942.8070000000002</v>
      </c>
      <c r="S665" s="69">
        <f>IF(Q665=0,"",Q665-P665+R665)</f>
        <v>287200.72500000015</v>
      </c>
      <c r="T665" s="332">
        <f>IF(Q665=0,"",S665/P665)</f>
        <v>0.21914577774437233</v>
      </c>
      <c r="U665" s="334"/>
      <c r="V665" s="93">
        <f>K665/(E665*F665)</f>
        <v>9.9590364162501421E-4</v>
      </c>
    </row>
    <row r="666" spans="2:22" s="33" customFormat="1" ht="15" customHeight="1" x14ac:dyDescent="0.4">
      <c r="B666" s="198" t="s">
        <v>356</v>
      </c>
      <c r="C666" s="6" t="s">
        <v>162</v>
      </c>
      <c r="D666" s="15"/>
      <c r="E666" s="36">
        <v>7252</v>
      </c>
      <c r="F666" s="212">
        <v>3770</v>
      </c>
      <c r="G666" s="195">
        <v>43564</v>
      </c>
      <c r="H666" s="8"/>
      <c r="I666" s="212">
        <v>4200</v>
      </c>
      <c r="J666" s="8">
        <v>43609</v>
      </c>
      <c r="K666" s="7">
        <f>ROUNDDOWN(E666*F666*0.0015,-1)</f>
        <v>41010</v>
      </c>
      <c r="L666" s="7">
        <f>ROUNDDOWN(I666*E666*0.0015,-1)</f>
        <v>45680</v>
      </c>
      <c r="M666" s="196">
        <f>I666*E666*0.003</f>
        <v>91375.2</v>
      </c>
      <c r="N666" s="36"/>
      <c r="O666" s="191">
        <f t="shared" ref="O666:O729" si="263">J666-G666+1</f>
        <v>46</v>
      </c>
      <c r="P666" s="36">
        <f>F666*E666</f>
        <v>27340040</v>
      </c>
      <c r="Q666" s="36">
        <f>I666*E666</f>
        <v>30458400</v>
      </c>
      <c r="R666" s="7">
        <f>N666-K666-L666-M666</f>
        <v>-178065.2</v>
      </c>
      <c r="S666" s="227">
        <f t="shared" ref="S666:S729" si="264">IF(Q666=0,0,Q666-P666+R666)</f>
        <v>2940294.8</v>
      </c>
      <c r="T666" s="248">
        <f t="shared" ref="T666:T729" si="265">S666/P666</f>
        <v>0.1075453730133533</v>
      </c>
      <c r="U666" s="9">
        <f>T666*365/O666</f>
        <v>0.85334915543204248</v>
      </c>
      <c r="V666" s="6"/>
    </row>
    <row r="667" spans="2:22" s="33" customFormat="1" ht="15" customHeight="1" x14ac:dyDescent="0.4">
      <c r="B667" s="198" t="s">
        <v>356</v>
      </c>
      <c r="C667" s="6" t="s">
        <v>162</v>
      </c>
      <c r="D667" s="15"/>
      <c r="E667" s="36">
        <v>2748</v>
      </c>
      <c r="F667" s="212">
        <v>3770</v>
      </c>
      <c r="G667" s="195">
        <v>43564</v>
      </c>
      <c r="H667" s="8"/>
      <c r="I667" s="212">
        <v>4600</v>
      </c>
      <c r="J667" s="8">
        <v>43606</v>
      </c>
      <c r="K667" s="7">
        <f>ROUNDDOWN(E667*F667*0.0015,-1)</f>
        <v>15530</v>
      </c>
      <c r="L667" s="7">
        <f>ROUNDDOWN(I667*E667*0.0015,-1)</f>
        <v>18960</v>
      </c>
      <c r="M667" s="196">
        <f>I667*E667*0.003</f>
        <v>37922.400000000001</v>
      </c>
      <c r="N667" s="36"/>
      <c r="O667" s="191">
        <f t="shared" si="263"/>
        <v>43</v>
      </c>
      <c r="P667" s="36">
        <f>F667*E667</f>
        <v>10359960</v>
      </c>
      <c r="Q667" s="36">
        <f>I667*E667</f>
        <v>12640800</v>
      </c>
      <c r="R667" s="7">
        <f>N667-K667-L667-M667</f>
        <v>-72412.399999999994</v>
      </c>
      <c r="S667" s="227">
        <f t="shared" si="264"/>
        <v>2208427.6</v>
      </c>
      <c r="T667" s="248">
        <f t="shared" si="265"/>
        <v>0.21316951030698961</v>
      </c>
      <c r="U667" s="9">
        <f>T667*365/O667</f>
        <v>1.8094621223732839</v>
      </c>
      <c r="V667" s="6"/>
    </row>
    <row r="668" spans="2:22" s="33" customFormat="1" ht="15" customHeight="1" x14ac:dyDescent="0.4">
      <c r="B668" s="198" t="s">
        <v>356</v>
      </c>
      <c r="C668" s="6" t="s">
        <v>162</v>
      </c>
      <c r="D668" s="15"/>
      <c r="E668" s="36">
        <v>2500</v>
      </c>
      <c r="F668" s="212">
        <v>3770</v>
      </c>
      <c r="G668" s="195">
        <v>43564</v>
      </c>
      <c r="H668" s="8"/>
      <c r="I668" s="212">
        <v>4300</v>
      </c>
      <c r="J668" s="8">
        <v>43587</v>
      </c>
      <c r="K668" s="7">
        <f>ROUNDDOWN(E668*F668*0.0015,-1)</f>
        <v>14130</v>
      </c>
      <c r="L668" s="7">
        <f>ROUNDDOWN(I668*E668*0.0015,-1)</f>
        <v>16120</v>
      </c>
      <c r="M668" s="196">
        <f>I668*E668*0.003</f>
        <v>32250</v>
      </c>
      <c r="N668" s="36"/>
      <c r="O668" s="191">
        <f t="shared" si="263"/>
        <v>24</v>
      </c>
      <c r="P668" s="36">
        <f>F668*E668</f>
        <v>9425000</v>
      </c>
      <c r="Q668" s="36">
        <f>I668*E668</f>
        <v>10750000</v>
      </c>
      <c r="R668" s="7">
        <f>N668-K668-L668-M668</f>
        <v>-62500</v>
      </c>
      <c r="S668" s="227">
        <f t="shared" si="264"/>
        <v>1262500</v>
      </c>
      <c r="T668" s="248">
        <f t="shared" si="265"/>
        <v>0.13395225464190982</v>
      </c>
      <c r="U668" s="9">
        <f>T668*365/O668</f>
        <v>2.0371905393457119</v>
      </c>
      <c r="V668" s="6"/>
    </row>
    <row r="669" spans="2:22" ht="15" customHeight="1" x14ac:dyDescent="0.4">
      <c r="B669" s="198" t="s">
        <v>356</v>
      </c>
      <c r="C669" s="6" t="s">
        <v>162</v>
      </c>
      <c r="D669" s="15"/>
      <c r="E669" s="36">
        <v>2500</v>
      </c>
      <c r="F669" s="212">
        <v>3770</v>
      </c>
      <c r="G669" s="195">
        <v>43564</v>
      </c>
      <c r="H669" s="8"/>
      <c r="I669" s="212">
        <v>4555</v>
      </c>
      <c r="J669" s="8">
        <v>43587</v>
      </c>
      <c r="K669" s="7">
        <f>ROUNDDOWN(E669*F669*0.0015,-1)</f>
        <v>14130</v>
      </c>
      <c r="L669" s="7">
        <f>ROUNDDOWN(I669*E669*0.0015,-1)</f>
        <v>17080</v>
      </c>
      <c r="M669" s="196">
        <f>I669*E669*0.003</f>
        <v>34162.5</v>
      </c>
      <c r="N669" s="36"/>
      <c r="O669" s="191">
        <f t="shared" si="263"/>
        <v>24</v>
      </c>
      <c r="P669" s="36">
        <f>F669*E669</f>
        <v>9425000</v>
      </c>
      <c r="Q669" s="36">
        <f>I669*E669</f>
        <v>11387500</v>
      </c>
      <c r="R669" s="7">
        <f>N669-K669-L669-M669</f>
        <v>-65372.5</v>
      </c>
      <c r="S669" s="227">
        <f t="shared" si="264"/>
        <v>1897127.5</v>
      </c>
      <c r="T669" s="248">
        <f t="shared" si="265"/>
        <v>0.20128673740053049</v>
      </c>
      <c r="U669" s="193">
        <f>T669*365/O669</f>
        <v>3.0612357979664009</v>
      </c>
      <c r="V669" s="6"/>
    </row>
    <row r="670" spans="2:22" ht="15" customHeight="1" x14ac:dyDescent="0.4">
      <c r="B670" s="38" t="s">
        <v>357</v>
      </c>
      <c r="C670" s="6" t="s">
        <v>160</v>
      </c>
      <c r="D670" s="6">
        <f>IF(OR($C670="신한",$C670="OTC",$C670="무상증자(신한)",$C670="토스",$C670="R토스"),1,"확인")</f>
        <v>1</v>
      </c>
      <c r="E670" s="34">
        <v>20</v>
      </c>
      <c r="F670" s="212">
        <v>96000</v>
      </c>
      <c r="G670" s="195">
        <v>44026</v>
      </c>
      <c r="H670" s="8"/>
      <c r="I670" s="212">
        <v>105000</v>
      </c>
      <c r="J670" s="8">
        <v>44039</v>
      </c>
      <c r="K670" s="23">
        <f>IF($C670="OTC",ROUNDDOWN($E670*$F670*0.000909187,-1),(IF($C670="신한",ROUNDDOWN($E670*$F670*0.000036396,-1),(IF($C670="토스",$E670*$F670*0.00015,(IF($C670="US",(IF($E670*$F670*0.0025&gt;0.01,$E670*$F670*0.0025,0.01)),IF($C670="JP",(IF($E670*$F670*0.0025&gt;1000,$E670*$F670*0.0025,1000)),(IF($C670="R토스",0,IF($C670="무상증자(신한)",0,"")))))))))))</f>
        <v>60</v>
      </c>
      <c r="L670" s="23">
        <f>IF($C670="OTC",ROUNDDOWN($I670*$E670*0.000909187,-1),(IF($C670="신한",ROUNDDOWN($I670*$E670*0.000036396,-1),(IF($C670="토스",$I670*$E670*0.00015,(IF($C670="US",(IF($I670*$E670*0.0025&gt;0.01,$I670*$E670*0.0025,0.01)),(IF($C670="JP",(IF($I670*$E670*0.0025&gt;1000,$I670*$E670*0.0025,1000)),(IF($C670="R토스",$I670*$E670*0.00015,(IF($C670="무상증자(신한)",ROUNDDOWN($I670*$E670*0.000036396,-1),"")))))))))))))</f>
        <v>70</v>
      </c>
      <c r="M670" s="206">
        <f>Q670*0.0025</f>
        <v>5250</v>
      </c>
      <c r="N670" s="34"/>
      <c r="O670" s="209">
        <f t="shared" si="263"/>
        <v>14</v>
      </c>
      <c r="P670" s="34">
        <f>$E670*$F670*$D670</f>
        <v>1920000</v>
      </c>
      <c r="Q670" s="34">
        <f>$E670*$I670*$D670</f>
        <v>2100000</v>
      </c>
      <c r="R670" s="7">
        <f>($N670-$K670-$L670-$M670)*$D670</f>
        <v>-5380</v>
      </c>
      <c r="S670" s="227">
        <f t="shared" si="264"/>
        <v>174620</v>
      </c>
      <c r="T670" s="248">
        <f t="shared" si="265"/>
        <v>9.094791666666667E-2</v>
      </c>
      <c r="U670" s="38"/>
      <c r="V670" s="33"/>
    </row>
    <row r="671" spans="2:22" s="33" customFormat="1" ht="15" customHeight="1" x14ac:dyDescent="0.4">
      <c r="B671" s="38" t="s">
        <v>358</v>
      </c>
      <c r="C671" s="6" t="s">
        <v>187</v>
      </c>
      <c r="D671" s="6"/>
      <c r="E671" s="36">
        <v>200</v>
      </c>
      <c r="F671" s="212">
        <v>3690</v>
      </c>
      <c r="G671" s="195">
        <v>42362</v>
      </c>
      <c r="H671" s="8"/>
      <c r="I671" s="212">
        <v>3900</v>
      </c>
      <c r="J671" s="8">
        <v>42388</v>
      </c>
      <c r="K671" s="7">
        <f>ROUNDDOWN(E671*F671*0.00015,-1)</f>
        <v>110</v>
      </c>
      <c r="L671" s="7">
        <f>ROUNDDOWN(I671*E671*0.00015,-1)</f>
        <v>110</v>
      </c>
      <c r="M671" s="196">
        <f>I671*E671*0.003</f>
        <v>2340</v>
      </c>
      <c r="N671" s="36"/>
      <c r="O671" s="191">
        <f t="shared" si="263"/>
        <v>27</v>
      </c>
      <c r="P671" s="36">
        <f>F671*E671</f>
        <v>738000</v>
      </c>
      <c r="Q671" s="36">
        <f>I671*E671</f>
        <v>780000</v>
      </c>
      <c r="R671" s="7">
        <f>N671-K671-L671-M671</f>
        <v>-2560</v>
      </c>
      <c r="S671" s="227">
        <f t="shared" si="264"/>
        <v>39440</v>
      </c>
      <c r="T671" s="248">
        <f t="shared" si="265"/>
        <v>5.3441734417344171E-2</v>
      </c>
      <c r="U671" s="9">
        <f>T671*365/O671</f>
        <v>0.72245307638261569</v>
      </c>
      <c r="V671" s="6"/>
    </row>
    <row r="672" spans="2:22" s="33" customFormat="1" ht="15" customHeight="1" x14ac:dyDescent="0.4">
      <c r="B672" s="262" t="s">
        <v>359</v>
      </c>
      <c r="C672" s="263" t="s">
        <v>175</v>
      </c>
      <c r="D672" s="263">
        <v>11.357100000000001</v>
      </c>
      <c r="E672" s="264">
        <v>100</v>
      </c>
      <c r="F672" s="212">
        <v>815</v>
      </c>
      <c r="G672" s="265">
        <v>44167</v>
      </c>
      <c r="H672" s="266"/>
      <c r="I672" s="212">
        <v>985</v>
      </c>
      <c r="J672" s="266">
        <v>44209</v>
      </c>
      <c r="K672" s="275">
        <f>IF($C672="OTC",ROUNDDOWN($E672*$F672*0.000909187,-1),(IF($C672="신한",ROUNDDOWN($E672*$F672*0.000036396,-1),(IF($C672="토스",$E672*$F672*0.00015,(IF($C672="US",(IF($E672*$F672*0.0025&gt;0.01,$E672*$F672*0.0025,0.01)),IF($C672="JP",(IF($E672*$F672*0.0025&gt;1000,$E672*$F672*0.0025,1000)),(IF($C672="R토스",0,IF($C672="무상증자(신한)",0,"")))))))))))</f>
        <v>1000</v>
      </c>
      <c r="L672" s="275">
        <f>IF($C672="OTC",ROUNDDOWN($I672*$E672*0.000909187,-1),(IF($C672="신한",ROUNDDOWN($I672*$E672*0.000036396,-1),(IF($C672="토스",$I672*$E672*0.00015,(IF($C672="US",(IF($I672*$E672*0.0025&gt;0.01,$I672*$E672*0.0025,0.01)),(IF($C672="JP",(IF($I672*$E672*0.0025&gt;1000,$I672*$E672*0.0025,1000)),(IF($C672="R토스",$I672*$E672*0.00015,(IF($C672="무상증자(신한)",ROUNDDOWN($I672*$E672*0.000036396,-1),"")))))))))))))</f>
        <v>1000</v>
      </c>
      <c r="M672" s="276"/>
      <c r="N672" s="264"/>
      <c r="O672" s="268">
        <f t="shared" si="263"/>
        <v>43</v>
      </c>
      <c r="P672" s="34">
        <f>$E672*$F672*$D672</f>
        <v>925603.65</v>
      </c>
      <c r="Q672" s="34">
        <f>$E672*$I672*$D672</f>
        <v>1118674.3500000001</v>
      </c>
      <c r="R672" s="7">
        <f>($N672-$K672-$L672-$M672)*$D672</f>
        <v>-22714.2</v>
      </c>
      <c r="S672" s="227">
        <f t="shared" si="264"/>
        <v>170356.50000000006</v>
      </c>
      <c r="T672" s="249">
        <f t="shared" si="265"/>
        <v>0.18404907975460127</v>
      </c>
    </row>
    <row r="673" spans="2:22" s="33" customFormat="1" ht="15" customHeight="1" x14ac:dyDescent="0.4">
      <c r="B673" s="38" t="s">
        <v>360</v>
      </c>
      <c r="C673" s="6" t="s">
        <v>160</v>
      </c>
      <c r="D673" s="6">
        <f>IF(OR($C673="신한",$C673="OTC",$C673="무상증자(신한)",$C673="토스",$C673="R토스"),1,"확인")</f>
        <v>1</v>
      </c>
      <c r="E673" s="34">
        <v>52</v>
      </c>
      <c r="F673" s="212">
        <v>36000</v>
      </c>
      <c r="G673" s="195">
        <v>44449</v>
      </c>
      <c r="H673" s="8"/>
      <c r="I673" s="212">
        <v>24300</v>
      </c>
      <c r="J673" s="8">
        <v>44993</v>
      </c>
      <c r="K673" s="23">
        <f>IF($C673="OTC",ROUNDDOWN($E673*$F673*0.000909187,-1),(IF($C673="신한",ROUNDDOWN($E673*$F673*0.000036396,-1),(IF($C673="토스",$E673*$F673*0.00015,(IF($C673="US",(IF($E673*$F673*0.0025&gt;0.01,$E673*$F673*0.0025,0.01)),IF($C673="JP",(IF($E673*$F673*0.0025&gt;1000,$E673*$F673*0.0025,1000)),(IF($C673="R토스",0,IF($C673="무상증자(신한)",0,"")))))))))))</f>
        <v>60</v>
      </c>
      <c r="L673" s="23">
        <f>IF($C673="OTC",ROUNDDOWN($I673*$E673*0.000909187,-1),(IF($C673="신한",ROUNDDOWN($I673*$E673*0.000036396,-1),(IF($C673="토스",$I673*$E673*0.00015,(IF($C673="US",(IF($I673*$E673*0.0025&gt;0.01,$I673*$E673*0.0025,0.01)),(IF($C673="JP",(IF($I673*$E673*0.0025&gt;1000,$I673*$E673*0.0025,1000)),(IF($C673="R토스",$I673*$E673*0.00015,(IF($C673="무상증자(신한)",ROUNDDOWN($I673*$E673*0.000036396,-1),"")))))))))))))</f>
        <v>40</v>
      </c>
      <c r="M673" s="206">
        <f>Q673*0.002</f>
        <v>2527.2000000000003</v>
      </c>
      <c r="N673" s="34"/>
      <c r="O673" s="209">
        <f t="shared" si="263"/>
        <v>545</v>
      </c>
      <c r="P673" s="34">
        <f>$E673*$F673*$D673</f>
        <v>1872000</v>
      </c>
      <c r="Q673" s="34">
        <f>$E673*$I673*$D673</f>
        <v>1263600</v>
      </c>
      <c r="R673" s="7">
        <f>($N673-$K673-$L673-$M673)*$D673</f>
        <v>-2627.2000000000003</v>
      </c>
      <c r="S673" s="227">
        <f t="shared" si="264"/>
        <v>-611027.19999999995</v>
      </c>
      <c r="T673" s="249">
        <f t="shared" si="265"/>
        <v>-0.32640341880341878</v>
      </c>
    </row>
    <row r="674" spans="2:22" s="33" customFormat="1" ht="15" customHeight="1" x14ac:dyDescent="0.4">
      <c r="B674" s="38" t="s">
        <v>360</v>
      </c>
      <c r="C674" s="6" t="s">
        <v>334</v>
      </c>
      <c r="D674" s="6">
        <f>IF(OR($C674="신한",$C674="OTC",$C674="무상증자(신한)",$C674="토스",$C674="R토스"),1,"확인")</f>
        <v>1</v>
      </c>
      <c r="E674" s="34">
        <v>52</v>
      </c>
      <c r="F674" s="212">
        <v>0</v>
      </c>
      <c r="G674" s="195">
        <v>44449</v>
      </c>
      <c r="H674" s="8" t="s">
        <v>249</v>
      </c>
      <c r="I674" s="212">
        <v>24300</v>
      </c>
      <c r="J674" s="8">
        <v>44993</v>
      </c>
      <c r="K674" s="23">
        <f>IF($C674="OTC",ROUNDDOWN($E674*$F674*0.000909187,-1),(IF($C674="신한",ROUNDDOWN($E674*$F674*0.000036396,-1),(IF($C674="토스",$E674*$F674*0.00015,(IF($C674="US",(IF($E674*$F674*0.0025&gt;0.01,$E674*$F674*0.0025,0.01)),IF($C674="JP",(IF($E674*$F674*0.0025&gt;1000,$E674*$F674*0.0025,1000)),(IF($C674="R토스",0,IF($C674="무상증자(신한)",0,"")))))))))))</f>
        <v>0</v>
      </c>
      <c r="L674" s="23">
        <f>IF($C674="OTC",ROUNDDOWN($I674*$E674*0.000909187,-1),(IF($C674="신한",ROUNDDOWN($I674*$E674*0.000036396,-1),(IF($C674="토스",$I674*$E674*0.00015,(IF($C674="US",(IF($I674*$E674*0.0025&gt;0.01,$I674*$E674*0.0025,0.01)),(IF($C674="JP",(IF($I674*$E674*0.0025&gt;1000,$I674*$E674*0.0025,1000)),(IF($C674="R토스",$I674*$E674*0.00015,(IF($C674="무상증자(신한)",ROUNDDOWN($I674*$E674*0.000036396,-1),"")))))))))))))</f>
        <v>40</v>
      </c>
      <c r="M674" s="206">
        <f>Q674*0.002</f>
        <v>2527.2000000000003</v>
      </c>
      <c r="N674" s="34"/>
      <c r="O674" s="209">
        <f t="shared" si="263"/>
        <v>545</v>
      </c>
      <c r="P674" s="34">
        <f>$E674*$F674*$D674</f>
        <v>0</v>
      </c>
      <c r="Q674" s="34">
        <f>$E674*$I674*$D674</f>
        <v>1263600</v>
      </c>
      <c r="R674" s="7">
        <f>($N674-$K674-$L674-$M674)*$D674</f>
        <v>-2567.2000000000003</v>
      </c>
      <c r="S674" s="227">
        <f t="shared" si="264"/>
        <v>1261032.8</v>
      </c>
      <c r="T674" s="249" t="e">
        <f t="shared" si="265"/>
        <v>#DIV/0!</v>
      </c>
    </row>
    <row r="675" spans="2:22" s="33" customFormat="1" ht="15" customHeight="1" x14ac:dyDescent="0.4">
      <c r="B675" s="38" t="s">
        <v>361</v>
      </c>
      <c r="C675" s="6" t="s">
        <v>187</v>
      </c>
      <c r="D675" s="6"/>
      <c r="E675" s="36">
        <v>40</v>
      </c>
      <c r="F675" s="212">
        <v>18100</v>
      </c>
      <c r="G675" s="195">
        <v>42472</v>
      </c>
      <c r="H675" s="8"/>
      <c r="I675" s="212">
        <v>22000</v>
      </c>
      <c r="J675" s="8">
        <v>42486</v>
      </c>
      <c r="K675" s="7">
        <f>ROUNDDOWN(E675*F675*0.00015,-1)</f>
        <v>100</v>
      </c>
      <c r="L675" s="7">
        <f>ROUNDDOWN(I675*E675*0.00015,-1)</f>
        <v>130</v>
      </c>
      <c r="M675" s="196">
        <f>I675*E675*0.003</f>
        <v>2640</v>
      </c>
      <c r="N675" s="36"/>
      <c r="O675" s="191">
        <f t="shared" si="263"/>
        <v>15</v>
      </c>
      <c r="P675" s="36">
        <f>F675*E675</f>
        <v>724000</v>
      </c>
      <c r="Q675" s="36">
        <f>I675*E675</f>
        <v>880000</v>
      </c>
      <c r="R675" s="7">
        <f>N675-K675-L675-M675</f>
        <v>-2870</v>
      </c>
      <c r="S675" s="227">
        <f t="shared" si="264"/>
        <v>153130</v>
      </c>
      <c r="T675" s="248">
        <f t="shared" si="265"/>
        <v>0.21150552486187846</v>
      </c>
      <c r="U675" s="9">
        <f>T675*365/O675</f>
        <v>5.1466344383057097</v>
      </c>
      <c r="V675" s="6"/>
    </row>
    <row r="676" spans="2:22" s="33" customFormat="1" ht="15" customHeight="1" x14ac:dyDescent="0.4">
      <c r="B676" s="38" t="s">
        <v>362</v>
      </c>
      <c r="C676" s="6" t="s">
        <v>160</v>
      </c>
      <c r="D676" s="6">
        <f>IF(OR($C676="신한",$C676="OTC",$C676="무상증자(신한)",$C676="토스",$C676="R토스"),1,"확인")</f>
        <v>1</v>
      </c>
      <c r="E676" s="34">
        <v>312</v>
      </c>
      <c r="F676" s="212">
        <v>5300</v>
      </c>
      <c r="G676" s="195">
        <v>44223</v>
      </c>
      <c r="H676" s="8"/>
      <c r="I676" s="212">
        <v>5430</v>
      </c>
      <c r="J676" s="8">
        <v>44223</v>
      </c>
      <c r="K676" s="23">
        <f>IF($C676="OTC",ROUNDDOWN($E676*$F676*0.000909187,-1),(IF($C676="신한",ROUNDDOWN($E676*$F676*0.000036396,-1),(IF($C676="토스",$E676*$F676*0.00015,(IF($C676="US",(IF($E676*$F676*0.0025&gt;0.01,$E676*$F676*0.0025,0.01)),IF($C676="JP",(IF($E676*$F676*0.0025&gt;1000,$E676*$F676*0.0025,1000)),(IF($C676="R토스",0,IF($C676="무상증자(신한)",0,"")))))))))))</f>
        <v>60</v>
      </c>
      <c r="L676" s="23">
        <f>IF($C676="OTC",ROUNDDOWN($I676*$E676*0.000909187,-1),(IF($C676="신한",ROUNDDOWN($I676*$E676*0.000036396,-1),(IF($C676="토스",$I676*$E676*0.00015,(IF($C676="US",(IF($I676*$E676*0.0025&gt;0.01,$I676*$E676*0.0025,0.01)),(IF($C676="JP",(IF($I676*$E676*0.0025&gt;1000,$I676*$E676*0.0025,1000)),(IF($C676="R토스",$I676*$E676*0.00015,(IF($C676="무상증자(신한)",ROUNDDOWN($I676*$E676*0.000036396,-1),"")))))))))))))</f>
        <v>60</v>
      </c>
      <c r="M676" s="206">
        <f>Q676*0.0023</f>
        <v>3896.5679999999998</v>
      </c>
      <c r="N676" s="34"/>
      <c r="O676" s="209">
        <f t="shared" si="263"/>
        <v>1</v>
      </c>
      <c r="P676" s="34">
        <f>$E676*$F676*$D676</f>
        <v>1653600</v>
      </c>
      <c r="Q676" s="34">
        <f>$E676*$I676*$D676</f>
        <v>1694160</v>
      </c>
      <c r="R676" s="7">
        <f>($N676-$K676-$L676-$M676)*$D676</f>
        <v>-4016.5679999999998</v>
      </c>
      <c r="S676" s="227">
        <f t="shared" si="264"/>
        <v>36543.432000000001</v>
      </c>
      <c r="T676" s="249">
        <f t="shared" si="265"/>
        <v>2.2099317851959361E-2</v>
      </c>
    </row>
    <row r="677" spans="2:22" s="33" customFormat="1" ht="15" customHeight="1" x14ac:dyDescent="0.4">
      <c r="B677" s="38" t="s">
        <v>363</v>
      </c>
      <c r="C677" s="6" t="s">
        <v>160</v>
      </c>
      <c r="D677" s="6">
        <f>IF(OR($C677="신한",$C677="OTC",$C677="무상증자(신한)",$C677="토스",$C677="R토스"),1,"확인")</f>
        <v>1</v>
      </c>
      <c r="E677" s="34">
        <v>500</v>
      </c>
      <c r="F677" s="212">
        <v>8106</v>
      </c>
      <c r="G677" s="195">
        <v>45903</v>
      </c>
      <c r="H677" s="8"/>
      <c r="I677" s="212">
        <v>8880</v>
      </c>
      <c r="J677" s="8">
        <v>45904</v>
      </c>
      <c r="K677" s="23">
        <f>IF($C677="OTC",ROUNDDOWN($E677*$F677*0.000909187,-1),(IF($C677="신한",ROUNDDOWN($E677*$F677*0.000036396,-1),(IF($C677="토스",$E677*$F677*0.00015,(IF($C677="US",(IF($E677*$F677*0.0025&gt;0.01,$E677*$F677*0.0025,0.01)),IF($C677="JP",(IF($E677*$F677*0.0025&gt;1000,$E677*$F677*0.0025,1000)),(IF($C677="R토스",0,IF($C677="무상증자(신한)",0,"")))))))))))</f>
        <v>140</v>
      </c>
      <c r="L677" s="23">
        <f>IF($C677="OTC",ROUNDDOWN($I677*$E677*0.000909187,-1),(IF($C677="신한",ROUNDDOWN($I677*$E677*0.000036396,-1),(IF($C677="토스",$I677*$E677*0.00015,(IF($C677="US",(IF($I677*$E677*0.0025&gt;0.01,$I677*$E677*0.0025,0.01)),(IF($C677="JP",(IF($I677*$E677*0.0025&gt;1000,$I677*$E677*0.0025,1000)),(IF($C677="R토스",$I677*$E677*0.00015,(IF($C677="무상증자(신한)",ROUNDDOWN($I677*$E677*0.000036396,-1),"")))))))))))))</f>
        <v>160</v>
      </c>
      <c r="M677" s="206">
        <f>Q677*0.0015</f>
        <v>6660</v>
      </c>
      <c r="N677" s="34"/>
      <c r="O677" s="209">
        <f t="shared" si="263"/>
        <v>2</v>
      </c>
      <c r="P677" s="34">
        <f>$E677*$F677*$D677</f>
        <v>4053000</v>
      </c>
      <c r="Q677" s="34">
        <f>$E677*$I677*$D677</f>
        <v>4440000</v>
      </c>
      <c r="R677" s="7">
        <f>($N677-$K677-$L677-$M677)*$D677</f>
        <v>-6960</v>
      </c>
      <c r="S677" s="227">
        <f t="shared" si="264"/>
        <v>380040</v>
      </c>
      <c r="T677" s="249">
        <f t="shared" si="265"/>
        <v>9.3767579570688375E-2</v>
      </c>
    </row>
    <row r="678" spans="2:22" s="33" customFormat="1" ht="15" customHeight="1" x14ac:dyDescent="0.4">
      <c r="B678" s="38" t="s">
        <v>363</v>
      </c>
      <c r="C678" s="6" t="s">
        <v>160</v>
      </c>
      <c r="D678" s="6">
        <f>IF(OR($C678="신한",$C678="OTC",$C678="무상증자(신한)",$C678="토스",$C678="R토스"),1,"확인")</f>
        <v>1</v>
      </c>
      <c r="E678" s="34">
        <v>150</v>
      </c>
      <c r="F678" s="212">
        <v>7900</v>
      </c>
      <c r="G678" s="195">
        <v>45903</v>
      </c>
      <c r="H678" s="8"/>
      <c r="I678" s="212">
        <v>8880</v>
      </c>
      <c r="J678" s="8">
        <v>45904</v>
      </c>
      <c r="K678" s="23">
        <f>IF($C678="OTC",ROUNDDOWN($E678*$F678*0.000909187,-1),(IF($C678="신한",ROUNDDOWN($E678*$F678*0.000036396,-1),(IF($C678="토스",$E678*$F678*0.00015,(IF($C678="US",(IF($E678*$F678*0.0025&gt;0.01,$E678*$F678*0.0025,0.01)),IF($C678="JP",(IF($E678*$F678*0.0025&gt;1000,$E678*$F678*0.0025,1000)),(IF($C678="R토스",0,IF($C678="무상증자(신한)",0,"")))))))))))</f>
        <v>40</v>
      </c>
      <c r="L678" s="23">
        <f>IF($C678="OTC",ROUNDDOWN($I678*$E678*0.000909187,-1),(IF($C678="신한",ROUNDDOWN($I678*$E678*0.000036396,-1),(IF($C678="토스",$I678*$E678*0.00015,(IF($C678="US",(IF($I678*$E678*0.0025&gt;0.01,$I678*$E678*0.0025,0.01)),(IF($C678="JP",(IF($I678*$E678*0.0025&gt;1000,$I678*$E678*0.0025,1000)),(IF($C678="R토스",$I678*$E678*0.00015,(IF($C678="무상증자(신한)",ROUNDDOWN($I678*$E678*0.000036396,-1),"")))))))))))))</f>
        <v>40</v>
      </c>
      <c r="M678" s="206">
        <f>Q678*0.0015</f>
        <v>1998</v>
      </c>
      <c r="N678" s="34"/>
      <c r="O678" s="209">
        <f t="shared" si="263"/>
        <v>2</v>
      </c>
      <c r="P678" s="34">
        <f>$E678*$F678*$D678</f>
        <v>1185000</v>
      </c>
      <c r="Q678" s="34">
        <f>$E678*$I678*$D678</f>
        <v>1332000</v>
      </c>
      <c r="R678" s="7">
        <f>($N678-$K678-$L678-$M678)*$D678</f>
        <v>-2078</v>
      </c>
      <c r="S678" s="227">
        <f t="shared" si="264"/>
        <v>144922</v>
      </c>
      <c r="T678" s="249">
        <f t="shared" si="265"/>
        <v>0.12229704641350211</v>
      </c>
    </row>
    <row r="679" spans="2:22" s="33" customFormat="1" ht="15" customHeight="1" x14ac:dyDescent="0.4">
      <c r="B679" s="38" t="s">
        <v>364</v>
      </c>
      <c r="C679" s="6" t="s">
        <v>162</v>
      </c>
      <c r="D679" s="6"/>
      <c r="E679" s="36">
        <v>3</v>
      </c>
      <c r="F679" s="212">
        <v>625000</v>
      </c>
      <c r="G679" s="195">
        <v>42744</v>
      </c>
      <c r="H679" s="8"/>
      <c r="I679" s="212">
        <v>645000</v>
      </c>
      <c r="J679" s="8">
        <v>42761</v>
      </c>
      <c r="K679" s="7">
        <f>ROUNDDOWN(E679*F679*0.0015,-1)</f>
        <v>2810</v>
      </c>
      <c r="L679" s="7">
        <f>ROUNDDOWN(I679*E679*0.0015,-1)</f>
        <v>2900</v>
      </c>
      <c r="M679" s="196">
        <f>I679*E679*0.003</f>
        <v>5805</v>
      </c>
      <c r="N679" s="36"/>
      <c r="O679" s="191">
        <f t="shared" si="263"/>
        <v>18</v>
      </c>
      <c r="P679" s="36">
        <f>F679*E679</f>
        <v>1875000</v>
      </c>
      <c r="Q679" s="36">
        <f>I679*E679</f>
        <v>1935000</v>
      </c>
      <c r="R679" s="7">
        <f>N679-K679-L679-M679</f>
        <v>-11515</v>
      </c>
      <c r="S679" s="227">
        <f t="shared" si="264"/>
        <v>48485</v>
      </c>
      <c r="T679" s="248">
        <f t="shared" si="265"/>
        <v>2.5858666666666665E-2</v>
      </c>
      <c r="U679" s="193">
        <f>T679*365/O679</f>
        <v>0.52435629629629632</v>
      </c>
      <c r="V679" s="6"/>
    </row>
    <row r="680" spans="2:22" ht="15" customHeight="1" x14ac:dyDescent="0.4">
      <c r="B680" s="38" t="s">
        <v>365</v>
      </c>
      <c r="C680" s="6" t="s">
        <v>160</v>
      </c>
      <c r="D680" s="6">
        <f t="shared" ref="D680:D685" si="266">IF(OR($C680="신한",$C680="OTC",$C680="무상증자(신한)",$C680="토스",$C680="R토스"),1,"확인")</f>
        <v>1</v>
      </c>
      <c r="E680" s="34">
        <v>100</v>
      </c>
      <c r="F680" s="212">
        <v>1850</v>
      </c>
      <c r="G680" s="195">
        <v>45905</v>
      </c>
      <c r="H680" s="8"/>
      <c r="I680" s="212">
        <v>1970</v>
      </c>
      <c r="J680" s="8">
        <v>45930</v>
      </c>
      <c r="K680" s="23">
        <f t="shared" ref="K680:K685" si="267">IF($C680="OTC",ROUNDDOWN($E680*$F680*0.000909187,-1),(IF($C680="신한",ROUNDDOWN($E680*$F680*0.000036396,-1),(IF($C680="토스",$E680*$F680*0.00015,(IF($C680="US",(IF($E680*$F680*0.0025&gt;0.01,$E680*$F680*0.0025,0.01)),IF($C680="JP",(IF($E680*$F680*0.0025&gt;1000,$E680*$F680*0.0025,1000)),(IF($C680="R토스",0,IF($C680="무상증자(신한)",0,"")))))))))))</f>
        <v>0</v>
      </c>
      <c r="L680" s="23">
        <f t="shared" ref="L680:L685" si="268">IF($C680="OTC",ROUNDDOWN($I680*$E680*0.000909187,-1),(IF($C680="신한",ROUNDDOWN($I680*$E680*0.000036396,-1),(IF($C680="토스",$I680*$E680*0.00015,(IF($C680="US",(IF($I680*$E680*0.0025&gt;0.01,$I680*$E680*0.0025,0.01)),(IF($C680="JP",(IF($I680*$E680*0.0025&gt;1000,$I680*$E680*0.0025,1000)),(IF($C680="R토스",$I680*$E680*0.00015,(IF($C680="무상증자(신한)",ROUNDDOWN($I680*$E680*0.000036396,-1),"")))))))))))))</f>
        <v>0</v>
      </c>
      <c r="M680" s="206">
        <f t="shared" ref="M680:M685" si="269">Q680*0.0015</f>
        <v>295.5</v>
      </c>
      <c r="N680" s="34"/>
      <c r="O680" s="209">
        <f t="shared" si="263"/>
        <v>26</v>
      </c>
      <c r="P680" s="34">
        <f t="shared" ref="P680:P685" si="270">$E680*$F680*$D680</f>
        <v>185000</v>
      </c>
      <c r="Q680" s="34">
        <f t="shared" ref="Q680:Q685" si="271">$E680*$I680*$D680</f>
        <v>197000</v>
      </c>
      <c r="R680" s="7">
        <f t="shared" ref="R680:R685" si="272">($N680-$K680-$L680-$M680)*$D680</f>
        <v>-295.5</v>
      </c>
      <c r="S680" s="227">
        <f t="shared" si="264"/>
        <v>11704.5</v>
      </c>
      <c r="T680" s="249">
        <f t="shared" si="265"/>
        <v>6.3267567567567573E-2</v>
      </c>
      <c r="U680" s="38"/>
      <c r="V680" s="33"/>
    </row>
    <row r="681" spans="2:22" ht="15" customHeight="1" x14ac:dyDescent="0.4">
      <c r="B681" s="38" t="s">
        <v>365</v>
      </c>
      <c r="C681" s="6" t="s">
        <v>160</v>
      </c>
      <c r="D681" s="6">
        <f t="shared" si="266"/>
        <v>1</v>
      </c>
      <c r="E681" s="34">
        <v>100</v>
      </c>
      <c r="F681" s="212">
        <v>1837</v>
      </c>
      <c r="G681" s="195">
        <v>45905</v>
      </c>
      <c r="H681" s="8"/>
      <c r="I681" s="212">
        <v>1970</v>
      </c>
      <c r="J681" s="8">
        <v>45930</v>
      </c>
      <c r="K681" s="23">
        <f t="shared" si="267"/>
        <v>0</v>
      </c>
      <c r="L681" s="23">
        <f t="shared" si="268"/>
        <v>0</v>
      </c>
      <c r="M681" s="206">
        <f t="shared" si="269"/>
        <v>295.5</v>
      </c>
      <c r="N681" s="34"/>
      <c r="O681" s="209">
        <f t="shared" si="263"/>
        <v>26</v>
      </c>
      <c r="P681" s="34">
        <f t="shared" si="270"/>
        <v>183700</v>
      </c>
      <c r="Q681" s="34">
        <f t="shared" si="271"/>
        <v>197000</v>
      </c>
      <c r="R681" s="7">
        <f t="shared" si="272"/>
        <v>-295.5</v>
      </c>
      <c r="S681" s="227">
        <f t="shared" si="264"/>
        <v>13004.5</v>
      </c>
      <c r="T681" s="249">
        <f t="shared" si="265"/>
        <v>7.0792052259118124E-2</v>
      </c>
      <c r="U681" s="38"/>
      <c r="V681" s="33"/>
    </row>
    <row r="682" spans="2:22" s="33" customFormat="1" ht="15" customHeight="1" x14ac:dyDescent="0.4">
      <c r="B682" s="38" t="s">
        <v>365</v>
      </c>
      <c r="C682" s="6" t="s">
        <v>160</v>
      </c>
      <c r="D682" s="6">
        <f t="shared" si="266"/>
        <v>1</v>
      </c>
      <c r="E682" s="34">
        <v>800</v>
      </c>
      <c r="F682" s="212">
        <v>1893</v>
      </c>
      <c r="G682" s="195">
        <v>45908</v>
      </c>
      <c r="H682" s="8"/>
      <c r="I682" s="212">
        <v>1970</v>
      </c>
      <c r="J682" s="8">
        <v>45930</v>
      </c>
      <c r="K682" s="23">
        <f t="shared" si="267"/>
        <v>50</v>
      </c>
      <c r="L682" s="23">
        <f t="shared" si="268"/>
        <v>50</v>
      </c>
      <c r="M682" s="206">
        <f t="shared" si="269"/>
        <v>2364</v>
      </c>
      <c r="N682" s="34"/>
      <c r="O682" s="209">
        <f t="shared" si="263"/>
        <v>23</v>
      </c>
      <c r="P682" s="34">
        <f t="shared" si="270"/>
        <v>1514400</v>
      </c>
      <c r="Q682" s="34">
        <f t="shared" si="271"/>
        <v>1576000</v>
      </c>
      <c r="R682" s="7">
        <f t="shared" si="272"/>
        <v>-2464</v>
      </c>
      <c r="S682" s="227">
        <f t="shared" si="264"/>
        <v>59136</v>
      </c>
      <c r="T682" s="249">
        <f t="shared" si="265"/>
        <v>3.9049128367670362E-2</v>
      </c>
      <c r="U682" s="38"/>
    </row>
    <row r="683" spans="2:22" s="33" customFormat="1" ht="15" customHeight="1" x14ac:dyDescent="0.4">
      <c r="B683" s="38" t="s">
        <v>365</v>
      </c>
      <c r="C683" s="6" t="s">
        <v>160</v>
      </c>
      <c r="D683" s="6">
        <f t="shared" si="266"/>
        <v>1</v>
      </c>
      <c r="E683" s="34">
        <v>78</v>
      </c>
      <c r="F683" s="212">
        <v>1848</v>
      </c>
      <c r="G683" s="195">
        <v>45910</v>
      </c>
      <c r="H683" s="8"/>
      <c r="I683" s="212">
        <v>1970</v>
      </c>
      <c r="J683" s="8">
        <v>45930</v>
      </c>
      <c r="K683" s="23">
        <f t="shared" si="267"/>
        <v>0</v>
      </c>
      <c r="L683" s="23">
        <f t="shared" si="268"/>
        <v>0</v>
      </c>
      <c r="M683" s="206">
        <f t="shared" si="269"/>
        <v>230.49</v>
      </c>
      <c r="N683" s="34"/>
      <c r="O683" s="209">
        <f t="shared" si="263"/>
        <v>21</v>
      </c>
      <c r="P683" s="34">
        <f t="shared" si="270"/>
        <v>144144</v>
      </c>
      <c r="Q683" s="34">
        <f t="shared" si="271"/>
        <v>153660</v>
      </c>
      <c r="R683" s="7">
        <f t="shared" si="272"/>
        <v>-230.49</v>
      </c>
      <c r="S683" s="227">
        <f t="shared" si="264"/>
        <v>9285.51</v>
      </c>
      <c r="T683" s="249">
        <f t="shared" si="265"/>
        <v>6.4418290043290041E-2</v>
      </c>
      <c r="U683" s="38"/>
    </row>
    <row r="684" spans="2:22" ht="15" customHeight="1" x14ac:dyDescent="0.4">
      <c r="B684" s="38" t="s">
        <v>365</v>
      </c>
      <c r="C684" s="6" t="s">
        <v>160</v>
      </c>
      <c r="D684" s="6">
        <f t="shared" si="266"/>
        <v>1</v>
      </c>
      <c r="E684" s="34">
        <v>60</v>
      </c>
      <c r="F684" s="212">
        <v>1715</v>
      </c>
      <c r="G684" s="195">
        <v>45922</v>
      </c>
      <c r="H684" s="8"/>
      <c r="I684" s="212">
        <v>1970</v>
      </c>
      <c r="J684" s="8">
        <v>45930</v>
      </c>
      <c r="K684" s="23">
        <f t="shared" si="267"/>
        <v>0</v>
      </c>
      <c r="L684" s="23">
        <f t="shared" si="268"/>
        <v>0</v>
      </c>
      <c r="M684" s="206">
        <f t="shared" si="269"/>
        <v>177.3</v>
      </c>
      <c r="N684" s="34"/>
      <c r="O684" s="209">
        <f t="shared" si="263"/>
        <v>9</v>
      </c>
      <c r="P684" s="34">
        <f t="shared" si="270"/>
        <v>102900</v>
      </c>
      <c r="Q684" s="34">
        <f t="shared" si="271"/>
        <v>118200</v>
      </c>
      <c r="R684" s="7">
        <f t="shared" si="272"/>
        <v>-177.3</v>
      </c>
      <c r="S684" s="227">
        <f t="shared" si="264"/>
        <v>15122.7</v>
      </c>
      <c r="T684" s="249">
        <f t="shared" si="265"/>
        <v>0.1469650145772595</v>
      </c>
      <c r="U684" s="38"/>
      <c r="V684" s="33"/>
    </row>
    <row r="685" spans="2:22" ht="15" customHeight="1" x14ac:dyDescent="0.4">
      <c r="B685" s="38" t="s">
        <v>365</v>
      </c>
      <c r="C685" s="6" t="s">
        <v>160</v>
      </c>
      <c r="D685" s="6">
        <f t="shared" si="266"/>
        <v>1</v>
      </c>
      <c r="E685" s="34">
        <v>62</v>
      </c>
      <c r="F685" s="212">
        <v>1680</v>
      </c>
      <c r="G685" s="195">
        <v>45924</v>
      </c>
      <c r="H685" s="8"/>
      <c r="I685" s="212">
        <v>1970</v>
      </c>
      <c r="J685" s="8">
        <v>45930</v>
      </c>
      <c r="K685" s="23">
        <f t="shared" si="267"/>
        <v>0</v>
      </c>
      <c r="L685" s="23">
        <f t="shared" si="268"/>
        <v>0</v>
      </c>
      <c r="M685" s="206">
        <f t="shared" si="269"/>
        <v>183.21</v>
      </c>
      <c r="N685" s="34"/>
      <c r="O685" s="209">
        <f t="shared" si="263"/>
        <v>7</v>
      </c>
      <c r="P685" s="34">
        <f t="shared" si="270"/>
        <v>104160</v>
      </c>
      <c r="Q685" s="34">
        <f t="shared" si="271"/>
        <v>122140</v>
      </c>
      <c r="R685" s="7">
        <f t="shared" si="272"/>
        <v>-183.21</v>
      </c>
      <c r="S685" s="227">
        <f t="shared" si="264"/>
        <v>17796.79</v>
      </c>
      <c r="T685" s="249">
        <f t="shared" si="265"/>
        <v>0.17086011904761905</v>
      </c>
      <c r="U685" s="38"/>
      <c r="V685" s="33"/>
    </row>
    <row r="686" spans="2:22" ht="15" customHeight="1" x14ac:dyDescent="0.4">
      <c r="B686" s="198" t="s">
        <v>366</v>
      </c>
      <c r="C686" s="6" t="s">
        <v>162</v>
      </c>
      <c r="D686" s="15"/>
      <c r="E686" s="36">
        <v>40</v>
      </c>
      <c r="F686" s="212">
        <v>58000</v>
      </c>
      <c r="G686" s="195">
        <v>43608</v>
      </c>
      <c r="H686" s="8"/>
      <c r="I686" s="212">
        <v>62000</v>
      </c>
      <c r="J686" s="8">
        <v>43613</v>
      </c>
      <c r="K686" s="7">
        <f>ROUNDDOWN(E686*F686*0.0015,-1)</f>
        <v>3480</v>
      </c>
      <c r="L686" s="7">
        <f>ROUNDDOWN(I686*E686*0.0015,-1)</f>
        <v>3720</v>
      </c>
      <c r="M686" s="196">
        <f>I686*E686*0.003</f>
        <v>7440</v>
      </c>
      <c r="N686" s="36"/>
      <c r="O686" s="191">
        <f t="shared" si="263"/>
        <v>6</v>
      </c>
      <c r="P686" s="36">
        <f>F686*E686</f>
        <v>2320000</v>
      </c>
      <c r="Q686" s="36">
        <f>I686*E686</f>
        <v>2480000</v>
      </c>
      <c r="R686" s="7">
        <f>N686-K686-L686-M686</f>
        <v>-14640</v>
      </c>
      <c r="S686" s="227">
        <f t="shared" si="264"/>
        <v>145360</v>
      </c>
      <c r="T686" s="248">
        <f t="shared" si="265"/>
        <v>6.2655172413793106E-2</v>
      </c>
      <c r="U686" s="193">
        <f>T686*365/O686</f>
        <v>3.8115229885057471</v>
      </c>
      <c r="V686" s="6" t="s">
        <v>367</v>
      </c>
    </row>
    <row r="687" spans="2:22" s="33" customFormat="1" ht="15" customHeight="1" x14ac:dyDescent="0.4">
      <c r="B687" s="198" t="s">
        <v>366</v>
      </c>
      <c r="C687" s="6" t="s">
        <v>162</v>
      </c>
      <c r="D687" s="15"/>
      <c r="E687" s="36">
        <v>45</v>
      </c>
      <c r="F687" s="212">
        <v>56300</v>
      </c>
      <c r="G687" s="195">
        <v>43616</v>
      </c>
      <c r="H687" s="8"/>
      <c r="I687" s="212">
        <v>62000</v>
      </c>
      <c r="J687" s="8">
        <v>43648</v>
      </c>
      <c r="K687" s="7">
        <f>ROUNDDOWN(E687*F687*0.0015,-1)</f>
        <v>3800</v>
      </c>
      <c r="L687" s="7">
        <f>ROUNDDOWN(I687*E687*0.0015,-1)</f>
        <v>4180</v>
      </c>
      <c r="M687" s="196">
        <f>ROUNDDOWN(I687*E687*0.0025, )</f>
        <v>6975</v>
      </c>
      <c r="N687" s="36"/>
      <c r="O687" s="191">
        <f t="shared" si="263"/>
        <v>33</v>
      </c>
      <c r="P687" s="36">
        <f>F687*E687</f>
        <v>2533500</v>
      </c>
      <c r="Q687" s="36">
        <f>I687*E687</f>
        <v>2790000</v>
      </c>
      <c r="R687" s="7">
        <f>N687-K687-L687-M687</f>
        <v>-14955</v>
      </c>
      <c r="S687" s="227">
        <f t="shared" si="264"/>
        <v>241545</v>
      </c>
      <c r="T687" s="248">
        <f t="shared" si="265"/>
        <v>9.5340438129070462E-2</v>
      </c>
      <c r="U687" s="193">
        <f>T687*365/O687</f>
        <v>1.0545230277912339</v>
      </c>
      <c r="V687" s="6"/>
    </row>
    <row r="688" spans="2:22" s="33" customFormat="1" ht="15" customHeight="1" x14ac:dyDescent="0.4">
      <c r="B688" s="38" t="s">
        <v>366</v>
      </c>
      <c r="C688" s="6" t="s">
        <v>160</v>
      </c>
      <c r="D688" s="6">
        <f>IF(OR($C688="신한",$C688="OTC",$C688="무상증자(신한)",$C688="토스",$C688="R토스"),1,"확인")</f>
        <v>1</v>
      </c>
      <c r="E688" s="34">
        <v>86</v>
      </c>
      <c r="F688" s="212">
        <v>46500</v>
      </c>
      <c r="G688" s="195">
        <v>44014</v>
      </c>
      <c r="H688" s="8"/>
      <c r="I688" s="212">
        <v>49700</v>
      </c>
      <c r="J688" s="8">
        <v>44025</v>
      </c>
      <c r="K688" s="23">
        <f>IF($C688="OTC",ROUNDDOWN($E688*$F688*0.000909187,-1),(IF($C688="신한",ROUNDDOWN($E688*$F688*0.000036396,-1),(IF($C688="토스",$E688*$F688*0.00015,(IF($C688="US",(IF($E688*$F688*0.0025&gt;0.01,$E688*$F688*0.0025,0.01)),IF($C688="JP",(IF($E688*$F688*0.0025&gt;1000,$E688*$F688*0.0025,1000)),(IF($C688="R토스",0,IF($C688="무상증자(신한)",0,"")))))))))))</f>
        <v>140</v>
      </c>
      <c r="L688" s="23">
        <f>IF($C688="OTC",ROUNDDOWN($I688*$E688*0.000909187,-1),(IF($C688="신한",ROUNDDOWN($I688*$E688*0.000036396,-1),(IF($C688="토스",$I688*$E688*0.00015,(IF($C688="US",(IF($I688*$E688*0.0025&gt;0.01,$I688*$E688*0.0025,0.01)),(IF($C688="JP",(IF($I688*$E688*0.0025&gt;1000,$I688*$E688*0.0025,1000)),(IF($C688="R토스",$I688*$E688*0.00015,(IF($C688="무상증자(신한)",ROUNDDOWN($I688*$E688*0.000036396,-1),"")))))))))))))</f>
        <v>150</v>
      </c>
      <c r="M688" s="206">
        <f>Q688*0.0025</f>
        <v>10685.5</v>
      </c>
      <c r="N688" s="34"/>
      <c r="O688" s="209">
        <f t="shared" si="263"/>
        <v>12</v>
      </c>
      <c r="P688" s="34">
        <f>$E688*$F688*$D688</f>
        <v>3999000</v>
      </c>
      <c r="Q688" s="34">
        <f>$E688*$I688*$D688</f>
        <v>4274200</v>
      </c>
      <c r="R688" s="7">
        <f>($N688-$K688-$L688-$M688)*$D688</f>
        <v>-10975.5</v>
      </c>
      <c r="S688" s="227">
        <f t="shared" si="264"/>
        <v>264224.5</v>
      </c>
      <c r="T688" s="248">
        <f t="shared" si="265"/>
        <v>6.6072643160790201E-2</v>
      </c>
      <c r="U688" s="38"/>
    </row>
    <row r="689" spans="2:22" ht="15" customHeight="1" x14ac:dyDescent="0.4">
      <c r="B689" s="38" t="s">
        <v>366</v>
      </c>
      <c r="C689" s="6" t="s">
        <v>160</v>
      </c>
      <c r="D689" s="6">
        <f>IF(OR($C689="신한",$C689="OTC",$C689="무상증자(신한)",$C689="토스",$C689="R토스"),1,"확인")</f>
        <v>1</v>
      </c>
      <c r="E689" s="34">
        <v>30</v>
      </c>
      <c r="F689" s="212">
        <v>61000</v>
      </c>
      <c r="G689" s="195">
        <v>44047</v>
      </c>
      <c r="H689" s="8"/>
      <c r="I689" s="212">
        <v>68300</v>
      </c>
      <c r="J689" s="8">
        <v>44053</v>
      </c>
      <c r="K689" s="23">
        <f>IF($C689="OTC",ROUNDDOWN($E689*$F689*0.000909187,-1),(IF($C689="신한",ROUNDDOWN($E689*$F689*0.000036396,-1),(IF($C689="토스",$E689*$F689*0.00015,(IF($C689="US",(IF($E689*$F689*0.0025&gt;0.01,$E689*$F689*0.0025,0.01)),IF($C689="JP",(IF($E689*$F689*0.0025&gt;1000,$E689*$F689*0.0025,1000)),(IF($C689="R토스",0,IF($C689="무상증자(신한)",0,"")))))))))))</f>
        <v>60</v>
      </c>
      <c r="L689" s="23">
        <f>IF($C689="OTC",ROUNDDOWN($I689*$E689*0.000909187,-1),(IF($C689="신한",ROUNDDOWN($I689*$E689*0.000036396,-1),(IF($C689="토스",$I689*$E689*0.00015,(IF($C689="US",(IF($I689*$E689*0.0025&gt;0.01,$I689*$E689*0.0025,0.01)),(IF($C689="JP",(IF($I689*$E689*0.0025&gt;1000,$I689*$E689*0.0025,1000)),(IF($C689="R토스",$I689*$E689*0.00015,(IF($C689="무상증자(신한)",ROUNDDOWN($I689*$E689*0.000036396,-1),"")))))))))))))</f>
        <v>70</v>
      </c>
      <c r="M689" s="206">
        <f>Q689*0.0025</f>
        <v>5122.5</v>
      </c>
      <c r="N689" s="34"/>
      <c r="O689" s="209">
        <f t="shared" si="263"/>
        <v>7</v>
      </c>
      <c r="P689" s="34">
        <f>$E689*$F689*$D689</f>
        <v>1830000</v>
      </c>
      <c r="Q689" s="34">
        <f>$E689*$I689*$D689</f>
        <v>2049000</v>
      </c>
      <c r="R689" s="7">
        <f>($N689-$K689-$L689-$M689)*$D689</f>
        <v>-5252.5</v>
      </c>
      <c r="S689" s="227">
        <f t="shared" si="264"/>
        <v>213747.5</v>
      </c>
      <c r="T689" s="249">
        <f t="shared" si="265"/>
        <v>0.11680191256830601</v>
      </c>
      <c r="U689" s="38"/>
      <c r="V689" s="33"/>
    </row>
    <row r="690" spans="2:22" ht="15" customHeight="1" x14ac:dyDescent="0.4">
      <c r="B690" s="38" t="s">
        <v>368</v>
      </c>
      <c r="C690" s="6" t="s">
        <v>162</v>
      </c>
      <c r="D690" s="6"/>
      <c r="E690" s="36">
        <v>200</v>
      </c>
      <c r="F690" s="212">
        <v>7910</v>
      </c>
      <c r="G690" s="195">
        <v>43550</v>
      </c>
      <c r="H690" s="8"/>
      <c r="I690" s="212">
        <v>8900</v>
      </c>
      <c r="J690" s="8">
        <v>43564</v>
      </c>
      <c r="K690" s="7">
        <f>ROUNDDOWN(E690*F690*0.0015,-1)</f>
        <v>2370</v>
      </c>
      <c r="L690" s="7">
        <f>ROUNDDOWN(I690*E690*0.0015,-1)</f>
        <v>2670</v>
      </c>
      <c r="M690" s="196">
        <f>I690*E690*0.003</f>
        <v>5340</v>
      </c>
      <c r="N690" s="36"/>
      <c r="O690" s="191">
        <f t="shared" si="263"/>
        <v>15</v>
      </c>
      <c r="P690" s="36">
        <f>F690*E690</f>
        <v>1582000</v>
      </c>
      <c r="Q690" s="36">
        <f>I690*E690</f>
        <v>1780000</v>
      </c>
      <c r="R690" s="7">
        <f>N690-K690-L690-M690</f>
        <v>-10380</v>
      </c>
      <c r="S690" s="227">
        <f t="shared" si="264"/>
        <v>187620</v>
      </c>
      <c r="T690" s="248">
        <f t="shared" si="265"/>
        <v>0.11859671302149179</v>
      </c>
      <c r="U690" s="193">
        <f>T690*365/O690</f>
        <v>2.8858533501896337</v>
      </c>
      <c r="V690" s="6"/>
    </row>
    <row r="691" spans="2:22" ht="15" customHeight="1" x14ac:dyDescent="0.4">
      <c r="B691" s="38" t="s">
        <v>369</v>
      </c>
      <c r="C691" s="6" t="s">
        <v>162</v>
      </c>
      <c r="D691" s="6"/>
      <c r="E691" s="36">
        <v>34</v>
      </c>
      <c r="F691" s="212">
        <v>30500</v>
      </c>
      <c r="G691" s="195">
        <v>43300</v>
      </c>
      <c r="H691" s="8"/>
      <c r="I691" s="212">
        <v>33100</v>
      </c>
      <c r="J691" s="8">
        <v>43356</v>
      </c>
      <c r="K691" s="7">
        <f>ROUNDDOWN(E691*F691*0.0015,-1)</f>
        <v>1550</v>
      </c>
      <c r="L691" s="7">
        <f>ROUNDDOWN(I691*E691*0.0015,-1)</f>
        <v>1680</v>
      </c>
      <c r="M691" s="196">
        <f>I691*E691*0.003</f>
        <v>3376.2000000000003</v>
      </c>
      <c r="N691" s="36"/>
      <c r="O691" s="191">
        <f t="shared" si="263"/>
        <v>57</v>
      </c>
      <c r="P691" s="36">
        <f>F691*E691</f>
        <v>1037000</v>
      </c>
      <c r="Q691" s="36">
        <f>I691*E691</f>
        <v>1125400</v>
      </c>
      <c r="R691" s="7">
        <f>N691-K691-L691-M691</f>
        <v>-6606.2000000000007</v>
      </c>
      <c r="S691" s="227">
        <f t="shared" si="264"/>
        <v>81793.8</v>
      </c>
      <c r="T691" s="248">
        <f t="shared" si="265"/>
        <v>7.8875409836065571E-2</v>
      </c>
      <c r="U691" s="193">
        <f>T691*365/O691</f>
        <v>0.5050793787748058</v>
      </c>
      <c r="V691" s="6"/>
    </row>
    <row r="692" spans="2:22" ht="15" customHeight="1" x14ac:dyDescent="0.4">
      <c r="B692" s="38" t="s">
        <v>45</v>
      </c>
      <c r="C692" s="6" t="s">
        <v>122</v>
      </c>
      <c r="D692" s="6">
        <f t="shared" ref="D692:D729" si="273">IF(OR($C692="신한",$C692="OTC",$C692="무상증자(신한)",$C692="토스",$C692="R토스"),1,"확인")</f>
        <v>1</v>
      </c>
      <c r="E692" s="34">
        <v>150</v>
      </c>
      <c r="F692" s="212">
        <v>29900</v>
      </c>
      <c r="G692" s="195">
        <v>45817</v>
      </c>
      <c r="H692" s="33" t="s">
        <v>113</v>
      </c>
      <c r="I692" s="212">
        <v>31500</v>
      </c>
      <c r="J692" s="8">
        <v>45820</v>
      </c>
      <c r="K692" s="23">
        <f t="shared" ref="K692:K729" si="274">IF($C692="OTC",ROUNDDOWN($E692*$F692*0.000909187,-1),(IF($C692="신한",ROUNDDOWN($E692*$F692*0.000036396,-1),(IF($C692="토스",$E692*$F692*0.00015,(IF($C692="US",(IF($E692*$F692*0.0025&gt;0.01,$E692*$F692*0.0025,0.01)),IF($C692="JP",(IF($E692*$F692*0.0025&gt;1000,$E692*$F692*0.0025,1000)),(IF($C692="R토스",0,IF($C692="무상증자(신한)",0,"")))))))))))</f>
        <v>672.74999999999989</v>
      </c>
      <c r="L692" s="23">
        <f t="shared" ref="L692:L729" si="275">IF($C692="OTC",ROUNDDOWN($I692*$E692*0.000909187,-1),(IF($C692="신한",ROUNDDOWN($I692*$E692*0.000036396,-1),(IF($C692="토스",$I692*$E692*0.00015,(IF($C692="US",(IF($I692*$E692*0.0025&gt;0.01,$I692*$E692*0.0025,0.01)),(IF($C692="JP",(IF($I692*$E692*0.0025&gt;1000,$I692*$E692*0.0025,1000)),(IF($C692="R토스",$I692*$E692*0.00015,(IF($C692="무상증자(신한)",ROUNDDOWN($I692*$E692*0.000036396,-1),"")))))))))))))</f>
        <v>708.74999999999989</v>
      </c>
      <c r="M692" s="206">
        <f t="shared" ref="M692:M729" si="276">Q692*0.0015</f>
        <v>7087.5</v>
      </c>
      <c r="N692" s="34"/>
      <c r="O692" s="209">
        <f t="shared" si="263"/>
        <v>4</v>
      </c>
      <c r="P692" s="34">
        <f t="shared" ref="P692:P729" si="277">$E692*$F692*$D692</f>
        <v>4485000</v>
      </c>
      <c r="Q692" s="34">
        <f t="shared" ref="Q692:Q729" si="278">$E692*$I692*$D692</f>
        <v>4725000</v>
      </c>
      <c r="R692" s="7">
        <f t="shared" ref="R692:R729" si="279">($N692-$K692-$L692-$M692)*$D692</f>
        <v>-8469</v>
      </c>
      <c r="S692" s="227">
        <f t="shared" si="264"/>
        <v>231531</v>
      </c>
      <c r="T692" s="249">
        <f t="shared" si="265"/>
        <v>5.1623411371237458E-2</v>
      </c>
      <c r="U692" s="38"/>
      <c r="V692" s="36">
        <f>+P692*0.05*O692/365</f>
        <v>2457.5342465753424</v>
      </c>
    </row>
    <row r="693" spans="2:22" s="33" customFormat="1" ht="15" customHeight="1" x14ac:dyDescent="0.4">
      <c r="B693" s="38" t="s">
        <v>45</v>
      </c>
      <c r="C693" s="6" t="s">
        <v>160</v>
      </c>
      <c r="D693" s="6">
        <f t="shared" si="273"/>
        <v>1</v>
      </c>
      <c r="E693" s="34">
        <v>50</v>
      </c>
      <c r="F693" s="212">
        <v>37000</v>
      </c>
      <c r="G693" s="195">
        <v>44194</v>
      </c>
      <c r="H693" s="8"/>
      <c r="I693" s="212">
        <v>35000</v>
      </c>
      <c r="J693" s="8">
        <v>45840</v>
      </c>
      <c r="K693" s="23">
        <f t="shared" si="274"/>
        <v>60</v>
      </c>
      <c r="L693" s="23">
        <f t="shared" si="275"/>
        <v>60</v>
      </c>
      <c r="M693" s="206">
        <f t="shared" si="276"/>
        <v>2625</v>
      </c>
      <c r="N693" s="34">
        <f>E693*400*(1-0.154)+E693*300*(1-0.154)+E693*150*(1-0.154)+E693*300*(1-0.154)</f>
        <v>48645</v>
      </c>
      <c r="O693" s="209">
        <f t="shared" si="263"/>
        <v>1647</v>
      </c>
      <c r="P693" s="34">
        <f t="shared" si="277"/>
        <v>1850000</v>
      </c>
      <c r="Q693" s="34">
        <f t="shared" si="278"/>
        <v>1750000</v>
      </c>
      <c r="R693" s="7">
        <f t="shared" si="279"/>
        <v>45900</v>
      </c>
      <c r="S693" s="227">
        <f t="shared" si="264"/>
        <v>-54100</v>
      </c>
      <c r="T693" s="249">
        <f t="shared" si="265"/>
        <v>-2.9243243243243244E-2</v>
      </c>
    </row>
    <row r="694" spans="2:22" s="33" customFormat="1" ht="15" customHeight="1" x14ac:dyDescent="0.4">
      <c r="B694" s="38" t="s">
        <v>45</v>
      </c>
      <c r="C694" s="6" t="s">
        <v>160</v>
      </c>
      <c r="D694" s="6">
        <f t="shared" si="273"/>
        <v>1</v>
      </c>
      <c r="E694" s="34">
        <v>10</v>
      </c>
      <c r="F694" s="212">
        <v>28350</v>
      </c>
      <c r="G694" s="195">
        <v>44404</v>
      </c>
      <c r="H694" s="8"/>
      <c r="I694" s="212">
        <v>35000</v>
      </c>
      <c r="J694" s="8">
        <v>45840</v>
      </c>
      <c r="K694" s="23">
        <f t="shared" si="274"/>
        <v>10</v>
      </c>
      <c r="L694" s="23">
        <f t="shared" si="275"/>
        <v>10</v>
      </c>
      <c r="M694" s="206">
        <f t="shared" si="276"/>
        <v>525</v>
      </c>
      <c r="N694" s="34">
        <f>E694*400*(1-0.154)+E694*300*(1-0.154)+E694*150*(1-0.154)+E694*300*(1-0.154)</f>
        <v>9729</v>
      </c>
      <c r="O694" s="209">
        <f t="shared" si="263"/>
        <v>1437</v>
      </c>
      <c r="P694" s="34">
        <f t="shared" si="277"/>
        <v>283500</v>
      </c>
      <c r="Q694" s="34">
        <f t="shared" si="278"/>
        <v>350000</v>
      </c>
      <c r="R694" s="7">
        <f t="shared" si="279"/>
        <v>9184</v>
      </c>
      <c r="S694" s="227">
        <f t="shared" si="264"/>
        <v>75684</v>
      </c>
      <c r="T694" s="249">
        <f t="shared" si="265"/>
        <v>0.26696296296296296</v>
      </c>
    </row>
    <row r="695" spans="2:22" s="33" customFormat="1" ht="15" customHeight="1" x14ac:dyDescent="0.4">
      <c r="B695" s="38" t="s">
        <v>45</v>
      </c>
      <c r="C695" s="6" t="s">
        <v>160</v>
      </c>
      <c r="D695" s="6">
        <f t="shared" si="273"/>
        <v>1</v>
      </c>
      <c r="E695" s="34">
        <v>20</v>
      </c>
      <c r="F695" s="212">
        <v>23600</v>
      </c>
      <c r="G695" s="195">
        <v>44432</v>
      </c>
      <c r="H695" s="8"/>
      <c r="I695" s="212">
        <v>35000</v>
      </c>
      <c r="J695" s="8">
        <v>45840</v>
      </c>
      <c r="K695" s="23">
        <f t="shared" si="274"/>
        <v>10</v>
      </c>
      <c r="L695" s="23">
        <f t="shared" si="275"/>
        <v>20</v>
      </c>
      <c r="M695" s="206">
        <f t="shared" si="276"/>
        <v>1050</v>
      </c>
      <c r="N695" s="34">
        <f>E695*400*(1-0.154)+E695*300*(1-0.154)+E695*150*(1-0.154)+E695*300*(1-0.154)</f>
        <v>19458</v>
      </c>
      <c r="O695" s="209">
        <f t="shared" si="263"/>
        <v>1409</v>
      </c>
      <c r="P695" s="34">
        <f t="shared" si="277"/>
        <v>472000</v>
      </c>
      <c r="Q695" s="34">
        <f t="shared" si="278"/>
        <v>700000</v>
      </c>
      <c r="R695" s="7">
        <f t="shared" si="279"/>
        <v>18378</v>
      </c>
      <c r="S695" s="227">
        <f t="shared" si="264"/>
        <v>246378</v>
      </c>
      <c r="T695" s="249">
        <f t="shared" si="265"/>
        <v>0.52198728813559325</v>
      </c>
    </row>
    <row r="696" spans="2:22" s="33" customFormat="1" ht="15" customHeight="1" x14ac:dyDescent="0.4">
      <c r="B696" s="38" t="s">
        <v>45</v>
      </c>
      <c r="C696" s="6" t="s">
        <v>160</v>
      </c>
      <c r="D696" s="6">
        <f t="shared" si="273"/>
        <v>1</v>
      </c>
      <c r="E696" s="34">
        <v>1</v>
      </c>
      <c r="F696" s="212">
        <v>17900</v>
      </c>
      <c r="G696" s="195">
        <v>45665</v>
      </c>
      <c r="H696" s="8"/>
      <c r="I696" s="212">
        <v>35000</v>
      </c>
      <c r="J696" s="8">
        <v>45840</v>
      </c>
      <c r="K696" s="23">
        <f t="shared" si="274"/>
        <v>0</v>
      </c>
      <c r="L696" s="23">
        <f t="shared" si="275"/>
        <v>0</v>
      </c>
      <c r="M696" s="206">
        <f t="shared" si="276"/>
        <v>52.5</v>
      </c>
      <c r="N696" s="34"/>
      <c r="O696" s="209">
        <f t="shared" si="263"/>
        <v>176</v>
      </c>
      <c r="P696" s="34">
        <f t="shared" si="277"/>
        <v>17900</v>
      </c>
      <c r="Q696" s="34">
        <f t="shared" si="278"/>
        <v>35000</v>
      </c>
      <c r="R696" s="7">
        <f t="shared" si="279"/>
        <v>-52.5</v>
      </c>
      <c r="S696" s="227">
        <f t="shared" si="264"/>
        <v>17047.5</v>
      </c>
      <c r="T696" s="249">
        <f t="shared" si="265"/>
        <v>0.9523743016759777</v>
      </c>
    </row>
    <row r="697" spans="2:22" s="33" customFormat="1" ht="15" customHeight="1" x14ac:dyDescent="0.4">
      <c r="B697" s="38" t="s">
        <v>45</v>
      </c>
      <c r="C697" s="6" t="s">
        <v>160</v>
      </c>
      <c r="D697" s="6">
        <f t="shared" si="273"/>
        <v>1</v>
      </c>
      <c r="E697" s="34">
        <v>1</v>
      </c>
      <c r="F697" s="212">
        <v>17870</v>
      </c>
      <c r="G697" s="195">
        <v>45672</v>
      </c>
      <c r="H697" s="8"/>
      <c r="I697" s="212">
        <v>35000</v>
      </c>
      <c r="J697" s="8">
        <v>45840</v>
      </c>
      <c r="K697" s="23">
        <f t="shared" si="274"/>
        <v>0</v>
      </c>
      <c r="L697" s="23">
        <f t="shared" si="275"/>
        <v>0</v>
      </c>
      <c r="M697" s="206">
        <f t="shared" si="276"/>
        <v>52.5</v>
      </c>
      <c r="N697" s="34"/>
      <c r="O697" s="209">
        <f t="shared" si="263"/>
        <v>169</v>
      </c>
      <c r="P697" s="34">
        <f t="shared" si="277"/>
        <v>17870</v>
      </c>
      <c r="Q697" s="34">
        <f t="shared" si="278"/>
        <v>35000</v>
      </c>
      <c r="R697" s="7">
        <f t="shared" si="279"/>
        <v>-52.5</v>
      </c>
      <c r="S697" s="227">
        <f t="shared" si="264"/>
        <v>17077.5</v>
      </c>
      <c r="T697" s="249">
        <f t="shared" si="265"/>
        <v>0.95565193060996079</v>
      </c>
    </row>
    <row r="698" spans="2:22" s="33" customFormat="1" ht="15" customHeight="1" x14ac:dyDescent="0.4">
      <c r="B698" s="38" t="s">
        <v>45</v>
      </c>
      <c r="C698" s="6" t="s">
        <v>160</v>
      </c>
      <c r="D698" s="6">
        <f t="shared" si="273"/>
        <v>1</v>
      </c>
      <c r="E698" s="34">
        <v>1</v>
      </c>
      <c r="F698" s="212">
        <v>21050</v>
      </c>
      <c r="G698" s="195">
        <v>45679</v>
      </c>
      <c r="H698" s="8"/>
      <c r="I698" s="212">
        <v>35000</v>
      </c>
      <c r="J698" s="8">
        <v>45840</v>
      </c>
      <c r="K698" s="23">
        <f t="shared" si="274"/>
        <v>0</v>
      </c>
      <c r="L698" s="23">
        <f t="shared" si="275"/>
        <v>0</v>
      </c>
      <c r="M698" s="206">
        <f t="shared" si="276"/>
        <v>52.5</v>
      </c>
      <c r="N698" s="34"/>
      <c r="O698" s="209">
        <f t="shared" si="263"/>
        <v>162</v>
      </c>
      <c r="P698" s="34">
        <f t="shared" si="277"/>
        <v>21050</v>
      </c>
      <c r="Q698" s="34">
        <f t="shared" si="278"/>
        <v>35000</v>
      </c>
      <c r="R698" s="7">
        <f t="shared" si="279"/>
        <v>-52.5</v>
      </c>
      <c r="S698" s="227">
        <f t="shared" si="264"/>
        <v>13897.5</v>
      </c>
      <c r="T698" s="249">
        <f t="shared" si="265"/>
        <v>0.66021377672209025</v>
      </c>
    </row>
    <row r="699" spans="2:22" s="33" customFormat="1" ht="15" customHeight="1" x14ac:dyDescent="0.4">
      <c r="B699" s="38" t="s">
        <v>45</v>
      </c>
      <c r="C699" s="6" t="s">
        <v>160</v>
      </c>
      <c r="D699" s="6">
        <f t="shared" si="273"/>
        <v>1</v>
      </c>
      <c r="E699" s="34">
        <v>1</v>
      </c>
      <c r="F699" s="212">
        <v>21600</v>
      </c>
      <c r="G699" s="195">
        <v>45688</v>
      </c>
      <c r="H699" s="8"/>
      <c r="I699" s="212">
        <v>35000</v>
      </c>
      <c r="J699" s="8">
        <v>45840</v>
      </c>
      <c r="K699" s="23">
        <f t="shared" si="274"/>
        <v>0</v>
      </c>
      <c r="L699" s="23">
        <f t="shared" si="275"/>
        <v>0</v>
      </c>
      <c r="M699" s="206">
        <f t="shared" si="276"/>
        <v>52.5</v>
      </c>
      <c r="N699" s="34"/>
      <c r="O699" s="209">
        <f t="shared" si="263"/>
        <v>153</v>
      </c>
      <c r="P699" s="34">
        <f t="shared" si="277"/>
        <v>21600</v>
      </c>
      <c r="Q699" s="34">
        <f t="shared" si="278"/>
        <v>35000</v>
      </c>
      <c r="R699" s="7">
        <f t="shared" si="279"/>
        <v>-52.5</v>
      </c>
      <c r="S699" s="227">
        <f t="shared" si="264"/>
        <v>13347.5</v>
      </c>
      <c r="T699" s="249">
        <f t="shared" si="265"/>
        <v>0.61793981481481486</v>
      </c>
    </row>
    <row r="700" spans="2:22" s="33" customFormat="1" ht="15" customHeight="1" x14ac:dyDescent="0.4">
      <c r="B700" s="38" t="s">
        <v>45</v>
      </c>
      <c r="C700" s="6" t="s">
        <v>160</v>
      </c>
      <c r="D700" s="6">
        <f t="shared" si="273"/>
        <v>1</v>
      </c>
      <c r="E700" s="34">
        <v>1</v>
      </c>
      <c r="F700" s="212">
        <v>20900</v>
      </c>
      <c r="G700" s="195">
        <v>45693</v>
      </c>
      <c r="H700" s="8"/>
      <c r="I700" s="212">
        <v>35000</v>
      </c>
      <c r="J700" s="8">
        <v>45840</v>
      </c>
      <c r="K700" s="23">
        <f t="shared" si="274"/>
        <v>0</v>
      </c>
      <c r="L700" s="23">
        <f t="shared" si="275"/>
        <v>0</v>
      </c>
      <c r="M700" s="206">
        <f t="shared" si="276"/>
        <v>52.5</v>
      </c>
      <c r="N700" s="34"/>
      <c r="O700" s="209">
        <f t="shared" si="263"/>
        <v>148</v>
      </c>
      <c r="P700" s="34">
        <f t="shared" si="277"/>
        <v>20900</v>
      </c>
      <c r="Q700" s="34">
        <f t="shared" si="278"/>
        <v>35000</v>
      </c>
      <c r="R700" s="7">
        <f t="shared" si="279"/>
        <v>-52.5</v>
      </c>
      <c r="S700" s="227">
        <f t="shared" si="264"/>
        <v>14047.5</v>
      </c>
      <c r="T700" s="249">
        <f t="shared" si="265"/>
        <v>0.6721291866028708</v>
      </c>
    </row>
    <row r="701" spans="2:22" s="33" customFormat="1" ht="15" customHeight="1" x14ac:dyDescent="0.4">
      <c r="B701" s="38" t="s">
        <v>45</v>
      </c>
      <c r="C701" s="6" t="s">
        <v>160</v>
      </c>
      <c r="D701" s="6">
        <f t="shared" si="273"/>
        <v>1</v>
      </c>
      <c r="E701" s="34">
        <v>1</v>
      </c>
      <c r="F701" s="212">
        <v>22800</v>
      </c>
      <c r="G701" s="195">
        <v>45700</v>
      </c>
      <c r="H701" s="8"/>
      <c r="I701" s="212">
        <v>35000</v>
      </c>
      <c r="J701" s="8">
        <v>45840</v>
      </c>
      <c r="K701" s="23">
        <f t="shared" si="274"/>
        <v>0</v>
      </c>
      <c r="L701" s="23">
        <f t="shared" si="275"/>
        <v>0</v>
      </c>
      <c r="M701" s="206">
        <f t="shared" si="276"/>
        <v>52.5</v>
      </c>
      <c r="N701" s="34"/>
      <c r="O701" s="209">
        <f t="shared" si="263"/>
        <v>141</v>
      </c>
      <c r="P701" s="34">
        <f t="shared" si="277"/>
        <v>22800</v>
      </c>
      <c r="Q701" s="34">
        <f t="shared" si="278"/>
        <v>35000</v>
      </c>
      <c r="R701" s="7">
        <f t="shared" si="279"/>
        <v>-52.5</v>
      </c>
      <c r="S701" s="227">
        <f t="shared" si="264"/>
        <v>12147.5</v>
      </c>
      <c r="T701" s="249">
        <f t="shared" si="265"/>
        <v>0.53278508771929822</v>
      </c>
    </row>
    <row r="702" spans="2:22" s="33" customFormat="1" ht="15" customHeight="1" x14ac:dyDescent="0.4">
      <c r="B702" s="38" t="s">
        <v>45</v>
      </c>
      <c r="C702" s="6" t="s">
        <v>160</v>
      </c>
      <c r="D702" s="6">
        <f t="shared" si="273"/>
        <v>1</v>
      </c>
      <c r="E702" s="34">
        <v>1</v>
      </c>
      <c r="F702" s="212">
        <v>26500</v>
      </c>
      <c r="G702" s="195">
        <v>45707</v>
      </c>
      <c r="H702" s="8"/>
      <c r="I702" s="212">
        <v>35000</v>
      </c>
      <c r="J702" s="8">
        <v>45840</v>
      </c>
      <c r="K702" s="23">
        <f t="shared" si="274"/>
        <v>0</v>
      </c>
      <c r="L702" s="23">
        <f t="shared" si="275"/>
        <v>0</v>
      </c>
      <c r="M702" s="206">
        <f t="shared" si="276"/>
        <v>52.5</v>
      </c>
      <c r="N702" s="34"/>
      <c r="O702" s="209">
        <f t="shared" si="263"/>
        <v>134</v>
      </c>
      <c r="P702" s="34">
        <f t="shared" si="277"/>
        <v>26500</v>
      </c>
      <c r="Q702" s="34">
        <f t="shared" si="278"/>
        <v>35000</v>
      </c>
      <c r="R702" s="7">
        <f t="shared" si="279"/>
        <v>-52.5</v>
      </c>
      <c r="S702" s="227">
        <f t="shared" si="264"/>
        <v>8447.5</v>
      </c>
      <c r="T702" s="249">
        <f t="shared" si="265"/>
        <v>0.31877358490566038</v>
      </c>
    </row>
    <row r="703" spans="2:22" s="33" customFormat="1" ht="15" customHeight="1" x14ac:dyDescent="0.4">
      <c r="B703" s="38" t="s">
        <v>45</v>
      </c>
      <c r="C703" s="6" t="s">
        <v>160</v>
      </c>
      <c r="D703" s="6">
        <f t="shared" si="273"/>
        <v>1</v>
      </c>
      <c r="E703" s="34">
        <v>1</v>
      </c>
      <c r="F703" s="212">
        <v>24800</v>
      </c>
      <c r="G703" s="195">
        <v>45713</v>
      </c>
      <c r="H703" s="8"/>
      <c r="I703" s="212">
        <v>35000</v>
      </c>
      <c r="J703" s="8">
        <v>45840</v>
      </c>
      <c r="K703" s="23">
        <f t="shared" si="274"/>
        <v>0</v>
      </c>
      <c r="L703" s="23">
        <f t="shared" si="275"/>
        <v>0</v>
      </c>
      <c r="M703" s="206">
        <f t="shared" si="276"/>
        <v>52.5</v>
      </c>
      <c r="N703" s="34"/>
      <c r="O703" s="209">
        <f t="shared" si="263"/>
        <v>128</v>
      </c>
      <c r="P703" s="34">
        <f t="shared" si="277"/>
        <v>24800</v>
      </c>
      <c r="Q703" s="34">
        <f t="shared" si="278"/>
        <v>35000</v>
      </c>
      <c r="R703" s="7">
        <f t="shared" si="279"/>
        <v>-52.5</v>
      </c>
      <c r="S703" s="227">
        <f t="shared" si="264"/>
        <v>10147.5</v>
      </c>
      <c r="T703" s="249">
        <f t="shared" si="265"/>
        <v>0.4091733870967742</v>
      </c>
    </row>
    <row r="704" spans="2:22" s="33" customFormat="1" ht="15" customHeight="1" x14ac:dyDescent="0.4">
      <c r="B704" s="38" t="s">
        <v>45</v>
      </c>
      <c r="C704" s="6" t="s">
        <v>160</v>
      </c>
      <c r="D704" s="6">
        <f t="shared" si="273"/>
        <v>1</v>
      </c>
      <c r="E704" s="34">
        <v>7</v>
      </c>
      <c r="F704" s="212">
        <v>28000</v>
      </c>
      <c r="G704" s="195">
        <v>45716</v>
      </c>
      <c r="H704" s="8"/>
      <c r="I704" s="212">
        <v>35000</v>
      </c>
      <c r="J704" s="8">
        <v>45840</v>
      </c>
      <c r="K704" s="23">
        <f t="shared" si="274"/>
        <v>0</v>
      </c>
      <c r="L704" s="23">
        <f t="shared" si="275"/>
        <v>0</v>
      </c>
      <c r="M704" s="206">
        <f t="shared" si="276"/>
        <v>367.5</v>
      </c>
      <c r="N704" s="34"/>
      <c r="O704" s="209">
        <f t="shared" si="263"/>
        <v>125</v>
      </c>
      <c r="P704" s="34">
        <f t="shared" si="277"/>
        <v>196000</v>
      </c>
      <c r="Q704" s="34">
        <f t="shared" si="278"/>
        <v>245000</v>
      </c>
      <c r="R704" s="7">
        <f t="shared" si="279"/>
        <v>-367.5</v>
      </c>
      <c r="S704" s="227">
        <f t="shared" si="264"/>
        <v>48632.5</v>
      </c>
      <c r="T704" s="249">
        <f t="shared" si="265"/>
        <v>0.24812500000000001</v>
      </c>
    </row>
    <row r="705" spans="1:20" s="33" customFormat="1" ht="15" customHeight="1" x14ac:dyDescent="0.4">
      <c r="B705" s="38" t="s">
        <v>45</v>
      </c>
      <c r="C705" s="6" t="s">
        <v>160</v>
      </c>
      <c r="D705" s="6">
        <f t="shared" si="273"/>
        <v>1</v>
      </c>
      <c r="E705" s="34">
        <v>1</v>
      </c>
      <c r="F705" s="212">
        <v>28850</v>
      </c>
      <c r="G705" s="195">
        <v>45721</v>
      </c>
      <c r="H705" s="8"/>
      <c r="I705" s="212">
        <v>35000</v>
      </c>
      <c r="J705" s="8">
        <v>45840</v>
      </c>
      <c r="K705" s="23">
        <f t="shared" si="274"/>
        <v>0</v>
      </c>
      <c r="L705" s="23">
        <f t="shared" si="275"/>
        <v>0</v>
      </c>
      <c r="M705" s="206">
        <f t="shared" si="276"/>
        <v>52.5</v>
      </c>
      <c r="N705" s="34"/>
      <c r="O705" s="209">
        <f t="shared" si="263"/>
        <v>120</v>
      </c>
      <c r="P705" s="34">
        <f t="shared" si="277"/>
        <v>28850</v>
      </c>
      <c r="Q705" s="34">
        <f t="shared" si="278"/>
        <v>35000</v>
      </c>
      <c r="R705" s="7">
        <f t="shared" si="279"/>
        <v>-52.5</v>
      </c>
      <c r="S705" s="227">
        <f t="shared" si="264"/>
        <v>6097.5</v>
      </c>
      <c r="T705" s="249">
        <f t="shared" si="265"/>
        <v>0.21135181975736569</v>
      </c>
    </row>
    <row r="706" spans="1:20" s="33" customFormat="1" ht="15" customHeight="1" x14ac:dyDescent="0.4">
      <c r="B706" s="38" t="s">
        <v>45</v>
      </c>
      <c r="C706" s="6" t="s">
        <v>160</v>
      </c>
      <c r="D706" s="6">
        <f t="shared" si="273"/>
        <v>1</v>
      </c>
      <c r="E706" s="34">
        <v>1</v>
      </c>
      <c r="F706" s="212">
        <v>28200</v>
      </c>
      <c r="G706" s="195">
        <v>45728</v>
      </c>
      <c r="H706" s="8"/>
      <c r="I706" s="212">
        <v>35000</v>
      </c>
      <c r="J706" s="8">
        <v>45840</v>
      </c>
      <c r="K706" s="23">
        <f t="shared" si="274"/>
        <v>0</v>
      </c>
      <c r="L706" s="23">
        <f t="shared" si="275"/>
        <v>0</v>
      </c>
      <c r="M706" s="206">
        <f t="shared" si="276"/>
        <v>52.5</v>
      </c>
      <c r="N706" s="34"/>
      <c r="O706" s="209">
        <f t="shared" si="263"/>
        <v>113</v>
      </c>
      <c r="P706" s="34">
        <f t="shared" si="277"/>
        <v>28200</v>
      </c>
      <c r="Q706" s="34">
        <f t="shared" si="278"/>
        <v>35000</v>
      </c>
      <c r="R706" s="7">
        <f t="shared" si="279"/>
        <v>-52.5</v>
      </c>
      <c r="S706" s="227">
        <f t="shared" si="264"/>
        <v>6747.5</v>
      </c>
      <c r="T706" s="249">
        <f t="shared" si="265"/>
        <v>0.23927304964539006</v>
      </c>
    </row>
    <row r="707" spans="1:20" s="33" customFormat="1" ht="15" customHeight="1" x14ac:dyDescent="0.4">
      <c r="B707" s="38" t="s">
        <v>45</v>
      </c>
      <c r="C707" s="6" t="s">
        <v>160</v>
      </c>
      <c r="D707" s="6">
        <f t="shared" si="273"/>
        <v>1</v>
      </c>
      <c r="E707" s="34">
        <v>1</v>
      </c>
      <c r="F707" s="212">
        <v>27600</v>
      </c>
      <c r="G707" s="195">
        <v>45735</v>
      </c>
      <c r="H707" s="8"/>
      <c r="I707" s="212">
        <v>35000</v>
      </c>
      <c r="J707" s="8">
        <v>45840</v>
      </c>
      <c r="K707" s="23">
        <f t="shared" si="274"/>
        <v>0</v>
      </c>
      <c r="L707" s="23">
        <f t="shared" si="275"/>
        <v>0</v>
      </c>
      <c r="M707" s="206">
        <f t="shared" si="276"/>
        <v>52.5</v>
      </c>
      <c r="N707" s="34"/>
      <c r="O707" s="209">
        <f t="shared" si="263"/>
        <v>106</v>
      </c>
      <c r="P707" s="34">
        <f t="shared" si="277"/>
        <v>27600</v>
      </c>
      <c r="Q707" s="34">
        <f t="shared" si="278"/>
        <v>35000</v>
      </c>
      <c r="R707" s="7">
        <f t="shared" si="279"/>
        <v>-52.5</v>
      </c>
      <c r="S707" s="227">
        <f t="shared" si="264"/>
        <v>7347.5</v>
      </c>
      <c r="T707" s="249">
        <f t="shared" si="265"/>
        <v>0.26621376811594205</v>
      </c>
    </row>
    <row r="708" spans="1:20" s="33" customFormat="1" ht="15" customHeight="1" x14ac:dyDescent="0.4">
      <c r="B708" s="38" t="s">
        <v>45</v>
      </c>
      <c r="C708" s="6" t="s">
        <v>160</v>
      </c>
      <c r="D708" s="6">
        <f t="shared" si="273"/>
        <v>1</v>
      </c>
      <c r="E708" s="34">
        <v>1</v>
      </c>
      <c r="F708" s="212">
        <v>27400</v>
      </c>
      <c r="G708" s="195">
        <v>45742</v>
      </c>
      <c r="H708" s="8"/>
      <c r="I708" s="212">
        <v>35000</v>
      </c>
      <c r="J708" s="8">
        <v>45840</v>
      </c>
      <c r="K708" s="23">
        <f t="shared" si="274"/>
        <v>0</v>
      </c>
      <c r="L708" s="23">
        <f t="shared" si="275"/>
        <v>0</v>
      </c>
      <c r="M708" s="206">
        <f t="shared" si="276"/>
        <v>52.5</v>
      </c>
      <c r="N708" s="34"/>
      <c r="O708" s="209">
        <f t="shared" si="263"/>
        <v>99</v>
      </c>
      <c r="P708" s="34">
        <f t="shared" si="277"/>
        <v>27400</v>
      </c>
      <c r="Q708" s="34">
        <f t="shared" si="278"/>
        <v>35000</v>
      </c>
      <c r="R708" s="7">
        <f t="shared" si="279"/>
        <v>-52.5</v>
      </c>
      <c r="S708" s="227">
        <f t="shared" si="264"/>
        <v>7547.5</v>
      </c>
      <c r="T708" s="249">
        <f t="shared" si="265"/>
        <v>0.27545620437956203</v>
      </c>
    </row>
    <row r="709" spans="1:20" s="33" customFormat="1" ht="15" customHeight="1" x14ac:dyDescent="0.4">
      <c r="B709" s="38" t="s">
        <v>45</v>
      </c>
      <c r="C709" s="6" t="s">
        <v>160</v>
      </c>
      <c r="D709" s="6">
        <f t="shared" si="273"/>
        <v>1</v>
      </c>
      <c r="E709" s="34">
        <v>1</v>
      </c>
      <c r="F709" s="212">
        <v>27400</v>
      </c>
      <c r="G709" s="195">
        <v>45749</v>
      </c>
      <c r="H709" s="8"/>
      <c r="I709" s="212">
        <v>35000</v>
      </c>
      <c r="J709" s="8">
        <v>45840</v>
      </c>
      <c r="K709" s="23">
        <f t="shared" si="274"/>
        <v>0</v>
      </c>
      <c r="L709" s="23">
        <f t="shared" si="275"/>
        <v>0</v>
      </c>
      <c r="M709" s="206">
        <f t="shared" si="276"/>
        <v>52.5</v>
      </c>
      <c r="N709" s="34"/>
      <c r="O709" s="209">
        <f t="shared" si="263"/>
        <v>92</v>
      </c>
      <c r="P709" s="34">
        <f t="shared" si="277"/>
        <v>27400</v>
      </c>
      <c r="Q709" s="34">
        <f t="shared" si="278"/>
        <v>35000</v>
      </c>
      <c r="R709" s="7">
        <f t="shared" si="279"/>
        <v>-52.5</v>
      </c>
      <c r="S709" s="227">
        <f t="shared" si="264"/>
        <v>7547.5</v>
      </c>
      <c r="T709" s="249">
        <f t="shared" si="265"/>
        <v>0.27545620437956203</v>
      </c>
    </row>
    <row r="710" spans="1:20" s="33" customFormat="1" ht="15" customHeight="1" x14ac:dyDescent="0.4">
      <c r="B710" s="38" t="s">
        <v>45</v>
      </c>
      <c r="C710" s="6" t="s">
        <v>160</v>
      </c>
      <c r="D710" s="6">
        <f t="shared" si="273"/>
        <v>1</v>
      </c>
      <c r="E710" s="34">
        <v>1</v>
      </c>
      <c r="F710" s="212">
        <v>24700</v>
      </c>
      <c r="G710" s="195">
        <v>45756</v>
      </c>
      <c r="H710" s="8"/>
      <c r="I710" s="212">
        <v>35000</v>
      </c>
      <c r="J710" s="8">
        <v>45840</v>
      </c>
      <c r="K710" s="23">
        <f t="shared" si="274"/>
        <v>0</v>
      </c>
      <c r="L710" s="23">
        <f t="shared" si="275"/>
        <v>0</v>
      </c>
      <c r="M710" s="206">
        <f t="shared" si="276"/>
        <v>52.5</v>
      </c>
      <c r="N710" s="34"/>
      <c r="O710" s="209">
        <f t="shared" si="263"/>
        <v>85</v>
      </c>
      <c r="P710" s="34">
        <f t="shared" si="277"/>
        <v>24700</v>
      </c>
      <c r="Q710" s="34">
        <f t="shared" si="278"/>
        <v>35000</v>
      </c>
      <c r="R710" s="7">
        <f t="shared" si="279"/>
        <v>-52.5</v>
      </c>
      <c r="S710" s="227">
        <f t="shared" si="264"/>
        <v>10247.5</v>
      </c>
      <c r="T710" s="249">
        <f t="shared" si="265"/>
        <v>0.41487854251012146</v>
      </c>
    </row>
    <row r="711" spans="1:20" s="33" customFormat="1" ht="15" customHeight="1" x14ac:dyDescent="0.4">
      <c r="B711" s="38" t="s">
        <v>45</v>
      </c>
      <c r="C711" s="6" t="s">
        <v>160</v>
      </c>
      <c r="D711" s="6">
        <f t="shared" si="273"/>
        <v>1</v>
      </c>
      <c r="E711" s="34">
        <v>1</v>
      </c>
      <c r="F711" s="212">
        <v>28800</v>
      </c>
      <c r="G711" s="195">
        <v>45763</v>
      </c>
      <c r="H711" s="8"/>
      <c r="I711" s="212">
        <v>35000</v>
      </c>
      <c r="J711" s="8">
        <v>45840</v>
      </c>
      <c r="K711" s="23">
        <f t="shared" si="274"/>
        <v>0</v>
      </c>
      <c r="L711" s="23">
        <f t="shared" si="275"/>
        <v>0</v>
      </c>
      <c r="M711" s="206">
        <f t="shared" si="276"/>
        <v>52.5</v>
      </c>
      <c r="N711" s="34"/>
      <c r="O711" s="209">
        <f t="shared" si="263"/>
        <v>78</v>
      </c>
      <c r="P711" s="34">
        <f t="shared" si="277"/>
        <v>28800</v>
      </c>
      <c r="Q711" s="34">
        <f t="shared" si="278"/>
        <v>35000</v>
      </c>
      <c r="R711" s="7">
        <f t="shared" si="279"/>
        <v>-52.5</v>
      </c>
      <c r="S711" s="227">
        <f t="shared" si="264"/>
        <v>6147.5</v>
      </c>
      <c r="T711" s="249">
        <f t="shared" si="265"/>
        <v>0.21345486111111112</v>
      </c>
    </row>
    <row r="712" spans="1:20" s="33" customFormat="1" ht="15" customHeight="1" x14ac:dyDescent="0.4">
      <c r="B712" s="38" t="s">
        <v>45</v>
      </c>
      <c r="C712" s="6" t="s">
        <v>160</v>
      </c>
      <c r="D712" s="6">
        <f t="shared" si="273"/>
        <v>1</v>
      </c>
      <c r="E712" s="34">
        <v>1</v>
      </c>
      <c r="F712" s="212">
        <v>30950</v>
      </c>
      <c r="G712" s="195">
        <v>45770</v>
      </c>
      <c r="H712" s="8"/>
      <c r="I712" s="212">
        <v>35000</v>
      </c>
      <c r="J712" s="8">
        <v>45840</v>
      </c>
      <c r="K712" s="23">
        <f t="shared" si="274"/>
        <v>0</v>
      </c>
      <c r="L712" s="23">
        <f t="shared" si="275"/>
        <v>0</v>
      </c>
      <c r="M712" s="206">
        <f t="shared" si="276"/>
        <v>52.5</v>
      </c>
      <c r="N712" s="34"/>
      <c r="O712" s="209">
        <f t="shared" si="263"/>
        <v>71</v>
      </c>
      <c r="P712" s="34">
        <f t="shared" si="277"/>
        <v>30950</v>
      </c>
      <c r="Q712" s="34">
        <f t="shared" si="278"/>
        <v>35000</v>
      </c>
      <c r="R712" s="7">
        <f t="shared" si="279"/>
        <v>-52.5</v>
      </c>
      <c r="S712" s="227">
        <f t="shared" si="264"/>
        <v>3997.5</v>
      </c>
      <c r="T712" s="249">
        <f t="shared" si="265"/>
        <v>0.1291599353796446</v>
      </c>
    </row>
    <row r="713" spans="1:20" s="33" customFormat="1" ht="15" customHeight="1" x14ac:dyDescent="0.4">
      <c r="B713" s="38" t="s">
        <v>45</v>
      </c>
      <c r="C713" s="6" t="s">
        <v>160</v>
      </c>
      <c r="D713" s="6">
        <f t="shared" si="273"/>
        <v>1</v>
      </c>
      <c r="E713" s="34">
        <v>1</v>
      </c>
      <c r="F713" s="212">
        <v>28900</v>
      </c>
      <c r="G713" s="195">
        <v>45777</v>
      </c>
      <c r="H713" s="8"/>
      <c r="I713" s="212">
        <v>35000</v>
      </c>
      <c r="J713" s="8">
        <v>45840</v>
      </c>
      <c r="K713" s="23">
        <f t="shared" si="274"/>
        <v>0</v>
      </c>
      <c r="L713" s="23">
        <f t="shared" si="275"/>
        <v>0</v>
      </c>
      <c r="M713" s="206">
        <f t="shared" si="276"/>
        <v>52.5</v>
      </c>
      <c r="N713" s="34"/>
      <c r="O713" s="209">
        <f t="shared" si="263"/>
        <v>64</v>
      </c>
      <c r="P713" s="34">
        <f t="shared" si="277"/>
        <v>28900</v>
      </c>
      <c r="Q713" s="34">
        <f t="shared" si="278"/>
        <v>35000</v>
      </c>
      <c r="R713" s="7">
        <f t="shared" si="279"/>
        <v>-52.5</v>
      </c>
      <c r="S713" s="227">
        <f t="shared" si="264"/>
        <v>6047.5</v>
      </c>
      <c r="T713" s="249">
        <f t="shared" si="265"/>
        <v>0.20925605536332179</v>
      </c>
    </row>
    <row r="714" spans="1:20" s="33" customFormat="1" ht="15" customHeight="1" x14ac:dyDescent="0.4">
      <c r="B714" s="38" t="s">
        <v>45</v>
      </c>
      <c r="C714" s="6" t="s">
        <v>160</v>
      </c>
      <c r="D714" s="6">
        <f t="shared" si="273"/>
        <v>1</v>
      </c>
      <c r="E714" s="34">
        <v>1</v>
      </c>
      <c r="F714" s="212">
        <v>28600</v>
      </c>
      <c r="G714" s="195">
        <v>45784</v>
      </c>
      <c r="H714" s="8"/>
      <c r="I714" s="212">
        <v>35000</v>
      </c>
      <c r="J714" s="8">
        <v>45840</v>
      </c>
      <c r="K714" s="23">
        <f t="shared" si="274"/>
        <v>0</v>
      </c>
      <c r="L714" s="23">
        <f t="shared" si="275"/>
        <v>0</v>
      </c>
      <c r="M714" s="206">
        <f t="shared" si="276"/>
        <v>52.5</v>
      </c>
      <c r="N714" s="34"/>
      <c r="O714" s="209">
        <f t="shared" si="263"/>
        <v>57</v>
      </c>
      <c r="P714" s="34">
        <f t="shared" si="277"/>
        <v>28600</v>
      </c>
      <c r="Q714" s="34">
        <f t="shared" si="278"/>
        <v>35000</v>
      </c>
      <c r="R714" s="7">
        <f t="shared" si="279"/>
        <v>-52.5</v>
      </c>
      <c r="S714" s="227">
        <f t="shared" si="264"/>
        <v>6347.5</v>
      </c>
      <c r="T714" s="249">
        <f t="shared" si="265"/>
        <v>0.22194055944055943</v>
      </c>
    </row>
    <row r="715" spans="1:20" s="33" customFormat="1" ht="15" customHeight="1" x14ac:dyDescent="0.4">
      <c r="B715" s="38" t="s">
        <v>45</v>
      </c>
      <c r="C715" s="6" t="s">
        <v>160</v>
      </c>
      <c r="D715" s="6">
        <f t="shared" si="273"/>
        <v>1</v>
      </c>
      <c r="E715" s="34">
        <v>1</v>
      </c>
      <c r="F715" s="212">
        <v>31350</v>
      </c>
      <c r="G715" s="195">
        <v>45791</v>
      </c>
      <c r="H715" s="8"/>
      <c r="I715" s="212">
        <v>35000</v>
      </c>
      <c r="J715" s="8">
        <v>45840</v>
      </c>
      <c r="K715" s="23">
        <f t="shared" si="274"/>
        <v>0</v>
      </c>
      <c r="L715" s="23">
        <f t="shared" si="275"/>
        <v>0</v>
      </c>
      <c r="M715" s="206">
        <f t="shared" si="276"/>
        <v>52.5</v>
      </c>
      <c r="N715" s="34"/>
      <c r="O715" s="209">
        <f t="shared" si="263"/>
        <v>50</v>
      </c>
      <c r="P715" s="34">
        <f t="shared" si="277"/>
        <v>31350</v>
      </c>
      <c r="Q715" s="34">
        <f t="shared" si="278"/>
        <v>35000</v>
      </c>
      <c r="R715" s="7">
        <f t="shared" si="279"/>
        <v>-52.5</v>
      </c>
      <c r="S715" s="227">
        <f t="shared" si="264"/>
        <v>3597.5</v>
      </c>
      <c r="T715" s="249">
        <f t="shared" si="265"/>
        <v>0.11475279106858054</v>
      </c>
    </row>
    <row r="716" spans="1:20" s="33" customFormat="1" ht="15" customHeight="1" x14ac:dyDescent="0.4">
      <c r="B716" s="38" t="s">
        <v>45</v>
      </c>
      <c r="C716" s="6" t="s">
        <v>160</v>
      </c>
      <c r="D716" s="6">
        <f t="shared" si="273"/>
        <v>1</v>
      </c>
      <c r="E716" s="34">
        <v>1</v>
      </c>
      <c r="F716" s="212">
        <v>31500</v>
      </c>
      <c r="G716" s="195">
        <v>45798</v>
      </c>
      <c r="H716" s="8"/>
      <c r="I716" s="212">
        <v>35000</v>
      </c>
      <c r="J716" s="8">
        <v>45840</v>
      </c>
      <c r="K716" s="23">
        <f t="shared" si="274"/>
        <v>0</v>
      </c>
      <c r="L716" s="23">
        <f t="shared" si="275"/>
        <v>0</v>
      </c>
      <c r="M716" s="206">
        <f t="shared" si="276"/>
        <v>52.5</v>
      </c>
      <c r="N716" s="34"/>
      <c r="O716" s="209">
        <f t="shared" si="263"/>
        <v>43</v>
      </c>
      <c r="P716" s="34">
        <f t="shared" si="277"/>
        <v>31500</v>
      </c>
      <c r="Q716" s="34">
        <f t="shared" si="278"/>
        <v>35000</v>
      </c>
      <c r="R716" s="7">
        <f t="shared" si="279"/>
        <v>-52.5</v>
      </c>
      <c r="S716" s="227">
        <f t="shared" si="264"/>
        <v>3447.5</v>
      </c>
      <c r="T716" s="249">
        <f t="shared" si="265"/>
        <v>0.10944444444444444</v>
      </c>
    </row>
    <row r="717" spans="1:20" s="33" customFormat="1" ht="15" customHeight="1" x14ac:dyDescent="0.4">
      <c r="B717" s="38" t="s">
        <v>45</v>
      </c>
      <c r="C717" s="6" t="s">
        <v>160</v>
      </c>
      <c r="D717" s="6">
        <f t="shared" si="273"/>
        <v>1</v>
      </c>
      <c r="E717" s="34">
        <v>1</v>
      </c>
      <c r="F717" s="212">
        <v>32400</v>
      </c>
      <c r="G717" s="195">
        <v>45805</v>
      </c>
      <c r="H717" s="8"/>
      <c r="I717" s="212">
        <v>35000</v>
      </c>
      <c r="J717" s="8">
        <v>45840</v>
      </c>
      <c r="K717" s="23">
        <f t="shared" si="274"/>
        <v>0</v>
      </c>
      <c r="L717" s="23">
        <f t="shared" si="275"/>
        <v>0</v>
      </c>
      <c r="M717" s="206">
        <f t="shared" si="276"/>
        <v>52.5</v>
      </c>
      <c r="N717" s="34"/>
      <c r="O717" s="209">
        <f t="shared" si="263"/>
        <v>36</v>
      </c>
      <c r="P717" s="34">
        <f t="shared" si="277"/>
        <v>32400</v>
      </c>
      <c r="Q717" s="34">
        <f t="shared" si="278"/>
        <v>35000</v>
      </c>
      <c r="R717" s="7">
        <f t="shared" si="279"/>
        <v>-52.5</v>
      </c>
      <c r="S717" s="227">
        <f t="shared" si="264"/>
        <v>2547.5</v>
      </c>
      <c r="T717" s="249">
        <f t="shared" si="265"/>
        <v>7.862654320987654E-2</v>
      </c>
    </row>
    <row r="718" spans="1:20" s="33" customFormat="1" ht="15" customHeight="1" x14ac:dyDescent="0.4">
      <c r="B718" s="38" t="s">
        <v>45</v>
      </c>
      <c r="C718" s="6" t="s">
        <v>160</v>
      </c>
      <c r="D718" s="6">
        <f t="shared" si="273"/>
        <v>1</v>
      </c>
      <c r="E718" s="34">
        <v>1</v>
      </c>
      <c r="F718" s="212">
        <v>31100</v>
      </c>
      <c r="G718" s="195">
        <v>45812</v>
      </c>
      <c r="H718" s="8"/>
      <c r="I718" s="212">
        <v>35000</v>
      </c>
      <c r="J718" s="8">
        <v>45840</v>
      </c>
      <c r="K718" s="23">
        <f t="shared" si="274"/>
        <v>0</v>
      </c>
      <c r="L718" s="23">
        <f t="shared" si="275"/>
        <v>0</v>
      </c>
      <c r="M718" s="206">
        <f t="shared" si="276"/>
        <v>52.5</v>
      </c>
      <c r="N718" s="34"/>
      <c r="O718" s="209">
        <f t="shared" si="263"/>
        <v>29</v>
      </c>
      <c r="P718" s="34">
        <f t="shared" si="277"/>
        <v>31100</v>
      </c>
      <c r="Q718" s="34">
        <f t="shared" si="278"/>
        <v>35000</v>
      </c>
      <c r="R718" s="7">
        <f t="shared" si="279"/>
        <v>-52.5</v>
      </c>
      <c r="S718" s="227">
        <f t="shared" si="264"/>
        <v>3847.5</v>
      </c>
      <c r="T718" s="249">
        <f t="shared" si="265"/>
        <v>0.12371382636655949</v>
      </c>
    </row>
    <row r="719" spans="1:20" s="33" customFormat="1" ht="15" customHeight="1" x14ac:dyDescent="0.4">
      <c r="A719" s="33" t="s">
        <v>113</v>
      </c>
      <c r="B719" s="38" t="s">
        <v>45</v>
      </c>
      <c r="C719" s="6" t="s">
        <v>160</v>
      </c>
      <c r="D719" s="6">
        <f t="shared" si="273"/>
        <v>1</v>
      </c>
      <c r="E719" s="34">
        <v>1</v>
      </c>
      <c r="F719" s="212">
        <v>29800</v>
      </c>
      <c r="G719" s="195">
        <v>45819</v>
      </c>
      <c r="H719" s="8"/>
      <c r="I719" s="212">
        <v>35000</v>
      </c>
      <c r="J719" s="8">
        <v>45840</v>
      </c>
      <c r="K719" s="23">
        <f t="shared" si="274"/>
        <v>0</v>
      </c>
      <c r="L719" s="23">
        <f t="shared" si="275"/>
        <v>0</v>
      </c>
      <c r="M719" s="206">
        <f t="shared" si="276"/>
        <v>52.5</v>
      </c>
      <c r="N719" s="34"/>
      <c r="O719" s="209">
        <f t="shared" si="263"/>
        <v>22</v>
      </c>
      <c r="P719" s="34">
        <f t="shared" si="277"/>
        <v>29800</v>
      </c>
      <c r="Q719" s="34">
        <f t="shared" si="278"/>
        <v>35000</v>
      </c>
      <c r="R719" s="7">
        <f t="shared" si="279"/>
        <v>-52.5</v>
      </c>
      <c r="S719" s="227">
        <f t="shared" si="264"/>
        <v>5147.5</v>
      </c>
      <c r="T719" s="249">
        <f t="shared" si="265"/>
        <v>0.17273489932885905</v>
      </c>
    </row>
    <row r="720" spans="1:20" s="33" customFormat="1" ht="15" customHeight="1" x14ac:dyDescent="0.4">
      <c r="A720" s="33" t="s">
        <v>113</v>
      </c>
      <c r="B720" s="38" t="s">
        <v>45</v>
      </c>
      <c r="C720" s="6" t="s">
        <v>160</v>
      </c>
      <c r="D720" s="6">
        <f t="shared" si="273"/>
        <v>1</v>
      </c>
      <c r="E720" s="34">
        <v>1</v>
      </c>
      <c r="F720" s="212">
        <v>36750</v>
      </c>
      <c r="G720" s="195">
        <v>45826</v>
      </c>
      <c r="H720" s="8"/>
      <c r="I720" s="212">
        <v>35000</v>
      </c>
      <c r="J720" s="8">
        <v>45840</v>
      </c>
      <c r="K720" s="23">
        <f t="shared" si="274"/>
        <v>0</v>
      </c>
      <c r="L720" s="23">
        <f t="shared" si="275"/>
        <v>0</v>
      </c>
      <c r="M720" s="206">
        <f t="shared" si="276"/>
        <v>52.5</v>
      </c>
      <c r="N720" s="34"/>
      <c r="O720" s="209">
        <f t="shared" si="263"/>
        <v>15</v>
      </c>
      <c r="P720" s="34">
        <f t="shared" si="277"/>
        <v>36750</v>
      </c>
      <c r="Q720" s="34">
        <f t="shared" si="278"/>
        <v>35000</v>
      </c>
      <c r="R720" s="7">
        <f t="shared" si="279"/>
        <v>-52.5</v>
      </c>
      <c r="S720" s="227">
        <f t="shared" si="264"/>
        <v>-1802.5</v>
      </c>
      <c r="T720" s="249">
        <f t="shared" si="265"/>
        <v>-4.9047619047619048E-2</v>
      </c>
    </row>
    <row r="721" spans="2:22" s="33" customFormat="1" ht="15" customHeight="1" x14ac:dyDescent="0.4">
      <c r="B721" s="38" t="s">
        <v>45</v>
      </c>
      <c r="C721" s="6" t="s">
        <v>160</v>
      </c>
      <c r="D721" s="6">
        <f t="shared" si="273"/>
        <v>1</v>
      </c>
      <c r="E721" s="34">
        <v>1</v>
      </c>
      <c r="F721" s="212">
        <v>37150</v>
      </c>
      <c r="G721" s="195">
        <v>45833</v>
      </c>
      <c r="H721" s="8"/>
      <c r="I721" s="212">
        <v>35000</v>
      </c>
      <c r="J721" s="8">
        <v>45840</v>
      </c>
      <c r="K721" s="23">
        <f t="shared" si="274"/>
        <v>0</v>
      </c>
      <c r="L721" s="23">
        <f t="shared" si="275"/>
        <v>0</v>
      </c>
      <c r="M721" s="206">
        <f t="shared" si="276"/>
        <v>52.5</v>
      </c>
      <c r="N721" s="34"/>
      <c r="O721" s="209">
        <f t="shared" si="263"/>
        <v>8</v>
      </c>
      <c r="P721" s="34">
        <f t="shared" si="277"/>
        <v>37150</v>
      </c>
      <c r="Q721" s="34">
        <f t="shared" si="278"/>
        <v>35000</v>
      </c>
      <c r="R721" s="7">
        <f t="shared" si="279"/>
        <v>-52.5</v>
      </c>
      <c r="S721" s="227">
        <f t="shared" si="264"/>
        <v>-2202.5</v>
      </c>
      <c r="T721" s="249">
        <f t="shared" si="265"/>
        <v>-5.9286675639300138E-2</v>
      </c>
    </row>
    <row r="722" spans="2:22" s="33" customFormat="1" ht="15" customHeight="1" x14ac:dyDescent="0.4">
      <c r="B722" s="38" t="s">
        <v>45</v>
      </c>
      <c r="C722" s="6" t="s">
        <v>160</v>
      </c>
      <c r="D722" s="6">
        <f t="shared" si="273"/>
        <v>1</v>
      </c>
      <c r="E722" s="34">
        <v>1</v>
      </c>
      <c r="F722" s="212">
        <v>35350</v>
      </c>
      <c r="G722" s="195">
        <v>45840</v>
      </c>
      <c r="H722" s="8"/>
      <c r="I722" s="212">
        <v>35000</v>
      </c>
      <c r="J722" s="8">
        <v>45840</v>
      </c>
      <c r="K722" s="23">
        <f t="shared" si="274"/>
        <v>0</v>
      </c>
      <c r="L722" s="23">
        <f t="shared" si="275"/>
        <v>0</v>
      </c>
      <c r="M722" s="206">
        <f t="shared" si="276"/>
        <v>52.5</v>
      </c>
      <c r="N722" s="34"/>
      <c r="O722" s="209">
        <f t="shared" si="263"/>
        <v>1</v>
      </c>
      <c r="P722" s="34">
        <f t="shared" si="277"/>
        <v>35350</v>
      </c>
      <c r="Q722" s="34">
        <f t="shared" si="278"/>
        <v>35000</v>
      </c>
      <c r="R722" s="7">
        <f t="shared" si="279"/>
        <v>-52.5</v>
      </c>
      <c r="S722" s="227">
        <f t="shared" si="264"/>
        <v>-402.5</v>
      </c>
      <c r="T722" s="249">
        <f t="shared" si="265"/>
        <v>-1.1386138613861386E-2</v>
      </c>
    </row>
    <row r="723" spans="2:22" s="33" customFormat="1" ht="15" customHeight="1" x14ac:dyDescent="0.4">
      <c r="B723" s="38" t="s">
        <v>45</v>
      </c>
      <c r="C723" s="6" t="s">
        <v>160</v>
      </c>
      <c r="D723" s="6">
        <f t="shared" si="273"/>
        <v>1</v>
      </c>
      <c r="E723" s="34">
        <v>10</v>
      </c>
      <c r="F723" s="212">
        <v>34200</v>
      </c>
      <c r="G723" s="195">
        <v>45840</v>
      </c>
      <c r="H723" s="8"/>
      <c r="I723" s="212">
        <v>43100</v>
      </c>
      <c r="J723" s="8">
        <v>45854</v>
      </c>
      <c r="K723" s="23">
        <f t="shared" si="274"/>
        <v>10</v>
      </c>
      <c r="L723" s="23">
        <f t="shared" si="275"/>
        <v>10</v>
      </c>
      <c r="M723" s="206">
        <f t="shared" si="276"/>
        <v>646.5</v>
      </c>
      <c r="N723" s="34"/>
      <c r="O723" s="209">
        <f t="shared" si="263"/>
        <v>15</v>
      </c>
      <c r="P723" s="34">
        <f t="shared" si="277"/>
        <v>342000</v>
      </c>
      <c r="Q723" s="34">
        <f t="shared" si="278"/>
        <v>431000</v>
      </c>
      <c r="R723" s="7">
        <f t="shared" si="279"/>
        <v>-666.5</v>
      </c>
      <c r="S723" s="227">
        <f t="shared" si="264"/>
        <v>88333.5</v>
      </c>
      <c r="T723" s="249">
        <f t="shared" si="265"/>
        <v>0.25828508771929826</v>
      </c>
    </row>
    <row r="724" spans="2:22" s="33" customFormat="1" ht="15" customHeight="1" x14ac:dyDescent="0.4">
      <c r="B724" s="38" t="s">
        <v>45</v>
      </c>
      <c r="C724" s="6" t="s">
        <v>160</v>
      </c>
      <c r="D724" s="6">
        <f t="shared" si="273"/>
        <v>1</v>
      </c>
      <c r="E724" s="34">
        <v>10</v>
      </c>
      <c r="F724" s="212">
        <v>34000</v>
      </c>
      <c r="G724" s="195">
        <v>45840</v>
      </c>
      <c r="H724" s="8"/>
      <c r="I724" s="212">
        <v>43100</v>
      </c>
      <c r="J724" s="8">
        <v>45854</v>
      </c>
      <c r="K724" s="23">
        <f t="shared" si="274"/>
        <v>10</v>
      </c>
      <c r="L724" s="23">
        <f t="shared" si="275"/>
        <v>10</v>
      </c>
      <c r="M724" s="206">
        <f t="shared" si="276"/>
        <v>646.5</v>
      </c>
      <c r="N724" s="34"/>
      <c r="O724" s="209">
        <f t="shared" si="263"/>
        <v>15</v>
      </c>
      <c r="P724" s="34">
        <f t="shared" si="277"/>
        <v>340000</v>
      </c>
      <c r="Q724" s="34">
        <f t="shared" si="278"/>
        <v>431000</v>
      </c>
      <c r="R724" s="7">
        <f t="shared" si="279"/>
        <v>-666.5</v>
      </c>
      <c r="S724" s="227">
        <f t="shared" si="264"/>
        <v>90333.5</v>
      </c>
      <c r="T724" s="249">
        <f t="shared" si="265"/>
        <v>0.26568676470588237</v>
      </c>
    </row>
    <row r="725" spans="2:22" s="33" customFormat="1" ht="15" customHeight="1" x14ac:dyDescent="0.4">
      <c r="B725" s="38" t="s">
        <v>45</v>
      </c>
      <c r="C725" s="6" t="s">
        <v>160</v>
      </c>
      <c r="D725" s="6">
        <f t="shared" si="273"/>
        <v>1</v>
      </c>
      <c r="E725" s="34">
        <v>20</v>
      </c>
      <c r="F725" s="212">
        <v>34500</v>
      </c>
      <c r="G725" s="195">
        <v>45840</v>
      </c>
      <c r="H725" s="8"/>
      <c r="I725" s="212">
        <v>43100</v>
      </c>
      <c r="J725" s="8">
        <v>45854</v>
      </c>
      <c r="K725" s="23">
        <f t="shared" si="274"/>
        <v>20</v>
      </c>
      <c r="L725" s="23">
        <f t="shared" si="275"/>
        <v>30</v>
      </c>
      <c r="M725" s="206">
        <f t="shared" si="276"/>
        <v>1293</v>
      </c>
      <c r="N725" s="34"/>
      <c r="O725" s="209">
        <f t="shared" si="263"/>
        <v>15</v>
      </c>
      <c r="P725" s="34">
        <f t="shared" si="277"/>
        <v>690000</v>
      </c>
      <c r="Q725" s="34">
        <f t="shared" si="278"/>
        <v>862000</v>
      </c>
      <c r="R725" s="7">
        <f t="shared" si="279"/>
        <v>-1343</v>
      </c>
      <c r="S725" s="227">
        <f t="shared" si="264"/>
        <v>170657</v>
      </c>
      <c r="T725" s="249">
        <f t="shared" si="265"/>
        <v>0.24732898550724638</v>
      </c>
    </row>
    <row r="726" spans="2:22" s="33" customFormat="1" ht="15" customHeight="1" x14ac:dyDescent="0.4">
      <c r="B726" s="38" t="s">
        <v>45</v>
      </c>
      <c r="C726" s="6" t="s">
        <v>160</v>
      </c>
      <c r="D726" s="6">
        <f t="shared" si="273"/>
        <v>1</v>
      </c>
      <c r="E726" s="34">
        <v>10</v>
      </c>
      <c r="F726" s="212">
        <v>33700</v>
      </c>
      <c r="G726" s="195">
        <v>45841</v>
      </c>
      <c r="H726" s="8"/>
      <c r="I726" s="212">
        <v>43100</v>
      </c>
      <c r="J726" s="8">
        <v>45854</v>
      </c>
      <c r="K726" s="23">
        <f t="shared" si="274"/>
        <v>10</v>
      </c>
      <c r="L726" s="23">
        <f t="shared" si="275"/>
        <v>10</v>
      </c>
      <c r="M726" s="206">
        <f t="shared" si="276"/>
        <v>646.5</v>
      </c>
      <c r="N726" s="34"/>
      <c r="O726" s="209">
        <f t="shared" si="263"/>
        <v>14</v>
      </c>
      <c r="P726" s="34">
        <f t="shared" si="277"/>
        <v>337000</v>
      </c>
      <c r="Q726" s="34">
        <f t="shared" si="278"/>
        <v>431000</v>
      </c>
      <c r="R726" s="7">
        <f t="shared" si="279"/>
        <v>-666.5</v>
      </c>
      <c r="S726" s="227">
        <f t="shared" si="264"/>
        <v>93333.5</v>
      </c>
      <c r="T726" s="249">
        <f t="shared" si="265"/>
        <v>0.27695400593471808</v>
      </c>
    </row>
    <row r="727" spans="2:22" s="33" customFormat="1" ht="15" customHeight="1" x14ac:dyDescent="0.4">
      <c r="B727" s="38" t="s">
        <v>45</v>
      </c>
      <c r="C727" s="6" t="s">
        <v>160</v>
      </c>
      <c r="D727" s="6">
        <f t="shared" si="273"/>
        <v>1</v>
      </c>
      <c r="E727" s="34">
        <v>1</v>
      </c>
      <c r="F727" s="212">
        <v>37900</v>
      </c>
      <c r="G727" s="195">
        <v>45847</v>
      </c>
      <c r="H727" s="8"/>
      <c r="I727" s="212">
        <v>43100</v>
      </c>
      <c r="J727" s="8">
        <v>45854</v>
      </c>
      <c r="K727" s="23">
        <f t="shared" si="274"/>
        <v>0</v>
      </c>
      <c r="L727" s="23">
        <f t="shared" si="275"/>
        <v>0</v>
      </c>
      <c r="M727" s="206">
        <f t="shared" si="276"/>
        <v>64.650000000000006</v>
      </c>
      <c r="N727" s="34"/>
      <c r="O727" s="209">
        <f t="shared" si="263"/>
        <v>8</v>
      </c>
      <c r="P727" s="34">
        <f t="shared" si="277"/>
        <v>37900</v>
      </c>
      <c r="Q727" s="34">
        <f t="shared" si="278"/>
        <v>43100</v>
      </c>
      <c r="R727" s="7">
        <f t="shared" si="279"/>
        <v>-64.650000000000006</v>
      </c>
      <c r="S727" s="227">
        <f t="shared" si="264"/>
        <v>5135.3500000000004</v>
      </c>
      <c r="T727" s="249">
        <f t="shared" si="265"/>
        <v>0.13549736147757258</v>
      </c>
    </row>
    <row r="728" spans="2:22" s="33" customFormat="1" ht="15" customHeight="1" x14ac:dyDescent="0.4">
      <c r="B728" s="38" t="s">
        <v>45</v>
      </c>
      <c r="C728" s="6" t="s">
        <v>160</v>
      </c>
      <c r="D728" s="6">
        <f t="shared" si="273"/>
        <v>1</v>
      </c>
      <c r="E728" s="34">
        <v>1</v>
      </c>
      <c r="F728" s="212">
        <v>41000</v>
      </c>
      <c r="G728" s="195">
        <v>45854</v>
      </c>
      <c r="H728" s="8"/>
      <c r="I728" s="212">
        <v>43100</v>
      </c>
      <c r="J728" s="8">
        <v>45854</v>
      </c>
      <c r="K728" s="23">
        <f t="shared" si="274"/>
        <v>0</v>
      </c>
      <c r="L728" s="23">
        <f t="shared" si="275"/>
        <v>0</v>
      </c>
      <c r="M728" s="206">
        <f t="shared" si="276"/>
        <v>64.650000000000006</v>
      </c>
      <c r="N728" s="34"/>
      <c r="O728" s="209">
        <f t="shared" si="263"/>
        <v>1</v>
      </c>
      <c r="P728" s="34">
        <f t="shared" si="277"/>
        <v>41000</v>
      </c>
      <c r="Q728" s="34">
        <f t="shared" si="278"/>
        <v>43100</v>
      </c>
      <c r="R728" s="7">
        <f t="shared" si="279"/>
        <v>-64.650000000000006</v>
      </c>
      <c r="S728" s="227">
        <f t="shared" si="264"/>
        <v>2035.35</v>
      </c>
      <c r="T728" s="249">
        <f t="shared" si="265"/>
        <v>4.9642682926829267E-2</v>
      </c>
    </row>
    <row r="729" spans="2:22" s="33" customFormat="1" ht="15" customHeight="1" x14ac:dyDescent="0.4">
      <c r="B729" s="38" t="s">
        <v>45</v>
      </c>
      <c r="C729" s="6" t="s">
        <v>122</v>
      </c>
      <c r="D729" s="6">
        <f t="shared" si="273"/>
        <v>1</v>
      </c>
      <c r="E729" s="34">
        <v>30</v>
      </c>
      <c r="F729" s="212">
        <v>29500</v>
      </c>
      <c r="G729" s="195">
        <v>45818</v>
      </c>
      <c r="H729" s="33" t="s">
        <v>113</v>
      </c>
      <c r="I729" s="212">
        <v>31500</v>
      </c>
      <c r="J729" s="8">
        <v>45820</v>
      </c>
      <c r="K729" s="23">
        <f t="shared" si="274"/>
        <v>132.75</v>
      </c>
      <c r="L729" s="23">
        <f t="shared" si="275"/>
        <v>141.75</v>
      </c>
      <c r="M729" s="206">
        <f t="shared" si="276"/>
        <v>1417.5</v>
      </c>
      <c r="N729" s="34"/>
      <c r="O729" s="209">
        <f t="shared" si="263"/>
        <v>3</v>
      </c>
      <c r="P729" s="34">
        <f t="shared" si="277"/>
        <v>885000</v>
      </c>
      <c r="Q729" s="34">
        <f t="shared" si="278"/>
        <v>945000</v>
      </c>
      <c r="R729" s="7">
        <f t="shared" si="279"/>
        <v>-1692</v>
      </c>
      <c r="S729" s="227">
        <f t="shared" si="264"/>
        <v>58308</v>
      </c>
      <c r="T729" s="249">
        <f t="shared" si="265"/>
        <v>6.588474576271186E-2</v>
      </c>
      <c r="V729" s="36">
        <f>+P729*0.05*O729/365</f>
        <v>363.69863013698631</v>
      </c>
    </row>
    <row r="730" spans="2:22" s="33" customFormat="1" ht="15" customHeight="1" x14ac:dyDescent="0.4">
      <c r="B730" s="38" t="s">
        <v>370</v>
      </c>
      <c r="C730" s="6" t="s">
        <v>187</v>
      </c>
      <c r="D730" s="6"/>
      <c r="E730" s="36">
        <v>10</v>
      </c>
      <c r="F730" s="212">
        <v>11800</v>
      </c>
      <c r="G730" s="195">
        <v>39695</v>
      </c>
      <c r="H730" s="8"/>
      <c r="I730" s="212">
        <v>14100</v>
      </c>
      <c r="J730" s="8">
        <v>39714</v>
      </c>
      <c r="K730" s="7">
        <v>30</v>
      </c>
      <c r="L730" s="7">
        <v>40</v>
      </c>
      <c r="M730" s="196"/>
      <c r="N730" s="36"/>
      <c r="O730" s="191">
        <f t="shared" ref="O730:O793" si="280">J730-G730+1</f>
        <v>20</v>
      </c>
      <c r="P730" s="36">
        <f>F730*E730</f>
        <v>118000</v>
      </c>
      <c r="Q730" s="36">
        <f>I730*E730</f>
        <v>141000</v>
      </c>
      <c r="R730" s="7">
        <f>N730-K730-L730-M730</f>
        <v>-70</v>
      </c>
      <c r="S730" s="227">
        <f t="shared" ref="S730:S793" si="281">IF(Q730=0,0,Q730-P730+R730)</f>
        <v>22930</v>
      </c>
      <c r="T730" s="248">
        <f t="shared" ref="T730:T793" si="282">S730/P730</f>
        <v>0.19432203389830507</v>
      </c>
      <c r="U730" s="9">
        <f>T730*365/O730</f>
        <v>3.5463771186440676</v>
      </c>
      <c r="V730" s="6"/>
    </row>
    <row r="731" spans="2:22" ht="15" customHeight="1" x14ac:dyDescent="0.4">
      <c r="B731" s="38" t="s">
        <v>370</v>
      </c>
      <c r="C731" s="6" t="s">
        <v>187</v>
      </c>
      <c r="D731" s="6"/>
      <c r="E731" s="36">
        <v>20</v>
      </c>
      <c r="F731" s="212">
        <v>8030</v>
      </c>
      <c r="G731" s="195">
        <v>39735</v>
      </c>
      <c r="H731" s="8"/>
      <c r="I731" s="212">
        <v>9480</v>
      </c>
      <c r="J731" s="8">
        <v>39825</v>
      </c>
      <c r="K731" s="7">
        <v>40</v>
      </c>
      <c r="L731" s="7">
        <v>50</v>
      </c>
      <c r="M731" s="196"/>
      <c r="N731" s="36"/>
      <c r="O731" s="191">
        <f t="shared" si="280"/>
        <v>91</v>
      </c>
      <c r="P731" s="36">
        <f>F731*E731</f>
        <v>160600</v>
      </c>
      <c r="Q731" s="36">
        <f>I731*E731</f>
        <v>189600</v>
      </c>
      <c r="R731" s="7">
        <f>N731-K731-L731-M731</f>
        <v>-90</v>
      </c>
      <c r="S731" s="227">
        <f t="shared" si="281"/>
        <v>28910</v>
      </c>
      <c r="T731" s="248">
        <f t="shared" si="282"/>
        <v>0.18001245330012453</v>
      </c>
      <c r="U731" s="193">
        <f>T731*365/O731</f>
        <v>0.72202797202797198</v>
      </c>
      <c r="V731" s="6"/>
    </row>
    <row r="732" spans="2:22" ht="15" customHeight="1" x14ac:dyDescent="0.4">
      <c r="B732" s="38" t="s">
        <v>371</v>
      </c>
      <c r="C732" s="6" t="s">
        <v>160</v>
      </c>
      <c r="D732" s="6">
        <f>IF(OR($C732="신한",$C732="OTC",$C732="무상증자(신한)",$C732="토스",$C732="R토스"),1,"확인")</f>
        <v>1</v>
      </c>
      <c r="E732" s="34">
        <v>80</v>
      </c>
      <c r="F732" s="212">
        <v>33900</v>
      </c>
      <c r="G732" s="195">
        <v>44160</v>
      </c>
      <c r="H732" s="8"/>
      <c r="I732" s="212">
        <v>39100</v>
      </c>
      <c r="J732" s="8">
        <v>44279</v>
      </c>
      <c r="K732" s="23">
        <f>IF($C732="OTC",ROUNDDOWN($E732*$F732*0.000909187,-1),(IF($C732="신한",ROUNDDOWN($E732*$F732*0.000036396,-1),(IF($C732="토스",$E732*$F732*0.00015,(IF($C732="US",(IF($E732*$F732*0.0025&gt;0.01,$E732*$F732*0.0025,0.01)),IF($C732="JP",(IF($E732*$F732*0.0025&gt;1000,$E732*$F732*0.0025,1000)),(IF($C732="R토스",0,IF($C732="무상증자(신한)",0,"")))))))))))</f>
        <v>90</v>
      </c>
      <c r="L732" s="23">
        <f>IF($C732="OTC",ROUNDDOWN($I732*$E732*0.000909187,-1),(IF($C732="신한",ROUNDDOWN($I732*$E732*0.000036396,-1),(IF($C732="토스",$I732*$E732*0.00015,(IF($C732="US",(IF($I732*$E732*0.0025&gt;0.01,$I732*$E732*0.0025,0.01)),(IF($C732="JP",(IF($I732*$E732*0.0025&gt;1000,$I732*$E732*0.0025,1000)),(IF($C732="R토스",$I732*$E732*0.00015,(IF($C732="무상증자(신한)",ROUNDDOWN($I732*$E732*0.000036396,-1),"")))))))))))))</f>
        <v>110</v>
      </c>
      <c r="M732" s="206">
        <f>Q732*0.0023</f>
        <v>7194.4</v>
      </c>
      <c r="N732" s="34">
        <f>E732*200*(1-0.154)</f>
        <v>13536</v>
      </c>
      <c r="O732" s="209">
        <f t="shared" si="280"/>
        <v>120</v>
      </c>
      <c r="P732" s="34">
        <f>$E732*$F732*$D732</f>
        <v>2712000</v>
      </c>
      <c r="Q732" s="34">
        <f>$E732*$I732*$D732</f>
        <v>3128000</v>
      </c>
      <c r="R732" s="7">
        <f>($N732-$K732-$L732-$M732)*$D732</f>
        <v>6141.6</v>
      </c>
      <c r="S732" s="227">
        <f t="shared" si="281"/>
        <v>422141.6</v>
      </c>
      <c r="T732" s="249">
        <f t="shared" si="282"/>
        <v>0.15565693215339232</v>
      </c>
      <c r="U732" s="38"/>
      <c r="V732" s="33"/>
    </row>
    <row r="733" spans="2:22" ht="15" customHeight="1" x14ac:dyDescent="0.4">
      <c r="B733" s="198" t="s">
        <v>372</v>
      </c>
      <c r="C733" s="6" t="s">
        <v>162</v>
      </c>
      <c r="D733" s="15"/>
      <c r="E733" s="36">
        <v>400</v>
      </c>
      <c r="F733" s="212">
        <v>7350</v>
      </c>
      <c r="G733" s="195">
        <v>43671</v>
      </c>
      <c r="H733" s="8"/>
      <c r="I733" s="212">
        <v>8150</v>
      </c>
      <c r="J733" s="8">
        <v>43826</v>
      </c>
      <c r="K733" s="7">
        <f>ROUNDDOWN(E733*F733*0.0015,-1)</f>
        <v>4410</v>
      </c>
      <c r="L733" s="7">
        <f>ROUNDDOWN(I733*E733*0.0015,-1)</f>
        <v>4890</v>
      </c>
      <c r="M733" s="196">
        <f>ROUNDDOWN(I733*E733*0.0025, )</f>
        <v>8150</v>
      </c>
      <c r="N733" s="36">
        <f>20000-3080</f>
        <v>16920</v>
      </c>
      <c r="O733" s="191">
        <f t="shared" si="280"/>
        <v>156</v>
      </c>
      <c r="P733" s="36">
        <f>F733*E733</f>
        <v>2940000</v>
      </c>
      <c r="Q733" s="36">
        <f>I733*E733</f>
        <v>3260000</v>
      </c>
      <c r="R733" s="7">
        <f>N733-K733-L733-M733</f>
        <v>-530</v>
      </c>
      <c r="S733" s="227">
        <f t="shared" si="281"/>
        <v>319470</v>
      </c>
      <c r="T733" s="248">
        <f t="shared" si="282"/>
        <v>0.10866326530612246</v>
      </c>
      <c r="U733" s="193">
        <f>T733*365/O733</f>
        <v>0.25424417844060704</v>
      </c>
      <c r="V733" s="6"/>
    </row>
    <row r="734" spans="2:22" ht="15" customHeight="1" x14ac:dyDescent="0.4">
      <c r="B734" s="198" t="s">
        <v>373</v>
      </c>
      <c r="C734" s="6" t="s">
        <v>162</v>
      </c>
      <c r="D734" s="15"/>
      <c r="E734" s="36">
        <v>75</v>
      </c>
      <c r="F734" s="212">
        <v>65300</v>
      </c>
      <c r="G734" s="195">
        <v>43605</v>
      </c>
      <c r="H734" s="8"/>
      <c r="I734" s="212">
        <v>67000</v>
      </c>
      <c r="J734" s="8">
        <v>43634</v>
      </c>
      <c r="K734" s="7">
        <f>ROUNDDOWN(E734*F734*0.0015,-1)</f>
        <v>7340</v>
      </c>
      <c r="L734" s="7">
        <f>ROUNDDOWN(I734*E734*0.0015,-1)</f>
        <v>7530</v>
      </c>
      <c r="M734" s="196">
        <f>ROUNDDOWN(I734*E734*0.0025, )</f>
        <v>12562</v>
      </c>
      <c r="N734" s="36"/>
      <c r="O734" s="191">
        <f t="shared" si="280"/>
        <v>30</v>
      </c>
      <c r="P734" s="36">
        <f>F734*E734</f>
        <v>4897500</v>
      </c>
      <c r="Q734" s="36">
        <f>I734*E734</f>
        <v>5025000</v>
      </c>
      <c r="R734" s="7">
        <f>N734-K734-L734-M734</f>
        <v>-27432</v>
      </c>
      <c r="S734" s="227">
        <f t="shared" si="281"/>
        <v>100068</v>
      </c>
      <c r="T734" s="248">
        <f t="shared" si="282"/>
        <v>2.0432465543644716E-2</v>
      </c>
      <c r="U734" s="193">
        <f>T734*365/O734</f>
        <v>0.24859499744767738</v>
      </c>
      <c r="V734" s="6"/>
    </row>
    <row r="735" spans="2:22" ht="15" customHeight="1" x14ac:dyDescent="0.4">
      <c r="B735" s="198" t="s">
        <v>373</v>
      </c>
      <c r="C735" s="6" t="s">
        <v>162</v>
      </c>
      <c r="D735" s="15"/>
      <c r="E735" s="36">
        <v>15</v>
      </c>
      <c r="F735" s="212">
        <v>63000</v>
      </c>
      <c r="G735" s="195">
        <v>43614</v>
      </c>
      <c r="H735" s="8"/>
      <c r="I735" s="212">
        <v>67000</v>
      </c>
      <c r="J735" s="8">
        <v>43634</v>
      </c>
      <c r="K735" s="7">
        <f>ROUNDDOWN(E735*F735*0.0015,-1)</f>
        <v>1410</v>
      </c>
      <c r="L735" s="7">
        <f>ROUNDDOWN(I735*E735*0.0015,-1)</f>
        <v>1500</v>
      </c>
      <c r="M735" s="196">
        <f>ROUNDDOWN(I735*E735*0.0025, )</f>
        <v>2512</v>
      </c>
      <c r="N735" s="36"/>
      <c r="O735" s="191">
        <f t="shared" si="280"/>
        <v>21</v>
      </c>
      <c r="P735" s="36">
        <f>F735*E735</f>
        <v>945000</v>
      </c>
      <c r="Q735" s="36">
        <f>I735*E735</f>
        <v>1005000</v>
      </c>
      <c r="R735" s="7">
        <f>N735-K735-L735-M735</f>
        <v>-5422</v>
      </c>
      <c r="S735" s="227">
        <f t="shared" si="281"/>
        <v>54578</v>
      </c>
      <c r="T735" s="248">
        <f t="shared" si="282"/>
        <v>5.7754497354497357E-2</v>
      </c>
      <c r="U735" s="193">
        <f>T735*365/O735</f>
        <v>1.0038281683043588</v>
      </c>
      <c r="V735" s="6"/>
    </row>
    <row r="736" spans="2:22" ht="15" customHeight="1" x14ac:dyDescent="0.4">
      <c r="B736" s="198" t="s">
        <v>373</v>
      </c>
      <c r="C736" s="6" t="s">
        <v>162</v>
      </c>
      <c r="D736" s="15"/>
      <c r="E736" s="36">
        <v>100</v>
      </c>
      <c r="F736" s="212">
        <v>41400</v>
      </c>
      <c r="G736" s="195">
        <v>43712</v>
      </c>
      <c r="H736" s="8"/>
      <c r="I736" s="212">
        <v>45200</v>
      </c>
      <c r="J736" s="8">
        <v>43714</v>
      </c>
      <c r="K736" s="7">
        <f>ROUNDDOWN(E736*F736*0.0015,-1)</f>
        <v>6210</v>
      </c>
      <c r="L736" s="7">
        <f>ROUNDDOWN(I736*E736*0.0015,-1)</f>
        <v>6780</v>
      </c>
      <c r="M736" s="196">
        <f>ROUNDDOWN(I736*E736*0.0025, )</f>
        <v>11300</v>
      </c>
      <c r="N736" s="36"/>
      <c r="O736" s="191">
        <f t="shared" si="280"/>
        <v>3</v>
      </c>
      <c r="P736" s="36">
        <f>F736*E736</f>
        <v>4140000</v>
      </c>
      <c r="Q736" s="36">
        <f>I736*E736</f>
        <v>4520000</v>
      </c>
      <c r="R736" s="7">
        <f>N736-K736-L736-M736</f>
        <v>-24290</v>
      </c>
      <c r="S736" s="227">
        <f t="shared" si="281"/>
        <v>355710</v>
      </c>
      <c r="T736" s="248">
        <f t="shared" si="282"/>
        <v>8.5920289855072468E-2</v>
      </c>
      <c r="U736" s="193">
        <f>T736*365/O736</f>
        <v>10.453635265700484</v>
      </c>
      <c r="V736" s="6"/>
    </row>
    <row r="737" spans="2:22" ht="15" customHeight="1" x14ac:dyDescent="0.4">
      <c r="B737" s="38" t="s">
        <v>374</v>
      </c>
      <c r="C737" s="6" t="s">
        <v>160</v>
      </c>
      <c r="D737" s="6">
        <f>IF(OR($C737="신한",$C737="OTC",$C737="무상증자(신한)",$C737="토스",$C737="R토스"),1,"확인")</f>
        <v>1</v>
      </c>
      <c r="E737" s="34">
        <v>977</v>
      </c>
      <c r="F737" s="212">
        <v>9980</v>
      </c>
      <c r="G737" s="195">
        <v>44223</v>
      </c>
      <c r="H737" s="8"/>
      <c r="I737" s="212">
        <v>14500</v>
      </c>
      <c r="J737" s="8">
        <v>44285</v>
      </c>
      <c r="K737" s="23">
        <f>IF($C737="OTC",ROUNDDOWN($E737*$F737*0.000909187,-1),(IF($C737="신한",ROUNDDOWN($E737*$F737*0.000036396,-1),(IF($C737="토스",$E737*$F737*0.00015,(IF($C737="US",(IF($E737*$F737*0.0025&gt;0.01,$E737*$F737*0.0025,0.01)),IF($C737="JP",(IF($E737*$F737*0.0025&gt;1000,$E737*$F737*0.0025,1000)),(IF($C737="R토스",0,IF($C737="무상증자(신한)",0,"")))))))))))</f>
        <v>350</v>
      </c>
      <c r="L737" s="23">
        <f>IF($C737="OTC",ROUNDDOWN($I737*$E737*0.000909187,-1),(IF($C737="신한",ROUNDDOWN($I737*$E737*0.000036396,-1),(IF($C737="토스",$I737*$E737*0.00015,(IF($C737="US",(IF($I737*$E737*0.0025&gt;0.01,$I737*$E737*0.0025,0.01)),(IF($C737="JP",(IF($I737*$E737*0.0025&gt;1000,$I737*$E737*0.0025,1000)),(IF($C737="R토스",$I737*$E737*0.00015,(IF($C737="무상증자(신한)",ROUNDDOWN($I737*$E737*0.000036396,-1),"")))))))))))))</f>
        <v>510</v>
      </c>
      <c r="M737" s="206">
        <f>Q737*0.0023</f>
        <v>32582.95</v>
      </c>
      <c r="N737" s="34"/>
      <c r="O737" s="209">
        <f t="shared" si="280"/>
        <v>63</v>
      </c>
      <c r="P737" s="34">
        <f>$E737*$F737*$D737</f>
        <v>9750460</v>
      </c>
      <c r="Q737" s="34">
        <f>$E737*$I737*$D737</f>
        <v>14166500</v>
      </c>
      <c r="R737" s="7">
        <f>($N737-$K737-$L737-$M737)*$D737</f>
        <v>-33442.949999999997</v>
      </c>
      <c r="S737" s="227">
        <f t="shared" si="281"/>
        <v>4382597.05</v>
      </c>
      <c r="T737" s="249">
        <f t="shared" si="282"/>
        <v>0.44947592728958424</v>
      </c>
      <c r="U737" s="38"/>
      <c r="V737" s="33"/>
    </row>
    <row r="738" spans="2:22" ht="15" customHeight="1" x14ac:dyDescent="0.4">
      <c r="B738" s="38" t="s">
        <v>375</v>
      </c>
      <c r="C738" s="6" t="s">
        <v>162</v>
      </c>
      <c r="D738" s="6"/>
      <c r="E738" s="36">
        <v>40</v>
      </c>
      <c r="F738" s="212">
        <v>43500</v>
      </c>
      <c r="G738" s="195">
        <v>42601</v>
      </c>
      <c r="H738" s="8"/>
      <c r="I738" s="212">
        <v>44500</v>
      </c>
      <c r="J738" s="8">
        <v>42618</v>
      </c>
      <c r="K738" s="7">
        <f t="shared" ref="K738:K743" si="283">ROUNDDOWN(E738*F738*0.0015,-1)</f>
        <v>2610</v>
      </c>
      <c r="L738" s="7">
        <f t="shared" ref="L738:L743" si="284">ROUNDDOWN(I738*E738*0.0015,-1)</f>
        <v>2670</v>
      </c>
      <c r="M738" s="196">
        <f t="shared" ref="M738:M743" si="285">I738*E738*0.003</f>
        <v>5340</v>
      </c>
      <c r="N738" s="36"/>
      <c r="O738" s="191">
        <f t="shared" si="280"/>
        <v>18</v>
      </c>
      <c r="P738" s="36">
        <f t="shared" ref="P738:P743" si="286">F738*E738</f>
        <v>1740000</v>
      </c>
      <c r="Q738" s="36">
        <f t="shared" ref="Q738:Q743" si="287">I738*E738</f>
        <v>1780000</v>
      </c>
      <c r="R738" s="7">
        <f t="shared" ref="R738:R743" si="288">N738-K738-L738-M738</f>
        <v>-10620</v>
      </c>
      <c r="S738" s="227">
        <f t="shared" si="281"/>
        <v>29380</v>
      </c>
      <c r="T738" s="248">
        <f t="shared" si="282"/>
        <v>1.6885057471264366E-2</v>
      </c>
      <c r="U738" s="193">
        <f t="shared" ref="U738:U743" si="289">T738*365/O738</f>
        <v>0.34239144316730519</v>
      </c>
      <c r="V738" s="6"/>
    </row>
    <row r="739" spans="2:22" ht="15" customHeight="1" x14ac:dyDescent="0.4">
      <c r="B739" s="38" t="s">
        <v>376</v>
      </c>
      <c r="C739" s="6" t="s">
        <v>162</v>
      </c>
      <c r="D739" s="6"/>
      <c r="E739" s="216">
        <v>2000</v>
      </c>
      <c r="F739" s="212">
        <v>3750</v>
      </c>
      <c r="G739" s="195">
        <v>42951</v>
      </c>
      <c r="H739" s="8"/>
      <c r="I739" s="212">
        <v>3930</v>
      </c>
      <c r="J739" s="8">
        <v>42976</v>
      </c>
      <c r="K739" s="7">
        <f t="shared" si="283"/>
        <v>11250</v>
      </c>
      <c r="L739" s="7">
        <f t="shared" si="284"/>
        <v>11790</v>
      </c>
      <c r="M739" s="196">
        <f t="shared" si="285"/>
        <v>23580</v>
      </c>
      <c r="N739" s="36"/>
      <c r="O739" s="191">
        <f t="shared" si="280"/>
        <v>26</v>
      </c>
      <c r="P739" s="36">
        <f t="shared" si="286"/>
        <v>7500000</v>
      </c>
      <c r="Q739" s="36">
        <f t="shared" si="287"/>
        <v>7860000</v>
      </c>
      <c r="R739" s="7">
        <f t="shared" si="288"/>
        <v>-46620</v>
      </c>
      <c r="S739" s="227">
        <f t="shared" si="281"/>
        <v>313380</v>
      </c>
      <c r="T739" s="248">
        <f t="shared" si="282"/>
        <v>4.1784000000000002E-2</v>
      </c>
      <c r="U739" s="193">
        <f t="shared" si="289"/>
        <v>0.58658307692307698</v>
      </c>
      <c r="V739" s="6"/>
    </row>
    <row r="740" spans="2:22" ht="15" customHeight="1" x14ac:dyDescent="0.4">
      <c r="B740" s="38" t="s">
        <v>376</v>
      </c>
      <c r="C740" s="6" t="s">
        <v>162</v>
      </c>
      <c r="D740" s="6"/>
      <c r="E740" s="216">
        <v>1000</v>
      </c>
      <c r="F740" s="212">
        <v>3700</v>
      </c>
      <c r="G740" s="195">
        <v>42954</v>
      </c>
      <c r="H740" s="8"/>
      <c r="I740" s="212">
        <v>3930</v>
      </c>
      <c r="J740" s="8">
        <v>42976</v>
      </c>
      <c r="K740" s="7">
        <f t="shared" si="283"/>
        <v>5550</v>
      </c>
      <c r="L740" s="7">
        <f t="shared" si="284"/>
        <v>5890</v>
      </c>
      <c r="M740" s="196">
        <f t="shared" si="285"/>
        <v>11790</v>
      </c>
      <c r="N740" s="36"/>
      <c r="O740" s="191">
        <f t="shared" si="280"/>
        <v>23</v>
      </c>
      <c r="P740" s="36">
        <f t="shared" si="286"/>
        <v>3700000</v>
      </c>
      <c r="Q740" s="36">
        <f t="shared" si="287"/>
        <v>3930000</v>
      </c>
      <c r="R740" s="7">
        <f t="shared" si="288"/>
        <v>-23230</v>
      </c>
      <c r="S740" s="227">
        <f t="shared" si="281"/>
        <v>206770</v>
      </c>
      <c r="T740" s="248">
        <f t="shared" si="282"/>
        <v>5.5883783783783787E-2</v>
      </c>
      <c r="U740" s="193">
        <f t="shared" si="289"/>
        <v>0.8868513513513514</v>
      </c>
      <c r="V740" s="6"/>
    </row>
    <row r="741" spans="2:22" ht="15" customHeight="1" x14ac:dyDescent="0.4">
      <c r="B741" s="38" t="s">
        <v>376</v>
      </c>
      <c r="C741" s="6" t="s">
        <v>162</v>
      </c>
      <c r="D741" s="6"/>
      <c r="E741" s="33">
        <v>300</v>
      </c>
      <c r="F741" s="212">
        <v>4080</v>
      </c>
      <c r="G741" s="195">
        <v>43067</v>
      </c>
      <c r="H741" s="8"/>
      <c r="I741" s="212">
        <v>4570</v>
      </c>
      <c r="J741" s="8">
        <v>43077</v>
      </c>
      <c r="K741" s="7">
        <f t="shared" si="283"/>
        <v>1830</v>
      </c>
      <c r="L741" s="7">
        <f t="shared" si="284"/>
        <v>2050</v>
      </c>
      <c r="M741" s="196">
        <f t="shared" si="285"/>
        <v>4113</v>
      </c>
      <c r="N741" s="36"/>
      <c r="O741" s="191">
        <f t="shared" si="280"/>
        <v>11</v>
      </c>
      <c r="P741" s="36">
        <f t="shared" si="286"/>
        <v>1224000</v>
      </c>
      <c r="Q741" s="36">
        <f t="shared" si="287"/>
        <v>1371000</v>
      </c>
      <c r="R741" s="7">
        <f t="shared" si="288"/>
        <v>-7993</v>
      </c>
      <c r="S741" s="227">
        <f t="shared" si="281"/>
        <v>139007</v>
      </c>
      <c r="T741" s="248">
        <f t="shared" si="282"/>
        <v>0.11356781045751634</v>
      </c>
      <c r="U741" s="193">
        <f t="shared" si="289"/>
        <v>3.7683864379084966</v>
      </c>
      <c r="V741" s="6"/>
    </row>
    <row r="742" spans="2:22" s="33" customFormat="1" ht="15" customHeight="1" x14ac:dyDescent="0.4">
      <c r="B742" s="38" t="s">
        <v>376</v>
      </c>
      <c r="C742" s="6" t="s">
        <v>162</v>
      </c>
      <c r="D742" s="6"/>
      <c r="E742" s="33">
        <v>200</v>
      </c>
      <c r="F742" s="212">
        <v>4125</v>
      </c>
      <c r="G742" s="195">
        <v>43075</v>
      </c>
      <c r="H742" s="8"/>
      <c r="I742" s="212">
        <v>4570</v>
      </c>
      <c r="J742" s="8">
        <v>43077</v>
      </c>
      <c r="K742" s="7">
        <f t="shared" si="283"/>
        <v>1230</v>
      </c>
      <c r="L742" s="7">
        <f t="shared" si="284"/>
        <v>1370</v>
      </c>
      <c r="M742" s="196">
        <f t="shared" si="285"/>
        <v>2742</v>
      </c>
      <c r="N742" s="36"/>
      <c r="O742" s="191">
        <f t="shared" si="280"/>
        <v>3</v>
      </c>
      <c r="P742" s="36">
        <f t="shared" si="286"/>
        <v>825000</v>
      </c>
      <c r="Q742" s="36">
        <f t="shared" si="287"/>
        <v>914000</v>
      </c>
      <c r="R742" s="7">
        <f t="shared" si="288"/>
        <v>-5342</v>
      </c>
      <c r="S742" s="227">
        <f t="shared" si="281"/>
        <v>83658</v>
      </c>
      <c r="T742" s="248">
        <f t="shared" si="282"/>
        <v>0.10140363636363636</v>
      </c>
      <c r="U742" s="193">
        <f t="shared" si="289"/>
        <v>12.337442424242424</v>
      </c>
      <c r="V742" s="6"/>
    </row>
    <row r="743" spans="2:22" s="33" customFormat="1" ht="15" customHeight="1" x14ac:dyDescent="0.4">
      <c r="B743" s="38" t="s">
        <v>377</v>
      </c>
      <c r="C743" s="6" t="s">
        <v>162</v>
      </c>
      <c r="D743" s="6"/>
      <c r="E743" s="36">
        <v>100</v>
      </c>
      <c r="F743" s="212">
        <v>4950</v>
      </c>
      <c r="G743" s="195">
        <v>42668</v>
      </c>
      <c r="H743" s="8"/>
      <c r="I743" s="212">
        <v>5280</v>
      </c>
      <c r="J743" s="8">
        <v>42810</v>
      </c>
      <c r="K743" s="7">
        <f t="shared" si="283"/>
        <v>740</v>
      </c>
      <c r="L743" s="7">
        <f t="shared" si="284"/>
        <v>790</v>
      </c>
      <c r="M743" s="196">
        <f t="shared" si="285"/>
        <v>1584</v>
      </c>
      <c r="N743" s="36">
        <f>15000-1480</f>
        <v>13520</v>
      </c>
      <c r="O743" s="191">
        <f t="shared" si="280"/>
        <v>143</v>
      </c>
      <c r="P743" s="36">
        <f t="shared" si="286"/>
        <v>495000</v>
      </c>
      <c r="Q743" s="36">
        <f t="shared" si="287"/>
        <v>528000</v>
      </c>
      <c r="R743" s="7">
        <f t="shared" si="288"/>
        <v>10406</v>
      </c>
      <c r="S743" s="227">
        <f t="shared" si="281"/>
        <v>43406</v>
      </c>
      <c r="T743" s="248">
        <f t="shared" si="282"/>
        <v>8.7688888888888886E-2</v>
      </c>
      <c r="U743" s="193">
        <f t="shared" si="289"/>
        <v>0.22382128982128979</v>
      </c>
      <c r="V743" s="6"/>
    </row>
    <row r="744" spans="2:22" s="33" customFormat="1" ht="15" customHeight="1" x14ac:dyDescent="0.4">
      <c r="B744" s="38" t="s">
        <v>378</v>
      </c>
      <c r="C744" s="6" t="s">
        <v>160</v>
      </c>
      <c r="D744" s="6">
        <f>IF(OR($C744="신한",$C744="OTC",$C744="무상증자(신한)",$C744="토스",$C744="R토스"),1,"확인")</f>
        <v>1</v>
      </c>
      <c r="E744" s="34">
        <v>150</v>
      </c>
      <c r="F744" s="212">
        <v>49000</v>
      </c>
      <c r="G744" s="195">
        <v>44040</v>
      </c>
      <c r="H744" s="8"/>
      <c r="I744" s="212">
        <v>51100</v>
      </c>
      <c r="J744" s="8">
        <v>44061</v>
      </c>
      <c r="K744" s="23">
        <f>IF($C744="OTC",ROUNDDOWN($E744*$F744*0.000909187,-1),(IF($C744="신한",ROUNDDOWN($E744*$F744*0.000036396,-1),(IF($C744="토스",$E744*$F744*0.00015,(IF($C744="US",(IF($E744*$F744*0.0025&gt;0.01,$E744*$F744*0.0025,0.01)),IF($C744="JP",(IF($E744*$F744*0.0025&gt;1000,$E744*$F744*0.0025,1000)),(IF($C744="R토스",0,IF($C744="무상증자(신한)",0,"")))))))))))</f>
        <v>260</v>
      </c>
      <c r="L744" s="23">
        <f>IF($C744="OTC",ROUNDDOWN($I744*$E744*0.000909187,-1),(IF($C744="신한",ROUNDDOWN($I744*$E744*0.000036396,-1),(IF($C744="토스",$I744*$E744*0.00015,(IF($C744="US",(IF($I744*$E744*0.0025&gt;0.01,$I744*$E744*0.0025,0.01)),(IF($C744="JP",(IF($I744*$E744*0.0025&gt;1000,$I744*$E744*0.0025,1000)),(IF($C744="R토스",$I744*$E744*0.00015,(IF($C744="무상증자(신한)",ROUNDDOWN($I744*$E744*0.000036396,-1),"")))))))))))))</f>
        <v>270</v>
      </c>
      <c r="M744" s="206">
        <f>Q744*0.0025</f>
        <v>19162.5</v>
      </c>
      <c r="N744" s="34"/>
      <c r="O744" s="209">
        <f t="shared" si="280"/>
        <v>22</v>
      </c>
      <c r="P744" s="34">
        <f>$E744*$F744*$D744</f>
        <v>7350000</v>
      </c>
      <c r="Q744" s="34">
        <f>$E744*$I744*$D744</f>
        <v>7665000</v>
      </c>
      <c r="R744" s="7">
        <f>($N744-$K744-$L744-$M744)*$D744</f>
        <v>-19692.5</v>
      </c>
      <c r="S744" s="227">
        <f t="shared" si="281"/>
        <v>295307.5</v>
      </c>
      <c r="T744" s="249">
        <f t="shared" si="282"/>
        <v>4.0177891156462586E-2</v>
      </c>
      <c r="U744" s="38"/>
    </row>
    <row r="745" spans="2:22" s="33" customFormat="1" ht="15" customHeight="1" x14ac:dyDescent="0.4">
      <c r="B745" s="38" t="s">
        <v>378</v>
      </c>
      <c r="C745" s="6" t="s">
        <v>160</v>
      </c>
      <c r="D745" s="6">
        <f>IF(OR($C745="신한",$C745="OTC",$C745="무상증자(신한)",$C745="토스",$C745="R토스"),1,"확인")</f>
        <v>1</v>
      </c>
      <c r="E745" s="34">
        <v>50</v>
      </c>
      <c r="F745" s="212">
        <v>51000</v>
      </c>
      <c r="G745" s="195">
        <v>44063</v>
      </c>
      <c r="H745" s="8"/>
      <c r="I745" s="212">
        <v>55300</v>
      </c>
      <c r="J745" s="8">
        <v>44075</v>
      </c>
      <c r="K745" s="23">
        <f>IF($C745="OTC",ROUNDDOWN($E745*$F745*0.000909187,-1),(IF($C745="신한",ROUNDDOWN($E745*$F745*0.000036396,-1),(IF($C745="토스",$E745*$F745*0.00015,(IF($C745="US",(IF($E745*$F745*0.0025&gt;0.01,$E745*$F745*0.0025,0.01)),IF($C745="JP",(IF($E745*$F745*0.0025&gt;1000,$E745*$F745*0.0025,1000)),(IF($C745="R토스",0,IF($C745="무상증자(신한)",0,"")))))))))))</f>
        <v>90</v>
      </c>
      <c r="L745" s="23">
        <f>IF($C745="OTC",ROUNDDOWN($I745*$E745*0.000909187,-1),(IF($C745="신한",ROUNDDOWN($I745*$E745*0.000036396,-1),(IF($C745="토스",$I745*$E745*0.00015,(IF($C745="US",(IF($I745*$E745*0.0025&gt;0.01,$I745*$E745*0.0025,0.01)),(IF($C745="JP",(IF($I745*$E745*0.0025&gt;1000,$I745*$E745*0.0025,1000)),(IF($C745="R토스",$I745*$E745*0.00015,(IF($C745="무상증자(신한)",ROUNDDOWN($I745*$E745*0.000036396,-1),"")))))))))))))</f>
        <v>100</v>
      </c>
      <c r="M745" s="206">
        <f>Q745*0.0025</f>
        <v>6912.5</v>
      </c>
      <c r="N745" s="34"/>
      <c r="O745" s="209">
        <f t="shared" si="280"/>
        <v>13</v>
      </c>
      <c r="P745" s="34">
        <f>$E745*$F745*$D745</f>
        <v>2550000</v>
      </c>
      <c r="Q745" s="34">
        <f>$E745*$I745*$D745</f>
        <v>2765000</v>
      </c>
      <c r="R745" s="7">
        <f>($N745-$K745-$L745-$M745)*$D745</f>
        <v>-7102.5</v>
      </c>
      <c r="S745" s="227">
        <f t="shared" si="281"/>
        <v>207897.5</v>
      </c>
      <c r="T745" s="249">
        <f t="shared" si="282"/>
        <v>8.1528431372549018E-2</v>
      </c>
      <c r="U745" s="38"/>
    </row>
    <row r="746" spans="2:22" s="33" customFormat="1" ht="15" customHeight="1" x14ac:dyDescent="0.4">
      <c r="B746" s="38" t="s">
        <v>378</v>
      </c>
      <c r="C746" s="6" t="s">
        <v>160</v>
      </c>
      <c r="D746" s="6">
        <f>IF(OR($C746="신한",$C746="OTC",$C746="무상증자(신한)",$C746="토스",$C746="R토스"),1,"확인")</f>
        <v>1</v>
      </c>
      <c r="E746" s="34">
        <v>10</v>
      </c>
      <c r="F746" s="212">
        <v>49800</v>
      </c>
      <c r="G746" s="195">
        <v>44063</v>
      </c>
      <c r="H746" s="8"/>
      <c r="I746" s="212">
        <v>55300</v>
      </c>
      <c r="J746" s="8">
        <v>44075</v>
      </c>
      <c r="K746" s="23">
        <f>IF($C746="OTC",ROUNDDOWN($E746*$F746*0.000909187,-1),(IF($C746="신한",ROUNDDOWN($E746*$F746*0.000036396,-1),(IF($C746="토스",$E746*$F746*0.00015,(IF($C746="US",(IF($E746*$F746*0.0025&gt;0.01,$E746*$F746*0.0025,0.01)),IF($C746="JP",(IF($E746*$F746*0.0025&gt;1000,$E746*$F746*0.0025,1000)),(IF($C746="R토스",0,IF($C746="무상증자(신한)",0,"")))))))))))</f>
        <v>10</v>
      </c>
      <c r="L746" s="23">
        <f>IF($C746="OTC",ROUNDDOWN($I746*$E746*0.000909187,-1),(IF($C746="신한",ROUNDDOWN($I746*$E746*0.000036396,-1),(IF($C746="토스",$I746*$E746*0.00015,(IF($C746="US",(IF($I746*$E746*0.0025&gt;0.01,$I746*$E746*0.0025,0.01)),(IF($C746="JP",(IF($I746*$E746*0.0025&gt;1000,$I746*$E746*0.0025,1000)),(IF($C746="R토스",$I746*$E746*0.00015,(IF($C746="무상증자(신한)",ROUNDDOWN($I746*$E746*0.000036396,-1),"")))))))))))))</f>
        <v>20</v>
      </c>
      <c r="M746" s="206">
        <f>Q746*0.0025</f>
        <v>1382.5</v>
      </c>
      <c r="N746" s="34"/>
      <c r="O746" s="209">
        <f t="shared" si="280"/>
        <v>13</v>
      </c>
      <c r="P746" s="34">
        <f>$E746*$F746*$D746</f>
        <v>498000</v>
      </c>
      <c r="Q746" s="34">
        <f>$E746*$I746*$D746</f>
        <v>553000</v>
      </c>
      <c r="R746" s="7">
        <f>($N746-$K746-$L746-$M746)*$D746</f>
        <v>-1412.5</v>
      </c>
      <c r="S746" s="227">
        <f t="shared" si="281"/>
        <v>53587.5</v>
      </c>
      <c r="T746" s="249">
        <f t="shared" si="282"/>
        <v>0.10760542168674699</v>
      </c>
      <c r="U746" s="38"/>
    </row>
    <row r="747" spans="2:22" s="33" customFormat="1" ht="15" customHeight="1" x14ac:dyDescent="0.4">
      <c r="B747" s="38" t="s">
        <v>378</v>
      </c>
      <c r="C747" s="6" t="s">
        <v>160</v>
      </c>
      <c r="D747" s="6">
        <f>IF(OR($C747="신한",$C747="OTC",$C747="무상증자(신한)",$C747="토스",$C747="R토스"),1,"확인")</f>
        <v>1</v>
      </c>
      <c r="E747" s="34">
        <v>16</v>
      </c>
      <c r="F747" s="212">
        <v>52400</v>
      </c>
      <c r="G747" s="195">
        <v>44078</v>
      </c>
      <c r="H747" s="8"/>
      <c r="I747" s="212">
        <v>57800</v>
      </c>
      <c r="J747" s="8">
        <v>44124</v>
      </c>
      <c r="K747" s="23">
        <f>IF($C747="OTC",ROUNDDOWN($E747*$F747*0.000909187,-1),(IF($C747="신한",ROUNDDOWN($E747*$F747*0.000036396,-1),(IF($C747="토스",$E747*$F747*0.00015,(IF($C747="US",(IF($E747*$F747*0.0025&gt;0.01,$E747*$F747*0.0025,0.01)),IF($C747="JP",(IF($E747*$F747*0.0025&gt;1000,$E747*$F747*0.0025,1000)),(IF($C747="R토스",0,IF($C747="무상증자(신한)",0,"")))))))))))</f>
        <v>30</v>
      </c>
      <c r="L747" s="23">
        <f>IF($C747="OTC",ROUNDDOWN($I747*$E747*0.000909187,-1),(IF($C747="신한",ROUNDDOWN($I747*$E747*0.000036396,-1),(IF($C747="토스",$I747*$E747*0.00015,(IF($C747="US",(IF($I747*$E747*0.0025&gt;0.01,$I747*$E747*0.0025,0.01)),(IF($C747="JP",(IF($I747*$E747*0.0025&gt;1000,$I747*$E747*0.0025,1000)),(IF($C747="R토스",$I747*$E747*0.00015,(IF($C747="무상증자(신한)",ROUNDDOWN($I747*$E747*0.000036396,-1),"")))))))))))))</f>
        <v>30</v>
      </c>
      <c r="M747" s="206">
        <f>Q747*0.0025</f>
        <v>2312</v>
      </c>
      <c r="N747" s="34"/>
      <c r="O747" s="209">
        <f t="shared" si="280"/>
        <v>47</v>
      </c>
      <c r="P747" s="34">
        <f>$E747*$F747*$D747</f>
        <v>838400</v>
      </c>
      <c r="Q747" s="34">
        <f>$E747*$I747*$D747</f>
        <v>924800</v>
      </c>
      <c r="R747" s="7">
        <f>($N747-$K747-$L747-$M747)*$D747</f>
        <v>-2372</v>
      </c>
      <c r="S747" s="227">
        <f t="shared" si="281"/>
        <v>84028</v>
      </c>
      <c r="T747" s="249">
        <f t="shared" si="282"/>
        <v>0.10022423664122138</v>
      </c>
      <c r="U747" s="38"/>
    </row>
    <row r="748" spans="2:22" ht="15" customHeight="1" x14ac:dyDescent="0.4">
      <c r="B748" s="38" t="s">
        <v>379</v>
      </c>
      <c r="C748" s="6" t="s">
        <v>162</v>
      </c>
      <c r="D748" s="6"/>
      <c r="E748" s="36">
        <v>20</v>
      </c>
      <c r="F748" s="212">
        <v>6280</v>
      </c>
      <c r="G748" s="195">
        <v>42564</v>
      </c>
      <c r="H748" s="8"/>
      <c r="I748" s="212">
        <v>7700</v>
      </c>
      <c r="J748" s="8">
        <v>42569</v>
      </c>
      <c r="K748" s="7">
        <f>ROUNDDOWN(E748*F748*0.004975,-1)</f>
        <v>620</v>
      </c>
      <c r="L748" s="7">
        <f t="shared" ref="L748:L753" si="290">ROUNDDOWN(I748*E748*0.0015,-1)</f>
        <v>230</v>
      </c>
      <c r="M748" s="196">
        <f>I748*E748*0.003</f>
        <v>462</v>
      </c>
      <c r="N748" s="36"/>
      <c r="O748" s="191">
        <f t="shared" si="280"/>
        <v>6</v>
      </c>
      <c r="P748" s="36">
        <f t="shared" ref="P748:P753" si="291">F748*E748</f>
        <v>125600</v>
      </c>
      <c r="Q748" s="36">
        <f t="shared" ref="Q748:Q753" si="292">I748*E748</f>
        <v>154000</v>
      </c>
      <c r="R748" s="7">
        <f t="shared" ref="R748:R753" si="293">N748-K748-L748-M748</f>
        <v>-1312</v>
      </c>
      <c r="S748" s="227">
        <f t="shared" si="281"/>
        <v>27088</v>
      </c>
      <c r="T748" s="248">
        <f t="shared" si="282"/>
        <v>0.21566878980891721</v>
      </c>
      <c r="U748" s="193">
        <f t="shared" ref="U748:U753" si="294">T748*365/O748</f>
        <v>13.119851380042464</v>
      </c>
      <c r="V748" s="6"/>
    </row>
    <row r="749" spans="2:22" ht="15" customHeight="1" x14ac:dyDescent="0.4">
      <c r="B749" s="198" t="s">
        <v>380</v>
      </c>
      <c r="C749" s="6" t="s">
        <v>162</v>
      </c>
      <c r="D749" s="15"/>
      <c r="E749" s="36">
        <v>19</v>
      </c>
      <c r="F749" s="212">
        <v>26000</v>
      </c>
      <c r="G749" s="195">
        <v>43766</v>
      </c>
      <c r="H749" s="8"/>
      <c r="I749" s="212">
        <v>28100</v>
      </c>
      <c r="J749" s="8">
        <v>43966</v>
      </c>
      <c r="K749" s="7">
        <f>ROUNDDOWN(E749*F749*0.0015,-1)</f>
        <v>740</v>
      </c>
      <c r="L749" s="7">
        <f t="shared" si="290"/>
        <v>800</v>
      </c>
      <c r="M749" s="196">
        <f>ROUNDDOWN(I749*E749*0.0025, )</f>
        <v>1334</v>
      </c>
      <c r="N749" s="36">
        <v>2850</v>
      </c>
      <c r="O749" s="191">
        <f t="shared" si="280"/>
        <v>201</v>
      </c>
      <c r="P749" s="36">
        <f t="shared" si="291"/>
        <v>494000</v>
      </c>
      <c r="Q749" s="36">
        <f t="shared" si="292"/>
        <v>533900</v>
      </c>
      <c r="R749" s="7">
        <f t="shared" si="293"/>
        <v>-24</v>
      </c>
      <c r="S749" s="227">
        <f t="shared" si="281"/>
        <v>39876</v>
      </c>
      <c r="T749" s="248">
        <f t="shared" si="282"/>
        <v>8.072064777327935E-2</v>
      </c>
      <c r="U749" s="193">
        <f t="shared" si="294"/>
        <v>0.14658227083207445</v>
      </c>
      <c r="V749" s="6" t="s">
        <v>262</v>
      </c>
    </row>
    <row r="750" spans="2:22" ht="15" customHeight="1" x14ac:dyDescent="0.4">
      <c r="B750" s="38" t="s">
        <v>381</v>
      </c>
      <c r="C750" s="6" t="s">
        <v>162</v>
      </c>
      <c r="D750" s="6"/>
      <c r="E750" s="33">
        <v>100</v>
      </c>
      <c r="F750" s="212">
        <v>17600</v>
      </c>
      <c r="G750" s="195">
        <v>43070</v>
      </c>
      <c r="H750" s="8"/>
      <c r="I750" s="212">
        <v>19150</v>
      </c>
      <c r="J750" s="8">
        <v>43105</v>
      </c>
      <c r="K750" s="7">
        <f>ROUNDDOWN(E750*F750*0.0015,-1)</f>
        <v>2640</v>
      </c>
      <c r="L750" s="7">
        <f t="shared" si="290"/>
        <v>2870</v>
      </c>
      <c r="M750" s="196">
        <f>I750*E750*0.003</f>
        <v>5745</v>
      </c>
      <c r="N750" s="36">
        <f>ROUNDUP(E750*100*(1-0.154),-1)</f>
        <v>8460</v>
      </c>
      <c r="O750" s="191">
        <f t="shared" si="280"/>
        <v>36</v>
      </c>
      <c r="P750" s="36">
        <f t="shared" si="291"/>
        <v>1760000</v>
      </c>
      <c r="Q750" s="36">
        <f t="shared" si="292"/>
        <v>1915000</v>
      </c>
      <c r="R750" s="7">
        <f t="shared" si="293"/>
        <v>-2795</v>
      </c>
      <c r="S750" s="227">
        <f t="shared" si="281"/>
        <v>152205</v>
      </c>
      <c r="T750" s="248">
        <f t="shared" si="282"/>
        <v>8.648011363636364E-2</v>
      </c>
      <c r="U750" s="193">
        <f t="shared" si="294"/>
        <v>0.87681226325757577</v>
      </c>
      <c r="V750" s="6"/>
    </row>
    <row r="751" spans="2:22" ht="15" customHeight="1" x14ac:dyDescent="0.4">
      <c r="B751" s="198" t="s">
        <v>382</v>
      </c>
      <c r="C751" s="6" t="s">
        <v>162</v>
      </c>
      <c r="D751" s="15"/>
      <c r="E751" s="36">
        <v>25</v>
      </c>
      <c r="F751" s="212">
        <v>77300</v>
      </c>
      <c r="G751" s="195">
        <v>43563</v>
      </c>
      <c r="H751" s="8"/>
      <c r="I751" s="212">
        <v>62000</v>
      </c>
      <c r="J751" s="8">
        <v>43630</v>
      </c>
      <c r="K751" s="7">
        <f>ROUNDDOWN(E751*F751*0.0015,-1)</f>
        <v>2890</v>
      </c>
      <c r="L751" s="7">
        <f t="shared" si="290"/>
        <v>2320</v>
      </c>
      <c r="M751" s="196">
        <f>ROUNDDOWN(I751*E751*0.0025, )</f>
        <v>3875</v>
      </c>
      <c r="N751" s="36"/>
      <c r="O751" s="191">
        <f t="shared" si="280"/>
        <v>68</v>
      </c>
      <c r="P751" s="36">
        <f t="shared" si="291"/>
        <v>1932500</v>
      </c>
      <c r="Q751" s="36">
        <f t="shared" si="292"/>
        <v>1550000</v>
      </c>
      <c r="R751" s="7">
        <f t="shared" si="293"/>
        <v>-9085</v>
      </c>
      <c r="S751" s="227">
        <f t="shared" si="281"/>
        <v>-391585</v>
      </c>
      <c r="T751" s="248">
        <f t="shared" si="282"/>
        <v>-0.20263130659767142</v>
      </c>
      <c r="U751" s="193">
        <f t="shared" si="294"/>
        <v>-1.0876533368845598</v>
      </c>
      <c r="V751" s="6"/>
    </row>
    <row r="752" spans="2:22" ht="15" customHeight="1" x14ac:dyDescent="0.4">
      <c r="B752" s="198" t="s">
        <v>382</v>
      </c>
      <c r="C752" s="6" t="s">
        <v>162</v>
      </c>
      <c r="D752" s="15"/>
      <c r="E752" s="36">
        <v>10</v>
      </c>
      <c r="F752" s="212">
        <v>77300</v>
      </c>
      <c r="G752" s="195">
        <v>43563</v>
      </c>
      <c r="H752" s="8"/>
      <c r="I752" s="212">
        <v>69400</v>
      </c>
      <c r="J752" s="8">
        <v>43668</v>
      </c>
      <c r="K752" s="7">
        <f>ROUNDDOWN(E752*F752*0.0015,-1)</f>
        <v>1150</v>
      </c>
      <c r="L752" s="7">
        <f t="shared" si="290"/>
        <v>1040</v>
      </c>
      <c r="M752" s="196">
        <f>ROUNDDOWN(I752*E752*0.0025, )</f>
        <v>1735</v>
      </c>
      <c r="N752" s="36"/>
      <c r="O752" s="191">
        <f t="shared" si="280"/>
        <v>106</v>
      </c>
      <c r="P752" s="36">
        <f t="shared" si="291"/>
        <v>773000</v>
      </c>
      <c r="Q752" s="36">
        <f t="shared" si="292"/>
        <v>694000</v>
      </c>
      <c r="R752" s="7">
        <f t="shared" si="293"/>
        <v>-3925</v>
      </c>
      <c r="S752" s="227">
        <f t="shared" si="281"/>
        <v>-82925</v>
      </c>
      <c r="T752" s="248">
        <f t="shared" si="282"/>
        <v>-0.10727684346701165</v>
      </c>
      <c r="U752" s="193">
        <f t="shared" si="294"/>
        <v>-0.36939667797603065</v>
      </c>
      <c r="V752" s="6"/>
    </row>
    <row r="753" spans="2:22" ht="15" customHeight="1" x14ac:dyDescent="0.4">
      <c r="B753" s="198" t="s">
        <v>382</v>
      </c>
      <c r="C753" s="6" t="s">
        <v>162</v>
      </c>
      <c r="D753" s="15"/>
      <c r="E753" s="36">
        <v>5</v>
      </c>
      <c r="F753" s="212">
        <v>99600</v>
      </c>
      <c r="G753" s="195">
        <v>43766</v>
      </c>
      <c r="H753" s="8"/>
      <c r="I753" s="212">
        <v>111000</v>
      </c>
      <c r="J753" s="8">
        <v>43846</v>
      </c>
      <c r="K753" s="7">
        <f>ROUNDDOWN(E753*F753*0.0015,-1)</f>
        <v>740</v>
      </c>
      <c r="L753" s="7">
        <f t="shared" si="290"/>
        <v>830</v>
      </c>
      <c r="M753" s="196">
        <f>ROUNDDOWN(I753*E753*0.0025, )</f>
        <v>1387</v>
      </c>
      <c r="N753" s="36">
        <v>750</v>
      </c>
      <c r="O753" s="191">
        <f t="shared" si="280"/>
        <v>81</v>
      </c>
      <c r="P753" s="36">
        <f t="shared" si="291"/>
        <v>498000</v>
      </c>
      <c r="Q753" s="36">
        <f t="shared" si="292"/>
        <v>555000</v>
      </c>
      <c r="R753" s="7">
        <f t="shared" si="293"/>
        <v>-2207</v>
      </c>
      <c r="S753" s="227">
        <f t="shared" si="281"/>
        <v>54793</v>
      </c>
      <c r="T753" s="248">
        <f t="shared" si="282"/>
        <v>0.11002610441767069</v>
      </c>
      <c r="U753" s="193">
        <f t="shared" si="294"/>
        <v>0.49579664336357776</v>
      </c>
      <c r="V753" s="6" t="s">
        <v>262</v>
      </c>
    </row>
    <row r="754" spans="2:22" ht="15" customHeight="1" x14ac:dyDescent="0.4">
      <c r="B754" s="38" t="s">
        <v>383</v>
      </c>
      <c r="C754" s="6" t="s">
        <v>160</v>
      </c>
      <c r="D754" s="6">
        <f>IF(OR($C754="신한",$C754="OTC",$C754="무상증자(신한)",$C754="토스",$C754="R토스"),1,"확인")</f>
        <v>1</v>
      </c>
      <c r="E754" s="34">
        <v>12</v>
      </c>
      <c r="F754" s="212">
        <v>63300</v>
      </c>
      <c r="G754" s="195">
        <v>44341</v>
      </c>
      <c r="H754" s="8"/>
      <c r="I754" s="212">
        <v>61500</v>
      </c>
      <c r="J754" s="8">
        <v>44341</v>
      </c>
      <c r="K754" s="23">
        <f>IF($C754="OTC",ROUNDDOWN($E754*$F754*0.000909187,-1),(IF($C754="신한",ROUNDDOWN($E754*$F754*0.000036396,-1),(IF($C754="토스",$E754*$F754*0.00015,(IF($C754="US",(IF($E754*$F754*0.0025&gt;0.01,$E754*$F754*0.0025,0.01)),IF($C754="JP",(IF($E754*$F754*0.0025&gt;1000,$E754*$F754*0.0025,1000)),(IF($C754="R토스",0,IF($C754="무상증자(신한)",0,"")))))))))))</f>
        <v>20</v>
      </c>
      <c r="L754" s="23">
        <f>IF($C754="OTC",ROUNDDOWN($I754*$E754*0.000909187,-1),(IF($C754="신한",ROUNDDOWN($I754*$E754*0.000036396,-1),(IF($C754="토스",$I754*$E754*0.00015,(IF($C754="US",(IF($I754*$E754*0.0025&gt;0.01,$I754*$E754*0.0025,0.01)),(IF($C754="JP",(IF($I754*$E754*0.0025&gt;1000,$I754*$E754*0.0025,1000)),(IF($C754="R토스",$I754*$E754*0.00015,(IF($C754="무상증자(신한)",ROUNDDOWN($I754*$E754*0.000036396,-1),"")))))))))))))</f>
        <v>20</v>
      </c>
      <c r="M754" s="206">
        <f>Q754*0.0023</f>
        <v>1697.3999999999999</v>
      </c>
      <c r="N754" s="34"/>
      <c r="O754" s="209">
        <f t="shared" si="280"/>
        <v>1</v>
      </c>
      <c r="P754" s="34">
        <f>$E754*$F754*$D754</f>
        <v>759600</v>
      </c>
      <c r="Q754" s="34">
        <f>$E754*$I754*$D754</f>
        <v>738000</v>
      </c>
      <c r="R754" s="7">
        <f>($N754-$K754-$L754-$M754)*$D754</f>
        <v>-1737.3999999999999</v>
      </c>
      <c r="S754" s="227">
        <f t="shared" si="281"/>
        <v>-23337.4</v>
      </c>
      <c r="T754" s="249">
        <f t="shared" si="282"/>
        <v>-3.0723275408109534E-2</v>
      </c>
      <c r="U754" s="38"/>
      <c r="V754" s="33"/>
    </row>
    <row r="755" spans="2:22" ht="15" customHeight="1" x14ac:dyDescent="0.4">
      <c r="B755" s="38" t="s">
        <v>384</v>
      </c>
      <c r="C755" s="6" t="s">
        <v>160</v>
      </c>
      <c r="D755" s="6">
        <f>IF(OR($C755="신한",$C755="OTC",$C755="무상증자(신한)",$C755="토스",$C755="R토스"),1,"확인")</f>
        <v>1</v>
      </c>
      <c r="E755" s="34">
        <v>65</v>
      </c>
      <c r="F755" s="212">
        <v>22950</v>
      </c>
      <c r="G755" s="195">
        <v>44057</v>
      </c>
      <c r="H755" s="8"/>
      <c r="I755" s="212">
        <v>25250</v>
      </c>
      <c r="J755" s="8">
        <v>44124</v>
      </c>
      <c r="K755" s="23">
        <f>IF($C755="OTC",ROUNDDOWN($E755*$F755*0.000909187,-1),(IF($C755="신한",ROUNDDOWN($E755*$F755*0.000036396,-1),(IF($C755="토스",$E755*$F755*0.00015,(IF($C755="US",(IF($E755*$F755*0.0025&gt;0.01,$E755*$F755*0.0025,0.01)),IF($C755="JP",(IF($E755*$F755*0.0025&gt;1000,$E755*$F755*0.0025,1000)),(IF($C755="R토스",0,IF($C755="무상증자(신한)",0,"")))))))))))</f>
        <v>50</v>
      </c>
      <c r="L755" s="23">
        <v>0</v>
      </c>
      <c r="M755" s="206">
        <f>Q755*0.0025</f>
        <v>4103.125</v>
      </c>
      <c r="N755" s="34"/>
      <c r="O755" s="209">
        <f t="shared" si="280"/>
        <v>68</v>
      </c>
      <c r="P755" s="34">
        <f>$E755*$F755*$D755</f>
        <v>1491750</v>
      </c>
      <c r="Q755" s="34">
        <f>$E755*$I755*$D755</f>
        <v>1641250</v>
      </c>
      <c r="R755" s="7">
        <f>($N755-$K755-$L755-$M755)*$D755</f>
        <v>-4153.125</v>
      </c>
      <c r="S755" s="227">
        <f t="shared" si="281"/>
        <v>145346.875</v>
      </c>
      <c r="T755" s="249">
        <f t="shared" si="282"/>
        <v>9.7433802580861401E-2</v>
      </c>
      <c r="U755" s="38"/>
      <c r="V755" s="33"/>
    </row>
    <row r="756" spans="2:22" ht="15" customHeight="1" x14ac:dyDescent="0.4">
      <c r="B756" s="38" t="s">
        <v>385</v>
      </c>
      <c r="C756" s="6" t="s">
        <v>187</v>
      </c>
      <c r="D756" s="6"/>
      <c r="E756" s="36">
        <v>10</v>
      </c>
      <c r="F756" s="212">
        <v>4150</v>
      </c>
      <c r="G756" s="195">
        <v>39695</v>
      </c>
      <c r="H756" s="8"/>
      <c r="I756" s="212">
        <v>4500</v>
      </c>
      <c r="J756" s="8">
        <v>39808</v>
      </c>
      <c r="K756" s="7">
        <v>10</v>
      </c>
      <c r="L756" s="7">
        <v>10</v>
      </c>
      <c r="M756" s="196"/>
      <c r="N756" s="36"/>
      <c r="O756" s="191">
        <f t="shared" si="280"/>
        <v>114</v>
      </c>
      <c r="P756" s="36">
        <f t="shared" ref="P756:P776" si="295">F756*E756</f>
        <v>41500</v>
      </c>
      <c r="Q756" s="36">
        <f t="shared" ref="Q756:Q776" si="296">I756*E756</f>
        <v>45000</v>
      </c>
      <c r="R756" s="7">
        <f t="shared" ref="R756:R776" si="297">N756-K756-L756-M756</f>
        <v>-20</v>
      </c>
      <c r="S756" s="227">
        <f t="shared" si="281"/>
        <v>3480</v>
      </c>
      <c r="T756" s="248">
        <f t="shared" si="282"/>
        <v>8.3855421686746992E-2</v>
      </c>
      <c r="U756" s="193">
        <f t="shared" ref="U756:U776" si="298">T756*365/O756</f>
        <v>0.2684844641724794</v>
      </c>
      <c r="V756" s="6"/>
    </row>
    <row r="757" spans="2:22" ht="15" customHeight="1" x14ac:dyDescent="0.4">
      <c r="B757" s="38" t="s">
        <v>386</v>
      </c>
      <c r="C757" s="6" t="s">
        <v>162</v>
      </c>
      <c r="D757" s="6"/>
      <c r="E757" s="36">
        <v>400</v>
      </c>
      <c r="F757" s="212">
        <v>8650</v>
      </c>
      <c r="G757" s="195">
        <v>43126</v>
      </c>
      <c r="H757" s="8"/>
      <c r="I757" s="212">
        <v>15800</v>
      </c>
      <c r="J757" s="8">
        <v>43165</v>
      </c>
      <c r="K757" s="7">
        <f t="shared" ref="K757:K774" si="299">ROUNDDOWN(E757*F757*0.0015,-1)</f>
        <v>5190</v>
      </c>
      <c r="L757" s="7">
        <f t="shared" ref="L757:L774" si="300">ROUNDDOWN(I757*E757*0.0015,-1)</f>
        <v>9480</v>
      </c>
      <c r="M757" s="196">
        <f t="shared" ref="M757:M772" si="301">I757*E757*0.003</f>
        <v>18960</v>
      </c>
      <c r="N757" s="36"/>
      <c r="O757" s="191">
        <f t="shared" si="280"/>
        <v>40</v>
      </c>
      <c r="P757" s="36">
        <f t="shared" si="295"/>
        <v>3460000</v>
      </c>
      <c r="Q757" s="36">
        <f t="shared" si="296"/>
        <v>6320000</v>
      </c>
      <c r="R757" s="7">
        <f t="shared" si="297"/>
        <v>-33630</v>
      </c>
      <c r="S757" s="227">
        <f t="shared" si="281"/>
        <v>2826370</v>
      </c>
      <c r="T757" s="248">
        <f t="shared" si="282"/>
        <v>0.81686994219653175</v>
      </c>
      <c r="U757" s="193">
        <f t="shared" si="298"/>
        <v>7.4539382225433526</v>
      </c>
      <c r="V757" s="6"/>
    </row>
    <row r="758" spans="2:22" ht="15" customHeight="1" x14ac:dyDescent="0.4">
      <c r="B758" s="38" t="s">
        <v>386</v>
      </c>
      <c r="C758" s="6" t="s">
        <v>162</v>
      </c>
      <c r="D758" s="6"/>
      <c r="E758" s="36">
        <v>250</v>
      </c>
      <c r="F758" s="212">
        <v>11700</v>
      </c>
      <c r="G758" s="195">
        <v>43133</v>
      </c>
      <c r="H758" s="8"/>
      <c r="I758" s="212">
        <v>15800</v>
      </c>
      <c r="J758" s="8">
        <v>43165</v>
      </c>
      <c r="K758" s="7">
        <f t="shared" si="299"/>
        <v>4380</v>
      </c>
      <c r="L758" s="7">
        <f t="shared" si="300"/>
        <v>5920</v>
      </c>
      <c r="M758" s="196">
        <f t="shared" si="301"/>
        <v>11850</v>
      </c>
      <c r="N758" s="36"/>
      <c r="O758" s="191">
        <f t="shared" si="280"/>
        <v>33</v>
      </c>
      <c r="P758" s="36">
        <f t="shared" si="295"/>
        <v>2925000</v>
      </c>
      <c r="Q758" s="36">
        <f t="shared" si="296"/>
        <v>3950000</v>
      </c>
      <c r="R758" s="7">
        <f t="shared" si="297"/>
        <v>-22150</v>
      </c>
      <c r="S758" s="227">
        <f t="shared" si="281"/>
        <v>1002850</v>
      </c>
      <c r="T758" s="248">
        <f t="shared" si="282"/>
        <v>0.34285470085470088</v>
      </c>
      <c r="U758" s="193">
        <f t="shared" si="298"/>
        <v>3.7921807821807825</v>
      </c>
      <c r="V758" s="6"/>
    </row>
    <row r="759" spans="2:22" ht="15" customHeight="1" x14ac:dyDescent="0.4">
      <c r="B759" s="38" t="s">
        <v>386</v>
      </c>
      <c r="C759" s="6" t="s">
        <v>162</v>
      </c>
      <c r="D759" s="6"/>
      <c r="E759" s="36">
        <v>500</v>
      </c>
      <c r="F759" s="212">
        <v>11400</v>
      </c>
      <c r="G759" s="195">
        <v>43133</v>
      </c>
      <c r="H759" s="8"/>
      <c r="I759" s="212">
        <v>13000</v>
      </c>
      <c r="J759" s="8">
        <v>43273</v>
      </c>
      <c r="K759" s="7">
        <f t="shared" si="299"/>
        <v>8550</v>
      </c>
      <c r="L759" s="7">
        <f t="shared" si="300"/>
        <v>9750</v>
      </c>
      <c r="M759" s="196">
        <f t="shared" si="301"/>
        <v>19500</v>
      </c>
      <c r="N759" s="36"/>
      <c r="O759" s="191">
        <f t="shared" si="280"/>
        <v>141</v>
      </c>
      <c r="P759" s="36">
        <f t="shared" si="295"/>
        <v>5700000</v>
      </c>
      <c r="Q759" s="36">
        <f t="shared" si="296"/>
        <v>6500000</v>
      </c>
      <c r="R759" s="7">
        <f t="shared" si="297"/>
        <v>-37800</v>
      </c>
      <c r="S759" s="227">
        <f t="shared" si="281"/>
        <v>762200</v>
      </c>
      <c r="T759" s="248">
        <f t="shared" si="282"/>
        <v>0.13371929824561404</v>
      </c>
      <c r="U759" s="193">
        <f t="shared" si="298"/>
        <v>0.34615279333084487</v>
      </c>
      <c r="V759" s="6"/>
    </row>
    <row r="760" spans="2:22" ht="15" customHeight="1" x14ac:dyDescent="0.4">
      <c r="B760" s="38" t="s">
        <v>386</v>
      </c>
      <c r="C760" s="6" t="s">
        <v>162</v>
      </c>
      <c r="D760" s="6"/>
      <c r="E760" s="36">
        <v>500</v>
      </c>
      <c r="F760" s="212">
        <v>11800</v>
      </c>
      <c r="G760" s="195">
        <v>43133</v>
      </c>
      <c r="H760" s="8"/>
      <c r="I760" s="212">
        <v>9750</v>
      </c>
      <c r="J760" s="8">
        <v>43364</v>
      </c>
      <c r="K760" s="7">
        <f t="shared" si="299"/>
        <v>8850</v>
      </c>
      <c r="L760" s="7">
        <f t="shared" si="300"/>
        <v>7310</v>
      </c>
      <c r="M760" s="196">
        <f t="shared" si="301"/>
        <v>14625</v>
      </c>
      <c r="N760" s="36"/>
      <c r="O760" s="191">
        <f t="shared" si="280"/>
        <v>232</v>
      </c>
      <c r="P760" s="36">
        <f t="shared" si="295"/>
        <v>5900000</v>
      </c>
      <c r="Q760" s="36">
        <f t="shared" si="296"/>
        <v>4875000</v>
      </c>
      <c r="R760" s="7">
        <f t="shared" si="297"/>
        <v>-30785</v>
      </c>
      <c r="S760" s="227">
        <f t="shared" si="281"/>
        <v>-1055785</v>
      </c>
      <c r="T760" s="248">
        <f t="shared" si="282"/>
        <v>-0.17894661016949154</v>
      </c>
      <c r="U760" s="193">
        <f t="shared" si="298"/>
        <v>-0.28153238237872591</v>
      </c>
      <c r="V760" s="6"/>
    </row>
    <row r="761" spans="2:22" ht="15" customHeight="1" x14ac:dyDescent="0.4">
      <c r="B761" s="38" t="s">
        <v>386</v>
      </c>
      <c r="C761" s="6" t="s">
        <v>162</v>
      </c>
      <c r="D761" s="6"/>
      <c r="E761" s="36">
        <v>1000</v>
      </c>
      <c r="F761" s="212">
        <v>11500</v>
      </c>
      <c r="G761" s="195">
        <v>43133</v>
      </c>
      <c r="H761" s="8"/>
      <c r="I761" s="212">
        <v>9750</v>
      </c>
      <c r="J761" s="8">
        <v>43364</v>
      </c>
      <c r="K761" s="7">
        <f t="shared" si="299"/>
        <v>17250</v>
      </c>
      <c r="L761" s="7">
        <f t="shared" si="300"/>
        <v>14620</v>
      </c>
      <c r="M761" s="196">
        <f t="shared" si="301"/>
        <v>29250</v>
      </c>
      <c r="N761" s="36"/>
      <c r="O761" s="191">
        <f t="shared" si="280"/>
        <v>232</v>
      </c>
      <c r="P761" s="36">
        <f t="shared" si="295"/>
        <v>11500000</v>
      </c>
      <c r="Q761" s="36">
        <f t="shared" si="296"/>
        <v>9750000</v>
      </c>
      <c r="R761" s="7">
        <f t="shared" si="297"/>
        <v>-61120</v>
      </c>
      <c r="S761" s="227">
        <f t="shared" si="281"/>
        <v>-1811120</v>
      </c>
      <c r="T761" s="248">
        <f t="shared" si="282"/>
        <v>-0.15748869565217391</v>
      </c>
      <c r="U761" s="193">
        <f t="shared" si="298"/>
        <v>-0.24777316341829086</v>
      </c>
      <c r="V761" s="6"/>
    </row>
    <row r="762" spans="2:22" ht="15" customHeight="1" x14ac:dyDescent="0.4">
      <c r="B762" s="38" t="s">
        <v>386</v>
      </c>
      <c r="C762" s="6" t="s">
        <v>162</v>
      </c>
      <c r="D762" s="6"/>
      <c r="E762" s="36">
        <v>500</v>
      </c>
      <c r="F762" s="212">
        <v>15300</v>
      </c>
      <c r="G762" s="195">
        <v>43167</v>
      </c>
      <c r="H762" s="8"/>
      <c r="I762" s="212">
        <v>16500</v>
      </c>
      <c r="J762" s="8">
        <v>43171</v>
      </c>
      <c r="K762" s="7">
        <f t="shared" si="299"/>
        <v>11470</v>
      </c>
      <c r="L762" s="7">
        <f t="shared" si="300"/>
        <v>12370</v>
      </c>
      <c r="M762" s="196">
        <f t="shared" si="301"/>
        <v>24750</v>
      </c>
      <c r="N762" s="36"/>
      <c r="O762" s="191">
        <f t="shared" si="280"/>
        <v>5</v>
      </c>
      <c r="P762" s="36">
        <f t="shared" si="295"/>
        <v>7650000</v>
      </c>
      <c r="Q762" s="36">
        <f t="shared" si="296"/>
        <v>8250000</v>
      </c>
      <c r="R762" s="7">
        <f t="shared" si="297"/>
        <v>-48590</v>
      </c>
      <c r="S762" s="227">
        <f t="shared" si="281"/>
        <v>551410</v>
      </c>
      <c r="T762" s="248">
        <f t="shared" si="282"/>
        <v>7.2079738562091503E-2</v>
      </c>
      <c r="U762" s="193">
        <f t="shared" si="298"/>
        <v>5.26182091503268</v>
      </c>
      <c r="V762" s="6"/>
    </row>
    <row r="763" spans="2:22" ht="15" customHeight="1" x14ac:dyDescent="0.4">
      <c r="B763" s="38" t="s">
        <v>386</v>
      </c>
      <c r="C763" s="6" t="s">
        <v>162</v>
      </c>
      <c r="D763" s="6"/>
      <c r="E763" s="36">
        <v>500</v>
      </c>
      <c r="F763" s="212">
        <v>16000</v>
      </c>
      <c r="G763" s="195">
        <v>43173</v>
      </c>
      <c r="H763" s="8"/>
      <c r="I763" s="212">
        <v>9750</v>
      </c>
      <c r="J763" s="8">
        <v>43364</v>
      </c>
      <c r="K763" s="7">
        <f t="shared" si="299"/>
        <v>12000</v>
      </c>
      <c r="L763" s="7">
        <f t="shared" si="300"/>
        <v>7310</v>
      </c>
      <c r="M763" s="196">
        <f t="shared" si="301"/>
        <v>14625</v>
      </c>
      <c r="N763" s="36"/>
      <c r="O763" s="191">
        <f t="shared" si="280"/>
        <v>192</v>
      </c>
      <c r="P763" s="36">
        <f t="shared" si="295"/>
        <v>8000000</v>
      </c>
      <c r="Q763" s="36">
        <f t="shared" si="296"/>
        <v>4875000</v>
      </c>
      <c r="R763" s="7">
        <f t="shared" si="297"/>
        <v>-33935</v>
      </c>
      <c r="S763" s="227">
        <f t="shared" si="281"/>
        <v>-3158935</v>
      </c>
      <c r="T763" s="248">
        <f t="shared" si="282"/>
        <v>-0.39486687500000001</v>
      </c>
      <c r="U763" s="193">
        <f t="shared" si="298"/>
        <v>-0.75065838216145842</v>
      </c>
      <c r="V763" s="6"/>
    </row>
    <row r="764" spans="2:22" ht="15" customHeight="1" x14ac:dyDescent="0.4">
      <c r="B764" s="38" t="s">
        <v>386</v>
      </c>
      <c r="C764" s="6" t="s">
        <v>162</v>
      </c>
      <c r="D764" s="6"/>
      <c r="E764" s="36">
        <v>200</v>
      </c>
      <c r="F764" s="212">
        <v>14600</v>
      </c>
      <c r="G764" s="195">
        <v>43178</v>
      </c>
      <c r="H764" s="8"/>
      <c r="I764" s="212">
        <v>9750</v>
      </c>
      <c r="J764" s="8">
        <v>43364</v>
      </c>
      <c r="K764" s="7">
        <f t="shared" si="299"/>
        <v>4380</v>
      </c>
      <c r="L764" s="7">
        <f t="shared" si="300"/>
        <v>2920</v>
      </c>
      <c r="M764" s="196">
        <f t="shared" si="301"/>
        <v>5850</v>
      </c>
      <c r="N764" s="36"/>
      <c r="O764" s="191">
        <f t="shared" si="280"/>
        <v>187</v>
      </c>
      <c r="P764" s="36">
        <f t="shared" si="295"/>
        <v>2920000</v>
      </c>
      <c r="Q764" s="36">
        <f t="shared" si="296"/>
        <v>1950000</v>
      </c>
      <c r="R764" s="7">
        <f t="shared" si="297"/>
        <v>-13150</v>
      </c>
      <c r="S764" s="227">
        <f t="shared" si="281"/>
        <v>-983150</v>
      </c>
      <c r="T764" s="248">
        <f t="shared" si="282"/>
        <v>-0.33669520547945203</v>
      </c>
      <c r="U764" s="193">
        <f t="shared" si="298"/>
        <v>-0.65718582887700538</v>
      </c>
      <c r="V764" s="6"/>
    </row>
    <row r="765" spans="2:22" ht="15" customHeight="1" x14ac:dyDescent="0.4">
      <c r="B765" s="38" t="s">
        <v>386</v>
      </c>
      <c r="C765" s="6" t="s">
        <v>162</v>
      </c>
      <c r="D765" s="6"/>
      <c r="E765" s="36">
        <v>100</v>
      </c>
      <c r="F765" s="212">
        <v>24800</v>
      </c>
      <c r="G765" s="195">
        <v>43231</v>
      </c>
      <c r="H765" s="8"/>
      <c r="I765" s="212">
        <v>3510</v>
      </c>
      <c r="J765" s="8">
        <v>43538</v>
      </c>
      <c r="K765" s="7">
        <f t="shared" si="299"/>
        <v>3720</v>
      </c>
      <c r="L765" s="7">
        <f t="shared" si="300"/>
        <v>520</v>
      </c>
      <c r="M765" s="196">
        <f t="shared" si="301"/>
        <v>1053</v>
      </c>
      <c r="N765" s="36"/>
      <c r="O765" s="191">
        <f t="shared" si="280"/>
        <v>308</v>
      </c>
      <c r="P765" s="36">
        <f t="shared" si="295"/>
        <v>2480000</v>
      </c>
      <c r="Q765" s="36">
        <f t="shared" si="296"/>
        <v>351000</v>
      </c>
      <c r="R765" s="7">
        <f t="shared" si="297"/>
        <v>-5293</v>
      </c>
      <c r="S765" s="227">
        <f t="shared" si="281"/>
        <v>-2134293</v>
      </c>
      <c r="T765" s="248">
        <f t="shared" si="282"/>
        <v>-0.86060201612903231</v>
      </c>
      <c r="U765" s="193">
        <f t="shared" si="298"/>
        <v>-1.0198692723607039</v>
      </c>
      <c r="V765" s="6"/>
    </row>
    <row r="766" spans="2:22" ht="15" customHeight="1" x14ac:dyDescent="0.4">
      <c r="B766" s="38" t="s">
        <v>386</v>
      </c>
      <c r="C766" s="6" t="s">
        <v>162</v>
      </c>
      <c r="D766" s="6"/>
      <c r="E766" s="36">
        <v>100</v>
      </c>
      <c r="F766" s="212">
        <v>13500</v>
      </c>
      <c r="G766" s="195">
        <v>43237</v>
      </c>
      <c r="H766" s="8"/>
      <c r="I766" s="212">
        <v>3510</v>
      </c>
      <c r="J766" s="8">
        <v>43538</v>
      </c>
      <c r="K766" s="7">
        <f t="shared" si="299"/>
        <v>2020</v>
      </c>
      <c r="L766" s="7">
        <f t="shared" si="300"/>
        <v>520</v>
      </c>
      <c r="M766" s="196">
        <f t="shared" si="301"/>
        <v>1053</v>
      </c>
      <c r="N766" s="36"/>
      <c r="O766" s="191">
        <f t="shared" si="280"/>
        <v>302</v>
      </c>
      <c r="P766" s="36">
        <f t="shared" si="295"/>
        <v>1350000</v>
      </c>
      <c r="Q766" s="36">
        <f t="shared" si="296"/>
        <v>351000</v>
      </c>
      <c r="R766" s="7">
        <f t="shared" si="297"/>
        <v>-3593</v>
      </c>
      <c r="S766" s="227">
        <f t="shared" si="281"/>
        <v>-1002593</v>
      </c>
      <c r="T766" s="248">
        <f t="shared" si="282"/>
        <v>-0.74266148148148148</v>
      </c>
      <c r="U766" s="193">
        <f t="shared" si="298"/>
        <v>-0.89758755212165808</v>
      </c>
      <c r="V766" s="6"/>
    </row>
    <row r="767" spans="2:22" ht="15" customHeight="1" x14ac:dyDescent="0.4">
      <c r="B767" s="38" t="s">
        <v>386</v>
      </c>
      <c r="C767" s="6" t="s">
        <v>162</v>
      </c>
      <c r="D767" s="6"/>
      <c r="E767" s="36">
        <v>100</v>
      </c>
      <c r="F767" s="212">
        <v>13400</v>
      </c>
      <c r="G767" s="195">
        <v>43243</v>
      </c>
      <c r="H767" s="8"/>
      <c r="I767" s="212">
        <v>3510</v>
      </c>
      <c r="J767" s="8">
        <v>43538</v>
      </c>
      <c r="K767" s="7">
        <f t="shared" si="299"/>
        <v>2010</v>
      </c>
      <c r="L767" s="7">
        <f t="shared" si="300"/>
        <v>520</v>
      </c>
      <c r="M767" s="196">
        <f t="shared" si="301"/>
        <v>1053</v>
      </c>
      <c r="N767" s="36"/>
      <c r="O767" s="191">
        <f t="shared" si="280"/>
        <v>296</v>
      </c>
      <c r="P767" s="36">
        <f t="shared" si="295"/>
        <v>1340000</v>
      </c>
      <c r="Q767" s="36">
        <f t="shared" si="296"/>
        <v>351000</v>
      </c>
      <c r="R767" s="7">
        <f t="shared" si="297"/>
        <v>-3583</v>
      </c>
      <c r="S767" s="227">
        <f t="shared" si="281"/>
        <v>-992583</v>
      </c>
      <c r="T767" s="248">
        <f t="shared" si="282"/>
        <v>-0.7407335820895522</v>
      </c>
      <c r="U767" s="193">
        <f t="shared" si="298"/>
        <v>-0.91340458602258967</v>
      </c>
      <c r="V767" s="6"/>
    </row>
    <row r="768" spans="2:22" ht="15" customHeight="1" x14ac:dyDescent="0.4">
      <c r="B768" s="38" t="s">
        <v>386</v>
      </c>
      <c r="C768" s="6" t="s">
        <v>162</v>
      </c>
      <c r="D768" s="6"/>
      <c r="E768" s="36">
        <v>2800</v>
      </c>
      <c r="F768" s="212">
        <v>0</v>
      </c>
      <c r="G768" s="195">
        <v>43249</v>
      </c>
      <c r="H768" s="8"/>
      <c r="I768" s="212">
        <v>9750</v>
      </c>
      <c r="J768" s="8">
        <v>43364</v>
      </c>
      <c r="K768" s="7">
        <f t="shared" si="299"/>
        <v>0</v>
      </c>
      <c r="L768" s="7">
        <f t="shared" si="300"/>
        <v>40950</v>
      </c>
      <c r="M768" s="196">
        <f t="shared" si="301"/>
        <v>81900</v>
      </c>
      <c r="N768" s="36"/>
      <c r="O768" s="191">
        <f t="shared" si="280"/>
        <v>116</v>
      </c>
      <c r="P768" s="36">
        <f t="shared" si="295"/>
        <v>0</v>
      </c>
      <c r="Q768" s="36">
        <f t="shared" si="296"/>
        <v>27300000</v>
      </c>
      <c r="R768" s="7">
        <f t="shared" si="297"/>
        <v>-122850</v>
      </c>
      <c r="S768" s="227">
        <f t="shared" si="281"/>
        <v>27177150</v>
      </c>
      <c r="T768" s="248" t="e">
        <f t="shared" si="282"/>
        <v>#DIV/0!</v>
      </c>
      <c r="U768" s="193" t="e">
        <f t="shared" si="298"/>
        <v>#DIV/0!</v>
      </c>
      <c r="V768" s="6" t="s">
        <v>249</v>
      </c>
    </row>
    <row r="769" spans="2:22" s="33" customFormat="1" ht="15" customHeight="1" x14ac:dyDescent="0.4">
      <c r="B769" s="38" t="s">
        <v>386</v>
      </c>
      <c r="C769" s="6" t="s">
        <v>162</v>
      </c>
      <c r="D769" s="6"/>
      <c r="E769" s="36">
        <v>1200</v>
      </c>
      <c r="F769" s="212">
        <v>15000</v>
      </c>
      <c r="G769" s="195">
        <v>43258</v>
      </c>
      <c r="H769" s="8"/>
      <c r="I769" s="212">
        <v>3510</v>
      </c>
      <c r="J769" s="8">
        <v>43538</v>
      </c>
      <c r="K769" s="7">
        <f t="shared" si="299"/>
        <v>27000</v>
      </c>
      <c r="L769" s="7">
        <f t="shared" si="300"/>
        <v>6310</v>
      </c>
      <c r="M769" s="196">
        <f t="shared" si="301"/>
        <v>12636</v>
      </c>
      <c r="N769" s="36"/>
      <c r="O769" s="191">
        <f t="shared" si="280"/>
        <v>281</v>
      </c>
      <c r="P769" s="36">
        <f t="shared" si="295"/>
        <v>18000000</v>
      </c>
      <c r="Q769" s="36">
        <f t="shared" si="296"/>
        <v>4212000</v>
      </c>
      <c r="R769" s="7">
        <f t="shared" si="297"/>
        <v>-45946</v>
      </c>
      <c r="S769" s="227">
        <f t="shared" si="281"/>
        <v>-13833946</v>
      </c>
      <c r="T769" s="248">
        <f t="shared" si="282"/>
        <v>-0.76855255555555557</v>
      </c>
      <c r="U769" s="193">
        <f t="shared" si="298"/>
        <v>-0.99829780347963637</v>
      </c>
      <c r="V769" s="6"/>
    </row>
    <row r="770" spans="2:22" s="33" customFormat="1" ht="15" customHeight="1" x14ac:dyDescent="0.4">
      <c r="B770" s="38" t="s">
        <v>386</v>
      </c>
      <c r="C770" s="6" t="s">
        <v>162</v>
      </c>
      <c r="D770" s="6"/>
      <c r="E770" s="36">
        <v>200</v>
      </c>
      <c r="F770" s="212">
        <v>7250</v>
      </c>
      <c r="G770" s="195">
        <v>43329</v>
      </c>
      <c r="H770" s="8"/>
      <c r="I770" s="212">
        <v>5450</v>
      </c>
      <c r="J770" s="8">
        <v>43542</v>
      </c>
      <c r="K770" s="7">
        <f t="shared" si="299"/>
        <v>2170</v>
      </c>
      <c r="L770" s="7">
        <f t="shared" si="300"/>
        <v>1630</v>
      </c>
      <c r="M770" s="196">
        <f t="shared" si="301"/>
        <v>3270</v>
      </c>
      <c r="N770" s="36"/>
      <c r="O770" s="191">
        <f t="shared" si="280"/>
        <v>214</v>
      </c>
      <c r="P770" s="36">
        <f t="shared" si="295"/>
        <v>1450000</v>
      </c>
      <c r="Q770" s="36">
        <f t="shared" si="296"/>
        <v>1090000</v>
      </c>
      <c r="R770" s="7">
        <f t="shared" si="297"/>
        <v>-7070</v>
      </c>
      <c r="S770" s="227">
        <f t="shared" si="281"/>
        <v>-367070</v>
      </c>
      <c r="T770" s="248">
        <f t="shared" si="282"/>
        <v>-0.25315172413793102</v>
      </c>
      <c r="U770" s="193">
        <f t="shared" si="298"/>
        <v>-0.43177747341282624</v>
      </c>
      <c r="V770" s="6"/>
    </row>
    <row r="771" spans="2:22" s="33" customFormat="1" ht="15" customHeight="1" x14ac:dyDescent="0.4">
      <c r="B771" s="38" t="s">
        <v>386</v>
      </c>
      <c r="C771" s="6" t="s">
        <v>162</v>
      </c>
      <c r="D771" s="6"/>
      <c r="E771" s="36">
        <v>1000</v>
      </c>
      <c r="F771" s="212">
        <v>9550</v>
      </c>
      <c r="G771" s="195">
        <v>43374</v>
      </c>
      <c r="H771" s="8"/>
      <c r="I771" s="212">
        <v>5450</v>
      </c>
      <c r="J771" s="8">
        <v>43542</v>
      </c>
      <c r="K771" s="7">
        <f t="shared" si="299"/>
        <v>14320</v>
      </c>
      <c r="L771" s="7">
        <f t="shared" si="300"/>
        <v>8170</v>
      </c>
      <c r="M771" s="196">
        <f t="shared" si="301"/>
        <v>16350</v>
      </c>
      <c r="N771" s="36"/>
      <c r="O771" s="191">
        <f t="shared" si="280"/>
        <v>169</v>
      </c>
      <c r="P771" s="36">
        <f t="shared" si="295"/>
        <v>9550000</v>
      </c>
      <c r="Q771" s="36">
        <f t="shared" si="296"/>
        <v>5450000</v>
      </c>
      <c r="R771" s="7">
        <f t="shared" si="297"/>
        <v>-38840</v>
      </c>
      <c r="S771" s="227">
        <f t="shared" si="281"/>
        <v>-4138840</v>
      </c>
      <c r="T771" s="248">
        <f t="shared" si="282"/>
        <v>-0.43338638743455499</v>
      </c>
      <c r="U771" s="193">
        <f t="shared" si="298"/>
        <v>-0.93601202019889096</v>
      </c>
      <c r="V771" s="6"/>
    </row>
    <row r="772" spans="2:22" s="33" customFormat="1" ht="15" customHeight="1" x14ac:dyDescent="0.4">
      <c r="B772" s="38" t="s">
        <v>386</v>
      </c>
      <c r="C772" s="6" t="s">
        <v>162</v>
      </c>
      <c r="D772" s="6"/>
      <c r="E772" s="36">
        <v>800</v>
      </c>
      <c r="F772" s="212">
        <v>9270</v>
      </c>
      <c r="G772" s="195">
        <v>43375</v>
      </c>
      <c r="H772" s="8"/>
      <c r="I772" s="212">
        <v>5450</v>
      </c>
      <c r="J772" s="8">
        <v>43542</v>
      </c>
      <c r="K772" s="7">
        <f t="shared" si="299"/>
        <v>11120</v>
      </c>
      <c r="L772" s="7">
        <f t="shared" si="300"/>
        <v>6540</v>
      </c>
      <c r="M772" s="196">
        <f t="shared" si="301"/>
        <v>13080</v>
      </c>
      <c r="N772" s="36"/>
      <c r="O772" s="191">
        <f t="shared" si="280"/>
        <v>168</v>
      </c>
      <c r="P772" s="36">
        <f t="shared" si="295"/>
        <v>7416000</v>
      </c>
      <c r="Q772" s="36">
        <f t="shared" si="296"/>
        <v>4360000</v>
      </c>
      <c r="R772" s="7">
        <f t="shared" si="297"/>
        <v>-30740</v>
      </c>
      <c r="S772" s="227">
        <f t="shared" si="281"/>
        <v>-3086740</v>
      </c>
      <c r="T772" s="248">
        <f t="shared" si="282"/>
        <v>-0.41622707659115427</v>
      </c>
      <c r="U772" s="193">
        <f t="shared" si="298"/>
        <v>-0.90430287473673399</v>
      </c>
      <c r="V772" s="6"/>
    </row>
    <row r="773" spans="2:22" ht="15" customHeight="1" x14ac:dyDescent="0.4">
      <c r="B773" s="198" t="s">
        <v>386</v>
      </c>
      <c r="C773" s="6" t="s">
        <v>162</v>
      </c>
      <c r="D773" s="15"/>
      <c r="E773" s="36">
        <v>300</v>
      </c>
      <c r="F773" s="212">
        <v>4870</v>
      </c>
      <c r="G773" s="195">
        <v>43648</v>
      </c>
      <c r="H773" s="8"/>
      <c r="I773" s="212">
        <v>3430</v>
      </c>
      <c r="J773" s="8">
        <v>43664</v>
      </c>
      <c r="K773" s="7">
        <f t="shared" si="299"/>
        <v>2190</v>
      </c>
      <c r="L773" s="7">
        <f t="shared" si="300"/>
        <v>1540</v>
      </c>
      <c r="M773" s="196">
        <f>ROUNDDOWN(I773*E773*0.0025, )</f>
        <v>2572</v>
      </c>
      <c r="N773" s="36"/>
      <c r="O773" s="191">
        <f t="shared" si="280"/>
        <v>17</v>
      </c>
      <c r="P773" s="36">
        <f t="shared" si="295"/>
        <v>1461000</v>
      </c>
      <c r="Q773" s="36">
        <f t="shared" si="296"/>
        <v>1029000</v>
      </c>
      <c r="R773" s="7">
        <f t="shared" si="297"/>
        <v>-6302</v>
      </c>
      <c r="S773" s="227">
        <f t="shared" si="281"/>
        <v>-438302</v>
      </c>
      <c r="T773" s="248">
        <f t="shared" si="282"/>
        <v>-0.30000136892539359</v>
      </c>
      <c r="U773" s="193">
        <f t="shared" si="298"/>
        <v>-6.4412058622216861</v>
      </c>
      <c r="V773" s="6"/>
    </row>
    <row r="774" spans="2:22" ht="15" customHeight="1" x14ac:dyDescent="0.4">
      <c r="B774" s="38" t="s">
        <v>387</v>
      </c>
      <c r="C774" s="6" t="s">
        <v>162</v>
      </c>
      <c r="D774" s="6"/>
      <c r="E774" s="36">
        <v>900</v>
      </c>
      <c r="F774" s="212">
        <v>5000</v>
      </c>
      <c r="G774" s="195">
        <v>43552</v>
      </c>
      <c r="H774" s="8"/>
      <c r="I774" s="212">
        <v>5300</v>
      </c>
      <c r="J774" s="8">
        <v>43564</v>
      </c>
      <c r="K774" s="7">
        <f t="shared" si="299"/>
        <v>6750</v>
      </c>
      <c r="L774" s="7">
        <f t="shared" si="300"/>
        <v>7150</v>
      </c>
      <c r="M774" s="196">
        <f>I774*E774*0.003</f>
        <v>14310</v>
      </c>
      <c r="N774" s="36"/>
      <c r="O774" s="191">
        <f t="shared" si="280"/>
        <v>13</v>
      </c>
      <c r="P774" s="36">
        <f t="shared" si="295"/>
        <v>4500000</v>
      </c>
      <c r="Q774" s="36">
        <f t="shared" si="296"/>
        <v>4770000</v>
      </c>
      <c r="R774" s="7">
        <f t="shared" si="297"/>
        <v>-28210</v>
      </c>
      <c r="S774" s="227">
        <f t="shared" si="281"/>
        <v>241790</v>
      </c>
      <c r="T774" s="248">
        <f t="shared" si="282"/>
        <v>5.3731111111111111E-2</v>
      </c>
      <c r="U774" s="193">
        <f t="shared" si="298"/>
        <v>1.5086042735042737</v>
      </c>
      <c r="V774" s="6"/>
    </row>
    <row r="775" spans="2:22" ht="16.5" customHeight="1" x14ac:dyDescent="0.4">
      <c r="B775" s="33" t="s">
        <v>388</v>
      </c>
      <c r="C775" s="6" t="s">
        <v>187</v>
      </c>
      <c r="D775" s="6"/>
      <c r="E775" s="36">
        <v>100</v>
      </c>
      <c r="F775" s="212">
        <v>24850</v>
      </c>
      <c r="G775" s="8">
        <v>41523</v>
      </c>
      <c r="H775" s="8"/>
      <c r="I775" s="212">
        <v>25200</v>
      </c>
      <c r="J775" s="8">
        <v>41523</v>
      </c>
      <c r="K775" s="7">
        <f>ROUNDDOWN(E775*F775*0.00015,-1)</f>
        <v>370</v>
      </c>
      <c r="L775" s="7">
        <f>ROUNDDOWN(I775*E775*0.00015,-1)</f>
        <v>370</v>
      </c>
      <c r="M775" s="7">
        <f>I775*E775*0.003</f>
        <v>7560</v>
      </c>
      <c r="N775" s="36"/>
      <c r="O775" s="7">
        <f t="shared" si="280"/>
        <v>1</v>
      </c>
      <c r="P775" s="36">
        <f t="shared" si="295"/>
        <v>2485000</v>
      </c>
      <c r="Q775" s="36">
        <f t="shared" si="296"/>
        <v>2520000</v>
      </c>
      <c r="R775" s="7">
        <f t="shared" si="297"/>
        <v>-8300</v>
      </c>
      <c r="S775" s="227">
        <f t="shared" si="281"/>
        <v>26700</v>
      </c>
      <c r="T775" s="9">
        <f t="shared" si="282"/>
        <v>1.074446680080483E-2</v>
      </c>
      <c r="U775" s="9">
        <f t="shared" si="298"/>
        <v>3.921730382293763</v>
      </c>
      <c r="V775" s="6"/>
    </row>
    <row r="776" spans="2:22" ht="15" customHeight="1" x14ac:dyDescent="0.4">
      <c r="B776" s="38" t="s">
        <v>389</v>
      </c>
      <c r="C776" s="6" t="s">
        <v>162</v>
      </c>
      <c r="D776" s="6"/>
      <c r="E776" s="36">
        <v>100</v>
      </c>
      <c r="F776" s="212">
        <v>6820</v>
      </c>
      <c r="G776" s="195">
        <v>42579</v>
      </c>
      <c r="H776" s="8"/>
      <c r="I776" s="212">
        <v>8340</v>
      </c>
      <c r="J776" s="8">
        <v>42586</v>
      </c>
      <c r="K776" s="7">
        <f>ROUNDDOWN(E776*F776*0.0015,-1)</f>
        <v>1020</v>
      </c>
      <c r="L776" s="7">
        <f>ROUNDDOWN(I776*E776*0.0015,-1)</f>
        <v>1250</v>
      </c>
      <c r="M776" s="196">
        <f>I776*E776*0.003</f>
        <v>2502</v>
      </c>
      <c r="N776" s="36"/>
      <c r="O776" s="191">
        <f t="shared" si="280"/>
        <v>8</v>
      </c>
      <c r="P776" s="36">
        <f t="shared" si="295"/>
        <v>682000</v>
      </c>
      <c r="Q776" s="36">
        <f t="shared" si="296"/>
        <v>834000</v>
      </c>
      <c r="R776" s="7">
        <f t="shared" si="297"/>
        <v>-4772</v>
      </c>
      <c r="S776" s="227">
        <f t="shared" si="281"/>
        <v>147228</v>
      </c>
      <c r="T776" s="248">
        <f t="shared" si="282"/>
        <v>0.21587683284457479</v>
      </c>
      <c r="U776" s="193">
        <f t="shared" si="298"/>
        <v>9.8493804985337245</v>
      </c>
      <c r="V776" s="6"/>
    </row>
    <row r="777" spans="2:22" ht="15" customHeight="1" x14ac:dyDescent="0.4">
      <c r="B777" s="38" t="s">
        <v>390</v>
      </c>
      <c r="C777" s="6" t="s">
        <v>160</v>
      </c>
      <c r="D777" s="6">
        <f t="shared" ref="D777:D804" si="302">IF(OR($C777="신한",$C777="OTC",$C777="무상증자(신한)",$C777="토스",$C777="R토스"),1,"확인")</f>
        <v>1</v>
      </c>
      <c r="E777" s="34">
        <v>70</v>
      </c>
      <c r="F777" s="212">
        <v>47000</v>
      </c>
      <c r="G777" s="195">
        <v>44020</v>
      </c>
      <c r="H777" s="8"/>
      <c r="I777" s="212">
        <f>(6*51200+64*51100)/70</f>
        <v>51108.571428571428</v>
      </c>
      <c r="J777" s="8">
        <v>44021</v>
      </c>
      <c r="K777" s="23">
        <f t="shared" ref="K777:K804" si="303">IF($C777="OTC",ROUNDDOWN($E777*$F777*0.000909187,-1),(IF($C777="신한",ROUNDDOWN($E777*$F777*0.000036396,-1),(IF($C777="토스",$E777*$F777*0.00015,(IF($C777="US",(IF($E777*$F777*0.0025&gt;0.01,$E777*$F777*0.0025,0.01)),IF($C777="JP",(IF($E777*$F777*0.0025&gt;1000,$E777*$F777*0.0025,1000)),(IF($C777="R토스",0,IF($C777="무상증자(신한)",0,"")))))))))))</f>
        <v>110</v>
      </c>
      <c r="L777" s="23">
        <f t="shared" ref="L777:L804" si="304">IF($C777="OTC",ROUNDDOWN($I777*$E777*0.000909187,-1),(IF($C777="신한",ROUNDDOWN($I777*$E777*0.000036396,-1),(IF($C777="토스",$I777*$E777*0.00015,(IF($C777="US",(IF($I777*$E777*0.0025&gt;0.01,$I777*$E777*0.0025,0.01)),(IF($C777="JP",(IF($I777*$E777*0.0025&gt;1000,$I777*$E777*0.0025,1000)),(IF($C777="R토스",$I777*$E777*0.00015,(IF($C777="무상증자(신한)",ROUNDDOWN($I777*$E777*0.000036396,-1),"")))))))))))))</f>
        <v>130</v>
      </c>
      <c r="M777" s="206">
        <f>Q777*0.0025</f>
        <v>8944</v>
      </c>
      <c r="N777" s="34"/>
      <c r="O777" s="209">
        <f t="shared" si="280"/>
        <v>2</v>
      </c>
      <c r="P777" s="34">
        <f t="shared" ref="P777:P804" si="305">$E777*$F777*$D777</f>
        <v>3290000</v>
      </c>
      <c r="Q777" s="34">
        <f t="shared" ref="Q777:Q804" si="306">$E777*$I777*$D777</f>
        <v>3577600</v>
      </c>
      <c r="R777" s="7">
        <f t="shared" ref="R777:R804" si="307">($N777-$K777-$L777-$M777)*$D777</f>
        <v>-9184</v>
      </c>
      <c r="S777" s="227">
        <f t="shared" si="281"/>
        <v>278416</v>
      </c>
      <c r="T777" s="248">
        <f t="shared" si="282"/>
        <v>8.4624924012158056E-2</v>
      </c>
      <c r="U777" s="38"/>
      <c r="V777" s="33"/>
    </row>
    <row r="778" spans="2:22" s="33" customFormat="1" ht="15" customHeight="1" x14ac:dyDescent="0.4">
      <c r="B778" s="38" t="s">
        <v>390</v>
      </c>
      <c r="C778" s="6" t="s">
        <v>160</v>
      </c>
      <c r="D778" s="6">
        <f t="shared" si="302"/>
        <v>1</v>
      </c>
      <c r="E778" s="34">
        <v>200</v>
      </c>
      <c r="F778" s="212">
        <v>53800</v>
      </c>
      <c r="G778" s="195">
        <v>44027</v>
      </c>
      <c r="H778" s="8"/>
      <c r="I778" s="212">
        <v>56000</v>
      </c>
      <c r="J778" s="8">
        <v>44028</v>
      </c>
      <c r="K778" s="23">
        <f t="shared" si="303"/>
        <v>390</v>
      </c>
      <c r="L778" s="23">
        <f t="shared" si="304"/>
        <v>400</v>
      </c>
      <c r="M778" s="206">
        <f>Q778*0.0025</f>
        <v>28000</v>
      </c>
      <c r="N778" s="34"/>
      <c r="O778" s="209">
        <f t="shared" si="280"/>
        <v>2</v>
      </c>
      <c r="P778" s="34">
        <f t="shared" si="305"/>
        <v>10760000</v>
      </c>
      <c r="Q778" s="34">
        <f t="shared" si="306"/>
        <v>11200000</v>
      </c>
      <c r="R778" s="7">
        <f t="shared" si="307"/>
        <v>-28790</v>
      </c>
      <c r="S778" s="227">
        <f t="shared" si="281"/>
        <v>411210</v>
      </c>
      <c r="T778" s="249">
        <f t="shared" si="282"/>
        <v>3.8216542750929366E-2</v>
      </c>
    </row>
    <row r="779" spans="2:22" s="33" customFormat="1" ht="15" customHeight="1" x14ac:dyDescent="0.4">
      <c r="B779" s="38" t="s">
        <v>390</v>
      </c>
      <c r="C779" s="6" t="s">
        <v>160</v>
      </c>
      <c r="D779" s="6">
        <f t="shared" si="302"/>
        <v>1</v>
      </c>
      <c r="E779" s="34">
        <v>50</v>
      </c>
      <c r="F779" s="212">
        <v>58700</v>
      </c>
      <c r="G779" s="195">
        <v>44034</v>
      </c>
      <c r="H779" s="8"/>
      <c r="I779" s="212">
        <v>66500</v>
      </c>
      <c r="J779" s="8">
        <v>44054</v>
      </c>
      <c r="K779" s="23">
        <f t="shared" si="303"/>
        <v>100</v>
      </c>
      <c r="L779" s="23">
        <f t="shared" si="304"/>
        <v>120</v>
      </c>
      <c r="M779" s="206">
        <f>Q779*0.0025</f>
        <v>8312.5</v>
      </c>
      <c r="N779" s="34"/>
      <c r="O779" s="209">
        <f t="shared" si="280"/>
        <v>21</v>
      </c>
      <c r="P779" s="34">
        <f t="shared" si="305"/>
        <v>2935000</v>
      </c>
      <c r="Q779" s="34">
        <f t="shared" si="306"/>
        <v>3325000</v>
      </c>
      <c r="R779" s="7">
        <f t="shared" si="307"/>
        <v>-8532.5</v>
      </c>
      <c r="S779" s="227">
        <f t="shared" si="281"/>
        <v>381467.5</v>
      </c>
      <c r="T779" s="249">
        <f t="shared" si="282"/>
        <v>0.12997189097103917</v>
      </c>
    </row>
    <row r="780" spans="2:22" s="33" customFormat="1" ht="15" customHeight="1" x14ac:dyDescent="0.4">
      <c r="B780" s="38" t="s">
        <v>390</v>
      </c>
      <c r="C780" s="6" t="s">
        <v>160</v>
      </c>
      <c r="D780" s="6">
        <f t="shared" si="302"/>
        <v>1</v>
      </c>
      <c r="E780" s="34">
        <v>30</v>
      </c>
      <c r="F780" s="212">
        <v>56600</v>
      </c>
      <c r="G780" s="195">
        <v>44068</v>
      </c>
      <c r="H780" s="8"/>
      <c r="I780" s="212">
        <v>60200</v>
      </c>
      <c r="J780" s="8">
        <v>44070</v>
      </c>
      <c r="K780" s="23">
        <f t="shared" si="303"/>
        <v>60</v>
      </c>
      <c r="L780" s="23">
        <f t="shared" si="304"/>
        <v>60</v>
      </c>
      <c r="M780" s="206">
        <f>Q780*0.0025</f>
        <v>4515</v>
      </c>
      <c r="N780" s="34"/>
      <c r="O780" s="209">
        <f t="shared" si="280"/>
        <v>3</v>
      </c>
      <c r="P780" s="34">
        <f t="shared" si="305"/>
        <v>1698000</v>
      </c>
      <c r="Q780" s="34">
        <f t="shared" si="306"/>
        <v>1806000</v>
      </c>
      <c r="R780" s="7">
        <f t="shared" si="307"/>
        <v>-4635</v>
      </c>
      <c r="S780" s="227">
        <f t="shared" si="281"/>
        <v>103365</v>
      </c>
      <c r="T780" s="249">
        <f t="shared" si="282"/>
        <v>6.0874558303886925E-2</v>
      </c>
    </row>
    <row r="781" spans="2:22" s="33" customFormat="1" ht="15" customHeight="1" x14ac:dyDescent="0.4">
      <c r="B781" s="38" t="s">
        <v>391</v>
      </c>
      <c r="C781" s="6" t="s">
        <v>165</v>
      </c>
      <c r="D781" s="6">
        <f t="shared" si="302"/>
        <v>1</v>
      </c>
      <c r="E781" s="34">
        <v>1</v>
      </c>
      <c r="F781" s="212">
        <v>663</v>
      </c>
      <c r="G781" s="195">
        <v>45656</v>
      </c>
      <c r="H781" s="8"/>
      <c r="I781" s="212">
        <v>1650</v>
      </c>
      <c r="J781" s="8">
        <v>45973</v>
      </c>
      <c r="K781" s="23">
        <f t="shared" si="303"/>
        <v>0</v>
      </c>
      <c r="L781" s="23">
        <f t="shared" si="304"/>
        <v>0.24749999999999997</v>
      </c>
      <c r="M781" s="206">
        <f t="shared" ref="M781:M804" si="308">Q781*0.0015</f>
        <v>2.4750000000000001</v>
      </c>
      <c r="N781" s="34"/>
      <c r="O781" s="209">
        <f t="shared" si="280"/>
        <v>318</v>
      </c>
      <c r="P781" s="34">
        <f t="shared" si="305"/>
        <v>663</v>
      </c>
      <c r="Q781" s="34">
        <f t="shared" si="306"/>
        <v>1650</v>
      </c>
      <c r="R781" s="7">
        <f t="shared" si="307"/>
        <v>-2.7225000000000001</v>
      </c>
      <c r="S781" s="227">
        <f t="shared" si="281"/>
        <v>984.27750000000003</v>
      </c>
      <c r="T781" s="249">
        <f t="shared" si="282"/>
        <v>1.4845814479638009</v>
      </c>
    </row>
    <row r="782" spans="2:22" s="33" customFormat="1" ht="15" customHeight="1" x14ac:dyDescent="0.4">
      <c r="B782" s="38" t="s">
        <v>391</v>
      </c>
      <c r="C782" s="6" t="s">
        <v>165</v>
      </c>
      <c r="D782" s="6">
        <f t="shared" si="302"/>
        <v>1</v>
      </c>
      <c r="E782" s="34">
        <v>1</v>
      </c>
      <c r="F782" s="212">
        <v>669</v>
      </c>
      <c r="G782" s="195">
        <v>45659</v>
      </c>
      <c r="H782" s="8"/>
      <c r="I782" s="212">
        <v>1650</v>
      </c>
      <c r="J782" s="8">
        <v>45973</v>
      </c>
      <c r="K782" s="23">
        <f t="shared" si="303"/>
        <v>0</v>
      </c>
      <c r="L782" s="23">
        <f t="shared" si="304"/>
        <v>0.24749999999999997</v>
      </c>
      <c r="M782" s="206">
        <f t="shared" si="308"/>
        <v>2.4750000000000001</v>
      </c>
      <c r="N782" s="34"/>
      <c r="O782" s="209">
        <f t="shared" si="280"/>
        <v>315</v>
      </c>
      <c r="P782" s="34">
        <f t="shared" si="305"/>
        <v>669</v>
      </c>
      <c r="Q782" s="34">
        <f t="shared" si="306"/>
        <v>1650</v>
      </c>
      <c r="R782" s="7">
        <f t="shared" si="307"/>
        <v>-2.7225000000000001</v>
      </c>
      <c r="S782" s="227">
        <f t="shared" si="281"/>
        <v>978.27750000000003</v>
      </c>
      <c r="T782" s="249">
        <f t="shared" si="282"/>
        <v>1.462298206278027</v>
      </c>
    </row>
    <row r="783" spans="2:22" s="33" customFormat="1" ht="15" customHeight="1" x14ac:dyDescent="0.4">
      <c r="B783" s="38" t="s">
        <v>391</v>
      </c>
      <c r="C783" s="6" t="s">
        <v>165</v>
      </c>
      <c r="D783" s="6">
        <f t="shared" si="302"/>
        <v>1</v>
      </c>
      <c r="E783" s="34">
        <v>1</v>
      </c>
      <c r="F783" s="212">
        <v>676</v>
      </c>
      <c r="G783" s="195">
        <v>45664</v>
      </c>
      <c r="H783" s="8"/>
      <c r="I783" s="212">
        <v>1650</v>
      </c>
      <c r="J783" s="8">
        <v>45973</v>
      </c>
      <c r="K783" s="23">
        <f t="shared" si="303"/>
        <v>0</v>
      </c>
      <c r="L783" s="23">
        <f t="shared" si="304"/>
        <v>0.24749999999999997</v>
      </c>
      <c r="M783" s="206">
        <f t="shared" si="308"/>
        <v>2.4750000000000001</v>
      </c>
      <c r="N783" s="34"/>
      <c r="O783" s="209">
        <f t="shared" si="280"/>
        <v>310</v>
      </c>
      <c r="P783" s="34">
        <f t="shared" si="305"/>
        <v>676</v>
      </c>
      <c r="Q783" s="34">
        <f t="shared" si="306"/>
        <v>1650</v>
      </c>
      <c r="R783" s="7">
        <f t="shared" si="307"/>
        <v>-2.7225000000000001</v>
      </c>
      <c r="S783" s="227">
        <f t="shared" si="281"/>
        <v>971.27750000000003</v>
      </c>
      <c r="T783" s="249">
        <f t="shared" si="282"/>
        <v>1.4368010355029586</v>
      </c>
    </row>
    <row r="784" spans="2:22" s="33" customFormat="1" ht="15" customHeight="1" x14ac:dyDescent="0.4">
      <c r="B784" s="38" t="s">
        <v>391</v>
      </c>
      <c r="C784" s="6" t="s">
        <v>165</v>
      </c>
      <c r="D784" s="6">
        <f t="shared" si="302"/>
        <v>1</v>
      </c>
      <c r="E784" s="34">
        <v>1</v>
      </c>
      <c r="F784" s="212">
        <v>652</v>
      </c>
      <c r="G784" s="195">
        <v>45671</v>
      </c>
      <c r="H784" s="8"/>
      <c r="I784" s="212">
        <v>1650</v>
      </c>
      <c r="J784" s="8">
        <v>45973</v>
      </c>
      <c r="K784" s="23">
        <f t="shared" si="303"/>
        <v>0</v>
      </c>
      <c r="L784" s="23">
        <f t="shared" si="304"/>
        <v>0.24749999999999997</v>
      </c>
      <c r="M784" s="206">
        <f t="shared" si="308"/>
        <v>2.4750000000000001</v>
      </c>
      <c r="N784" s="34"/>
      <c r="O784" s="209">
        <f t="shared" si="280"/>
        <v>303</v>
      </c>
      <c r="P784" s="34">
        <f t="shared" si="305"/>
        <v>652</v>
      </c>
      <c r="Q784" s="34">
        <f t="shared" si="306"/>
        <v>1650</v>
      </c>
      <c r="R784" s="7">
        <f t="shared" si="307"/>
        <v>-2.7225000000000001</v>
      </c>
      <c r="S784" s="227">
        <f t="shared" si="281"/>
        <v>995.27750000000003</v>
      </c>
      <c r="T784" s="249">
        <f t="shared" si="282"/>
        <v>1.5264992331288345</v>
      </c>
    </row>
    <row r="785" spans="2:20" s="33" customFormat="1" ht="15" customHeight="1" x14ac:dyDescent="0.4">
      <c r="B785" s="38" t="s">
        <v>391</v>
      </c>
      <c r="C785" s="6" t="s">
        <v>165</v>
      </c>
      <c r="D785" s="6">
        <f t="shared" si="302"/>
        <v>1</v>
      </c>
      <c r="E785" s="34">
        <v>1</v>
      </c>
      <c r="F785" s="212">
        <v>650</v>
      </c>
      <c r="G785" s="195">
        <v>45678</v>
      </c>
      <c r="H785" s="8"/>
      <c r="I785" s="212">
        <v>1650</v>
      </c>
      <c r="J785" s="8">
        <v>45973</v>
      </c>
      <c r="K785" s="23">
        <f t="shared" si="303"/>
        <v>0</v>
      </c>
      <c r="L785" s="23">
        <f t="shared" si="304"/>
        <v>0.24749999999999997</v>
      </c>
      <c r="M785" s="206">
        <f t="shared" si="308"/>
        <v>2.4750000000000001</v>
      </c>
      <c r="N785" s="34"/>
      <c r="O785" s="209">
        <f t="shared" si="280"/>
        <v>296</v>
      </c>
      <c r="P785" s="34">
        <f t="shared" si="305"/>
        <v>650</v>
      </c>
      <c r="Q785" s="34">
        <f t="shared" si="306"/>
        <v>1650</v>
      </c>
      <c r="R785" s="7">
        <f t="shared" si="307"/>
        <v>-2.7225000000000001</v>
      </c>
      <c r="S785" s="227">
        <f t="shared" si="281"/>
        <v>997.27750000000003</v>
      </c>
      <c r="T785" s="249">
        <f t="shared" si="282"/>
        <v>1.534273076923077</v>
      </c>
    </row>
    <row r="786" spans="2:20" s="33" customFormat="1" ht="15" customHeight="1" x14ac:dyDescent="0.4">
      <c r="B786" s="38" t="s">
        <v>391</v>
      </c>
      <c r="C786" s="6" t="s">
        <v>165</v>
      </c>
      <c r="D786" s="6">
        <f t="shared" si="302"/>
        <v>1</v>
      </c>
      <c r="E786" s="34">
        <v>1</v>
      </c>
      <c r="F786" s="212">
        <v>647</v>
      </c>
      <c r="G786" s="195">
        <v>45688</v>
      </c>
      <c r="H786" s="8"/>
      <c r="I786" s="212">
        <v>1650</v>
      </c>
      <c r="J786" s="8">
        <v>45973</v>
      </c>
      <c r="K786" s="23">
        <f t="shared" si="303"/>
        <v>0</v>
      </c>
      <c r="L786" s="23">
        <f t="shared" si="304"/>
        <v>0.24749999999999997</v>
      </c>
      <c r="M786" s="206">
        <f t="shared" si="308"/>
        <v>2.4750000000000001</v>
      </c>
      <c r="N786" s="34"/>
      <c r="O786" s="209">
        <f t="shared" si="280"/>
        <v>286</v>
      </c>
      <c r="P786" s="34">
        <f t="shared" si="305"/>
        <v>647</v>
      </c>
      <c r="Q786" s="34">
        <f t="shared" si="306"/>
        <v>1650</v>
      </c>
      <c r="R786" s="7">
        <f t="shared" si="307"/>
        <v>-2.7225000000000001</v>
      </c>
      <c r="S786" s="227">
        <f t="shared" si="281"/>
        <v>1000.2775</v>
      </c>
      <c r="T786" s="249">
        <f t="shared" si="282"/>
        <v>1.5460239567233385</v>
      </c>
    </row>
    <row r="787" spans="2:20" s="33" customFormat="1" ht="15" customHeight="1" x14ac:dyDescent="0.4">
      <c r="B787" s="38" t="s">
        <v>391</v>
      </c>
      <c r="C787" s="6" t="s">
        <v>165</v>
      </c>
      <c r="D787" s="6">
        <f t="shared" si="302"/>
        <v>1</v>
      </c>
      <c r="E787" s="34">
        <v>1</v>
      </c>
      <c r="F787" s="212">
        <v>629</v>
      </c>
      <c r="G787" s="195">
        <v>45692</v>
      </c>
      <c r="H787" s="8"/>
      <c r="I787" s="212">
        <v>1650</v>
      </c>
      <c r="J787" s="8">
        <v>45973</v>
      </c>
      <c r="K787" s="23">
        <f t="shared" si="303"/>
        <v>0</v>
      </c>
      <c r="L787" s="23">
        <f t="shared" si="304"/>
        <v>0.24749999999999997</v>
      </c>
      <c r="M787" s="206">
        <f t="shared" si="308"/>
        <v>2.4750000000000001</v>
      </c>
      <c r="N787" s="34"/>
      <c r="O787" s="209">
        <f t="shared" si="280"/>
        <v>282</v>
      </c>
      <c r="P787" s="34">
        <f t="shared" si="305"/>
        <v>629</v>
      </c>
      <c r="Q787" s="34">
        <f t="shared" si="306"/>
        <v>1650</v>
      </c>
      <c r="R787" s="7">
        <f t="shared" si="307"/>
        <v>-2.7225000000000001</v>
      </c>
      <c r="S787" s="227">
        <f t="shared" si="281"/>
        <v>1018.2775</v>
      </c>
      <c r="T787" s="249">
        <f t="shared" si="282"/>
        <v>1.6188831478537362</v>
      </c>
    </row>
    <row r="788" spans="2:20" s="33" customFormat="1" ht="15" customHeight="1" x14ac:dyDescent="0.4">
      <c r="B788" s="38" t="s">
        <v>391</v>
      </c>
      <c r="C788" s="6" t="s">
        <v>165</v>
      </c>
      <c r="D788" s="6">
        <f t="shared" si="302"/>
        <v>1</v>
      </c>
      <c r="E788" s="34">
        <v>1</v>
      </c>
      <c r="F788" s="212">
        <v>667</v>
      </c>
      <c r="G788" s="195">
        <v>45699</v>
      </c>
      <c r="H788" s="8"/>
      <c r="I788" s="212">
        <v>1650</v>
      </c>
      <c r="J788" s="8">
        <v>45973</v>
      </c>
      <c r="K788" s="23">
        <f t="shared" si="303"/>
        <v>0</v>
      </c>
      <c r="L788" s="23">
        <f t="shared" si="304"/>
        <v>0.24749999999999997</v>
      </c>
      <c r="M788" s="206">
        <f t="shared" si="308"/>
        <v>2.4750000000000001</v>
      </c>
      <c r="N788" s="34"/>
      <c r="O788" s="209">
        <f t="shared" si="280"/>
        <v>275</v>
      </c>
      <c r="P788" s="34">
        <f t="shared" si="305"/>
        <v>667</v>
      </c>
      <c r="Q788" s="34">
        <f t="shared" si="306"/>
        <v>1650</v>
      </c>
      <c r="R788" s="7">
        <f t="shared" si="307"/>
        <v>-2.7225000000000001</v>
      </c>
      <c r="S788" s="227">
        <f t="shared" si="281"/>
        <v>980.27750000000003</v>
      </c>
      <c r="T788" s="249">
        <f t="shared" si="282"/>
        <v>1.4696814092953523</v>
      </c>
    </row>
    <row r="789" spans="2:20" s="33" customFormat="1" ht="15" customHeight="1" x14ac:dyDescent="0.4">
      <c r="B789" s="38" t="s">
        <v>391</v>
      </c>
      <c r="C789" s="6" t="s">
        <v>165</v>
      </c>
      <c r="D789" s="6">
        <f t="shared" si="302"/>
        <v>1</v>
      </c>
      <c r="E789" s="34">
        <v>1</v>
      </c>
      <c r="F789" s="212">
        <v>690</v>
      </c>
      <c r="G789" s="195">
        <v>45706</v>
      </c>
      <c r="H789" s="8"/>
      <c r="I789" s="212">
        <v>1650</v>
      </c>
      <c r="J789" s="8">
        <v>45973</v>
      </c>
      <c r="K789" s="23">
        <f t="shared" si="303"/>
        <v>0</v>
      </c>
      <c r="L789" s="23">
        <f t="shared" si="304"/>
        <v>0.24749999999999997</v>
      </c>
      <c r="M789" s="206">
        <f t="shared" si="308"/>
        <v>2.4750000000000001</v>
      </c>
      <c r="N789" s="34"/>
      <c r="O789" s="209">
        <f t="shared" si="280"/>
        <v>268</v>
      </c>
      <c r="P789" s="34">
        <f t="shared" si="305"/>
        <v>690</v>
      </c>
      <c r="Q789" s="34">
        <f t="shared" si="306"/>
        <v>1650</v>
      </c>
      <c r="R789" s="7">
        <f t="shared" si="307"/>
        <v>-2.7225000000000001</v>
      </c>
      <c r="S789" s="227">
        <f t="shared" si="281"/>
        <v>957.27750000000003</v>
      </c>
      <c r="T789" s="249">
        <f t="shared" si="282"/>
        <v>1.387358695652174</v>
      </c>
    </row>
    <row r="790" spans="2:20" s="33" customFormat="1" ht="15" customHeight="1" x14ac:dyDescent="0.4">
      <c r="B790" s="38" t="s">
        <v>391</v>
      </c>
      <c r="C790" s="6" t="s">
        <v>165</v>
      </c>
      <c r="D790" s="6">
        <f t="shared" si="302"/>
        <v>1</v>
      </c>
      <c r="E790" s="34">
        <v>1</v>
      </c>
      <c r="F790" s="212">
        <v>712</v>
      </c>
      <c r="G790" s="195">
        <v>45713</v>
      </c>
      <c r="H790" s="8"/>
      <c r="I790" s="212">
        <v>1650</v>
      </c>
      <c r="J790" s="8">
        <v>45973</v>
      </c>
      <c r="K790" s="23">
        <f t="shared" si="303"/>
        <v>0</v>
      </c>
      <c r="L790" s="23">
        <f t="shared" si="304"/>
        <v>0.24749999999999997</v>
      </c>
      <c r="M790" s="206">
        <f t="shared" si="308"/>
        <v>2.4750000000000001</v>
      </c>
      <c r="N790" s="34"/>
      <c r="O790" s="209">
        <f t="shared" si="280"/>
        <v>261</v>
      </c>
      <c r="P790" s="34">
        <f t="shared" si="305"/>
        <v>712</v>
      </c>
      <c r="Q790" s="34">
        <f t="shared" si="306"/>
        <v>1650</v>
      </c>
      <c r="R790" s="7">
        <f t="shared" si="307"/>
        <v>-2.7225000000000001</v>
      </c>
      <c r="S790" s="227">
        <f t="shared" si="281"/>
        <v>935.27750000000003</v>
      </c>
      <c r="T790" s="249">
        <f t="shared" si="282"/>
        <v>1.3135919943820225</v>
      </c>
    </row>
    <row r="791" spans="2:20" s="33" customFormat="1" ht="15" customHeight="1" x14ac:dyDescent="0.4">
      <c r="B791" s="38" t="s">
        <v>391</v>
      </c>
      <c r="C791" s="6" t="s">
        <v>165</v>
      </c>
      <c r="D791" s="6">
        <f t="shared" si="302"/>
        <v>1</v>
      </c>
      <c r="E791" s="34">
        <v>1</v>
      </c>
      <c r="F791" s="212">
        <v>705</v>
      </c>
      <c r="G791" s="195">
        <v>45720</v>
      </c>
      <c r="H791" s="8"/>
      <c r="I791" s="212">
        <v>1650</v>
      </c>
      <c r="J791" s="8">
        <v>45973</v>
      </c>
      <c r="K791" s="23">
        <f t="shared" si="303"/>
        <v>0</v>
      </c>
      <c r="L791" s="23">
        <f t="shared" si="304"/>
        <v>0.24749999999999997</v>
      </c>
      <c r="M791" s="206">
        <f t="shared" si="308"/>
        <v>2.4750000000000001</v>
      </c>
      <c r="N791" s="34"/>
      <c r="O791" s="209">
        <f t="shared" si="280"/>
        <v>254</v>
      </c>
      <c r="P791" s="34">
        <f t="shared" si="305"/>
        <v>705</v>
      </c>
      <c r="Q791" s="34">
        <f t="shared" si="306"/>
        <v>1650</v>
      </c>
      <c r="R791" s="7">
        <f t="shared" si="307"/>
        <v>-2.7225000000000001</v>
      </c>
      <c r="S791" s="227">
        <f t="shared" si="281"/>
        <v>942.27750000000003</v>
      </c>
      <c r="T791" s="249">
        <f t="shared" si="282"/>
        <v>1.336563829787234</v>
      </c>
    </row>
    <row r="792" spans="2:20" s="33" customFormat="1" ht="15" customHeight="1" x14ac:dyDescent="0.4">
      <c r="B792" s="38" t="s">
        <v>391</v>
      </c>
      <c r="C792" s="6" t="s">
        <v>165</v>
      </c>
      <c r="D792" s="6">
        <f t="shared" si="302"/>
        <v>1</v>
      </c>
      <c r="E792" s="34">
        <v>1</v>
      </c>
      <c r="F792" s="212">
        <v>707</v>
      </c>
      <c r="G792" s="195">
        <v>45727</v>
      </c>
      <c r="H792" s="8"/>
      <c r="I792" s="212">
        <v>1650</v>
      </c>
      <c r="J792" s="8">
        <v>45973</v>
      </c>
      <c r="K792" s="23">
        <f t="shared" si="303"/>
        <v>0</v>
      </c>
      <c r="L792" s="23">
        <f t="shared" si="304"/>
        <v>0.24749999999999997</v>
      </c>
      <c r="M792" s="206">
        <f t="shared" si="308"/>
        <v>2.4750000000000001</v>
      </c>
      <c r="N792" s="34"/>
      <c r="O792" s="209">
        <f t="shared" si="280"/>
        <v>247</v>
      </c>
      <c r="P792" s="34">
        <f t="shared" si="305"/>
        <v>707</v>
      </c>
      <c r="Q792" s="34">
        <f t="shared" si="306"/>
        <v>1650</v>
      </c>
      <c r="R792" s="7">
        <f t="shared" si="307"/>
        <v>-2.7225000000000001</v>
      </c>
      <c r="S792" s="227">
        <f t="shared" si="281"/>
        <v>940.27750000000003</v>
      </c>
      <c r="T792" s="249">
        <f t="shared" si="282"/>
        <v>1.3299540311173974</v>
      </c>
    </row>
    <row r="793" spans="2:20" s="33" customFormat="1" ht="15" customHeight="1" x14ac:dyDescent="0.4">
      <c r="B793" s="38" t="s">
        <v>391</v>
      </c>
      <c r="C793" s="6" t="s">
        <v>165</v>
      </c>
      <c r="D793" s="6">
        <f t="shared" si="302"/>
        <v>1</v>
      </c>
      <c r="E793" s="34">
        <v>1</v>
      </c>
      <c r="F793" s="212">
        <v>703</v>
      </c>
      <c r="G793" s="195">
        <v>45734</v>
      </c>
      <c r="H793" s="8"/>
      <c r="I793" s="212">
        <v>1650</v>
      </c>
      <c r="J793" s="8">
        <v>45973</v>
      </c>
      <c r="K793" s="23">
        <f t="shared" si="303"/>
        <v>0</v>
      </c>
      <c r="L793" s="23">
        <f t="shared" si="304"/>
        <v>0.24749999999999997</v>
      </c>
      <c r="M793" s="206">
        <f t="shared" si="308"/>
        <v>2.4750000000000001</v>
      </c>
      <c r="N793" s="34"/>
      <c r="O793" s="209">
        <f t="shared" si="280"/>
        <v>240</v>
      </c>
      <c r="P793" s="34">
        <f t="shared" si="305"/>
        <v>703</v>
      </c>
      <c r="Q793" s="34">
        <f t="shared" si="306"/>
        <v>1650</v>
      </c>
      <c r="R793" s="7">
        <f t="shared" si="307"/>
        <v>-2.7225000000000001</v>
      </c>
      <c r="S793" s="227">
        <f t="shared" si="281"/>
        <v>944.27750000000003</v>
      </c>
      <c r="T793" s="249">
        <f t="shared" si="282"/>
        <v>1.3432112375533429</v>
      </c>
    </row>
    <row r="794" spans="2:20" s="33" customFormat="1" ht="15" customHeight="1" x14ac:dyDescent="0.4">
      <c r="B794" s="38" t="s">
        <v>391</v>
      </c>
      <c r="C794" s="6" t="s">
        <v>165</v>
      </c>
      <c r="D794" s="6">
        <f t="shared" si="302"/>
        <v>1</v>
      </c>
      <c r="E794" s="34">
        <v>1</v>
      </c>
      <c r="F794" s="212">
        <v>671</v>
      </c>
      <c r="G794" s="195">
        <v>45741</v>
      </c>
      <c r="H794" s="8"/>
      <c r="I794" s="212">
        <v>1650</v>
      </c>
      <c r="J794" s="8">
        <v>45973</v>
      </c>
      <c r="K794" s="23">
        <f t="shared" si="303"/>
        <v>0</v>
      </c>
      <c r="L794" s="23">
        <f t="shared" si="304"/>
        <v>0.24749999999999997</v>
      </c>
      <c r="M794" s="206">
        <f t="shared" si="308"/>
        <v>2.4750000000000001</v>
      </c>
      <c r="N794" s="34"/>
      <c r="O794" s="209">
        <f t="shared" ref="O794:O857" si="309">J794-G794+1</f>
        <v>233</v>
      </c>
      <c r="P794" s="34">
        <f t="shared" si="305"/>
        <v>671</v>
      </c>
      <c r="Q794" s="34">
        <f t="shared" si="306"/>
        <v>1650</v>
      </c>
      <c r="R794" s="7">
        <f t="shared" si="307"/>
        <v>-2.7225000000000001</v>
      </c>
      <c r="S794" s="227">
        <f t="shared" ref="S794:S857" si="310">IF(Q794=0,0,Q794-P794+R794)</f>
        <v>976.27750000000003</v>
      </c>
      <c r="T794" s="249">
        <f t="shared" ref="T794:T857" si="311">S794/P794</f>
        <v>1.4549590163934427</v>
      </c>
    </row>
    <row r="795" spans="2:20" s="33" customFormat="1" ht="15" customHeight="1" x14ac:dyDescent="0.4">
      <c r="B795" s="38" t="s">
        <v>391</v>
      </c>
      <c r="C795" s="6" t="s">
        <v>165</v>
      </c>
      <c r="D795" s="6">
        <f t="shared" si="302"/>
        <v>1</v>
      </c>
      <c r="E795" s="34">
        <v>1</v>
      </c>
      <c r="F795" s="212">
        <v>632</v>
      </c>
      <c r="G795" s="195">
        <v>45748</v>
      </c>
      <c r="H795" s="8"/>
      <c r="I795" s="212">
        <v>1650</v>
      </c>
      <c r="J795" s="8">
        <v>45973</v>
      </c>
      <c r="K795" s="23">
        <f t="shared" si="303"/>
        <v>0</v>
      </c>
      <c r="L795" s="23">
        <f t="shared" si="304"/>
        <v>0.24749999999999997</v>
      </c>
      <c r="M795" s="206">
        <f t="shared" si="308"/>
        <v>2.4750000000000001</v>
      </c>
      <c r="N795" s="34"/>
      <c r="O795" s="209">
        <f t="shared" si="309"/>
        <v>226</v>
      </c>
      <c r="P795" s="34">
        <f t="shared" si="305"/>
        <v>632</v>
      </c>
      <c r="Q795" s="34">
        <f t="shared" si="306"/>
        <v>1650</v>
      </c>
      <c r="R795" s="7">
        <f t="shared" si="307"/>
        <v>-2.7225000000000001</v>
      </c>
      <c r="S795" s="227">
        <f t="shared" si="310"/>
        <v>1015.2775</v>
      </c>
      <c r="T795" s="249">
        <f t="shared" si="311"/>
        <v>1.6064517405063292</v>
      </c>
    </row>
    <row r="796" spans="2:20" s="33" customFormat="1" ht="15" customHeight="1" x14ac:dyDescent="0.4">
      <c r="B796" s="38" t="s">
        <v>391</v>
      </c>
      <c r="C796" s="6" t="s">
        <v>165</v>
      </c>
      <c r="D796" s="6">
        <f t="shared" si="302"/>
        <v>1</v>
      </c>
      <c r="E796" s="34">
        <v>1</v>
      </c>
      <c r="F796" s="212">
        <v>661</v>
      </c>
      <c r="G796" s="195">
        <v>45755</v>
      </c>
      <c r="H796" s="8"/>
      <c r="I796" s="212">
        <v>1650</v>
      </c>
      <c r="J796" s="8">
        <v>45973</v>
      </c>
      <c r="K796" s="23">
        <f t="shared" si="303"/>
        <v>0</v>
      </c>
      <c r="L796" s="23">
        <f t="shared" si="304"/>
        <v>0.24749999999999997</v>
      </c>
      <c r="M796" s="206">
        <f t="shared" si="308"/>
        <v>2.4750000000000001</v>
      </c>
      <c r="N796" s="34"/>
      <c r="O796" s="209">
        <f t="shared" si="309"/>
        <v>219</v>
      </c>
      <c r="P796" s="34">
        <f t="shared" si="305"/>
        <v>661</v>
      </c>
      <c r="Q796" s="34">
        <f t="shared" si="306"/>
        <v>1650</v>
      </c>
      <c r="R796" s="7">
        <f t="shared" si="307"/>
        <v>-2.7225000000000001</v>
      </c>
      <c r="S796" s="227">
        <f t="shared" si="310"/>
        <v>986.27750000000003</v>
      </c>
      <c r="T796" s="249">
        <f t="shared" si="311"/>
        <v>1.4920990922844175</v>
      </c>
    </row>
    <row r="797" spans="2:20" s="33" customFormat="1" ht="15" customHeight="1" x14ac:dyDescent="0.4">
      <c r="B797" s="38" t="s">
        <v>391</v>
      </c>
      <c r="C797" s="6" t="s">
        <v>165</v>
      </c>
      <c r="D797" s="6">
        <f t="shared" si="302"/>
        <v>1</v>
      </c>
      <c r="E797" s="34">
        <v>1</v>
      </c>
      <c r="F797" s="212">
        <v>727</v>
      </c>
      <c r="G797" s="195">
        <v>45762</v>
      </c>
      <c r="H797" s="8"/>
      <c r="I797" s="212">
        <v>1650</v>
      </c>
      <c r="J797" s="8">
        <v>45973</v>
      </c>
      <c r="K797" s="23">
        <f t="shared" si="303"/>
        <v>0</v>
      </c>
      <c r="L797" s="23">
        <f t="shared" si="304"/>
        <v>0.24749999999999997</v>
      </c>
      <c r="M797" s="206">
        <f t="shared" si="308"/>
        <v>2.4750000000000001</v>
      </c>
      <c r="N797" s="34"/>
      <c r="O797" s="209">
        <f t="shared" si="309"/>
        <v>212</v>
      </c>
      <c r="P797" s="34">
        <f t="shared" si="305"/>
        <v>727</v>
      </c>
      <c r="Q797" s="34">
        <f t="shared" si="306"/>
        <v>1650</v>
      </c>
      <c r="R797" s="7">
        <f t="shared" si="307"/>
        <v>-2.7225000000000001</v>
      </c>
      <c r="S797" s="227">
        <f t="shared" si="310"/>
        <v>920.27750000000003</v>
      </c>
      <c r="T797" s="249">
        <f t="shared" si="311"/>
        <v>1.2658562585969739</v>
      </c>
    </row>
    <row r="798" spans="2:20" s="33" customFormat="1" ht="15" customHeight="1" x14ac:dyDescent="0.4">
      <c r="B798" s="38" t="s">
        <v>391</v>
      </c>
      <c r="C798" s="6" t="s">
        <v>165</v>
      </c>
      <c r="D798" s="6">
        <f t="shared" si="302"/>
        <v>1</v>
      </c>
      <c r="E798" s="34">
        <v>1</v>
      </c>
      <c r="F798" s="212">
        <v>911</v>
      </c>
      <c r="G798" s="195">
        <v>45769</v>
      </c>
      <c r="H798" s="8"/>
      <c r="I798" s="212">
        <v>1650</v>
      </c>
      <c r="J798" s="8">
        <v>45973</v>
      </c>
      <c r="K798" s="23">
        <f t="shared" si="303"/>
        <v>0</v>
      </c>
      <c r="L798" s="23">
        <f t="shared" si="304"/>
        <v>0.24749999999999997</v>
      </c>
      <c r="M798" s="206">
        <f t="shared" si="308"/>
        <v>2.4750000000000001</v>
      </c>
      <c r="N798" s="34"/>
      <c r="O798" s="209">
        <f t="shared" si="309"/>
        <v>205</v>
      </c>
      <c r="P798" s="34">
        <f t="shared" si="305"/>
        <v>911</v>
      </c>
      <c r="Q798" s="34">
        <f t="shared" si="306"/>
        <v>1650</v>
      </c>
      <c r="R798" s="7">
        <f t="shared" si="307"/>
        <v>-2.7225000000000001</v>
      </c>
      <c r="S798" s="227">
        <f t="shared" si="310"/>
        <v>736.27750000000003</v>
      </c>
      <c r="T798" s="249">
        <f t="shared" si="311"/>
        <v>0.80820801317233815</v>
      </c>
    </row>
    <row r="799" spans="2:20" s="33" customFormat="1" ht="15" customHeight="1" x14ac:dyDescent="0.4">
      <c r="B799" s="38" t="s">
        <v>391</v>
      </c>
      <c r="C799" s="6" t="s">
        <v>165</v>
      </c>
      <c r="D799" s="6">
        <f t="shared" si="302"/>
        <v>1</v>
      </c>
      <c r="E799" s="34">
        <v>1</v>
      </c>
      <c r="F799" s="212">
        <v>847</v>
      </c>
      <c r="G799" s="195">
        <v>45776</v>
      </c>
      <c r="H799" s="8"/>
      <c r="I799" s="212">
        <v>1650</v>
      </c>
      <c r="J799" s="8">
        <v>45973</v>
      </c>
      <c r="K799" s="23">
        <f t="shared" si="303"/>
        <v>0</v>
      </c>
      <c r="L799" s="23">
        <f t="shared" si="304"/>
        <v>0.24749999999999997</v>
      </c>
      <c r="M799" s="206">
        <f t="shared" si="308"/>
        <v>2.4750000000000001</v>
      </c>
      <c r="N799" s="34"/>
      <c r="O799" s="209">
        <f t="shared" si="309"/>
        <v>198</v>
      </c>
      <c r="P799" s="34">
        <f t="shared" si="305"/>
        <v>847</v>
      </c>
      <c r="Q799" s="34">
        <f t="shared" si="306"/>
        <v>1650</v>
      </c>
      <c r="R799" s="7">
        <f t="shared" si="307"/>
        <v>-2.7225000000000001</v>
      </c>
      <c r="S799" s="227">
        <f t="shared" si="310"/>
        <v>800.27750000000003</v>
      </c>
      <c r="T799" s="249">
        <f t="shared" si="311"/>
        <v>0.94483766233766242</v>
      </c>
    </row>
    <row r="800" spans="2:20" s="33" customFormat="1" ht="15" customHeight="1" x14ac:dyDescent="0.4">
      <c r="B800" s="38" t="s">
        <v>391</v>
      </c>
      <c r="C800" s="6" t="s">
        <v>165</v>
      </c>
      <c r="D800" s="6">
        <f t="shared" si="302"/>
        <v>1</v>
      </c>
      <c r="E800" s="34">
        <v>1</v>
      </c>
      <c r="F800" s="212">
        <v>858</v>
      </c>
      <c r="G800" s="195">
        <v>45784</v>
      </c>
      <c r="H800" s="8"/>
      <c r="I800" s="212">
        <v>1650</v>
      </c>
      <c r="J800" s="8">
        <v>45973</v>
      </c>
      <c r="K800" s="23">
        <f t="shared" si="303"/>
        <v>0</v>
      </c>
      <c r="L800" s="23">
        <f t="shared" si="304"/>
        <v>0.24749999999999997</v>
      </c>
      <c r="M800" s="206">
        <f t="shared" si="308"/>
        <v>2.4750000000000001</v>
      </c>
      <c r="N800" s="34"/>
      <c r="O800" s="209">
        <f t="shared" si="309"/>
        <v>190</v>
      </c>
      <c r="P800" s="34">
        <f t="shared" si="305"/>
        <v>858</v>
      </c>
      <c r="Q800" s="34">
        <f t="shared" si="306"/>
        <v>1650</v>
      </c>
      <c r="R800" s="7">
        <f t="shared" si="307"/>
        <v>-2.7225000000000001</v>
      </c>
      <c r="S800" s="227">
        <f t="shared" si="310"/>
        <v>789.27750000000003</v>
      </c>
      <c r="T800" s="249">
        <f t="shared" si="311"/>
        <v>0.91990384615384624</v>
      </c>
    </row>
    <row r="801" spans="2:22" s="33" customFormat="1" ht="15" customHeight="1" x14ac:dyDescent="0.4">
      <c r="B801" s="38" t="s">
        <v>391</v>
      </c>
      <c r="C801" s="6" t="s">
        <v>165</v>
      </c>
      <c r="D801" s="6">
        <f t="shared" si="302"/>
        <v>1</v>
      </c>
      <c r="E801" s="34">
        <v>1</v>
      </c>
      <c r="F801" s="212">
        <v>915</v>
      </c>
      <c r="G801" s="195">
        <v>45790</v>
      </c>
      <c r="H801" s="8"/>
      <c r="I801" s="212">
        <v>1650</v>
      </c>
      <c r="J801" s="8">
        <v>45973</v>
      </c>
      <c r="K801" s="23">
        <f t="shared" si="303"/>
        <v>0</v>
      </c>
      <c r="L801" s="23">
        <f t="shared" si="304"/>
        <v>0.24749999999999997</v>
      </c>
      <c r="M801" s="206">
        <f t="shared" si="308"/>
        <v>2.4750000000000001</v>
      </c>
      <c r="N801" s="34"/>
      <c r="O801" s="209">
        <f t="shared" si="309"/>
        <v>184</v>
      </c>
      <c r="P801" s="34">
        <f t="shared" si="305"/>
        <v>915</v>
      </c>
      <c r="Q801" s="34">
        <f t="shared" si="306"/>
        <v>1650</v>
      </c>
      <c r="R801" s="7">
        <f t="shared" si="307"/>
        <v>-2.7225000000000001</v>
      </c>
      <c r="S801" s="227">
        <f t="shared" si="310"/>
        <v>732.27750000000003</v>
      </c>
      <c r="T801" s="249">
        <f t="shared" si="311"/>
        <v>0.80030327868852458</v>
      </c>
    </row>
    <row r="802" spans="2:22" s="33" customFormat="1" ht="15" customHeight="1" x14ac:dyDescent="0.4">
      <c r="B802" s="38" t="s">
        <v>391</v>
      </c>
      <c r="C802" s="6" t="s">
        <v>165</v>
      </c>
      <c r="D802" s="6">
        <f t="shared" si="302"/>
        <v>1</v>
      </c>
      <c r="E802" s="34">
        <v>1</v>
      </c>
      <c r="F802" s="212">
        <v>888</v>
      </c>
      <c r="G802" s="195">
        <v>45797</v>
      </c>
      <c r="H802" s="8"/>
      <c r="I802" s="212">
        <v>1650</v>
      </c>
      <c r="J802" s="8">
        <v>45973</v>
      </c>
      <c r="K802" s="23">
        <f t="shared" si="303"/>
        <v>0</v>
      </c>
      <c r="L802" s="23">
        <f t="shared" si="304"/>
        <v>0.24749999999999997</v>
      </c>
      <c r="M802" s="206">
        <f t="shared" si="308"/>
        <v>2.4750000000000001</v>
      </c>
      <c r="N802" s="34"/>
      <c r="O802" s="209">
        <f t="shared" si="309"/>
        <v>177</v>
      </c>
      <c r="P802" s="34">
        <f t="shared" si="305"/>
        <v>888</v>
      </c>
      <c r="Q802" s="34">
        <f t="shared" si="306"/>
        <v>1650</v>
      </c>
      <c r="R802" s="7">
        <f t="shared" si="307"/>
        <v>-2.7225000000000001</v>
      </c>
      <c r="S802" s="227">
        <f t="shared" si="310"/>
        <v>759.27750000000003</v>
      </c>
      <c r="T802" s="249">
        <f t="shared" si="311"/>
        <v>0.85504222972972976</v>
      </c>
    </row>
    <row r="803" spans="2:22" s="33" customFormat="1" ht="15" customHeight="1" x14ac:dyDescent="0.4">
      <c r="B803" s="38" t="s">
        <v>391</v>
      </c>
      <c r="C803" s="6" t="s">
        <v>165</v>
      </c>
      <c r="D803" s="6">
        <f t="shared" si="302"/>
        <v>1</v>
      </c>
      <c r="E803" s="34">
        <v>1</v>
      </c>
      <c r="F803" s="212">
        <v>857</v>
      </c>
      <c r="G803" s="195">
        <v>45804</v>
      </c>
      <c r="H803" s="8"/>
      <c r="I803" s="212">
        <v>1650</v>
      </c>
      <c r="J803" s="8">
        <v>45973</v>
      </c>
      <c r="K803" s="23">
        <f t="shared" si="303"/>
        <v>0</v>
      </c>
      <c r="L803" s="23">
        <f t="shared" si="304"/>
        <v>0.24749999999999997</v>
      </c>
      <c r="M803" s="206">
        <f t="shared" si="308"/>
        <v>2.4750000000000001</v>
      </c>
      <c r="N803" s="34"/>
      <c r="O803" s="209">
        <f t="shared" si="309"/>
        <v>170</v>
      </c>
      <c r="P803" s="34">
        <f t="shared" si="305"/>
        <v>857</v>
      </c>
      <c r="Q803" s="34">
        <f t="shared" si="306"/>
        <v>1650</v>
      </c>
      <c r="R803" s="7">
        <f t="shared" si="307"/>
        <v>-2.7225000000000001</v>
      </c>
      <c r="S803" s="227">
        <f t="shared" si="310"/>
        <v>790.27750000000003</v>
      </c>
      <c r="T803" s="249">
        <f t="shared" si="311"/>
        <v>0.92214410735122521</v>
      </c>
    </row>
    <row r="804" spans="2:22" s="33" customFormat="1" ht="15" customHeight="1" x14ac:dyDescent="0.4">
      <c r="B804" s="38" t="s">
        <v>391</v>
      </c>
      <c r="C804" s="6" t="s">
        <v>165</v>
      </c>
      <c r="D804" s="6">
        <f t="shared" si="302"/>
        <v>1</v>
      </c>
      <c r="E804" s="34">
        <v>1</v>
      </c>
      <c r="F804" s="212">
        <v>863</v>
      </c>
      <c r="G804" s="195">
        <v>45812</v>
      </c>
      <c r="H804" s="8"/>
      <c r="I804" s="212">
        <v>1650</v>
      </c>
      <c r="J804" s="8">
        <v>45973</v>
      </c>
      <c r="K804" s="23">
        <f t="shared" si="303"/>
        <v>0</v>
      </c>
      <c r="L804" s="23">
        <f t="shared" si="304"/>
        <v>0.24749999999999997</v>
      </c>
      <c r="M804" s="206">
        <f t="shared" si="308"/>
        <v>2.4750000000000001</v>
      </c>
      <c r="N804" s="34"/>
      <c r="O804" s="209">
        <f t="shared" si="309"/>
        <v>162</v>
      </c>
      <c r="P804" s="34">
        <f t="shared" si="305"/>
        <v>863</v>
      </c>
      <c r="Q804" s="34">
        <f t="shared" si="306"/>
        <v>1650</v>
      </c>
      <c r="R804" s="7">
        <f t="shared" si="307"/>
        <v>-2.7225000000000001</v>
      </c>
      <c r="S804" s="227">
        <f t="shared" si="310"/>
        <v>784.27750000000003</v>
      </c>
      <c r="T804" s="249">
        <f t="shared" si="311"/>
        <v>0.90878041714947855</v>
      </c>
    </row>
    <row r="805" spans="2:22" s="33" customFormat="1" ht="15" customHeight="1" x14ac:dyDescent="0.4">
      <c r="B805" s="38" t="s">
        <v>391</v>
      </c>
      <c r="C805" s="6" t="s">
        <v>162</v>
      </c>
      <c r="D805" s="6"/>
      <c r="E805" s="36">
        <v>300</v>
      </c>
      <c r="F805" s="212">
        <v>3755</v>
      </c>
      <c r="G805" s="195">
        <v>43211</v>
      </c>
      <c r="H805" s="8"/>
      <c r="I805" s="212">
        <v>1275</v>
      </c>
      <c r="J805" s="8">
        <v>43630</v>
      </c>
      <c r="K805" s="7">
        <f>ROUNDDOWN(E805*F805*0.0015,-1)</f>
        <v>1680</v>
      </c>
      <c r="L805" s="7">
        <f>ROUNDDOWN(I805*E805*0.0015,-1)</f>
        <v>570</v>
      </c>
      <c r="M805" s="196">
        <f>ROUNDDOWN(I805*E805*0.0025, )</f>
        <v>956</v>
      </c>
      <c r="N805" s="36"/>
      <c r="O805" s="191">
        <f t="shared" si="309"/>
        <v>420</v>
      </c>
      <c r="P805" s="36">
        <f>F805*E805</f>
        <v>1126500</v>
      </c>
      <c r="Q805" s="36">
        <f>I805*E805</f>
        <v>382500</v>
      </c>
      <c r="R805" s="7">
        <f>N805-K805-L805-M805</f>
        <v>-3206</v>
      </c>
      <c r="S805" s="227">
        <f t="shared" si="310"/>
        <v>-747206</v>
      </c>
      <c r="T805" s="248">
        <f t="shared" si="311"/>
        <v>-0.66329871282734132</v>
      </c>
      <c r="U805" s="9">
        <f>T805*365/O805</f>
        <v>-0.57643816709995133</v>
      </c>
      <c r="V805" s="6"/>
    </row>
    <row r="806" spans="2:22" s="33" customFormat="1" ht="15" customHeight="1" x14ac:dyDescent="0.4">
      <c r="B806" s="38" t="s">
        <v>391</v>
      </c>
      <c r="C806" s="6" t="s">
        <v>162</v>
      </c>
      <c r="D806" s="6"/>
      <c r="E806" s="36">
        <v>226</v>
      </c>
      <c r="F806" s="212">
        <v>2890</v>
      </c>
      <c r="G806" s="195">
        <v>43222</v>
      </c>
      <c r="H806" s="8"/>
      <c r="I806" s="212">
        <v>1275</v>
      </c>
      <c r="J806" s="8">
        <v>43630</v>
      </c>
      <c r="K806" s="7">
        <f>ROUNDDOWN(E806*F806*0.0015,-1)</f>
        <v>970</v>
      </c>
      <c r="L806" s="7">
        <f>ROUNDDOWN(I806*E806*0.0015,-1)</f>
        <v>430</v>
      </c>
      <c r="M806" s="196">
        <f>ROUNDDOWN(I806*E806*0.0025, )</f>
        <v>720</v>
      </c>
      <c r="N806" s="36"/>
      <c r="O806" s="191">
        <f t="shared" si="309"/>
        <v>409</v>
      </c>
      <c r="P806" s="36">
        <f>F806*E806</f>
        <v>653140</v>
      </c>
      <c r="Q806" s="36">
        <f>I806*E806</f>
        <v>288150</v>
      </c>
      <c r="R806" s="7">
        <f>N806-K806-L806-M806</f>
        <v>-2120</v>
      </c>
      <c r="S806" s="227">
        <f t="shared" si="310"/>
        <v>-367110</v>
      </c>
      <c r="T806" s="248">
        <f t="shared" si="311"/>
        <v>-0.56206938788008698</v>
      </c>
      <c r="U806" s="9">
        <f>T806*365/O806</f>
        <v>-0.50160226546755926</v>
      </c>
      <c r="V806" s="6"/>
    </row>
    <row r="807" spans="2:22" s="33" customFormat="1" ht="15" customHeight="1" x14ac:dyDescent="0.4">
      <c r="B807" s="38" t="s">
        <v>391</v>
      </c>
      <c r="C807" s="6" t="s">
        <v>162</v>
      </c>
      <c r="D807" s="6">
        <v>1</v>
      </c>
      <c r="E807" s="36">
        <v>74</v>
      </c>
      <c r="F807" s="212">
        <v>2890</v>
      </c>
      <c r="G807" s="195">
        <v>43222</v>
      </c>
      <c r="H807" s="8" t="s">
        <v>392</v>
      </c>
      <c r="I807" s="212">
        <v>1650</v>
      </c>
      <c r="J807" s="8">
        <v>45973</v>
      </c>
      <c r="K807" s="7">
        <f>ROUNDDOWN(E807*F807*0.0015,-1)</f>
        <v>320</v>
      </c>
      <c r="L807" s="7">
        <f>ROUNDDOWN(I807*E807*0.0015,-1)</f>
        <v>180</v>
      </c>
      <c r="M807" s="196">
        <f>ROUNDDOWN(I807*E807*0.0025, )</f>
        <v>305</v>
      </c>
      <c r="N807" s="36"/>
      <c r="O807" s="191">
        <f t="shared" si="309"/>
        <v>2752</v>
      </c>
      <c r="P807" s="36">
        <f>F807*E807</f>
        <v>213860</v>
      </c>
      <c r="Q807" s="36">
        <f>I807*E807</f>
        <v>122100</v>
      </c>
      <c r="R807" s="7">
        <f>N807-K807-L807-M807</f>
        <v>-805</v>
      </c>
      <c r="S807" s="227">
        <f t="shared" si="310"/>
        <v>-92565</v>
      </c>
      <c r="T807" s="248">
        <f t="shared" si="311"/>
        <v>-0.43282988871224165</v>
      </c>
      <c r="U807" s="9">
        <f>T807*365/O807</f>
        <v>-5.7406580443302394E-2</v>
      </c>
      <c r="V807" s="6"/>
    </row>
    <row r="808" spans="2:22" s="33" customFormat="1" ht="15" customHeight="1" x14ac:dyDescent="0.4">
      <c r="B808" s="38" t="s">
        <v>391</v>
      </c>
      <c r="C808" s="6" t="s">
        <v>162</v>
      </c>
      <c r="D808" s="6">
        <v>1</v>
      </c>
      <c r="E808" s="36">
        <v>326</v>
      </c>
      <c r="F808" s="212">
        <v>836</v>
      </c>
      <c r="G808" s="195">
        <v>43472</v>
      </c>
      <c r="H808" s="8" t="s">
        <v>392</v>
      </c>
      <c r="I808" s="212">
        <v>1650</v>
      </c>
      <c r="J808" s="8">
        <v>45973</v>
      </c>
      <c r="K808" s="7">
        <f>ROUNDDOWN(E808*F808*0.0015,-1)</f>
        <v>400</v>
      </c>
      <c r="L808" s="7">
        <f>ROUNDDOWN(I808*E808*0.0015,-1)+2000</f>
        <v>2800</v>
      </c>
      <c r="M808" s="196">
        <f>ROUNDDOWN(I808*E808*0.0025, )</f>
        <v>1344</v>
      </c>
      <c r="N808" s="36"/>
      <c r="O808" s="191">
        <f t="shared" si="309"/>
        <v>2502</v>
      </c>
      <c r="P808" s="36">
        <f>F808*E808</f>
        <v>272536</v>
      </c>
      <c r="Q808" s="36">
        <f>I808*E808</f>
        <v>537900</v>
      </c>
      <c r="R808" s="7">
        <f>N808-K808-L808-M808</f>
        <v>-4544</v>
      </c>
      <c r="S808" s="227">
        <f t="shared" si="310"/>
        <v>260820</v>
      </c>
      <c r="T808" s="248">
        <f t="shared" si="311"/>
        <v>0.95701118384360229</v>
      </c>
      <c r="U808" s="9">
        <f>T808*365/O808</f>
        <v>0.1396119432865367</v>
      </c>
      <c r="V808" s="6" t="s">
        <v>248</v>
      </c>
    </row>
    <row r="809" spans="2:22" s="33" customFormat="1" ht="15" customHeight="1" x14ac:dyDescent="0.4">
      <c r="B809" s="38" t="s">
        <v>391</v>
      </c>
      <c r="C809" s="6" t="s">
        <v>165</v>
      </c>
      <c r="D809" s="6">
        <f t="shared" ref="D809:D842" si="312">IF(OR($C809="신한",$C809="OTC",$C809="무상증자(신한)",$C809="토스",$C809="R토스"),1,"확인")</f>
        <v>1</v>
      </c>
      <c r="E809" s="34">
        <v>1</v>
      </c>
      <c r="F809" s="212">
        <v>879</v>
      </c>
      <c r="G809" s="195">
        <v>45818</v>
      </c>
      <c r="H809" s="8"/>
      <c r="I809" s="212">
        <v>1650</v>
      </c>
      <c r="J809" s="8">
        <v>45973</v>
      </c>
      <c r="K809" s="23">
        <f t="shared" ref="K809:K842" si="313">IF($C809="OTC",ROUNDDOWN($E809*$F809*0.000909187,-1),(IF($C809="신한",ROUNDDOWN($E809*$F809*0.000036396,-1),(IF($C809="토스",$E809*$F809*0.00015,(IF($C809="US",(IF($E809*$F809*0.0025&gt;0.01,$E809*$F809*0.0025,0.01)),IF($C809="JP",(IF($E809*$F809*0.0025&gt;1000,$E809*$F809*0.0025,1000)),(IF($C809="R토스",0,IF($C809="무상증자(신한)",0,"")))))))))))</f>
        <v>0</v>
      </c>
      <c r="L809" s="23">
        <f t="shared" ref="L809:L842" si="314">IF($C809="OTC",ROUNDDOWN($I809*$E809*0.000909187,-1),(IF($C809="신한",ROUNDDOWN($I809*$E809*0.000036396,-1),(IF($C809="토스",$I809*$E809*0.00015,(IF($C809="US",(IF($I809*$E809*0.0025&gt;0.01,$I809*$E809*0.0025,0.01)),(IF($C809="JP",(IF($I809*$E809*0.0025&gt;1000,$I809*$E809*0.0025,1000)),(IF($C809="R토스",$I809*$E809*0.00015,(IF($C809="무상증자(신한)",ROUNDDOWN($I809*$E809*0.000036396,-1),"")))))))))))))</f>
        <v>0.24749999999999997</v>
      </c>
      <c r="M809" s="206">
        <f t="shared" ref="M809:M842" si="315">Q809*0.0015</f>
        <v>2.4750000000000001</v>
      </c>
      <c r="N809" s="34"/>
      <c r="O809" s="209">
        <f t="shared" si="309"/>
        <v>156</v>
      </c>
      <c r="P809" s="34">
        <f t="shared" ref="P809:P842" si="316">$E809*$F809*$D809</f>
        <v>879</v>
      </c>
      <c r="Q809" s="34">
        <f t="shared" ref="Q809:Q842" si="317">$E809*$I809*$D809</f>
        <v>1650</v>
      </c>
      <c r="R809" s="7">
        <f t="shared" ref="R809:R842" si="318">($N809-$K809-$L809-$M809)*$D809</f>
        <v>-2.7225000000000001</v>
      </c>
      <c r="S809" s="227">
        <f t="shared" si="310"/>
        <v>768.27750000000003</v>
      </c>
      <c r="T809" s="249">
        <f t="shared" si="311"/>
        <v>0.87403583617747449</v>
      </c>
    </row>
    <row r="810" spans="2:22" s="33" customFormat="1" ht="15" customHeight="1" x14ac:dyDescent="0.4">
      <c r="B810" s="38" t="s">
        <v>391</v>
      </c>
      <c r="C810" s="6" t="s">
        <v>165</v>
      </c>
      <c r="D810" s="6">
        <f t="shared" si="312"/>
        <v>1</v>
      </c>
      <c r="E810" s="34">
        <v>1</v>
      </c>
      <c r="F810" s="212">
        <v>897</v>
      </c>
      <c r="G810" s="195">
        <v>45825</v>
      </c>
      <c r="H810" s="8"/>
      <c r="I810" s="212">
        <v>1650</v>
      </c>
      <c r="J810" s="8">
        <v>45973</v>
      </c>
      <c r="K810" s="23">
        <f t="shared" si="313"/>
        <v>0</v>
      </c>
      <c r="L810" s="23">
        <f t="shared" si="314"/>
        <v>0.24749999999999997</v>
      </c>
      <c r="M810" s="206">
        <f t="shared" si="315"/>
        <v>2.4750000000000001</v>
      </c>
      <c r="N810" s="34"/>
      <c r="O810" s="209">
        <f t="shared" si="309"/>
        <v>149</v>
      </c>
      <c r="P810" s="34">
        <f t="shared" si="316"/>
        <v>897</v>
      </c>
      <c r="Q810" s="34">
        <f t="shared" si="317"/>
        <v>1650</v>
      </c>
      <c r="R810" s="7">
        <f t="shared" si="318"/>
        <v>-2.7225000000000001</v>
      </c>
      <c r="S810" s="227">
        <f t="shared" si="310"/>
        <v>750.27750000000003</v>
      </c>
      <c r="T810" s="249">
        <f t="shared" si="311"/>
        <v>0.8364297658862877</v>
      </c>
    </row>
    <row r="811" spans="2:22" s="33" customFormat="1" ht="15" customHeight="1" x14ac:dyDescent="0.4">
      <c r="B811" s="38" t="s">
        <v>391</v>
      </c>
      <c r="C811" s="6" t="s">
        <v>165</v>
      </c>
      <c r="D811" s="6">
        <f t="shared" si="312"/>
        <v>1</v>
      </c>
      <c r="E811" s="34">
        <v>1</v>
      </c>
      <c r="F811" s="212">
        <v>880</v>
      </c>
      <c r="G811" s="195">
        <v>45832</v>
      </c>
      <c r="H811" s="8"/>
      <c r="I811" s="212">
        <v>1650</v>
      </c>
      <c r="J811" s="8">
        <v>45973</v>
      </c>
      <c r="K811" s="23">
        <f t="shared" si="313"/>
        <v>0</v>
      </c>
      <c r="L811" s="23">
        <f t="shared" si="314"/>
        <v>0.24749999999999997</v>
      </c>
      <c r="M811" s="206">
        <f t="shared" si="315"/>
        <v>2.4750000000000001</v>
      </c>
      <c r="N811" s="34"/>
      <c r="O811" s="209">
        <f t="shared" si="309"/>
        <v>142</v>
      </c>
      <c r="P811" s="34">
        <f t="shared" si="316"/>
        <v>880</v>
      </c>
      <c r="Q811" s="34">
        <f t="shared" si="317"/>
        <v>1650</v>
      </c>
      <c r="R811" s="7">
        <f t="shared" si="318"/>
        <v>-2.7225000000000001</v>
      </c>
      <c r="S811" s="227">
        <f t="shared" si="310"/>
        <v>767.27750000000003</v>
      </c>
      <c r="T811" s="249">
        <f t="shared" si="311"/>
        <v>0.87190624999999999</v>
      </c>
    </row>
    <row r="812" spans="2:22" s="33" customFormat="1" ht="15" customHeight="1" x14ac:dyDescent="0.4">
      <c r="B812" s="38" t="s">
        <v>391</v>
      </c>
      <c r="C812" s="6" t="s">
        <v>165</v>
      </c>
      <c r="D812" s="6">
        <f t="shared" si="312"/>
        <v>1</v>
      </c>
      <c r="E812" s="34">
        <v>1</v>
      </c>
      <c r="F812" s="212">
        <v>860</v>
      </c>
      <c r="G812" s="195">
        <v>45839</v>
      </c>
      <c r="H812" s="8"/>
      <c r="I812" s="212">
        <v>1650</v>
      </c>
      <c r="J812" s="8">
        <v>45973</v>
      </c>
      <c r="K812" s="23">
        <f t="shared" si="313"/>
        <v>0</v>
      </c>
      <c r="L812" s="23">
        <f t="shared" si="314"/>
        <v>0.24749999999999997</v>
      </c>
      <c r="M812" s="206">
        <f t="shared" si="315"/>
        <v>2.4750000000000001</v>
      </c>
      <c r="N812" s="34"/>
      <c r="O812" s="209">
        <f t="shared" si="309"/>
        <v>135</v>
      </c>
      <c r="P812" s="34">
        <f t="shared" si="316"/>
        <v>860</v>
      </c>
      <c r="Q812" s="34">
        <f t="shared" si="317"/>
        <v>1650</v>
      </c>
      <c r="R812" s="7">
        <f t="shared" si="318"/>
        <v>-2.7225000000000001</v>
      </c>
      <c r="S812" s="227">
        <f t="shared" si="310"/>
        <v>787.27750000000003</v>
      </c>
      <c r="T812" s="249">
        <f t="shared" si="311"/>
        <v>0.91543895348837212</v>
      </c>
    </row>
    <row r="813" spans="2:22" s="33" customFormat="1" ht="15" customHeight="1" x14ac:dyDescent="0.4">
      <c r="B813" s="38" t="s">
        <v>391</v>
      </c>
      <c r="C813" s="6" t="s">
        <v>165</v>
      </c>
      <c r="D813" s="6">
        <f t="shared" si="312"/>
        <v>1</v>
      </c>
      <c r="E813" s="34">
        <v>1</v>
      </c>
      <c r="F813" s="212">
        <v>850</v>
      </c>
      <c r="G813" s="195">
        <v>45846</v>
      </c>
      <c r="H813" s="8"/>
      <c r="I813" s="212">
        <v>1650</v>
      </c>
      <c r="J813" s="8">
        <v>45973</v>
      </c>
      <c r="K813" s="23">
        <f t="shared" si="313"/>
        <v>0</v>
      </c>
      <c r="L813" s="23">
        <f t="shared" si="314"/>
        <v>0.24749999999999997</v>
      </c>
      <c r="M813" s="206">
        <f t="shared" si="315"/>
        <v>2.4750000000000001</v>
      </c>
      <c r="N813" s="34"/>
      <c r="O813" s="209">
        <f t="shared" si="309"/>
        <v>128</v>
      </c>
      <c r="P813" s="34">
        <f t="shared" si="316"/>
        <v>850</v>
      </c>
      <c r="Q813" s="34">
        <f t="shared" si="317"/>
        <v>1650</v>
      </c>
      <c r="R813" s="7">
        <f t="shared" si="318"/>
        <v>-2.7225000000000001</v>
      </c>
      <c r="S813" s="227">
        <f t="shared" si="310"/>
        <v>797.27750000000003</v>
      </c>
      <c r="T813" s="249">
        <f t="shared" si="311"/>
        <v>0.93797352941176471</v>
      </c>
    </row>
    <row r="814" spans="2:22" s="33" customFormat="1" ht="15" customHeight="1" x14ac:dyDescent="0.4">
      <c r="B814" s="38" t="s">
        <v>391</v>
      </c>
      <c r="C814" s="6" t="s">
        <v>165</v>
      </c>
      <c r="D814" s="6">
        <f t="shared" si="312"/>
        <v>1</v>
      </c>
      <c r="E814" s="34">
        <v>1</v>
      </c>
      <c r="F814" s="212">
        <v>791</v>
      </c>
      <c r="G814" s="195">
        <v>45853</v>
      </c>
      <c r="H814" s="8"/>
      <c r="I814" s="212">
        <v>1650</v>
      </c>
      <c r="J814" s="8">
        <v>45973</v>
      </c>
      <c r="K814" s="23">
        <f t="shared" si="313"/>
        <v>0</v>
      </c>
      <c r="L814" s="23">
        <f t="shared" si="314"/>
        <v>0.24749999999999997</v>
      </c>
      <c r="M814" s="206">
        <f t="shared" si="315"/>
        <v>2.4750000000000001</v>
      </c>
      <c r="N814" s="34"/>
      <c r="O814" s="209">
        <f t="shared" si="309"/>
        <v>121</v>
      </c>
      <c r="P814" s="34">
        <f t="shared" si="316"/>
        <v>791</v>
      </c>
      <c r="Q814" s="34">
        <f t="shared" si="317"/>
        <v>1650</v>
      </c>
      <c r="R814" s="7">
        <f t="shared" si="318"/>
        <v>-2.7225000000000001</v>
      </c>
      <c r="S814" s="227">
        <f t="shared" si="310"/>
        <v>856.27750000000003</v>
      </c>
      <c r="T814" s="249">
        <f t="shared" si="311"/>
        <v>1.0825252844500632</v>
      </c>
    </row>
    <row r="815" spans="2:22" s="33" customFormat="1" ht="15" customHeight="1" x14ac:dyDescent="0.4">
      <c r="B815" s="38" t="s">
        <v>391</v>
      </c>
      <c r="C815" s="6" t="s">
        <v>165</v>
      </c>
      <c r="D815" s="6">
        <f t="shared" si="312"/>
        <v>1</v>
      </c>
      <c r="E815" s="34">
        <v>1</v>
      </c>
      <c r="F815" s="212">
        <v>778</v>
      </c>
      <c r="G815" s="195">
        <v>45860</v>
      </c>
      <c r="H815" s="8"/>
      <c r="I815" s="212">
        <v>1650</v>
      </c>
      <c r="J815" s="8">
        <v>45973</v>
      </c>
      <c r="K815" s="23">
        <f t="shared" si="313"/>
        <v>0</v>
      </c>
      <c r="L815" s="23">
        <f t="shared" si="314"/>
        <v>0.24749999999999997</v>
      </c>
      <c r="M815" s="206">
        <f t="shared" si="315"/>
        <v>2.4750000000000001</v>
      </c>
      <c r="N815" s="34"/>
      <c r="O815" s="209">
        <f t="shared" si="309"/>
        <v>114</v>
      </c>
      <c r="P815" s="34">
        <f t="shared" si="316"/>
        <v>778</v>
      </c>
      <c r="Q815" s="34">
        <f t="shared" si="317"/>
        <v>1650</v>
      </c>
      <c r="R815" s="7">
        <f t="shared" si="318"/>
        <v>-2.7225000000000001</v>
      </c>
      <c r="S815" s="227">
        <f t="shared" si="310"/>
        <v>869.27750000000003</v>
      </c>
      <c r="T815" s="249">
        <f t="shared" si="311"/>
        <v>1.117323264781491</v>
      </c>
    </row>
    <row r="816" spans="2:22" s="33" customFormat="1" ht="15" customHeight="1" x14ac:dyDescent="0.4">
      <c r="B816" s="38" t="s">
        <v>391</v>
      </c>
      <c r="C816" s="6" t="s">
        <v>165</v>
      </c>
      <c r="D816" s="6">
        <f t="shared" si="312"/>
        <v>1</v>
      </c>
      <c r="E816" s="34">
        <v>1</v>
      </c>
      <c r="F816" s="212">
        <v>782</v>
      </c>
      <c r="G816" s="195">
        <v>45867</v>
      </c>
      <c r="H816" s="8"/>
      <c r="I816" s="212">
        <v>1650</v>
      </c>
      <c r="J816" s="8">
        <v>45973</v>
      </c>
      <c r="K816" s="23">
        <f t="shared" si="313"/>
        <v>0</v>
      </c>
      <c r="L816" s="23">
        <f t="shared" si="314"/>
        <v>0.24749999999999997</v>
      </c>
      <c r="M816" s="206">
        <f t="shared" si="315"/>
        <v>2.4750000000000001</v>
      </c>
      <c r="N816" s="34"/>
      <c r="O816" s="209">
        <f t="shared" si="309"/>
        <v>107</v>
      </c>
      <c r="P816" s="34">
        <f t="shared" si="316"/>
        <v>782</v>
      </c>
      <c r="Q816" s="34">
        <f t="shared" si="317"/>
        <v>1650</v>
      </c>
      <c r="R816" s="7">
        <f t="shared" si="318"/>
        <v>-2.7225000000000001</v>
      </c>
      <c r="S816" s="227">
        <f t="shared" si="310"/>
        <v>865.27750000000003</v>
      </c>
      <c r="T816" s="249">
        <f t="shared" si="311"/>
        <v>1.1064929667519181</v>
      </c>
    </row>
    <row r="817" spans="2:20" s="33" customFormat="1" ht="15" customHeight="1" x14ac:dyDescent="0.4">
      <c r="B817" s="38" t="s">
        <v>391</v>
      </c>
      <c r="C817" s="6" t="s">
        <v>165</v>
      </c>
      <c r="D817" s="6">
        <f t="shared" si="312"/>
        <v>1</v>
      </c>
      <c r="E817" s="34">
        <v>1</v>
      </c>
      <c r="F817" s="212">
        <v>857</v>
      </c>
      <c r="G817" s="195">
        <v>45874</v>
      </c>
      <c r="H817" s="8"/>
      <c r="I817" s="212">
        <v>1650</v>
      </c>
      <c r="J817" s="8">
        <v>45973</v>
      </c>
      <c r="K817" s="23">
        <f t="shared" si="313"/>
        <v>0</v>
      </c>
      <c r="L817" s="23">
        <f t="shared" si="314"/>
        <v>0.24749999999999997</v>
      </c>
      <c r="M817" s="206">
        <f t="shared" si="315"/>
        <v>2.4750000000000001</v>
      </c>
      <c r="N817" s="34"/>
      <c r="O817" s="209">
        <f t="shared" si="309"/>
        <v>100</v>
      </c>
      <c r="P817" s="34">
        <f t="shared" si="316"/>
        <v>857</v>
      </c>
      <c r="Q817" s="34">
        <f t="shared" si="317"/>
        <v>1650</v>
      </c>
      <c r="R817" s="7">
        <f t="shared" si="318"/>
        <v>-2.7225000000000001</v>
      </c>
      <c r="S817" s="227">
        <f t="shared" si="310"/>
        <v>790.27750000000003</v>
      </c>
      <c r="T817" s="249">
        <f t="shared" si="311"/>
        <v>0.92214410735122521</v>
      </c>
    </row>
    <row r="818" spans="2:20" s="33" customFormat="1" ht="15" customHeight="1" x14ac:dyDescent="0.4">
      <c r="B818" s="38" t="s">
        <v>391</v>
      </c>
      <c r="C818" s="6" t="s">
        <v>165</v>
      </c>
      <c r="D818" s="6">
        <f t="shared" si="312"/>
        <v>1</v>
      </c>
      <c r="E818" s="34">
        <v>1</v>
      </c>
      <c r="F818" s="212">
        <v>893</v>
      </c>
      <c r="G818" s="195">
        <v>45881</v>
      </c>
      <c r="H818" s="8"/>
      <c r="I818" s="212">
        <v>1650</v>
      </c>
      <c r="J818" s="8">
        <v>45973</v>
      </c>
      <c r="K818" s="23">
        <f t="shared" si="313"/>
        <v>0</v>
      </c>
      <c r="L818" s="23">
        <f t="shared" si="314"/>
        <v>0.24749999999999997</v>
      </c>
      <c r="M818" s="206">
        <f t="shared" si="315"/>
        <v>2.4750000000000001</v>
      </c>
      <c r="N818" s="34"/>
      <c r="O818" s="209">
        <f t="shared" si="309"/>
        <v>93</v>
      </c>
      <c r="P818" s="34">
        <f t="shared" si="316"/>
        <v>893</v>
      </c>
      <c r="Q818" s="34">
        <f t="shared" si="317"/>
        <v>1650</v>
      </c>
      <c r="R818" s="7">
        <f t="shared" si="318"/>
        <v>-2.7225000000000001</v>
      </c>
      <c r="S818" s="227">
        <f t="shared" si="310"/>
        <v>754.27750000000003</v>
      </c>
      <c r="T818" s="249">
        <f t="shared" si="311"/>
        <v>0.84465565509518481</v>
      </c>
    </row>
    <row r="819" spans="2:20" s="33" customFormat="1" ht="15" customHeight="1" x14ac:dyDescent="0.4">
      <c r="B819" s="38" t="s">
        <v>391</v>
      </c>
      <c r="C819" s="6" t="s">
        <v>165</v>
      </c>
      <c r="D819" s="6">
        <f t="shared" si="312"/>
        <v>1</v>
      </c>
      <c r="E819" s="34">
        <v>1</v>
      </c>
      <c r="F819" s="212">
        <v>882</v>
      </c>
      <c r="G819" s="195">
        <v>45888</v>
      </c>
      <c r="H819" s="8"/>
      <c r="I819" s="212">
        <v>1650</v>
      </c>
      <c r="J819" s="8">
        <v>45973</v>
      </c>
      <c r="K819" s="23">
        <f t="shared" si="313"/>
        <v>0</v>
      </c>
      <c r="L819" s="23">
        <f t="shared" si="314"/>
        <v>0.24749999999999997</v>
      </c>
      <c r="M819" s="206">
        <f t="shared" si="315"/>
        <v>2.4750000000000001</v>
      </c>
      <c r="N819" s="34"/>
      <c r="O819" s="209">
        <f t="shared" si="309"/>
        <v>86</v>
      </c>
      <c r="P819" s="34">
        <f t="shared" si="316"/>
        <v>882</v>
      </c>
      <c r="Q819" s="34">
        <f t="shared" si="317"/>
        <v>1650</v>
      </c>
      <c r="R819" s="7">
        <f t="shared" si="318"/>
        <v>-2.7225000000000001</v>
      </c>
      <c r="S819" s="227">
        <f t="shared" si="310"/>
        <v>765.27750000000003</v>
      </c>
      <c r="T819" s="249">
        <f t="shared" si="311"/>
        <v>0.86766156462585042</v>
      </c>
    </row>
    <row r="820" spans="2:20" s="33" customFormat="1" ht="15" customHeight="1" x14ac:dyDescent="0.4">
      <c r="B820" s="38" t="s">
        <v>391</v>
      </c>
      <c r="C820" s="6" t="s">
        <v>165</v>
      </c>
      <c r="D820" s="6">
        <f t="shared" si="312"/>
        <v>1</v>
      </c>
      <c r="E820" s="34">
        <v>1</v>
      </c>
      <c r="F820" s="212">
        <v>819</v>
      </c>
      <c r="G820" s="195">
        <v>45895</v>
      </c>
      <c r="H820" s="8"/>
      <c r="I820" s="212">
        <v>1650</v>
      </c>
      <c r="J820" s="8">
        <v>45973</v>
      </c>
      <c r="K820" s="23">
        <f t="shared" si="313"/>
        <v>0</v>
      </c>
      <c r="L820" s="23">
        <f t="shared" si="314"/>
        <v>0.24749999999999997</v>
      </c>
      <c r="M820" s="206">
        <f t="shared" si="315"/>
        <v>2.4750000000000001</v>
      </c>
      <c r="N820" s="34"/>
      <c r="O820" s="209">
        <f t="shared" si="309"/>
        <v>79</v>
      </c>
      <c r="P820" s="34">
        <f t="shared" si="316"/>
        <v>819</v>
      </c>
      <c r="Q820" s="34">
        <f t="shared" si="317"/>
        <v>1650</v>
      </c>
      <c r="R820" s="7">
        <f t="shared" si="318"/>
        <v>-2.7225000000000001</v>
      </c>
      <c r="S820" s="227">
        <f t="shared" si="310"/>
        <v>828.27750000000003</v>
      </c>
      <c r="T820" s="249">
        <f t="shared" si="311"/>
        <v>1.0113278388278388</v>
      </c>
    </row>
    <row r="821" spans="2:20" s="33" customFormat="1" ht="15" customHeight="1" x14ac:dyDescent="0.4">
      <c r="B821" s="38" t="s">
        <v>391</v>
      </c>
      <c r="C821" s="6" t="s">
        <v>165</v>
      </c>
      <c r="D821" s="6">
        <f t="shared" si="312"/>
        <v>1</v>
      </c>
      <c r="E821" s="34">
        <v>1</v>
      </c>
      <c r="F821" s="212">
        <v>816</v>
      </c>
      <c r="G821" s="195">
        <v>45902</v>
      </c>
      <c r="H821" s="8"/>
      <c r="I821" s="212">
        <v>1650</v>
      </c>
      <c r="J821" s="8">
        <v>45973</v>
      </c>
      <c r="K821" s="23">
        <f t="shared" si="313"/>
        <v>0</v>
      </c>
      <c r="L821" s="23">
        <f t="shared" si="314"/>
        <v>0.24749999999999997</v>
      </c>
      <c r="M821" s="206">
        <f t="shared" si="315"/>
        <v>2.4750000000000001</v>
      </c>
      <c r="N821" s="34"/>
      <c r="O821" s="209">
        <f t="shared" si="309"/>
        <v>72</v>
      </c>
      <c r="P821" s="34">
        <f t="shared" si="316"/>
        <v>816</v>
      </c>
      <c r="Q821" s="34">
        <f t="shared" si="317"/>
        <v>1650</v>
      </c>
      <c r="R821" s="7">
        <f t="shared" si="318"/>
        <v>-2.7225000000000001</v>
      </c>
      <c r="S821" s="227">
        <f t="shared" si="310"/>
        <v>831.27750000000003</v>
      </c>
      <c r="T821" s="249">
        <f t="shared" si="311"/>
        <v>1.0187224264705883</v>
      </c>
    </row>
    <row r="822" spans="2:20" s="33" customFormat="1" ht="15" customHeight="1" x14ac:dyDescent="0.4">
      <c r="B822" s="38" t="s">
        <v>391</v>
      </c>
      <c r="C822" s="6" t="s">
        <v>165</v>
      </c>
      <c r="D822" s="6">
        <f t="shared" si="312"/>
        <v>1</v>
      </c>
      <c r="E822" s="34">
        <v>1</v>
      </c>
      <c r="F822" s="212">
        <v>732</v>
      </c>
      <c r="G822" s="195">
        <v>45909</v>
      </c>
      <c r="H822" s="8"/>
      <c r="I822" s="212">
        <v>1650</v>
      </c>
      <c r="J822" s="8">
        <v>45973</v>
      </c>
      <c r="K822" s="23">
        <f t="shared" si="313"/>
        <v>0</v>
      </c>
      <c r="L822" s="23">
        <f t="shared" si="314"/>
        <v>0.24749999999999997</v>
      </c>
      <c r="M822" s="206">
        <f t="shared" si="315"/>
        <v>2.4750000000000001</v>
      </c>
      <c r="N822" s="34"/>
      <c r="O822" s="209">
        <f t="shared" si="309"/>
        <v>65</v>
      </c>
      <c r="P822" s="34">
        <f t="shared" si="316"/>
        <v>732</v>
      </c>
      <c r="Q822" s="34">
        <f t="shared" si="317"/>
        <v>1650</v>
      </c>
      <c r="R822" s="7">
        <f t="shared" si="318"/>
        <v>-2.7225000000000001</v>
      </c>
      <c r="S822" s="227">
        <f t="shared" si="310"/>
        <v>915.27750000000003</v>
      </c>
      <c r="T822" s="249">
        <f t="shared" si="311"/>
        <v>1.2503790983606557</v>
      </c>
    </row>
    <row r="823" spans="2:20" s="33" customFormat="1" ht="15" customHeight="1" x14ac:dyDescent="0.4">
      <c r="B823" s="38" t="s">
        <v>391</v>
      </c>
      <c r="C823" s="6" t="s">
        <v>165</v>
      </c>
      <c r="D823" s="6">
        <f t="shared" si="312"/>
        <v>1</v>
      </c>
      <c r="E823" s="34">
        <v>1</v>
      </c>
      <c r="F823" s="212">
        <v>752</v>
      </c>
      <c r="G823" s="195">
        <v>45916</v>
      </c>
      <c r="H823" s="8"/>
      <c r="I823" s="212">
        <v>1650</v>
      </c>
      <c r="J823" s="8">
        <v>45973</v>
      </c>
      <c r="K823" s="23">
        <f t="shared" si="313"/>
        <v>0</v>
      </c>
      <c r="L823" s="23">
        <f t="shared" si="314"/>
        <v>0.24749999999999997</v>
      </c>
      <c r="M823" s="206">
        <f t="shared" si="315"/>
        <v>2.4750000000000001</v>
      </c>
      <c r="N823" s="34"/>
      <c r="O823" s="209">
        <f t="shared" si="309"/>
        <v>58</v>
      </c>
      <c r="P823" s="34">
        <f t="shared" si="316"/>
        <v>752</v>
      </c>
      <c r="Q823" s="34">
        <f t="shared" si="317"/>
        <v>1650</v>
      </c>
      <c r="R823" s="7">
        <f t="shared" si="318"/>
        <v>-2.7225000000000001</v>
      </c>
      <c r="S823" s="227">
        <f t="shared" si="310"/>
        <v>895.27750000000003</v>
      </c>
      <c r="T823" s="249">
        <f t="shared" si="311"/>
        <v>1.1905285904255321</v>
      </c>
    </row>
    <row r="824" spans="2:20" s="33" customFormat="1" ht="15" customHeight="1" x14ac:dyDescent="0.4">
      <c r="B824" s="38" t="s">
        <v>391</v>
      </c>
      <c r="C824" s="6" t="s">
        <v>165</v>
      </c>
      <c r="D824" s="6">
        <f t="shared" si="312"/>
        <v>1</v>
      </c>
      <c r="E824" s="34">
        <v>1</v>
      </c>
      <c r="F824" s="212">
        <v>901</v>
      </c>
      <c r="G824" s="195">
        <v>45923</v>
      </c>
      <c r="H824" s="8"/>
      <c r="I824" s="212">
        <v>1650</v>
      </c>
      <c r="J824" s="8">
        <v>45973</v>
      </c>
      <c r="K824" s="23">
        <f t="shared" si="313"/>
        <v>0</v>
      </c>
      <c r="L824" s="23">
        <f t="shared" si="314"/>
        <v>0.24749999999999997</v>
      </c>
      <c r="M824" s="206">
        <f t="shared" si="315"/>
        <v>2.4750000000000001</v>
      </c>
      <c r="N824" s="34"/>
      <c r="O824" s="209">
        <f t="shared" si="309"/>
        <v>51</v>
      </c>
      <c r="P824" s="34">
        <f t="shared" si="316"/>
        <v>901</v>
      </c>
      <c r="Q824" s="34">
        <f t="shared" si="317"/>
        <v>1650</v>
      </c>
      <c r="R824" s="7">
        <f t="shared" si="318"/>
        <v>-2.7225000000000001</v>
      </c>
      <c r="S824" s="227">
        <f t="shared" si="310"/>
        <v>746.27750000000003</v>
      </c>
      <c r="T824" s="249">
        <f t="shared" si="311"/>
        <v>0.82827691453940067</v>
      </c>
    </row>
    <row r="825" spans="2:20" s="33" customFormat="1" ht="15" customHeight="1" x14ac:dyDescent="0.4">
      <c r="B825" s="38" t="s">
        <v>391</v>
      </c>
      <c r="C825" s="6" t="s">
        <v>165</v>
      </c>
      <c r="D825" s="6">
        <f t="shared" si="312"/>
        <v>1</v>
      </c>
      <c r="E825" s="34">
        <v>1</v>
      </c>
      <c r="F825" s="212">
        <v>820</v>
      </c>
      <c r="G825" s="195">
        <v>45930</v>
      </c>
      <c r="H825" s="8"/>
      <c r="I825" s="212">
        <v>1650</v>
      </c>
      <c r="J825" s="8">
        <v>45973</v>
      </c>
      <c r="K825" s="23">
        <f t="shared" si="313"/>
        <v>0</v>
      </c>
      <c r="L825" s="23">
        <f t="shared" si="314"/>
        <v>0.24749999999999997</v>
      </c>
      <c r="M825" s="206">
        <f t="shared" si="315"/>
        <v>2.4750000000000001</v>
      </c>
      <c r="N825" s="34"/>
      <c r="O825" s="209">
        <f t="shared" si="309"/>
        <v>44</v>
      </c>
      <c r="P825" s="34">
        <f t="shared" si="316"/>
        <v>820</v>
      </c>
      <c r="Q825" s="34">
        <f t="shared" si="317"/>
        <v>1650</v>
      </c>
      <c r="R825" s="7">
        <f t="shared" si="318"/>
        <v>-2.7225000000000001</v>
      </c>
      <c r="S825" s="227">
        <f t="shared" si="310"/>
        <v>827.27750000000003</v>
      </c>
      <c r="T825" s="249">
        <f t="shared" si="311"/>
        <v>1.008875</v>
      </c>
    </row>
    <row r="826" spans="2:20" s="33" customFormat="1" ht="15" customHeight="1" x14ac:dyDescent="0.4">
      <c r="B826" s="38" t="s">
        <v>391</v>
      </c>
      <c r="C826" s="6" t="s">
        <v>165</v>
      </c>
      <c r="D826" s="6">
        <f t="shared" si="312"/>
        <v>1</v>
      </c>
      <c r="E826" s="34">
        <v>1</v>
      </c>
      <c r="F826" s="212">
        <v>921</v>
      </c>
      <c r="G826" s="195">
        <v>45940</v>
      </c>
      <c r="H826" s="8"/>
      <c r="I826" s="212">
        <v>1650</v>
      </c>
      <c r="J826" s="8">
        <v>45973</v>
      </c>
      <c r="K826" s="23">
        <f t="shared" si="313"/>
        <v>0</v>
      </c>
      <c r="L826" s="23">
        <f t="shared" si="314"/>
        <v>0.24749999999999997</v>
      </c>
      <c r="M826" s="206">
        <f t="shared" si="315"/>
        <v>2.4750000000000001</v>
      </c>
      <c r="N826" s="34"/>
      <c r="O826" s="209">
        <f t="shared" si="309"/>
        <v>34</v>
      </c>
      <c r="P826" s="34">
        <f t="shared" si="316"/>
        <v>921</v>
      </c>
      <c r="Q826" s="34">
        <f t="shared" si="317"/>
        <v>1650</v>
      </c>
      <c r="R826" s="7">
        <f t="shared" si="318"/>
        <v>-2.7225000000000001</v>
      </c>
      <c r="S826" s="227">
        <f t="shared" si="310"/>
        <v>726.27750000000003</v>
      </c>
      <c r="T826" s="249">
        <f t="shared" si="311"/>
        <v>0.78857491856677531</v>
      </c>
    </row>
    <row r="827" spans="2:20" s="33" customFormat="1" ht="15" customHeight="1" x14ac:dyDescent="0.4">
      <c r="B827" s="38" t="s">
        <v>391</v>
      </c>
      <c r="C827" s="6" t="s">
        <v>165</v>
      </c>
      <c r="D827" s="6">
        <f t="shared" si="312"/>
        <v>1</v>
      </c>
      <c r="E827" s="34">
        <v>1</v>
      </c>
      <c r="F827" s="212">
        <v>859</v>
      </c>
      <c r="G827" s="195">
        <v>45944</v>
      </c>
      <c r="H827" s="8"/>
      <c r="I827" s="212">
        <v>1650</v>
      </c>
      <c r="J827" s="8">
        <v>45973</v>
      </c>
      <c r="K827" s="23">
        <f t="shared" si="313"/>
        <v>0</v>
      </c>
      <c r="L827" s="23">
        <f t="shared" si="314"/>
        <v>0.24749999999999997</v>
      </c>
      <c r="M827" s="206">
        <f t="shared" si="315"/>
        <v>2.4750000000000001</v>
      </c>
      <c r="N827" s="34"/>
      <c r="O827" s="209">
        <f t="shared" si="309"/>
        <v>30</v>
      </c>
      <c r="P827" s="34">
        <f t="shared" si="316"/>
        <v>859</v>
      </c>
      <c r="Q827" s="34">
        <f t="shared" si="317"/>
        <v>1650</v>
      </c>
      <c r="R827" s="7">
        <f t="shared" si="318"/>
        <v>-2.7225000000000001</v>
      </c>
      <c r="S827" s="227">
        <f t="shared" si="310"/>
        <v>788.27750000000003</v>
      </c>
      <c r="T827" s="249">
        <f t="shared" si="311"/>
        <v>0.91766880093131553</v>
      </c>
    </row>
    <row r="828" spans="2:20" s="33" customFormat="1" ht="15" customHeight="1" x14ac:dyDescent="0.4">
      <c r="B828" s="38" t="s">
        <v>391</v>
      </c>
      <c r="C828" s="6" t="s">
        <v>165</v>
      </c>
      <c r="D828" s="6">
        <f t="shared" si="312"/>
        <v>1</v>
      </c>
      <c r="E828" s="34">
        <v>1</v>
      </c>
      <c r="F828" s="212">
        <v>910</v>
      </c>
      <c r="G828" s="195">
        <v>45951</v>
      </c>
      <c r="H828" s="8"/>
      <c r="I828" s="212">
        <v>1650</v>
      </c>
      <c r="J828" s="8">
        <v>45973</v>
      </c>
      <c r="K828" s="23">
        <f t="shared" si="313"/>
        <v>0</v>
      </c>
      <c r="L828" s="23">
        <f t="shared" si="314"/>
        <v>0.24749999999999997</v>
      </c>
      <c r="M828" s="206">
        <f t="shared" si="315"/>
        <v>2.4750000000000001</v>
      </c>
      <c r="N828" s="34"/>
      <c r="O828" s="209">
        <f t="shared" si="309"/>
        <v>23</v>
      </c>
      <c r="P828" s="34">
        <f t="shared" si="316"/>
        <v>910</v>
      </c>
      <c r="Q828" s="34">
        <f t="shared" si="317"/>
        <v>1650</v>
      </c>
      <c r="R828" s="7">
        <f t="shared" si="318"/>
        <v>-2.7225000000000001</v>
      </c>
      <c r="S828" s="227">
        <f t="shared" si="310"/>
        <v>737.27750000000003</v>
      </c>
      <c r="T828" s="249">
        <f t="shared" si="311"/>
        <v>0.81019505494505495</v>
      </c>
    </row>
    <row r="829" spans="2:20" s="33" customFormat="1" ht="15" customHeight="1" x14ac:dyDescent="0.4">
      <c r="B829" s="38" t="s">
        <v>391</v>
      </c>
      <c r="C829" s="6" t="s">
        <v>165</v>
      </c>
      <c r="D829" s="6">
        <f t="shared" si="312"/>
        <v>1</v>
      </c>
      <c r="E829" s="34">
        <v>1</v>
      </c>
      <c r="F829" s="212">
        <v>1255</v>
      </c>
      <c r="G829" s="195">
        <v>45958</v>
      </c>
      <c r="H829" s="8"/>
      <c r="I829" s="212">
        <v>1650</v>
      </c>
      <c r="J829" s="8">
        <v>45973</v>
      </c>
      <c r="K829" s="23">
        <f t="shared" si="313"/>
        <v>0</v>
      </c>
      <c r="L829" s="23">
        <f t="shared" si="314"/>
        <v>0.24749999999999997</v>
      </c>
      <c r="M829" s="206">
        <f t="shared" si="315"/>
        <v>2.4750000000000001</v>
      </c>
      <c r="N829" s="34"/>
      <c r="O829" s="209">
        <f t="shared" si="309"/>
        <v>16</v>
      </c>
      <c r="P829" s="34">
        <f t="shared" si="316"/>
        <v>1255</v>
      </c>
      <c r="Q829" s="34">
        <f t="shared" si="317"/>
        <v>1650</v>
      </c>
      <c r="R829" s="7">
        <f t="shared" si="318"/>
        <v>-2.7225000000000001</v>
      </c>
      <c r="S829" s="227">
        <f t="shared" si="310"/>
        <v>392.27749999999997</v>
      </c>
      <c r="T829" s="249">
        <f t="shared" si="311"/>
        <v>0.31257171314741033</v>
      </c>
    </row>
    <row r="830" spans="2:20" s="33" customFormat="1" ht="15" customHeight="1" x14ac:dyDescent="0.4">
      <c r="B830" s="38" t="s">
        <v>391</v>
      </c>
      <c r="C830" s="6" t="s">
        <v>122</v>
      </c>
      <c r="D830" s="6">
        <f t="shared" si="312"/>
        <v>1</v>
      </c>
      <c r="E830" s="34">
        <v>2000</v>
      </c>
      <c r="F830" s="212">
        <v>1220</v>
      </c>
      <c r="G830" s="195">
        <v>45959</v>
      </c>
      <c r="H830" s="8"/>
      <c r="I830" s="212">
        <v>1650</v>
      </c>
      <c r="J830" s="8">
        <v>45973</v>
      </c>
      <c r="K830" s="23">
        <f t="shared" si="313"/>
        <v>365.99999999999994</v>
      </c>
      <c r="L830" s="23">
        <f t="shared" si="314"/>
        <v>494.99999999999994</v>
      </c>
      <c r="M830" s="206">
        <f t="shared" si="315"/>
        <v>4950</v>
      </c>
      <c r="N830" s="34"/>
      <c r="O830" s="209">
        <f t="shared" si="309"/>
        <v>15</v>
      </c>
      <c r="P830" s="34">
        <f t="shared" si="316"/>
        <v>2440000</v>
      </c>
      <c r="Q830" s="34">
        <f t="shared" si="317"/>
        <v>3300000</v>
      </c>
      <c r="R830" s="7">
        <f t="shared" si="318"/>
        <v>-5811</v>
      </c>
      <c r="S830" s="227">
        <f t="shared" si="310"/>
        <v>854189</v>
      </c>
      <c r="T830" s="249">
        <f t="shared" si="311"/>
        <v>0.35007745901639342</v>
      </c>
    </row>
    <row r="831" spans="2:20" s="33" customFormat="1" ht="15" customHeight="1" x14ac:dyDescent="0.4">
      <c r="B831" s="38" t="s">
        <v>391</v>
      </c>
      <c r="C831" s="6" t="s">
        <v>165</v>
      </c>
      <c r="D831" s="6">
        <f t="shared" si="312"/>
        <v>1</v>
      </c>
      <c r="E831" s="34">
        <v>1</v>
      </c>
      <c r="F831" s="212">
        <v>1467</v>
      </c>
      <c r="G831" s="195">
        <v>45965</v>
      </c>
      <c r="H831" s="8"/>
      <c r="I831" s="212">
        <v>1650</v>
      </c>
      <c r="J831" s="8">
        <v>45973</v>
      </c>
      <c r="K831" s="23">
        <f t="shared" si="313"/>
        <v>0</v>
      </c>
      <c r="L831" s="23">
        <f t="shared" si="314"/>
        <v>0.24749999999999997</v>
      </c>
      <c r="M831" s="206">
        <f t="shared" si="315"/>
        <v>2.4750000000000001</v>
      </c>
      <c r="N831" s="34"/>
      <c r="O831" s="209">
        <f t="shared" si="309"/>
        <v>9</v>
      </c>
      <c r="P831" s="34">
        <f t="shared" si="316"/>
        <v>1467</v>
      </c>
      <c r="Q831" s="34">
        <f t="shared" si="317"/>
        <v>1650</v>
      </c>
      <c r="R831" s="7">
        <f t="shared" si="318"/>
        <v>-2.7225000000000001</v>
      </c>
      <c r="S831" s="227">
        <f t="shared" si="310"/>
        <v>180.2775</v>
      </c>
      <c r="T831" s="249">
        <f t="shared" si="311"/>
        <v>0.12288854805725971</v>
      </c>
    </row>
    <row r="832" spans="2:20" s="33" customFormat="1" ht="15" customHeight="1" x14ac:dyDescent="0.4">
      <c r="B832" s="38" t="s">
        <v>391</v>
      </c>
      <c r="C832" s="6" t="s">
        <v>122</v>
      </c>
      <c r="D832" s="6">
        <f t="shared" si="312"/>
        <v>1</v>
      </c>
      <c r="E832" s="34">
        <v>500</v>
      </c>
      <c r="F832" s="212">
        <v>1410</v>
      </c>
      <c r="G832" s="195">
        <v>45965</v>
      </c>
      <c r="H832" s="8"/>
      <c r="I832" s="212">
        <v>1650</v>
      </c>
      <c r="J832" s="8">
        <v>45973</v>
      </c>
      <c r="K832" s="23">
        <f t="shared" si="313"/>
        <v>105.74999999999999</v>
      </c>
      <c r="L832" s="23">
        <f t="shared" si="314"/>
        <v>123.74999999999999</v>
      </c>
      <c r="M832" s="206">
        <f t="shared" si="315"/>
        <v>1237.5</v>
      </c>
      <c r="N832" s="34"/>
      <c r="O832" s="209">
        <f t="shared" si="309"/>
        <v>9</v>
      </c>
      <c r="P832" s="34">
        <f t="shared" si="316"/>
        <v>705000</v>
      </c>
      <c r="Q832" s="34">
        <f t="shared" si="317"/>
        <v>825000</v>
      </c>
      <c r="R832" s="7">
        <f t="shared" si="318"/>
        <v>-1467</v>
      </c>
      <c r="S832" s="227">
        <f t="shared" si="310"/>
        <v>118533</v>
      </c>
      <c r="T832" s="249">
        <f t="shared" si="311"/>
        <v>0.16813191489361703</v>
      </c>
    </row>
    <row r="833" spans="2:22" s="33" customFormat="1" ht="15" customHeight="1" x14ac:dyDescent="0.4">
      <c r="B833" s="38" t="s">
        <v>391</v>
      </c>
      <c r="C833" s="6" t="s">
        <v>165</v>
      </c>
      <c r="D833" s="6">
        <f t="shared" si="312"/>
        <v>1</v>
      </c>
      <c r="E833" s="34">
        <v>1</v>
      </c>
      <c r="F833" s="212">
        <v>1408</v>
      </c>
      <c r="G833" s="195">
        <v>45972</v>
      </c>
      <c r="H833" s="8"/>
      <c r="I833" s="212">
        <v>1650</v>
      </c>
      <c r="J833" s="8">
        <v>45973</v>
      </c>
      <c r="K833" s="23">
        <f t="shared" si="313"/>
        <v>0</v>
      </c>
      <c r="L833" s="23">
        <f t="shared" si="314"/>
        <v>0.24749999999999997</v>
      </c>
      <c r="M833" s="206">
        <f t="shared" si="315"/>
        <v>2.4750000000000001</v>
      </c>
      <c r="N833" s="34"/>
      <c r="O833" s="209">
        <f t="shared" si="309"/>
        <v>2</v>
      </c>
      <c r="P833" s="34">
        <f t="shared" si="316"/>
        <v>1408</v>
      </c>
      <c r="Q833" s="34">
        <f t="shared" si="317"/>
        <v>1650</v>
      </c>
      <c r="R833" s="7">
        <f t="shared" si="318"/>
        <v>-2.7225000000000001</v>
      </c>
      <c r="S833" s="227">
        <f t="shared" si="310"/>
        <v>239.2775</v>
      </c>
      <c r="T833" s="249">
        <f t="shared" si="311"/>
        <v>0.16994140625000001</v>
      </c>
    </row>
    <row r="834" spans="2:22" s="33" customFormat="1" ht="15" customHeight="1" x14ac:dyDescent="0.4">
      <c r="B834" s="38" t="s">
        <v>391</v>
      </c>
      <c r="C834" s="6" t="s">
        <v>122</v>
      </c>
      <c r="D834" s="6">
        <f t="shared" si="312"/>
        <v>1</v>
      </c>
      <c r="E834" s="34">
        <v>100</v>
      </c>
      <c r="F834" s="212">
        <v>1620</v>
      </c>
      <c r="G834" s="195">
        <v>45973</v>
      </c>
      <c r="H834" s="8"/>
      <c r="I834" s="212">
        <v>2240</v>
      </c>
      <c r="J834" s="8">
        <v>45994</v>
      </c>
      <c r="K834" s="23">
        <f t="shared" si="313"/>
        <v>24.299999999999997</v>
      </c>
      <c r="L834" s="23">
        <f t="shared" si="314"/>
        <v>33.599999999999994</v>
      </c>
      <c r="M834" s="206">
        <f t="shared" si="315"/>
        <v>336</v>
      </c>
      <c r="N834" s="34"/>
      <c r="O834" s="209">
        <f t="shared" si="309"/>
        <v>22</v>
      </c>
      <c r="P834" s="34">
        <f t="shared" si="316"/>
        <v>162000</v>
      </c>
      <c r="Q834" s="34">
        <f t="shared" si="317"/>
        <v>224000</v>
      </c>
      <c r="R834" s="7">
        <f t="shared" si="318"/>
        <v>-393.9</v>
      </c>
      <c r="S834" s="227">
        <f t="shared" si="310"/>
        <v>61606.1</v>
      </c>
      <c r="T834" s="249">
        <f t="shared" si="311"/>
        <v>0.38028456790123455</v>
      </c>
    </row>
    <row r="835" spans="2:22" s="33" customFormat="1" ht="15" customHeight="1" x14ac:dyDescent="0.4">
      <c r="B835" s="38" t="s">
        <v>391</v>
      </c>
      <c r="C835" s="6" t="s">
        <v>165</v>
      </c>
      <c r="D835" s="6">
        <f t="shared" si="312"/>
        <v>1</v>
      </c>
      <c r="E835" s="34">
        <v>1</v>
      </c>
      <c r="F835" s="212">
        <v>2140</v>
      </c>
      <c r="G835" s="195">
        <v>45979</v>
      </c>
      <c r="H835" s="8"/>
      <c r="I835" s="212">
        <v>2240</v>
      </c>
      <c r="J835" s="8">
        <v>45994</v>
      </c>
      <c r="K835" s="23">
        <f t="shared" si="313"/>
        <v>0</v>
      </c>
      <c r="L835" s="23">
        <f t="shared" si="314"/>
        <v>0.33599999999999997</v>
      </c>
      <c r="M835" s="206">
        <f t="shared" si="315"/>
        <v>3.36</v>
      </c>
      <c r="N835" s="34"/>
      <c r="O835" s="209">
        <f t="shared" si="309"/>
        <v>16</v>
      </c>
      <c r="P835" s="34">
        <f t="shared" si="316"/>
        <v>2140</v>
      </c>
      <c r="Q835" s="34">
        <f t="shared" si="317"/>
        <v>2240</v>
      </c>
      <c r="R835" s="7">
        <f t="shared" si="318"/>
        <v>-3.6959999999999997</v>
      </c>
      <c r="S835" s="227">
        <f t="shared" si="310"/>
        <v>96.304000000000002</v>
      </c>
      <c r="T835" s="249">
        <f t="shared" si="311"/>
        <v>4.5001869158878507E-2</v>
      </c>
    </row>
    <row r="836" spans="2:22" ht="16.5" customHeight="1" x14ac:dyDescent="0.4">
      <c r="B836" s="33" t="s">
        <v>391</v>
      </c>
      <c r="C836" s="6" t="s">
        <v>122</v>
      </c>
      <c r="D836" s="6">
        <f t="shared" si="312"/>
        <v>1</v>
      </c>
      <c r="E836" s="34">
        <v>100</v>
      </c>
      <c r="F836" s="212">
        <v>1790</v>
      </c>
      <c r="G836" s="8">
        <v>45985</v>
      </c>
      <c r="H836" s="8"/>
      <c r="I836" s="212">
        <v>2240</v>
      </c>
      <c r="J836" s="8">
        <v>45994</v>
      </c>
      <c r="K836" s="23">
        <f t="shared" si="313"/>
        <v>26.849999999999998</v>
      </c>
      <c r="L836" s="23">
        <f t="shared" si="314"/>
        <v>33.599999999999994</v>
      </c>
      <c r="M836" s="23">
        <f t="shared" si="315"/>
        <v>336</v>
      </c>
      <c r="N836" s="34"/>
      <c r="O836" s="23">
        <f t="shared" si="309"/>
        <v>10</v>
      </c>
      <c r="P836" s="34">
        <f t="shared" si="316"/>
        <v>179000</v>
      </c>
      <c r="Q836" s="34">
        <f t="shared" si="317"/>
        <v>224000</v>
      </c>
      <c r="R836" s="7">
        <f t="shared" si="318"/>
        <v>-396.45</v>
      </c>
      <c r="S836" s="227">
        <f t="shared" si="310"/>
        <v>44603.55</v>
      </c>
      <c r="T836" s="313">
        <f t="shared" si="311"/>
        <v>0.249181843575419</v>
      </c>
      <c r="U836" s="33"/>
      <c r="V836" s="33"/>
    </row>
    <row r="837" spans="2:22" ht="15" customHeight="1" x14ac:dyDescent="0.4">
      <c r="B837" s="38" t="s">
        <v>391</v>
      </c>
      <c r="C837" s="6" t="s">
        <v>165</v>
      </c>
      <c r="D837" s="6">
        <f t="shared" si="312"/>
        <v>1</v>
      </c>
      <c r="E837" s="34">
        <v>1</v>
      </c>
      <c r="F837" s="212">
        <v>1731</v>
      </c>
      <c r="G837" s="195">
        <v>45986</v>
      </c>
      <c r="H837" s="8"/>
      <c r="I837" s="212">
        <v>2240</v>
      </c>
      <c r="J837" s="8">
        <v>45994</v>
      </c>
      <c r="K837" s="23">
        <f t="shared" si="313"/>
        <v>0</v>
      </c>
      <c r="L837" s="23">
        <f t="shared" si="314"/>
        <v>0.33599999999999997</v>
      </c>
      <c r="M837" s="206">
        <f t="shared" si="315"/>
        <v>3.36</v>
      </c>
      <c r="N837" s="34"/>
      <c r="O837" s="209">
        <f t="shared" si="309"/>
        <v>9</v>
      </c>
      <c r="P837" s="34">
        <f t="shared" si="316"/>
        <v>1731</v>
      </c>
      <c r="Q837" s="34">
        <f t="shared" si="317"/>
        <v>2240</v>
      </c>
      <c r="R837" s="7">
        <f t="shared" si="318"/>
        <v>-3.6959999999999997</v>
      </c>
      <c r="S837" s="227">
        <f t="shared" si="310"/>
        <v>505.30399999999997</v>
      </c>
      <c r="T837" s="249">
        <f t="shared" si="311"/>
        <v>0.29191450028885035</v>
      </c>
      <c r="U837" s="38"/>
      <c r="V837" s="33"/>
    </row>
    <row r="838" spans="2:22" ht="15" customHeight="1" x14ac:dyDescent="0.4">
      <c r="B838" s="38" t="s">
        <v>391</v>
      </c>
      <c r="C838" s="6" t="s">
        <v>122</v>
      </c>
      <c r="D838" s="6">
        <f t="shared" si="312"/>
        <v>1</v>
      </c>
      <c r="E838" s="34">
        <v>300</v>
      </c>
      <c r="F838" s="212">
        <v>1740</v>
      </c>
      <c r="G838" s="195">
        <v>45986</v>
      </c>
      <c r="H838" s="8"/>
      <c r="I838" s="212">
        <v>2240</v>
      </c>
      <c r="J838" s="8">
        <v>45994</v>
      </c>
      <c r="K838" s="23">
        <f t="shared" si="313"/>
        <v>78.3</v>
      </c>
      <c r="L838" s="23">
        <f t="shared" si="314"/>
        <v>100.8</v>
      </c>
      <c r="M838" s="206">
        <f t="shared" si="315"/>
        <v>1008</v>
      </c>
      <c r="N838" s="34"/>
      <c r="O838" s="209">
        <f t="shared" si="309"/>
        <v>9</v>
      </c>
      <c r="P838" s="34">
        <f t="shared" si="316"/>
        <v>522000</v>
      </c>
      <c r="Q838" s="34">
        <f t="shared" si="317"/>
        <v>672000</v>
      </c>
      <c r="R838" s="7">
        <f t="shared" si="318"/>
        <v>-1187.0999999999999</v>
      </c>
      <c r="S838" s="227">
        <f t="shared" si="310"/>
        <v>148812.9</v>
      </c>
      <c r="T838" s="249">
        <f t="shared" si="311"/>
        <v>0.28508218390804596</v>
      </c>
      <c r="U838" s="38"/>
      <c r="V838" s="33"/>
    </row>
    <row r="839" spans="2:22" ht="15" customHeight="1" x14ac:dyDescent="0.4">
      <c r="B839" s="38" t="s">
        <v>391</v>
      </c>
      <c r="C839" s="6" t="s">
        <v>122</v>
      </c>
      <c r="D839" s="6">
        <f t="shared" si="312"/>
        <v>1</v>
      </c>
      <c r="E839" s="34">
        <v>300</v>
      </c>
      <c r="F839" s="212">
        <v>1677</v>
      </c>
      <c r="G839" s="195">
        <v>45987</v>
      </c>
      <c r="H839" s="8"/>
      <c r="I839" s="212">
        <v>2240</v>
      </c>
      <c r="J839" s="8">
        <v>45994</v>
      </c>
      <c r="K839" s="23">
        <f t="shared" si="313"/>
        <v>75.464999999999989</v>
      </c>
      <c r="L839" s="23">
        <f t="shared" si="314"/>
        <v>100.8</v>
      </c>
      <c r="M839" s="206">
        <f t="shared" si="315"/>
        <v>1008</v>
      </c>
      <c r="N839" s="34"/>
      <c r="O839" s="209">
        <f t="shared" si="309"/>
        <v>8</v>
      </c>
      <c r="P839" s="34">
        <f t="shared" si="316"/>
        <v>503100</v>
      </c>
      <c r="Q839" s="34">
        <f t="shared" si="317"/>
        <v>672000</v>
      </c>
      <c r="R839" s="7">
        <f t="shared" si="318"/>
        <v>-1184.2649999999999</v>
      </c>
      <c r="S839" s="227">
        <f t="shared" si="310"/>
        <v>167715.73499999999</v>
      </c>
      <c r="T839" s="249">
        <f t="shared" si="311"/>
        <v>0.33336460942158613</v>
      </c>
      <c r="U839" s="38"/>
      <c r="V839" s="33"/>
    </row>
    <row r="840" spans="2:22" s="33" customFormat="1" ht="15" customHeight="1" x14ac:dyDescent="0.4">
      <c r="B840" s="38" t="s">
        <v>391</v>
      </c>
      <c r="C840" s="6" t="s">
        <v>122</v>
      </c>
      <c r="D840" s="6">
        <f t="shared" si="312"/>
        <v>1</v>
      </c>
      <c r="E840" s="34">
        <v>150</v>
      </c>
      <c r="F840" s="212">
        <v>1780</v>
      </c>
      <c r="G840" s="195">
        <v>45988</v>
      </c>
      <c r="H840" s="8"/>
      <c r="I840" s="212">
        <v>2240</v>
      </c>
      <c r="J840" s="8">
        <v>45994</v>
      </c>
      <c r="K840" s="23">
        <f t="shared" si="313"/>
        <v>40.049999999999997</v>
      </c>
      <c r="L840" s="23">
        <f t="shared" si="314"/>
        <v>50.4</v>
      </c>
      <c r="M840" s="206">
        <f t="shared" si="315"/>
        <v>504</v>
      </c>
      <c r="N840" s="34"/>
      <c r="O840" s="209">
        <f t="shared" si="309"/>
        <v>7</v>
      </c>
      <c r="P840" s="34">
        <f t="shared" si="316"/>
        <v>267000</v>
      </c>
      <c r="Q840" s="34">
        <f t="shared" si="317"/>
        <v>336000</v>
      </c>
      <c r="R840" s="7">
        <f t="shared" si="318"/>
        <v>-594.45000000000005</v>
      </c>
      <c r="S840" s="227">
        <f t="shared" si="310"/>
        <v>68405.55</v>
      </c>
      <c r="T840" s="249">
        <f t="shared" si="311"/>
        <v>0.2562005617977528</v>
      </c>
    </row>
    <row r="841" spans="2:22" s="33" customFormat="1" ht="15" customHeight="1" x14ac:dyDescent="0.4">
      <c r="B841" s="38" t="s">
        <v>391</v>
      </c>
      <c r="C841" s="6" t="s">
        <v>122</v>
      </c>
      <c r="D841" s="6">
        <f t="shared" si="312"/>
        <v>1</v>
      </c>
      <c r="E841" s="34">
        <v>100</v>
      </c>
      <c r="F841" s="212">
        <v>1740</v>
      </c>
      <c r="G841" s="195">
        <v>45989</v>
      </c>
      <c r="H841" s="8"/>
      <c r="I841" s="212">
        <v>2240</v>
      </c>
      <c r="J841" s="8">
        <v>45994</v>
      </c>
      <c r="K841" s="23">
        <f t="shared" si="313"/>
        <v>26.099999999999998</v>
      </c>
      <c r="L841" s="23">
        <f t="shared" si="314"/>
        <v>33.599999999999994</v>
      </c>
      <c r="M841" s="206">
        <f t="shared" si="315"/>
        <v>336</v>
      </c>
      <c r="N841" s="34"/>
      <c r="O841" s="209">
        <f t="shared" si="309"/>
        <v>6</v>
      </c>
      <c r="P841" s="34">
        <f t="shared" si="316"/>
        <v>174000</v>
      </c>
      <c r="Q841" s="34">
        <f t="shared" si="317"/>
        <v>224000</v>
      </c>
      <c r="R841" s="7">
        <f t="shared" si="318"/>
        <v>-395.7</v>
      </c>
      <c r="S841" s="227">
        <f t="shared" si="310"/>
        <v>49604.3</v>
      </c>
      <c r="T841" s="249">
        <f t="shared" si="311"/>
        <v>0.28508218390804602</v>
      </c>
    </row>
    <row r="842" spans="2:22" s="33" customFormat="1" ht="15" customHeight="1" x14ac:dyDescent="0.4">
      <c r="B842" s="38" t="s">
        <v>391</v>
      </c>
      <c r="C842" s="6" t="s">
        <v>165</v>
      </c>
      <c r="D842" s="6">
        <f t="shared" si="312"/>
        <v>1</v>
      </c>
      <c r="E842" s="34">
        <v>1</v>
      </c>
      <c r="F842" s="212">
        <v>2055</v>
      </c>
      <c r="G842" s="195">
        <v>45993</v>
      </c>
      <c r="H842" s="8"/>
      <c r="I842" s="212">
        <v>2240</v>
      </c>
      <c r="J842" s="8">
        <v>45994</v>
      </c>
      <c r="K842" s="23">
        <f t="shared" si="313"/>
        <v>0</v>
      </c>
      <c r="L842" s="23">
        <f t="shared" si="314"/>
        <v>0.33599999999999997</v>
      </c>
      <c r="M842" s="206">
        <f t="shared" si="315"/>
        <v>3.36</v>
      </c>
      <c r="N842" s="34"/>
      <c r="O842" s="209">
        <f t="shared" si="309"/>
        <v>2</v>
      </c>
      <c r="P842" s="34">
        <f t="shared" si="316"/>
        <v>2055</v>
      </c>
      <c r="Q842" s="34">
        <f t="shared" si="317"/>
        <v>2240</v>
      </c>
      <c r="R842" s="7">
        <f t="shared" si="318"/>
        <v>-3.6959999999999997</v>
      </c>
      <c r="S842" s="227">
        <f t="shared" si="310"/>
        <v>181.304</v>
      </c>
      <c r="T842" s="249">
        <f t="shared" si="311"/>
        <v>8.8225790754257905E-2</v>
      </c>
    </row>
    <row r="843" spans="2:22" s="33" customFormat="1" ht="15" customHeight="1" x14ac:dyDescent="0.4">
      <c r="B843" s="38" t="s">
        <v>393</v>
      </c>
      <c r="C843" s="6" t="s">
        <v>162</v>
      </c>
      <c r="D843" s="6"/>
      <c r="E843" s="36">
        <v>13</v>
      </c>
      <c r="F843" s="212">
        <v>10000</v>
      </c>
      <c r="G843" s="195">
        <v>43798</v>
      </c>
      <c r="H843" s="8"/>
      <c r="I843" s="212">
        <v>11101</v>
      </c>
      <c r="J843" s="8">
        <v>45625</v>
      </c>
      <c r="K843" s="7"/>
      <c r="L843" s="7"/>
      <c r="M843" s="196">
        <v>2290</v>
      </c>
      <c r="N843" s="36">
        <f>(650-90)*20</f>
        <v>11200</v>
      </c>
      <c r="O843" s="191">
        <f t="shared" si="309"/>
        <v>1828</v>
      </c>
      <c r="P843" s="36">
        <f>F843*E843</f>
        <v>130000</v>
      </c>
      <c r="Q843" s="36">
        <f>I843*E843</f>
        <v>144313</v>
      </c>
      <c r="R843" s="7">
        <f>N843-K843-L843-M843</f>
        <v>8910</v>
      </c>
      <c r="S843" s="227">
        <f t="shared" si="310"/>
        <v>23223</v>
      </c>
      <c r="T843" s="248">
        <f t="shared" si="311"/>
        <v>0.17863846153846155</v>
      </c>
      <c r="U843" s="9">
        <f>T843*365/O843</f>
        <v>3.5669058239353651E-2</v>
      </c>
      <c r="V843" s="6"/>
    </row>
    <row r="844" spans="2:22" s="33" customFormat="1" ht="15" customHeight="1" x14ac:dyDescent="0.4">
      <c r="B844" s="38" t="s">
        <v>38</v>
      </c>
      <c r="C844" s="6" t="s">
        <v>162</v>
      </c>
      <c r="D844" s="6"/>
      <c r="E844" s="36">
        <v>15</v>
      </c>
      <c r="F844" s="212">
        <v>117000</v>
      </c>
      <c r="G844" s="195">
        <v>43203</v>
      </c>
      <c r="H844" s="8"/>
      <c r="I844" s="212">
        <v>91000</v>
      </c>
      <c r="J844" s="8">
        <v>43529</v>
      </c>
      <c r="K844" s="7">
        <f>ROUNDDOWN(E844*F844*0.0015,-1)</f>
        <v>2630</v>
      </c>
      <c r="L844" s="7">
        <f>ROUNDDOWN(I844*E844*0.0015,-1)</f>
        <v>2040</v>
      </c>
      <c r="M844" s="196">
        <f>I844*E844*0.003</f>
        <v>4095</v>
      </c>
      <c r="N844" s="36"/>
      <c r="O844" s="191">
        <f t="shared" si="309"/>
        <v>327</v>
      </c>
      <c r="P844" s="36">
        <f>F844*E844</f>
        <v>1755000</v>
      </c>
      <c r="Q844" s="36">
        <f>I844*E844</f>
        <v>1365000</v>
      </c>
      <c r="R844" s="7">
        <f>N844-K844-L844-M844</f>
        <v>-8765</v>
      </c>
      <c r="S844" s="227">
        <f t="shared" si="310"/>
        <v>-398765</v>
      </c>
      <c r="T844" s="248">
        <f t="shared" si="311"/>
        <v>-0.22721652421652422</v>
      </c>
      <c r="U844" s="9">
        <f>T844*365/O844</f>
        <v>-0.25362089094504997</v>
      </c>
      <c r="V844" s="6"/>
    </row>
    <row r="845" spans="2:22" s="33" customFormat="1" ht="15" customHeight="1" x14ac:dyDescent="0.4">
      <c r="B845" s="38" t="s">
        <v>38</v>
      </c>
      <c r="C845" s="6" t="s">
        <v>162</v>
      </c>
      <c r="D845" s="6"/>
      <c r="E845" s="36">
        <v>20</v>
      </c>
      <c r="F845" s="212">
        <v>117000</v>
      </c>
      <c r="G845" s="195">
        <v>43203</v>
      </c>
      <c r="H845" s="8"/>
      <c r="I845" s="212">
        <v>140500</v>
      </c>
      <c r="J845" s="8">
        <v>44067</v>
      </c>
      <c r="K845" s="7">
        <f>ROUNDDOWN(E845*F845*0.0015,-1)</f>
        <v>3510</v>
      </c>
      <c r="L845" s="7">
        <f>ROUNDDOWN(I845*E845*0.0015,-1)</f>
        <v>4210</v>
      </c>
      <c r="M845" s="196">
        <f>ROUNDDOWN(I845*E845*0.0025, )</f>
        <v>7025</v>
      </c>
      <c r="N845" s="36"/>
      <c r="O845" s="191">
        <f t="shared" si="309"/>
        <v>865</v>
      </c>
      <c r="P845" s="36">
        <f>F845*E845</f>
        <v>2340000</v>
      </c>
      <c r="Q845" s="36">
        <f>I845*E845</f>
        <v>2810000</v>
      </c>
      <c r="R845" s="7">
        <f>N845-K845-L845-M845</f>
        <v>-14745</v>
      </c>
      <c r="S845" s="227">
        <f t="shared" si="310"/>
        <v>455255</v>
      </c>
      <c r="T845" s="248">
        <f t="shared" si="311"/>
        <v>0.19455341880341881</v>
      </c>
      <c r="U845" s="9">
        <f>T845*365/O845</f>
        <v>8.2094795217627595E-2</v>
      </c>
      <c r="V845" s="6"/>
    </row>
    <row r="846" spans="2:22" s="33" customFormat="1" ht="15" customHeight="1" x14ac:dyDescent="0.4">
      <c r="B846" s="38" t="s">
        <v>394</v>
      </c>
      <c r="C846" s="6" t="s">
        <v>160</v>
      </c>
      <c r="D846" s="6">
        <f>IF(OR($C846="신한",$C846="OTC",$C846="무상증자(신한)",$C846="토스",$C846="R토스"),1,"확인")</f>
        <v>1</v>
      </c>
      <c r="E846" s="34">
        <v>110</v>
      </c>
      <c r="F846" s="212">
        <v>7270</v>
      </c>
      <c r="G846" s="195">
        <v>44501</v>
      </c>
      <c r="H846" s="8"/>
      <c r="I846" s="212">
        <v>8000</v>
      </c>
      <c r="J846" s="8">
        <v>44536</v>
      </c>
      <c r="K846" s="23">
        <f>IF($C846="OTC",ROUNDDOWN($E846*$F846*0.000909187,-1),(IF($C846="신한",ROUNDDOWN($E846*$F846*0.000036396,-1),(IF($C846="토스",$E846*$F846*0.00015,(IF($C846="US",(IF($E846*$F846*0.0025&gt;0.01,$E846*$F846*0.0025,0.01)),IF($C846="JP",(IF($E846*$F846*0.0025&gt;1000,$E846*$F846*0.0025,1000)),(IF($C846="R토스",0,IF($C846="무상증자(신한)",0,"")))))))))))</f>
        <v>20</v>
      </c>
      <c r="L846" s="23">
        <f>IF($C846="OTC",ROUNDDOWN($I846*$E846*0.000909187,-1),(IF($C846="신한",ROUNDDOWN($I846*$E846*0.000036396,-1),(IF($C846="토스",$I846*$E846*0.00015,(IF($C846="US",(IF($I846*$E846*0.0025&gt;0.01,$I846*$E846*0.0025,0.01)),(IF($C846="JP",(IF($I846*$E846*0.0025&gt;1000,$I846*$E846*0.0025,1000)),(IF($C846="R토스",$I846*$E846*0.00015,(IF($C846="무상증자(신한)",ROUNDDOWN($I846*$E846*0.000036396,-1),"")))))))))))))</f>
        <v>30</v>
      </c>
      <c r="M846" s="206">
        <f>Q846*0.0023</f>
        <v>2024</v>
      </c>
      <c r="N846" s="34"/>
      <c r="O846" s="209">
        <f t="shared" si="309"/>
        <v>36</v>
      </c>
      <c r="P846" s="34">
        <f>$E846*$F846*$D846</f>
        <v>799700</v>
      </c>
      <c r="Q846" s="34">
        <f>$E846*$I846*$D846</f>
        <v>880000</v>
      </c>
      <c r="R846" s="7">
        <f>($N846-$K846-$L846-$M846)*$D846</f>
        <v>-2074</v>
      </c>
      <c r="S846" s="227">
        <f t="shared" si="310"/>
        <v>78226</v>
      </c>
      <c r="T846" s="249">
        <f t="shared" si="311"/>
        <v>9.7819182193322501E-2</v>
      </c>
    </row>
    <row r="847" spans="2:22" s="33" customFormat="1" ht="15" customHeight="1" x14ac:dyDescent="0.4">
      <c r="B847" s="38" t="s">
        <v>395</v>
      </c>
      <c r="C847" s="6" t="s">
        <v>162</v>
      </c>
      <c r="D847" s="6"/>
      <c r="E847" s="36">
        <v>100</v>
      </c>
      <c r="F847" s="212">
        <v>9480</v>
      </c>
      <c r="G847" s="195">
        <v>43124</v>
      </c>
      <c r="H847" s="8"/>
      <c r="I847" s="212">
        <v>9380</v>
      </c>
      <c r="J847" s="8">
        <v>43164</v>
      </c>
      <c r="K847" s="7">
        <f>ROUNDDOWN(E847*F847*0.0015,-1)</f>
        <v>1420</v>
      </c>
      <c r="L847" s="7">
        <f>ROUNDDOWN(I847*E847*0.0015,-1)</f>
        <v>1400</v>
      </c>
      <c r="M847" s="196">
        <f>I847*E847*0.003</f>
        <v>2814</v>
      </c>
      <c r="N847" s="36"/>
      <c r="O847" s="191">
        <f t="shared" si="309"/>
        <v>41</v>
      </c>
      <c r="P847" s="36">
        <f>F847*E847</f>
        <v>948000</v>
      </c>
      <c r="Q847" s="36">
        <f>I847*E847</f>
        <v>938000</v>
      </c>
      <c r="R847" s="7">
        <f>N847-K847-L847-M847</f>
        <v>-5634</v>
      </c>
      <c r="S847" s="227">
        <f t="shared" si="310"/>
        <v>-15634</v>
      </c>
      <c r="T847" s="248">
        <f t="shared" si="311"/>
        <v>-1.6491561181434598E-2</v>
      </c>
      <c r="U847" s="9">
        <f>T847*365/O847</f>
        <v>-0.14681511783472265</v>
      </c>
      <c r="V847" s="6"/>
    </row>
    <row r="848" spans="2:22" s="33" customFormat="1" ht="15" customHeight="1" x14ac:dyDescent="0.4">
      <c r="B848" s="38" t="s">
        <v>146</v>
      </c>
      <c r="C848" s="6" t="s">
        <v>122</v>
      </c>
      <c r="D848" s="6">
        <f t="shared" ref="D848:D866" si="319">IF(OR($C848="신한",$C848="OTC",$C848="무상증자(신한)",$C848="토스",$C848="R토스"),1,"확인")</f>
        <v>1</v>
      </c>
      <c r="E848" s="34">
        <v>200</v>
      </c>
      <c r="F848" s="212">
        <v>14380</v>
      </c>
      <c r="G848" s="195">
        <v>45848</v>
      </c>
      <c r="H848" s="8" t="s">
        <v>113</v>
      </c>
      <c r="I848" s="212">
        <v>14540</v>
      </c>
      <c r="J848" s="8">
        <v>46010</v>
      </c>
      <c r="K848" s="23">
        <f t="shared" ref="K848:K866" si="320">IF($C848="OTC",ROUNDDOWN($E848*$F848*0.000909187,-1),(IF($C848="신한",ROUNDDOWN($E848*$F848*0.000036396,-1),(IF($C848="토스",$E848*$F848*0.00015,(IF($C848="US",(IF($E848*$F848*0.0025&gt;0.01,$E848*$F848*0.0025,0.01)),IF($C848="JP",(IF($E848*$F848*0.0025&gt;1000,$E848*$F848*0.0025,1000)),(IF($C848="R토스",0,IF($C848="무상증자(신한)",0,"")))))))))))</f>
        <v>431.4</v>
      </c>
      <c r="L848" s="307">
        <v>0</v>
      </c>
      <c r="M848" s="206">
        <f t="shared" ref="M848:M866" si="321">Q848*0.0015</f>
        <v>4362</v>
      </c>
      <c r="N848" s="34"/>
      <c r="O848" s="209">
        <f t="shared" si="309"/>
        <v>163</v>
      </c>
      <c r="P848" s="34">
        <f t="shared" ref="P848:P866" si="322">$E848*$F848*$D848</f>
        <v>2876000</v>
      </c>
      <c r="Q848" s="34">
        <f t="shared" ref="Q848:Q866" si="323">$E848*$I848*$D848</f>
        <v>2908000</v>
      </c>
      <c r="R848" s="7">
        <f t="shared" ref="R848:R866" si="324">($N848-$K848-$L848-$M848)*$D848</f>
        <v>-4793.3999999999996</v>
      </c>
      <c r="S848" s="227">
        <f t="shared" si="310"/>
        <v>27206.6</v>
      </c>
      <c r="T848" s="249">
        <f t="shared" si="311"/>
        <v>9.4598748261474266E-3</v>
      </c>
      <c r="V848" s="36">
        <f t="shared" ref="V848:V857" si="325">+P848*0.05*O848/365</f>
        <v>64217.534246575342</v>
      </c>
    </row>
    <row r="849" spans="2:22" s="33" customFormat="1" ht="15" customHeight="1" x14ac:dyDescent="0.4">
      <c r="B849" s="38" t="s">
        <v>146</v>
      </c>
      <c r="C849" s="6" t="s">
        <v>122</v>
      </c>
      <c r="D849" s="6">
        <f t="shared" si="319"/>
        <v>1</v>
      </c>
      <c r="E849" s="34">
        <v>20</v>
      </c>
      <c r="F849" s="212">
        <v>12000</v>
      </c>
      <c r="G849" s="195">
        <v>45859</v>
      </c>
      <c r="H849" s="8" t="s">
        <v>113</v>
      </c>
      <c r="I849" s="212">
        <v>13770</v>
      </c>
      <c r="J849" s="8">
        <v>46009</v>
      </c>
      <c r="K849" s="23">
        <f t="shared" si="320"/>
        <v>36</v>
      </c>
      <c r="L849" s="307">
        <v>0</v>
      </c>
      <c r="M849" s="206">
        <f t="shared" si="321"/>
        <v>413.1</v>
      </c>
      <c r="N849" s="34"/>
      <c r="O849" s="209">
        <f t="shared" si="309"/>
        <v>151</v>
      </c>
      <c r="P849" s="34">
        <f t="shared" si="322"/>
        <v>240000</v>
      </c>
      <c r="Q849" s="34">
        <f t="shared" si="323"/>
        <v>275400</v>
      </c>
      <c r="R849" s="7">
        <f t="shared" si="324"/>
        <v>-449.1</v>
      </c>
      <c r="S849" s="227">
        <f t="shared" si="310"/>
        <v>34950.9</v>
      </c>
      <c r="T849" s="249">
        <f t="shared" si="311"/>
        <v>0.14562875</v>
      </c>
      <c r="V849" s="36">
        <f t="shared" si="325"/>
        <v>4964.3835616438355</v>
      </c>
    </row>
    <row r="850" spans="2:22" s="33" customFormat="1" ht="15" customHeight="1" x14ac:dyDescent="0.4">
      <c r="B850" s="38" t="s">
        <v>146</v>
      </c>
      <c r="C850" s="6" t="s">
        <v>122</v>
      </c>
      <c r="D850" s="6">
        <f t="shared" si="319"/>
        <v>1</v>
      </c>
      <c r="E850" s="34">
        <v>17</v>
      </c>
      <c r="F850" s="212">
        <v>11950</v>
      </c>
      <c r="G850" s="195">
        <v>45861</v>
      </c>
      <c r="H850" s="8" t="s">
        <v>113</v>
      </c>
      <c r="I850" s="212">
        <v>14540</v>
      </c>
      <c r="J850" s="8">
        <v>46010</v>
      </c>
      <c r="K850" s="23">
        <f t="shared" si="320"/>
        <v>30.472499999999997</v>
      </c>
      <c r="L850" s="307">
        <v>0</v>
      </c>
      <c r="M850" s="206">
        <f t="shared" si="321"/>
        <v>370.77</v>
      </c>
      <c r="N850" s="34"/>
      <c r="O850" s="209">
        <f t="shared" si="309"/>
        <v>150</v>
      </c>
      <c r="P850" s="34">
        <f t="shared" si="322"/>
        <v>203150</v>
      </c>
      <c r="Q850" s="34">
        <f t="shared" si="323"/>
        <v>247180</v>
      </c>
      <c r="R850" s="7">
        <f t="shared" si="324"/>
        <v>-401.24249999999995</v>
      </c>
      <c r="S850" s="227">
        <f t="shared" si="310"/>
        <v>43628.7575</v>
      </c>
      <c r="T850" s="249">
        <f t="shared" si="311"/>
        <v>0.2147612970711297</v>
      </c>
      <c r="V850" s="36">
        <f t="shared" si="325"/>
        <v>4174.3150684931506</v>
      </c>
    </row>
    <row r="851" spans="2:22" s="33" customFormat="1" ht="15" customHeight="1" x14ac:dyDescent="0.4">
      <c r="B851" s="38" t="s">
        <v>146</v>
      </c>
      <c r="C851" s="6" t="s">
        <v>122</v>
      </c>
      <c r="D851" s="6">
        <f t="shared" si="319"/>
        <v>1</v>
      </c>
      <c r="E851" s="34">
        <v>10</v>
      </c>
      <c r="F851" s="212">
        <v>10600</v>
      </c>
      <c r="G851" s="195">
        <v>45880</v>
      </c>
      <c r="H851" s="8" t="s">
        <v>113</v>
      </c>
      <c r="I851" s="212">
        <v>13770</v>
      </c>
      <c r="J851" s="8">
        <v>46009</v>
      </c>
      <c r="K851" s="23">
        <f t="shared" si="320"/>
        <v>15.899999999999999</v>
      </c>
      <c r="L851" s="307">
        <v>0</v>
      </c>
      <c r="M851" s="206">
        <f t="shared" si="321"/>
        <v>206.55</v>
      </c>
      <c r="N851" s="34"/>
      <c r="O851" s="209">
        <f t="shared" si="309"/>
        <v>130</v>
      </c>
      <c r="P851" s="34">
        <f t="shared" si="322"/>
        <v>106000</v>
      </c>
      <c r="Q851" s="34">
        <f t="shared" si="323"/>
        <v>137700</v>
      </c>
      <c r="R851" s="7">
        <f t="shared" si="324"/>
        <v>-222.45000000000002</v>
      </c>
      <c r="S851" s="227">
        <f t="shared" si="310"/>
        <v>31477.55</v>
      </c>
      <c r="T851" s="249">
        <f t="shared" si="311"/>
        <v>0.2969580188679245</v>
      </c>
      <c r="V851" s="36">
        <f t="shared" si="325"/>
        <v>1887.6712328767123</v>
      </c>
    </row>
    <row r="852" spans="2:22" s="33" customFormat="1" ht="15" customHeight="1" x14ac:dyDescent="0.4">
      <c r="B852" s="38" t="s">
        <v>146</v>
      </c>
      <c r="C852" s="6" t="s">
        <v>122</v>
      </c>
      <c r="D852" s="6">
        <f t="shared" si="319"/>
        <v>1</v>
      </c>
      <c r="E852" s="34">
        <v>18</v>
      </c>
      <c r="F852" s="212">
        <v>10250</v>
      </c>
      <c r="G852" s="195">
        <v>45894</v>
      </c>
      <c r="H852" s="8" t="s">
        <v>113</v>
      </c>
      <c r="I852" s="212">
        <v>14540</v>
      </c>
      <c r="J852" s="8">
        <v>46010</v>
      </c>
      <c r="K852" s="23">
        <f t="shared" si="320"/>
        <v>27.674999999999997</v>
      </c>
      <c r="L852" s="307">
        <v>0</v>
      </c>
      <c r="M852" s="206">
        <f t="shared" si="321"/>
        <v>392.58</v>
      </c>
      <c r="N852" s="34"/>
      <c r="O852" s="209">
        <f t="shared" si="309"/>
        <v>117</v>
      </c>
      <c r="P852" s="34">
        <f t="shared" si="322"/>
        <v>184500</v>
      </c>
      <c r="Q852" s="34">
        <f t="shared" si="323"/>
        <v>261720</v>
      </c>
      <c r="R852" s="7">
        <f t="shared" si="324"/>
        <v>-420.255</v>
      </c>
      <c r="S852" s="227">
        <f t="shared" si="310"/>
        <v>76799.744999999995</v>
      </c>
      <c r="T852" s="249">
        <f t="shared" si="311"/>
        <v>0.41625878048780485</v>
      </c>
      <c r="V852" s="36">
        <f t="shared" si="325"/>
        <v>2957.0547945205481</v>
      </c>
    </row>
    <row r="853" spans="2:22" s="33" customFormat="1" ht="15" customHeight="1" x14ac:dyDescent="0.4">
      <c r="B853" s="38" t="s">
        <v>146</v>
      </c>
      <c r="C853" s="6" t="s">
        <v>122</v>
      </c>
      <c r="D853" s="6">
        <f t="shared" si="319"/>
        <v>1</v>
      </c>
      <c r="E853" s="34">
        <v>70</v>
      </c>
      <c r="F853" s="212">
        <v>11130</v>
      </c>
      <c r="G853" s="195">
        <v>45917</v>
      </c>
      <c r="H853" s="8" t="s">
        <v>113</v>
      </c>
      <c r="I853" s="212">
        <v>14540</v>
      </c>
      <c r="J853" s="8">
        <v>46010</v>
      </c>
      <c r="K853" s="23">
        <f t="shared" si="320"/>
        <v>116.86499999999999</v>
      </c>
      <c r="L853" s="307">
        <v>0</v>
      </c>
      <c r="M853" s="206">
        <f t="shared" si="321"/>
        <v>1526.7</v>
      </c>
      <c r="N853" s="34"/>
      <c r="O853" s="209">
        <f t="shared" si="309"/>
        <v>94</v>
      </c>
      <c r="P853" s="34">
        <f t="shared" si="322"/>
        <v>779100</v>
      </c>
      <c r="Q853" s="34">
        <f t="shared" si="323"/>
        <v>1017800</v>
      </c>
      <c r="R853" s="7">
        <f t="shared" si="324"/>
        <v>-1643.5650000000001</v>
      </c>
      <c r="S853" s="227">
        <f t="shared" si="310"/>
        <v>237056.435</v>
      </c>
      <c r="T853" s="249">
        <f t="shared" si="311"/>
        <v>0.30426958670260557</v>
      </c>
      <c r="V853" s="36">
        <f t="shared" si="325"/>
        <v>10032.246575342466</v>
      </c>
    </row>
    <row r="854" spans="2:22" s="33" customFormat="1" ht="15" customHeight="1" x14ac:dyDescent="0.4">
      <c r="B854" s="38" t="s">
        <v>146</v>
      </c>
      <c r="C854" s="6" t="s">
        <v>122</v>
      </c>
      <c r="D854" s="6">
        <f t="shared" si="319"/>
        <v>1</v>
      </c>
      <c r="E854" s="34">
        <v>30</v>
      </c>
      <c r="F854" s="212">
        <v>11170</v>
      </c>
      <c r="G854" s="195">
        <v>45918</v>
      </c>
      <c r="H854" s="8" t="s">
        <v>113</v>
      </c>
      <c r="I854" s="212">
        <v>13770</v>
      </c>
      <c r="J854" s="8">
        <v>46009</v>
      </c>
      <c r="K854" s="23">
        <f t="shared" si="320"/>
        <v>50.264999999999993</v>
      </c>
      <c r="L854" s="307">
        <v>0</v>
      </c>
      <c r="M854" s="206">
        <f t="shared" si="321"/>
        <v>619.65</v>
      </c>
      <c r="N854" s="34"/>
      <c r="O854" s="209">
        <f t="shared" si="309"/>
        <v>92</v>
      </c>
      <c r="P854" s="34">
        <f t="shared" si="322"/>
        <v>335100</v>
      </c>
      <c r="Q854" s="34">
        <f t="shared" si="323"/>
        <v>413100</v>
      </c>
      <c r="R854" s="7">
        <f t="shared" si="324"/>
        <v>-669.91499999999996</v>
      </c>
      <c r="S854" s="227">
        <f t="shared" si="310"/>
        <v>77330.085000000006</v>
      </c>
      <c r="T854" s="249">
        <f t="shared" si="311"/>
        <v>0.23076718889883618</v>
      </c>
      <c r="V854" s="36">
        <f t="shared" si="325"/>
        <v>4223.178082191781</v>
      </c>
    </row>
    <row r="855" spans="2:22" s="33" customFormat="1" ht="15" customHeight="1" x14ac:dyDescent="0.4">
      <c r="B855" s="38" t="s">
        <v>146</v>
      </c>
      <c r="C855" s="6" t="s">
        <v>122</v>
      </c>
      <c r="D855" s="6">
        <f t="shared" si="319"/>
        <v>1</v>
      </c>
      <c r="E855" s="34">
        <v>30</v>
      </c>
      <c r="F855" s="212">
        <v>10920</v>
      </c>
      <c r="G855" s="195">
        <v>45922</v>
      </c>
      <c r="H855" s="8" t="s">
        <v>113</v>
      </c>
      <c r="I855" s="212">
        <v>14540</v>
      </c>
      <c r="J855" s="8">
        <v>46010</v>
      </c>
      <c r="K855" s="23">
        <f t="shared" si="320"/>
        <v>49.139999999999993</v>
      </c>
      <c r="L855" s="307">
        <v>0</v>
      </c>
      <c r="M855" s="206">
        <f t="shared" si="321"/>
        <v>654.30000000000007</v>
      </c>
      <c r="N855" s="34"/>
      <c r="O855" s="209">
        <f t="shared" si="309"/>
        <v>89</v>
      </c>
      <c r="P855" s="34">
        <f t="shared" si="322"/>
        <v>327600</v>
      </c>
      <c r="Q855" s="34">
        <f t="shared" si="323"/>
        <v>436200</v>
      </c>
      <c r="R855" s="7">
        <f t="shared" si="324"/>
        <v>-703.44</v>
      </c>
      <c r="S855" s="227">
        <f t="shared" si="310"/>
        <v>107896.56</v>
      </c>
      <c r="T855" s="249">
        <f t="shared" si="311"/>
        <v>0.32935457875457874</v>
      </c>
      <c r="V855" s="36">
        <f t="shared" si="325"/>
        <v>3994.027397260274</v>
      </c>
    </row>
    <row r="856" spans="2:22" s="33" customFormat="1" ht="15" customHeight="1" x14ac:dyDescent="0.4">
      <c r="B856" s="38" t="s">
        <v>146</v>
      </c>
      <c r="C856" s="6" t="s">
        <v>122</v>
      </c>
      <c r="D856" s="6">
        <f t="shared" si="319"/>
        <v>1</v>
      </c>
      <c r="E856" s="34">
        <v>20</v>
      </c>
      <c r="F856" s="212">
        <v>10080</v>
      </c>
      <c r="G856" s="195">
        <v>45930</v>
      </c>
      <c r="H856" s="8" t="s">
        <v>113</v>
      </c>
      <c r="I856" s="212">
        <v>14540</v>
      </c>
      <c r="J856" s="8">
        <v>46010</v>
      </c>
      <c r="K856" s="23">
        <f t="shared" si="320"/>
        <v>30.24</v>
      </c>
      <c r="L856" s="307">
        <v>0</v>
      </c>
      <c r="M856" s="206">
        <f t="shared" si="321"/>
        <v>436.2</v>
      </c>
      <c r="N856" s="34"/>
      <c r="O856" s="209">
        <f t="shared" si="309"/>
        <v>81</v>
      </c>
      <c r="P856" s="34">
        <f t="shared" si="322"/>
        <v>201600</v>
      </c>
      <c r="Q856" s="34">
        <f t="shared" si="323"/>
        <v>290800</v>
      </c>
      <c r="R856" s="7">
        <f t="shared" si="324"/>
        <v>-466.44</v>
      </c>
      <c r="S856" s="227">
        <f t="shared" si="310"/>
        <v>88733.56</v>
      </c>
      <c r="T856" s="249">
        <f t="shared" si="311"/>
        <v>0.44014662698412699</v>
      </c>
      <c r="V856" s="36">
        <f t="shared" si="325"/>
        <v>2236.9315068493152</v>
      </c>
    </row>
    <row r="857" spans="2:22" s="33" customFormat="1" ht="15" customHeight="1" x14ac:dyDescent="0.4">
      <c r="B857" s="38" t="s">
        <v>146</v>
      </c>
      <c r="C857" s="6" t="s">
        <v>122</v>
      </c>
      <c r="D857" s="6">
        <f t="shared" si="319"/>
        <v>1</v>
      </c>
      <c r="E857" s="34">
        <v>15</v>
      </c>
      <c r="F857" s="212">
        <v>10050</v>
      </c>
      <c r="G857" s="195">
        <v>45940</v>
      </c>
      <c r="H857" s="8" t="s">
        <v>113</v>
      </c>
      <c r="I857" s="212">
        <v>13770</v>
      </c>
      <c r="J857" s="8">
        <v>46009</v>
      </c>
      <c r="K857" s="23">
        <f t="shared" si="320"/>
        <v>22.612499999999997</v>
      </c>
      <c r="L857" s="307">
        <v>0</v>
      </c>
      <c r="M857" s="206">
        <f t="shared" si="321"/>
        <v>309.82499999999999</v>
      </c>
      <c r="N857" s="34"/>
      <c r="O857" s="209">
        <f t="shared" si="309"/>
        <v>70</v>
      </c>
      <c r="P857" s="34">
        <f t="shared" si="322"/>
        <v>150750</v>
      </c>
      <c r="Q857" s="34">
        <f t="shared" si="323"/>
        <v>206550</v>
      </c>
      <c r="R857" s="7">
        <f t="shared" si="324"/>
        <v>-332.4375</v>
      </c>
      <c r="S857" s="227">
        <f t="shared" si="310"/>
        <v>55467.5625</v>
      </c>
      <c r="T857" s="249">
        <f t="shared" si="311"/>
        <v>0.36794402985074626</v>
      </c>
      <c r="V857" s="36">
        <f t="shared" si="325"/>
        <v>1445.5479452054794</v>
      </c>
    </row>
    <row r="858" spans="2:22" s="33" customFormat="1" ht="15" customHeight="1" x14ac:dyDescent="0.4">
      <c r="B858" s="38" t="s">
        <v>146</v>
      </c>
      <c r="C858" s="6" t="s">
        <v>165</v>
      </c>
      <c r="D858" s="6">
        <f t="shared" si="319"/>
        <v>1</v>
      </c>
      <c r="E858" s="34">
        <v>10</v>
      </c>
      <c r="F858" s="212">
        <v>9720</v>
      </c>
      <c r="G858" s="195">
        <v>45947</v>
      </c>
      <c r="H858" s="8"/>
      <c r="I858" s="212">
        <v>14540</v>
      </c>
      <c r="J858" s="8">
        <v>46010</v>
      </c>
      <c r="K858" s="23">
        <f t="shared" si="320"/>
        <v>0</v>
      </c>
      <c r="L858" s="307">
        <v>0</v>
      </c>
      <c r="M858" s="206">
        <f t="shared" si="321"/>
        <v>218.1</v>
      </c>
      <c r="N858" s="34"/>
      <c r="O858" s="209">
        <f t="shared" ref="O858:O921" si="326">J858-G858+1</f>
        <v>64</v>
      </c>
      <c r="P858" s="34">
        <f t="shared" si="322"/>
        <v>97200</v>
      </c>
      <c r="Q858" s="34">
        <f t="shared" si="323"/>
        <v>145400</v>
      </c>
      <c r="R858" s="7">
        <f t="shared" si="324"/>
        <v>-218.1</v>
      </c>
      <c r="S858" s="227">
        <f t="shared" ref="S858:S921" si="327">IF(Q858=0,0,Q858-P858+R858)</f>
        <v>47981.9</v>
      </c>
      <c r="T858" s="249">
        <f t="shared" ref="T858:T921" si="328">S858/P858</f>
        <v>0.49364094650205764</v>
      </c>
      <c r="V858" s="36"/>
    </row>
    <row r="859" spans="2:22" s="33" customFormat="1" ht="15" customHeight="1" x14ac:dyDescent="0.4">
      <c r="B859" s="38" t="s">
        <v>146</v>
      </c>
      <c r="C859" s="6" t="s">
        <v>165</v>
      </c>
      <c r="D859" s="6">
        <f t="shared" si="319"/>
        <v>1</v>
      </c>
      <c r="E859" s="34">
        <v>10</v>
      </c>
      <c r="F859" s="212">
        <v>9870</v>
      </c>
      <c r="G859" s="195">
        <v>45954</v>
      </c>
      <c r="H859" s="8"/>
      <c r="I859" s="212">
        <v>14540</v>
      </c>
      <c r="J859" s="8">
        <v>46010</v>
      </c>
      <c r="K859" s="23">
        <f t="shared" si="320"/>
        <v>0</v>
      </c>
      <c r="L859" s="307">
        <v>0</v>
      </c>
      <c r="M859" s="206">
        <f t="shared" si="321"/>
        <v>218.1</v>
      </c>
      <c r="N859" s="34"/>
      <c r="O859" s="209">
        <f t="shared" si="326"/>
        <v>57</v>
      </c>
      <c r="P859" s="34">
        <f t="shared" si="322"/>
        <v>98700</v>
      </c>
      <c r="Q859" s="34">
        <f t="shared" si="323"/>
        <v>145400</v>
      </c>
      <c r="R859" s="7">
        <f t="shared" si="324"/>
        <v>-218.1</v>
      </c>
      <c r="S859" s="227">
        <f t="shared" si="327"/>
        <v>46481.9</v>
      </c>
      <c r="T859" s="249">
        <f t="shared" si="328"/>
        <v>0.47094123606889565</v>
      </c>
      <c r="U859" s="38"/>
      <c r="V859" s="36"/>
    </row>
    <row r="860" spans="2:22" s="33" customFormat="1" ht="15" customHeight="1" x14ac:dyDescent="0.4">
      <c r="B860" s="38" t="s">
        <v>146</v>
      </c>
      <c r="C860" s="6" t="s">
        <v>165</v>
      </c>
      <c r="D860" s="6">
        <f t="shared" si="319"/>
        <v>1</v>
      </c>
      <c r="E860" s="34">
        <v>10</v>
      </c>
      <c r="F860" s="212">
        <v>10470</v>
      </c>
      <c r="G860" s="195">
        <v>45961</v>
      </c>
      <c r="H860" s="8"/>
      <c r="I860" s="212">
        <v>14540</v>
      </c>
      <c r="J860" s="8">
        <v>46010</v>
      </c>
      <c r="K860" s="23">
        <f t="shared" si="320"/>
        <v>0</v>
      </c>
      <c r="L860" s="307">
        <v>0</v>
      </c>
      <c r="M860" s="206">
        <f t="shared" si="321"/>
        <v>218.1</v>
      </c>
      <c r="N860" s="34"/>
      <c r="O860" s="209">
        <f t="shared" si="326"/>
        <v>50</v>
      </c>
      <c r="P860" s="34">
        <f t="shared" si="322"/>
        <v>104700</v>
      </c>
      <c r="Q860" s="34">
        <f t="shared" si="323"/>
        <v>145400</v>
      </c>
      <c r="R860" s="7">
        <f t="shared" si="324"/>
        <v>-218.1</v>
      </c>
      <c r="S860" s="227">
        <f t="shared" si="327"/>
        <v>40481.9</v>
      </c>
      <c r="T860" s="249">
        <f t="shared" si="328"/>
        <v>0.38664660936007644</v>
      </c>
      <c r="U860" s="38"/>
      <c r="V860" s="36"/>
    </row>
    <row r="861" spans="2:22" s="33" customFormat="1" ht="15" customHeight="1" x14ac:dyDescent="0.4">
      <c r="B861" s="38" t="s">
        <v>146</v>
      </c>
      <c r="C861" s="6" t="s">
        <v>165</v>
      </c>
      <c r="D861" s="6">
        <f t="shared" si="319"/>
        <v>1</v>
      </c>
      <c r="E861" s="34">
        <v>10</v>
      </c>
      <c r="F861" s="212">
        <v>10260</v>
      </c>
      <c r="G861" s="195">
        <v>45968</v>
      </c>
      <c r="H861" s="8"/>
      <c r="I861" s="212">
        <v>14540</v>
      </c>
      <c r="J861" s="8">
        <v>46010</v>
      </c>
      <c r="K861" s="23">
        <f t="shared" si="320"/>
        <v>0</v>
      </c>
      <c r="L861" s="307">
        <v>0</v>
      </c>
      <c r="M861" s="206">
        <f t="shared" si="321"/>
        <v>218.1</v>
      </c>
      <c r="N861" s="34"/>
      <c r="O861" s="209">
        <f t="shared" si="326"/>
        <v>43</v>
      </c>
      <c r="P861" s="34">
        <f t="shared" si="322"/>
        <v>102600</v>
      </c>
      <c r="Q861" s="34">
        <f t="shared" si="323"/>
        <v>145400</v>
      </c>
      <c r="R861" s="7">
        <f t="shared" si="324"/>
        <v>-218.1</v>
      </c>
      <c r="S861" s="227">
        <f t="shared" si="327"/>
        <v>42581.9</v>
      </c>
      <c r="T861" s="249">
        <f t="shared" si="328"/>
        <v>0.41502826510721247</v>
      </c>
      <c r="V861" s="36"/>
    </row>
    <row r="862" spans="2:22" s="33" customFormat="1" ht="15" customHeight="1" x14ac:dyDescent="0.4">
      <c r="B862" s="38" t="s">
        <v>146</v>
      </c>
      <c r="C862" s="6" t="s">
        <v>165</v>
      </c>
      <c r="D862" s="6">
        <f t="shared" si="319"/>
        <v>1</v>
      </c>
      <c r="E862" s="34">
        <v>10</v>
      </c>
      <c r="F862" s="212">
        <v>10290</v>
      </c>
      <c r="G862" s="195">
        <v>45975</v>
      </c>
      <c r="H862" s="8"/>
      <c r="I862" s="212">
        <v>14540</v>
      </c>
      <c r="J862" s="8">
        <v>46010</v>
      </c>
      <c r="K862" s="23">
        <f t="shared" si="320"/>
        <v>0</v>
      </c>
      <c r="L862" s="307">
        <v>0</v>
      </c>
      <c r="M862" s="206">
        <f t="shared" si="321"/>
        <v>218.1</v>
      </c>
      <c r="N862" s="34"/>
      <c r="O862" s="209">
        <f t="shared" si="326"/>
        <v>36</v>
      </c>
      <c r="P862" s="34">
        <f t="shared" si="322"/>
        <v>102900</v>
      </c>
      <c r="Q862" s="34">
        <f t="shared" si="323"/>
        <v>145400</v>
      </c>
      <c r="R862" s="7">
        <f t="shared" si="324"/>
        <v>-218.1</v>
      </c>
      <c r="S862" s="227">
        <f t="shared" si="327"/>
        <v>42281.9</v>
      </c>
      <c r="T862" s="249">
        <f t="shared" si="328"/>
        <v>0.41090281827016523</v>
      </c>
      <c r="V862" s="36"/>
    </row>
    <row r="863" spans="2:22" s="33" customFormat="1" ht="15" customHeight="1" x14ac:dyDescent="0.4">
      <c r="B863" s="38" t="s">
        <v>146</v>
      </c>
      <c r="C863" s="6" t="s">
        <v>165</v>
      </c>
      <c r="D863" s="6">
        <f t="shared" si="319"/>
        <v>1</v>
      </c>
      <c r="E863" s="34">
        <v>10</v>
      </c>
      <c r="F863" s="212">
        <v>11030</v>
      </c>
      <c r="G863" s="195">
        <v>45982</v>
      </c>
      <c r="H863" s="8"/>
      <c r="I863" s="212">
        <v>14540</v>
      </c>
      <c r="J863" s="8">
        <v>46010</v>
      </c>
      <c r="K863" s="23">
        <f t="shared" si="320"/>
        <v>0</v>
      </c>
      <c r="L863" s="307">
        <v>0</v>
      </c>
      <c r="M863" s="206">
        <f t="shared" si="321"/>
        <v>218.1</v>
      </c>
      <c r="N863" s="34"/>
      <c r="O863" s="209">
        <f t="shared" si="326"/>
        <v>29</v>
      </c>
      <c r="P863" s="34">
        <f t="shared" si="322"/>
        <v>110300</v>
      </c>
      <c r="Q863" s="34">
        <f t="shared" si="323"/>
        <v>145400</v>
      </c>
      <c r="R863" s="7">
        <f t="shared" si="324"/>
        <v>-218.1</v>
      </c>
      <c r="S863" s="227">
        <f t="shared" si="327"/>
        <v>34881.9</v>
      </c>
      <c r="T863" s="249">
        <f t="shared" si="328"/>
        <v>0.31624569356300997</v>
      </c>
      <c r="V863" s="36"/>
    </row>
    <row r="864" spans="2:22" s="33" customFormat="1" ht="15" customHeight="1" x14ac:dyDescent="0.4">
      <c r="B864" s="38" t="s">
        <v>146</v>
      </c>
      <c r="C864" s="6" t="s">
        <v>165</v>
      </c>
      <c r="D864" s="6">
        <f t="shared" si="319"/>
        <v>1</v>
      </c>
      <c r="E864" s="34">
        <v>10</v>
      </c>
      <c r="F864" s="212">
        <v>11675</v>
      </c>
      <c r="G864" s="195">
        <v>45989</v>
      </c>
      <c r="H864" s="8"/>
      <c r="I864" s="212">
        <v>14540</v>
      </c>
      <c r="J864" s="8">
        <v>46010</v>
      </c>
      <c r="K864" s="23">
        <f t="shared" si="320"/>
        <v>0</v>
      </c>
      <c r="L864" s="307">
        <v>0</v>
      </c>
      <c r="M864" s="206">
        <f t="shared" si="321"/>
        <v>218.1</v>
      </c>
      <c r="N864" s="34"/>
      <c r="O864" s="209">
        <f t="shared" si="326"/>
        <v>22</v>
      </c>
      <c r="P864" s="34">
        <f t="shared" si="322"/>
        <v>116750</v>
      </c>
      <c r="Q864" s="34">
        <f t="shared" si="323"/>
        <v>145400</v>
      </c>
      <c r="R864" s="7">
        <f t="shared" si="324"/>
        <v>-218.1</v>
      </c>
      <c r="S864" s="227">
        <f t="shared" si="327"/>
        <v>28431.9</v>
      </c>
      <c r="T864" s="249">
        <f t="shared" si="328"/>
        <v>0.24352805139186295</v>
      </c>
      <c r="V864" s="36"/>
    </row>
    <row r="865" spans="2:22" s="33" customFormat="1" ht="15" customHeight="1" x14ac:dyDescent="0.4">
      <c r="B865" s="38" t="s">
        <v>146</v>
      </c>
      <c r="C865" s="6" t="s">
        <v>165</v>
      </c>
      <c r="D865" s="6">
        <f t="shared" si="319"/>
        <v>1</v>
      </c>
      <c r="E865" s="34">
        <v>10</v>
      </c>
      <c r="F865" s="212">
        <v>12080</v>
      </c>
      <c r="G865" s="195">
        <v>45996</v>
      </c>
      <c r="H865" s="8"/>
      <c r="I865" s="212">
        <v>14540</v>
      </c>
      <c r="J865" s="8">
        <v>46010</v>
      </c>
      <c r="K865" s="23">
        <f t="shared" si="320"/>
        <v>0</v>
      </c>
      <c r="L865" s="307">
        <v>0</v>
      </c>
      <c r="M865" s="206">
        <f t="shared" si="321"/>
        <v>218.1</v>
      </c>
      <c r="N865" s="34"/>
      <c r="O865" s="209">
        <f t="shared" si="326"/>
        <v>15</v>
      </c>
      <c r="P865" s="34">
        <f t="shared" si="322"/>
        <v>120800</v>
      </c>
      <c r="Q865" s="34">
        <f t="shared" si="323"/>
        <v>145400</v>
      </c>
      <c r="R865" s="7">
        <f t="shared" si="324"/>
        <v>-218.1</v>
      </c>
      <c r="S865" s="227">
        <f t="shared" si="327"/>
        <v>24381.9</v>
      </c>
      <c r="T865" s="249">
        <f t="shared" si="328"/>
        <v>0.20183692052980134</v>
      </c>
      <c r="V865" s="36"/>
    </row>
    <row r="866" spans="2:22" ht="15" customHeight="1" x14ac:dyDescent="0.4">
      <c r="B866" s="38" t="s">
        <v>146</v>
      </c>
      <c r="C866" s="6" t="s">
        <v>165</v>
      </c>
      <c r="D866" s="6">
        <f t="shared" si="319"/>
        <v>1</v>
      </c>
      <c r="E866" s="34">
        <v>10</v>
      </c>
      <c r="F866" s="212">
        <v>13525</v>
      </c>
      <c r="G866" s="195">
        <v>46003</v>
      </c>
      <c r="H866" s="8"/>
      <c r="I866" s="212">
        <v>14540</v>
      </c>
      <c r="J866" s="8">
        <v>46010</v>
      </c>
      <c r="K866" s="23">
        <f t="shared" si="320"/>
        <v>0</v>
      </c>
      <c r="L866" s="307">
        <v>0</v>
      </c>
      <c r="M866" s="206">
        <f t="shared" si="321"/>
        <v>218.1</v>
      </c>
      <c r="N866" s="34"/>
      <c r="O866" s="209">
        <f t="shared" si="326"/>
        <v>8</v>
      </c>
      <c r="P866" s="34">
        <f t="shared" si="322"/>
        <v>135250</v>
      </c>
      <c r="Q866" s="34">
        <f t="shared" si="323"/>
        <v>145400</v>
      </c>
      <c r="R866" s="7">
        <f t="shared" si="324"/>
        <v>-218.1</v>
      </c>
      <c r="S866" s="227">
        <f t="shared" si="327"/>
        <v>9931.9</v>
      </c>
      <c r="T866" s="249">
        <f t="shared" si="328"/>
        <v>7.3433641404805919E-2</v>
      </c>
      <c r="U866" s="38"/>
      <c r="V866" s="36"/>
    </row>
    <row r="867" spans="2:22" ht="15" customHeight="1" x14ac:dyDescent="0.4">
      <c r="B867" s="38" t="s">
        <v>396</v>
      </c>
      <c r="C867" s="6" t="s">
        <v>162</v>
      </c>
      <c r="D867" s="6"/>
      <c r="E867" s="36">
        <v>150</v>
      </c>
      <c r="F867" s="212">
        <v>4300</v>
      </c>
      <c r="G867" s="195">
        <v>42580</v>
      </c>
      <c r="H867" s="8"/>
      <c r="I867" s="212">
        <v>3750</v>
      </c>
      <c r="J867" s="8">
        <v>42648</v>
      </c>
      <c r="K867" s="7">
        <f>ROUNDDOWN(E867*F867*0.0015,-1)</f>
        <v>960</v>
      </c>
      <c r="L867" s="7">
        <f>ROUNDDOWN(I867*E867*0.0015,-1)</f>
        <v>840</v>
      </c>
      <c r="M867" s="196">
        <f>I867*E867*0.003</f>
        <v>1687.5</v>
      </c>
      <c r="N867" s="36"/>
      <c r="O867" s="191">
        <f t="shared" si="326"/>
        <v>69</v>
      </c>
      <c r="P867" s="36">
        <f>F867*E867</f>
        <v>645000</v>
      </c>
      <c r="Q867" s="36">
        <f>I867*E867</f>
        <v>562500</v>
      </c>
      <c r="R867" s="7">
        <f>N867-K867-L867-M867</f>
        <v>-3487.5</v>
      </c>
      <c r="S867" s="227">
        <f t="shared" si="327"/>
        <v>-85987.5</v>
      </c>
      <c r="T867" s="248">
        <f t="shared" si="328"/>
        <v>-0.13331395348837211</v>
      </c>
      <c r="U867" s="193">
        <f>T867*365/O867</f>
        <v>-0.705211493090664</v>
      </c>
      <c r="V867" s="6"/>
    </row>
    <row r="868" spans="2:22" ht="15" customHeight="1" x14ac:dyDescent="0.4">
      <c r="B868" s="38" t="s">
        <v>397</v>
      </c>
      <c r="C868" s="6" t="s">
        <v>187</v>
      </c>
      <c r="D868" s="6"/>
      <c r="E868" s="36">
        <v>10</v>
      </c>
      <c r="F868" s="212">
        <v>41000</v>
      </c>
      <c r="G868" s="195">
        <v>39490</v>
      </c>
      <c r="H868" s="8"/>
      <c r="I868" s="212">
        <v>47100</v>
      </c>
      <c r="J868" s="8">
        <v>39527</v>
      </c>
      <c r="K868" s="7">
        <v>110</v>
      </c>
      <c r="L868" s="7">
        <v>130</v>
      </c>
      <c r="M868" s="196"/>
      <c r="N868" s="36"/>
      <c r="O868" s="191">
        <f t="shared" si="326"/>
        <v>38</v>
      </c>
      <c r="P868" s="36">
        <f>F868*E868</f>
        <v>410000</v>
      </c>
      <c r="Q868" s="36">
        <f>I868*E868</f>
        <v>471000</v>
      </c>
      <c r="R868" s="7">
        <f>N868-K868-L868-M868</f>
        <v>-240</v>
      </c>
      <c r="S868" s="227">
        <f t="shared" si="327"/>
        <v>60760</v>
      </c>
      <c r="T868" s="248">
        <f t="shared" si="328"/>
        <v>0.14819512195121951</v>
      </c>
      <c r="U868" s="193">
        <f>T868*365/O868</f>
        <v>1.4234531450577663</v>
      </c>
      <c r="V868" s="6"/>
    </row>
    <row r="869" spans="2:22" ht="15" customHeight="1" x14ac:dyDescent="0.4">
      <c r="B869" s="38" t="s">
        <v>398</v>
      </c>
      <c r="C869" s="6" t="s">
        <v>160</v>
      </c>
      <c r="D869" s="6">
        <f t="shared" ref="D869:D874" si="329">IF(OR($C869="신한",$C869="OTC",$C869="무상증자(신한)",$C869="토스",$C869="R토스"),1,"확인")</f>
        <v>1</v>
      </c>
      <c r="E869" s="34">
        <v>20</v>
      </c>
      <c r="F869" s="212">
        <v>19200</v>
      </c>
      <c r="G869" s="195">
        <v>45919</v>
      </c>
      <c r="H869" s="8"/>
      <c r="I869" s="212">
        <v>23800</v>
      </c>
      <c r="J869" s="8">
        <v>45940</v>
      </c>
      <c r="K869" s="23">
        <f t="shared" ref="K869:K874" si="330">IF($C869="OTC",ROUNDDOWN($E869*$F869*0.000909187,-1),(IF($C869="신한",ROUNDDOWN($E869*$F869*0.000036396,-1),(IF($C869="토스",$E869*$F869*0.00015,(IF($C869="US",(IF($E869*$F869*0.0025&gt;0.01,$E869*$F869*0.0025,0.01)),IF($C869="JP",(IF($E869*$F869*0.0025&gt;1000,$E869*$F869*0.0025,1000)),(IF($C869="R토스",0,IF($C869="무상증자(신한)",0,"")))))))))))</f>
        <v>10</v>
      </c>
      <c r="L869" s="23">
        <f t="shared" ref="L869:L874" si="331">IF($C869="OTC",ROUNDDOWN($I869*$E869*0.000909187,-1),(IF($C869="신한",ROUNDDOWN($I869*$E869*0.000036396,-1),(IF($C869="토스",$I869*$E869*0.00015,(IF($C869="US",(IF($I869*$E869*0.0025&gt;0.01,$I869*$E869*0.0025,0.01)),(IF($C869="JP",(IF($I869*$E869*0.0025&gt;1000,$I869*$E869*0.0025,1000)),(IF($C869="R토스",$I869*$E869*0.00015,(IF($C869="무상증자(신한)",ROUNDDOWN($I869*$E869*0.000036396,-1),"")))))))))))))</f>
        <v>10</v>
      </c>
      <c r="M869" s="206">
        <f>Q869*0.0015</f>
        <v>714</v>
      </c>
      <c r="N869" s="34"/>
      <c r="O869" s="209">
        <f t="shared" si="326"/>
        <v>22</v>
      </c>
      <c r="P869" s="34">
        <f t="shared" ref="P869:P874" si="332">$E869*$F869*$D869</f>
        <v>384000</v>
      </c>
      <c r="Q869" s="34">
        <f t="shared" ref="Q869:Q874" si="333">$E869*$I869*$D869</f>
        <v>476000</v>
      </c>
      <c r="R869" s="7">
        <f t="shared" ref="R869:R874" si="334">($N869-$K869-$L869-$M869)*$D869</f>
        <v>-734</v>
      </c>
      <c r="S869" s="227">
        <f t="shared" si="327"/>
        <v>91266</v>
      </c>
      <c r="T869" s="249">
        <f t="shared" si="328"/>
        <v>0.237671875</v>
      </c>
      <c r="U869" s="38"/>
      <c r="V869" s="33"/>
    </row>
    <row r="870" spans="2:22" s="33" customFormat="1" ht="15" customHeight="1" x14ac:dyDescent="0.4">
      <c r="B870" s="38" t="s">
        <v>398</v>
      </c>
      <c r="C870" s="6" t="s">
        <v>160</v>
      </c>
      <c r="D870" s="6">
        <f t="shared" si="329"/>
        <v>1</v>
      </c>
      <c r="E870" s="34">
        <v>30</v>
      </c>
      <c r="F870" s="212">
        <v>19500</v>
      </c>
      <c r="G870" s="195">
        <v>45919</v>
      </c>
      <c r="H870" s="8"/>
      <c r="I870" s="212">
        <v>23800</v>
      </c>
      <c r="J870" s="8">
        <v>45940</v>
      </c>
      <c r="K870" s="23">
        <f t="shared" si="330"/>
        <v>20</v>
      </c>
      <c r="L870" s="23">
        <f t="shared" si="331"/>
        <v>20</v>
      </c>
      <c r="M870" s="206">
        <f>Q870*0.0015</f>
        <v>1071</v>
      </c>
      <c r="N870" s="34"/>
      <c r="O870" s="209">
        <f t="shared" si="326"/>
        <v>22</v>
      </c>
      <c r="P870" s="34">
        <f t="shared" si="332"/>
        <v>585000</v>
      </c>
      <c r="Q870" s="34">
        <f t="shared" si="333"/>
        <v>714000</v>
      </c>
      <c r="R870" s="7">
        <f t="shared" si="334"/>
        <v>-1111</v>
      </c>
      <c r="S870" s="227">
        <f t="shared" si="327"/>
        <v>127889</v>
      </c>
      <c r="T870" s="249">
        <f t="shared" si="328"/>
        <v>0.21861367521367522</v>
      </c>
    </row>
    <row r="871" spans="2:22" s="33" customFormat="1" ht="15" customHeight="1" x14ac:dyDescent="0.4">
      <c r="B871" s="38" t="s">
        <v>398</v>
      </c>
      <c r="C871" s="6" t="s">
        <v>160</v>
      </c>
      <c r="D871" s="6">
        <f t="shared" si="329"/>
        <v>1</v>
      </c>
      <c r="E871" s="34">
        <v>100</v>
      </c>
      <c r="F871" s="212">
        <v>19980</v>
      </c>
      <c r="G871" s="195">
        <v>45919</v>
      </c>
      <c r="H871" s="8"/>
      <c r="I871" s="212">
        <v>23800</v>
      </c>
      <c r="J871" s="8">
        <v>45940</v>
      </c>
      <c r="K871" s="23">
        <f t="shared" si="330"/>
        <v>70</v>
      </c>
      <c r="L871" s="23">
        <f t="shared" si="331"/>
        <v>80</v>
      </c>
      <c r="M871" s="206">
        <f>Q871*0.0015</f>
        <v>3570</v>
      </c>
      <c r="N871" s="34"/>
      <c r="O871" s="209">
        <f t="shared" si="326"/>
        <v>22</v>
      </c>
      <c r="P871" s="34">
        <f t="shared" si="332"/>
        <v>1998000</v>
      </c>
      <c r="Q871" s="34">
        <f t="shared" si="333"/>
        <v>2380000</v>
      </c>
      <c r="R871" s="7">
        <f t="shared" si="334"/>
        <v>-3720</v>
      </c>
      <c r="S871" s="227">
        <f t="shared" si="327"/>
        <v>378280</v>
      </c>
      <c r="T871" s="249">
        <f t="shared" si="328"/>
        <v>0.18932932932932933</v>
      </c>
    </row>
    <row r="872" spans="2:22" s="33" customFormat="1" ht="15" customHeight="1" x14ac:dyDescent="0.4">
      <c r="B872" s="38" t="s">
        <v>398</v>
      </c>
      <c r="C872" s="6" t="s">
        <v>160</v>
      </c>
      <c r="D872" s="6">
        <f t="shared" si="329"/>
        <v>1</v>
      </c>
      <c r="E872" s="34">
        <v>100</v>
      </c>
      <c r="F872" s="212">
        <v>20250</v>
      </c>
      <c r="G872" s="195">
        <v>45919</v>
      </c>
      <c r="H872" s="8"/>
      <c r="I872" s="212">
        <v>23800</v>
      </c>
      <c r="J872" s="8">
        <v>45940</v>
      </c>
      <c r="K872" s="23">
        <f t="shared" si="330"/>
        <v>70</v>
      </c>
      <c r="L872" s="23">
        <f t="shared" si="331"/>
        <v>80</v>
      </c>
      <c r="M872" s="206">
        <f>Q872*0.0015</f>
        <v>3570</v>
      </c>
      <c r="N872" s="34"/>
      <c r="O872" s="209">
        <f t="shared" si="326"/>
        <v>22</v>
      </c>
      <c r="P872" s="34">
        <f t="shared" si="332"/>
        <v>2025000</v>
      </c>
      <c r="Q872" s="34">
        <f t="shared" si="333"/>
        <v>2380000</v>
      </c>
      <c r="R872" s="7">
        <f t="shared" si="334"/>
        <v>-3720</v>
      </c>
      <c r="S872" s="227">
        <f t="shared" si="327"/>
        <v>351280</v>
      </c>
      <c r="T872" s="249">
        <f t="shared" si="328"/>
        <v>0.1734716049382716</v>
      </c>
    </row>
    <row r="873" spans="2:22" s="33" customFormat="1" ht="15" customHeight="1" x14ac:dyDescent="0.4">
      <c r="B873" s="38" t="s">
        <v>398</v>
      </c>
      <c r="C873" s="6" t="s">
        <v>160</v>
      </c>
      <c r="D873" s="6">
        <f t="shared" si="329"/>
        <v>1</v>
      </c>
      <c r="E873" s="34">
        <v>20</v>
      </c>
      <c r="F873" s="212">
        <v>19430</v>
      </c>
      <c r="G873" s="195">
        <v>45922</v>
      </c>
      <c r="H873" s="8"/>
      <c r="I873" s="212">
        <v>23800</v>
      </c>
      <c r="J873" s="8">
        <v>45940</v>
      </c>
      <c r="K873" s="23">
        <f t="shared" si="330"/>
        <v>10</v>
      </c>
      <c r="L873" s="23">
        <f t="shared" si="331"/>
        <v>10</v>
      </c>
      <c r="M873" s="206">
        <f>Q873*0.0015</f>
        <v>714</v>
      </c>
      <c r="N873" s="34"/>
      <c r="O873" s="209">
        <f t="shared" si="326"/>
        <v>19</v>
      </c>
      <c r="P873" s="34">
        <f t="shared" si="332"/>
        <v>388600</v>
      </c>
      <c r="Q873" s="34">
        <f t="shared" si="333"/>
        <v>476000</v>
      </c>
      <c r="R873" s="7">
        <f t="shared" si="334"/>
        <v>-734</v>
      </c>
      <c r="S873" s="227">
        <f t="shared" si="327"/>
        <v>86666</v>
      </c>
      <c r="T873" s="249">
        <f t="shared" si="328"/>
        <v>0.22302110138960371</v>
      </c>
    </row>
    <row r="874" spans="2:22" s="33" customFormat="1" ht="15" customHeight="1" x14ac:dyDescent="0.4">
      <c r="B874" s="38" t="s">
        <v>399</v>
      </c>
      <c r="C874" s="6" t="s">
        <v>160</v>
      </c>
      <c r="D874" s="6">
        <f t="shared" si="329"/>
        <v>1</v>
      </c>
      <c r="E874" s="34">
        <v>52</v>
      </c>
      <c r="F874" s="212">
        <v>25833</v>
      </c>
      <c r="G874" s="195">
        <v>44223</v>
      </c>
      <c r="H874" s="8"/>
      <c r="I874" s="212">
        <v>27100</v>
      </c>
      <c r="J874" s="8">
        <v>44223</v>
      </c>
      <c r="K874" s="23">
        <f t="shared" si="330"/>
        <v>40</v>
      </c>
      <c r="L874" s="23">
        <f t="shared" si="331"/>
        <v>50</v>
      </c>
      <c r="M874" s="206">
        <f>Q874*0.0023</f>
        <v>3241.16</v>
      </c>
      <c r="N874" s="34"/>
      <c r="O874" s="209">
        <f t="shared" si="326"/>
        <v>1</v>
      </c>
      <c r="P874" s="34">
        <f t="shared" si="332"/>
        <v>1343316</v>
      </c>
      <c r="Q874" s="34">
        <f t="shared" si="333"/>
        <v>1409200</v>
      </c>
      <c r="R874" s="7">
        <f t="shared" si="334"/>
        <v>-3331.16</v>
      </c>
      <c r="S874" s="227">
        <f t="shared" si="327"/>
        <v>62552.84</v>
      </c>
      <c r="T874" s="249">
        <f t="shared" si="328"/>
        <v>4.6565990429653183E-2</v>
      </c>
    </row>
    <row r="875" spans="2:22" s="33" customFormat="1" ht="15" customHeight="1" x14ac:dyDescent="0.4">
      <c r="B875" s="38" t="s">
        <v>400</v>
      </c>
      <c r="C875" s="6" t="s">
        <v>162</v>
      </c>
      <c r="D875" s="6"/>
      <c r="E875" s="36">
        <v>200</v>
      </c>
      <c r="F875" s="212">
        <v>1820</v>
      </c>
      <c r="G875" s="195">
        <v>42608</v>
      </c>
      <c r="H875" s="8"/>
      <c r="I875" s="212">
        <v>1855</v>
      </c>
      <c r="J875" s="8">
        <v>42640</v>
      </c>
      <c r="K875" s="7">
        <f>ROUNDDOWN(E875*F875*0.0015,-1)</f>
        <v>540</v>
      </c>
      <c r="L875" s="7">
        <f>ROUNDDOWN(I875*E875*0.0015,-1)</f>
        <v>550</v>
      </c>
      <c r="M875" s="196">
        <f>I875*E875*0.003</f>
        <v>1113</v>
      </c>
      <c r="N875" s="36"/>
      <c r="O875" s="191">
        <f t="shared" si="326"/>
        <v>33</v>
      </c>
      <c r="P875" s="36">
        <f>F875*E875</f>
        <v>364000</v>
      </c>
      <c r="Q875" s="36">
        <f>I875*E875</f>
        <v>371000</v>
      </c>
      <c r="R875" s="7">
        <f>N875-K875-L875-M875</f>
        <v>-2203</v>
      </c>
      <c r="S875" s="227">
        <f t="shared" si="327"/>
        <v>4797</v>
      </c>
      <c r="T875" s="248">
        <f t="shared" si="328"/>
        <v>1.3178571428571428E-2</v>
      </c>
      <c r="U875" s="9">
        <f>T875*365/O875</f>
        <v>0.14576298701298701</v>
      </c>
      <c r="V875" s="6"/>
    </row>
    <row r="876" spans="2:22" s="33" customFormat="1" ht="15" customHeight="1" x14ac:dyDescent="0.4">
      <c r="B876" s="38" t="s">
        <v>401</v>
      </c>
      <c r="C876" s="6" t="s">
        <v>162</v>
      </c>
      <c r="D876" s="6"/>
      <c r="E876" s="36">
        <v>100</v>
      </c>
      <c r="F876" s="212">
        <v>23300</v>
      </c>
      <c r="G876" s="195">
        <v>43329</v>
      </c>
      <c r="H876" s="8"/>
      <c r="I876" s="212">
        <v>24200</v>
      </c>
      <c r="J876" s="8">
        <v>43341</v>
      </c>
      <c r="K876" s="7">
        <f>ROUNDDOWN(E876*F876*0.0015,-1)</f>
        <v>3490</v>
      </c>
      <c r="L876" s="7">
        <f>ROUNDDOWN(I876*E876*0.0015,-1)</f>
        <v>3630</v>
      </c>
      <c r="M876" s="196">
        <f>I876*E876*0.003</f>
        <v>7260</v>
      </c>
      <c r="N876" s="36"/>
      <c r="O876" s="191">
        <f t="shared" si="326"/>
        <v>13</v>
      </c>
      <c r="P876" s="36">
        <f>F876*E876</f>
        <v>2330000</v>
      </c>
      <c r="Q876" s="36">
        <f>I876*E876</f>
        <v>2420000</v>
      </c>
      <c r="R876" s="7">
        <f>N876-K876-L876-M876</f>
        <v>-14380</v>
      </c>
      <c r="S876" s="227">
        <f t="shared" si="327"/>
        <v>75620</v>
      </c>
      <c r="T876" s="248">
        <f t="shared" si="328"/>
        <v>3.2454935622317597E-2</v>
      </c>
      <c r="U876" s="9">
        <f>T876*365/O876</f>
        <v>0.91123473093430174</v>
      </c>
      <c r="V876" s="6"/>
    </row>
    <row r="877" spans="2:22" s="33" customFormat="1" ht="15" customHeight="1" x14ac:dyDescent="0.4">
      <c r="B877" s="198" t="s">
        <v>401</v>
      </c>
      <c r="C877" s="6" t="s">
        <v>162</v>
      </c>
      <c r="D877" s="15"/>
      <c r="E877" s="36">
        <v>100</v>
      </c>
      <c r="F877" s="212">
        <v>18900</v>
      </c>
      <c r="G877" s="195">
        <v>43774</v>
      </c>
      <c r="H877" s="8"/>
      <c r="I877" s="212">
        <v>17300</v>
      </c>
      <c r="J877" s="8">
        <v>44042</v>
      </c>
      <c r="K877" s="7">
        <f>ROUNDDOWN(E877*F877*0.0015,-1)</f>
        <v>2830</v>
      </c>
      <c r="L877" s="7">
        <f>ROUNDDOWN(I877*E877*0.0015,-1)</f>
        <v>2590</v>
      </c>
      <c r="M877" s="196">
        <f>ROUNDDOWN(I877*E877*0.0025, )</f>
        <v>4325</v>
      </c>
      <c r="N877" s="36">
        <v>5000</v>
      </c>
      <c r="O877" s="191">
        <f t="shared" si="326"/>
        <v>269</v>
      </c>
      <c r="P877" s="36">
        <f>F877*E877</f>
        <v>1890000</v>
      </c>
      <c r="Q877" s="36">
        <f>I877*E877</f>
        <v>1730000</v>
      </c>
      <c r="R877" s="7">
        <f>N877-K877-L877-M877</f>
        <v>-4745</v>
      </c>
      <c r="S877" s="227">
        <f t="shared" si="327"/>
        <v>-164745</v>
      </c>
      <c r="T877" s="248">
        <f t="shared" si="328"/>
        <v>-8.716666666666667E-2</v>
      </c>
      <c r="U877" s="9">
        <f>T877*365/O877</f>
        <v>-0.11827447335811649</v>
      </c>
      <c r="V877" s="6"/>
    </row>
    <row r="878" spans="2:22" s="33" customFormat="1" ht="15" customHeight="1" x14ac:dyDescent="0.4">
      <c r="B878" s="38" t="s">
        <v>29</v>
      </c>
      <c r="C878" s="6" t="s">
        <v>160</v>
      </c>
      <c r="D878" s="6">
        <f t="shared" ref="D878:D924" si="335">IF(OR($C878="신한",$C878="OTC",$C878="무상증자(신한)",$C878="토스",$C878="R토스"),1,"확인")</f>
        <v>1</v>
      </c>
      <c r="E878" s="34">
        <v>2</v>
      </c>
      <c r="F878" s="212">
        <v>18400</v>
      </c>
      <c r="G878" s="195">
        <v>44050</v>
      </c>
      <c r="H878" s="8"/>
      <c r="I878" s="212">
        <v>18800</v>
      </c>
      <c r="J878" s="8">
        <v>44132</v>
      </c>
      <c r="K878" s="23">
        <f t="shared" ref="K878:K915" si="336">IF($C878="OTC",ROUNDDOWN($E878*$F878*0.000909187,-1),(IF($C878="신한",ROUNDDOWN($E878*$F878*0.000036396,-1),(IF($C878="토스",$E878*$F878*0.00015,(IF($C878="US",(IF($E878*$F878*0.0025&gt;0.01,$E878*$F878*0.0025,0.01)),IF($C878="JP",(IF($E878*$F878*0.0025&gt;1000,$E878*$F878*0.0025,1000)),(IF($C878="R토스",0,IF($C878="무상증자(신한)",0,"")))))))))))</f>
        <v>0</v>
      </c>
      <c r="L878" s="23">
        <f t="shared" ref="L878:L921" si="337">IF($C878="OTC",ROUNDDOWN($I878*$E878*0.000909187,-1),(IF($C878="신한",ROUNDDOWN($I878*$E878*0.000036396,-1),(IF($C878="토스",$I878*$E878*0.00015,(IF($C878="US",(IF($I878*$E878*0.0025&gt;0.01,$I878*$E878*0.0025,0.01)),(IF($C878="JP",(IF($I878*$E878*0.0025&gt;1000,$I878*$E878*0.0025,1000)),(IF($C878="R토스",$I878*$E878*0.00015,(IF($C878="무상증자(신한)",ROUNDDOWN($I878*$E878*0.000036396,-1),"")))))))))))))</f>
        <v>0</v>
      </c>
      <c r="M878" s="206">
        <f>Q878*0.0025</f>
        <v>94</v>
      </c>
      <c r="N878" s="34"/>
      <c r="O878" s="209">
        <f t="shared" si="326"/>
        <v>83</v>
      </c>
      <c r="P878" s="34">
        <f t="shared" ref="P878:P924" si="338">$E878*$F878*$D878</f>
        <v>36800</v>
      </c>
      <c r="Q878" s="34">
        <f t="shared" ref="Q878:Q924" si="339">$E878*$I878*$D878</f>
        <v>37600</v>
      </c>
      <c r="R878" s="7">
        <f t="shared" ref="R878:R924" si="340">($N878-$K878-$L878-$M878)*$D878</f>
        <v>-94</v>
      </c>
      <c r="S878" s="227">
        <f t="shared" si="327"/>
        <v>706</v>
      </c>
      <c r="T878" s="249">
        <f t="shared" si="328"/>
        <v>1.9184782608695654E-2</v>
      </c>
    </row>
    <row r="879" spans="2:22" s="33" customFormat="1" ht="15" customHeight="1" x14ac:dyDescent="0.4">
      <c r="B879" s="38" t="s">
        <v>29</v>
      </c>
      <c r="C879" s="6" t="s">
        <v>160</v>
      </c>
      <c r="D879" s="6">
        <f t="shared" si="335"/>
        <v>1</v>
      </c>
      <c r="E879" s="34">
        <v>30</v>
      </c>
      <c r="F879" s="212">
        <v>16900</v>
      </c>
      <c r="G879" s="195">
        <v>44057</v>
      </c>
      <c r="H879" s="8"/>
      <c r="I879" s="212">
        <v>18800</v>
      </c>
      <c r="J879" s="8">
        <v>44132</v>
      </c>
      <c r="K879" s="23">
        <f t="shared" si="336"/>
        <v>10</v>
      </c>
      <c r="L879" s="23">
        <f t="shared" si="337"/>
        <v>20</v>
      </c>
      <c r="M879" s="206">
        <f>Q879*0.0025</f>
        <v>1410</v>
      </c>
      <c r="N879" s="34"/>
      <c r="O879" s="209">
        <f t="shared" si="326"/>
        <v>76</v>
      </c>
      <c r="P879" s="34">
        <f t="shared" si="338"/>
        <v>507000</v>
      </c>
      <c r="Q879" s="34">
        <f t="shared" si="339"/>
        <v>564000</v>
      </c>
      <c r="R879" s="7">
        <f t="shared" si="340"/>
        <v>-1440</v>
      </c>
      <c r="S879" s="227">
        <f t="shared" si="327"/>
        <v>55560</v>
      </c>
      <c r="T879" s="249">
        <f t="shared" si="328"/>
        <v>0.10958579881656805</v>
      </c>
    </row>
    <row r="880" spans="2:22" s="33" customFormat="1" ht="15" customHeight="1" x14ac:dyDescent="0.4">
      <c r="B880" s="38" t="s">
        <v>64</v>
      </c>
      <c r="C880" s="6" t="s">
        <v>122</v>
      </c>
      <c r="D880" s="6">
        <f t="shared" si="335"/>
        <v>1</v>
      </c>
      <c r="E880" s="34">
        <v>100</v>
      </c>
      <c r="F880" s="212">
        <v>18000</v>
      </c>
      <c r="G880" s="195">
        <v>45807</v>
      </c>
      <c r="H880" s="33" t="s">
        <v>113</v>
      </c>
      <c r="I880" s="212">
        <v>19450</v>
      </c>
      <c r="J880" s="8">
        <v>45810</v>
      </c>
      <c r="K880" s="23">
        <f t="shared" si="336"/>
        <v>270</v>
      </c>
      <c r="L880" s="23">
        <f t="shared" si="337"/>
        <v>291.75</v>
      </c>
      <c r="M880" s="206">
        <f t="shared" ref="M880:M924" si="341">Q880*0.0015</f>
        <v>2917.5</v>
      </c>
      <c r="N880" s="34"/>
      <c r="O880" s="209">
        <f t="shared" si="326"/>
        <v>4</v>
      </c>
      <c r="P880" s="34">
        <f t="shared" si="338"/>
        <v>1800000</v>
      </c>
      <c r="Q880" s="34">
        <f t="shared" si="339"/>
        <v>1945000</v>
      </c>
      <c r="R880" s="7">
        <f t="shared" si="340"/>
        <v>-3479.25</v>
      </c>
      <c r="S880" s="227">
        <f t="shared" si="327"/>
        <v>141520.75</v>
      </c>
      <c r="T880" s="249">
        <f t="shared" si="328"/>
        <v>7.8622638888888888E-2</v>
      </c>
      <c r="V880" s="36">
        <f t="shared" ref="V880:V894" si="342">+P880*0.05*O880/365</f>
        <v>986.30136986301375</v>
      </c>
    </row>
    <row r="881" spans="2:22" s="33" customFormat="1" ht="15" customHeight="1" x14ac:dyDescent="0.4">
      <c r="B881" s="38" t="s">
        <v>64</v>
      </c>
      <c r="C881" s="6" t="s">
        <v>122</v>
      </c>
      <c r="D881" s="6">
        <f t="shared" si="335"/>
        <v>1</v>
      </c>
      <c r="E881" s="34">
        <v>100</v>
      </c>
      <c r="F881" s="212">
        <v>17900</v>
      </c>
      <c r="G881" s="195">
        <v>45807</v>
      </c>
      <c r="H881" s="33" t="s">
        <v>113</v>
      </c>
      <c r="I881" s="212">
        <v>19450</v>
      </c>
      <c r="J881" s="8">
        <v>45810</v>
      </c>
      <c r="K881" s="23">
        <f t="shared" si="336"/>
        <v>268.5</v>
      </c>
      <c r="L881" s="23">
        <f t="shared" si="337"/>
        <v>291.75</v>
      </c>
      <c r="M881" s="206">
        <f t="shared" si="341"/>
        <v>2917.5</v>
      </c>
      <c r="N881" s="34"/>
      <c r="O881" s="209">
        <f t="shared" si="326"/>
        <v>4</v>
      </c>
      <c r="P881" s="34">
        <f t="shared" si="338"/>
        <v>1790000</v>
      </c>
      <c r="Q881" s="34">
        <f t="shared" si="339"/>
        <v>1945000</v>
      </c>
      <c r="R881" s="7">
        <f t="shared" si="340"/>
        <v>-3477.75</v>
      </c>
      <c r="S881" s="227">
        <f t="shared" si="327"/>
        <v>151522.25</v>
      </c>
      <c r="T881" s="249">
        <f t="shared" si="328"/>
        <v>8.4649301675977659E-2</v>
      </c>
      <c r="V881" s="36">
        <f t="shared" si="342"/>
        <v>980.82191780821915</v>
      </c>
    </row>
    <row r="882" spans="2:22" s="33" customFormat="1" ht="15" customHeight="1" x14ac:dyDescent="0.4">
      <c r="B882" s="38" t="s">
        <v>64</v>
      </c>
      <c r="C882" s="6" t="s">
        <v>122</v>
      </c>
      <c r="D882" s="6">
        <f t="shared" si="335"/>
        <v>1</v>
      </c>
      <c r="E882" s="34">
        <v>100</v>
      </c>
      <c r="F882" s="212">
        <v>17800</v>
      </c>
      <c r="G882" s="195">
        <v>45807</v>
      </c>
      <c r="H882" s="33" t="s">
        <v>113</v>
      </c>
      <c r="I882" s="212">
        <v>19450</v>
      </c>
      <c r="J882" s="8">
        <v>45810</v>
      </c>
      <c r="K882" s="23">
        <f t="shared" si="336"/>
        <v>267</v>
      </c>
      <c r="L882" s="23">
        <f t="shared" si="337"/>
        <v>291.75</v>
      </c>
      <c r="M882" s="206">
        <f t="shared" si="341"/>
        <v>2917.5</v>
      </c>
      <c r="N882" s="34"/>
      <c r="O882" s="209">
        <f t="shared" si="326"/>
        <v>4</v>
      </c>
      <c r="P882" s="34">
        <f t="shared" si="338"/>
        <v>1780000</v>
      </c>
      <c r="Q882" s="34">
        <f t="shared" si="339"/>
        <v>1945000</v>
      </c>
      <c r="R882" s="7">
        <f t="shared" si="340"/>
        <v>-3476.25</v>
      </c>
      <c r="S882" s="227">
        <f t="shared" si="327"/>
        <v>161523.75</v>
      </c>
      <c r="T882" s="249">
        <f t="shared" si="328"/>
        <v>9.0743679775280903E-2</v>
      </c>
      <c r="V882" s="36">
        <f t="shared" si="342"/>
        <v>975.34246575342468</v>
      </c>
    </row>
    <row r="883" spans="2:22" s="33" customFormat="1" ht="15" customHeight="1" x14ac:dyDescent="0.4">
      <c r="B883" s="38" t="s">
        <v>64</v>
      </c>
      <c r="C883" s="6" t="s">
        <v>122</v>
      </c>
      <c r="D883" s="6">
        <f t="shared" si="335"/>
        <v>1</v>
      </c>
      <c r="E883" s="34">
        <v>100</v>
      </c>
      <c r="F883" s="212">
        <v>17500</v>
      </c>
      <c r="G883" s="195">
        <v>45807</v>
      </c>
      <c r="H883" s="33" t="s">
        <v>113</v>
      </c>
      <c r="I883" s="212">
        <v>19450</v>
      </c>
      <c r="J883" s="8">
        <v>45810</v>
      </c>
      <c r="K883" s="23">
        <f t="shared" si="336"/>
        <v>262.5</v>
      </c>
      <c r="L883" s="23">
        <f t="shared" si="337"/>
        <v>291.75</v>
      </c>
      <c r="M883" s="206">
        <f t="shared" si="341"/>
        <v>2917.5</v>
      </c>
      <c r="N883" s="34"/>
      <c r="O883" s="209">
        <f t="shared" si="326"/>
        <v>4</v>
      </c>
      <c r="P883" s="34">
        <f t="shared" si="338"/>
        <v>1750000</v>
      </c>
      <c r="Q883" s="34">
        <f t="shared" si="339"/>
        <v>1945000</v>
      </c>
      <c r="R883" s="7">
        <f t="shared" si="340"/>
        <v>-3471.75</v>
      </c>
      <c r="S883" s="227">
        <f t="shared" si="327"/>
        <v>191528.25</v>
      </c>
      <c r="T883" s="249">
        <f t="shared" si="328"/>
        <v>0.10944471428571428</v>
      </c>
      <c r="V883" s="36">
        <f t="shared" si="342"/>
        <v>958.90410958904113</v>
      </c>
    </row>
    <row r="884" spans="2:22" s="33" customFormat="1" ht="15" customHeight="1" x14ac:dyDescent="0.4">
      <c r="B884" s="38" t="s">
        <v>64</v>
      </c>
      <c r="C884" s="6" t="s">
        <v>122</v>
      </c>
      <c r="D884" s="6">
        <f t="shared" si="335"/>
        <v>1</v>
      </c>
      <c r="E884" s="34">
        <v>50</v>
      </c>
      <c r="F884" s="212">
        <v>19130</v>
      </c>
      <c r="G884" s="195">
        <v>45810</v>
      </c>
      <c r="H884" s="33" t="s">
        <v>113</v>
      </c>
      <c r="I884" s="212">
        <v>19450</v>
      </c>
      <c r="J884" s="8">
        <v>45818</v>
      </c>
      <c r="K884" s="23">
        <f t="shared" si="336"/>
        <v>143.47499999999999</v>
      </c>
      <c r="L884" s="23">
        <f t="shared" si="337"/>
        <v>145.875</v>
      </c>
      <c r="M884" s="206">
        <f t="shared" si="341"/>
        <v>1458.75</v>
      </c>
      <c r="N884" s="34"/>
      <c r="O884" s="209">
        <f t="shared" si="326"/>
        <v>9</v>
      </c>
      <c r="P884" s="34">
        <f t="shared" si="338"/>
        <v>956500</v>
      </c>
      <c r="Q884" s="34">
        <f t="shared" si="339"/>
        <v>972500</v>
      </c>
      <c r="R884" s="7">
        <f t="shared" si="340"/>
        <v>-1748.1</v>
      </c>
      <c r="S884" s="227">
        <f t="shared" si="327"/>
        <v>14251.9</v>
      </c>
      <c r="T884" s="249">
        <f t="shared" si="328"/>
        <v>1.4900052273915316E-2</v>
      </c>
      <c r="V884" s="36">
        <f t="shared" si="342"/>
        <v>1179.2465753424658</v>
      </c>
    </row>
    <row r="885" spans="2:22" s="33" customFormat="1" ht="15" customHeight="1" x14ac:dyDescent="0.4">
      <c r="B885" s="38" t="s">
        <v>64</v>
      </c>
      <c r="C885" s="6" t="s">
        <v>122</v>
      </c>
      <c r="D885" s="6">
        <f t="shared" si="335"/>
        <v>1</v>
      </c>
      <c r="E885" s="34">
        <v>50</v>
      </c>
      <c r="F885" s="212">
        <v>19250</v>
      </c>
      <c r="G885" s="195">
        <v>45810</v>
      </c>
      <c r="H885" s="33" t="s">
        <v>113</v>
      </c>
      <c r="I885" s="212">
        <v>19450</v>
      </c>
      <c r="J885" s="8">
        <v>45818</v>
      </c>
      <c r="K885" s="23">
        <f t="shared" si="336"/>
        <v>144.375</v>
      </c>
      <c r="L885" s="23">
        <f t="shared" si="337"/>
        <v>145.875</v>
      </c>
      <c r="M885" s="206">
        <f t="shared" si="341"/>
        <v>1458.75</v>
      </c>
      <c r="N885" s="34"/>
      <c r="O885" s="209">
        <f t="shared" si="326"/>
        <v>9</v>
      </c>
      <c r="P885" s="34">
        <f t="shared" si="338"/>
        <v>962500</v>
      </c>
      <c r="Q885" s="34">
        <f t="shared" si="339"/>
        <v>972500</v>
      </c>
      <c r="R885" s="7">
        <f t="shared" si="340"/>
        <v>-1749</v>
      </c>
      <c r="S885" s="227">
        <f t="shared" si="327"/>
        <v>8251</v>
      </c>
      <c r="T885" s="249">
        <f t="shared" si="328"/>
        <v>8.5724675324675322E-3</v>
      </c>
      <c r="V885" s="36">
        <f t="shared" si="342"/>
        <v>1186.6438356164383</v>
      </c>
    </row>
    <row r="886" spans="2:22" s="33" customFormat="1" ht="15" customHeight="1" x14ac:dyDescent="0.4">
      <c r="B886" s="38" t="s">
        <v>64</v>
      </c>
      <c r="C886" s="6" t="s">
        <v>122</v>
      </c>
      <c r="D886" s="6">
        <f t="shared" si="335"/>
        <v>1</v>
      </c>
      <c r="E886" s="34">
        <v>40</v>
      </c>
      <c r="F886" s="212">
        <v>18940</v>
      </c>
      <c r="G886" s="195">
        <v>45810</v>
      </c>
      <c r="H886" s="33" t="s">
        <v>113</v>
      </c>
      <c r="I886" s="212">
        <v>19450</v>
      </c>
      <c r="J886" s="8">
        <v>45818</v>
      </c>
      <c r="K886" s="23">
        <f t="shared" si="336"/>
        <v>113.63999999999999</v>
      </c>
      <c r="L886" s="23">
        <f t="shared" si="337"/>
        <v>116.69999999999999</v>
      </c>
      <c r="M886" s="206">
        <f t="shared" si="341"/>
        <v>1167</v>
      </c>
      <c r="N886" s="34"/>
      <c r="O886" s="209">
        <f t="shared" si="326"/>
        <v>9</v>
      </c>
      <c r="P886" s="34">
        <f t="shared" si="338"/>
        <v>757600</v>
      </c>
      <c r="Q886" s="34">
        <f t="shared" si="339"/>
        <v>778000</v>
      </c>
      <c r="R886" s="7">
        <f t="shared" si="340"/>
        <v>-1397.34</v>
      </c>
      <c r="S886" s="227">
        <f t="shared" si="327"/>
        <v>19002.66</v>
      </c>
      <c r="T886" s="249">
        <f t="shared" si="328"/>
        <v>2.5082708553326293E-2</v>
      </c>
      <c r="V886" s="36">
        <f t="shared" si="342"/>
        <v>934.02739726027403</v>
      </c>
    </row>
    <row r="887" spans="2:22" s="33" customFormat="1" ht="15" customHeight="1" x14ac:dyDescent="0.4">
      <c r="B887" s="38" t="s">
        <v>64</v>
      </c>
      <c r="C887" s="6" t="s">
        <v>122</v>
      </c>
      <c r="D887" s="6">
        <f t="shared" si="335"/>
        <v>1</v>
      </c>
      <c r="E887" s="34">
        <v>60</v>
      </c>
      <c r="F887" s="212">
        <v>18620</v>
      </c>
      <c r="G887" s="195">
        <v>45812</v>
      </c>
      <c r="H887" s="33" t="s">
        <v>113</v>
      </c>
      <c r="I887" s="212">
        <v>19450</v>
      </c>
      <c r="J887" s="8">
        <v>45818</v>
      </c>
      <c r="K887" s="23">
        <f t="shared" si="336"/>
        <v>167.57999999999998</v>
      </c>
      <c r="L887" s="23">
        <f t="shared" si="337"/>
        <v>175.04999999999998</v>
      </c>
      <c r="M887" s="206">
        <f t="shared" si="341"/>
        <v>1750.5</v>
      </c>
      <c r="N887" s="34"/>
      <c r="O887" s="209">
        <f t="shared" si="326"/>
        <v>7</v>
      </c>
      <c r="P887" s="34">
        <f t="shared" si="338"/>
        <v>1117200</v>
      </c>
      <c r="Q887" s="34">
        <f t="shared" si="339"/>
        <v>1167000</v>
      </c>
      <c r="R887" s="7">
        <f t="shared" si="340"/>
        <v>-2093.13</v>
      </c>
      <c r="S887" s="227">
        <f t="shared" si="327"/>
        <v>47706.87</v>
      </c>
      <c r="T887" s="249">
        <f t="shared" si="328"/>
        <v>4.2702175080558541E-2</v>
      </c>
      <c r="V887" s="36">
        <f t="shared" si="342"/>
        <v>1071.2876712328766</v>
      </c>
    </row>
    <row r="888" spans="2:22" s="33" customFormat="1" ht="15" customHeight="1" x14ac:dyDescent="0.4">
      <c r="B888" s="38" t="s">
        <v>64</v>
      </c>
      <c r="C888" s="6" t="s">
        <v>122</v>
      </c>
      <c r="D888" s="6">
        <f t="shared" si="335"/>
        <v>1</v>
      </c>
      <c r="E888" s="34">
        <v>60</v>
      </c>
      <c r="F888" s="212">
        <v>18500</v>
      </c>
      <c r="G888" s="195">
        <v>45812</v>
      </c>
      <c r="H888" s="33" t="s">
        <v>113</v>
      </c>
      <c r="I888" s="212">
        <v>19450</v>
      </c>
      <c r="J888" s="8">
        <v>45818</v>
      </c>
      <c r="K888" s="23">
        <f t="shared" si="336"/>
        <v>166.49999999999997</v>
      </c>
      <c r="L888" s="23">
        <f t="shared" si="337"/>
        <v>175.04999999999998</v>
      </c>
      <c r="M888" s="206">
        <f t="shared" si="341"/>
        <v>1750.5</v>
      </c>
      <c r="N888" s="34"/>
      <c r="O888" s="209">
        <f t="shared" si="326"/>
        <v>7</v>
      </c>
      <c r="P888" s="34">
        <f t="shared" si="338"/>
        <v>1110000</v>
      </c>
      <c r="Q888" s="34">
        <f t="shared" si="339"/>
        <v>1167000</v>
      </c>
      <c r="R888" s="7">
        <f t="shared" si="340"/>
        <v>-2092.0500000000002</v>
      </c>
      <c r="S888" s="227">
        <f t="shared" si="327"/>
        <v>54907.95</v>
      </c>
      <c r="T888" s="249">
        <f t="shared" si="328"/>
        <v>4.9466621621621618E-2</v>
      </c>
      <c r="V888" s="36">
        <f t="shared" si="342"/>
        <v>1064.3835616438357</v>
      </c>
    </row>
    <row r="889" spans="2:22" s="33" customFormat="1" ht="15" customHeight="1" x14ac:dyDescent="0.4">
      <c r="B889" s="38" t="s">
        <v>64</v>
      </c>
      <c r="C889" s="6" t="s">
        <v>122</v>
      </c>
      <c r="D889" s="6">
        <f t="shared" si="335"/>
        <v>1</v>
      </c>
      <c r="E889" s="34">
        <v>40</v>
      </c>
      <c r="F889" s="212">
        <v>18220</v>
      </c>
      <c r="G889" s="195">
        <v>45812</v>
      </c>
      <c r="H889" s="33" t="s">
        <v>113</v>
      </c>
      <c r="I889" s="212">
        <v>19450</v>
      </c>
      <c r="J889" s="8">
        <v>45818</v>
      </c>
      <c r="K889" s="23">
        <f t="shared" si="336"/>
        <v>109.32</v>
      </c>
      <c r="L889" s="23">
        <f t="shared" si="337"/>
        <v>116.69999999999999</v>
      </c>
      <c r="M889" s="206">
        <f t="shared" si="341"/>
        <v>1167</v>
      </c>
      <c r="N889" s="34"/>
      <c r="O889" s="209">
        <f t="shared" si="326"/>
        <v>7</v>
      </c>
      <c r="P889" s="34">
        <f t="shared" si="338"/>
        <v>728800</v>
      </c>
      <c r="Q889" s="34">
        <f t="shared" si="339"/>
        <v>778000</v>
      </c>
      <c r="R889" s="7">
        <f t="shared" si="340"/>
        <v>-1393.02</v>
      </c>
      <c r="S889" s="227">
        <f t="shared" si="327"/>
        <v>47806.98</v>
      </c>
      <c r="T889" s="249">
        <f t="shared" si="328"/>
        <v>6.5596844127332604E-2</v>
      </c>
      <c r="V889" s="36">
        <f t="shared" si="342"/>
        <v>698.84931506849318</v>
      </c>
    </row>
    <row r="890" spans="2:22" s="33" customFormat="1" ht="15" customHeight="1" x14ac:dyDescent="0.4">
      <c r="B890" s="38" t="s">
        <v>64</v>
      </c>
      <c r="C890" s="6" t="s">
        <v>122</v>
      </c>
      <c r="D890" s="6">
        <f t="shared" si="335"/>
        <v>1</v>
      </c>
      <c r="E890" s="34">
        <v>30</v>
      </c>
      <c r="F890" s="212">
        <v>18000</v>
      </c>
      <c r="G890" s="195">
        <v>45812</v>
      </c>
      <c r="H890" s="33" t="s">
        <v>113</v>
      </c>
      <c r="I890" s="212">
        <v>19450</v>
      </c>
      <c r="J890" s="8">
        <v>45818</v>
      </c>
      <c r="K890" s="23">
        <f t="shared" si="336"/>
        <v>81</v>
      </c>
      <c r="L890" s="23">
        <f t="shared" si="337"/>
        <v>87.524999999999991</v>
      </c>
      <c r="M890" s="206">
        <f t="shared" si="341"/>
        <v>875.25</v>
      </c>
      <c r="N890" s="34"/>
      <c r="O890" s="209">
        <f t="shared" si="326"/>
        <v>7</v>
      </c>
      <c r="P890" s="34">
        <f t="shared" si="338"/>
        <v>540000</v>
      </c>
      <c r="Q890" s="34">
        <f t="shared" si="339"/>
        <v>583500</v>
      </c>
      <c r="R890" s="7">
        <f t="shared" si="340"/>
        <v>-1043.7750000000001</v>
      </c>
      <c r="S890" s="227">
        <f t="shared" si="327"/>
        <v>42456.224999999999</v>
      </c>
      <c r="T890" s="249">
        <f t="shared" si="328"/>
        <v>7.8622638888888888E-2</v>
      </c>
      <c r="V890" s="36">
        <f t="shared" si="342"/>
        <v>517.80821917808214</v>
      </c>
    </row>
    <row r="891" spans="2:22" s="33" customFormat="1" ht="15" customHeight="1" x14ac:dyDescent="0.4">
      <c r="B891" s="38" t="s">
        <v>64</v>
      </c>
      <c r="C891" s="6" t="s">
        <v>122</v>
      </c>
      <c r="D891" s="6">
        <f t="shared" si="335"/>
        <v>1</v>
      </c>
      <c r="E891" s="34">
        <v>25</v>
      </c>
      <c r="F891" s="212">
        <v>17750</v>
      </c>
      <c r="G891" s="195">
        <v>45813</v>
      </c>
      <c r="H891" s="33" t="s">
        <v>113</v>
      </c>
      <c r="I891" s="212">
        <v>19450</v>
      </c>
      <c r="J891" s="8">
        <v>45818</v>
      </c>
      <c r="K891" s="23">
        <f t="shared" si="336"/>
        <v>66.5625</v>
      </c>
      <c r="L891" s="23">
        <f t="shared" si="337"/>
        <v>72.9375</v>
      </c>
      <c r="M891" s="206">
        <f t="shared" si="341"/>
        <v>729.375</v>
      </c>
      <c r="N891" s="34"/>
      <c r="O891" s="209">
        <f t="shared" si="326"/>
        <v>6</v>
      </c>
      <c r="P891" s="34">
        <f t="shared" si="338"/>
        <v>443750</v>
      </c>
      <c r="Q891" s="34">
        <f t="shared" si="339"/>
        <v>486250</v>
      </c>
      <c r="R891" s="7">
        <f t="shared" si="340"/>
        <v>-868.875</v>
      </c>
      <c r="S891" s="227">
        <f t="shared" si="327"/>
        <v>41631.125</v>
      </c>
      <c r="T891" s="249">
        <f t="shared" si="328"/>
        <v>9.381661971830986E-2</v>
      </c>
      <c r="V891" s="36">
        <f t="shared" si="342"/>
        <v>364.72602739726028</v>
      </c>
    </row>
    <row r="892" spans="2:22" s="33" customFormat="1" ht="15" customHeight="1" x14ac:dyDescent="0.4">
      <c r="B892" s="38" t="s">
        <v>64</v>
      </c>
      <c r="C892" s="6" t="s">
        <v>122</v>
      </c>
      <c r="D892" s="6">
        <f t="shared" si="335"/>
        <v>1</v>
      </c>
      <c r="E892" s="34">
        <v>100</v>
      </c>
      <c r="F892" s="212">
        <v>18500</v>
      </c>
      <c r="G892" s="195">
        <v>45813</v>
      </c>
      <c r="H892" s="33" t="s">
        <v>113</v>
      </c>
      <c r="I892" s="212">
        <v>19450</v>
      </c>
      <c r="J892" s="8">
        <v>45818</v>
      </c>
      <c r="K892" s="23">
        <f t="shared" si="336"/>
        <v>277.5</v>
      </c>
      <c r="L892" s="23">
        <f t="shared" si="337"/>
        <v>291.75</v>
      </c>
      <c r="M892" s="206">
        <f t="shared" si="341"/>
        <v>2917.5</v>
      </c>
      <c r="N892" s="34"/>
      <c r="O892" s="209">
        <f t="shared" si="326"/>
        <v>6</v>
      </c>
      <c r="P892" s="34">
        <f t="shared" si="338"/>
        <v>1850000</v>
      </c>
      <c r="Q892" s="34">
        <f t="shared" si="339"/>
        <v>1945000</v>
      </c>
      <c r="R892" s="7">
        <f t="shared" si="340"/>
        <v>-3486.75</v>
      </c>
      <c r="S892" s="227">
        <f t="shared" si="327"/>
        <v>91513.25</v>
      </c>
      <c r="T892" s="249">
        <f t="shared" si="328"/>
        <v>4.9466621621621625E-2</v>
      </c>
      <c r="V892" s="36">
        <f t="shared" si="342"/>
        <v>1520.5479452054794</v>
      </c>
    </row>
    <row r="893" spans="2:22" s="33" customFormat="1" ht="15" customHeight="1" x14ac:dyDescent="0.4">
      <c r="B893" s="38" t="s">
        <v>64</v>
      </c>
      <c r="C893" s="6" t="s">
        <v>122</v>
      </c>
      <c r="D893" s="6">
        <f t="shared" si="335"/>
        <v>1</v>
      </c>
      <c r="E893" s="34">
        <v>60</v>
      </c>
      <c r="F893" s="212">
        <v>17730</v>
      </c>
      <c r="G893" s="195">
        <v>45813</v>
      </c>
      <c r="H893" s="33" t="s">
        <v>113</v>
      </c>
      <c r="I893" s="212">
        <v>19450</v>
      </c>
      <c r="J893" s="8">
        <v>45818</v>
      </c>
      <c r="K893" s="23">
        <f t="shared" si="336"/>
        <v>159.57</v>
      </c>
      <c r="L893" s="23">
        <f t="shared" si="337"/>
        <v>175.04999999999998</v>
      </c>
      <c r="M893" s="206">
        <f t="shared" si="341"/>
        <v>1750.5</v>
      </c>
      <c r="N893" s="34"/>
      <c r="O893" s="209">
        <f t="shared" si="326"/>
        <v>6</v>
      </c>
      <c r="P893" s="34">
        <f t="shared" si="338"/>
        <v>1063800</v>
      </c>
      <c r="Q893" s="34">
        <f t="shared" si="339"/>
        <v>1167000</v>
      </c>
      <c r="R893" s="7">
        <f t="shared" si="340"/>
        <v>-2085.12</v>
      </c>
      <c r="S893" s="227">
        <f t="shared" si="327"/>
        <v>101114.88</v>
      </c>
      <c r="T893" s="249">
        <f t="shared" si="328"/>
        <v>9.5050648618161315E-2</v>
      </c>
      <c r="V893" s="36">
        <f t="shared" si="342"/>
        <v>874.35616438356169</v>
      </c>
    </row>
    <row r="894" spans="2:22" s="33" customFormat="1" ht="15" customHeight="1" x14ac:dyDescent="0.4">
      <c r="B894" s="38" t="s">
        <v>64</v>
      </c>
      <c r="C894" s="6" t="s">
        <v>122</v>
      </c>
      <c r="D894" s="6">
        <f t="shared" si="335"/>
        <v>1</v>
      </c>
      <c r="E894" s="34">
        <v>12</v>
      </c>
      <c r="F894" s="212">
        <v>17100</v>
      </c>
      <c r="G894" s="195">
        <v>45817</v>
      </c>
      <c r="H894" s="33" t="s">
        <v>113</v>
      </c>
      <c r="I894" s="212">
        <v>19450</v>
      </c>
      <c r="J894" s="8">
        <v>45818</v>
      </c>
      <c r="K894" s="23">
        <f t="shared" si="336"/>
        <v>30.779999999999998</v>
      </c>
      <c r="L894" s="23">
        <f t="shared" si="337"/>
        <v>35.01</v>
      </c>
      <c r="M894" s="206">
        <f t="shared" si="341"/>
        <v>350.1</v>
      </c>
      <c r="N894" s="34"/>
      <c r="O894" s="209">
        <f t="shared" si="326"/>
        <v>2</v>
      </c>
      <c r="P894" s="34">
        <f t="shared" si="338"/>
        <v>205200</v>
      </c>
      <c r="Q894" s="34">
        <f t="shared" si="339"/>
        <v>233400</v>
      </c>
      <c r="R894" s="7">
        <f t="shared" si="340"/>
        <v>-415.89</v>
      </c>
      <c r="S894" s="227">
        <f t="shared" si="327"/>
        <v>27784.11</v>
      </c>
      <c r="T894" s="249">
        <f t="shared" si="328"/>
        <v>0.13540014619883042</v>
      </c>
      <c r="V894" s="36">
        <f t="shared" si="342"/>
        <v>56.219178082191782</v>
      </c>
    </row>
    <row r="895" spans="2:22" s="33" customFormat="1" ht="15" customHeight="1" x14ac:dyDescent="0.4">
      <c r="B895" s="38" t="s">
        <v>64</v>
      </c>
      <c r="C895" s="6" t="s">
        <v>160</v>
      </c>
      <c r="D895" s="6">
        <f t="shared" si="335"/>
        <v>1</v>
      </c>
      <c r="E895" s="34">
        <v>40</v>
      </c>
      <c r="F895" s="212">
        <v>22600</v>
      </c>
      <c r="G895" s="195">
        <v>45068</v>
      </c>
      <c r="H895" s="8"/>
      <c r="I895" s="212">
        <v>14510</v>
      </c>
      <c r="J895" s="8">
        <v>45700</v>
      </c>
      <c r="K895" s="23">
        <f t="shared" si="336"/>
        <v>30</v>
      </c>
      <c r="L895" s="23">
        <f t="shared" si="337"/>
        <v>20</v>
      </c>
      <c r="M895" s="206">
        <f t="shared" si="341"/>
        <v>870.6</v>
      </c>
      <c r="N895" s="34"/>
      <c r="O895" s="209">
        <f t="shared" si="326"/>
        <v>633</v>
      </c>
      <c r="P895" s="34">
        <f t="shared" si="338"/>
        <v>904000</v>
      </c>
      <c r="Q895" s="34">
        <f t="shared" si="339"/>
        <v>580400</v>
      </c>
      <c r="R895" s="7">
        <f t="shared" si="340"/>
        <v>-920.6</v>
      </c>
      <c r="S895" s="227">
        <f t="shared" si="327"/>
        <v>-324520.59999999998</v>
      </c>
      <c r="T895" s="249">
        <f t="shared" si="328"/>
        <v>-0.35898296460176987</v>
      </c>
    </row>
    <row r="896" spans="2:22" s="33" customFormat="1" ht="15" customHeight="1" x14ac:dyDescent="0.4">
      <c r="B896" s="38" t="s">
        <v>64</v>
      </c>
      <c r="C896" s="6" t="s">
        <v>160</v>
      </c>
      <c r="D896" s="6">
        <f t="shared" si="335"/>
        <v>1</v>
      </c>
      <c r="E896" s="34">
        <v>11</v>
      </c>
      <c r="F896" s="212">
        <v>23500</v>
      </c>
      <c r="G896" s="195">
        <v>45077</v>
      </c>
      <c r="H896" s="8"/>
      <c r="I896" s="212">
        <v>14510</v>
      </c>
      <c r="J896" s="8">
        <v>45700</v>
      </c>
      <c r="K896" s="23">
        <f t="shared" si="336"/>
        <v>0</v>
      </c>
      <c r="L896" s="23">
        <f t="shared" si="337"/>
        <v>0</v>
      </c>
      <c r="M896" s="206">
        <f t="shared" si="341"/>
        <v>239.41499999999999</v>
      </c>
      <c r="N896" s="34"/>
      <c r="O896" s="209">
        <f t="shared" si="326"/>
        <v>624</v>
      </c>
      <c r="P896" s="34">
        <f t="shared" si="338"/>
        <v>258500</v>
      </c>
      <c r="Q896" s="34">
        <f t="shared" si="339"/>
        <v>159610</v>
      </c>
      <c r="R896" s="7">
        <f t="shared" si="340"/>
        <v>-239.41499999999999</v>
      </c>
      <c r="S896" s="227">
        <f t="shared" si="327"/>
        <v>-99129.414999999994</v>
      </c>
      <c r="T896" s="249">
        <f t="shared" si="328"/>
        <v>-0.38347936170212765</v>
      </c>
    </row>
    <row r="897" spans="1:20" s="33" customFormat="1" ht="15" customHeight="1" x14ac:dyDescent="0.4">
      <c r="B897" s="38" t="s">
        <v>64</v>
      </c>
      <c r="C897" s="6" t="s">
        <v>334</v>
      </c>
      <c r="D897" s="6">
        <f t="shared" si="335"/>
        <v>1</v>
      </c>
      <c r="E897" s="34">
        <v>51</v>
      </c>
      <c r="F897" s="212">
        <v>0</v>
      </c>
      <c r="G897" s="195">
        <v>45337</v>
      </c>
      <c r="H897" s="8" t="s">
        <v>249</v>
      </c>
      <c r="I897" s="212">
        <v>14510</v>
      </c>
      <c r="J897" s="8">
        <v>45700</v>
      </c>
      <c r="K897" s="23">
        <f t="shared" si="336"/>
        <v>0</v>
      </c>
      <c r="L897" s="23">
        <f t="shared" si="337"/>
        <v>20</v>
      </c>
      <c r="M897" s="206">
        <f t="shared" si="341"/>
        <v>1110.0150000000001</v>
      </c>
      <c r="N897" s="34"/>
      <c r="O897" s="209">
        <f t="shared" si="326"/>
        <v>364</v>
      </c>
      <c r="P897" s="34">
        <f t="shared" si="338"/>
        <v>0</v>
      </c>
      <c r="Q897" s="34">
        <f t="shared" si="339"/>
        <v>740010</v>
      </c>
      <c r="R897" s="7">
        <f t="shared" si="340"/>
        <v>-1130.0150000000001</v>
      </c>
      <c r="S897" s="227">
        <f t="shared" si="327"/>
        <v>738879.98499999999</v>
      </c>
      <c r="T897" s="249" t="e">
        <f t="shared" si="328"/>
        <v>#DIV/0!</v>
      </c>
    </row>
    <row r="898" spans="1:20" s="33" customFormat="1" ht="15" customHeight="1" x14ac:dyDescent="0.4">
      <c r="B898" s="38" t="s">
        <v>64</v>
      </c>
      <c r="C898" s="6" t="s">
        <v>160</v>
      </c>
      <c r="D898" s="6">
        <f t="shared" si="335"/>
        <v>1</v>
      </c>
      <c r="E898" s="34">
        <v>30</v>
      </c>
      <c r="F898" s="212">
        <v>9890</v>
      </c>
      <c r="G898" s="195">
        <v>45637</v>
      </c>
      <c r="H898" s="8"/>
      <c r="I898" s="212">
        <v>14510</v>
      </c>
      <c r="J898" s="8">
        <v>45700</v>
      </c>
      <c r="K898" s="23">
        <f t="shared" si="336"/>
        <v>10</v>
      </c>
      <c r="L898" s="23">
        <f t="shared" si="337"/>
        <v>10</v>
      </c>
      <c r="M898" s="206">
        <f t="shared" si="341"/>
        <v>652.95000000000005</v>
      </c>
      <c r="N898" s="34"/>
      <c r="O898" s="209">
        <f t="shared" si="326"/>
        <v>64</v>
      </c>
      <c r="P898" s="34">
        <f t="shared" si="338"/>
        <v>296700</v>
      </c>
      <c r="Q898" s="34">
        <f t="shared" si="339"/>
        <v>435300</v>
      </c>
      <c r="R898" s="7">
        <f t="shared" si="340"/>
        <v>-672.95</v>
      </c>
      <c r="S898" s="227">
        <f t="shared" si="327"/>
        <v>137927.04999999999</v>
      </c>
      <c r="T898" s="249">
        <f t="shared" si="328"/>
        <v>0.46487040781934608</v>
      </c>
    </row>
    <row r="899" spans="1:20" s="33" customFormat="1" ht="15" customHeight="1" x14ac:dyDescent="0.4">
      <c r="A899" s="33" t="s">
        <v>113</v>
      </c>
      <c r="B899" s="38" t="s">
        <v>64</v>
      </c>
      <c r="C899" s="6" t="s">
        <v>160</v>
      </c>
      <c r="D899" s="6">
        <f t="shared" si="335"/>
        <v>1</v>
      </c>
      <c r="E899" s="34">
        <v>15</v>
      </c>
      <c r="F899" s="212">
        <v>10230</v>
      </c>
      <c r="G899" s="195">
        <v>45639</v>
      </c>
      <c r="H899" s="8"/>
      <c r="I899" s="212">
        <v>14510</v>
      </c>
      <c r="J899" s="8">
        <v>45700</v>
      </c>
      <c r="K899" s="23">
        <f t="shared" si="336"/>
        <v>0</v>
      </c>
      <c r="L899" s="23">
        <f t="shared" si="337"/>
        <v>0</v>
      </c>
      <c r="M899" s="206">
        <f t="shared" si="341"/>
        <v>326.47500000000002</v>
      </c>
      <c r="N899" s="34"/>
      <c r="O899" s="209">
        <f t="shared" si="326"/>
        <v>62</v>
      </c>
      <c r="P899" s="34">
        <f t="shared" si="338"/>
        <v>153450</v>
      </c>
      <c r="Q899" s="34">
        <f t="shared" si="339"/>
        <v>217650</v>
      </c>
      <c r="R899" s="7">
        <f t="shared" si="340"/>
        <v>-326.47500000000002</v>
      </c>
      <c r="S899" s="227">
        <f t="shared" si="327"/>
        <v>63873.525000000001</v>
      </c>
      <c r="T899" s="249">
        <f t="shared" si="328"/>
        <v>0.41624975562072336</v>
      </c>
    </row>
    <row r="900" spans="1:20" s="33" customFormat="1" ht="15" customHeight="1" x14ac:dyDescent="0.4">
      <c r="A900" s="33" t="s">
        <v>113</v>
      </c>
      <c r="B900" s="38" t="s">
        <v>64</v>
      </c>
      <c r="C900" s="6" t="s">
        <v>160</v>
      </c>
      <c r="D900" s="6">
        <f t="shared" si="335"/>
        <v>1</v>
      </c>
      <c r="E900" s="34">
        <v>19</v>
      </c>
      <c r="F900" s="212">
        <v>9840</v>
      </c>
      <c r="G900" s="195">
        <v>45645</v>
      </c>
      <c r="H900" s="8"/>
      <c r="I900" s="212">
        <v>14510</v>
      </c>
      <c r="J900" s="8">
        <v>45700</v>
      </c>
      <c r="K900" s="23">
        <f t="shared" si="336"/>
        <v>0</v>
      </c>
      <c r="L900" s="23">
        <f t="shared" si="337"/>
        <v>10</v>
      </c>
      <c r="M900" s="206">
        <f t="shared" si="341"/>
        <v>413.53500000000003</v>
      </c>
      <c r="N900" s="34"/>
      <c r="O900" s="209">
        <f t="shared" si="326"/>
        <v>56</v>
      </c>
      <c r="P900" s="34">
        <f t="shared" si="338"/>
        <v>186960</v>
      </c>
      <c r="Q900" s="34">
        <f t="shared" si="339"/>
        <v>275690</v>
      </c>
      <c r="R900" s="7">
        <f t="shared" si="340"/>
        <v>-423.53500000000003</v>
      </c>
      <c r="S900" s="227">
        <f t="shared" si="327"/>
        <v>88306.464999999997</v>
      </c>
      <c r="T900" s="249">
        <f t="shared" si="328"/>
        <v>0.47232811831407784</v>
      </c>
    </row>
    <row r="901" spans="1:20" s="33" customFormat="1" ht="15" customHeight="1" x14ac:dyDescent="0.4">
      <c r="B901" s="38" t="s">
        <v>64</v>
      </c>
      <c r="C901" s="6" t="s">
        <v>160</v>
      </c>
      <c r="D901" s="6">
        <f t="shared" si="335"/>
        <v>1</v>
      </c>
      <c r="E901" s="34">
        <v>35</v>
      </c>
      <c r="F901" s="212">
        <v>9423</v>
      </c>
      <c r="G901" s="195">
        <v>45646</v>
      </c>
      <c r="H901" s="8"/>
      <c r="I901" s="212">
        <v>14510</v>
      </c>
      <c r="J901" s="8">
        <v>45700</v>
      </c>
      <c r="K901" s="23">
        <f t="shared" si="336"/>
        <v>10</v>
      </c>
      <c r="L901" s="23">
        <f t="shared" si="337"/>
        <v>10</v>
      </c>
      <c r="M901" s="206">
        <f t="shared" si="341"/>
        <v>761.77499999999998</v>
      </c>
      <c r="N901" s="34"/>
      <c r="O901" s="209">
        <f t="shared" si="326"/>
        <v>55</v>
      </c>
      <c r="P901" s="34">
        <f t="shared" si="338"/>
        <v>329805</v>
      </c>
      <c r="Q901" s="34">
        <f t="shared" si="339"/>
        <v>507850</v>
      </c>
      <c r="R901" s="7">
        <f t="shared" si="340"/>
        <v>-781.77499999999998</v>
      </c>
      <c r="S901" s="227">
        <f t="shared" si="327"/>
        <v>177263.22500000001</v>
      </c>
      <c r="T901" s="249">
        <f t="shared" si="328"/>
        <v>0.53747888904049368</v>
      </c>
    </row>
    <row r="902" spans="1:20" s="33" customFormat="1" ht="15" customHeight="1" x14ac:dyDescent="0.4">
      <c r="A902" s="33" t="s">
        <v>113</v>
      </c>
      <c r="B902" s="38" t="s">
        <v>64</v>
      </c>
      <c r="C902" s="6" t="s">
        <v>160</v>
      </c>
      <c r="D902" s="6">
        <f t="shared" si="335"/>
        <v>1</v>
      </c>
      <c r="E902" s="34">
        <v>4</v>
      </c>
      <c r="F902" s="212">
        <v>14370</v>
      </c>
      <c r="G902" s="195">
        <v>45700</v>
      </c>
      <c r="H902" s="8"/>
      <c r="I902" s="212">
        <v>17480</v>
      </c>
      <c r="J902" s="8">
        <v>45791</v>
      </c>
      <c r="K902" s="23">
        <f t="shared" si="336"/>
        <v>0</v>
      </c>
      <c r="L902" s="23">
        <f t="shared" si="337"/>
        <v>0</v>
      </c>
      <c r="M902" s="206">
        <f t="shared" si="341"/>
        <v>104.88</v>
      </c>
      <c r="N902" s="34"/>
      <c r="O902" s="209">
        <f t="shared" si="326"/>
        <v>92</v>
      </c>
      <c r="P902" s="34">
        <f t="shared" si="338"/>
        <v>57480</v>
      </c>
      <c r="Q902" s="34">
        <f t="shared" si="339"/>
        <v>69920</v>
      </c>
      <c r="R902" s="7">
        <f t="shared" si="340"/>
        <v>-104.88</v>
      </c>
      <c r="S902" s="227">
        <f t="shared" si="327"/>
        <v>12335.12</v>
      </c>
      <c r="T902" s="249">
        <f t="shared" si="328"/>
        <v>0.21459846903270705</v>
      </c>
    </row>
    <row r="903" spans="1:20" s="33" customFormat="1" ht="15" customHeight="1" x14ac:dyDescent="0.4">
      <c r="A903" s="33" t="s">
        <v>113</v>
      </c>
      <c r="B903" s="38" t="s">
        <v>64</v>
      </c>
      <c r="C903" s="6" t="s">
        <v>160</v>
      </c>
      <c r="D903" s="6">
        <f t="shared" si="335"/>
        <v>1</v>
      </c>
      <c r="E903" s="34">
        <v>50</v>
      </c>
      <c r="F903" s="212">
        <v>15200</v>
      </c>
      <c r="G903" s="195">
        <v>45701</v>
      </c>
      <c r="H903" s="8"/>
      <c r="I903" s="212">
        <v>17480</v>
      </c>
      <c r="J903" s="8">
        <v>45791</v>
      </c>
      <c r="K903" s="23">
        <f t="shared" si="336"/>
        <v>20</v>
      </c>
      <c r="L903" s="23">
        <f t="shared" si="337"/>
        <v>30</v>
      </c>
      <c r="M903" s="206">
        <f t="shared" si="341"/>
        <v>1311</v>
      </c>
      <c r="N903" s="34"/>
      <c r="O903" s="209">
        <f t="shared" si="326"/>
        <v>91</v>
      </c>
      <c r="P903" s="34">
        <f t="shared" si="338"/>
        <v>760000</v>
      </c>
      <c r="Q903" s="34">
        <f t="shared" si="339"/>
        <v>874000</v>
      </c>
      <c r="R903" s="7">
        <f t="shared" si="340"/>
        <v>-1361</v>
      </c>
      <c r="S903" s="227">
        <f t="shared" si="327"/>
        <v>112639</v>
      </c>
      <c r="T903" s="249">
        <f t="shared" si="328"/>
        <v>0.14820921052631578</v>
      </c>
    </row>
    <row r="904" spans="1:20" s="33" customFormat="1" ht="15" customHeight="1" x14ac:dyDescent="0.4">
      <c r="A904" s="33" t="s">
        <v>113</v>
      </c>
      <c r="B904" s="38" t="s">
        <v>64</v>
      </c>
      <c r="C904" s="6" t="s">
        <v>160</v>
      </c>
      <c r="D904" s="6">
        <f t="shared" si="335"/>
        <v>1</v>
      </c>
      <c r="E904" s="34">
        <v>7</v>
      </c>
      <c r="F904" s="212">
        <v>15300</v>
      </c>
      <c r="G904" s="195">
        <v>45705</v>
      </c>
      <c r="H904" s="8"/>
      <c r="I904" s="212">
        <v>17480</v>
      </c>
      <c r="J904" s="8">
        <v>45791</v>
      </c>
      <c r="K904" s="23">
        <f t="shared" si="336"/>
        <v>0</v>
      </c>
      <c r="L904" s="23">
        <f t="shared" si="337"/>
        <v>0</v>
      </c>
      <c r="M904" s="206">
        <f t="shared" si="341"/>
        <v>183.54</v>
      </c>
      <c r="N904" s="34"/>
      <c r="O904" s="209">
        <f t="shared" si="326"/>
        <v>87</v>
      </c>
      <c r="P904" s="34">
        <f t="shared" si="338"/>
        <v>107100</v>
      </c>
      <c r="Q904" s="34">
        <f t="shared" si="339"/>
        <v>122360</v>
      </c>
      <c r="R904" s="7">
        <f t="shared" si="340"/>
        <v>-183.54</v>
      </c>
      <c r="S904" s="227">
        <f t="shared" si="327"/>
        <v>15076.46</v>
      </c>
      <c r="T904" s="249">
        <f t="shared" si="328"/>
        <v>0.14076993464052287</v>
      </c>
    </row>
    <row r="905" spans="1:20" s="33" customFormat="1" ht="15" customHeight="1" x14ac:dyDescent="0.4">
      <c r="A905" s="33" t="s">
        <v>113</v>
      </c>
      <c r="B905" s="38" t="s">
        <v>64</v>
      </c>
      <c r="C905" s="6" t="s">
        <v>160</v>
      </c>
      <c r="D905" s="6">
        <f t="shared" si="335"/>
        <v>1</v>
      </c>
      <c r="E905" s="34">
        <v>5</v>
      </c>
      <c r="F905" s="212">
        <v>14850</v>
      </c>
      <c r="G905" s="195">
        <v>45706</v>
      </c>
      <c r="H905" s="8"/>
      <c r="I905" s="212">
        <v>17480</v>
      </c>
      <c r="J905" s="8">
        <v>45791</v>
      </c>
      <c r="K905" s="23">
        <f t="shared" si="336"/>
        <v>0</v>
      </c>
      <c r="L905" s="23">
        <f t="shared" si="337"/>
        <v>0</v>
      </c>
      <c r="M905" s="206">
        <f t="shared" si="341"/>
        <v>131.1</v>
      </c>
      <c r="N905" s="34"/>
      <c r="O905" s="209">
        <f t="shared" si="326"/>
        <v>86</v>
      </c>
      <c r="P905" s="34">
        <f t="shared" si="338"/>
        <v>74250</v>
      </c>
      <c r="Q905" s="34">
        <f t="shared" si="339"/>
        <v>87400</v>
      </c>
      <c r="R905" s="7">
        <f t="shared" si="340"/>
        <v>-131.1</v>
      </c>
      <c r="S905" s="227">
        <f t="shared" si="327"/>
        <v>13018.9</v>
      </c>
      <c r="T905" s="249">
        <f t="shared" si="328"/>
        <v>0.17533872053872054</v>
      </c>
    </row>
    <row r="906" spans="1:20" s="33" customFormat="1" ht="15" customHeight="1" x14ac:dyDescent="0.4">
      <c r="A906" s="33" t="s">
        <v>113</v>
      </c>
      <c r="B906" s="38" t="s">
        <v>64</v>
      </c>
      <c r="C906" s="6" t="s">
        <v>160</v>
      </c>
      <c r="D906" s="6">
        <f t="shared" si="335"/>
        <v>1</v>
      </c>
      <c r="E906" s="34">
        <v>10</v>
      </c>
      <c r="F906" s="212">
        <v>15500</v>
      </c>
      <c r="G906" s="195">
        <v>45707</v>
      </c>
      <c r="H906" s="8"/>
      <c r="I906" s="212">
        <v>17480</v>
      </c>
      <c r="J906" s="8">
        <v>45791</v>
      </c>
      <c r="K906" s="23">
        <f t="shared" si="336"/>
        <v>0</v>
      </c>
      <c r="L906" s="23">
        <f t="shared" si="337"/>
        <v>0</v>
      </c>
      <c r="M906" s="206">
        <f t="shared" si="341"/>
        <v>262.2</v>
      </c>
      <c r="N906" s="34"/>
      <c r="O906" s="209">
        <f t="shared" si="326"/>
        <v>85</v>
      </c>
      <c r="P906" s="34">
        <f t="shared" si="338"/>
        <v>155000</v>
      </c>
      <c r="Q906" s="34">
        <f t="shared" si="339"/>
        <v>174800</v>
      </c>
      <c r="R906" s="7">
        <f t="shared" si="340"/>
        <v>-262.2</v>
      </c>
      <c r="S906" s="227">
        <f t="shared" si="327"/>
        <v>19537.8</v>
      </c>
      <c r="T906" s="249">
        <f t="shared" si="328"/>
        <v>0.12605032258064516</v>
      </c>
    </row>
    <row r="907" spans="1:20" s="33" customFormat="1" ht="15" customHeight="1" x14ac:dyDescent="0.4">
      <c r="A907" s="33" t="s">
        <v>113</v>
      </c>
      <c r="B907" s="38" t="s">
        <v>64</v>
      </c>
      <c r="C907" s="6" t="s">
        <v>160</v>
      </c>
      <c r="D907" s="6">
        <f t="shared" si="335"/>
        <v>1</v>
      </c>
      <c r="E907" s="34">
        <v>4</v>
      </c>
      <c r="F907" s="212">
        <v>14500</v>
      </c>
      <c r="G907" s="195">
        <v>45712</v>
      </c>
      <c r="H907" s="8"/>
      <c r="I907" s="212">
        <v>17480</v>
      </c>
      <c r="J907" s="8">
        <v>45791</v>
      </c>
      <c r="K907" s="23">
        <f t="shared" si="336"/>
        <v>0</v>
      </c>
      <c r="L907" s="23">
        <f t="shared" si="337"/>
        <v>0</v>
      </c>
      <c r="M907" s="206">
        <f t="shared" si="341"/>
        <v>104.88</v>
      </c>
      <c r="N907" s="34"/>
      <c r="O907" s="209">
        <f t="shared" si="326"/>
        <v>80</v>
      </c>
      <c r="P907" s="34">
        <f t="shared" si="338"/>
        <v>58000</v>
      </c>
      <c r="Q907" s="34">
        <f t="shared" si="339"/>
        <v>69920</v>
      </c>
      <c r="R907" s="7">
        <f t="shared" si="340"/>
        <v>-104.88</v>
      </c>
      <c r="S907" s="227">
        <f t="shared" si="327"/>
        <v>11815.12</v>
      </c>
      <c r="T907" s="249">
        <f t="shared" si="328"/>
        <v>0.20370896551724138</v>
      </c>
    </row>
    <row r="908" spans="1:20" s="33" customFormat="1" ht="15" customHeight="1" x14ac:dyDescent="0.4">
      <c r="A908" s="33" t="s">
        <v>113</v>
      </c>
      <c r="B908" s="38" t="s">
        <v>64</v>
      </c>
      <c r="C908" s="6" t="s">
        <v>160</v>
      </c>
      <c r="D908" s="6">
        <f t="shared" si="335"/>
        <v>1</v>
      </c>
      <c r="E908" s="34">
        <v>12</v>
      </c>
      <c r="F908" s="212">
        <v>16880</v>
      </c>
      <c r="G908" s="195">
        <v>45715</v>
      </c>
      <c r="H908" s="8"/>
      <c r="I908" s="212">
        <v>17480</v>
      </c>
      <c r="J908" s="8">
        <v>45791</v>
      </c>
      <c r="K908" s="23">
        <f t="shared" si="336"/>
        <v>0</v>
      </c>
      <c r="L908" s="23">
        <f t="shared" si="337"/>
        <v>0</v>
      </c>
      <c r="M908" s="206">
        <f t="shared" si="341"/>
        <v>314.64</v>
      </c>
      <c r="N908" s="34"/>
      <c r="O908" s="209">
        <f t="shared" si="326"/>
        <v>77</v>
      </c>
      <c r="P908" s="34">
        <f t="shared" si="338"/>
        <v>202560</v>
      </c>
      <c r="Q908" s="34">
        <f t="shared" si="339"/>
        <v>209760</v>
      </c>
      <c r="R908" s="7">
        <f t="shared" si="340"/>
        <v>-314.64</v>
      </c>
      <c r="S908" s="227">
        <f t="shared" si="327"/>
        <v>6885.36</v>
      </c>
      <c r="T908" s="249">
        <f t="shared" si="328"/>
        <v>3.399170616113744E-2</v>
      </c>
    </row>
    <row r="909" spans="1:20" s="33" customFormat="1" ht="15" customHeight="1" x14ac:dyDescent="0.4">
      <c r="A909" s="33" t="s">
        <v>113</v>
      </c>
      <c r="B909" s="38" t="s">
        <v>64</v>
      </c>
      <c r="C909" s="6" t="s">
        <v>160</v>
      </c>
      <c r="D909" s="6">
        <f t="shared" si="335"/>
        <v>1</v>
      </c>
      <c r="E909" s="34">
        <v>6</v>
      </c>
      <c r="F909" s="212">
        <v>16340</v>
      </c>
      <c r="G909" s="195">
        <v>45716</v>
      </c>
      <c r="H909" s="8"/>
      <c r="I909" s="212">
        <v>17480</v>
      </c>
      <c r="J909" s="8">
        <v>45791</v>
      </c>
      <c r="K909" s="23">
        <f t="shared" si="336"/>
        <v>0</v>
      </c>
      <c r="L909" s="23">
        <f t="shared" si="337"/>
        <v>0</v>
      </c>
      <c r="M909" s="206">
        <f t="shared" si="341"/>
        <v>157.32</v>
      </c>
      <c r="N909" s="34"/>
      <c r="O909" s="209">
        <f t="shared" si="326"/>
        <v>76</v>
      </c>
      <c r="P909" s="34">
        <f t="shared" si="338"/>
        <v>98040</v>
      </c>
      <c r="Q909" s="34">
        <f t="shared" si="339"/>
        <v>104880</v>
      </c>
      <c r="R909" s="7">
        <f t="shared" si="340"/>
        <v>-157.32</v>
      </c>
      <c r="S909" s="227">
        <f t="shared" si="327"/>
        <v>6682.68</v>
      </c>
      <c r="T909" s="249">
        <f t="shared" si="328"/>
        <v>6.8162790697674419E-2</v>
      </c>
    </row>
    <row r="910" spans="1:20" s="33" customFormat="1" ht="15" customHeight="1" x14ac:dyDescent="0.4">
      <c r="A910" s="33" t="s">
        <v>113</v>
      </c>
      <c r="B910" s="38" t="s">
        <v>64</v>
      </c>
      <c r="C910" s="6" t="s">
        <v>160</v>
      </c>
      <c r="D910" s="6">
        <f t="shared" si="335"/>
        <v>1</v>
      </c>
      <c r="E910" s="34">
        <v>7</v>
      </c>
      <c r="F910" s="212">
        <v>15910</v>
      </c>
      <c r="G910" s="195">
        <v>45720</v>
      </c>
      <c r="H910" s="8"/>
      <c r="I910" s="212">
        <v>17480</v>
      </c>
      <c r="J910" s="8">
        <v>45791</v>
      </c>
      <c r="K910" s="23">
        <f t="shared" si="336"/>
        <v>0</v>
      </c>
      <c r="L910" s="23">
        <f t="shared" si="337"/>
        <v>0</v>
      </c>
      <c r="M910" s="206">
        <f t="shared" si="341"/>
        <v>183.54</v>
      </c>
      <c r="N910" s="34"/>
      <c r="O910" s="209">
        <f t="shared" si="326"/>
        <v>72</v>
      </c>
      <c r="P910" s="34">
        <f t="shared" si="338"/>
        <v>111370</v>
      </c>
      <c r="Q910" s="34">
        <f t="shared" si="339"/>
        <v>122360</v>
      </c>
      <c r="R910" s="7">
        <f t="shared" si="340"/>
        <v>-183.54</v>
      </c>
      <c r="S910" s="227">
        <f t="shared" si="327"/>
        <v>10806.46</v>
      </c>
      <c r="T910" s="249">
        <f t="shared" si="328"/>
        <v>9.7032055311125076E-2</v>
      </c>
    </row>
    <row r="911" spans="1:20" s="33" customFormat="1" ht="15" customHeight="1" x14ac:dyDescent="0.4">
      <c r="A911" s="33" t="s">
        <v>113</v>
      </c>
      <c r="B911" s="38" t="s">
        <v>64</v>
      </c>
      <c r="C911" s="6" t="s">
        <v>160</v>
      </c>
      <c r="D911" s="6">
        <f t="shared" si="335"/>
        <v>1</v>
      </c>
      <c r="E911" s="34">
        <v>10</v>
      </c>
      <c r="F911" s="212">
        <v>15680</v>
      </c>
      <c r="G911" s="195">
        <v>45728</v>
      </c>
      <c r="H911" s="8"/>
      <c r="I911" s="212">
        <v>17480</v>
      </c>
      <c r="J911" s="8">
        <v>45791</v>
      </c>
      <c r="K911" s="23">
        <f t="shared" si="336"/>
        <v>0</v>
      </c>
      <c r="L911" s="23">
        <f t="shared" si="337"/>
        <v>0</v>
      </c>
      <c r="M911" s="206">
        <f t="shared" si="341"/>
        <v>262.2</v>
      </c>
      <c r="N911" s="34"/>
      <c r="O911" s="209">
        <f t="shared" si="326"/>
        <v>64</v>
      </c>
      <c r="P911" s="34">
        <f t="shared" si="338"/>
        <v>156800</v>
      </c>
      <c r="Q911" s="34">
        <f t="shared" si="339"/>
        <v>174800</v>
      </c>
      <c r="R911" s="7">
        <f t="shared" si="340"/>
        <v>-262.2</v>
      </c>
      <c r="S911" s="227">
        <f t="shared" si="327"/>
        <v>17737.8</v>
      </c>
      <c r="T911" s="249">
        <f t="shared" si="328"/>
        <v>0.11312372448979591</v>
      </c>
    </row>
    <row r="912" spans="1:20" s="33" customFormat="1" ht="15" customHeight="1" x14ac:dyDescent="0.4">
      <c r="A912" s="33" t="s">
        <v>113</v>
      </c>
      <c r="B912" s="38" t="s">
        <v>64</v>
      </c>
      <c r="C912" s="6" t="s">
        <v>160</v>
      </c>
      <c r="D912" s="6">
        <f t="shared" si="335"/>
        <v>1</v>
      </c>
      <c r="E912" s="34">
        <v>10</v>
      </c>
      <c r="F912" s="212">
        <v>14800</v>
      </c>
      <c r="G912" s="195">
        <v>45733</v>
      </c>
      <c r="H912" s="8"/>
      <c r="I912" s="212">
        <v>17480</v>
      </c>
      <c r="J912" s="8">
        <v>45791</v>
      </c>
      <c r="K912" s="23">
        <f t="shared" si="336"/>
        <v>0</v>
      </c>
      <c r="L912" s="23">
        <f t="shared" si="337"/>
        <v>0</v>
      </c>
      <c r="M912" s="206">
        <f t="shared" si="341"/>
        <v>262.2</v>
      </c>
      <c r="N912" s="34"/>
      <c r="O912" s="209">
        <f t="shared" si="326"/>
        <v>59</v>
      </c>
      <c r="P912" s="34">
        <f t="shared" si="338"/>
        <v>148000</v>
      </c>
      <c r="Q912" s="34">
        <f t="shared" si="339"/>
        <v>174800</v>
      </c>
      <c r="R912" s="7">
        <f t="shared" si="340"/>
        <v>-262.2</v>
      </c>
      <c r="S912" s="227">
        <f t="shared" si="327"/>
        <v>26537.8</v>
      </c>
      <c r="T912" s="249">
        <f t="shared" si="328"/>
        <v>0.17930945945945945</v>
      </c>
    </row>
    <row r="913" spans="1:22" s="33" customFormat="1" ht="15" customHeight="1" x14ac:dyDescent="0.4">
      <c r="A913" s="33" t="s">
        <v>113</v>
      </c>
      <c r="B913" s="38" t="s">
        <v>64</v>
      </c>
      <c r="C913" s="6" t="s">
        <v>160</v>
      </c>
      <c r="D913" s="6">
        <f t="shared" si="335"/>
        <v>1</v>
      </c>
      <c r="E913" s="34">
        <v>15</v>
      </c>
      <c r="F913" s="212">
        <v>14800</v>
      </c>
      <c r="G913" s="195">
        <v>45736</v>
      </c>
      <c r="H913" s="8"/>
      <c r="I913" s="212">
        <v>17480</v>
      </c>
      <c r="J913" s="8">
        <v>45791</v>
      </c>
      <c r="K913" s="23">
        <f t="shared" si="336"/>
        <v>0</v>
      </c>
      <c r="L913" s="23">
        <f t="shared" si="337"/>
        <v>0</v>
      </c>
      <c r="M913" s="206">
        <f t="shared" si="341"/>
        <v>393.3</v>
      </c>
      <c r="N913" s="34"/>
      <c r="O913" s="209">
        <f t="shared" si="326"/>
        <v>56</v>
      </c>
      <c r="P913" s="34">
        <f t="shared" si="338"/>
        <v>222000</v>
      </c>
      <c r="Q913" s="34">
        <f t="shared" si="339"/>
        <v>262200</v>
      </c>
      <c r="R913" s="7">
        <f t="shared" si="340"/>
        <v>-393.3</v>
      </c>
      <c r="S913" s="227">
        <f t="shared" si="327"/>
        <v>39806.699999999997</v>
      </c>
      <c r="T913" s="249">
        <f t="shared" si="328"/>
        <v>0.17930945945945945</v>
      </c>
    </row>
    <row r="914" spans="1:22" s="33" customFormat="1" ht="15" customHeight="1" x14ac:dyDescent="0.4">
      <c r="A914" s="33" t="s">
        <v>113</v>
      </c>
      <c r="B914" s="38" t="s">
        <v>64</v>
      </c>
      <c r="C914" s="6" t="s">
        <v>160</v>
      </c>
      <c r="D914" s="6">
        <f t="shared" si="335"/>
        <v>1</v>
      </c>
      <c r="E914" s="34">
        <v>10</v>
      </c>
      <c r="F914" s="212">
        <v>15200</v>
      </c>
      <c r="G914" s="195">
        <v>45741</v>
      </c>
      <c r="H914" s="8"/>
      <c r="I914" s="212">
        <v>17480</v>
      </c>
      <c r="J914" s="8">
        <v>45791</v>
      </c>
      <c r="K914" s="23">
        <f t="shared" si="336"/>
        <v>0</v>
      </c>
      <c r="L914" s="23">
        <f t="shared" si="337"/>
        <v>0</v>
      </c>
      <c r="M914" s="206">
        <f t="shared" si="341"/>
        <v>262.2</v>
      </c>
      <c r="N914" s="34"/>
      <c r="O914" s="209">
        <f t="shared" si="326"/>
        <v>51</v>
      </c>
      <c r="P914" s="34">
        <f t="shared" si="338"/>
        <v>152000</v>
      </c>
      <c r="Q914" s="34">
        <f t="shared" si="339"/>
        <v>174800</v>
      </c>
      <c r="R914" s="7">
        <f t="shared" si="340"/>
        <v>-262.2</v>
      </c>
      <c r="S914" s="227">
        <f t="shared" si="327"/>
        <v>22537.8</v>
      </c>
      <c r="T914" s="249">
        <f t="shared" si="328"/>
        <v>0.14827499999999999</v>
      </c>
    </row>
    <row r="915" spans="1:22" s="33" customFormat="1" ht="15" customHeight="1" x14ac:dyDescent="0.4">
      <c r="A915" s="33" t="s">
        <v>113</v>
      </c>
      <c r="B915" s="38" t="s">
        <v>64</v>
      </c>
      <c r="C915" s="6" t="s">
        <v>160</v>
      </c>
      <c r="D915" s="6">
        <f t="shared" si="335"/>
        <v>1</v>
      </c>
      <c r="E915" s="34">
        <v>10</v>
      </c>
      <c r="F915" s="212">
        <v>14650</v>
      </c>
      <c r="G915" s="195">
        <v>45741</v>
      </c>
      <c r="H915" s="8"/>
      <c r="I915" s="212">
        <v>17480</v>
      </c>
      <c r="J915" s="8">
        <v>45791</v>
      </c>
      <c r="K915" s="23">
        <f t="shared" si="336"/>
        <v>0</v>
      </c>
      <c r="L915" s="23">
        <f t="shared" si="337"/>
        <v>0</v>
      </c>
      <c r="M915" s="206">
        <f t="shared" si="341"/>
        <v>262.2</v>
      </c>
      <c r="N915" s="34"/>
      <c r="O915" s="209">
        <f t="shared" si="326"/>
        <v>51</v>
      </c>
      <c r="P915" s="34">
        <f t="shared" si="338"/>
        <v>146500</v>
      </c>
      <c r="Q915" s="34">
        <f t="shared" si="339"/>
        <v>174800</v>
      </c>
      <c r="R915" s="7">
        <f t="shared" si="340"/>
        <v>-262.2</v>
      </c>
      <c r="S915" s="227">
        <f t="shared" si="327"/>
        <v>28037.8</v>
      </c>
      <c r="T915" s="249">
        <f t="shared" si="328"/>
        <v>0.19138430034129691</v>
      </c>
    </row>
    <row r="916" spans="1:22" s="33" customFormat="1" ht="15" customHeight="1" x14ac:dyDescent="0.4">
      <c r="A916" s="33" t="s">
        <v>113</v>
      </c>
      <c r="B916" s="38" t="s">
        <v>64</v>
      </c>
      <c r="C916" s="6" t="s">
        <v>160</v>
      </c>
      <c r="D916" s="6">
        <f t="shared" si="335"/>
        <v>1</v>
      </c>
      <c r="E916" s="34">
        <v>63</v>
      </c>
      <c r="F916" s="212">
        <v>9550</v>
      </c>
      <c r="G916" s="195">
        <v>45757</v>
      </c>
      <c r="H916" s="6" t="s">
        <v>248</v>
      </c>
      <c r="I916" s="212">
        <v>17480</v>
      </c>
      <c r="J916" s="8">
        <v>45791</v>
      </c>
      <c r="K916" s="23">
        <f>IF($C916="OTC",ROUNDDOWN($E916*$F916*0.000909187,-1),(IF($C916="신한",ROUNDDOWN($E916*$F916*0.000036396,-1),(IF($C916="토스",$E916*$F916*0.00015,(IF($C916="US",(IF($E916*$F916*0.0025&gt;0.01,$E916*$F916*0.0025,0.01)),IF($C916="JP",(IF($E916*$F916*0.0025&gt;1000,$E916*$F916*0.0025,1000)),(IF($C916="R토스",0,IF($C916="무상증자(신한)",0,"")))))))))))+5000*10</f>
        <v>50020</v>
      </c>
      <c r="L916" s="23">
        <f t="shared" si="337"/>
        <v>40</v>
      </c>
      <c r="M916" s="206">
        <f t="shared" si="341"/>
        <v>1651.8600000000001</v>
      </c>
      <c r="N916" s="34"/>
      <c r="O916" s="209">
        <f t="shared" si="326"/>
        <v>35</v>
      </c>
      <c r="P916" s="34">
        <f t="shared" si="338"/>
        <v>601650</v>
      </c>
      <c r="Q916" s="34">
        <f t="shared" si="339"/>
        <v>1101240</v>
      </c>
      <c r="R916" s="7">
        <f t="shared" si="340"/>
        <v>-51711.86</v>
      </c>
      <c r="S916" s="227">
        <f t="shared" si="327"/>
        <v>447878.14</v>
      </c>
      <c r="T916" s="249">
        <f t="shared" si="328"/>
        <v>0.74441642150752096</v>
      </c>
    </row>
    <row r="917" spans="1:22" s="33" customFormat="1" ht="15" customHeight="1" x14ac:dyDescent="0.4">
      <c r="A917" s="33" t="s">
        <v>113</v>
      </c>
      <c r="B917" s="38" t="s">
        <v>64</v>
      </c>
      <c r="C917" s="6" t="s">
        <v>160</v>
      </c>
      <c r="D917" s="6">
        <f t="shared" si="335"/>
        <v>1</v>
      </c>
      <c r="E917" s="34">
        <v>22</v>
      </c>
      <c r="F917" s="212">
        <v>0</v>
      </c>
      <c r="G917" s="195">
        <v>45769</v>
      </c>
      <c r="H917" s="6" t="s">
        <v>402</v>
      </c>
      <c r="I917" s="212">
        <v>17480</v>
      </c>
      <c r="J917" s="8">
        <v>45791</v>
      </c>
      <c r="K917" s="23">
        <f>IF($C917="OTC",ROUNDDOWN($E917*$F917*0.000909187,-1),(IF($C917="신한",ROUNDDOWN($E917*$F917*0.000036396,-1),(IF($C917="토스",$E917*$F917*0.00015,(IF($C917="US",(IF($E917*$F917*0.0025&gt;0.01,$E917*$F917*0.0025,0.01)),IF($C917="JP",(IF($E917*$F917*0.0025&gt;1000,$E917*$F917*0.0025,1000)),(IF($C917="R토스",0,IF($C917="무상증자(신한)",0,"")))))))))))</f>
        <v>0</v>
      </c>
      <c r="L917" s="23">
        <f t="shared" si="337"/>
        <v>10</v>
      </c>
      <c r="M917" s="206">
        <f t="shared" si="341"/>
        <v>576.84</v>
      </c>
      <c r="N917" s="34">
        <v>4440</v>
      </c>
      <c r="O917" s="209">
        <f t="shared" si="326"/>
        <v>23</v>
      </c>
      <c r="P917" s="34">
        <f t="shared" si="338"/>
        <v>0</v>
      </c>
      <c r="Q917" s="34">
        <f t="shared" si="339"/>
        <v>384560</v>
      </c>
      <c r="R917" s="7">
        <f t="shared" si="340"/>
        <v>3853.16</v>
      </c>
      <c r="S917" s="227">
        <f t="shared" si="327"/>
        <v>388413.16</v>
      </c>
      <c r="T917" s="249" t="e">
        <f t="shared" si="328"/>
        <v>#DIV/0!</v>
      </c>
    </row>
    <row r="918" spans="1:22" s="33" customFormat="1" ht="15" customHeight="1" x14ac:dyDescent="0.4">
      <c r="A918" s="33" t="s">
        <v>113</v>
      </c>
      <c r="B918" s="38" t="s">
        <v>64</v>
      </c>
      <c r="C918" s="6" t="s">
        <v>160</v>
      </c>
      <c r="D918" s="6">
        <f t="shared" si="335"/>
        <v>1</v>
      </c>
      <c r="E918" s="34">
        <v>6</v>
      </c>
      <c r="F918" s="212">
        <v>16950</v>
      </c>
      <c r="G918" s="195">
        <v>45792</v>
      </c>
      <c r="H918" s="8"/>
      <c r="I918" s="212">
        <v>21000</v>
      </c>
      <c r="J918" s="8">
        <v>45838</v>
      </c>
      <c r="K918" s="23">
        <f>IF($C918="OTC",ROUNDDOWN($E918*$F918*0.000909187,-1),(IF($C918="신한",ROUNDDOWN($E918*$F918*0.000036396,-1),(IF($C918="토스",$E918*$F918*0.00015,(IF($C918="US",(IF($E918*$F918*0.0025&gt;0.01,$E918*$F918*0.0025,0.01)),IF($C918="JP",(IF($E918*$F918*0.0025&gt;1000,$E918*$F918*0.0025,1000)),(IF($C918="R토스",0,IF($C918="무상증자(신한)",0,"")))))))))))</f>
        <v>0</v>
      </c>
      <c r="L918" s="23">
        <f t="shared" si="337"/>
        <v>0</v>
      </c>
      <c r="M918" s="206">
        <f t="shared" si="341"/>
        <v>189</v>
      </c>
      <c r="N918" s="34"/>
      <c r="O918" s="209">
        <f t="shared" si="326"/>
        <v>47</v>
      </c>
      <c r="P918" s="34">
        <f t="shared" si="338"/>
        <v>101700</v>
      </c>
      <c r="Q918" s="34">
        <f t="shared" si="339"/>
        <v>126000</v>
      </c>
      <c r="R918" s="7">
        <f t="shared" si="340"/>
        <v>-189</v>
      </c>
      <c r="S918" s="227">
        <f t="shared" si="327"/>
        <v>24111</v>
      </c>
      <c r="T918" s="249">
        <f t="shared" si="328"/>
        <v>0.23707964601769912</v>
      </c>
    </row>
    <row r="919" spans="1:22" s="33" customFormat="1" ht="15" customHeight="1" x14ac:dyDescent="0.4">
      <c r="A919" s="33" t="s">
        <v>113</v>
      </c>
      <c r="B919" s="38" t="s">
        <v>64</v>
      </c>
      <c r="C919" s="6" t="s">
        <v>160</v>
      </c>
      <c r="D919" s="6">
        <f t="shared" si="335"/>
        <v>1</v>
      </c>
      <c r="E919" s="34">
        <v>6</v>
      </c>
      <c r="F919" s="212">
        <v>17500</v>
      </c>
      <c r="G919" s="195">
        <v>45796</v>
      </c>
      <c r="H919" s="8"/>
      <c r="I919" s="212">
        <v>21000</v>
      </c>
      <c r="J919" s="8">
        <v>45838</v>
      </c>
      <c r="K919" s="23">
        <f>IF($C919="OTC",ROUNDDOWN($E919*$F919*0.000909187,-1),(IF($C919="신한",ROUNDDOWN($E919*$F919*0.000036396,-1),(IF($C919="토스",$E919*$F919*0.00015,(IF($C919="US",(IF($E919*$F919*0.0025&gt;0.01,$E919*$F919*0.0025,0.01)),IF($C919="JP",(IF($E919*$F919*0.0025&gt;1000,$E919*$F919*0.0025,1000)),(IF($C919="R토스",0,IF($C919="무상증자(신한)",0,"")))))))))))</f>
        <v>0</v>
      </c>
      <c r="L919" s="23">
        <f t="shared" si="337"/>
        <v>0</v>
      </c>
      <c r="M919" s="206">
        <f t="shared" si="341"/>
        <v>189</v>
      </c>
      <c r="N919" s="34"/>
      <c r="O919" s="209">
        <f t="shared" si="326"/>
        <v>43</v>
      </c>
      <c r="P919" s="34">
        <f t="shared" si="338"/>
        <v>105000</v>
      </c>
      <c r="Q919" s="34">
        <f t="shared" si="339"/>
        <v>126000</v>
      </c>
      <c r="R919" s="7">
        <f t="shared" si="340"/>
        <v>-189</v>
      </c>
      <c r="S919" s="227">
        <f t="shared" si="327"/>
        <v>20811</v>
      </c>
      <c r="T919" s="249">
        <f t="shared" si="328"/>
        <v>0.19819999999999999</v>
      </c>
    </row>
    <row r="920" spans="1:22" s="33" customFormat="1" ht="15" customHeight="1" x14ac:dyDescent="0.4">
      <c r="A920" s="33" t="s">
        <v>113</v>
      </c>
      <c r="B920" s="38" t="s">
        <v>64</v>
      </c>
      <c r="C920" s="6" t="s">
        <v>160</v>
      </c>
      <c r="D920" s="6">
        <f t="shared" si="335"/>
        <v>1</v>
      </c>
      <c r="E920" s="34">
        <v>100</v>
      </c>
      <c r="F920" s="212">
        <v>17075</v>
      </c>
      <c r="G920" s="195">
        <v>45803</v>
      </c>
      <c r="H920" s="8"/>
      <c r="I920" s="212">
        <v>21000</v>
      </c>
      <c r="J920" s="8">
        <v>45838</v>
      </c>
      <c r="K920" s="23">
        <f>IF($C920="OTC",ROUNDDOWN($E920*$F920*0.000909187,-1),(IF($C920="신한",ROUNDDOWN($E920*$F920*0.000036396,-1),(IF($C920="토스",$E920*$F920*0.00015,(IF($C920="US",(IF($E920*$F920*0.0025&gt;0.01,$E920*$F920*0.0025,0.01)),IF($C920="JP",(IF($E920*$F920*0.0025&gt;1000,$E920*$F920*0.0025,1000)),(IF($C920="R토스",0,IF($C920="무상증자(신한)",0,"")))))))))))</f>
        <v>60</v>
      </c>
      <c r="L920" s="23">
        <f t="shared" si="337"/>
        <v>70</v>
      </c>
      <c r="M920" s="206">
        <f t="shared" si="341"/>
        <v>3150</v>
      </c>
      <c r="N920" s="34"/>
      <c r="O920" s="209">
        <f t="shared" si="326"/>
        <v>36</v>
      </c>
      <c r="P920" s="34">
        <f t="shared" si="338"/>
        <v>1707500</v>
      </c>
      <c r="Q920" s="34">
        <f t="shared" si="339"/>
        <v>2100000</v>
      </c>
      <c r="R920" s="7">
        <f t="shared" si="340"/>
        <v>-3280</v>
      </c>
      <c r="S920" s="227">
        <f t="shared" si="327"/>
        <v>389220</v>
      </c>
      <c r="T920" s="249">
        <f t="shared" si="328"/>
        <v>0.22794729136163983</v>
      </c>
    </row>
    <row r="921" spans="1:22" s="33" customFormat="1" ht="15" customHeight="1" x14ac:dyDescent="0.4">
      <c r="A921" s="33" t="s">
        <v>113</v>
      </c>
      <c r="B921" s="38" t="s">
        <v>64</v>
      </c>
      <c r="C921" s="6" t="s">
        <v>160</v>
      </c>
      <c r="D921" s="6">
        <f t="shared" si="335"/>
        <v>1</v>
      </c>
      <c r="E921" s="34">
        <v>60</v>
      </c>
      <c r="F921" s="212">
        <v>18733</v>
      </c>
      <c r="G921" s="195">
        <v>45805</v>
      </c>
      <c r="H921" s="8"/>
      <c r="I921" s="212">
        <v>21000</v>
      </c>
      <c r="J921" s="8">
        <v>45838</v>
      </c>
      <c r="K921" s="23">
        <f>IF($C921="OTC",ROUNDDOWN($E921*$F921*0.000909187,-1),(IF($C921="신한",ROUNDDOWN($E921*$F921*0.000036396,-1),(IF($C921="토스",$E921*$F921*0.00015,(IF($C921="US",(IF($E921*$F921*0.0025&gt;0.01,$E921*$F921*0.0025,0.01)),IF($C921="JP",(IF($E921*$F921*0.0025&gt;1000,$E921*$F921*0.0025,1000)),(IF($C921="R토스",0,IF($C921="무상증자(신한)",0,"")))))))))))</f>
        <v>40</v>
      </c>
      <c r="L921" s="23">
        <f t="shared" si="337"/>
        <v>40</v>
      </c>
      <c r="M921" s="206">
        <f t="shared" si="341"/>
        <v>1890</v>
      </c>
      <c r="N921" s="34"/>
      <c r="O921" s="209">
        <f t="shared" si="326"/>
        <v>34</v>
      </c>
      <c r="P921" s="34">
        <f t="shared" si="338"/>
        <v>1123980</v>
      </c>
      <c r="Q921" s="34">
        <f t="shared" si="339"/>
        <v>1260000</v>
      </c>
      <c r="R921" s="7">
        <f t="shared" si="340"/>
        <v>-1970</v>
      </c>
      <c r="S921" s="227">
        <f t="shared" si="327"/>
        <v>134050</v>
      </c>
      <c r="T921" s="249">
        <f t="shared" si="328"/>
        <v>0.11926368796597804</v>
      </c>
    </row>
    <row r="922" spans="1:22" ht="15" customHeight="1" x14ac:dyDescent="0.4">
      <c r="B922" s="38" t="s">
        <v>64</v>
      </c>
      <c r="C922" s="6" t="s">
        <v>160</v>
      </c>
      <c r="D922" s="6">
        <f t="shared" si="335"/>
        <v>1</v>
      </c>
      <c r="E922" s="34">
        <v>300</v>
      </c>
      <c r="F922" s="212">
        <v>18797</v>
      </c>
      <c r="G922" s="195">
        <v>45805</v>
      </c>
      <c r="H922" s="8"/>
      <c r="I922" s="212">
        <v>19430</v>
      </c>
      <c r="J922" s="8">
        <v>45810</v>
      </c>
      <c r="K922" s="23">
        <f>P922*0.05*10/365+10620</f>
        <v>18344.794520547945</v>
      </c>
      <c r="L922" s="23">
        <v>11000</v>
      </c>
      <c r="M922" s="206">
        <f t="shared" si="341"/>
        <v>8743.5</v>
      </c>
      <c r="N922" s="34"/>
      <c r="O922" s="209">
        <f t="shared" ref="O922:O985" si="343">J922-G922+1</f>
        <v>6</v>
      </c>
      <c r="P922" s="34">
        <f t="shared" si="338"/>
        <v>5639100</v>
      </c>
      <c r="Q922" s="34">
        <f t="shared" si="339"/>
        <v>5829000</v>
      </c>
      <c r="R922" s="7">
        <f t="shared" si="340"/>
        <v>-38088.294520547948</v>
      </c>
      <c r="S922" s="227">
        <f t="shared" ref="S922:S985" si="344">IF(Q922=0,0,Q922-P922+R922)</f>
        <v>151811.70547945204</v>
      </c>
      <c r="T922" s="249">
        <f t="shared" ref="T922:T985" si="345">S922/P922</f>
        <v>2.6921265003183495E-2</v>
      </c>
      <c r="U922" s="38"/>
      <c r="V922" s="33"/>
    </row>
    <row r="923" spans="1:22" ht="15" customHeight="1" x14ac:dyDescent="0.4">
      <c r="B923" s="38" t="s">
        <v>64</v>
      </c>
      <c r="C923" s="6" t="s">
        <v>160</v>
      </c>
      <c r="D923" s="6">
        <f t="shared" si="335"/>
        <v>1</v>
      </c>
      <c r="E923" s="34">
        <v>28</v>
      </c>
      <c r="F923" s="212">
        <v>17930</v>
      </c>
      <c r="G923" s="195">
        <v>45806</v>
      </c>
      <c r="H923" s="8"/>
      <c r="I923" s="212">
        <v>19430</v>
      </c>
      <c r="J923" s="8">
        <v>45810</v>
      </c>
      <c r="K923" s="23">
        <f>P923*0.05*9/365+940</f>
        <v>1558.9534246575342</v>
      </c>
      <c r="L923" s="23">
        <v>1100</v>
      </c>
      <c r="M923" s="206">
        <f t="shared" si="341"/>
        <v>816.06000000000006</v>
      </c>
      <c r="N923" s="34"/>
      <c r="O923" s="209">
        <f t="shared" si="343"/>
        <v>5</v>
      </c>
      <c r="P923" s="34">
        <f t="shared" si="338"/>
        <v>502040</v>
      </c>
      <c r="Q923" s="34">
        <f t="shared" si="339"/>
        <v>544040</v>
      </c>
      <c r="R923" s="7">
        <f t="shared" si="340"/>
        <v>-3475.013424657534</v>
      </c>
      <c r="S923" s="227">
        <f t="shared" si="344"/>
        <v>38524.986575342467</v>
      </c>
      <c r="T923" s="249">
        <f t="shared" si="345"/>
        <v>7.6736886653140129E-2</v>
      </c>
      <c r="U923" s="38"/>
      <c r="V923" s="33"/>
    </row>
    <row r="924" spans="1:22" ht="16.5" customHeight="1" x14ac:dyDescent="0.4">
      <c r="B924" s="33" t="s">
        <v>64</v>
      </c>
      <c r="C924" s="6" t="s">
        <v>160</v>
      </c>
      <c r="D924" s="6">
        <f t="shared" si="335"/>
        <v>1</v>
      </c>
      <c r="E924" s="34">
        <v>30</v>
      </c>
      <c r="F924" s="212">
        <v>17816</v>
      </c>
      <c r="G924" s="8">
        <v>45806</v>
      </c>
      <c r="H924" s="8"/>
      <c r="I924" s="212">
        <v>21000</v>
      </c>
      <c r="J924" s="8">
        <v>45838</v>
      </c>
      <c r="K924" s="23">
        <f>IF($C924="OTC",ROUNDDOWN($E924*$F924*0.000909187,-1),(IF($C924="신한",ROUNDDOWN($E924*$F924*0.000036396,-1),(IF($C924="토스",$E924*$F924*0.00015,(IF($C924="US",(IF($E924*$F924*0.0025&gt;0.01,$E924*$F924*0.0025,0.01)),IF($C924="JP",(IF($E924*$F924*0.0025&gt;1000,$E924*$F924*0.0025,1000)),(IF($C924="R토스",0,IF($C924="무상증자(신한)",0,"")))))))))))</f>
        <v>10</v>
      </c>
      <c r="L924" s="23">
        <f>IF($C924="OTC",ROUNDDOWN($I924*$E924*0.000909187,-1),(IF($C924="신한",ROUNDDOWN($I924*$E924*0.000036396,-1),(IF($C924="토스",$I924*$E924*0.00015,(IF($C924="US",(IF($I924*$E924*0.0025&gt;0.01,$I924*$E924*0.0025,0.01)),(IF($C924="JP",(IF($I924*$E924*0.0025&gt;1000,$I924*$E924*0.0025,1000)),(IF($C924="R토스",$I924*$E924*0.00015,(IF($C924="무상증자(신한)",ROUNDDOWN($I924*$E924*0.000036396,-1),"")))))))))))))</f>
        <v>20</v>
      </c>
      <c r="M924" s="23">
        <f t="shared" si="341"/>
        <v>945</v>
      </c>
      <c r="N924" s="34"/>
      <c r="O924" s="23">
        <f t="shared" si="343"/>
        <v>33</v>
      </c>
      <c r="P924" s="34">
        <f t="shared" si="338"/>
        <v>534480</v>
      </c>
      <c r="Q924" s="34">
        <f t="shared" si="339"/>
        <v>630000</v>
      </c>
      <c r="R924" s="7">
        <f t="shared" si="340"/>
        <v>-975</v>
      </c>
      <c r="S924" s="227">
        <f t="shared" si="344"/>
        <v>94545</v>
      </c>
      <c r="T924" s="313">
        <f t="shared" si="345"/>
        <v>0.17689155814997753</v>
      </c>
      <c r="U924" s="33"/>
      <c r="V924" s="33"/>
    </row>
    <row r="925" spans="1:22" ht="15" customHeight="1" x14ac:dyDescent="0.4">
      <c r="B925" s="38" t="s">
        <v>403</v>
      </c>
      <c r="C925" s="6" t="s">
        <v>162</v>
      </c>
      <c r="D925" s="6"/>
      <c r="E925" s="36">
        <v>200</v>
      </c>
      <c r="F925" s="212">
        <v>5250</v>
      </c>
      <c r="G925" s="195">
        <v>43293</v>
      </c>
      <c r="H925" s="8"/>
      <c r="I925" s="212">
        <v>5600</v>
      </c>
      <c r="J925" s="8">
        <v>43299</v>
      </c>
      <c r="K925" s="7">
        <f>ROUNDDOWN(E925*F925*0.0015,-1)</f>
        <v>1570</v>
      </c>
      <c r="L925" s="7">
        <f>ROUNDDOWN(I925*E925*0.0015,-1)</f>
        <v>1680</v>
      </c>
      <c r="M925" s="196">
        <f t="shared" ref="M925:M930" si="346">I925*E925*0.003</f>
        <v>3360</v>
      </c>
      <c r="N925" s="36"/>
      <c r="O925" s="191">
        <f t="shared" si="343"/>
        <v>7</v>
      </c>
      <c r="P925" s="36">
        <f t="shared" ref="P925:P930" si="347">F925*E925</f>
        <v>1050000</v>
      </c>
      <c r="Q925" s="36">
        <f t="shared" ref="Q925:Q930" si="348">I925*E925</f>
        <v>1120000</v>
      </c>
      <c r="R925" s="7">
        <f t="shared" ref="R925:R930" si="349">N925-K925-L925-M925</f>
        <v>-6610</v>
      </c>
      <c r="S925" s="227">
        <f t="shared" si="344"/>
        <v>63390</v>
      </c>
      <c r="T925" s="248">
        <f t="shared" si="345"/>
        <v>6.0371428571428569E-2</v>
      </c>
      <c r="U925" s="193">
        <f t="shared" ref="U925:U930" si="350">T925*365/O925</f>
        <v>3.147938775510204</v>
      </c>
      <c r="V925" s="6"/>
    </row>
    <row r="926" spans="1:22" ht="15" customHeight="1" x14ac:dyDescent="0.4">
      <c r="B926" s="38" t="s">
        <v>404</v>
      </c>
      <c r="C926" s="6" t="s">
        <v>162</v>
      </c>
      <c r="D926" s="6"/>
      <c r="E926" s="33">
        <v>30</v>
      </c>
      <c r="F926" s="212">
        <v>2290</v>
      </c>
      <c r="G926" s="195">
        <v>41051</v>
      </c>
      <c r="H926" s="8"/>
      <c r="I926" s="212">
        <v>2750</v>
      </c>
      <c r="J926" s="8">
        <v>41061</v>
      </c>
      <c r="K926" s="7">
        <f>ROUNDDOWN(E926*F926*0.00015,-1)</f>
        <v>10</v>
      </c>
      <c r="L926" s="7">
        <f>ROUNDDOWN(I926*E926*0.00015,-1)</f>
        <v>10</v>
      </c>
      <c r="M926" s="196">
        <f t="shared" si="346"/>
        <v>247.5</v>
      </c>
      <c r="N926" s="36"/>
      <c r="O926" s="191">
        <f t="shared" si="343"/>
        <v>11</v>
      </c>
      <c r="P926" s="36">
        <f t="shared" si="347"/>
        <v>68700</v>
      </c>
      <c r="Q926" s="36">
        <f t="shared" si="348"/>
        <v>82500</v>
      </c>
      <c r="R926" s="7">
        <f t="shared" si="349"/>
        <v>-267.5</v>
      </c>
      <c r="S926" s="227">
        <f t="shared" si="344"/>
        <v>13532.5</v>
      </c>
      <c r="T926" s="248">
        <f t="shared" si="345"/>
        <v>0.19697962154294033</v>
      </c>
      <c r="U926" s="193">
        <f t="shared" si="350"/>
        <v>6.5361419875612023</v>
      </c>
      <c r="V926" s="6"/>
    </row>
    <row r="927" spans="1:22" ht="15" customHeight="1" x14ac:dyDescent="0.4">
      <c r="B927" s="38" t="s">
        <v>405</v>
      </c>
      <c r="C927" s="6" t="s">
        <v>162</v>
      </c>
      <c r="D927" s="6"/>
      <c r="E927" s="36">
        <v>100</v>
      </c>
      <c r="F927" s="212">
        <v>5190</v>
      </c>
      <c r="G927" s="195">
        <v>42580</v>
      </c>
      <c r="H927" s="8"/>
      <c r="I927" s="212">
        <v>5620</v>
      </c>
      <c r="J927" s="8">
        <v>42779</v>
      </c>
      <c r="K927" s="7">
        <f>ROUNDDOWN(E927*F927*0.0015,-1)</f>
        <v>770</v>
      </c>
      <c r="L927" s="7">
        <f>ROUNDDOWN(I927*E927*0.0015,-1)</f>
        <v>840</v>
      </c>
      <c r="M927" s="196">
        <f t="shared" si="346"/>
        <v>1686</v>
      </c>
      <c r="N927" s="36">
        <f>15000-2310</f>
        <v>12690</v>
      </c>
      <c r="O927" s="191">
        <f t="shared" si="343"/>
        <v>200</v>
      </c>
      <c r="P927" s="36">
        <f t="shared" si="347"/>
        <v>519000</v>
      </c>
      <c r="Q927" s="36">
        <f t="shared" si="348"/>
        <v>562000</v>
      </c>
      <c r="R927" s="7">
        <f t="shared" si="349"/>
        <v>9394</v>
      </c>
      <c r="S927" s="227">
        <f t="shared" si="344"/>
        <v>52394</v>
      </c>
      <c r="T927" s="248">
        <f t="shared" si="345"/>
        <v>0.10095183044315992</v>
      </c>
      <c r="U927" s="193">
        <f t="shared" si="350"/>
        <v>0.18423709055876686</v>
      </c>
      <c r="V927" s="6"/>
    </row>
    <row r="928" spans="1:22" ht="15" customHeight="1" x14ac:dyDescent="0.4">
      <c r="B928" s="38" t="s">
        <v>406</v>
      </c>
      <c r="C928" s="6" t="s">
        <v>162</v>
      </c>
      <c r="D928" s="6"/>
      <c r="E928" s="36">
        <v>1000</v>
      </c>
      <c r="F928" s="212">
        <v>6800</v>
      </c>
      <c r="G928" s="195">
        <v>43166</v>
      </c>
      <c r="H928" s="8"/>
      <c r="I928" s="212">
        <v>7080</v>
      </c>
      <c r="J928" s="8">
        <v>43199</v>
      </c>
      <c r="K928" s="7">
        <f>ROUNDDOWN(E928*F928*0.0015,-1)</f>
        <v>10200</v>
      </c>
      <c r="L928" s="7">
        <f>ROUNDDOWN(I928*E928*0.0015,-1)</f>
        <v>10620</v>
      </c>
      <c r="M928" s="196">
        <f t="shared" si="346"/>
        <v>21240</v>
      </c>
      <c r="N928" s="36"/>
      <c r="O928" s="191">
        <f t="shared" si="343"/>
        <v>34</v>
      </c>
      <c r="P928" s="36">
        <f t="shared" si="347"/>
        <v>6800000</v>
      </c>
      <c r="Q928" s="36">
        <f t="shared" si="348"/>
        <v>7080000</v>
      </c>
      <c r="R928" s="7">
        <f t="shared" si="349"/>
        <v>-42060</v>
      </c>
      <c r="S928" s="227">
        <f t="shared" si="344"/>
        <v>237940</v>
      </c>
      <c r="T928" s="248">
        <f t="shared" si="345"/>
        <v>3.4991176470588234E-2</v>
      </c>
      <c r="U928" s="193">
        <f t="shared" si="350"/>
        <v>0.37564057093425601</v>
      </c>
      <c r="V928" s="6"/>
    </row>
    <row r="929" spans="2:22" ht="15" customHeight="1" x14ac:dyDescent="0.4">
      <c r="B929" s="38" t="s">
        <v>406</v>
      </c>
      <c r="C929" s="6" t="s">
        <v>162</v>
      </c>
      <c r="D929" s="6"/>
      <c r="E929" s="36">
        <v>100</v>
      </c>
      <c r="F929" s="212">
        <v>6740</v>
      </c>
      <c r="G929" s="195">
        <v>43230</v>
      </c>
      <c r="H929" s="8"/>
      <c r="I929" s="212">
        <v>8700</v>
      </c>
      <c r="J929" s="8">
        <v>43244</v>
      </c>
      <c r="K929" s="7">
        <f>ROUNDDOWN(E929*F929*0.0015,-1)</f>
        <v>1010</v>
      </c>
      <c r="L929" s="7">
        <f>ROUNDDOWN(I929*E929*0.0015,-1)</f>
        <v>1300</v>
      </c>
      <c r="M929" s="196">
        <f t="shared" si="346"/>
        <v>2610</v>
      </c>
      <c r="N929" s="36"/>
      <c r="O929" s="191">
        <f t="shared" si="343"/>
        <v>15</v>
      </c>
      <c r="P929" s="36">
        <f t="shared" si="347"/>
        <v>674000</v>
      </c>
      <c r="Q929" s="36">
        <f t="shared" si="348"/>
        <v>870000</v>
      </c>
      <c r="R929" s="7">
        <f t="shared" si="349"/>
        <v>-4920</v>
      </c>
      <c r="S929" s="227">
        <f t="shared" si="344"/>
        <v>191080</v>
      </c>
      <c r="T929" s="248">
        <f t="shared" si="345"/>
        <v>0.28350148367952521</v>
      </c>
      <c r="U929" s="193">
        <f t="shared" si="350"/>
        <v>6.8985361028684471</v>
      </c>
      <c r="V929" s="6"/>
    </row>
    <row r="930" spans="2:22" ht="15" customHeight="1" x14ac:dyDescent="0.4">
      <c r="B930" s="38" t="s">
        <v>406</v>
      </c>
      <c r="C930" s="6" t="s">
        <v>162</v>
      </c>
      <c r="D930" s="6"/>
      <c r="E930" s="36">
        <v>100</v>
      </c>
      <c r="F930" s="212">
        <v>6500</v>
      </c>
      <c r="G930" s="195">
        <v>43234</v>
      </c>
      <c r="H930" s="8"/>
      <c r="I930" s="212">
        <v>8700</v>
      </c>
      <c r="J930" s="8">
        <v>43244</v>
      </c>
      <c r="K930" s="7">
        <f>ROUNDDOWN(E930*F930*0.0015,-1)</f>
        <v>970</v>
      </c>
      <c r="L930" s="7">
        <f>ROUNDDOWN(I930*E930*0.0015,-1)</f>
        <v>1300</v>
      </c>
      <c r="M930" s="196">
        <f t="shared" si="346"/>
        <v>2610</v>
      </c>
      <c r="N930" s="36"/>
      <c r="O930" s="191">
        <f t="shared" si="343"/>
        <v>11</v>
      </c>
      <c r="P930" s="36">
        <f t="shared" si="347"/>
        <v>650000</v>
      </c>
      <c r="Q930" s="36">
        <f t="shared" si="348"/>
        <v>870000</v>
      </c>
      <c r="R930" s="7">
        <f t="shared" si="349"/>
        <v>-4880</v>
      </c>
      <c r="S930" s="227">
        <f t="shared" si="344"/>
        <v>215120</v>
      </c>
      <c r="T930" s="248">
        <f t="shared" si="345"/>
        <v>0.33095384615384615</v>
      </c>
      <c r="U930" s="193">
        <f t="shared" si="350"/>
        <v>10.98165034965035</v>
      </c>
      <c r="V930" s="6"/>
    </row>
    <row r="931" spans="2:22" ht="15" customHeight="1" x14ac:dyDescent="0.4">
      <c r="B931" s="38" t="s">
        <v>144</v>
      </c>
      <c r="C931" s="6" t="s">
        <v>122</v>
      </c>
      <c r="D931" s="6">
        <f>IF(OR($C931="신한",$C931="OTC",$C931="무상증자(신한)",$C931="토스",$C931="R토스"),1,"확인")</f>
        <v>1</v>
      </c>
      <c r="E931" s="34">
        <v>5</v>
      </c>
      <c r="F931" s="212">
        <v>80000</v>
      </c>
      <c r="G931" s="195">
        <v>45821</v>
      </c>
      <c r="H931" s="33" t="s">
        <v>113</v>
      </c>
      <c r="I931" s="212">
        <v>84500</v>
      </c>
      <c r="J931" s="8">
        <v>45832</v>
      </c>
      <c r="K931" s="23">
        <f>IF($C931="OTC",ROUNDDOWN($E931*$F931*0.000909187,-1),(IF($C931="신한",ROUNDDOWN($E931*$F931*0.000036396,-1),(IF($C931="토스",$E931*$F931*0.00015,(IF($C931="US",(IF($E931*$F931*0.0025&gt;0.01,$E931*$F931*0.0025,0.01)),IF($C931="JP",(IF($E931*$F931*0.0025&gt;1000,$E931*$F931*0.0025,1000)),(IF($C931="R토스",0,IF($C931="무상증자(신한)",0,"")))))))))))</f>
        <v>59.999999999999993</v>
      </c>
      <c r="L931" s="23">
        <f>IF($C931="OTC",ROUNDDOWN($I931*$E931*0.000909187,-1),(IF($C931="신한",ROUNDDOWN($I931*$E931*0.000036396,-1),(IF($C931="토스",$I931*$E931*0.00015,(IF($C931="US",(IF($I931*$E931*0.0025&gt;0.01,$I931*$E931*0.0025,0.01)),(IF($C931="JP",(IF($I931*$E931*0.0025&gt;1000,$I931*$E931*0.0025,1000)),(IF($C931="R토스",$I931*$E931*0.00015,(IF($C931="무상증자(신한)",ROUNDDOWN($I931*$E931*0.000036396,-1),"")))))))))))))</f>
        <v>63.374999999999993</v>
      </c>
      <c r="M931" s="206">
        <f>Q931*0.0015</f>
        <v>633.75</v>
      </c>
      <c r="N931" s="34"/>
      <c r="O931" s="209">
        <f t="shared" si="343"/>
        <v>12</v>
      </c>
      <c r="P931" s="34">
        <f>$E931*$F931*$D931</f>
        <v>400000</v>
      </c>
      <c r="Q931" s="34">
        <f>$E931*$I931*$D931</f>
        <v>422500</v>
      </c>
      <c r="R931" s="7">
        <f>($N931-$K931-$L931-$M931)*$D931</f>
        <v>-757.125</v>
      </c>
      <c r="S931" s="227">
        <f t="shared" si="344"/>
        <v>21742.875</v>
      </c>
      <c r="T931" s="249">
        <f t="shared" si="345"/>
        <v>5.4357187500000001E-2</v>
      </c>
      <c r="U931" s="38"/>
      <c r="V931" s="36">
        <f>+P931*0.05*O931/365</f>
        <v>657.53424657534242</v>
      </c>
    </row>
    <row r="932" spans="2:22" ht="15" customHeight="1" x14ac:dyDescent="0.4">
      <c r="B932" s="38" t="s">
        <v>144</v>
      </c>
      <c r="C932" s="6" t="s">
        <v>122</v>
      </c>
      <c r="D932" s="6">
        <f>IF(OR($C932="신한",$C932="OTC",$C932="무상증자(신한)",$C932="토스",$C932="R토스"),1,"확인")</f>
        <v>1</v>
      </c>
      <c r="E932" s="34">
        <v>4</v>
      </c>
      <c r="F932" s="212">
        <v>77300</v>
      </c>
      <c r="G932" s="195">
        <v>45821</v>
      </c>
      <c r="H932" s="33" t="s">
        <v>113</v>
      </c>
      <c r="I932" s="212">
        <v>84500</v>
      </c>
      <c r="J932" s="8">
        <v>45832</v>
      </c>
      <c r="K932" s="23">
        <f>IF($C932="OTC",ROUNDDOWN($E932*$F932*0.000909187,-1),(IF($C932="신한",ROUNDDOWN($E932*$F932*0.000036396,-1),(IF($C932="토스",$E932*$F932*0.00015,(IF($C932="US",(IF($E932*$F932*0.0025&gt;0.01,$E932*$F932*0.0025,0.01)),IF($C932="JP",(IF($E932*$F932*0.0025&gt;1000,$E932*$F932*0.0025,1000)),(IF($C932="R토스",0,IF($C932="무상증자(신한)",0,"")))))))))))</f>
        <v>46.379999999999995</v>
      </c>
      <c r="L932" s="23">
        <f>IF($C932="OTC",ROUNDDOWN($I932*$E932*0.000909187,-1),(IF($C932="신한",ROUNDDOWN($I932*$E932*0.000036396,-1),(IF($C932="토스",$I932*$E932*0.00015,(IF($C932="US",(IF($I932*$E932*0.0025&gt;0.01,$I932*$E932*0.0025,0.01)),(IF($C932="JP",(IF($I932*$E932*0.0025&gt;1000,$I932*$E932*0.0025,1000)),(IF($C932="R토스",$I932*$E932*0.00015,(IF($C932="무상증자(신한)",ROUNDDOWN($I932*$E932*0.000036396,-1),"")))))))))))))</f>
        <v>50.699999999999996</v>
      </c>
      <c r="M932" s="206">
        <f>Q932*0.0015</f>
        <v>507</v>
      </c>
      <c r="N932" s="34"/>
      <c r="O932" s="209">
        <f t="shared" si="343"/>
        <v>12</v>
      </c>
      <c r="P932" s="34">
        <f>$E932*$F932*$D932</f>
        <v>309200</v>
      </c>
      <c r="Q932" s="34">
        <f>$E932*$I932*$D932</f>
        <v>338000</v>
      </c>
      <c r="R932" s="7">
        <f>($N932-$K932-$L932-$M932)*$D932</f>
        <v>-604.07999999999993</v>
      </c>
      <c r="S932" s="227">
        <f t="shared" si="344"/>
        <v>28195.919999999998</v>
      </c>
      <c r="T932" s="249">
        <f t="shared" si="345"/>
        <v>9.1189909443725736E-2</v>
      </c>
      <c r="U932" s="38"/>
      <c r="V932" s="36">
        <f>+P932*0.05*O932/365</f>
        <v>508.27397260273972</v>
      </c>
    </row>
    <row r="933" spans="2:22" ht="15" customHeight="1" x14ac:dyDescent="0.4">
      <c r="B933" s="38" t="s">
        <v>144</v>
      </c>
      <c r="C933" s="6" t="s">
        <v>122</v>
      </c>
      <c r="D933" s="6">
        <f>IF(OR($C933="신한",$C933="OTC",$C933="무상증자(신한)",$C933="토스",$C933="R토스"),1,"확인")</f>
        <v>1</v>
      </c>
      <c r="E933" s="34">
        <v>4</v>
      </c>
      <c r="F933" s="212">
        <v>77000</v>
      </c>
      <c r="G933" s="195">
        <v>45824</v>
      </c>
      <c r="H933" s="33" t="s">
        <v>113</v>
      </c>
      <c r="I933" s="212">
        <v>84500</v>
      </c>
      <c r="J933" s="8">
        <v>45832</v>
      </c>
      <c r="K933" s="23">
        <f>IF($C933="OTC",ROUNDDOWN($E933*$F933*0.000909187,-1),(IF($C933="신한",ROUNDDOWN($E933*$F933*0.000036396,-1),(IF($C933="토스",$E933*$F933*0.00015,(IF($C933="US",(IF($E933*$F933*0.0025&gt;0.01,$E933*$F933*0.0025,0.01)),IF($C933="JP",(IF($E933*$F933*0.0025&gt;1000,$E933*$F933*0.0025,1000)),(IF($C933="R토스",0,IF($C933="무상증자(신한)",0,"")))))))))))</f>
        <v>46.199999999999996</v>
      </c>
      <c r="L933" s="23">
        <f>IF($C933="OTC",ROUNDDOWN($I933*$E933*0.000909187,-1),(IF($C933="신한",ROUNDDOWN($I933*$E933*0.000036396,-1),(IF($C933="토스",$I933*$E933*0.00015,(IF($C933="US",(IF($I933*$E933*0.0025&gt;0.01,$I933*$E933*0.0025,0.01)),(IF($C933="JP",(IF($I933*$E933*0.0025&gt;1000,$I933*$E933*0.0025,1000)),(IF($C933="R토스",$I933*$E933*0.00015,(IF($C933="무상증자(신한)",ROUNDDOWN($I933*$E933*0.000036396,-1),"")))))))))))))</f>
        <v>50.699999999999996</v>
      </c>
      <c r="M933" s="206">
        <f>Q933*0.0015</f>
        <v>507</v>
      </c>
      <c r="N933" s="34"/>
      <c r="O933" s="209">
        <f t="shared" si="343"/>
        <v>9</v>
      </c>
      <c r="P933" s="34">
        <f>$E933*$F933*$D933</f>
        <v>308000</v>
      </c>
      <c r="Q933" s="34">
        <f>$E933*$I933*$D933</f>
        <v>338000</v>
      </c>
      <c r="R933" s="7">
        <f>($N933-$K933-$L933-$M933)*$D933</f>
        <v>-603.9</v>
      </c>
      <c r="S933" s="227">
        <f t="shared" si="344"/>
        <v>29396.1</v>
      </c>
      <c r="T933" s="249">
        <f t="shared" si="345"/>
        <v>9.5441883116883106E-2</v>
      </c>
      <c r="U933" s="38"/>
      <c r="V933" s="36">
        <f>+P933*0.05*O933/365</f>
        <v>379.72602739726028</v>
      </c>
    </row>
    <row r="934" spans="2:22" ht="15" customHeight="1" x14ac:dyDescent="0.4">
      <c r="B934" s="38" t="s">
        <v>144</v>
      </c>
      <c r="C934" s="6" t="s">
        <v>122</v>
      </c>
      <c r="D934" s="6">
        <f>IF(OR($C934="신한",$C934="OTC",$C934="무상증자(신한)",$C934="토스",$C934="R토스"),1,"확인")</f>
        <v>1</v>
      </c>
      <c r="E934" s="34">
        <v>10</v>
      </c>
      <c r="F934" s="212">
        <v>77800</v>
      </c>
      <c r="G934" s="195">
        <v>45824</v>
      </c>
      <c r="H934" s="33" t="s">
        <v>113</v>
      </c>
      <c r="I934" s="212">
        <v>84500</v>
      </c>
      <c r="J934" s="8">
        <v>45832</v>
      </c>
      <c r="K934" s="23">
        <f>IF($C934="OTC",ROUNDDOWN($E934*$F934*0.000909187,-1),(IF($C934="신한",ROUNDDOWN($E934*$F934*0.000036396,-1),(IF($C934="토스",$E934*$F934*0.00015,(IF($C934="US",(IF($E934*$F934*0.0025&gt;0.01,$E934*$F934*0.0025,0.01)),IF($C934="JP",(IF($E934*$F934*0.0025&gt;1000,$E934*$F934*0.0025,1000)),(IF($C934="R토스",0,IF($C934="무상증자(신한)",0,"")))))))))))</f>
        <v>116.69999999999999</v>
      </c>
      <c r="L934" s="23">
        <f>IF($C934="OTC",ROUNDDOWN($I934*$E934*0.000909187,-1),(IF($C934="신한",ROUNDDOWN($I934*$E934*0.000036396,-1),(IF($C934="토스",$I934*$E934*0.00015,(IF($C934="US",(IF($I934*$E934*0.0025&gt;0.01,$I934*$E934*0.0025,0.01)),(IF($C934="JP",(IF($I934*$E934*0.0025&gt;1000,$I934*$E934*0.0025,1000)),(IF($C934="R토스",$I934*$E934*0.00015,(IF($C934="무상증자(신한)",ROUNDDOWN($I934*$E934*0.000036396,-1),"")))))))))))))</f>
        <v>126.74999999999999</v>
      </c>
      <c r="M934" s="206">
        <f>Q934*0.0015</f>
        <v>1267.5</v>
      </c>
      <c r="N934" s="34"/>
      <c r="O934" s="209">
        <f t="shared" si="343"/>
        <v>9</v>
      </c>
      <c r="P934" s="34">
        <f>$E934*$F934*$D934</f>
        <v>778000</v>
      </c>
      <c r="Q934" s="34">
        <f>$E934*$I934*$D934</f>
        <v>845000</v>
      </c>
      <c r="R934" s="7">
        <f>($N934-$K934-$L934-$M934)*$D934</f>
        <v>-1510.95</v>
      </c>
      <c r="S934" s="227">
        <f t="shared" si="344"/>
        <v>65489.05</v>
      </c>
      <c r="T934" s="249">
        <f t="shared" si="345"/>
        <v>8.4176156812339337E-2</v>
      </c>
      <c r="U934" s="38"/>
      <c r="V934" s="36">
        <f>+P934*0.05*O934/365</f>
        <v>959.17808219178085</v>
      </c>
    </row>
    <row r="935" spans="2:22" ht="15" customHeight="1" x14ac:dyDescent="0.4">
      <c r="B935" s="38" t="s">
        <v>144</v>
      </c>
      <c r="C935" s="6" t="s">
        <v>122</v>
      </c>
      <c r="D935" s="6">
        <f>IF(OR($C935="신한",$C935="OTC",$C935="무상증자(신한)",$C935="토스",$C935="R토스"),1,"확인")</f>
        <v>1</v>
      </c>
      <c r="E935" s="34">
        <v>10</v>
      </c>
      <c r="F935" s="212">
        <v>78500</v>
      </c>
      <c r="G935" s="195">
        <v>45825</v>
      </c>
      <c r="H935" s="33" t="s">
        <v>113</v>
      </c>
      <c r="I935" s="212">
        <v>84500</v>
      </c>
      <c r="J935" s="8">
        <v>45832</v>
      </c>
      <c r="K935" s="23">
        <f>IF($C935="OTC",ROUNDDOWN($E935*$F935*0.000909187,-1),(IF($C935="신한",ROUNDDOWN($E935*$F935*0.000036396,-1),(IF($C935="토스",$E935*$F935*0.00015,(IF($C935="US",(IF($E935*$F935*0.0025&gt;0.01,$E935*$F935*0.0025,0.01)),IF($C935="JP",(IF($E935*$F935*0.0025&gt;1000,$E935*$F935*0.0025,1000)),(IF($C935="R토스",0,IF($C935="무상증자(신한)",0,"")))))))))))</f>
        <v>117.74999999999999</v>
      </c>
      <c r="L935" s="23">
        <f>IF($C935="OTC",ROUNDDOWN($I935*$E935*0.000909187,-1),(IF($C935="신한",ROUNDDOWN($I935*$E935*0.000036396,-1),(IF($C935="토스",$I935*$E935*0.00015,(IF($C935="US",(IF($I935*$E935*0.0025&gt;0.01,$I935*$E935*0.0025,0.01)),(IF($C935="JP",(IF($I935*$E935*0.0025&gt;1000,$I935*$E935*0.0025,1000)),(IF($C935="R토스",$I935*$E935*0.00015,(IF($C935="무상증자(신한)",ROUNDDOWN($I935*$E935*0.000036396,-1),"")))))))))))))</f>
        <v>126.74999999999999</v>
      </c>
      <c r="M935" s="206">
        <f>Q935*0.0015</f>
        <v>1267.5</v>
      </c>
      <c r="N935" s="34"/>
      <c r="O935" s="209">
        <f t="shared" si="343"/>
        <v>8</v>
      </c>
      <c r="P935" s="34">
        <f>$E935*$F935*$D935</f>
        <v>785000</v>
      </c>
      <c r="Q935" s="34">
        <f>$E935*$I935*$D935</f>
        <v>845000</v>
      </c>
      <c r="R935" s="7">
        <f>($N935-$K935-$L935-$M935)*$D935</f>
        <v>-1512</v>
      </c>
      <c r="S935" s="227">
        <f t="shared" si="344"/>
        <v>58488</v>
      </c>
      <c r="T935" s="249">
        <f t="shared" si="345"/>
        <v>7.4507006369426754E-2</v>
      </c>
      <c r="U935" s="38"/>
      <c r="V935" s="36">
        <f>+P935*0.05*O935/365</f>
        <v>860.27397260273972</v>
      </c>
    </row>
    <row r="936" spans="2:22" s="33" customFormat="1" ht="15" customHeight="1" x14ac:dyDescent="0.4">
      <c r="B936" s="38" t="s">
        <v>407</v>
      </c>
      <c r="C936" s="6" t="s">
        <v>185</v>
      </c>
      <c r="D936" s="6"/>
      <c r="E936" s="36">
        <v>10</v>
      </c>
      <c r="F936" s="212">
        <v>14100</v>
      </c>
      <c r="G936" s="195">
        <v>39322</v>
      </c>
      <c r="H936" s="8"/>
      <c r="I936" s="212">
        <v>15100</v>
      </c>
      <c r="J936" s="8">
        <v>39808</v>
      </c>
      <c r="K936" s="7">
        <f>ROUNDDOWN(E936*F936*0.005,-1)</f>
        <v>700</v>
      </c>
      <c r="L936" s="7">
        <f>ROUNDDOWN(I936*E936*0.005,-1)</f>
        <v>750</v>
      </c>
      <c r="M936" s="196">
        <f>I936*E936*0.003</f>
        <v>453</v>
      </c>
      <c r="N936" s="36">
        <v>6350</v>
      </c>
      <c r="O936" s="191">
        <f t="shared" si="343"/>
        <v>487</v>
      </c>
      <c r="P936" s="36">
        <f>F936*E936</f>
        <v>141000</v>
      </c>
      <c r="Q936" s="36">
        <f>I936*E936</f>
        <v>151000</v>
      </c>
      <c r="R936" s="7">
        <f>N936-K936-L936-M936</f>
        <v>4447</v>
      </c>
      <c r="S936" s="227">
        <f t="shared" si="344"/>
        <v>14447</v>
      </c>
      <c r="T936" s="248">
        <f t="shared" si="345"/>
        <v>0.10246099290780142</v>
      </c>
      <c r="U936" s="193">
        <f>T936*365/O936</f>
        <v>7.6793146635210502E-2</v>
      </c>
      <c r="V936" s="6"/>
    </row>
    <row r="937" spans="2:22" s="33" customFormat="1" ht="15" customHeight="1" x14ac:dyDescent="0.4">
      <c r="B937" s="38" t="s">
        <v>407</v>
      </c>
      <c r="C937" s="6" t="s">
        <v>187</v>
      </c>
      <c r="D937" s="6"/>
      <c r="E937" s="36">
        <v>10</v>
      </c>
      <c r="F937" s="212">
        <v>11700</v>
      </c>
      <c r="G937" s="195">
        <v>39764</v>
      </c>
      <c r="H937" s="8"/>
      <c r="I937" s="212">
        <v>11900</v>
      </c>
      <c r="J937" s="8">
        <v>39769</v>
      </c>
      <c r="K937" s="7">
        <v>30</v>
      </c>
      <c r="L937" s="7">
        <v>30</v>
      </c>
      <c r="M937" s="196"/>
      <c r="N937" s="36"/>
      <c r="O937" s="191">
        <f t="shared" si="343"/>
        <v>6</v>
      </c>
      <c r="P937" s="36">
        <f>F937*E937</f>
        <v>117000</v>
      </c>
      <c r="Q937" s="36">
        <f>I937*E937</f>
        <v>119000</v>
      </c>
      <c r="R937" s="7">
        <f>N937-K937-L937-M937</f>
        <v>-60</v>
      </c>
      <c r="S937" s="227">
        <f t="shared" si="344"/>
        <v>1940</v>
      </c>
      <c r="T937" s="248">
        <f t="shared" si="345"/>
        <v>1.658119658119658E-2</v>
      </c>
      <c r="U937" s="193">
        <f>T937*365/O937</f>
        <v>1.0086894586894586</v>
      </c>
      <c r="V937" s="6"/>
    </row>
    <row r="938" spans="2:22" s="33" customFormat="1" ht="15" customHeight="1" x14ac:dyDescent="0.4">
      <c r="B938" s="38" t="s">
        <v>408</v>
      </c>
      <c r="C938" s="6" t="s">
        <v>160</v>
      </c>
      <c r="D938" s="6">
        <f>IF(OR($C938="신한",$C938="OTC",$C938="무상증자(신한)",$C938="토스",$C938="R토스"),1,"확인")</f>
        <v>1</v>
      </c>
      <c r="E938" s="34">
        <v>10</v>
      </c>
      <c r="F938" s="212">
        <v>408000</v>
      </c>
      <c r="G938" s="195">
        <v>44074</v>
      </c>
      <c r="H938" s="8"/>
      <c r="I938" s="212">
        <v>451000</v>
      </c>
      <c r="J938" s="8">
        <v>44208</v>
      </c>
      <c r="K938" s="23">
        <f>IF($C938="OTC",ROUNDDOWN($E938*$F938*0.000909187,-1),(IF($C938="신한",ROUNDDOWN($E938*$F938*0.000036396,-1),(IF($C938="토스",$E938*$F938*0.00015,(IF($C938="US",(IF($E938*$F938*0.0025&gt;0.01,$E938*$F938*0.0025,0.01)),IF($C938="JP",(IF($E938*$F938*0.0025&gt;1000,$E938*$F938*0.0025,1000)),(IF($C938="R토스",0,IF($C938="무상증자(신한)",0,"")))))))))))</f>
        <v>140</v>
      </c>
      <c r="L938" s="23">
        <f>IF($C938="OTC",ROUNDDOWN($I938*$E938*0.000909187,-1),(IF($C938="신한",ROUNDDOWN($I938*$E938*0.000036396,-1),(IF($C938="토스",$I938*$E938*0.00015,(IF($C938="US",(IF($I938*$E938*0.0025&gt;0.01,$I938*$E938*0.0025,0.01)),(IF($C938="JP",(IF($I938*$E938*0.0025&gt;1000,$I938*$E938*0.0025,1000)),(IF($C938="R토스",$I938*$E938*0.00015,(IF($C938="무상증자(신한)",ROUNDDOWN($I938*$E938*0.000036396,-1),"")))))))))))))</f>
        <v>160</v>
      </c>
      <c r="M938" s="206">
        <f>Q938*0.0023</f>
        <v>10373</v>
      </c>
      <c r="N938" s="34">
        <f>150*E938</f>
        <v>1500</v>
      </c>
      <c r="O938" s="209">
        <f t="shared" si="343"/>
        <v>135</v>
      </c>
      <c r="P938" s="34">
        <f>$E938*$F938*$D938</f>
        <v>4080000</v>
      </c>
      <c r="Q938" s="34">
        <f>$E938*$I938*$D938</f>
        <v>4510000</v>
      </c>
      <c r="R938" s="7">
        <f>($N938-$K938-$L938-$M938)*$D938</f>
        <v>-9173</v>
      </c>
      <c r="S938" s="227">
        <f t="shared" si="344"/>
        <v>420827</v>
      </c>
      <c r="T938" s="249">
        <f t="shared" si="345"/>
        <v>0.10314387254901961</v>
      </c>
      <c r="U938" s="38"/>
    </row>
    <row r="939" spans="2:22" s="33" customFormat="1" ht="15" customHeight="1" x14ac:dyDescent="0.4">
      <c r="B939" s="38" t="s">
        <v>408</v>
      </c>
      <c r="C939" s="6" t="s">
        <v>160</v>
      </c>
      <c r="D939" s="6">
        <f>IF(OR($C939="신한",$C939="OTC",$C939="무상증자(신한)",$C939="토스",$C939="R토스"),1,"확인")</f>
        <v>1</v>
      </c>
      <c r="E939" s="34">
        <v>3</v>
      </c>
      <c r="F939" s="212">
        <v>377000</v>
      </c>
      <c r="G939" s="195">
        <v>44173</v>
      </c>
      <c r="H939" s="8"/>
      <c r="I939" s="212">
        <v>451000</v>
      </c>
      <c r="J939" s="8">
        <v>44208</v>
      </c>
      <c r="K939" s="23">
        <f>IF($C939="OTC",ROUNDDOWN($E939*$F939*0.000909187,-1),(IF($C939="신한",ROUNDDOWN($E939*$F939*0.000036396,-1),(IF($C939="토스",$E939*$F939*0.00015,(IF($C939="US",(IF($E939*$F939*0.0025&gt;0.01,$E939*$F939*0.0025,0.01)),IF($C939="JP",(IF($E939*$F939*0.0025&gt;1000,$E939*$F939*0.0025,1000)),(IF($C939="R토스",0,IF($C939="무상증자(신한)",0,"")))))))))))</f>
        <v>40</v>
      </c>
      <c r="L939" s="23">
        <f>IF($C939="OTC",ROUNDDOWN($I939*$E939*0.000909187,-1),(IF($C939="신한",ROUNDDOWN($I939*$E939*0.000036396,-1),(IF($C939="토스",$I939*$E939*0.00015,(IF($C939="US",(IF($I939*$E939*0.0025&gt;0.01,$I939*$E939*0.0025,0.01)),(IF($C939="JP",(IF($I939*$E939*0.0025&gt;1000,$I939*$E939*0.0025,1000)),(IF($C939="R토스",$I939*$E939*0.00015,(IF($C939="무상증자(신한)",ROUNDDOWN($I939*$E939*0.000036396,-1),"")))))))))))))</f>
        <v>40</v>
      </c>
      <c r="M939" s="206">
        <f>Q939*0.0023</f>
        <v>3111.9</v>
      </c>
      <c r="N939" s="34">
        <f>150*E939</f>
        <v>450</v>
      </c>
      <c r="O939" s="209">
        <f t="shared" si="343"/>
        <v>36</v>
      </c>
      <c r="P939" s="34">
        <f>$E939*$F939*$D939</f>
        <v>1131000</v>
      </c>
      <c r="Q939" s="34">
        <f>$E939*$I939*$D939</f>
        <v>1353000</v>
      </c>
      <c r="R939" s="7">
        <f>($N939-$K939-$L939-$M939)*$D939</f>
        <v>-2741.9</v>
      </c>
      <c r="S939" s="227">
        <f t="shared" si="344"/>
        <v>219258.1</v>
      </c>
      <c r="T939" s="249">
        <f t="shared" si="345"/>
        <v>0.19386215738284704</v>
      </c>
      <c r="U939" s="38"/>
    </row>
    <row r="940" spans="2:22" s="33" customFormat="1" ht="15" customHeight="1" x14ac:dyDescent="0.4">
      <c r="B940" s="38" t="s">
        <v>408</v>
      </c>
      <c r="C940" s="6" t="s">
        <v>160</v>
      </c>
      <c r="D940" s="6">
        <f>IF(OR($C940="신한",$C940="OTC",$C940="무상증자(신한)",$C940="토스",$C940="R토스"),1,"확인")</f>
        <v>1</v>
      </c>
      <c r="E940" s="34">
        <v>3</v>
      </c>
      <c r="F940" s="212">
        <v>370000</v>
      </c>
      <c r="G940" s="195">
        <v>44180</v>
      </c>
      <c r="H940" s="8"/>
      <c r="I940" s="212">
        <v>451000</v>
      </c>
      <c r="J940" s="8">
        <v>44208</v>
      </c>
      <c r="K940" s="23">
        <v>0</v>
      </c>
      <c r="L940" s="23">
        <f>IF($C940="OTC",ROUNDDOWN($I940*$E940*0.000909187,-1),(IF($C940="신한",ROUNDDOWN($I940*$E940*0.000036396,-1),(IF($C940="토스",$I940*$E940*0.00015,(IF($C940="US",(IF($I940*$E940*0.0025&gt;0.01,$I940*$E940*0.0025,0.01)),(IF($C940="JP",(IF($I940*$E940*0.0025&gt;1000,$I940*$E940*0.0025,1000)),(IF($C940="R토스",$I940*$E940*0.00015,(IF($C940="무상증자(신한)",ROUNDDOWN($I940*$E940*0.000036396,-1),"")))))))))))))</f>
        <v>40</v>
      </c>
      <c r="M940" s="206">
        <f>Q940*0.0023</f>
        <v>3111.9</v>
      </c>
      <c r="N940" s="34">
        <f>150*E940</f>
        <v>450</v>
      </c>
      <c r="O940" s="209">
        <f t="shared" si="343"/>
        <v>29</v>
      </c>
      <c r="P940" s="34">
        <f>$E940*$F940*$D940</f>
        <v>1110000</v>
      </c>
      <c r="Q940" s="34">
        <f>$E940*$I940*$D940</f>
        <v>1353000</v>
      </c>
      <c r="R940" s="7">
        <f>($N940-$K940-$L940-$M940)*$D940</f>
        <v>-2701.9</v>
      </c>
      <c r="S940" s="227">
        <f t="shared" si="344"/>
        <v>240298.1</v>
      </c>
      <c r="T940" s="249">
        <f t="shared" si="345"/>
        <v>0.21648477477477479</v>
      </c>
    </row>
    <row r="941" spans="2:22" s="33" customFormat="1" ht="15" customHeight="1" x14ac:dyDescent="0.4">
      <c r="B941" s="38" t="s">
        <v>408</v>
      </c>
      <c r="C941" s="6" t="s">
        <v>160</v>
      </c>
      <c r="D941" s="6">
        <f>IF(OR($C941="신한",$C941="OTC",$C941="무상증자(신한)",$C941="토스",$C941="R토스"),1,"확인")</f>
        <v>1</v>
      </c>
      <c r="E941" s="34">
        <v>3</v>
      </c>
      <c r="F941" s="212">
        <v>377000</v>
      </c>
      <c r="G941" s="195">
        <v>44187</v>
      </c>
      <c r="H941" s="8"/>
      <c r="I941" s="212">
        <v>451000</v>
      </c>
      <c r="J941" s="8">
        <v>44208</v>
      </c>
      <c r="K941" s="23">
        <v>0</v>
      </c>
      <c r="L941" s="23">
        <f>IF($C941="OTC",ROUNDDOWN($I941*$E941*0.000909187,-1),(IF($C941="신한",ROUNDDOWN($I941*$E941*0.000036396,-1),(IF($C941="토스",$I941*$E941*0.00015,(IF($C941="US",(IF($I941*$E941*0.0025&gt;0.01,$I941*$E941*0.0025,0.01)),(IF($C941="JP",(IF($I941*$E941*0.0025&gt;1000,$I941*$E941*0.0025,1000)),(IF($C941="R토스",$I941*$E941*0.00015,(IF($C941="무상증자(신한)",ROUNDDOWN($I941*$E941*0.000036396,-1),"")))))))))))))</f>
        <v>40</v>
      </c>
      <c r="M941" s="206">
        <f>Q941*0.0023</f>
        <v>3111.9</v>
      </c>
      <c r="N941" s="34">
        <f>150*E941</f>
        <v>450</v>
      </c>
      <c r="O941" s="209">
        <f t="shared" si="343"/>
        <v>22</v>
      </c>
      <c r="P941" s="34">
        <f>$E941*$F941*$D941</f>
        <v>1131000</v>
      </c>
      <c r="Q941" s="34">
        <f>$E941*$I941*$D941</f>
        <v>1353000</v>
      </c>
      <c r="R941" s="7">
        <f>($N941-$K941-$L941-$M941)*$D941</f>
        <v>-2701.9</v>
      </c>
      <c r="S941" s="227">
        <f t="shared" si="344"/>
        <v>219298.1</v>
      </c>
      <c r="T941" s="249">
        <f t="shared" si="345"/>
        <v>0.1938975243147657</v>
      </c>
      <c r="U941" s="38"/>
    </row>
    <row r="942" spans="2:22" s="33" customFormat="1" ht="15" customHeight="1" x14ac:dyDescent="0.4">
      <c r="B942" s="38" t="s">
        <v>408</v>
      </c>
      <c r="C942" s="6" t="s">
        <v>160</v>
      </c>
      <c r="D942" s="6">
        <f>IF(OR($C942="신한",$C942="OTC",$C942="무상증자(신한)",$C942="토스",$C942="R토스"),1,"확인")</f>
        <v>1</v>
      </c>
      <c r="E942" s="34">
        <v>1</v>
      </c>
      <c r="F942" s="212">
        <v>374000</v>
      </c>
      <c r="G942" s="195">
        <v>44189</v>
      </c>
      <c r="H942" s="8"/>
      <c r="I942" s="212">
        <v>451000</v>
      </c>
      <c r="J942" s="8">
        <v>44208</v>
      </c>
      <c r="K942" s="23">
        <v>0</v>
      </c>
      <c r="L942" s="23">
        <f>IF($C942="OTC",ROUNDDOWN($I942*$E942*0.000909187,-1),(IF($C942="신한",ROUNDDOWN($I942*$E942*0.000036396,-1),(IF($C942="토스",$I942*$E942*0.00015,(IF($C942="US",(IF($I942*$E942*0.0025&gt;0.01,$I942*$E942*0.0025,0.01)),(IF($C942="JP",(IF($I942*$E942*0.0025&gt;1000,$I942*$E942*0.0025,1000)),(IF($C942="R토스",$I942*$E942*0.00015,(IF($C942="무상증자(신한)",ROUNDDOWN($I942*$E942*0.000036396,-1),"")))))))))))))</f>
        <v>10</v>
      </c>
      <c r="M942" s="206">
        <f>Q942*0.0023</f>
        <v>1037.3</v>
      </c>
      <c r="N942" s="34">
        <f>150*E942</f>
        <v>150</v>
      </c>
      <c r="O942" s="209">
        <f t="shared" si="343"/>
        <v>20</v>
      </c>
      <c r="P942" s="34">
        <f>$E942*$F942*$D942</f>
        <v>374000</v>
      </c>
      <c r="Q942" s="34">
        <f>$E942*$I942*$D942</f>
        <v>451000</v>
      </c>
      <c r="R942" s="7">
        <f>($N942-$K942-$L942-$M942)*$D942</f>
        <v>-897.3</v>
      </c>
      <c r="S942" s="227">
        <f t="shared" si="344"/>
        <v>76102.7</v>
      </c>
      <c r="T942" s="249">
        <f t="shared" si="345"/>
        <v>0.20348315508021389</v>
      </c>
      <c r="U942" s="38"/>
    </row>
    <row r="943" spans="2:22" s="33" customFormat="1" ht="15" customHeight="1" x14ac:dyDescent="0.4">
      <c r="B943" s="38" t="s">
        <v>409</v>
      </c>
      <c r="C943" s="6" t="s">
        <v>162</v>
      </c>
      <c r="D943" s="6"/>
      <c r="E943" s="36">
        <v>10</v>
      </c>
      <c r="F943" s="212">
        <v>118900</v>
      </c>
      <c r="G943" s="195">
        <v>43381</v>
      </c>
      <c r="H943" s="8"/>
      <c r="I943" s="212">
        <v>120000</v>
      </c>
      <c r="J943" s="8">
        <v>43390</v>
      </c>
      <c r="K943" s="7">
        <f t="shared" ref="K943:K950" si="351">ROUNDDOWN(E943*F943*0.0015,-1)</f>
        <v>1780</v>
      </c>
      <c r="L943" s="7">
        <f t="shared" ref="L943:L950" si="352">ROUNDDOWN(I943*E943*0.0015,-1)</f>
        <v>1800</v>
      </c>
      <c r="M943" s="196">
        <f>I943*E943*0.003</f>
        <v>3600</v>
      </c>
      <c r="N943" s="36"/>
      <c r="O943" s="191">
        <f t="shared" si="343"/>
        <v>10</v>
      </c>
      <c r="P943" s="36">
        <f t="shared" ref="P943:P950" si="353">F943*E943</f>
        <v>1189000</v>
      </c>
      <c r="Q943" s="36">
        <f t="shared" ref="Q943:Q950" si="354">I943*E943</f>
        <v>1200000</v>
      </c>
      <c r="R943" s="7">
        <f t="shared" ref="R943:R950" si="355">N943-K943-L943-M943</f>
        <v>-7180</v>
      </c>
      <c r="S943" s="227">
        <f t="shared" si="344"/>
        <v>3820</v>
      </c>
      <c r="T943" s="248">
        <f t="shared" si="345"/>
        <v>3.2127838519764506E-3</v>
      </c>
      <c r="U943" s="193">
        <f t="shared" ref="U943:U950" si="356">T943*365/O943</f>
        <v>0.11726661059714046</v>
      </c>
      <c r="V943" s="6"/>
    </row>
    <row r="944" spans="2:22" s="33" customFormat="1" ht="15" customHeight="1" x14ac:dyDescent="0.4">
      <c r="B944" s="38" t="s">
        <v>409</v>
      </c>
      <c r="C944" s="6" t="s">
        <v>162</v>
      </c>
      <c r="D944" s="6"/>
      <c r="E944" s="36">
        <v>10</v>
      </c>
      <c r="F944" s="212">
        <v>116500</v>
      </c>
      <c r="G944" s="195">
        <v>43384</v>
      </c>
      <c r="H944" s="8"/>
      <c r="I944" s="212">
        <v>120000</v>
      </c>
      <c r="J944" s="8">
        <v>43390</v>
      </c>
      <c r="K944" s="7">
        <f t="shared" si="351"/>
        <v>1740</v>
      </c>
      <c r="L944" s="7">
        <f t="shared" si="352"/>
        <v>1800</v>
      </c>
      <c r="M944" s="196">
        <f>I944*E944*0.003</f>
        <v>3600</v>
      </c>
      <c r="N944" s="36"/>
      <c r="O944" s="191">
        <f t="shared" si="343"/>
        <v>7</v>
      </c>
      <c r="P944" s="36">
        <f t="shared" si="353"/>
        <v>1165000</v>
      </c>
      <c r="Q944" s="36">
        <f t="shared" si="354"/>
        <v>1200000</v>
      </c>
      <c r="R944" s="7">
        <f t="shared" si="355"/>
        <v>-7140</v>
      </c>
      <c r="S944" s="227">
        <f t="shared" si="344"/>
        <v>27860</v>
      </c>
      <c r="T944" s="248">
        <f t="shared" si="345"/>
        <v>2.3914163090128754E-2</v>
      </c>
      <c r="U944" s="193">
        <f t="shared" si="356"/>
        <v>1.2469527896995707</v>
      </c>
      <c r="V944" s="6"/>
    </row>
    <row r="945" spans="1:22" s="33" customFormat="1" ht="15" customHeight="1" x14ac:dyDescent="0.4">
      <c r="B945" s="38" t="s">
        <v>410</v>
      </c>
      <c r="C945" s="6" t="s">
        <v>162</v>
      </c>
      <c r="D945" s="6"/>
      <c r="E945" s="33">
        <v>200</v>
      </c>
      <c r="F945" s="212">
        <v>8500</v>
      </c>
      <c r="G945" s="195">
        <v>42828</v>
      </c>
      <c r="H945" s="8"/>
      <c r="I945" s="212">
        <v>8850</v>
      </c>
      <c r="J945" s="8">
        <v>43123</v>
      </c>
      <c r="K945" s="7">
        <f t="shared" si="351"/>
        <v>2550</v>
      </c>
      <c r="L945" s="7">
        <f t="shared" si="352"/>
        <v>2650</v>
      </c>
      <c r="M945" s="196">
        <f>I945*E945*0.003</f>
        <v>5310</v>
      </c>
      <c r="N945" s="36">
        <f>ROUNDUP(E945*50*(1-0.154),-1)</f>
        <v>8460</v>
      </c>
      <c r="O945" s="191">
        <f t="shared" si="343"/>
        <v>296</v>
      </c>
      <c r="P945" s="36">
        <f t="shared" si="353"/>
        <v>1700000</v>
      </c>
      <c r="Q945" s="36">
        <f t="shared" si="354"/>
        <v>1770000</v>
      </c>
      <c r="R945" s="7">
        <f t="shared" si="355"/>
        <v>-2050</v>
      </c>
      <c r="S945" s="227">
        <f t="shared" si="344"/>
        <v>67950</v>
      </c>
      <c r="T945" s="248">
        <f t="shared" si="345"/>
        <v>3.9970588235294119E-2</v>
      </c>
      <c r="U945" s="193">
        <f t="shared" si="356"/>
        <v>4.9288056438791736E-2</v>
      </c>
      <c r="V945" s="6"/>
    </row>
    <row r="946" spans="1:22" ht="15" customHeight="1" x14ac:dyDescent="0.4">
      <c r="B946" s="198" t="s">
        <v>411</v>
      </c>
      <c r="C946" s="6" t="s">
        <v>162</v>
      </c>
      <c r="D946" s="15"/>
      <c r="E946" s="36">
        <v>150</v>
      </c>
      <c r="F946" s="212">
        <v>15850</v>
      </c>
      <c r="G946" s="195">
        <v>43614</v>
      </c>
      <c r="H946" s="8"/>
      <c r="I946" s="212">
        <v>12750</v>
      </c>
      <c r="J946" s="8">
        <v>43621</v>
      </c>
      <c r="K946" s="7">
        <f t="shared" si="351"/>
        <v>3560</v>
      </c>
      <c r="L946" s="7">
        <f t="shared" si="352"/>
        <v>2860</v>
      </c>
      <c r="M946" s="196">
        <f>ROUNDDOWN(I946*E946*0.0025, )</f>
        <v>4781</v>
      </c>
      <c r="N946" s="36">
        <f>19200-2940</f>
        <v>16260</v>
      </c>
      <c r="O946" s="191">
        <f t="shared" si="343"/>
        <v>8</v>
      </c>
      <c r="P946" s="36">
        <f t="shared" si="353"/>
        <v>2377500</v>
      </c>
      <c r="Q946" s="36">
        <f t="shared" si="354"/>
        <v>1912500</v>
      </c>
      <c r="R946" s="7">
        <f t="shared" si="355"/>
        <v>5059</v>
      </c>
      <c r="S946" s="227">
        <f t="shared" si="344"/>
        <v>-459941</v>
      </c>
      <c r="T946" s="248">
        <f t="shared" si="345"/>
        <v>-0.19345573080967401</v>
      </c>
      <c r="U946" s="193">
        <f t="shared" si="356"/>
        <v>-8.8264177181913777</v>
      </c>
      <c r="V946" s="6"/>
    </row>
    <row r="947" spans="1:22" ht="15" customHeight="1" x14ac:dyDescent="0.4">
      <c r="B947" s="198" t="s">
        <v>411</v>
      </c>
      <c r="C947" s="6" t="s">
        <v>162</v>
      </c>
      <c r="D947" s="15"/>
      <c r="E947" s="36">
        <v>250</v>
      </c>
      <c r="F947" s="212">
        <v>7900</v>
      </c>
      <c r="G947" s="195">
        <v>43668</v>
      </c>
      <c r="H947" s="8"/>
      <c r="I947" s="212">
        <v>9100</v>
      </c>
      <c r="J947" s="8">
        <v>43669</v>
      </c>
      <c r="K947" s="7">
        <f t="shared" si="351"/>
        <v>2960</v>
      </c>
      <c r="L947" s="7">
        <f t="shared" si="352"/>
        <v>3410</v>
      </c>
      <c r="M947" s="196">
        <f>ROUNDDOWN(I947*E947*0.0025, )</f>
        <v>5687</v>
      </c>
      <c r="N947" s="36"/>
      <c r="O947" s="191">
        <f t="shared" si="343"/>
        <v>2</v>
      </c>
      <c r="P947" s="36">
        <f t="shared" si="353"/>
        <v>1975000</v>
      </c>
      <c r="Q947" s="36">
        <f t="shared" si="354"/>
        <v>2275000</v>
      </c>
      <c r="R947" s="7">
        <f t="shared" si="355"/>
        <v>-12057</v>
      </c>
      <c r="S947" s="227">
        <f t="shared" si="344"/>
        <v>287943</v>
      </c>
      <c r="T947" s="248">
        <f t="shared" si="345"/>
        <v>0.14579392405063291</v>
      </c>
      <c r="U947" s="193">
        <f t="shared" si="356"/>
        <v>26.607391139240505</v>
      </c>
      <c r="V947" s="6"/>
    </row>
    <row r="948" spans="1:22" ht="15" customHeight="1" x14ac:dyDescent="0.4">
      <c r="B948" s="198" t="s">
        <v>411</v>
      </c>
      <c r="C948" s="6" t="s">
        <v>162</v>
      </c>
      <c r="D948" s="15"/>
      <c r="E948" s="36">
        <v>300</v>
      </c>
      <c r="F948" s="212">
        <v>7880</v>
      </c>
      <c r="G948" s="195">
        <v>43668</v>
      </c>
      <c r="H948" s="8"/>
      <c r="I948" s="212">
        <v>9100</v>
      </c>
      <c r="J948" s="8">
        <v>43669</v>
      </c>
      <c r="K948" s="7">
        <f t="shared" si="351"/>
        <v>3540</v>
      </c>
      <c r="L948" s="7">
        <f t="shared" si="352"/>
        <v>4090</v>
      </c>
      <c r="M948" s="196">
        <f>ROUNDDOWN(I948*E948*0.0025, )</f>
        <v>6825</v>
      </c>
      <c r="N948" s="36"/>
      <c r="O948" s="191">
        <f t="shared" si="343"/>
        <v>2</v>
      </c>
      <c r="P948" s="36">
        <f t="shared" si="353"/>
        <v>2364000</v>
      </c>
      <c r="Q948" s="36">
        <f t="shared" si="354"/>
        <v>2730000</v>
      </c>
      <c r="R948" s="7">
        <f t="shared" si="355"/>
        <v>-14455</v>
      </c>
      <c r="S948" s="227">
        <f t="shared" si="344"/>
        <v>351545</v>
      </c>
      <c r="T948" s="248">
        <f t="shared" si="345"/>
        <v>0.14870769881556684</v>
      </c>
      <c r="U948" s="193">
        <f t="shared" si="356"/>
        <v>27.139155033840947</v>
      </c>
      <c r="V948" s="6"/>
    </row>
    <row r="949" spans="1:22" ht="15" customHeight="1" x14ac:dyDescent="0.4">
      <c r="B949" s="198" t="s">
        <v>411</v>
      </c>
      <c r="C949" s="6" t="s">
        <v>162</v>
      </c>
      <c r="D949" s="15"/>
      <c r="E949" s="36">
        <v>1000</v>
      </c>
      <c r="F949" s="212">
        <v>8430</v>
      </c>
      <c r="G949" s="195">
        <v>43710</v>
      </c>
      <c r="H949" s="8"/>
      <c r="I949" s="212">
        <v>8660</v>
      </c>
      <c r="J949" s="8">
        <v>43780</v>
      </c>
      <c r="K949" s="7">
        <f t="shared" si="351"/>
        <v>12640</v>
      </c>
      <c r="L949" s="7">
        <f t="shared" si="352"/>
        <v>12990</v>
      </c>
      <c r="M949" s="196">
        <f>ROUNDDOWN(I949*E949*0.0025, )</f>
        <v>21650</v>
      </c>
      <c r="N949" s="36"/>
      <c r="O949" s="191">
        <f t="shared" si="343"/>
        <v>71</v>
      </c>
      <c r="P949" s="36">
        <f t="shared" si="353"/>
        <v>8430000</v>
      </c>
      <c r="Q949" s="36">
        <f t="shared" si="354"/>
        <v>8660000</v>
      </c>
      <c r="R949" s="7">
        <f t="shared" si="355"/>
        <v>-47280</v>
      </c>
      <c r="S949" s="227">
        <f t="shared" si="344"/>
        <v>182720</v>
      </c>
      <c r="T949" s="248">
        <f t="shared" si="345"/>
        <v>2.1674970344009489E-2</v>
      </c>
      <c r="U949" s="193">
        <f t="shared" si="356"/>
        <v>0.11142766444455582</v>
      </c>
      <c r="V949" s="6"/>
    </row>
    <row r="950" spans="1:22" s="33" customFormat="1" ht="15" customHeight="1" x14ac:dyDescent="0.4">
      <c r="A950" s="33" t="s">
        <v>113</v>
      </c>
      <c r="B950" s="198" t="s">
        <v>411</v>
      </c>
      <c r="C950" s="6" t="s">
        <v>162</v>
      </c>
      <c r="D950" s="15"/>
      <c r="E950" s="36">
        <v>120</v>
      </c>
      <c r="F950" s="212">
        <v>7850</v>
      </c>
      <c r="G950" s="195">
        <v>43819</v>
      </c>
      <c r="H950" s="8"/>
      <c r="I950" s="212">
        <v>9050</v>
      </c>
      <c r="J950" s="8">
        <v>43972</v>
      </c>
      <c r="K950" s="7">
        <f t="shared" si="351"/>
        <v>1410</v>
      </c>
      <c r="L950" s="7">
        <f t="shared" si="352"/>
        <v>1620</v>
      </c>
      <c r="M950" s="196">
        <f>ROUNDDOWN(I950*E950*0.0025, )</f>
        <v>2715</v>
      </c>
      <c r="N950" s="36"/>
      <c r="O950" s="191">
        <f t="shared" si="343"/>
        <v>154</v>
      </c>
      <c r="P950" s="36">
        <f t="shared" si="353"/>
        <v>942000</v>
      </c>
      <c r="Q950" s="36">
        <f t="shared" si="354"/>
        <v>1086000</v>
      </c>
      <c r="R950" s="7">
        <f t="shared" si="355"/>
        <v>-5745</v>
      </c>
      <c r="S950" s="227">
        <f t="shared" si="344"/>
        <v>138255</v>
      </c>
      <c r="T950" s="248">
        <f t="shared" si="345"/>
        <v>0.14676751592356688</v>
      </c>
      <c r="U950" s="9">
        <f t="shared" si="356"/>
        <v>0.3478580734552072</v>
      </c>
      <c r="V950" s="6"/>
    </row>
    <row r="951" spans="1:22" s="33" customFormat="1" ht="15" customHeight="1" x14ac:dyDescent="0.4">
      <c r="A951" s="33" t="s">
        <v>113</v>
      </c>
      <c r="B951" s="38" t="s">
        <v>412</v>
      </c>
      <c r="C951" s="6" t="s">
        <v>160</v>
      </c>
      <c r="D951" s="6">
        <f>IF(OR($C951="신한",$C951="OTC",$C951="무상증자(신한)",$C951="토스",$C951="R토스"),1,"확인")</f>
        <v>1</v>
      </c>
      <c r="E951" s="34">
        <v>300</v>
      </c>
      <c r="F951" s="212">
        <v>3750</v>
      </c>
      <c r="G951" s="195">
        <v>44349</v>
      </c>
      <c r="H951" s="8" t="s">
        <v>413</v>
      </c>
      <c r="I951" s="212">
        <v>21000</v>
      </c>
      <c r="J951" s="8">
        <v>44498</v>
      </c>
      <c r="K951" s="23">
        <f>IF($C951="OTC",ROUNDDOWN($E951*$F951*0.000909187,-1),(IF($C951="신한",ROUNDDOWN($E951*$F951*0.000036396,-1),(IF($C951="토스",$E951*$F951*0.00015,(IF($C951="US",(IF($E951*$F951*0.0025&gt;0.01,$E951*$F951*0.0025,0.01)),IF($C951="JP",(IF($E951*$F951*0.0025&gt;1000,$E951*$F951*0.0025,1000)),(IF($C951="R토스",0,IF($C951="무상증자(신한)",0,"")))))))))))</f>
        <v>40</v>
      </c>
      <c r="L951" s="217">
        <f>Q951*0.000036396</f>
        <v>43.566012000000001</v>
      </c>
      <c r="M951" s="206">
        <f>Q951*0.0023</f>
        <v>2753.1</v>
      </c>
      <c r="N951" s="34">
        <v>11900</v>
      </c>
      <c r="O951" s="209">
        <f t="shared" si="343"/>
        <v>150</v>
      </c>
      <c r="P951" s="34">
        <f>$E951*$F951*$D951</f>
        <v>1125000</v>
      </c>
      <c r="Q951" s="91">
        <f>E951*I951*0.19</f>
        <v>1197000</v>
      </c>
      <c r="R951" s="7">
        <f>($N951-$K951-$L951-$M951)*$D951</f>
        <v>9063.3339880000003</v>
      </c>
      <c r="S951" s="227">
        <f t="shared" si="344"/>
        <v>81063.333987999998</v>
      </c>
      <c r="T951" s="249">
        <f t="shared" si="345"/>
        <v>7.2056296878222223E-2</v>
      </c>
    </row>
    <row r="952" spans="1:22" s="33" customFormat="1" ht="15" customHeight="1" x14ac:dyDescent="0.4">
      <c r="A952" s="33" t="s">
        <v>113</v>
      </c>
      <c r="B952" s="38" t="s">
        <v>412</v>
      </c>
      <c r="C952" s="6" t="s">
        <v>160</v>
      </c>
      <c r="D952" s="6">
        <f>IF(OR($C952="신한",$C952="OTC",$C952="무상증자(신한)",$C952="토스",$C952="R토스"),1,"확인")</f>
        <v>1</v>
      </c>
      <c r="E952" s="34">
        <v>300</v>
      </c>
      <c r="F952" s="212">
        <v>3600</v>
      </c>
      <c r="G952" s="195">
        <v>44364</v>
      </c>
      <c r="H952" s="8" t="s">
        <v>413</v>
      </c>
      <c r="I952" s="212">
        <v>21000</v>
      </c>
      <c r="J952" s="8">
        <v>44498</v>
      </c>
      <c r="K952" s="23">
        <f>IF($C952="OTC",ROUNDDOWN($E952*$F952*0.000909187,-1),(IF($C952="신한",ROUNDDOWN($E952*$F952*0.000036396,-1),(IF($C952="토스",$E952*$F952*0.00015,(IF($C952="US",(IF($E952*$F952*0.0025&gt;0.01,$E952*$F952*0.0025,0.01)),IF($C952="JP",(IF($E952*$F952*0.0025&gt;1000,$E952*$F952*0.0025,1000)),(IF($C952="R토스",0,IF($C952="무상증자(신한)",0,"")))))))))))</f>
        <v>30</v>
      </c>
      <c r="L952" s="217">
        <f>Q952*0.000036396</f>
        <v>44.330327992356843</v>
      </c>
      <c r="M952" s="206">
        <f>Q952*0.0023</f>
        <v>2801.3999995170002</v>
      </c>
      <c r="N952" s="34"/>
      <c r="O952" s="209">
        <f t="shared" si="343"/>
        <v>135</v>
      </c>
      <c r="P952" s="34">
        <f>$E952*$F952*$D952</f>
        <v>1080000</v>
      </c>
      <c r="Q952" s="91">
        <f>E952*I952*0.1933333333</f>
        <v>1217999.99979</v>
      </c>
      <c r="R952" s="7">
        <f>($N952-$K952-$L952-$M952)*$D952</f>
        <v>-2875.7303275093573</v>
      </c>
      <c r="S952" s="227">
        <f t="shared" si="344"/>
        <v>135124.26946249069</v>
      </c>
      <c r="T952" s="249">
        <f t="shared" si="345"/>
        <v>0.12511506431712099</v>
      </c>
    </row>
    <row r="953" spans="1:22" s="33" customFormat="1" ht="15" customHeight="1" x14ac:dyDescent="0.4">
      <c r="A953" s="33" t="s">
        <v>113</v>
      </c>
      <c r="B953" s="38" t="s">
        <v>414</v>
      </c>
      <c r="C953" s="6" t="s">
        <v>162</v>
      </c>
      <c r="D953" s="6"/>
      <c r="E953" s="36">
        <v>100</v>
      </c>
      <c r="F953" s="212">
        <v>19600</v>
      </c>
      <c r="G953" s="195">
        <v>43378</v>
      </c>
      <c r="H953" s="8"/>
      <c r="I953" s="212">
        <v>16150</v>
      </c>
      <c r="J953" s="8">
        <v>43564</v>
      </c>
      <c r="K953" s="7">
        <f>ROUNDDOWN(E953*F953*0.0015,-1)</f>
        <v>2940</v>
      </c>
      <c r="L953" s="7">
        <f>ROUNDDOWN(I953*E953*0.0015,-1)</f>
        <v>2420</v>
      </c>
      <c r="M953" s="196">
        <f>I953*E953*0.003</f>
        <v>4845</v>
      </c>
      <c r="N953" s="36">
        <v>18620</v>
      </c>
      <c r="O953" s="191">
        <f t="shared" si="343"/>
        <v>187</v>
      </c>
      <c r="P953" s="36">
        <f>F953*E953</f>
        <v>1960000</v>
      </c>
      <c r="Q953" s="36">
        <f>I953*E953</f>
        <v>1615000</v>
      </c>
      <c r="R953" s="7">
        <f>N953-K953-L953-M953</f>
        <v>8415</v>
      </c>
      <c r="S953" s="227">
        <f t="shared" si="344"/>
        <v>-336585</v>
      </c>
      <c r="T953" s="248">
        <f t="shared" si="345"/>
        <v>-0.17172704081632653</v>
      </c>
      <c r="U953" s="9">
        <f>T953*365/O953</f>
        <v>-0.33518914383935389</v>
      </c>
      <c r="V953" s="6"/>
    </row>
    <row r="954" spans="1:22" s="33" customFormat="1" ht="15" customHeight="1" x14ac:dyDescent="0.4">
      <c r="A954" s="33" t="s">
        <v>113</v>
      </c>
      <c r="B954" s="198" t="s">
        <v>414</v>
      </c>
      <c r="C954" s="6" t="s">
        <v>162</v>
      </c>
      <c r="D954" s="15"/>
      <c r="E954" s="36">
        <v>150</v>
      </c>
      <c r="F954" s="212">
        <v>13400</v>
      </c>
      <c r="G954" s="195">
        <v>43616</v>
      </c>
      <c r="H954" s="8"/>
      <c r="I954" s="212">
        <v>14100</v>
      </c>
      <c r="J954" s="8">
        <v>43634</v>
      </c>
      <c r="K954" s="7">
        <f>ROUNDDOWN(E954*F954*0.0015,-1)</f>
        <v>3010</v>
      </c>
      <c r="L954" s="7">
        <f>ROUNDDOWN(I954*E954*0.0015,-1)</f>
        <v>3170</v>
      </c>
      <c r="M954" s="196">
        <f>ROUNDDOWN(I954*E954*0.0025, )</f>
        <v>5287</v>
      </c>
      <c r="N954" s="36"/>
      <c r="O954" s="191">
        <f t="shared" si="343"/>
        <v>19</v>
      </c>
      <c r="P954" s="36">
        <f>F954*E954</f>
        <v>2010000</v>
      </c>
      <c r="Q954" s="36">
        <f>I954*E954</f>
        <v>2115000</v>
      </c>
      <c r="R954" s="7">
        <f>N954-K954-L954-M954</f>
        <v>-11467</v>
      </c>
      <c r="S954" s="227">
        <f t="shared" si="344"/>
        <v>93533</v>
      </c>
      <c r="T954" s="248">
        <f t="shared" si="345"/>
        <v>4.6533830845771146E-2</v>
      </c>
      <c r="U954" s="9">
        <f>T954*365/O954</f>
        <v>0.89393938203718248</v>
      </c>
      <c r="V954" s="6"/>
    </row>
    <row r="955" spans="1:22" ht="15" customHeight="1" x14ac:dyDescent="0.4">
      <c r="B955" s="38" t="s">
        <v>141</v>
      </c>
      <c r="C955" s="6" t="s">
        <v>122</v>
      </c>
      <c r="D955" s="6">
        <f>IF(OR($C955="신한",$C955="OTC",$C955="무상증자(신한)",$C955="토스",$C955="R토스"),1,"확인")</f>
        <v>1</v>
      </c>
      <c r="E955" s="34">
        <v>100</v>
      </c>
      <c r="F955" s="212">
        <v>10400</v>
      </c>
      <c r="G955" s="195">
        <v>45818</v>
      </c>
      <c r="H955" s="33" t="s">
        <v>113</v>
      </c>
      <c r="I955" s="212">
        <v>10920</v>
      </c>
      <c r="J955" s="8">
        <v>45819</v>
      </c>
      <c r="K955" s="23">
        <f>IF($C955="OTC",ROUNDDOWN($E955*$F955*0.000909187,-1),(IF($C955="신한",ROUNDDOWN($E955*$F955*0.000036396,-1),(IF($C955="토스",$E955*$F955*0.00015,(IF($C955="US",(IF($E955*$F955*0.0025&gt;0.01,$E955*$F955*0.0025,0.01)),IF($C955="JP",(IF($E955*$F955*0.0025&gt;1000,$E955*$F955*0.0025,1000)),(IF($C955="R토스",0,IF($C955="무상증자(신한)",0,"")))))))))))</f>
        <v>156</v>
      </c>
      <c r="L955" s="23">
        <f>IF($C955="OTC",ROUNDDOWN($I955*$E955*0.000909187,-1),(IF($C955="신한",ROUNDDOWN($I955*$E955*0.000036396,-1),(IF($C955="토스",$I955*$E955*0.00015,(IF($C955="US",(IF($I955*$E955*0.0025&gt;0.01,$I955*$E955*0.0025,0.01)),(IF($C955="JP",(IF($I955*$E955*0.0025&gt;1000,$I955*$E955*0.0025,1000)),(IF($C955="R토스",$I955*$E955*0.00015,(IF($C955="무상증자(신한)",ROUNDDOWN($I955*$E955*0.000036396,-1),"")))))))))))))</f>
        <v>163.79999999999998</v>
      </c>
      <c r="M955" s="206">
        <f>Q955*0.0015</f>
        <v>1638</v>
      </c>
      <c r="N955" s="34"/>
      <c r="O955" s="209">
        <f t="shared" si="343"/>
        <v>2</v>
      </c>
      <c r="P955" s="34">
        <f>$E955*$F955*$D955</f>
        <v>1040000</v>
      </c>
      <c r="Q955" s="34">
        <f>$E955*$I955*$D955</f>
        <v>1092000</v>
      </c>
      <c r="R955" s="7">
        <f>($N955-$K955-$L955-$M955)*$D955</f>
        <v>-1957.8</v>
      </c>
      <c r="S955" s="227">
        <f t="shared" si="344"/>
        <v>50042.2</v>
      </c>
      <c r="T955" s="249">
        <f t="shared" si="345"/>
        <v>4.8117500000000001E-2</v>
      </c>
      <c r="U955" s="38"/>
      <c r="V955" s="36">
        <f>+P955*0.05*O955/365</f>
        <v>284.93150684931504</v>
      </c>
    </row>
    <row r="956" spans="1:22" ht="15" customHeight="1" x14ac:dyDescent="0.4">
      <c r="B956" s="198" t="s">
        <v>141</v>
      </c>
      <c r="C956" s="6" t="s">
        <v>162</v>
      </c>
      <c r="D956" s="15"/>
      <c r="E956" s="36">
        <v>60</v>
      </c>
      <c r="F956" s="212">
        <v>51300</v>
      </c>
      <c r="G956" s="195">
        <v>43693</v>
      </c>
      <c r="H956" s="8"/>
      <c r="I956" s="212">
        <v>54300</v>
      </c>
      <c r="J956" s="8">
        <v>43693</v>
      </c>
      <c r="K956" s="7">
        <f>ROUNDDOWN(E956*F956*0.0015,-1)</f>
        <v>4610</v>
      </c>
      <c r="L956" s="7">
        <f>ROUNDDOWN(I956*E956*0.0015,-1)</f>
        <v>4880</v>
      </c>
      <c r="M956" s="196">
        <f>ROUNDDOWN(I956*E956*0.0025, )</f>
        <v>8145</v>
      </c>
      <c r="N956" s="36"/>
      <c r="O956" s="191">
        <f t="shared" si="343"/>
        <v>1</v>
      </c>
      <c r="P956" s="36">
        <f>F956*E956</f>
        <v>3078000</v>
      </c>
      <c r="Q956" s="36">
        <f>I956*E956</f>
        <v>3258000</v>
      </c>
      <c r="R956" s="7">
        <f>N956-K956-L956-M956</f>
        <v>-17635</v>
      </c>
      <c r="S956" s="227">
        <f t="shared" si="344"/>
        <v>162365</v>
      </c>
      <c r="T956" s="248">
        <f t="shared" si="345"/>
        <v>5.2750162443144899E-2</v>
      </c>
      <c r="U956" s="193">
        <f>T956*365/O956</f>
        <v>19.253809291747888</v>
      </c>
      <c r="V956" s="6"/>
    </row>
    <row r="957" spans="1:22" ht="15" customHeight="1" x14ac:dyDescent="0.4">
      <c r="B957" s="198" t="s">
        <v>141</v>
      </c>
      <c r="C957" s="6" t="s">
        <v>162</v>
      </c>
      <c r="D957" s="15"/>
      <c r="E957" s="36">
        <v>10</v>
      </c>
      <c r="F957" s="212">
        <v>72000</v>
      </c>
      <c r="G957" s="195">
        <v>43717</v>
      </c>
      <c r="H957" s="8"/>
      <c r="I957" s="212">
        <v>57700</v>
      </c>
      <c r="J957" s="8">
        <v>43763</v>
      </c>
      <c r="K957" s="7">
        <f>ROUNDDOWN(E957*F957*0.0015,-1)</f>
        <v>1080</v>
      </c>
      <c r="L957" s="7">
        <f>ROUNDDOWN(I957*E957*0.0015,-1)</f>
        <v>860</v>
      </c>
      <c r="M957" s="196">
        <f>ROUNDDOWN(I957*E957*0.0025, )</f>
        <v>1442</v>
      </c>
      <c r="N957" s="36"/>
      <c r="O957" s="191">
        <f t="shared" si="343"/>
        <v>47</v>
      </c>
      <c r="P957" s="36">
        <f>F957*E957</f>
        <v>720000</v>
      </c>
      <c r="Q957" s="36">
        <f>I957*E957</f>
        <v>577000</v>
      </c>
      <c r="R957" s="7">
        <f>N957-K957-L957-M957</f>
        <v>-3382</v>
      </c>
      <c r="S957" s="227">
        <f t="shared" si="344"/>
        <v>-146382</v>
      </c>
      <c r="T957" s="248">
        <f t="shared" si="345"/>
        <v>-0.20330833333333334</v>
      </c>
      <c r="U957" s="193">
        <f>T957*365/O957</f>
        <v>-1.5788838652482271</v>
      </c>
      <c r="V957" s="6"/>
    </row>
    <row r="958" spans="1:22" ht="15" customHeight="1" x14ac:dyDescent="0.4">
      <c r="B958" s="38" t="s">
        <v>141</v>
      </c>
      <c r="C958" s="6" t="s">
        <v>160</v>
      </c>
      <c r="D958" s="6">
        <f t="shared" ref="D958:D963" si="357">IF(OR($C958="신한",$C958="OTC",$C958="무상증자(신한)",$C958="토스",$C958="R토스"),1,"확인")</f>
        <v>1</v>
      </c>
      <c r="E958" s="34">
        <v>300</v>
      </c>
      <c r="F958" s="212">
        <v>63800</v>
      </c>
      <c r="G958" s="195">
        <v>44026</v>
      </c>
      <c r="H958" s="8"/>
      <c r="I958" s="212">
        <v>69600</v>
      </c>
      <c r="J958" s="8">
        <v>44027</v>
      </c>
      <c r="K958" s="23">
        <f t="shared" ref="K958:K963" si="358">IF($C958="OTC",ROUNDDOWN($E958*$F958*0.000909187,-1),(IF($C958="신한",ROUNDDOWN($E958*$F958*0.000036396,-1),(IF($C958="토스",$E958*$F958*0.00015,(IF($C958="US",(IF($E958*$F958*0.0025&gt;0.01,$E958*$F958*0.0025,0.01)),IF($C958="JP",(IF($E958*$F958*0.0025&gt;1000,$E958*$F958*0.0025,1000)),(IF($C958="R토스",0,IF($C958="무상증자(신한)",0,"")))))))))))</f>
        <v>690</v>
      </c>
      <c r="L958" s="23">
        <f t="shared" ref="L958:L963" si="359">IF($C958="OTC",ROUNDDOWN($I958*$E958*0.000909187,-1),(IF($C958="신한",ROUNDDOWN($I958*$E958*0.000036396,-1),(IF($C958="토스",$I958*$E958*0.00015,(IF($C958="US",(IF($I958*$E958*0.0025&gt;0.01,$I958*$E958*0.0025,0.01)),(IF($C958="JP",(IF($I958*$E958*0.0025&gt;1000,$I958*$E958*0.0025,1000)),(IF($C958="R토스",$I958*$E958*0.00015,(IF($C958="무상증자(신한)",ROUNDDOWN($I958*$E958*0.000036396,-1),"")))))))))))))</f>
        <v>750</v>
      </c>
      <c r="M958" s="206">
        <f>Q958*0.0025</f>
        <v>52200</v>
      </c>
      <c r="N958" s="34"/>
      <c r="O958" s="209">
        <f t="shared" si="343"/>
        <v>2</v>
      </c>
      <c r="P958" s="34">
        <f t="shared" ref="P958:P963" si="360">$E958*$F958*$D958</f>
        <v>19140000</v>
      </c>
      <c r="Q958" s="34">
        <f t="shared" ref="Q958:Q963" si="361">$E958*$I958*$D958</f>
        <v>20880000</v>
      </c>
      <c r="R958" s="7">
        <f t="shared" ref="R958:R963" si="362">($N958-$K958-$L958-$M958)*$D958</f>
        <v>-53640</v>
      </c>
      <c r="S958" s="227">
        <f t="shared" si="344"/>
        <v>1686360</v>
      </c>
      <c r="T958" s="248">
        <f t="shared" si="345"/>
        <v>8.8106583072100314E-2</v>
      </c>
      <c r="U958" s="38"/>
      <c r="V958" s="33"/>
    </row>
    <row r="959" spans="1:22" ht="15" customHeight="1" x14ac:dyDescent="0.4">
      <c r="B959" s="38" t="s">
        <v>415</v>
      </c>
      <c r="C959" s="6" t="s">
        <v>160</v>
      </c>
      <c r="D959" s="6">
        <f t="shared" si="357"/>
        <v>1</v>
      </c>
      <c r="E959" s="34">
        <v>471</v>
      </c>
      <c r="F959" s="212">
        <v>6940</v>
      </c>
      <c r="G959" s="195">
        <v>44047</v>
      </c>
      <c r="H959" s="8"/>
      <c r="I959" s="212">
        <v>6410</v>
      </c>
      <c r="J959" s="8">
        <v>44047</v>
      </c>
      <c r="K959" s="23">
        <f t="shared" si="358"/>
        <v>110</v>
      </c>
      <c r="L959" s="23">
        <f t="shared" si="359"/>
        <v>100</v>
      </c>
      <c r="M959" s="206">
        <f>Q959*0.0025</f>
        <v>7547.7750000000005</v>
      </c>
      <c r="N959" s="34"/>
      <c r="O959" s="209">
        <f t="shared" si="343"/>
        <v>1</v>
      </c>
      <c r="P959" s="34">
        <f t="shared" si="360"/>
        <v>3268740</v>
      </c>
      <c r="Q959" s="34">
        <f t="shared" si="361"/>
        <v>3019110</v>
      </c>
      <c r="R959" s="7">
        <f t="shared" si="362"/>
        <v>-7757.7750000000005</v>
      </c>
      <c r="S959" s="227">
        <f t="shared" si="344"/>
        <v>-257387.77499999999</v>
      </c>
      <c r="T959" s="249">
        <f t="shared" si="345"/>
        <v>-7.8742198828906554E-2</v>
      </c>
      <c r="U959" s="38"/>
      <c r="V959" s="33"/>
    </row>
    <row r="960" spans="1:22" ht="15" customHeight="1" x14ac:dyDescent="0.4">
      <c r="B960" s="38" t="s">
        <v>128</v>
      </c>
      <c r="C960" s="6" t="s">
        <v>122</v>
      </c>
      <c r="D960" s="6">
        <f t="shared" si="357"/>
        <v>1</v>
      </c>
      <c r="E960" s="34">
        <v>50</v>
      </c>
      <c r="F960" s="212">
        <v>82800</v>
      </c>
      <c r="G960" s="195">
        <v>45817</v>
      </c>
      <c r="H960" s="33" t="s">
        <v>113</v>
      </c>
      <c r="I960" s="212">
        <v>81500</v>
      </c>
      <c r="J960" s="8">
        <v>45817</v>
      </c>
      <c r="K960" s="23">
        <f t="shared" si="358"/>
        <v>621</v>
      </c>
      <c r="L960" s="23">
        <f t="shared" si="359"/>
        <v>611.25</v>
      </c>
      <c r="M960" s="206">
        <f>Q960*0.0015</f>
        <v>6112.5</v>
      </c>
      <c r="N960" s="34"/>
      <c r="O960" s="209">
        <f t="shared" si="343"/>
        <v>1</v>
      </c>
      <c r="P960" s="34">
        <f t="shared" si="360"/>
        <v>4140000</v>
      </c>
      <c r="Q960" s="34">
        <f t="shared" si="361"/>
        <v>4075000</v>
      </c>
      <c r="R960" s="7">
        <f t="shared" si="362"/>
        <v>-7344.75</v>
      </c>
      <c r="S960" s="227">
        <f t="shared" si="344"/>
        <v>-72344.75</v>
      </c>
      <c r="T960" s="249">
        <f t="shared" si="345"/>
        <v>-1.7474577294685989E-2</v>
      </c>
      <c r="U960" s="38"/>
      <c r="V960" s="36">
        <f>+P960*0.05*O960/365</f>
        <v>567.1232876712329</v>
      </c>
    </row>
    <row r="961" spans="2:22" ht="15" customHeight="1" x14ac:dyDescent="0.4">
      <c r="B961" s="38" t="s">
        <v>128</v>
      </c>
      <c r="C961" s="6" t="s">
        <v>122</v>
      </c>
      <c r="D961" s="6">
        <f t="shared" si="357"/>
        <v>1</v>
      </c>
      <c r="E961" s="34">
        <v>100</v>
      </c>
      <c r="F961" s="212">
        <v>81700</v>
      </c>
      <c r="G961" s="195">
        <v>45817</v>
      </c>
      <c r="H961" s="33" t="s">
        <v>113</v>
      </c>
      <c r="I961" s="212">
        <v>81000</v>
      </c>
      <c r="J961" s="8">
        <v>45817</v>
      </c>
      <c r="K961" s="23">
        <f t="shared" si="358"/>
        <v>1225.5</v>
      </c>
      <c r="L961" s="23">
        <f t="shared" si="359"/>
        <v>1215</v>
      </c>
      <c r="M961" s="206">
        <f>Q961*0.0015</f>
        <v>12150</v>
      </c>
      <c r="N961" s="34"/>
      <c r="O961" s="209">
        <f t="shared" si="343"/>
        <v>1</v>
      </c>
      <c r="P961" s="34">
        <f t="shared" si="360"/>
        <v>8170000</v>
      </c>
      <c r="Q961" s="34">
        <f t="shared" si="361"/>
        <v>8100000</v>
      </c>
      <c r="R961" s="7">
        <f t="shared" si="362"/>
        <v>-14590.5</v>
      </c>
      <c r="S961" s="227">
        <f t="shared" si="344"/>
        <v>-84590.5</v>
      </c>
      <c r="T961" s="249">
        <f t="shared" si="345"/>
        <v>-1.0353794369645043E-2</v>
      </c>
      <c r="U961" s="38"/>
      <c r="V961" s="36">
        <f>+P961*0.05*O961/365</f>
        <v>1119.1780821917807</v>
      </c>
    </row>
    <row r="962" spans="2:22" ht="15" customHeight="1" x14ac:dyDescent="0.4">
      <c r="B962" s="38" t="s">
        <v>128</v>
      </c>
      <c r="C962" s="6" t="s">
        <v>122</v>
      </c>
      <c r="D962" s="6">
        <f t="shared" si="357"/>
        <v>1</v>
      </c>
      <c r="E962" s="34">
        <v>20</v>
      </c>
      <c r="F962" s="212">
        <v>81500</v>
      </c>
      <c r="G962" s="195">
        <v>45817</v>
      </c>
      <c r="H962" s="33" t="s">
        <v>113</v>
      </c>
      <c r="I962" s="212">
        <v>82500</v>
      </c>
      <c r="J962" s="8">
        <v>45817</v>
      </c>
      <c r="K962" s="23">
        <f t="shared" si="358"/>
        <v>244.49999999999997</v>
      </c>
      <c r="L962" s="23">
        <f t="shared" si="359"/>
        <v>247.49999999999997</v>
      </c>
      <c r="M962" s="206">
        <f>Q962*0.0015</f>
        <v>2475</v>
      </c>
      <c r="N962" s="34"/>
      <c r="O962" s="209">
        <f t="shared" si="343"/>
        <v>1</v>
      </c>
      <c r="P962" s="34">
        <f t="shared" si="360"/>
        <v>1630000</v>
      </c>
      <c r="Q962" s="34">
        <f t="shared" si="361"/>
        <v>1650000</v>
      </c>
      <c r="R962" s="7">
        <f t="shared" si="362"/>
        <v>-2967</v>
      </c>
      <c r="S962" s="227">
        <f t="shared" si="344"/>
        <v>17033</v>
      </c>
      <c r="T962" s="249">
        <f t="shared" si="345"/>
        <v>1.0449693251533743E-2</v>
      </c>
      <c r="U962" s="38"/>
      <c r="V962" s="36">
        <f>+P962*0.05*O962/365</f>
        <v>223.2876712328767</v>
      </c>
    </row>
    <row r="963" spans="2:22" ht="15" customHeight="1" x14ac:dyDescent="0.4">
      <c r="B963" s="38" t="s">
        <v>128</v>
      </c>
      <c r="C963" s="6" t="s">
        <v>122</v>
      </c>
      <c r="D963" s="6">
        <f t="shared" si="357"/>
        <v>1</v>
      </c>
      <c r="E963" s="34">
        <v>15</v>
      </c>
      <c r="F963" s="212">
        <v>81300</v>
      </c>
      <c r="G963" s="195">
        <v>45817</v>
      </c>
      <c r="H963" s="33" t="s">
        <v>113</v>
      </c>
      <c r="I963" s="212">
        <v>80500</v>
      </c>
      <c r="J963" s="8">
        <v>45826</v>
      </c>
      <c r="K963" s="23">
        <f t="shared" si="358"/>
        <v>182.92499999999998</v>
      </c>
      <c r="L963" s="23">
        <f t="shared" si="359"/>
        <v>181.12499999999997</v>
      </c>
      <c r="M963" s="206">
        <f>Q963*0.0015</f>
        <v>1811.25</v>
      </c>
      <c r="N963" s="34"/>
      <c r="O963" s="209">
        <f t="shared" si="343"/>
        <v>10</v>
      </c>
      <c r="P963" s="34">
        <f t="shared" si="360"/>
        <v>1219500</v>
      </c>
      <c r="Q963" s="34">
        <f t="shared" si="361"/>
        <v>1207500</v>
      </c>
      <c r="R963" s="7">
        <f t="shared" si="362"/>
        <v>-2175.3000000000002</v>
      </c>
      <c r="S963" s="227">
        <f t="shared" si="344"/>
        <v>-14175.3</v>
      </c>
      <c r="T963" s="249">
        <f t="shared" si="345"/>
        <v>-1.1623862238622386E-2</v>
      </c>
      <c r="U963" s="38"/>
      <c r="V963" s="36">
        <f>+P963*0.05*O963/365</f>
        <v>1670.5479452054794</v>
      </c>
    </row>
    <row r="964" spans="2:22" ht="15" customHeight="1" x14ac:dyDescent="0.4">
      <c r="B964" s="38" t="s">
        <v>416</v>
      </c>
      <c r="C964" s="6" t="s">
        <v>162</v>
      </c>
      <c r="D964" s="6"/>
      <c r="E964" s="36">
        <v>500</v>
      </c>
      <c r="F964" s="212">
        <v>8110</v>
      </c>
      <c r="G964" s="195">
        <v>43552</v>
      </c>
      <c r="H964" s="8"/>
      <c r="I964" s="212">
        <v>8250</v>
      </c>
      <c r="J964" s="8">
        <v>43564</v>
      </c>
      <c r="K964" s="7">
        <f t="shared" ref="K964:K972" si="363">ROUNDDOWN(E964*F964*0.0015,-1)</f>
        <v>6080</v>
      </c>
      <c r="L964" s="7">
        <f t="shared" ref="L964:L972" si="364">ROUNDDOWN(I964*E964*0.0015,-1)</f>
        <v>6180</v>
      </c>
      <c r="M964" s="196">
        <f t="shared" ref="M964:M972" si="365">I964*E964*0.003</f>
        <v>12375</v>
      </c>
      <c r="N964" s="36"/>
      <c r="O964" s="191">
        <f t="shared" si="343"/>
        <v>13</v>
      </c>
      <c r="P964" s="36">
        <f t="shared" ref="P964:P972" si="366">F964*E964</f>
        <v>4055000</v>
      </c>
      <c r="Q964" s="36">
        <f t="shared" ref="Q964:Q972" si="367">I964*E964</f>
        <v>4125000</v>
      </c>
      <c r="R964" s="7">
        <f t="shared" ref="R964:R972" si="368">N964-K964-L964-M964</f>
        <v>-24635</v>
      </c>
      <c r="S964" s="227">
        <f t="shared" si="344"/>
        <v>45365</v>
      </c>
      <c r="T964" s="248">
        <f t="shared" si="345"/>
        <v>1.1187422934648581E-2</v>
      </c>
      <c r="U964" s="193">
        <f t="shared" ref="U964:U972" si="369">T964*365/O964</f>
        <v>0.31410841316513327</v>
      </c>
      <c r="V964" s="6"/>
    </row>
    <row r="965" spans="2:22" ht="15" customHeight="1" x14ac:dyDescent="0.4">
      <c r="B965" s="198" t="s">
        <v>416</v>
      </c>
      <c r="C965" s="6" t="s">
        <v>162</v>
      </c>
      <c r="D965" s="15"/>
      <c r="E965" s="36">
        <v>600</v>
      </c>
      <c r="F965" s="212">
        <v>8150</v>
      </c>
      <c r="G965" s="195">
        <v>43563</v>
      </c>
      <c r="H965" s="8"/>
      <c r="I965" s="212">
        <v>8250</v>
      </c>
      <c r="J965" s="8">
        <v>43564</v>
      </c>
      <c r="K965" s="7">
        <f t="shared" si="363"/>
        <v>7330</v>
      </c>
      <c r="L965" s="7">
        <f t="shared" si="364"/>
        <v>7420</v>
      </c>
      <c r="M965" s="196">
        <f t="shared" si="365"/>
        <v>14850</v>
      </c>
      <c r="N965" s="36"/>
      <c r="O965" s="191">
        <f t="shared" si="343"/>
        <v>2</v>
      </c>
      <c r="P965" s="36">
        <f t="shared" si="366"/>
        <v>4890000</v>
      </c>
      <c r="Q965" s="36">
        <f t="shared" si="367"/>
        <v>4950000</v>
      </c>
      <c r="R965" s="7">
        <f t="shared" si="368"/>
        <v>-29600</v>
      </c>
      <c r="S965" s="227">
        <f t="shared" si="344"/>
        <v>30400</v>
      </c>
      <c r="T965" s="248">
        <f t="shared" si="345"/>
        <v>6.216768916155419E-3</v>
      </c>
      <c r="U965" s="193">
        <f t="shared" si="369"/>
        <v>1.134560327198364</v>
      </c>
      <c r="V965" s="6"/>
    </row>
    <row r="966" spans="2:22" ht="15" customHeight="1" x14ac:dyDescent="0.4">
      <c r="B966" s="38" t="s">
        <v>417</v>
      </c>
      <c r="C966" s="6" t="s">
        <v>162</v>
      </c>
      <c r="D966" s="6"/>
      <c r="E966" s="33">
        <v>5</v>
      </c>
      <c r="F966" s="212">
        <v>140500</v>
      </c>
      <c r="G966" s="195">
        <v>42851</v>
      </c>
      <c r="H966" s="8"/>
      <c r="I966" s="212">
        <v>107100</v>
      </c>
      <c r="J966" s="8">
        <v>43129</v>
      </c>
      <c r="K966" s="7">
        <f t="shared" si="363"/>
        <v>1050</v>
      </c>
      <c r="L966" s="7">
        <f t="shared" si="364"/>
        <v>800</v>
      </c>
      <c r="M966" s="196">
        <f t="shared" si="365"/>
        <v>1606.5</v>
      </c>
      <c r="N966" s="36"/>
      <c r="O966" s="191">
        <f t="shared" si="343"/>
        <v>279</v>
      </c>
      <c r="P966" s="36">
        <f t="shared" si="366"/>
        <v>702500</v>
      </c>
      <c r="Q966" s="36">
        <f t="shared" si="367"/>
        <v>535500</v>
      </c>
      <c r="R966" s="7">
        <f t="shared" si="368"/>
        <v>-3456.5</v>
      </c>
      <c r="S966" s="227">
        <f t="shared" si="344"/>
        <v>-170456.5</v>
      </c>
      <c r="T966" s="248">
        <f t="shared" si="345"/>
        <v>-0.24264270462633453</v>
      </c>
      <c r="U966" s="193">
        <f t="shared" si="369"/>
        <v>-0.31743579637495378</v>
      </c>
      <c r="V966" s="6"/>
    </row>
    <row r="967" spans="2:22" s="33" customFormat="1" ht="15" customHeight="1" x14ac:dyDescent="0.4">
      <c r="B967" s="38" t="s">
        <v>417</v>
      </c>
      <c r="C967" s="6" t="s">
        <v>162</v>
      </c>
      <c r="D967" s="6"/>
      <c r="E967" s="33">
        <v>5</v>
      </c>
      <c r="F967" s="212">
        <v>140000</v>
      </c>
      <c r="G967" s="195">
        <v>42851</v>
      </c>
      <c r="H967" s="8"/>
      <c r="I967" s="212">
        <v>107100</v>
      </c>
      <c r="J967" s="8">
        <v>43129</v>
      </c>
      <c r="K967" s="7">
        <f t="shared" si="363"/>
        <v>1050</v>
      </c>
      <c r="L967" s="7">
        <f t="shared" si="364"/>
        <v>800</v>
      </c>
      <c r="M967" s="196">
        <f t="shared" si="365"/>
        <v>1606.5</v>
      </c>
      <c r="N967" s="36"/>
      <c r="O967" s="191">
        <f t="shared" si="343"/>
        <v>279</v>
      </c>
      <c r="P967" s="36">
        <f t="shared" si="366"/>
        <v>700000</v>
      </c>
      <c r="Q967" s="36">
        <f t="shared" si="367"/>
        <v>535500</v>
      </c>
      <c r="R967" s="7">
        <f t="shared" si="368"/>
        <v>-3456.5</v>
      </c>
      <c r="S967" s="227">
        <f t="shared" si="344"/>
        <v>-167956.5</v>
      </c>
      <c r="T967" s="248">
        <f t="shared" si="345"/>
        <v>-0.23993785714285715</v>
      </c>
      <c r="U967" s="9">
        <f t="shared" si="369"/>
        <v>-0.31389719662058374</v>
      </c>
      <c r="V967" s="6"/>
    </row>
    <row r="968" spans="2:22" s="33" customFormat="1" ht="15" customHeight="1" x14ac:dyDescent="0.4">
      <c r="B968" s="38" t="s">
        <v>417</v>
      </c>
      <c r="C968" s="6" t="s">
        <v>162</v>
      </c>
      <c r="D968" s="6"/>
      <c r="E968" s="33">
        <v>5</v>
      </c>
      <c r="F968" s="212">
        <v>138000</v>
      </c>
      <c r="G968" s="195">
        <v>42933</v>
      </c>
      <c r="H968" s="8"/>
      <c r="I968" s="212">
        <v>107100</v>
      </c>
      <c r="J968" s="8">
        <v>43129</v>
      </c>
      <c r="K968" s="7">
        <f t="shared" si="363"/>
        <v>1030</v>
      </c>
      <c r="L968" s="7">
        <f t="shared" si="364"/>
        <v>800</v>
      </c>
      <c r="M968" s="196">
        <f t="shared" si="365"/>
        <v>1606.5</v>
      </c>
      <c r="N968" s="36"/>
      <c r="O968" s="191">
        <f t="shared" si="343"/>
        <v>197</v>
      </c>
      <c r="P968" s="36">
        <f t="shared" si="366"/>
        <v>690000</v>
      </c>
      <c r="Q968" s="36">
        <f t="shared" si="367"/>
        <v>535500</v>
      </c>
      <c r="R968" s="7">
        <f t="shared" si="368"/>
        <v>-3436.5</v>
      </c>
      <c r="S968" s="227">
        <f t="shared" si="344"/>
        <v>-157936.5</v>
      </c>
      <c r="T968" s="248">
        <f t="shared" si="345"/>
        <v>-0.22889347826086956</v>
      </c>
      <c r="U968" s="9">
        <f t="shared" si="369"/>
        <v>-0.42409197748841315</v>
      </c>
      <c r="V968" s="6"/>
    </row>
    <row r="969" spans="2:22" ht="15" customHeight="1" x14ac:dyDescent="0.4">
      <c r="B969" s="38" t="s">
        <v>417</v>
      </c>
      <c r="C969" s="6" t="s">
        <v>162</v>
      </c>
      <c r="D969" s="6"/>
      <c r="E969" s="33">
        <v>5</v>
      </c>
      <c r="F969" s="212">
        <v>125000</v>
      </c>
      <c r="G969" s="195">
        <v>43091</v>
      </c>
      <c r="H969" s="8"/>
      <c r="I969" s="212">
        <v>107100</v>
      </c>
      <c r="J969" s="8">
        <v>43129</v>
      </c>
      <c r="K969" s="7">
        <f t="shared" si="363"/>
        <v>930</v>
      </c>
      <c r="L969" s="7">
        <f t="shared" si="364"/>
        <v>800</v>
      </c>
      <c r="M969" s="196">
        <f t="shared" si="365"/>
        <v>1606.5</v>
      </c>
      <c r="N969" s="36"/>
      <c r="O969" s="191">
        <f t="shared" si="343"/>
        <v>39</v>
      </c>
      <c r="P969" s="36">
        <f t="shared" si="366"/>
        <v>625000</v>
      </c>
      <c r="Q969" s="36">
        <f t="shared" si="367"/>
        <v>535500</v>
      </c>
      <c r="R969" s="7">
        <f t="shared" si="368"/>
        <v>-3336.5</v>
      </c>
      <c r="S969" s="227">
        <f t="shared" si="344"/>
        <v>-92836.5</v>
      </c>
      <c r="T969" s="248">
        <f t="shared" si="345"/>
        <v>-0.14853839999999999</v>
      </c>
      <c r="U969" s="193">
        <f t="shared" si="369"/>
        <v>-1.3901670769230769</v>
      </c>
      <c r="V969" s="6"/>
    </row>
    <row r="970" spans="2:22" ht="15" customHeight="1" x14ac:dyDescent="0.4">
      <c r="B970" s="38" t="s">
        <v>417</v>
      </c>
      <c r="C970" s="6" t="s">
        <v>162</v>
      </c>
      <c r="D970" s="6"/>
      <c r="E970" s="33">
        <v>10</v>
      </c>
      <c r="F970" s="212">
        <v>0</v>
      </c>
      <c r="G970" s="195">
        <v>43125</v>
      </c>
      <c r="H970" s="8"/>
      <c r="I970" s="212">
        <v>107100</v>
      </c>
      <c r="J970" s="8">
        <v>43129</v>
      </c>
      <c r="K970" s="7">
        <f t="shared" si="363"/>
        <v>0</v>
      </c>
      <c r="L970" s="7">
        <f t="shared" si="364"/>
        <v>1600</v>
      </c>
      <c r="M970" s="196">
        <f t="shared" si="365"/>
        <v>3213</v>
      </c>
      <c r="N970" s="36"/>
      <c r="O970" s="191">
        <f t="shared" si="343"/>
        <v>5</v>
      </c>
      <c r="P970" s="36">
        <f t="shared" si="366"/>
        <v>0</v>
      </c>
      <c r="Q970" s="36">
        <f t="shared" si="367"/>
        <v>1071000</v>
      </c>
      <c r="R970" s="7">
        <f t="shared" si="368"/>
        <v>-4813</v>
      </c>
      <c r="S970" s="227">
        <f t="shared" si="344"/>
        <v>1066187</v>
      </c>
      <c r="T970" s="248" t="e">
        <f t="shared" si="345"/>
        <v>#DIV/0!</v>
      </c>
      <c r="U970" s="193" t="e">
        <f t="shared" si="369"/>
        <v>#DIV/0!</v>
      </c>
      <c r="V970" s="6" t="s">
        <v>249</v>
      </c>
    </row>
    <row r="971" spans="2:22" s="33" customFormat="1" ht="15" customHeight="1" x14ac:dyDescent="0.4">
      <c r="B971" s="38" t="s">
        <v>418</v>
      </c>
      <c r="C971" s="6" t="s">
        <v>162</v>
      </c>
      <c r="D971" s="6"/>
      <c r="E971" s="36">
        <v>100</v>
      </c>
      <c r="F971" s="212">
        <v>14000</v>
      </c>
      <c r="G971" s="195">
        <v>42664</v>
      </c>
      <c r="H971" s="8"/>
      <c r="I971" s="212">
        <v>14600</v>
      </c>
      <c r="J971" s="8">
        <v>42822</v>
      </c>
      <c r="K971" s="7">
        <f t="shared" si="363"/>
        <v>2100</v>
      </c>
      <c r="L971" s="7">
        <f t="shared" si="364"/>
        <v>2190</v>
      </c>
      <c r="M971" s="196">
        <f t="shared" si="365"/>
        <v>4380</v>
      </c>
      <c r="N971" s="36">
        <f>30000-4620</f>
        <v>25380</v>
      </c>
      <c r="O971" s="191">
        <f t="shared" si="343"/>
        <v>159</v>
      </c>
      <c r="P971" s="36">
        <f t="shared" si="366"/>
        <v>1400000</v>
      </c>
      <c r="Q971" s="36">
        <f t="shared" si="367"/>
        <v>1460000</v>
      </c>
      <c r="R971" s="7">
        <f t="shared" si="368"/>
        <v>16710</v>
      </c>
      <c r="S971" s="227">
        <f t="shared" si="344"/>
        <v>76710</v>
      </c>
      <c r="T971" s="248">
        <f t="shared" si="345"/>
        <v>5.4792857142857143E-2</v>
      </c>
      <c r="U971" s="9">
        <f t="shared" si="369"/>
        <v>0.1257823450134771</v>
      </c>
      <c r="V971" s="6"/>
    </row>
    <row r="972" spans="2:22" ht="15" customHeight="1" x14ac:dyDescent="0.4">
      <c r="B972" s="38" t="s">
        <v>419</v>
      </c>
      <c r="C972" s="6" t="s">
        <v>162</v>
      </c>
      <c r="D972" s="6"/>
      <c r="E972" s="36">
        <v>40</v>
      </c>
      <c r="F972" s="212">
        <v>25200</v>
      </c>
      <c r="G972" s="195">
        <v>43529</v>
      </c>
      <c r="H972" s="8"/>
      <c r="I972" s="212">
        <v>26850</v>
      </c>
      <c r="J972" s="8">
        <v>43530</v>
      </c>
      <c r="K972" s="7">
        <f t="shared" si="363"/>
        <v>1510</v>
      </c>
      <c r="L972" s="7">
        <f t="shared" si="364"/>
        <v>1610</v>
      </c>
      <c r="M972" s="196">
        <f t="shared" si="365"/>
        <v>3222</v>
      </c>
      <c r="N972" s="36"/>
      <c r="O972" s="191">
        <f t="shared" si="343"/>
        <v>2</v>
      </c>
      <c r="P972" s="36">
        <f t="shared" si="366"/>
        <v>1008000</v>
      </c>
      <c r="Q972" s="36">
        <f t="shared" si="367"/>
        <v>1074000</v>
      </c>
      <c r="R972" s="7">
        <f t="shared" si="368"/>
        <v>-6342</v>
      </c>
      <c r="S972" s="227">
        <f t="shared" si="344"/>
        <v>59658</v>
      </c>
      <c r="T972" s="248">
        <f t="shared" si="345"/>
        <v>5.9184523809523812E-2</v>
      </c>
      <c r="U972" s="193">
        <f t="shared" si="369"/>
        <v>10.801175595238096</v>
      </c>
      <c r="V972" s="6"/>
    </row>
    <row r="973" spans="2:22" ht="15" customHeight="1" x14ac:dyDescent="0.4">
      <c r="B973" s="38" t="s">
        <v>419</v>
      </c>
      <c r="C973" s="6" t="s">
        <v>160</v>
      </c>
      <c r="D973" s="6">
        <f>IF(OR($C973="신한",$C973="OTC",$C973="무상증자(신한)",$C973="토스",$C973="R토스"),1,"확인")</f>
        <v>1</v>
      </c>
      <c r="E973" s="34">
        <v>250</v>
      </c>
      <c r="F973" s="212">
        <v>34050</v>
      </c>
      <c r="G973" s="195">
        <v>44071</v>
      </c>
      <c r="H973" s="8"/>
      <c r="I973" s="212">
        <v>35000</v>
      </c>
      <c r="J973" s="8">
        <v>44071</v>
      </c>
      <c r="K973" s="23">
        <f>IF($C973="OTC",ROUNDDOWN($E973*$F973*0.000909187,-1),(IF($C973="신한",ROUNDDOWN($E973*$F973*0.000036396,-1),(IF($C973="토스",$E973*$F973*0.00015,(IF($C973="US",(IF($E973*$F973*0.0025&gt;0.01,$E973*$F973*0.0025,0.01)),IF($C973="JP",(IF($E973*$F973*0.0025&gt;1000,$E973*$F973*0.0025,1000)),(IF($C973="R토스",0,IF($C973="무상증자(신한)",0,"")))))))))))</f>
        <v>300</v>
      </c>
      <c r="L973" s="23">
        <f>IF($C973="OTC",ROUNDDOWN($I973*$E973*0.000909187,-1),(IF($C973="신한",ROUNDDOWN($I973*$E973*0.000036396,-1),(IF($C973="토스",$I973*$E973*0.00015,(IF($C973="US",(IF($I973*$E973*0.0025&gt;0.01,$I973*$E973*0.0025,0.01)),(IF($C973="JP",(IF($I973*$E973*0.0025&gt;1000,$I973*$E973*0.0025,1000)),(IF($C973="R토스",$I973*$E973*0.00015,(IF($C973="무상증자(신한)",ROUNDDOWN($I973*$E973*0.000036396,-1),"")))))))))))))</f>
        <v>310</v>
      </c>
      <c r="M973" s="206">
        <f>Q973*0.0025</f>
        <v>21875</v>
      </c>
      <c r="N973" s="34"/>
      <c r="O973" s="209">
        <f t="shared" si="343"/>
        <v>1</v>
      </c>
      <c r="P973" s="34">
        <f>$E973*$F973*$D973</f>
        <v>8512500</v>
      </c>
      <c r="Q973" s="34">
        <f>$E973*$I973*$D973</f>
        <v>8750000</v>
      </c>
      <c r="R973" s="7">
        <f>($N973-$K973-$L973-$M973)*$D973</f>
        <v>-22485</v>
      </c>
      <c r="S973" s="227">
        <f t="shared" si="344"/>
        <v>215015</v>
      </c>
      <c r="T973" s="249">
        <f t="shared" si="345"/>
        <v>2.5258737151248163E-2</v>
      </c>
      <c r="U973" s="38"/>
      <c r="V973" s="33"/>
    </row>
    <row r="974" spans="2:22" ht="15" customHeight="1" x14ac:dyDescent="0.4">
      <c r="B974" s="38" t="s">
        <v>420</v>
      </c>
      <c r="C974" s="6" t="s">
        <v>162</v>
      </c>
      <c r="D974" s="6"/>
      <c r="E974" s="36">
        <v>150</v>
      </c>
      <c r="F974" s="212">
        <v>4800</v>
      </c>
      <c r="G974" s="195">
        <v>42636</v>
      </c>
      <c r="H974" s="8"/>
      <c r="I974" s="212">
        <v>5000</v>
      </c>
      <c r="J974" s="8">
        <v>42636</v>
      </c>
      <c r="K974" s="7">
        <f>ROUNDDOWN(E974*F974*0.0015,-1)</f>
        <v>1080</v>
      </c>
      <c r="L974" s="7">
        <f>ROUNDDOWN(I974*E974*0.0015,-1)</f>
        <v>1120</v>
      </c>
      <c r="M974" s="196">
        <f>I974*E974*0.003</f>
        <v>2250</v>
      </c>
      <c r="N974" s="36"/>
      <c r="O974" s="191">
        <f t="shared" si="343"/>
        <v>1</v>
      </c>
      <c r="P974" s="36">
        <f>F974*E974</f>
        <v>720000</v>
      </c>
      <c r="Q974" s="36">
        <f>I974*E974</f>
        <v>750000</v>
      </c>
      <c r="R974" s="7">
        <f>N974-K974-L974-M974</f>
        <v>-4450</v>
      </c>
      <c r="S974" s="227">
        <f t="shared" si="344"/>
        <v>25550</v>
      </c>
      <c r="T974" s="248">
        <f t="shared" si="345"/>
        <v>3.5486111111111114E-2</v>
      </c>
      <c r="U974" s="193">
        <f>T974*365/O974</f>
        <v>12.952430555555557</v>
      </c>
      <c r="V974" s="6"/>
    </row>
    <row r="975" spans="2:22" ht="15" customHeight="1" x14ac:dyDescent="0.4">
      <c r="B975" s="38" t="s">
        <v>421</v>
      </c>
      <c r="C975" s="6" t="s">
        <v>160</v>
      </c>
      <c r="D975" s="6">
        <f>IF(OR($C975="신한",$C975="OTC",$C975="무상증자(신한)",$C975="토스",$C975="R토스"),1,"확인")</f>
        <v>1</v>
      </c>
      <c r="E975" s="34">
        <v>3</v>
      </c>
      <c r="F975" s="212">
        <v>356000</v>
      </c>
      <c r="G975" s="195">
        <v>45754</v>
      </c>
      <c r="H975" s="8"/>
      <c r="I975" s="212">
        <v>386500</v>
      </c>
      <c r="J975" s="8">
        <v>45805</v>
      </c>
      <c r="K975" s="23">
        <f>IF($C975="OTC",ROUNDDOWN($E975*$F975*0.000909187,-1),(IF($C975="신한",ROUNDDOWN($E975*$F975*0.000036396,-1),(IF($C975="토스",$E975*$F975*0.00015,(IF($C975="US",(IF($E975*$F975*0.0025&gt;0.01,$E975*$F975*0.0025,0.01)),IF($C975="JP",(IF($E975*$F975*0.0025&gt;1000,$E975*$F975*0.0025,1000)),(IF($C975="R토스",0,IF($C975="무상증자(신한)",0,"")))))))))))</f>
        <v>30</v>
      </c>
      <c r="L975" s="23">
        <f>IF($C975="OTC",ROUNDDOWN($I975*$E975*0.000909187,-1),(IF($C975="신한",ROUNDDOWN($I975*$E975*0.000036396,-1),(IF($C975="토스",$I975*$E975*0.00015,(IF($C975="US",(IF($I975*$E975*0.0025&gt;0.01,$I975*$E975*0.0025,0.01)),(IF($C975="JP",(IF($I975*$E975*0.0025&gt;1000,$I975*$E975*0.0025,1000)),(IF($C975="R토스",$I975*$E975*0.00015,(IF($C975="무상증자(신한)",ROUNDDOWN($I975*$E975*0.000036396,-1),"")))))))))))))</f>
        <v>40</v>
      </c>
      <c r="M975" s="206">
        <f>Q975*0.0015</f>
        <v>1739.25</v>
      </c>
      <c r="N975" s="34"/>
      <c r="O975" s="209">
        <f t="shared" si="343"/>
        <v>52</v>
      </c>
      <c r="P975" s="34">
        <f>$E975*$F975*$D975</f>
        <v>1068000</v>
      </c>
      <c r="Q975" s="34">
        <f>$E975*$I975*$D975</f>
        <v>1159500</v>
      </c>
      <c r="R975" s="7">
        <f>($N975-$K975-$L975-$M975)*$D975</f>
        <v>-1809.25</v>
      </c>
      <c r="S975" s="227">
        <f t="shared" si="344"/>
        <v>89690.75</v>
      </c>
      <c r="T975" s="249">
        <f t="shared" si="345"/>
        <v>8.3980102996254677E-2</v>
      </c>
      <c r="U975" s="38"/>
      <c r="V975" s="33"/>
    </row>
    <row r="976" spans="2:22" ht="15" customHeight="1" x14ac:dyDescent="0.4">
      <c r="B976" s="38" t="s">
        <v>421</v>
      </c>
      <c r="C976" s="6" t="s">
        <v>160</v>
      </c>
      <c r="D976" s="6">
        <f>IF(OR($C976="신한",$C976="OTC",$C976="무상증자(신한)",$C976="토스",$C976="R토스"),1,"확인")</f>
        <v>1</v>
      </c>
      <c r="E976" s="34">
        <v>1</v>
      </c>
      <c r="F976" s="212">
        <v>371000</v>
      </c>
      <c r="G976" s="195">
        <v>45776</v>
      </c>
      <c r="H976" s="8"/>
      <c r="I976" s="212">
        <v>386500</v>
      </c>
      <c r="J976" s="8">
        <v>45805</v>
      </c>
      <c r="K976" s="23">
        <f>IF($C976="OTC",ROUNDDOWN($E976*$F976*0.000909187,-1),(IF($C976="신한",ROUNDDOWN($E976*$F976*0.000036396,-1),(IF($C976="토스",$E976*$F976*0.00015,(IF($C976="US",(IF($E976*$F976*0.0025&gt;0.01,$E976*$F976*0.0025,0.01)),IF($C976="JP",(IF($E976*$F976*0.0025&gt;1000,$E976*$F976*0.0025,1000)),(IF($C976="R토스",0,IF($C976="무상증자(신한)",0,"")))))))))))</f>
        <v>10</v>
      </c>
      <c r="L976" s="23">
        <f>IF($C976="OTC",ROUNDDOWN($I976*$E976*0.000909187,-1),(IF($C976="신한",ROUNDDOWN($I976*$E976*0.000036396,-1),(IF($C976="토스",$I976*$E976*0.00015,(IF($C976="US",(IF($I976*$E976*0.0025&gt;0.01,$I976*$E976*0.0025,0.01)),(IF($C976="JP",(IF($I976*$E976*0.0025&gt;1000,$I976*$E976*0.0025,1000)),(IF($C976="R토스",$I976*$E976*0.00015,(IF($C976="무상증자(신한)",ROUNDDOWN($I976*$E976*0.000036396,-1),"")))))))))))))</f>
        <v>10</v>
      </c>
      <c r="M976" s="206">
        <f>Q976*0.0015</f>
        <v>579.75</v>
      </c>
      <c r="N976" s="34"/>
      <c r="O976" s="209">
        <f t="shared" si="343"/>
        <v>30</v>
      </c>
      <c r="P976" s="34">
        <f>$E976*$F976*$D976</f>
        <v>371000</v>
      </c>
      <c r="Q976" s="34">
        <f>$E976*$I976*$D976</f>
        <v>386500</v>
      </c>
      <c r="R976" s="7">
        <f>($N976-$K976-$L976-$M976)*$D976</f>
        <v>-599.75</v>
      </c>
      <c r="S976" s="227">
        <f t="shared" si="344"/>
        <v>14900.25</v>
      </c>
      <c r="T976" s="249">
        <f t="shared" si="345"/>
        <v>4.0162398921832883E-2</v>
      </c>
      <c r="U976" s="38"/>
      <c r="V976" s="33"/>
    </row>
    <row r="977" spans="2:28" ht="15" customHeight="1" x14ac:dyDescent="0.4">
      <c r="B977" s="38" t="s">
        <v>422</v>
      </c>
      <c r="C977" s="6" t="s">
        <v>162</v>
      </c>
      <c r="D977" s="6"/>
      <c r="E977" s="36">
        <v>50</v>
      </c>
      <c r="F977" s="212">
        <v>26450</v>
      </c>
      <c r="G977" s="195">
        <v>42636</v>
      </c>
      <c r="H977" s="8"/>
      <c r="I977" s="212">
        <v>28050</v>
      </c>
      <c r="J977" s="8">
        <v>43165</v>
      </c>
      <c r="K977" s="7">
        <f>ROUNDDOWN(E977*F977*0.0015,-1)</f>
        <v>1980</v>
      </c>
      <c r="L977" s="7">
        <f>ROUNDDOWN(I977*E977*0.0015,-1)</f>
        <v>2100</v>
      </c>
      <c r="M977" s="196">
        <f>I977*E977*0.003</f>
        <v>4207.5</v>
      </c>
      <c r="N977" s="36"/>
      <c r="O977" s="191">
        <f t="shared" si="343"/>
        <v>530</v>
      </c>
      <c r="P977" s="36">
        <f t="shared" ref="P977:P985" si="370">F977*E977</f>
        <v>1322500</v>
      </c>
      <c r="Q977" s="36">
        <f t="shared" ref="Q977:Q985" si="371">I977*E977</f>
        <v>1402500</v>
      </c>
      <c r="R977" s="7">
        <f t="shared" ref="R977:R985" si="372">N977-K977-L977-M977</f>
        <v>-8287.5</v>
      </c>
      <c r="S977" s="227">
        <f t="shared" si="344"/>
        <v>71712.5</v>
      </c>
      <c r="T977" s="248">
        <f t="shared" si="345"/>
        <v>5.4224952741020793E-2</v>
      </c>
      <c r="U977" s="193">
        <f t="shared" ref="U977:U985" si="373">T977*365/O977</f>
        <v>3.7343599529193562E-2</v>
      </c>
      <c r="V977" s="6"/>
    </row>
    <row r="978" spans="2:28" ht="15" customHeight="1" x14ac:dyDescent="0.4">
      <c r="B978" s="38" t="s">
        <v>423</v>
      </c>
      <c r="C978" s="6" t="s">
        <v>162</v>
      </c>
      <c r="D978" s="6"/>
      <c r="E978" s="33">
        <v>70</v>
      </c>
      <c r="F978" s="212">
        <v>15000</v>
      </c>
      <c r="G978" s="195">
        <v>43108</v>
      </c>
      <c r="H978" s="8"/>
      <c r="I978" s="212">
        <v>18200</v>
      </c>
      <c r="J978" s="8">
        <v>43126</v>
      </c>
      <c r="K978" s="7">
        <f>ROUNDDOWN(E978*F978*0.0015,-1)</f>
        <v>1570</v>
      </c>
      <c r="L978" s="7">
        <f>ROUNDDOWN(I978*E978*0.0015,-1)</f>
        <v>1910</v>
      </c>
      <c r="M978" s="196">
        <f>I978*E978*0.003</f>
        <v>3822</v>
      </c>
      <c r="N978" s="36"/>
      <c r="O978" s="191">
        <f t="shared" si="343"/>
        <v>19</v>
      </c>
      <c r="P978" s="36">
        <f t="shared" si="370"/>
        <v>1050000</v>
      </c>
      <c r="Q978" s="36">
        <f t="shared" si="371"/>
        <v>1274000</v>
      </c>
      <c r="R978" s="7">
        <f t="shared" si="372"/>
        <v>-7302</v>
      </c>
      <c r="S978" s="227">
        <f t="shared" si="344"/>
        <v>216698</v>
      </c>
      <c r="T978" s="248">
        <f t="shared" si="345"/>
        <v>0.20637904761904763</v>
      </c>
      <c r="U978" s="193">
        <f t="shared" si="373"/>
        <v>3.9646501253132831</v>
      </c>
      <c r="V978" s="6"/>
    </row>
    <row r="979" spans="2:28" ht="15" customHeight="1" x14ac:dyDescent="0.4">
      <c r="B979" s="38" t="s">
        <v>424</v>
      </c>
      <c r="C979" s="6" t="s">
        <v>187</v>
      </c>
      <c r="D979" s="6"/>
      <c r="E979" s="36">
        <v>50</v>
      </c>
      <c r="F979" s="212">
        <v>9850</v>
      </c>
      <c r="G979" s="195">
        <v>42307</v>
      </c>
      <c r="H979" s="8"/>
      <c r="I979" s="212">
        <v>10000</v>
      </c>
      <c r="J979" s="8">
        <v>42411</v>
      </c>
      <c r="K979" s="7">
        <f>ROUNDDOWN(E979*F979*0.00015,-1)</f>
        <v>70</v>
      </c>
      <c r="L979" s="7">
        <f>ROUNDDOWN(I979*E979*0.00015,-1)</f>
        <v>70</v>
      </c>
      <c r="M979" s="196">
        <f>I979*E979*0.003</f>
        <v>1500</v>
      </c>
      <c r="N979" s="36">
        <v>11000</v>
      </c>
      <c r="O979" s="191">
        <f t="shared" si="343"/>
        <v>105</v>
      </c>
      <c r="P979" s="36">
        <f t="shared" si="370"/>
        <v>492500</v>
      </c>
      <c r="Q979" s="36">
        <f t="shared" si="371"/>
        <v>500000</v>
      </c>
      <c r="R979" s="7">
        <f t="shared" si="372"/>
        <v>9360</v>
      </c>
      <c r="S979" s="227">
        <f t="shared" si="344"/>
        <v>16860</v>
      </c>
      <c r="T979" s="248">
        <f t="shared" si="345"/>
        <v>3.4233502538071066E-2</v>
      </c>
      <c r="U979" s="193">
        <f t="shared" si="373"/>
        <v>0.11900217548948515</v>
      </c>
      <c r="V979" s="6"/>
    </row>
    <row r="980" spans="2:28" ht="15" customHeight="1" x14ac:dyDescent="0.4">
      <c r="B980" s="38" t="s">
        <v>425</v>
      </c>
      <c r="C980" s="6" t="s">
        <v>162</v>
      </c>
      <c r="D980" s="6"/>
      <c r="E980" s="33">
        <v>80</v>
      </c>
      <c r="F980" s="212">
        <v>27600</v>
      </c>
      <c r="G980" s="195">
        <v>42954</v>
      </c>
      <c r="H980" s="8"/>
      <c r="I980" s="212">
        <v>31400</v>
      </c>
      <c r="J980" s="8">
        <v>43067</v>
      </c>
      <c r="K980" s="7">
        <f t="shared" ref="K980:K985" si="374">ROUNDDOWN(E980*F980*0.0015,-1)</f>
        <v>3310</v>
      </c>
      <c r="L980" s="7">
        <f t="shared" ref="L980:L985" si="375">ROUNDDOWN(I980*E980*0.0015,-1)</f>
        <v>3760</v>
      </c>
      <c r="M980" s="196">
        <f>I980*E980*0.003</f>
        <v>7536</v>
      </c>
      <c r="N980" s="36"/>
      <c r="O980" s="191">
        <f t="shared" si="343"/>
        <v>114</v>
      </c>
      <c r="P980" s="36">
        <f t="shared" si="370"/>
        <v>2208000</v>
      </c>
      <c r="Q980" s="36">
        <f t="shared" si="371"/>
        <v>2512000</v>
      </c>
      <c r="R980" s="7">
        <f t="shared" si="372"/>
        <v>-14606</v>
      </c>
      <c r="S980" s="227">
        <f t="shared" si="344"/>
        <v>289394</v>
      </c>
      <c r="T980" s="248">
        <f t="shared" si="345"/>
        <v>0.1310661231884058</v>
      </c>
      <c r="U980" s="193">
        <f t="shared" si="373"/>
        <v>0.41964153476989574</v>
      </c>
      <c r="V980" s="6"/>
    </row>
    <row r="981" spans="2:28" ht="15" customHeight="1" x14ac:dyDescent="0.4">
      <c r="B981" s="38" t="s">
        <v>426</v>
      </c>
      <c r="C981" s="6" t="s">
        <v>162</v>
      </c>
      <c r="D981" s="6"/>
      <c r="E981" s="36">
        <v>300</v>
      </c>
      <c r="F981" s="212">
        <v>2260</v>
      </c>
      <c r="G981" s="195">
        <v>42615</v>
      </c>
      <c r="H981" s="8"/>
      <c r="I981" s="212">
        <v>2270</v>
      </c>
      <c r="J981" s="8">
        <v>42647</v>
      </c>
      <c r="K981" s="7">
        <f t="shared" si="374"/>
        <v>1010</v>
      </c>
      <c r="L981" s="7">
        <f t="shared" si="375"/>
        <v>1020</v>
      </c>
      <c r="M981" s="196">
        <f>I981*E981*0.003</f>
        <v>2043</v>
      </c>
      <c r="N981" s="36"/>
      <c r="O981" s="191">
        <f t="shared" si="343"/>
        <v>33</v>
      </c>
      <c r="P981" s="36">
        <f t="shared" si="370"/>
        <v>678000</v>
      </c>
      <c r="Q981" s="36">
        <f t="shared" si="371"/>
        <v>681000</v>
      </c>
      <c r="R981" s="7">
        <f t="shared" si="372"/>
        <v>-4073</v>
      </c>
      <c r="S981" s="227">
        <f t="shared" si="344"/>
        <v>-1073</v>
      </c>
      <c r="T981" s="248">
        <f t="shared" si="345"/>
        <v>-1.5825958702064898E-3</v>
      </c>
      <c r="U981" s="193">
        <f t="shared" si="373"/>
        <v>-1.7504469473496022E-2</v>
      </c>
      <c r="V981" s="6"/>
      <c r="W981"/>
      <c r="X981"/>
      <c r="Y981"/>
      <c r="Z981"/>
      <c r="AA981"/>
      <c r="AB981"/>
    </row>
    <row r="982" spans="2:28" s="33" customFormat="1" ht="15" customHeight="1" x14ac:dyDescent="0.4">
      <c r="B982" s="198" t="s">
        <v>427</v>
      </c>
      <c r="C982" s="6" t="s">
        <v>162</v>
      </c>
      <c r="D982" s="15"/>
      <c r="E982" s="36">
        <v>70</v>
      </c>
      <c r="F982" s="212">
        <v>37200</v>
      </c>
      <c r="G982" s="195">
        <v>43717</v>
      </c>
      <c r="H982" s="8"/>
      <c r="I982" s="212">
        <v>38900</v>
      </c>
      <c r="J982" s="8">
        <v>43762</v>
      </c>
      <c r="K982" s="7">
        <f t="shared" si="374"/>
        <v>3900</v>
      </c>
      <c r="L982" s="7">
        <f t="shared" si="375"/>
        <v>4080</v>
      </c>
      <c r="M982" s="196">
        <f>ROUNDDOWN(I982*E982*0.0025, )</f>
        <v>6807</v>
      </c>
      <c r="N982" s="36"/>
      <c r="O982" s="191">
        <f t="shared" si="343"/>
        <v>46</v>
      </c>
      <c r="P982" s="36">
        <f t="shared" si="370"/>
        <v>2604000</v>
      </c>
      <c r="Q982" s="36">
        <f t="shared" si="371"/>
        <v>2723000</v>
      </c>
      <c r="R982" s="7">
        <f t="shared" si="372"/>
        <v>-14787</v>
      </c>
      <c r="S982" s="227">
        <f t="shared" si="344"/>
        <v>104213</v>
      </c>
      <c r="T982" s="248">
        <f t="shared" si="345"/>
        <v>4.0020353302611368E-2</v>
      </c>
      <c r="U982" s="9">
        <f t="shared" si="373"/>
        <v>0.31755280337941633</v>
      </c>
      <c r="V982" s="6"/>
    </row>
    <row r="983" spans="2:28" s="33" customFormat="1" ht="15" customHeight="1" x14ac:dyDescent="0.4">
      <c r="B983" s="198" t="s">
        <v>427</v>
      </c>
      <c r="C983" s="6" t="s">
        <v>162</v>
      </c>
      <c r="D983" s="15"/>
      <c r="E983" s="36">
        <v>50</v>
      </c>
      <c r="F983" s="212">
        <v>32100</v>
      </c>
      <c r="G983" s="195">
        <v>43862</v>
      </c>
      <c r="H983" s="8"/>
      <c r="I983" s="212">
        <v>35200</v>
      </c>
      <c r="J983" s="8">
        <v>43962</v>
      </c>
      <c r="K983" s="7">
        <f t="shared" si="374"/>
        <v>2400</v>
      </c>
      <c r="L983" s="7">
        <f t="shared" si="375"/>
        <v>2640</v>
      </c>
      <c r="M983" s="196">
        <f>ROUNDDOWN(I983*E983*0.0025, )</f>
        <v>4400</v>
      </c>
      <c r="N983" s="36"/>
      <c r="O983" s="191">
        <f t="shared" si="343"/>
        <v>101</v>
      </c>
      <c r="P983" s="36">
        <f t="shared" si="370"/>
        <v>1605000</v>
      </c>
      <c r="Q983" s="36">
        <f t="shared" si="371"/>
        <v>1760000</v>
      </c>
      <c r="R983" s="7">
        <f t="shared" si="372"/>
        <v>-9440</v>
      </c>
      <c r="S983" s="227">
        <f t="shared" si="344"/>
        <v>145560</v>
      </c>
      <c r="T983" s="248">
        <f t="shared" si="345"/>
        <v>9.0691588785046726E-2</v>
      </c>
      <c r="U983" s="9">
        <f t="shared" si="373"/>
        <v>0.32774683075784217</v>
      </c>
      <c r="V983" s="6"/>
    </row>
    <row r="984" spans="2:28" s="33" customFormat="1" ht="15" customHeight="1" x14ac:dyDescent="0.4">
      <c r="B984" s="198" t="s">
        <v>427</v>
      </c>
      <c r="C984" s="6" t="s">
        <v>162</v>
      </c>
      <c r="D984" s="15"/>
      <c r="E984" s="36">
        <v>33</v>
      </c>
      <c r="F984" s="212">
        <v>33000</v>
      </c>
      <c r="G984" s="195">
        <v>43877</v>
      </c>
      <c r="H984" s="8"/>
      <c r="I984" s="212">
        <v>35200</v>
      </c>
      <c r="J984" s="8">
        <v>43962</v>
      </c>
      <c r="K984" s="7">
        <f t="shared" si="374"/>
        <v>1630</v>
      </c>
      <c r="L984" s="7">
        <f t="shared" si="375"/>
        <v>1740</v>
      </c>
      <c r="M984" s="196">
        <f>ROUNDDOWN(I984*E984*0.0025, )</f>
        <v>2904</v>
      </c>
      <c r="N984" s="36"/>
      <c r="O984" s="191">
        <f t="shared" si="343"/>
        <v>86</v>
      </c>
      <c r="P984" s="36">
        <f t="shared" si="370"/>
        <v>1089000</v>
      </c>
      <c r="Q984" s="36">
        <f t="shared" si="371"/>
        <v>1161600</v>
      </c>
      <c r="R984" s="7">
        <f t="shared" si="372"/>
        <v>-6274</v>
      </c>
      <c r="S984" s="227">
        <f t="shared" si="344"/>
        <v>66326</v>
      </c>
      <c r="T984" s="248">
        <f t="shared" si="345"/>
        <v>6.0905417814508721E-2</v>
      </c>
      <c r="U984" s="9">
        <f t="shared" si="373"/>
        <v>0.25849392444529867</v>
      </c>
      <c r="V984" s="6"/>
    </row>
    <row r="985" spans="2:28" s="33" customFormat="1" ht="15" customHeight="1" x14ac:dyDescent="0.4">
      <c r="B985" s="38" t="s">
        <v>428</v>
      </c>
      <c r="C985" s="6" t="s">
        <v>162</v>
      </c>
      <c r="D985" s="6"/>
      <c r="E985" s="36">
        <v>150</v>
      </c>
      <c r="F985" s="212">
        <v>4590</v>
      </c>
      <c r="G985" s="195">
        <v>42577</v>
      </c>
      <c r="H985" s="8"/>
      <c r="I985" s="212">
        <v>4150</v>
      </c>
      <c r="J985" s="8">
        <v>42640</v>
      </c>
      <c r="K985" s="7">
        <f t="shared" si="374"/>
        <v>1030</v>
      </c>
      <c r="L985" s="7">
        <f t="shared" si="375"/>
        <v>930</v>
      </c>
      <c r="M985" s="196">
        <f>I985*E985*0.003</f>
        <v>1867.5</v>
      </c>
      <c r="N985" s="36"/>
      <c r="O985" s="191">
        <f t="shared" si="343"/>
        <v>64</v>
      </c>
      <c r="P985" s="36">
        <f t="shared" si="370"/>
        <v>688500</v>
      </c>
      <c r="Q985" s="36">
        <f t="shared" si="371"/>
        <v>622500</v>
      </c>
      <c r="R985" s="7">
        <f t="shared" si="372"/>
        <v>-3827.5</v>
      </c>
      <c r="S985" s="227">
        <f t="shared" si="344"/>
        <v>-69827.5</v>
      </c>
      <c r="T985" s="248">
        <f t="shared" si="345"/>
        <v>-0.10141975308641975</v>
      </c>
      <c r="U985" s="9">
        <f t="shared" si="373"/>
        <v>-0.57840952932098766</v>
      </c>
      <c r="V985" s="6"/>
    </row>
    <row r="986" spans="2:28" s="33" customFormat="1" ht="15" customHeight="1" x14ac:dyDescent="0.4">
      <c r="B986" s="38" t="s">
        <v>429</v>
      </c>
      <c r="C986" s="6" t="s">
        <v>160</v>
      </c>
      <c r="D986" s="6">
        <f>IF(OR($C986="신한",$C986="OTC",$C986="무상증자(신한)",$C986="토스",$C986="R토스"),1,"확인")</f>
        <v>1</v>
      </c>
      <c r="E986" s="34">
        <v>30</v>
      </c>
      <c r="F986" s="212">
        <v>17150</v>
      </c>
      <c r="G986" s="195">
        <v>44273</v>
      </c>
      <c r="H986" s="8"/>
      <c r="I986" s="212">
        <v>23500</v>
      </c>
      <c r="J986" s="8">
        <v>44367</v>
      </c>
      <c r="K986" s="23">
        <f>IF($C986="OTC",ROUNDDOWN($E986*$F986*0.000909187,-1),(IF($C986="신한",ROUNDDOWN($E986*$F986*0.000036396,-1),(IF($C986="토스",$E986*$F986*0.00015,(IF($C986="US",(IF($E986*$F986*0.0025&gt;0.01,$E986*$F986*0.0025,0.01)),IF($C986="JP",(IF($E986*$F986*0.0025&gt;1000,$E986*$F986*0.0025,1000)),(IF($C986="R토스",0,IF($C986="무상증자(신한)",0,"")))))))))))</f>
        <v>10</v>
      </c>
      <c r="L986" s="23">
        <f>IF($C986="OTC",ROUNDDOWN($I986*$E986*0.000909187,-1),(IF($C986="신한",ROUNDDOWN($I986*$E986*0.000036396,-1),(IF($C986="토스",$I986*$E986*0.00015,(IF($C986="US",(IF($I986*$E986*0.0025&gt;0.01,$I986*$E986*0.0025,0.01)),(IF($C986="JP",(IF($I986*$E986*0.0025&gt;1000,$I986*$E986*0.0025,1000)),(IF($C986="R토스",$I986*$E986*0.00015,(IF($C986="무상증자(신한)",ROUNDDOWN($I986*$E986*0.000036396,-1),"")))))))))))))</f>
        <v>20</v>
      </c>
      <c r="M986" s="206">
        <f>Q986*0.0023</f>
        <v>1621.5</v>
      </c>
      <c r="N986" s="34"/>
      <c r="O986" s="209">
        <f t="shared" ref="O986:O993" si="376">J986-G986+1</f>
        <v>95</v>
      </c>
      <c r="P986" s="34">
        <f>$E986*$F986*$D986</f>
        <v>514500</v>
      </c>
      <c r="Q986" s="34">
        <f>$E986*$I986*$D986</f>
        <v>705000</v>
      </c>
      <c r="R986" s="7">
        <f>($N986-$K986-$L986-$M986)*$D986</f>
        <v>-1651.5</v>
      </c>
      <c r="S986" s="227">
        <f t="shared" ref="S986:S1049" si="377">IF(Q986=0,0,Q986-P986+R986)</f>
        <v>188848.5</v>
      </c>
      <c r="T986" s="249">
        <f t="shared" ref="T986:T1049" si="378">S986/P986</f>
        <v>0.36705247813411079</v>
      </c>
    </row>
    <row r="987" spans="2:28" s="33" customFormat="1" ht="15" customHeight="1" x14ac:dyDescent="0.4">
      <c r="B987" s="38" t="s">
        <v>429</v>
      </c>
      <c r="C987" s="6" t="s">
        <v>160</v>
      </c>
      <c r="D987" s="6">
        <f>IF(OR($C987="신한",$C987="OTC",$C987="무상증자(신한)",$C987="토스",$C987="R토스"),1,"확인")</f>
        <v>1</v>
      </c>
      <c r="E987" s="34">
        <v>20</v>
      </c>
      <c r="F987" s="212">
        <v>16800</v>
      </c>
      <c r="G987" s="195">
        <v>44279</v>
      </c>
      <c r="H987" s="8"/>
      <c r="I987" s="212">
        <v>23500</v>
      </c>
      <c r="J987" s="8">
        <v>44367</v>
      </c>
      <c r="K987" s="23">
        <f>IF($C987="OTC",ROUNDDOWN($E987*$F987*0.000909187,-1),(IF($C987="신한",ROUNDDOWN($E987*$F987*0.000036396,-1),(IF($C987="토스",$E987*$F987*0.00015,(IF($C987="US",(IF($E987*$F987*0.0025&gt;0.01,$E987*$F987*0.0025,0.01)),IF($C987="JP",(IF($E987*$F987*0.0025&gt;1000,$E987*$F987*0.0025,1000)),(IF($C987="R토스",0,IF($C987="무상증자(신한)",0,"")))))))))))</f>
        <v>10</v>
      </c>
      <c r="L987" s="23">
        <f>IF($C987="OTC",ROUNDDOWN($I987*$E987*0.000909187,-1),(IF($C987="신한",ROUNDDOWN($I987*$E987*0.000036396,-1),(IF($C987="토스",$I987*$E987*0.00015,(IF($C987="US",(IF($I987*$E987*0.0025&gt;0.01,$I987*$E987*0.0025,0.01)),(IF($C987="JP",(IF($I987*$E987*0.0025&gt;1000,$I987*$E987*0.0025,1000)),(IF($C987="R토스",$I987*$E987*0.00015,(IF($C987="무상증자(신한)",ROUNDDOWN($I987*$E987*0.000036396,-1),"")))))))))))))</f>
        <v>10</v>
      </c>
      <c r="M987" s="206">
        <f>Q987*0.0023</f>
        <v>1081</v>
      </c>
      <c r="N987" s="34"/>
      <c r="O987" s="209">
        <f t="shared" si="376"/>
        <v>89</v>
      </c>
      <c r="P987" s="34">
        <f>$E987*$F987*$D987</f>
        <v>336000</v>
      </c>
      <c r="Q987" s="34">
        <f>$E987*$I987*$D987</f>
        <v>470000</v>
      </c>
      <c r="R987" s="7">
        <f>($N987-$K987-$L987-$M987)*$D987</f>
        <v>-1101</v>
      </c>
      <c r="S987" s="227">
        <f t="shared" si="377"/>
        <v>132899</v>
      </c>
      <c r="T987" s="249">
        <f t="shared" si="378"/>
        <v>0.39553273809523809</v>
      </c>
    </row>
    <row r="988" spans="2:28" ht="15" customHeight="1" x14ac:dyDescent="0.4">
      <c r="B988" s="38" t="s">
        <v>430</v>
      </c>
      <c r="C988" s="6" t="s">
        <v>187</v>
      </c>
      <c r="D988" s="6"/>
      <c r="E988" s="36">
        <v>20</v>
      </c>
      <c r="F988" s="212">
        <v>3620</v>
      </c>
      <c r="G988" s="195">
        <v>39764</v>
      </c>
      <c r="H988" s="8"/>
      <c r="I988" s="212">
        <v>3910</v>
      </c>
      <c r="J988" s="8">
        <v>39800</v>
      </c>
      <c r="K988" s="7">
        <v>20</v>
      </c>
      <c r="L988" s="7">
        <v>20</v>
      </c>
      <c r="M988" s="196"/>
      <c r="N988" s="36"/>
      <c r="O988" s="191">
        <f t="shared" si="376"/>
        <v>37</v>
      </c>
      <c r="P988" s="36">
        <f t="shared" ref="P988:P993" si="379">F988*E988</f>
        <v>72400</v>
      </c>
      <c r="Q988" s="36">
        <f t="shared" ref="Q988:Q993" si="380">I988*E988</f>
        <v>78200</v>
      </c>
      <c r="R988" s="7">
        <f t="shared" ref="R988:R993" si="381">N988-K988-L988-M988</f>
        <v>-40</v>
      </c>
      <c r="S988" s="227">
        <f t="shared" si="377"/>
        <v>5760</v>
      </c>
      <c r="T988" s="248">
        <f t="shared" si="378"/>
        <v>7.9558011049723751E-2</v>
      </c>
      <c r="U988" s="193">
        <f t="shared" ref="U988:U993" si="382">T988*365/O988</f>
        <v>0.78482902792295051</v>
      </c>
      <c r="V988" s="6"/>
      <c r="W988"/>
      <c r="X988"/>
      <c r="Y988"/>
      <c r="Z988"/>
      <c r="AA988"/>
      <c r="AB988"/>
    </row>
    <row r="989" spans="2:28" ht="15" customHeight="1" x14ac:dyDescent="0.4">
      <c r="B989" s="38" t="s">
        <v>430</v>
      </c>
      <c r="C989" s="6" t="s">
        <v>187</v>
      </c>
      <c r="D989" s="6"/>
      <c r="E989" s="36">
        <v>10</v>
      </c>
      <c r="F989" s="212">
        <v>4450</v>
      </c>
      <c r="G989" s="195">
        <v>39989</v>
      </c>
      <c r="H989" s="8"/>
      <c r="I989" s="212">
        <v>5000</v>
      </c>
      <c r="J989" s="8">
        <v>40015</v>
      </c>
      <c r="K989" s="7">
        <v>10</v>
      </c>
      <c r="L989" s="7">
        <v>10</v>
      </c>
      <c r="M989" s="196"/>
      <c r="N989" s="36"/>
      <c r="O989" s="191">
        <f t="shared" si="376"/>
        <v>27</v>
      </c>
      <c r="P989" s="36">
        <f t="shared" si="379"/>
        <v>44500</v>
      </c>
      <c r="Q989" s="36">
        <f t="shared" si="380"/>
        <v>50000</v>
      </c>
      <c r="R989" s="7">
        <f t="shared" si="381"/>
        <v>-20</v>
      </c>
      <c r="S989" s="227">
        <f t="shared" si="377"/>
        <v>5480</v>
      </c>
      <c r="T989" s="248">
        <f t="shared" si="378"/>
        <v>0.12314606741573034</v>
      </c>
      <c r="U989" s="193">
        <f t="shared" si="382"/>
        <v>1.6647523928422805</v>
      </c>
      <c r="V989" s="6"/>
      <c r="W989"/>
      <c r="X989"/>
      <c r="Y989"/>
      <c r="Z989"/>
      <c r="AA989"/>
      <c r="AB989"/>
    </row>
    <row r="990" spans="2:28" ht="15" customHeight="1" x14ac:dyDescent="0.4">
      <c r="B990" s="38" t="s">
        <v>431</v>
      </c>
      <c r="C990" s="6" t="s">
        <v>187</v>
      </c>
      <c r="D990" s="6"/>
      <c r="E990" s="36">
        <v>25</v>
      </c>
      <c r="F990" s="212">
        <v>8600</v>
      </c>
      <c r="G990" s="195">
        <v>40304</v>
      </c>
      <c r="H990" s="8"/>
      <c r="I990" s="212">
        <v>8100</v>
      </c>
      <c r="J990" s="8">
        <v>41437</v>
      </c>
      <c r="K990" s="7">
        <v>60</v>
      </c>
      <c r="L990" s="7">
        <v>30</v>
      </c>
      <c r="M990" s="196"/>
      <c r="N990" s="36">
        <f>625+625</f>
        <v>1250</v>
      </c>
      <c r="O990" s="191">
        <f t="shared" si="376"/>
        <v>1134</v>
      </c>
      <c r="P990" s="36">
        <f t="shared" si="379"/>
        <v>215000</v>
      </c>
      <c r="Q990" s="36">
        <f t="shared" si="380"/>
        <v>202500</v>
      </c>
      <c r="R990" s="7">
        <f t="shared" si="381"/>
        <v>1160</v>
      </c>
      <c r="S990" s="227">
        <f t="shared" si="377"/>
        <v>-11340</v>
      </c>
      <c r="T990" s="248">
        <f t="shared" si="378"/>
        <v>-5.2744186046511626E-2</v>
      </c>
      <c r="U990" s="193">
        <f t="shared" si="382"/>
        <v>-1.697674418604651E-2</v>
      </c>
      <c r="V990" s="6"/>
      <c r="W990"/>
      <c r="X990"/>
      <c r="Y990"/>
      <c r="Z990"/>
      <c r="AA990"/>
      <c r="AB990"/>
    </row>
    <row r="991" spans="2:28" ht="15" customHeight="1" x14ac:dyDescent="0.4">
      <c r="B991" s="38" t="s">
        <v>431</v>
      </c>
      <c r="C991" s="6" t="s">
        <v>187</v>
      </c>
      <c r="D991" s="6"/>
      <c r="E991" s="36">
        <v>50</v>
      </c>
      <c r="F991" s="212">
        <v>7250</v>
      </c>
      <c r="G991" s="195">
        <v>41424</v>
      </c>
      <c r="H991" s="8"/>
      <c r="I991" s="212">
        <v>8100</v>
      </c>
      <c r="J991" s="8">
        <v>41437</v>
      </c>
      <c r="K991" s="7">
        <f>ROUNDDOWN(E991*F991*0.00015,-1)</f>
        <v>50</v>
      </c>
      <c r="L991" s="7">
        <f>ROUNDDOWN(I991*E991*0.00015,-1)</f>
        <v>60</v>
      </c>
      <c r="M991" s="196">
        <f>I991*E991*0.003</f>
        <v>1215</v>
      </c>
      <c r="N991" s="36"/>
      <c r="O991" s="191">
        <f t="shared" si="376"/>
        <v>14</v>
      </c>
      <c r="P991" s="36">
        <f t="shared" si="379"/>
        <v>362500</v>
      </c>
      <c r="Q991" s="36">
        <f t="shared" si="380"/>
        <v>405000</v>
      </c>
      <c r="R991" s="7">
        <f t="shared" si="381"/>
        <v>-1325</v>
      </c>
      <c r="S991" s="227">
        <f t="shared" si="377"/>
        <v>41175</v>
      </c>
      <c r="T991" s="248">
        <f t="shared" si="378"/>
        <v>0.11358620689655173</v>
      </c>
      <c r="U991" s="193">
        <f t="shared" si="382"/>
        <v>2.9613546798029557</v>
      </c>
      <c r="V991" s="6"/>
      <c r="W991"/>
      <c r="X991"/>
      <c r="Y991"/>
      <c r="Z991"/>
      <c r="AA991"/>
      <c r="AB991"/>
    </row>
    <row r="992" spans="2:28" ht="15" customHeight="1" x14ac:dyDescent="0.4">
      <c r="B992" s="38" t="s">
        <v>431</v>
      </c>
      <c r="C992" s="6" t="s">
        <v>187</v>
      </c>
      <c r="D992" s="6"/>
      <c r="E992" s="36">
        <v>30</v>
      </c>
      <c r="F992" s="212">
        <v>7790</v>
      </c>
      <c r="G992" s="195">
        <v>41452</v>
      </c>
      <c r="H992" s="8"/>
      <c r="I992" s="212">
        <v>8780</v>
      </c>
      <c r="J992" s="8">
        <v>41464</v>
      </c>
      <c r="K992" s="7">
        <f>ROUNDDOWN(E992*F992*0.00015,-1)</f>
        <v>30</v>
      </c>
      <c r="L992" s="7">
        <f>ROUNDDOWN(I992*E992*0.00015,-1)</f>
        <v>30</v>
      </c>
      <c r="M992" s="196">
        <f>I992*E992*0.003</f>
        <v>790.2</v>
      </c>
      <c r="N992" s="36"/>
      <c r="O992" s="191">
        <f t="shared" si="376"/>
        <v>13</v>
      </c>
      <c r="P992" s="36">
        <f t="shared" si="379"/>
        <v>233700</v>
      </c>
      <c r="Q992" s="36">
        <f t="shared" si="380"/>
        <v>263400</v>
      </c>
      <c r="R992" s="7">
        <f t="shared" si="381"/>
        <v>-850.2</v>
      </c>
      <c r="S992" s="227">
        <f t="shared" si="377"/>
        <v>28849.8</v>
      </c>
      <c r="T992" s="248">
        <f t="shared" si="378"/>
        <v>0.12344801026957637</v>
      </c>
      <c r="U992" s="193">
        <f t="shared" si="382"/>
        <v>3.4660402883381058</v>
      </c>
      <c r="V992" s="6"/>
      <c r="W992"/>
      <c r="X992"/>
      <c r="Y992"/>
      <c r="Z992"/>
      <c r="AA992"/>
      <c r="AB992"/>
    </row>
    <row r="993" spans="1:28" ht="15" customHeight="1" x14ac:dyDescent="0.4">
      <c r="B993" s="198" t="s">
        <v>432</v>
      </c>
      <c r="C993" s="6" t="s">
        <v>162</v>
      </c>
      <c r="D993" s="15"/>
      <c r="E993" s="36">
        <v>180</v>
      </c>
      <c r="F993" s="212">
        <v>10400</v>
      </c>
      <c r="G993" s="195">
        <v>43818</v>
      </c>
      <c r="H993" s="8"/>
      <c r="I993" s="212">
        <v>11600</v>
      </c>
      <c r="J993" s="8">
        <v>43837</v>
      </c>
      <c r="K993" s="7">
        <f>ROUNDDOWN(E993*F993*0.0015,-1)</f>
        <v>2800</v>
      </c>
      <c r="L993" s="7">
        <f>ROUNDDOWN(I993*E993*0.0015,-1)</f>
        <v>3130</v>
      </c>
      <c r="M993" s="196">
        <f>ROUNDDOWN(I993*E993*0.0025, )</f>
        <v>5220</v>
      </c>
      <c r="N993" s="36">
        <f>18360-2820</f>
        <v>15540</v>
      </c>
      <c r="O993" s="191">
        <f t="shared" si="376"/>
        <v>20</v>
      </c>
      <c r="P993" s="36">
        <f t="shared" si="379"/>
        <v>1872000</v>
      </c>
      <c r="Q993" s="36">
        <f t="shared" si="380"/>
        <v>2088000</v>
      </c>
      <c r="R993" s="7">
        <f t="shared" si="381"/>
        <v>4390</v>
      </c>
      <c r="S993" s="227">
        <f t="shared" si="377"/>
        <v>220390</v>
      </c>
      <c r="T993" s="248">
        <f t="shared" si="378"/>
        <v>0.11772970085470086</v>
      </c>
      <c r="U993" s="193">
        <f t="shared" si="382"/>
        <v>2.1485670405982904</v>
      </c>
      <c r="V993" s="6"/>
      <c r="W993"/>
      <c r="X993"/>
      <c r="Y993"/>
      <c r="Z993"/>
      <c r="AA993"/>
      <c r="AB993"/>
    </row>
    <row r="994" spans="1:28" ht="15" customHeight="1" x14ac:dyDescent="0.4">
      <c r="B994" s="316" t="s">
        <v>433</v>
      </c>
      <c r="C994" s="270" t="s">
        <v>162</v>
      </c>
      <c r="D994" s="271">
        <v>1102.9000000000001</v>
      </c>
      <c r="E994" s="270">
        <v>33</v>
      </c>
      <c r="F994" s="67">
        <v>28</v>
      </c>
      <c r="G994" s="321">
        <v>44181</v>
      </c>
      <c r="H994" s="263"/>
      <c r="I994" s="67">
        <v>3.5</v>
      </c>
      <c r="J994" s="272">
        <v>45933</v>
      </c>
      <c r="K994" s="271">
        <f>E994*F994*0.001</f>
        <v>0.92400000000000004</v>
      </c>
      <c r="L994" s="271">
        <f>ROUNDDOWN(E994*I994*0.001, 2)</f>
        <v>0.11</v>
      </c>
      <c r="M994" s="325">
        <f>ROUNDUP((E994*I994*0.0000221),2)</f>
        <v>0.01</v>
      </c>
      <c r="N994" s="274"/>
      <c r="O994" s="330">
        <f>IF(J994="","",J994-G994+1)</f>
        <v>1753</v>
      </c>
      <c r="P994" s="34">
        <f>$E994*$F994*$D994</f>
        <v>1019079.6000000001</v>
      </c>
      <c r="Q994" s="34">
        <f>$E994*$I994*$D994</f>
        <v>127384.95000000001</v>
      </c>
      <c r="R994" s="7">
        <f>($N994-$K994-$L994-$M994)*$D994</f>
        <v>-1151.4276000000002</v>
      </c>
      <c r="S994" s="7">
        <f>IF(Q994=0,"",Q994-P994+R994)</f>
        <v>-892846.07760000019</v>
      </c>
      <c r="T994" s="248">
        <f>IF(Q994=0,"",S994/P994)</f>
        <v>-0.8761298701298702</v>
      </c>
      <c r="U994" s="334"/>
      <c r="V994" s="7"/>
      <c r="W994"/>
      <c r="X994"/>
      <c r="Y994"/>
      <c r="Z994"/>
      <c r="AA994"/>
      <c r="AB994"/>
    </row>
    <row r="995" spans="1:28" s="33" customFormat="1" ht="15" customHeight="1" x14ac:dyDescent="0.4">
      <c r="A995" s="33" t="s">
        <v>113</v>
      </c>
      <c r="B995" s="38" t="s">
        <v>138</v>
      </c>
      <c r="C995" s="6" t="s">
        <v>122</v>
      </c>
      <c r="D995" s="6">
        <f>IF(OR($C995="신한",$C995="OTC",$C995="무상증자(신한)",$C995="토스",$C995="R토스"),1,"확인")</f>
        <v>1</v>
      </c>
      <c r="E995" s="34">
        <v>150</v>
      </c>
      <c r="F995" s="212">
        <v>22850</v>
      </c>
      <c r="G995" s="195">
        <v>45813</v>
      </c>
      <c r="H995" s="33" t="s">
        <v>113</v>
      </c>
      <c r="I995" s="212">
        <v>24000</v>
      </c>
      <c r="J995" s="8">
        <v>45817</v>
      </c>
      <c r="K995" s="23">
        <f>IF($C995="OTC",ROUNDDOWN($E995*$F995*0.000909187,-1),(IF($C995="신한",ROUNDDOWN($E995*$F995*0.000036396,-1),(IF($C995="토스",$E995*$F995*0.00015,(IF($C995="US",(IF($E995*$F995*0.0025&gt;0.01,$E995*$F995*0.0025,0.01)),IF($C995="JP",(IF($E995*$F995*0.0025&gt;1000,$E995*$F995*0.0025,1000)),(IF($C995="R토스",0,IF($C995="무상증자(신한)",0,"")))))))))))</f>
        <v>514.125</v>
      </c>
      <c r="L995" s="23">
        <f>IF($C995="OTC",ROUNDDOWN($I995*$E995*0.000909187,-1),(IF($C995="신한",ROUNDDOWN($I995*$E995*0.000036396,-1),(IF($C995="토스",$I995*$E995*0.00015,(IF($C995="US",(IF($I995*$E995*0.0025&gt;0.01,$I995*$E995*0.0025,0.01)),(IF($C995="JP",(IF($I995*$E995*0.0025&gt;1000,$I995*$E995*0.0025,1000)),(IF($C995="R토스",$I995*$E995*0.00015,(IF($C995="무상증자(신한)",ROUNDDOWN($I995*$E995*0.000036396,-1),"")))))))))))))</f>
        <v>540</v>
      </c>
      <c r="M995" s="206">
        <f>E995*I995*0.0015</f>
        <v>5400</v>
      </c>
      <c r="N995" s="95"/>
      <c r="O995" s="209">
        <f t="shared" ref="O995:O1058" si="383">J995-G995+1</f>
        <v>5</v>
      </c>
      <c r="P995" s="34">
        <f>$E995*$F995*$D995</f>
        <v>3427500</v>
      </c>
      <c r="Q995" s="34">
        <f>$E995*$I995*$D995</f>
        <v>3600000</v>
      </c>
      <c r="R995" s="7">
        <f>($N995-$K995-$L995-$M995)*$D995</f>
        <v>-6454.125</v>
      </c>
      <c r="S995" s="227">
        <f t="shared" ref="S995:S1058" si="384">IF(Q995=0,0,Q995-P995+R995)</f>
        <v>166045.875</v>
      </c>
      <c r="T995" s="249">
        <f t="shared" ref="T995:T1058" si="385">S995/P995</f>
        <v>4.8445185995623634E-2</v>
      </c>
      <c r="V995" s="36">
        <f>+P995*0.05*O995/365</f>
        <v>2347.6027397260273</v>
      </c>
    </row>
    <row r="996" spans="1:28" ht="15" customHeight="1" x14ac:dyDescent="0.4">
      <c r="B996" s="198" t="s">
        <v>138</v>
      </c>
      <c r="C996" s="6" t="s">
        <v>162</v>
      </c>
      <c r="D996" s="15"/>
      <c r="E996" s="36">
        <v>100</v>
      </c>
      <c r="F996" s="212">
        <v>27000</v>
      </c>
      <c r="G996" s="195">
        <v>43665</v>
      </c>
      <c r="H996" s="8"/>
      <c r="I996" s="212">
        <v>33200</v>
      </c>
      <c r="J996" s="8">
        <v>43669</v>
      </c>
      <c r="K996" s="7">
        <f t="shared" ref="K996:K1001" si="386">ROUNDDOWN(E996*F996*0.0015,-1)</f>
        <v>4050</v>
      </c>
      <c r="L996" s="7">
        <f t="shared" ref="L996:L1001" si="387">ROUNDDOWN(I996*E996*0.0015,-1)</f>
        <v>4980</v>
      </c>
      <c r="M996" s="196">
        <f t="shared" ref="M996:M1001" si="388">ROUNDDOWN(I996*E996*0.0025, )</f>
        <v>8300</v>
      </c>
      <c r="N996" s="36"/>
      <c r="O996" s="191">
        <f t="shared" si="383"/>
        <v>5</v>
      </c>
      <c r="P996" s="36">
        <f t="shared" ref="P996:P1001" si="389">F996*E996</f>
        <v>2700000</v>
      </c>
      <c r="Q996" s="36">
        <f t="shared" ref="Q996:Q1001" si="390">I996*E996</f>
        <v>3320000</v>
      </c>
      <c r="R996" s="7">
        <f t="shared" ref="R996:R1001" si="391">N996-K996-L996-M996</f>
        <v>-17330</v>
      </c>
      <c r="S996" s="227">
        <f t="shared" si="384"/>
        <v>602670</v>
      </c>
      <c r="T996" s="248">
        <f t="shared" si="385"/>
        <v>0.22321111111111111</v>
      </c>
      <c r="U996" s="193">
        <f t="shared" ref="U996:U1001" si="392">T996*365/O996</f>
        <v>16.29441111111111</v>
      </c>
      <c r="V996" s="6"/>
      <c r="W996"/>
      <c r="X996"/>
      <c r="Y996"/>
      <c r="Z996"/>
      <c r="AA996"/>
      <c r="AB996"/>
    </row>
    <row r="997" spans="1:28" s="33" customFormat="1" ht="15" customHeight="1" x14ac:dyDescent="0.4">
      <c r="B997" s="198" t="s">
        <v>138</v>
      </c>
      <c r="C997" s="6" t="s">
        <v>162</v>
      </c>
      <c r="D997" s="15"/>
      <c r="E997" s="36">
        <v>100</v>
      </c>
      <c r="F997" s="212">
        <v>26000</v>
      </c>
      <c r="G997" s="195">
        <v>43668</v>
      </c>
      <c r="H997" s="8"/>
      <c r="I997" s="212">
        <v>33200</v>
      </c>
      <c r="J997" s="8">
        <v>43669</v>
      </c>
      <c r="K997" s="7">
        <f t="shared" si="386"/>
        <v>3900</v>
      </c>
      <c r="L997" s="7">
        <f t="shared" si="387"/>
        <v>4980</v>
      </c>
      <c r="M997" s="196">
        <f t="shared" si="388"/>
        <v>8300</v>
      </c>
      <c r="N997" s="36"/>
      <c r="O997" s="191">
        <f t="shared" si="383"/>
        <v>2</v>
      </c>
      <c r="P997" s="36">
        <f t="shared" si="389"/>
        <v>2600000</v>
      </c>
      <c r="Q997" s="36">
        <f t="shared" si="390"/>
        <v>3320000</v>
      </c>
      <c r="R997" s="7">
        <f t="shared" si="391"/>
        <v>-17180</v>
      </c>
      <c r="S997" s="227">
        <f t="shared" si="384"/>
        <v>702820</v>
      </c>
      <c r="T997" s="248">
        <f t="shared" si="385"/>
        <v>0.27031538461538462</v>
      </c>
      <c r="U997" s="9">
        <f t="shared" si="392"/>
        <v>49.332557692307695</v>
      </c>
      <c r="V997" s="6"/>
    </row>
    <row r="998" spans="1:28" s="33" customFormat="1" ht="15" customHeight="1" x14ac:dyDescent="0.4">
      <c r="B998" s="198" t="s">
        <v>138</v>
      </c>
      <c r="C998" s="6" t="s">
        <v>162</v>
      </c>
      <c r="D998" s="15"/>
      <c r="E998" s="36">
        <v>100</v>
      </c>
      <c r="F998" s="212">
        <v>26500</v>
      </c>
      <c r="G998" s="195">
        <v>43668</v>
      </c>
      <c r="H998" s="8"/>
      <c r="I998" s="212">
        <v>33200</v>
      </c>
      <c r="J998" s="8">
        <v>43669</v>
      </c>
      <c r="K998" s="7">
        <f t="shared" si="386"/>
        <v>3970</v>
      </c>
      <c r="L998" s="7">
        <f t="shared" si="387"/>
        <v>4980</v>
      </c>
      <c r="M998" s="196">
        <f t="shared" si="388"/>
        <v>8300</v>
      </c>
      <c r="N998" s="36"/>
      <c r="O998" s="191">
        <f t="shared" si="383"/>
        <v>2</v>
      </c>
      <c r="P998" s="36">
        <f t="shared" si="389"/>
        <v>2650000</v>
      </c>
      <c r="Q998" s="36">
        <f t="shared" si="390"/>
        <v>3320000</v>
      </c>
      <c r="R998" s="7">
        <f t="shared" si="391"/>
        <v>-17250</v>
      </c>
      <c r="S998" s="227">
        <f t="shared" si="384"/>
        <v>652750</v>
      </c>
      <c r="T998" s="248">
        <f t="shared" si="385"/>
        <v>0.24632075471698114</v>
      </c>
      <c r="U998" s="9">
        <f t="shared" si="392"/>
        <v>44.953537735849061</v>
      </c>
      <c r="V998" s="6"/>
    </row>
    <row r="999" spans="1:28" s="33" customFormat="1" ht="15" customHeight="1" x14ac:dyDescent="0.4">
      <c r="B999" s="198" t="s">
        <v>138</v>
      </c>
      <c r="C999" s="6" t="s">
        <v>162</v>
      </c>
      <c r="D999" s="15"/>
      <c r="E999" s="36">
        <v>100</v>
      </c>
      <c r="F999" s="212">
        <v>21700</v>
      </c>
      <c r="G999" s="195">
        <v>43697</v>
      </c>
      <c r="H999" s="8"/>
      <c r="I999" s="212">
        <v>22500</v>
      </c>
      <c r="J999" s="8">
        <v>43745</v>
      </c>
      <c r="K999" s="7">
        <f t="shared" si="386"/>
        <v>3250</v>
      </c>
      <c r="L999" s="7">
        <f t="shared" si="387"/>
        <v>3370</v>
      </c>
      <c r="M999" s="196">
        <f t="shared" si="388"/>
        <v>5625</v>
      </c>
      <c r="N999" s="36"/>
      <c r="O999" s="191">
        <f t="shared" si="383"/>
        <v>49</v>
      </c>
      <c r="P999" s="36">
        <f t="shared" si="389"/>
        <v>2170000</v>
      </c>
      <c r="Q999" s="36">
        <f t="shared" si="390"/>
        <v>2250000</v>
      </c>
      <c r="R999" s="7">
        <f t="shared" si="391"/>
        <v>-12245</v>
      </c>
      <c r="S999" s="227">
        <f t="shared" si="384"/>
        <v>67755</v>
      </c>
      <c r="T999" s="248">
        <f t="shared" si="385"/>
        <v>3.1223502304147464E-2</v>
      </c>
      <c r="U999" s="9">
        <f t="shared" si="392"/>
        <v>0.23258323144926174</v>
      </c>
      <c r="V999" s="6"/>
    </row>
    <row r="1000" spans="1:28" s="33" customFormat="1" ht="15" customHeight="1" x14ac:dyDescent="0.4">
      <c r="B1000" s="198" t="s">
        <v>138</v>
      </c>
      <c r="C1000" s="6" t="s">
        <v>162</v>
      </c>
      <c r="D1000" s="15"/>
      <c r="E1000" s="36">
        <v>25</v>
      </c>
      <c r="F1000" s="212">
        <v>18400</v>
      </c>
      <c r="G1000" s="195">
        <v>43735</v>
      </c>
      <c r="H1000" s="8"/>
      <c r="I1000" s="212">
        <v>22500</v>
      </c>
      <c r="J1000" s="8">
        <v>43745</v>
      </c>
      <c r="K1000" s="7">
        <f t="shared" si="386"/>
        <v>690</v>
      </c>
      <c r="L1000" s="7">
        <f t="shared" si="387"/>
        <v>840</v>
      </c>
      <c r="M1000" s="196">
        <f t="shared" si="388"/>
        <v>1406</v>
      </c>
      <c r="N1000" s="36"/>
      <c r="O1000" s="191">
        <f t="shared" si="383"/>
        <v>11</v>
      </c>
      <c r="P1000" s="36">
        <f t="shared" si="389"/>
        <v>460000</v>
      </c>
      <c r="Q1000" s="36">
        <f t="shared" si="390"/>
        <v>562500</v>
      </c>
      <c r="R1000" s="7">
        <f t="shared" si="391"/>
        <v>-2936</v>
      </c>
      <c r="S1000" s="227">
        <f t="shared" si="384"/>
        <v>99564</v>
      </c>
      <c r="T1000" s="248">
        <f t="shared" si="385"/>
        <v>0.21644347826086957</v>
      </c>
      <c r="U1000" s="9">
        <f t="shared" si="392"/>
        <v>7.1819881422924903</v>
      </c>
      <c r="V1000" s="6"/>
    </row>
    <row r="1001" spans="1:28" s="33" customFormat="1" ht="15" customHeight="1" x14ac:dyDescent="0.4">
      <c r="B1001" s="198" t="s">
        <v>138</v>
      </c>
      <c r="C1001" s="6" t="s">
        <v>162</v>
      </c>
      <c r="D1001" s="15"/>
      <c r="E1001" s="36">
        <v>200</v>
      </c>
      <c r="F1001" s="212">
        <v>21500</v>
      </c>
      <c r="G1001" s="195">
        <v>43780</v>
      </c>
      <c r="H1001" s="8"/>
      <c r="I1001" s="212">
        <v>14350</v>
      </c>
      <c r="J1001" s="8">
        <v>44042</v>
      </c>
      <c r="K1001" s="7">
        <f t="shared" si="386"/>
        <v>6450</v>
      </c>
      <c r="L1001" s="7">
        <f t="shared" si="387"/>
        <v>4300</v>
      </c>
      <c r="M1001" s="196">
        <f t="shared" si="388"/>
        <v>7175</v>
      </c>
      <c r="N1001" s="36"/>
      <c r="O1001" s="191">
        <f t="shared" si="383"/>
        <v>263</v>
      </c>
      <c r="P1001" s="36">
        <f t="shared" si="389"/>
        <v>4300000</v>
      </c>
      <c r="Q1001" s="36">
        <f t="shared" si="390"/>
        <v>2870000</v>
      </c>
      <c r="R1001" s="7">
        <f t="shared" si="391"/>
        <v>-17925</v>
      </c>
      <c r="S1001" s="227">
        <f t="shared" si="384"/>
        <v>-1447925</v>
      </c>
      <c r="T1001" s="248">
        <f t="shared" si="385"/>
        <v>-0.33672674418604653</v>
      </c>
      <c r="U1001" s="9">
        <f t="shared" si="392"/>
        <v>-0.46732038641789725</v>
      </c>
      <c r="V1001" s="6"/>
    </row>
    <row r="1002" spans="1:28" s="33" customFormat="1" ht="15" customHeight="1" x14ac:dyDescent="0.4">
      <c r="B1002" s="38" t="s">
        <v>138</v>
      </c>
      <c r="C1002" s="6" t="s">
        <v>160</v>
      </c>
      <c r="D1002" s="6">
        <f t="shared" ref="D1002:D1025" si="393">IF(OR($C1002="신한",$C1002="OTC",$C1002="무상증자(신한)",$C1002="토스",$C1002="R토스"),1,"확인")</f>
        <v>1</v>
      </c>
      <c r="E1002" s="34">
        <v>81</v>
      </c>
      <c r="F1002" s="212">
        <v>13450</v>
      </c>
      <c r="G1002" s="195">
        <v>44021</v>
      </c>
      <c r="H1002" s="8"/>
      <c r="I1002" s="212">
        <v>14300</v>
      </c>
      <c r="J1002" s="8">
        <v>44042</v>
      </c>
      <c r="K1002" s="23">
        <f t="shared" ref="K1002:K1025" si="394">IF($C1002="OTC",ROUNDDOWN($E1002*$F1002*0.000909187,-1),(IF($C1002="신한",ROUNDDOWN($E1002*$F1002*0.000036396,-1),(IF($C1002="토스",$E1002*$F1002*0.00015,(IF($C1002="US",(IF($E1002*$F1002*0.0025&gt;0.01,$E1002*$F1002*0.0025,0.01)),IF($C1002="JP",(IF($E1002*$F1002*0.0025&gt;1000,$E1002*$F1002*0.0025,1000)),(IF($C1002="R토스",0,IF($C1002="무상증자(신한)",0,"")))))))))))</f>
        <v>30</v>
      </c>
      <c r="L1002" s="23">
        <f t="shared" ref="L1002:L1025" si="395">IF($C1002="OTC",ROUNDDOWN($I1002*$E1002*0.000909187,-1),(IF($C1002="신한",ROUNDDOWN($I1002*$E1002*0.000036396,-1),(IF($C1002="토스",$I1002*$E1002*0.00015,(IF($C1002="US",(IF($I1002*$E1002*0.0025&gt;0.01,$I1002*$E1002*0.0025,0.01)),(IF($C1002="JP",(IF($I1002*$E1002*0.0025&gt;1000,$I1002*$E1002*0.0025,1000)),(IF($C1002="R토스",$I1002*$E1002*0.00015,(IF($C1002="무상증자(신한)",ROUNDDOWN($I1002*$E1002*0.000036396,-1),"")))))))))))))</f>
        <v>40</v>
      </c>
      <c r="M1002" s="206">
        <f>Q1002*0.0025</f>
        <v>2895.75</v>
      </c>
      <c r="N1002" s="34"/>
      <c r="O1002" s="209">
        <f t="shared" si="383"/>
        <v>22</v>
      </c>
      <c r="P1002" s="34">
        <f t="shared" ref="P1002:P1025" si="396">$E1002*$F1002*$D1002</f>
        <v>1089450</v>
      </c>
      <c r="Q1002" s="34">
        <f t="shared" ref="Q1002:Q1025" si="397">$E1002*$I1002*$D1002</f>
        <v>1158300</v>
      </c>
      <c r="R1002" s="7">
        <f t="shared" ref="R1002:R1025" si="398">($N1002-$K1002-$L1002-$M1002)*$D1002</f>
        <v>-2965.75</v>
      </c>
      <c r="S1002" s="227">
        <f t="shared" si="384"/>
        <v>65884.25</v>
      </c>
      <c r="T1002" s="248">
        <f t="shared" si="385"/>
        <v>6.0474780852723849E-2</v>
      </c>
    </row>
    <row r="1003" spans="1:28" s="33" customFormat="1" ht="15" customHeight="1" x14ac:dyDescent="0.4">
      <c r="B1003" s="38" t="s">
        <v>138</v>
      </c>
      <c r="C1003" s="6" t="s">
        <v>160</v>
      </c>
      <c r="D1003" s="6">
        <f t="shared" si="393"/>
        <v>1</v>
      </c>
      <c r="E1003" s="34">
        <v>100</v>
      </c>
      <c r="F1003" s="212">
        <v>12600</v>
      </c>
      <c r="G1003" s="195">
        <v>44183</v>
      </c>
      <c r="H1003" s="8"/>
      <c r="I1003" s="212">
        <v>12900</v>
      </c>
      <c r="J1003" s="8">
        <v>44202</v>
      </c>
      <c r="K1003" s="23">
        <f t="shared" si="394"/>
        <v>40</v>
      </c>
      <c r="L1003" s="23">
        <f t="shared" si="395"/>
        <v>40</v>
      </c>
      <c r="M1003" s="206">
        <f>Q1003*0.0023</f>
        <v>2967</v>
      </c>
      <c r="N1003" s="34"/>
      <c r="O1003" s="209">
        <f t="shared" si="383"/>
        <v>20</v>
      </c>
      <c r="P1003" s="34">
        <f t="shared" si="396"/>
        <v>1260000</v>
      </c>
      <c r="Q1003" s="34">
        <f t="shared" si="397"/>
        <v>1290000</v>
      </c>
      <c r="R1003" s="7">
        <f t="shared" si="398"/>
        <v>-3047</v>
      </c>
      <c r="S1003" s="227">
        <f t="shared" si="384"/>
        <v>26953</v>
      </c>
      <c r="T1003" s="249">
        <f t="shared" si="385"/>
        <v>2.1391269841269843E-2</v>
      </c>
    </row>
    <row r="1004" spans="1:28" s="33" customFormat="1" ht="15" customHeight="1" x14ac:dyDescent="0.4">
      <c r="B1004" s="38" t="s">
        <v>138</v>
      </c>
      <c r="C1004" s="6" t="s">
        <v>160</v>
      </c>
      <c r="D1004" s="6">
        <f t="shared" si="393"/>
        <v>1</v>
      </c>
      <c r="E1004" s="34">
        <v>50</v>
      </c>
      <c r="F1004" s="212">
        <v>12400</v>
      </c>
      <c r="G1004" s="195">
        <v>44187</v>
      </c>
      <c r="H1004" s="8"/>
      <c r="I1004" s="212">
        <v>12900</v>
      </c>
      <c r="J1004" s="8">
        <v>44202</v>
      </c>
      <c r="K1004" s="23">
        <f t="shared" si="394"/>
        <v>20</v>
      </c>
      <c r="L1004" s="23">
        <f t="shared" si="395"/>
        <v>20</v>
      </c>
      <c r="M1004" s="206">
        <f>Q1004*0.0023</f>
        <v>1483.5</v>
      </c>
      <c r="N1004" s="34"/>
      <c r="O1004" s="209">
        <f t="shared" si="383"/>
        <v>16</v>
      </c>
      <c r="P1004" s="34">
        <f t="shared" si="396"/>
        <v>620000</v>
      </c>
      <c r="Q1004" s="34">
        <f t="shared" si="397"/>
        <v>645000</v>
      </c>
      <c r="R1004" s="7">
        <f t="shared" si="398"/>
        <v>-1523.5</v>
      </c>
      <c r="S1004" s="227">
        <f t="shared" si="384"/>
        <v>23476.5</v>
      </c>
      <c r="T1004" s="249">
        <f t="shared" si="385"/>
        <v>3.7865322580645164E-2</v>
      </c>
    </row>
    <row r="1005" spans="1:28" s="33" customFormat="1" ht="15" customHeight="1" x14ac:dyDescent="0.4">
      <c r="B1005" s="38" t="s">
        <v>434</v>
      </c>
      <c r="C1005" s="6" t="s">
        <v>160</v>
      </c>
      <c r="D1005" s="6">
        <f t="shared" si="393"/>
        <v>1</v>
      </c>
      <c r="E1005" s="34">
        <v>300</v>
      </c>
      <c r="F1005" s="212">
        <v>4580</v>
      </c>
      <c r="G1005" s="195">
        <v>44193</v>
      </c>
      <c r="H1005" s="8"/>
      <c r="I1005" s="212">
        <v>5420</v>
      </c>
      <c r="J1005" s="8">
        <v>44217</v>
      </c>
      <c r="K1005" s="23">
        <f t="shared" si="394"/>
        <v>50</v>
      </c>
      <c r="L1005" s="23">
        <f t="shared" si="395"/>
        <v>50</v>
      </c>
      <c r="M1005" s="206">
        <f>Q1005*0.0023</f>
        <v>3739.7999999999997</v>
      </c>
      <c r="N1005" s="34">
        <f>75*E1005*(1-0.154)</f>
        <v>19035</v>
      </c>
      <c r="O1005" s="209">
        <f t="shared" si="383"/>
        <v>25</v>
      </c>
      <c r="P1005" s="34">
        <f t="shared" si="396"/>
        <v>1374000</v>
      </c>
      <c r="Q1005" s="34">
        <f t="shared" si="397"/>
        <v>1626000</v>
      </c>
      <c r="R1005" s="7">
        <f t="shared" si="398"/>
        <v>15195.2</v>
      </c>
      <c r="S1005" s="227">
        <f t="shared" si="384"/>
        <v>267195.2</v>
      </c>
      <c r="T1005" s="249">
        <f t="shared" si="385"/>
        <v>0.19446521106259099</v>
      </c>
    </row>
    <row r="1006" spans="1:28" s="33" customFormat="1" ht="15" customHeight="1" x14ac:dyDescent="0.4">
      <c r="B1006" s="38" t="s">
        <v>435</v>
      </c>
      <c r="C1006" s="6" t="s">
        <v>160</v>
      </c>
      <c r="D1006" s="6">
        <f t="shared" si="393"/>
        <v>1</v>
      </c>
      <c r="E1006" s="34">
        <v>52</v>
      </c>
      <c r="F1006" s="212">
        <v>61565</v>
      </c>
      <c r="G1006" s="195">
        <v>45630</v>
      </c>
      <c r="H1006" s="8"/>
      <c r="I1006" s="212">
        <v>62500</v>
      </c>
      <c r="J1006" s="8">
        <v>45712</v>
      </c>
      <c r="K1006" s="23">
        <f t="shared" si="394"/>
        <v>110</v>
      </c>
      <c r="L1006" s="23">
        <f t="shared" si="395"/>
        <v>110</v>
      </c>
      <c r="M1006" s="206">
        <f t="shared" ref="M1006:M1025" si="399">Q1006*0.0015</f>
        <v>4875</v>
      </c>
      <c r="N1006" s="34"/>
      <c r="O1006" s="209">
        <f t="shared" si="383"/>
        <v>83</v>
      </c>
      <c r="P1006" s="34">
        <f t="shared" si="396"/>
        <v>3201380</v>
      </c>
      <c r="Q1006" s="34">
        <f t="shared" si="397"/>
        <v>3250000</v>
      </c>
      <c r="R1006" s="7">
        <f t="shared" si="398"/>
        <v>-5095</v>
      </c>
      <c r="S1006" s="227">
        <f t="shared" si="384"/>
        <v>43525</v>
      </c>
      <c r="T1006" s="249">
        <f t="shared" si="385"/>
        <v>1.3595699354653306E-2</v>
      </c>
    </row>
    <row r="1007" spans="1:28" s="33" customFormat="1" ht="15" customHeight="1" x14ac:dyDescent="0.4">
      <c r="B1007" s="38" t="s">
        <v>435</v>
      </c>
      <c r="C1007" s="6" t="s">
        <v>160</v>
      </c>
      <c r="D1007" s="6">
        <f t="shared" si="393"/>
        <v>1</v>
      </c>
      <c r="E1007" s="34">
        <v>14</v>
      </c>
      <c r="F1007" s="212">
        <v>59329</v>
      </c>
      <c r="G1007" s="195">
        <v>45631</v>
      </c>
      <c r="H1007" s="8"/>
      <c r="I1007" s="212">
        <v>62500</v>
      </c>
      <c r="J1007" s="8">
        <v>45712</v>
      </c>
      <c r="K1007" s="23">
        <f t="shared" si="394"/>
        <v>30</v>
      </c>
      <c r="L1007" s="23">
        <f t="shared" si="395"/>
        <v>30</v>
      </c>
      <c r="M1007" s="206">
        <f t="shared" si="399"/>
        <v>1312.5</v>
      </c>
      <c r="N1007" s="34"/>
      <c r="O1007" s="209">
        <f t="shared" si="383"/>
        <v>82</v>
      </c>
      <c r="P1007" s="34">
        <f t="shared" si="396"/>
        <v>830606</v>
      </c>
      <c r="Q1007" s="34">
        <f t="shared" si="397"/>
        <v>875000</v>
      </c>
      <c r="R1007" s="7">
        <f t="shared" si="398"/>
        <v>-1372.5</v>
      </c>
      <c r="S1007" s="227">
        <f t="shared" si="384"/>
        <v>43021.5</v>
      </c>
      <c r="T1007" s="249">
        <f t="shared" si="385"/>
        <v>5.1795315709253241E-2</v>
      </c>
    </row>
    <row r="1008" spans="1:28" s="33" customFormat="1" ht="15" customHeight="1" x14ac:dyDescent="0.4">
      <c r="B1008" s="38" t="s">
        <v>435</v>
      </c>
      <c r="C1008" s="6" t="s">
        <v>160</v>
      </c>
      <c r="D1008" s="6">
        <f t="shared" si="393"/>
        <v>1</v>
      </c>
      <c r="E1008" s="34">
        <v>5</v>
      </c>
      <c r="F1008" s="212">
        <v>58500</v>
      </c>
      <c r="G1008" s="195">
        <v>45635</v>
      </c>
      <c r="H1008" s="8"/>
      <c r="I1008" s="212">
        <v>62500</v>
      </c>
      <c r="J1008" s="8">
        <v>45712</v>
      </c>
      <c r="K1008" s="23">
        <f t="shared" si="394"/>
        <v>10</v>
      </c>
      <c r="L1008" s="23">
        <f t="shared" si="395"/>
        <v>10</v>
      </c>
      <c r="M1008" s="206">
        <f t="shared" si="399"/>
        <v>468.75</v>
      </c>
      <c r="N1008" s="34"/>
      <c r="O1008" s="209">
        <f t="shared" si="383"/>
        <v>78</v>
      </c>
      <c r="P1008" s="34">
        <f t="shared" si="396"/>
        <v>292500</v>
      </c>
      <c r="Q1008" s="34">
        <f t="shared" si="397"/>
        <v>312500</v>
      </c>
      <c r="R1008" s="7">
        <f t="shared" si="398"/>
        <v>-488.75</v>
      </c>
      <c r="S1008" s="227">
        <f t="shared" si="384"/>
        <v>19511.25</v>
      </c>
      <c r="T1008" s="249">
        <f t="shared" si="385"/>
        <v>6.6705128205128209E-2</v>
      </c>
    </row>
    <row r="1009" spans="2:22" s="33" customFormat="1" ht="15" customHeight="1" x14ac:dyDescent="0.4">
      <c r="B1009" s="38" t="s">
        <v>435</v>
      </c>
      <c r="C1009" s="6" t="s">
        <v>160</v>
      </c>
      <c r="D1009" s="6">
        <f t="shared" si="393"/>
        <v>1</v>
      </c>
      <c r="E1009" s="34">
        <v>6</v>
      </c>
      <c r="F1009" s="212">
        <v>58050</v>
      </c>
      <c r="G1009" s="195">
        <v>45643</v>
      </c>
      <c r="H1009" s="8"/>
      <c r="I1009" s="212">
        <v>62500</v>
      </c>
      <c r="J1009" s="8">
        <v>45712</v>
      </c>
      <c r="K1009" s="23">
        <f t="shared" si="394"/>
        <v>10</v>
      </c>
      <c r="L1009" s="23">
        <f t="shared" si="395"/>
        <v>10</v>
      </c>
      <c r="M1009" s="206">
        <f t="shared" si="399"/>
        <v>562.5</v>
      </c>
      <c r="N1009" s="34"/>
      <c r="O1009" s="209">
        <f t="shared" si="383"/>
        <v>70</v>
      </c>
      <c r="P1009" s="34">
        <f t="shared" si="396"/>
        <v>348300</v>
      </c>
      <c r="Q1009" s="34">
        <f t="shared" si="397"/>
        <v>375000</v>
      </c>
      <c r="R1009" s="7">
        <f t="shared" si="398"/>
        <v>-582.5</v>
      </c>
      <c r="S1009" s="227">
        <f t="shared" si="384"/>
        <v>26117.5</v>
      </c>
      <c r="T1009" s="249">
        <f t="shared" si="385"/>
        <v>7.4985644559287967E-2</v>
      </c>
    </row>
    <row r="1010" spans="2:22" s="33" customFormat="1" ht="15" customHeight="1" x14ac:dyDescent="0.4">
      <c r="B1010" s="38" t="s">
        <v>435</v>
      </c>
      <c r="C1010" s="6" t="s">
        <v>160</v>
      </c>
      <c r="D1010" s="6">
        <f t="shared" si="393"/>
        <v>1</v>
      </c>
      <c r="E1010" s="34">
        <v>6</v>
      </c>
      <c r="F1010" s="212">
        <v>56750</v>
      </c>
      <c r="G1010" s="195">
        <v>45646</v>
      </c>
      <c r="H1010" s="8"/>
      <c r="I1010" s="212">
        <v>62500</v>
      </c>
      <c r="J1010" s="8">
        <v>45712</v>
      </c>
      <c r="K1010" s="23">
        <f t="shared" si="394"/>
        <v>10</v>
      </c>
      <c r="L1010" s="23">
        <f t="shared" si="395"/>
        <v>10</v>
      </c>
      <c r="M1010" s="206">
        <f t="shared" si="399"/>
        <v>562.5</v>
      </c>
      <c r="N1010" s="34"/>
      <c r="O1010" s="209">
        <f t="shared" si="383"/>
        <v>67</v>
      </c>
      <c r="P1010" s="34">
        <f t="shared" si="396"/>
        <v>340500</v>
      </c>
      <c r="Q1010" s="34">
        <f t="shared" si="397"/>
        <v>375000</v>
      </c>
      <c r="R1010" s="7">
        <f t="shared" si="398"/>
        <v>-582.5</v>
      </c>
      <c r="S1010" s="227">
        <f t="shared" si="384"/>
        <v>33917.5</v>
      </c>
      <c r="T1010" s="249">
        <f t="shared" si="385"/>
        <v>9.9610866372980916E-2</v>
      </c>
    </row>
    <row r="1011" spans="2:22" s="33" customFormat="1" ht="15" customHeight="1" x14ac:dyDescent="0.4">
      <c r="B1011" s="38" t="s">
        <v>435</v>
      </c>
      <c r="C1011" s="6" t="s">
        <v>160</v>
      </c>
      <c r="D1011" s="6">
        <f t="shared" si="393"/>
        <v>1</v>
      </c>
      <c r="E1011" s="34">
        <v>2</v>
      </c>
      <c r="F1011" s="212">
        <v>58000</v>
      </c>
      <c r="G1011" s="195">
        <v>45652</v>
      </c>
      <c r="H1011" s="8"/>
      <c r="I1011" s="212">
        <v>62500</v>
      </c>
      <c r="J1011" s="8">
        <v>45712</v>
      </c>
      <c r="K1011" s="23">
        <f t="shared" si="394"/>
        <v>0</v>
      </c>
      <c r="L1011" s="23">
        <f t="shared" si="395"/>
        <v>0</v>
      </c>
      <c r="M1011" s="206">
        <f t="shared" si="399"/>
        <v>187.5</v>
      </c>
      <c r="N1011" s="34"/>
      <c r="O1011" s="209">
        <f t="shared" si="383"/>
        <v>61</v>
      </c>
      <c r="P1011" s="34">
        <f t="shared" si="396"/>
        <v>116000</v>
      </c>
      <c r="Q1011" s="34">
        <f t="shared" si="397"/>
        <v>125000</v>
      </c>
      <c r="R1011" s="7">
        <f t="shared" si="398"/>
        <v>-187.5</v>
      </c>
      <c r="S1011" s="227">
        <f t="shared" si="384"/>
        <v>8812.5</v>
      </c>
      <c r="T1011" s="249">
        <f t="shared" si="385"/>
        <v>7.5969827586206892E-2</v>
      </c>
    </row>
    <row r="1012" spans="2:22" s="33" customFormat="1" ht="15" customHeight="1" x14ac:dyDescent="0.4">
      <c r="B1012" s="38" t="s">
        <v>435</v>
      </c>
      <c r="C1012" s="6" t="s">
        <v>160</v>
      </c>
      <c r="D1012" s="6">
        <f t="shared" si="393"/>
        <v>1</v>
      </c>
      <c r="E1012" s="34">
        <v>3</v>
      </c>
      <c r="F1012" s="212">
        <v>57400</v>
      </c>
      <c r="G1012" s="195">
        <v>45653</v>
      </c>
      <c r="H1012" s="8"/>
      <c r="I1012" s="212">
        <v>62500</v>
      </c>
      <c r="J1012" s="8">
        <v>45712</v>
      </c>
      <c r="K1012" s="23">
        <f t="shared" si="394"/>
        <v>0</v>
      </c>
      <c r="L1012" s="23">
        <f t="shared" si="395"/>
        <v>0</v>
      </c>
      <c r="M1012" s="206">
        <f t="shared" si="399"/>
        <v>281.25</v>
      </c>
      <c r="N1012" s="34"/>
      <c r="O1012" s="209">
        <f t="shared" si="383"/>
        <v>60</v>
      </c>
      <c r="P1012" s="34">
        <f t="shared" si="396"/>
        <v>172200</v>
      </c>
      <c r="Q1012" s="34">
        <f t="shared" si="397"/>
        <v>187500</v>
      </c>
      <c r="R1012" s="7">
        <f t="shared" si="398"/>
        <v>-281.25</v>
      </c>
      <c r="S1012" s="227">
        <f t="shared" si="384"/>
        <v>15018.75</v>
      </c>
      <c r="T1012" s="249">
        <f t="shared" si="385"/>
        <v>8.7216898954703831E-2</v>
      </c>
    </row>
    <row r="1013" spans="2:22" s="33" customFormat="1" ht="15" customHeight="1" x14ac:dyDescent="0.4">
      <c r="B1013" s="38" t="s">
        <v>435</v>
      </c>
      <c r="C1013" s="6" t="s">
        <v>160</v>
      </c>
      <c r="D1013" s="6">
        <f t="shared" si="393"/>
        <v>1</v>
      </c>
      <c r="E1013" s="34">
        <v>3</v>
      </c>
      <c r="F1013" s="212">
        <v>57500</v>
      </c>
      <c r="G1013" s="195">
        <v>45656</v>
      </c>
      <c r="H1013" s="8"/>
      <c r="I1013" s="212">
        <v>62500</v>
      </c>
      <c r="J1013" s="8">
        <v>45712</v>
      </c>
      <c r="K1013" s="23">
        <f t="shared" si="394"/>
        <v>0</v>
      </c>
      <c r="L1013" s="23">
        <f t="shared" si="395"/>
        <v>0</v>
      </c>
      <c r="M1013" s="206">
        <f t="shared" si="399"/>
        <v>281.25</v>
      </c>
      <c r="N1013" s="34"/>
      <c r="O1013" s="209">
        <f t="shared" si="383"/>
        <v>57</v>
      </c>
      <c r="P1013" s="34">
        <f t="shared" si="396"/>
        <v>172500</v>
      </c>
      <c r="Q1013" s="34">
        <f t="shared" si="397"/>
        <v>187500</v>
      </c>
      <c r="R1013" s="7">
        <f t="shared" si="398"/>
        <v>-281.25</v>
      </c>
      <c r="S1013" s="227">
        <f t="shared" si="384"/>
        <v>14718.75</v>
      </c>
      <c r="T1013" s="249">
        <f t="shared" si="385"/>
        <v>8.5326086956521732E-2</v>
      </c>
    </row>
    <row r="1014" spans="2:22" s="33" customFormat="1" ht="15" customHeight="1" x14ac:dyDescent="0.4">
      <c r="B1014" s="38" t="s">
        <v>435</v>
      </c>
      <c r="C1014" s="6" t="s">
        <v>160</v>
      </c>
      <c r="D1014" s="6">
        <f t="shared" si="393"/>
        <v>1</v>
      </c>
      <c r="E1014" s="34">
        <v>2</v>
      </c>
      <c r="F1014" s="212">
        <v>56800</v>
      </c>
      <c r="G1014" s="195">
        <v>45656</v>
      </c>
      <c r="H1014" s="8"/>
      <c r="I1014" s="212">
        <v>62500</v>
      </c>
      <c r="J1014" s="8">
        <v>45712</v>
      </c>
      <c r="K1014" s="23">
        <f t="shared" si="394"/>
        <v>0</v>
      </c>
      <c r="L1014" s="23">
        <f t="shared" si="395"/>
        <v>0</v>
      </c>
      <c r="M1014" s="206">
        <f t="shared" si="399"/>
        <v>187.5</v>
      </c>
      <c r="N1014" s="34"/>
      <c r="O1014" s="209">
        <f t="shared" si="383"/>
        <v>57</v>
      </c>
      <c r="P1014" s="34">
        <f t="shared" si="396"/>
        <v>113600</v>
      </c>
      <c r="Q1014" s="34">
        <f t="shared" si="397"/>
        <v>125000</v>
      </c>
      <c r="R1014" s="7">
        <f t="shared" si="398"/>
        <v>-187.5</v>
      </c>
      <c r="S1014" s="227">
        <f t="shared" si="384"/>
        <v>11212.5</v>
      </c>
      <c r="T1014" s="249">
        <f t="shared" si="385"/>
        <v>9.870158450704225E-2</v>
      </c>
    </row>
    <row r="1015" spans="2:22" s="33" customFormat="1" ht="15" customHeight="1" x14ac:dyDescent="0.4">
      <c r="B1015" s="38" t="s">
        <v>435</v>
      </c>
      <c r="C1015" s="6" t="s">
        <v>160</v>
      </c>
      <c r="D1015" s="6">
        <f t="shared" si="393"/>
        <v>1</v>
      </c>
      <c r="E1015" s="34">
        <v>15</v>
      </c>
      <c r="F1015" s="212">
        <v>60400</v>
      </c>
      <c r="G1015" s="195">
        <v>45699</v>
      </c>
      <c r="H1015" s="8"/>
      <c r="I1015" s="212">
        <v>62500</v>
      </c>
      <c r="J1015" s="8">
        <v>45712</v>
      </c>
      <c r="K1015" s="23">
        <f t="shared" si="394"/>
        <v>30</v>
      </c>
      <c r="L1015" s="23">
        <f t="shared" si="395"/>
        <v>30</v>
      </c>
      <c r="M1015" s="206">
        <f t="shared" si="399"/>
        <v>1406.25</v>
      </c>
      <c r="N1015" s="34"/>
      <c r="O1015" s="209">
        <f t="shared" si="383"/>
        <v>14</v>
      </c>
      <c r="P1015" s="34">
        <f t="shared" si="396"/>
        <v>906000</v>
      </c>
      <c r="Q1015" s="34">
        <f t="shared" si="397"/>
        <v>937500</v>
      </c>
      <c r="R1015" s="7">
        <f t="shared" si="398"/>
        <v>-1466.25</v>
      </c>
      <c r="S1015" s="227">
        <f t="shared" si="384"/>
        <v>30033.75</v>
      </c>
      <c r="T1015" s="249">
        <f t="shared" si="385"/>
        <v>3.3149834437086093E-2</v>
      </c>
    </row>
    <row r="1016" spans="2:22" ht="15" customHeight="1" x14ac:dyDescent="0.4">
      <c r="B1016" s="38" t="s">
        <v>435</v>
      </c>
      <c r="C1016" s="6" t="s">
        <v>160</v>
      </c>
      <c r="D1016" s="6">
        <f t="shared" si="393"/>
        <v>1</v>
      </c>
      <c r="E1016" s="34">
        <v>2</v>
      </c>
      <c r="F1016" s="212">
        <v>60800</v>
      </c>
      <c r="G1016" s="195">
        <v>45701</v>
      </c>
      <c r="H1016" s="8"/>
      <c r="I1016" s="212">
        <v>62500</v>
      </c>
      <c r="J1016" s="8">
        <v>45712</v>
      </c>
      <c r="K1016" s="23">
        <f t="shared" si="394"/>
        <v>0</v>
      </c>
      <c r="L1016" s="23">
        <f t="shared" si="395"/>
        <v>0</v>
      </c>
      <c r="M1016" s="206">
        <f t="shared" si="399"/>
        <v>187.5</v>
      </c>
      <c r="N1016" s="34"/>
      <c r="O1016" s="209">
        <f t="shared" si="383"/>
        <v>12</v>
      </c>
      <c r="P1016" s="34">
        <f t="shared" si="396"/>
        <v>121600</v>
      </c>
      <c r="Q1016" s="34">
        <f t="shared" si="397"/>
        <v>125000</v>
      </c>
      <c r="R1016" s="7">
        <f t="shared" si="398"/>
        <v>-187.5</v>
      </c>
      <c r="S1016" s="227">
        <f t="shared" si="384"/>
        <v>3212.5</v>
      </c>
      <c r="T1016" s="249">
        <f t="shared" si="385"/>
        <v>2.6418585526315791E-2</v>
      </c>
      <c r="U1016" s="38"/>
      <c r="V1016" s="33"/>
    </row>
    <row r="1017" spans="2:22" ht="15" customHeight="1" x14ac:dyDescent="0.4">
      <c r="B1017" s="38" t="s">
        <v>435</v>
      </c>
      <c r="C1017" s="6" t="s">
        <v>160</v>
      </c>
      <c r="D1017" s="6">
        <f t="shared" si="393"/>
        <v>1</v>
      </c>
      <c r="E1017" s="34">
        <v>20</v>
      </c>
      <c r="F1017" s="212">
        <v>62100</v>
      </c>
      <c r="G1017" s="195">
        <v>45713</v>
      </c>
      <c r="H1017" s="8"/>
      <c r="I1017" s="212">
        <v>67100</v>
      </c>
      <c r="J1017" s="8">
        <v>45796</v>
      </c>
      <c r="K1017" s="23">
        <f t="shared" si="394"/>
        <v>40</v>
      </c>
      <c r="L1017" s="23">
        <f t="shared" si="395"/>
        <v>40</v>
      </c>
      <c r="M1017" s="206">
        <f t="shared" si="399"/>
        <v>2013</v>
      </c>
      <c r="N1017" s="34">
        <f>ROUNDUP(E1017*1800*(1-0.154),-1)+ROUNDUP(E1017*906*(1-0.154),-1)</f>
        <v>45790</v>
      </c>
      <c r="O1017" s="209">
        <f t="shared" si="383"/>
        <v>84</v>
      </c>
      <c r="P1017" s="34">
        <f t="shared" si="396"/>
        <v>1242000</v>
      </c>
      <c r="Q1017" s="34">
        <f t="shared" si="397"/>
        <v>1342000</v>
      </c>
      <c r="R1017" s="7">
        <f t="shared" si="398"/>
        <v>43697</v>
      </c>
      <c r="S1017" s="227">
        <f t="shared" si="384"/>
        <v>143697</v>
      </c>
      <c r="T1017" s="249">
        <f t="shared" si="385"/>
        <v>0.11569806763285025</v>
      </c>
      <c r="U1017" s="38"/>
      <c r="V1017" s="33"/>
    </row>
    <row r="1018" spans="2:22" ht="15" customHeight="1" x14ac:dyDescent="0.4">
      <c r="B1018" s="38" t="s">
        <v>435</v>
      </c>
      <c r="C1018" s="6" t="s">
        <v>160</v>
      </c>
      <c r="D1018" s="6">
        <f t="shared" si="393"/>
        <v>1</v>
      </c>
      <c r="E1018" s="34">
        <v>60</v>
      </c>
      <c r="F1018" s="212">
        <v>62500</v>
      </c>
      <c r="G1018" s="195">
        <v>45713</v>
      </c>
      <c r="H1018" s="8"/>
      <c r="I1018" s="212">
        <v>67100</v>
      </c>
      <c r="J1018" s="8">
        <v>45796</v>
      </c>
      <c r="K1018" s="23">
        <f t="shared" si="394"/>
        <v>130</v>
      </c>
      <c r="L1018" s="23">
        <f t="shared" si="395"/>
        <v>140</v>
      </c>
      <c r="M1018" s="206">
        <f t="shared" si="399"/>
        <v>6039</v>
      </c>
      <c r="N1018" s="34">
        <f>ROUNDUP(E1018*1800*(1-0.154),-1)+ROUNDUP(E1018*906*(1-0.154),-1)</f>
        <v>137360</v>
      </c>
      <c r="O1018" s="209">
        <f t="shared" si="383"/>
        <v>84</v>
      </c>
      <c r="P1018" s="34">
        <f t="shared" si="396"/>
        <v>3750000</v>
      </c>
      <c r="Q1018" s="34">
        <f t="shared" si="397"/>
        <v>4026000</v>
      </c>
      <c r="R1018" s="7">
        <f t="shared" si="398"/>
        <v>131051</v>
      </c>
      <c r="S1018" s="227">
        <f t="shared" si="384"/>
        <v>407051</v>
      </c>
      <c r="T1018" s="249">
        <f t="shared" si="385"/>
        <v>0.10854693333333333</v>
      </c>
      <c r="U1018" s="38"/>
      <c r="V1018" s="33"/>
    </row>
    <row r="1019" spans="2:22" ht="15" customHeight="1" x14ac:dyDescent="0.4">
      <c r="B1019" s="38" t="s">
        <v>435</v>
      </c>
      <c r="C1019" s="6" t="s">
        <v>160</v>
      </c>
      <c r="D1019" s="6">
        <f t="shared" si="393"/>
        <v>1</v>
      </c>
      <c r="E1019" s="34">
        <v>6</v>
      </c>
      <c r="F1019" s="212">
        <v>60350</v>
      </c>
      <c r="G1019" s="195">
        <v>45716</v>
      </c>
      <c r="H1019" s="8"/>
      <c r="I1019" s="212">
        <v>67100</v>
      </c>
      <c r="J1019" s="8">
        <v>45796</v>
      </c>
      <c r="K1019" s="23">
        <f t="shared" si="394"/>
        <v>10</v>
      </c>
      <c r="L1019" s="23">
        <f t="shared" si="395"/>
        <v>10</v>
      </c>
      <c r="M1019" s="206">
        <f t="shared" si="399"/>
        <v>603.9</v>
      </c>
      <c r="N1019" s="34">
        <f t="shared" ref="N1019:N1025" si="400">ROUNDUP(E1019*906*(1-0.154),-1)</f>
        <v>4600</v>
      </c>
      <c r="O1019" s="209">
        <f t="shared" si="383"/>
        <v>81</v>
      </c>
      <c r="P1019" s="34">
        <f t="shared" si="396"/>
        <v>362100</v>
      </c>
      <c r="Q1019" s="34">
        <f t="shared" si="397"/>
        <v>402600</v>
      </c>
      <c r="R1019" s="7">
        <f t="shared" si="398"/>
        <v>3976.1</v>
      </c>
      <c r="S1019" s="227">
        <f t="shared" si="384"/>
        <v>44476.1</v>
      </c>
      <c r="T1019" s="249">
        <f t="shared" si="385"/>
        <v>0.12282822424744545</v>
      </c>
      <c r="U1019" s="38"/>
      <c r="V1019" s="33"/>
    </row>
    <row r="1020" spans="2:22" ht="15" customHeight="1" x14ac:dyDescent="0.4">
      <c r="B1020" s="38" t="s">
        <v>435</v>
      </c>
      <c r="C1020" s="6" t="s">
        <v>160</v>
      </c>
      <c r="D1020" s="6">
        <f t="shared" si="393"/>
        <v>1</v>
      </c>
      <c r="E1020" s="34">
        <v>2</v>
      </c>
      <c r="F1020" s="212">
        <v>58000</v>
      </c>
      <c r="G1020" s="195">
        <v>45723</v>
      </c>
      <c r="H1020" s="8"/>
      <c r="I1020" s="212">
        <v>67100</v>
      </c>
      <c r="J1020" s="8">
        <v>45796</v>
      </c>
      <c r="K1020" s="23">
        <f t="shared" si="394"/>
        <v>0</v>
      </c>
      <c r="L1020" s="23">
        <f t="shared" si="395"/>
        <v>0</v>
      </c>
      <c r="M1020" s="206">
        <f t="shared" si="399"/>
        <v>201.3</v>
      </c>
      <c r="N1020" s="34">
        <f t="shared" si="400"/>
        <v>1540</v>
      </c>
      <c r="O1020" s="209">
        <f t="shared" si="383"/>
        <v>74</v>
      </c>
      <c r="P1020" s="34">
        <f t="shared" si="396"/>
        <v>116000</v>
      </c>
      <c r="Q1020" s="34">
        <f t="shared" si="397"/>
        <v>134200</v>
      </c>
      <c r="R1020" s="7">
        <f t="shared" si="398"/>
        <v>1338.7</v>
      </c>
      <c r="S1020" s="227">
        <f t="shared" si="384"/>
        <v>19538.7</v>
      </c>
      <c r="T1020" s="249">
        <f t="shared" si="385"/>
        <v>0.16843706896551724</v>
      </c>
      <c r="U1020" s="38"/>
      <c r="V1020" s="33"/>
    </row>
    <row r="1021" spans="2:22" ht="15" customHeight="1" x14ac:dyDescent="0.4">
      <c r="B1021" s="38" t="s">
        <v>435</v>
      </c>
      <c r="C1021" s="6" t="s">
        <v>160</v>
      </c>
      <c r="D1021" s="6">
        <f t="shared" si="393"/>
        <v>1</v>
      </c>
      <c r="E1021" s="34">
        <v>2</v>
      </c>
      <c r="F1021" s="212">
        <v>61900</v>
      </c>
      <c r="G1021" s="195">
        <v>45742</v>
      </c>
      <c r="H1021" s="8"/>
      <c r="I1021" s="212">
        <v>67100</v>
      </c>
      <c r="J1021" s="8">
        <v>45796</v>
      </c>
      <c r="K1021" s="23">
        <f t="shared" si="394"/>
        <v>0</v>
      </c>
      <c r="L1021" s="23">
        <f t="shared" si="395"/>
        <v>0</v>
      </c>
      <c r="M1021" s="206">
        <f t="shared" si="399"/>
        <v>201.3</v>
      </c>
      <c r="N1021" s="34">
        <f t="shared" si="400"/>
        <v>1540</v>
      </c>
      <c r="O1021" s="209">
        <f t="shared" si="383"/>
        <v>55</v>
      </c>
      <c r="P1021" s="34">
        <f t="shared" si="396"/>
        <v>123800</v>
      </c>
      <c r="Q1021" s="34">
        <f t="shared" si="397"/>
        <v>134200</v>
      </c>
      <c r="R1021" s="7">
        <f t="shared" si="398"/>
        <v>1338.7</v>
      </c>
      <c r="S1021" s="227">
        <f t="shared" si="384"/>
        <v>11738.7</v>
      </c>
      <c r="T1021" s="249">
        <f t="shared" si="385"/>
        <v>9.4819870759289188E-2</v>
      </c>
      <c r="U1021" s="38"/>
      <c r="V1021" s="33"/>
    </row>
    <row r="1022" spans="2:22" ht="15" customHeight="1" x14ac:dyDescent="0.4">
      <c r="B1022" s="38" t="s">
        <v>435</v>
      </c>
      <c r="C1022" s="6" t="s">
        <v>160</v>
      </c>
      <c r="D1022" s="6">
        <f t="shared" si="393"/>
        <v>1</v>
      </c>
      <c r="E1022" s="34">
        <v>3</v>
      </c>
      <c r="F1022" s="212">
        <v>58600</v>
      </c>
      <c r="G1022" s="195">
        <v>45750</v>
      </c>
      <c r="H1022" s="8"/>
      <c r="I1022" s="212">
        <v>67100</v>
      </c>
      <c r="J1022" s="8">
        <v>45796</v>
      </c>
      <c r="K1022" s="23">
        <f t="shared" si="394"/>
        <v>0</v>
      </c>
      <c r="L1022" s="23">
        <f t="shared" si="395"/>
        <v>0</v>
      </c>
      <c r="M1022" s="206">
        <f t="shared" si="399"/>
        <v>301.95</v>
      </c>
      <c r="N1022" s="34">
        <f t="shared" si="400"/>
        <v>2300</v>
      </c>
      <c r="O1022" s="209">
        <f t="shared" si="383"/>
        <v>47</v>
      </c>
      <c r="P1022" s="34">
        <f t="shared" si="396"/>
        <v>175800</v>
      </c>
      <c r="Q1022" s="34">
        <f t="shared" si="397"/>
        <v>201300</v>
      </c>
      <c r="R1022" s="7">
        <f t="shared" si="398"/>
        <v>1998.05</v>
      </c>
      <c r="S1022" s="227">
        <f t="shared" si="384"/>
        <v>27498.05</v>
      </c>
      <c r="T1022" s="249">
        <f t="shared" si="385"/>
        <v>0.15641666666666668</v>
      </c>
      <c r="U1022" s="38"/>
      <c r="V1022" s="33"/>
    </row>
    <row r="1023" spans="2:22" ht="15" customHeight="1" x14ac:dyDescent="0.4">
      <c r="B1023" s="38" t="s">
        <v>435</v>
      </c>
      <c r="C1023" s="6" t="s">
        <v>160</v>
      </c>
      <c r="D1023" s="6">
        <f t="shared" si="393"/>
        <v>1</v>
      </c>
      <c r="E1023" s="34">
        <v>4</v>
      </c>
      <c r="F1023" s="212">
        <v>58300</v>
      </c>
      <c r="G1023" s="195">
        <v>45751</v>
      </c>
      <c r="H1023" s="8"/>
      <c r="I1023" s="212">
        <v>67100</v>
      </c>
      <c r="J1023" s="8">
        <v>45796</v>
      </c>
      <c r="K1023" s="23">
        <f t="shared" si="394"/>
        <v>0</v>
      </c>
      <c r="L1023" s="23">
        <f t="shared" si="395"/>
        <v>0</v>
      </c>
      <c r="M1023" s="206">
        <f t="shared" si="399"/>
        <v>402.6</v>
      </c>
      <c r="N1023" s="34">
        <f t="shared" si="400"/>
        <v>3070</v>
      </c>
      <c r="O1023" s="209">
        <f t="shared" si="383"/>
        <v>46</v>
      </c>
      <c r="P1023" s="34">
        <f t="shared" si="396"/>
        <v>233200</v>
      </c>
      <c r="Q1023" s="34">
        <f t="shared" si="397"/>
        <v>268400</v>
      </c>
      <c r="R1023" s="7">
        <f t="shared" si="398"/>
        <v>2667.4</v>
      </c>
      <c r="S1023" s="227">
        <f t="shared" si="384"/>
        <v>37867.4</v>
      </c>
      <c r="T1023" s="249">
        <f t="shared" si="385"/>
        <v>0.16238164665523155</v>
      </c>
      <c r="U1023" s="38"/>
      <c r="V1023" s="33"/>
    </row>
    <row r="1024" spans="2:22" ht="15" customHeight="1" x14ac:dyDescent="0.4">
      <c r="B1024" s="38" t="s">
        <v>435</v>
      </c>
      <c r="C1024" s="6" t="s">
        <v>160</v>
      </c>
      <c r="D1024" s="6">
        <f t="shared" si="393"/>
        <v>1</v>
      </c>
      <c r="E1024" s="34">
        <v>8</v>
      </c>
      <c r="F1024" s="212">
        <v>55500</v>
      </c>
      <c r="G1024" s="195">
        <v>45754</v>
      </c>
      <c r="H1024" s="8"/>
      <c r="I1024" s="212">
        <v>67100</v>
      </c>
      <c r="J1024" s="8">
        <v>45796</v>
      </c>
      <c r="K1024" s="23">
        <f t="shared" si="394"/>
        <v>10</v>
      </c>
      <c r="L1024" s="23">
        <f t="shared" si="395"/>
        <v>10</v>
      </c>
      <c r="M1024" s="206">
        <f t="shared" si="399"/>
        <v>805.2</v>
      </c>
      <c r="N1024" s="34">
        <f t="shared" si="400"/>
        <v>6140</v>
      </c>
      <c r="O1024" s="209">
        <f t="shared" si="383"/>
        <v>43</v>
      </c>
      <c r="P1024" s="34">
        <f t="shared" si="396"/>
        <v>444000</v>
      </c>
      <c r="Q1024" s="34">
        <f t="shared" si="397"/>
        <v>536800</v>
      </c>
      <c r="R1024" s="7">
        <f t="shared" si="398"/>
        <v>5314.8</v>
      </c>
      <c r="S1024" s="227">
        <f t="shared" si="384"/>
        <v>98114.8</v>
      </c>
      <c r="T1024" s="249">
        <f t="shared" si="385"/>
        <v>0.22097927927927929</v>
      </c>
      <c r="U1024" s="38"/>
      <c r="V1024" s="33"/>
    </row>
    <row r="1025" spans="1:22" ht="15" customHeight="1" x14ac:dyDescent="0.4">
      <c r="B1025" s="38" t="s">
        <v>435</v>
      </c>
      <c r="C1025" s="6" t="s">
        <v>160</v>
      </c>
      <c r="D1025" s="6">
        <f t="shared" si="393"/>
        <v>1</v>
      </c>
      <c r="E1025" s="34">
        <v>5</v>
      </c>
      <c r="F1025" s="212">
        <v>64500</v>
      </c>
      <c r="G1025" s="195">
        <v>45785</v>
      </c>
      <c r="H1025" s="8"/>
      <c r="I1025" s="212">
        <v>67100</v>
      </c>
      <c r="J1025" s="8">
        <v>45796</v>
      </c>
      <c r="K1025" s="23">
        <f t="shared" si="394"/>
        <v>10</v>
      </c>
      <c r="L1025" s="23">
        <f t="shared" si="395"/>
        <v>10</v>
      </c>
      <c r="M1025" s="206">
        <f t="shared" si="399"/>
        <v>503.25</v>
      </c>
      <c r="N1025" s="34">
        <f t="shared" si="400"/>
        <v>3840</v>
      </c>
      <c r="O1025" s="209">
        <f t="shared" si="383"/>
        <v>12</v>
      </c>
      <c r="P1025" s="34">
        <f t="shared" si="396"/>
        <v>322500</v>
      </c>
      <c r="Q1025" s="34">
        <f t="shared" si="397"/>
        <v>335500</v>
      </c>
      <c r="R1025" s="7">
        <f t="shared" si="398"/>
        <v>3316.75</v>
      </c>
      <c r="S1025" s="227">
        <f t="shared" si="384"/>
        <v>16316.75</v>
      </c>
      <c r="T1025" s="249">
        <f t="shared" si="385"/>
        <v>5.0594573643410856E-2</v>
      </c>
      <c r="U1025" s="38"/>
      <c r="V1025" s="33"/>
    </row>
    <row r="1026" spans="1:22" ht="15" customHeight="1" x14ac:dyDescent="0.4">
      <c r="B1026" s="38" t="s">
        <v>436</v>
      </c>
      <c r="C1026" s="6" t="s">
        <v>162</v>
      </c>
      <c r="D1026" s="6"/>
      <c r="E1026" s="33">
        <v>70</v>
      </c>
      <c r="F1026" s="212">
        <v>12200</v>
      </c>
      <c r="G1026" s="195">
        <v>43097</v>
      </c>
      <c r="H1026" s="8"/>
      <c r="I1026" s="212">
        <v>15300</v>
      </c>
      <c r="J1026" s="8">
        <v>43126</v>
      </c>
      <c r="K1026" s="7">
        <f t="shared" ref="K1026:K1034" si="401">ROUNDDOWN(E1026*F1026*0.0015,-1)</f>
        <v>1280</v>
      </c>
      <c r="L1026" s="7">
        <f t="shared" ref="L1026:L1034" si="402">ROUNDDOWN(I1026*E1026*0.0015,-1)</f>
        <v>1600</v>
      </c>
      <c r="M1026" s="196">
        <f t="shared" ref="M1026:M1034" si="403">I1026*E1026*0.003</f>
        <v>3213</v>
      </c>
      <c r="N1026" s="36">
        <f>ROUNDUP(E1026*120*(1-0.154),-1)</f>
        <v>7110</v>
      </c>
      <c r="O1026" s="191">
        <f t="shared" si="383"/>
        <v>30</v>
      </c>
      <c r="P1026" s="36">
        <f t="shared" ref="P1026:P1037" si="404">F1026*E1026</f>
        <v>854000</v>
      </c>
      <c r="Q1026" s="36">
        <f t="shared" ref="Q1026:Q1037" si="405">I1026*E1026</f>
        <v>1071000</v>
      </c>
      <c r="R1026" s="7">
        <f t="shared" ref="R1026:R1037" si="406">N1026-K1026-L1026-M1026</f>
        <v>1017</v>
      </c>
      <c r="S1026" s="227">
        <f t="shared" si="384"/>
        <v>218017</v>
      </c>
      <c r="T1026" s="248">
        <f t="shared" si="385"/>
        <v>0.25528922716627633</v>
      </c>
      <c r="U1026" s="193">
        <f t="shared" ref="U1026:U1037" si="407">T1026*365/O1026</f>
        <v>3.1060189305230286</v>
      </c>
      <c r="V1026" s="6"/>
    </row>
    <row r="1027" spans="1:22" ht="15" customHeight="1" x14ac:dyDescent="0.4">
      <c r="B1027" s="38" t="s">
        <v>437</v>
      </c>
      <c r="C1027" s="6" t="s">
        <v>162</v>
      </c>
      <c r="D1027" s="6"/>
      <c r="E1027" s="36">
        <v>107</v>
      </c>
      <c r="F1027" s="212">
        <v>6730</v>
      </c>
      <c r="G1027" s="195">
        <v>43361</v>
      </c>
      <c r="H1027" s="8"/>
      <c r="I1027" s="212">
        <v>5660</v>
      </c>
      <c r="J1027" s="8">
        <v>43375</v>
      </c>
      <c r="K1027" s="7">
        <f t="shared" si="401"/>
        <v>1080</v>
      </c>
      <c r="L1027" s="7">
        <f t="shared" si="402"/>
        <v>900</v>
      </c>
      <c r="M1027" s="196">
        <f t="shared" si="403"/>
        <v>1816.8600000000001</v>
      </c>
      <c r="N1027" s="36"/>
      <c r="O1027" s="191">
        <f t="shared" si="383"/>
        <v>15</v>
      </c>
      <c r="P1027" s="36">
        <f t="shared" si="404"/>
        <v>720110</v>
      </c>
      <c r="Q1027" s="36">
        <f t="shared" si="405"/>
        <v>605620</v>
      </c>
      <c r="R1027" s="7">
        <f t="shared" si="406"/>
        <v>-3796.86</v>
      </c>
      <c r="S1027" s="227">
        <f t="shared" si="384"/>
        <v>-118286.86</v>
      </c>
      <c r="T1027" s="248">
        <f t="shared" si="385"/>
        <v>-0.16426220994014804</v>
      </c>
      <c r="U1027" s="193">
        <f t="shared" si="407"/>
        <v>-3.9970471085436023</v>
      </c>
      <c r="V1027" s="6"/>
    </row>
    <row r="1028" spans="1:22" ht="15" customHeight="1" x14ac:dyDescent="0.4">
      <c r="B1028" s="38" t="s">
        <v>437</v>
      </c>
      <c r="C1028" s="6" t="s">
        <v>162</v>
      </c>
      <c r="D1028" s="6"/>
      <c r="E1028" s="36">
        <v>89</v>
      </c>
      <c r="F1028" s="212">
        <v>6730</v>
      </c>
      <c r="G1028" s="195">
        <v>43361</v>
      </c>
      <c r="H1028" s="8"/>
      <c r="I1028" s="212">
        <v>5670</v>
      </c>
      <c r="J1028" s="8">
        <v>43375</v>
      </c>
      <c r="K1028" s="7">
        <f t="shared" si="401"/>
        <v>890</v>
      </c>
      <c r="L1028" s="7">
        <f t="shared" si="402"/>
        <v>750</v>
      </c>
      <c r="M1028" s="196">
        <f t="shared" si="403"/>
        <v>1513.89</v>
      </c>
      <c r="N1028" s="36"/>
      <c r="O1028" s="191">
        <f t="shared" si="383"/>
        <v>15</v>
      </c>
      <c r="P1028" s="36">
        <f t="shared" si="404"/>
        <v>598970</v>
      </c>
      <c r="Q1028" s="36">
        <f t="shared" si="405"/>
        <v>504630</v>
      </c>
      <c r="R1028" s="7">
        <f t="shared" si="406"/>
        <v>-3153.8900000000003</v>
      </c>
      <c r="S1028" s="227">
        <f t="shared" si="384"/>
        <v>-97493.89</v>
      </c>
      <c r="T1028" s="248">
        <f t="shared" si="385"/>
        <v>-0.16276923719051037</v>
      </c>
      <c r="U1028" s="193">
        <f t="shared" si="407"/>
        <v>-3.9607181049690854</v>
      </c>
      <c r="V1028" s="6"/>
    </row>
    <row r="1029" spans="1:22" ht="15" customHeight="1" x14ac:dyDescent="0.4">
      <c r="B1029" s="38" t="s">
        <v>437</v>
      </c>
      <c r="C1029" s="6" t="s">
        <v>162</v>
      </c>
      <c r="D1029" s="6"/>
      <c r="E1029" s="36">
        <v>4</v>
      </c>
      <c r="F1029" s="212">
        <v>6730</v>
      </c>
      <c r="G1029" s="195">
        <v>43361</v>
      </c>
      <c r="H1029" s="8"/>
      <c r="I1029" s="212">
        <v>5680</v>
      </c>
      <c r="J1029" s="8">
        <v>43375</v>
      </c>
      <c r="K1029" s="7">
        <f t="shared" si="401"/>
        <v>40</v>
      </c>
      <c r="L1029" s="7">
        <f t="shared" si="402"/>
        <v>30</v>
      </c>
      <c r="M1029" s="196">
        <f t="shared" si="403"/>
        <v>68.16</v>
      </c>
      <c r="N1029" s="36"/>
      <c r="O1029" s="191">
        <f t="shared" si="383"/>
        <v>15</v>
      </c>
      <c r="P1029" s="36">
        <f t="shared" si="404"/>
        <v>26920</v>
      </c>
      <c r="Q1029" s="36">
        <f t="shared" si="405"/>
        <v>22720</v>
      </c>
      <c r="R1029" s="7">
        <f t="shared" si="406"/>
        <v>-138.16</v>
      </c>
      <c r="S1029" s="227">
        <f t="shared" si="384"/>
        <v>-4338.16</v>
      </c>
      <c r="T1029" s="248">
        <f t="shared" si="385"/>
        <v>-0.16115007429420505</v>
      </c>
      <c r="U1029" s="193">
        <f t="shared" si="407"/>
        <v>-3.9213184744923231</v>
      </c>
      <c r="V1029" s="6"/>
    </row>
    <row r="1030" spans="1:22" ht="15" customHeight="1" x14ac:dyDescent="0.4">
      <c r="B1030" s="38" t="s">
        <v>437</v>
      </c>
      <c r="C1030" s="6" t="s">
        <v>162</v>
      </c>
      <c r="D1030" s="6"/>
      <c r="E1030" s="36">
        <v>50</v>
      </c>
      <c r="F1030" s="212">
        <v>6220</v>
      </c>
      <c r="G1030" s="195">
        <v>43362</v>
      </c>
      <c r="H1030" s="8"/>
      <c r="I1030" s="212">
        <v>5680</v>
      </c>
      <c r="J1030" s="8">
        <v>43375</v>
      </c>
      <c r="K1030" s="7">
        <f t="shared" si="401"/>
        <v>460</v>
      </c>
      <c r="L1030" s="7">
        <f t="shared" si="402"/>
        <v>420</v>
      </c>
      <c r="M1030" s="196">
        <f t="shared" si="403"/>
        <v>852</v>
      </c>
      <c r="N1030" s="36"/>
      <c r="O1030" s="191">
        <f t="shared" si="383"/>
        <v>14</v>
      </c>
      <c r="P1030" s="36">
        <f t="shared" si="404"/>
        <v>311000</v>
      </c>
      <c r="Q1030" s="36">
        <f t="shared" si="405"/>
        <v>284000</v>
      </c>
      <c r="R1030" s="7">
        <f t="shared" si="406"/>
        <v>-1732</v>
      </c>
      <c r="S1030" s="227">
        <f t="shared" si="384"/>
        <v>-28732</v>
      </c>
      <c r="T1030" s="248">
        <f t="shared" si="385"/>
        <v>-9.2385852090032153E-2</v>
      </c>
      <c r="U1030" s="193">
        <f t="shared" si="407"/>
        <v>-2.4086311437758385</v>
      </c>
      <c r="V1030" s="6"/>
    </row>
    <row r="1031" spans="1:22" ht="15" customHeight="1" x14ac:dyDescent="0.4">
      <c r="B1031" s="38" t="s">
        <v>437</v>
      </c>
      <c r="C1031" s="6" t="s">
        <v>162</v>
      </c>
      <c r="D1031" s="6"/>
      <c r="E1031" s="36">
        <v>1000</v>
      </c>
      <c r="F1031" s="212">
        <v>4810</v>
      </c>
      <c r="G1031" s="195">
        <v>43508</v>
      </c>
      <c r="H1031" s="8"/>
      <c r="I1031" s="212">
        <v>4890</v>
      </c>
      <c r="J1031" s="8">
        <v>43509</v>
      </c>
      <c r="K1031" s="7">
        <f t="shared" si="401"/>
        <v>7210</v>
      </c>
      <c r="L1031" s="7">
        <f t="shared" si="402"/>
        <v>7330</v>
      </c>
      <c r="M1031" s="196">
        <f t="shared" si="403"/>
        <v>14670</v>
      </c>
      <c r="N1031" s="36"/>
      <c r="O1031" s="191">
        <f t="shared" si="383"/>
        <v>2</v>
      </c>
      <c r="P1031" s="36">
        <f t="shared" si="404"/>
        <v>4810000</v>
      </c>
      <c r="Q1031" s="36">
        <f t="shared" si="405"/>
        <v>4890000</v>
      </c>
      <c r="R1031" s="7">
        <f t="shared" si="406"/>
        <v>-29210</v>
      </c>
      <c r="S1031" s="227">
        <f t="shared" si="384"/>
        <v>50790</v>
      </c>
      <c r="T1031" s="248">
        <f t="shared" si="385"/>
        <v>1.0559251559251559E-2</v>
      </c>
      <c r="U1031" s="193">
        <f t="shared" si="407"/>
        <v>1.9270634095634094</v>
      </c>
      <c r="V1031" s="6"/>
    </row>
    <row r="1032" spans="1:22" s="33" customFormat="1" ht="15" customHeight="1" x14ac:dyDescent="0.4">
      <c r="B1032" s="38" t="s">
        <v>437</v>
      </c>
      <c r="C1032" s="6" t="s">
        <v>162</v>
      </c>
      <c r="D1032" s="6"/>
      <c r="E1032" s="36">
        <v>400</v>
      </c>
      <c r="F1032" s="212">
        <v>5300</v>
      </c>
      <c r="G1032" s="195">
        <v>43517</v>
      </c>
      <c r="H1032" s="8"/>
      <c r="I1032" s="212">
        <v>7540</v>
      </c>
      <c r="J1032" s="8">
        <v>43581</v>
      </c>
      <c r="K1032" s="7">
        <f t="shared" si="401"/>
        <v>3180</v>
      </c>
      <c r="L1032" s="7">
        <f t="shared" si="402"/>
        <v>4520</v>
      </c>
      <c r="M1032" s="196">
        <f t="shared" si="403"/>
        <v>9048</v>
      </c>
      <c r="N1032" s="36"/>
      <c r="O1032" s="191">
        <f t="shared" si="383"/>
        <v>65</v>
      </c>
      <c r="P1032" s="36">
        <f t="shared" si="404"/>
        <v>2120000</v>
      </c>
      <c r="Q1032" s="36">
        <f t="shared" si="405"/>
        <v>3016000</v>
      </c>
      <c r="R1032" s="7">
        <f t="shared" si="406"/>
        <v>-16748</v>
      </c>
      <c r="S1032" s="227">
        <f t="shared" si="384"/>
        <v>879252</v>
      </c>
      <c r="T1032" s="248">
        <f t="shared" si="385"/>
        <v>0.41474150943396226</v>
      </c>
      <c r="U1032" s="193">
        <f t="shared" si="407"/>
        <v>2.3289330914368653</v>
      </c>
      <c r="V1032" s="6"/>
    </row>
    <row r="1033" spans="1:22" s="33" customFormat="1" ht="15" customHeight="1" x14ac:dyDescent="0.4">
      <c r="B1033" s="38" t="s">
        <v>437</v>
      </c>
      <c r="C1033" s="6" t="s">
        <v>162</v>
      </c>
      <c r="D1033" s="6"/>
      <c r="E1033" s="36">
        <v>181</v>
      </c>
      <c r="F1033" s="212">
        <v>5300</v>
      </c>
      <c r="G1033" s="195">
        <v>43517</v>
      </c>
      <c r="H1033" s="8"/>
      <c r="I1033" s="212">
        <v>5820</v>
      </c>
      <c r="J1033" s="8">
        <v>43608</v>
      </c>
      <c r="K1033" s="7">
        <f t="shared" si="401"/>
        <v>1430</v>
      </c>
      <c r="L1033" s="7">
        <f t="shared" si="402"/>
        <v>1580</v>
      </c>
      <c r="M1033" s="196">
        <f t="shared" si="403"/>
        <v>3160.26</v>
      </c>
      <c r="N1033" s="36"/>
      <c r="O1033" s="191">
        <f t="shared" si="383"/>
        <v>92</v>
      </c>
      <c r="P1033" s="36">
        <f t="shared" si="404"/>
        <v>959300</v>
      </c>
      <c r="Q1033" s="36">
        <f t="shared" si="405"/>
        <v>1053420</v>
      </c>
      <c r="R1033" s="7">
        <f t="shared" si="406"/>
        <v>-6170.26</v>
      </c>
      <c r="S1033" s="227">
        <f t="shared" si="384"/>
        <v>87949.74</v>
      </c>
      <c r="T1033" s="248">
        <f t="shared" si="385"/>
        <v>9.1681163348274794E-2</v>
      </c>
      <c r="U1033" s="193">
        <f t="shared" si="407"/>
        <v>0.36373505024043806</v>
      </c>
      <c r="V1033" s="6"/>
    </row>
    <row r="1034" spans="1:22" s="33" customFormat="1" ht="15" customHeight="1" x14ac:dyDescent="0.4">
      <c r="B1034" s="38" t="s">
        <v>437</v>
      </c>
      <c r="C1034" s="6" t="s">
        <v>162</v>
      </c>
      <c r="D1034" s="6"/>
      <c r="E1034" s="36">
        <v>119</v>
      </c>
      <c r="F1034" s="212">
        <v>5300</v>
      </c>
      <c r="G1034" s="195">
        <v>43517</v>
      </c>
      <c r="H1034" s="8"/>
      <c r="I1034" s="212">
        <v>5830</v>
      </c>
      <c r="J1034" s="8">
        <v>43608</v>
      </c>
      <c r="K1034" s="7">
        <f t="shared" si="401"/>
        <v>940</v>
      </c>
      <c r="L1034" s="7">
        <f t="shared" si="402"/>
        <v>1040</v>
      </c>
      <c r="M1034" s="196">
        <f t="shared" si="403"/>
        <v>2081.31</v>
      </c>
      <c r="N1034" s="36"/>
      <c r="O1034" s="191">
        <f t="shared" si="383"/>
        <v>92</v>
      </c>
      <c r="P1034" s="36">
        <f t="shared" si="404"/>
        <v>630700</v>
      </c>
      <c r="Q1034" s="36">
        <f t="shared" si="405"/>
        <v>693770</v>
      </c>
      <c r="R1034" s="7">
        <f t="shared" si="406"/>
        <v>-4061.31</v>
      </c>
      <c r="S1034" s="227">
        <f t="shared" si="384"/>
        <v>59008.69</v>
      </c>
      <c r="T1034" s="248">
        <f t="shared" si="385"/>
        <v>9.3560631044870779E-2</v>
      </c>
      <c r="U1034" s="193">
        <f t="shared" si="407"/>
        <v>0.37119163403671562</v>
      </c>
      <c r="V1034" s="6"/>
    </row>
    <row r="1035" spans="1:22" ht="15" customHeight="1" x14ac:dyDescent="0.4">
      <c r="B1035" s="38" t="s">
        <v>438</v>
      </c>
      <c r="C1035" s="6" t="s">
        <v>187</v>
      </c>
      <c r="D1035" s="6"/>
      <c r="E1035" s="36">
        <v>10</v>
      </c>
      <c r="F1035" s="212">
        <v>40800</v>
      </c>
      <c r="G1035" s="195">
        <v>39926</v>
      </c>
      <c r="H1035" s="8"/>
      <c r="I1035" s="212">
        <v>44000</v>
      </c>
      <c r="J1035" s="8">
        <v>39940</v>
      </c>
      <c r="K1035" s="7">
        <v>110</v>
      </c>
      <c r="L1035" s="7">
        <v>120</v>
      </c>
      <c r="M1035" s="196"/>
      <c r="N1035" s="36"/>
      <c r="O1035" s="191">
        <f t="shared" si="383"/>
        <v>15</v>
      </c>
      <c r="P1035" s="36">
        <f t="shared" si="404"/>
        <v>408000</v>
      </c>
      <c r="Q1035" s="36">
        <f t="shared" si="405"/>
        <v>440000</v>
      </c>
      <c r="R1035" s="7">
        <f t="shared" si="406"/>
        <v>-230</v>
      </c>
      <c r="S1035" s="227">
        <f t="shared" si="384"/>
        <v>31770</v>
      </c>
      <c r="T1035" s="248">
        <f t="shared" si="385"/>
        <v>7.7867647058823528E-2</v>
      </c>
      <c r="U1035" s="193">
        <f t="shared" si="407"/>
        <v>1.8947794117647059</v>
      </c>
      <c r="V1035" s="6"/>
    </row>
    <row r="1036" spans="1:22" ht="15" customHeight="1" x14ac:dyDescent="0.4">
      <c r="B1036" s="38" t="s">
        <v>439</v>
      </c>
      <c r="C1036" s="6" t="s">
        <v>187</v>
      </c>
      <c r="D1036" s="6"/>
      <c r="E1036" s="36">
        <v>20</v>
      </c>
      <c r="F1036" s="212">
        <v>42500</v>
      </c>
      <c r="G1036" s="195">
        <v>42171</v>
      </c>
      <c r="H1036" s="8"/>
      <c r="I1036" s="212">
        <v>47000</v>
      </c>
      <c r="J1036" s="8">
        <v>42190</v>
      </c>
      <c r="K1036" s="7">
        <f>ROUNDDOWN(E1036*F1036*0.00015,-1)</f>
        <v>120</v>
      </c>
      <c r="L1036" s="7">
        <f>ROUNDDOWN(I1036*E1036*0.00015,-1)</f>
        <v>140</v>
      </c>
      <c r="M1036" s="196">
        <f>I1036*E1036*0.003</f>
        <v>2820</v>
      </c>
      <c r="N1036" s="36"/>
      <c r="O1036" s="191">
        <f t="shared" si="383"/>
        <v>20</v>
      </c>
      <c r="P1036" s="36">
        <f t="shared" si="404"/>
        <v>850000</v>
      </c>
      <c r="Q1036" s="36">
        <f t="shared" si="405"/>
        <v>940000</v>
      </c>
      <c r="R1036" s="7">
        <f t="shared" si="406"/>
        <v>-3080</v>
      </c>
      <c r="S1036" s="227">
        <f t="shared" si="384"/>
        <v>86920</v>
      </c>
      <c r="T1036" s="248">
        <f t="shared" si="385"/>
        <v>0.10225882352941176</v>
      </c>
      <c r="U1036" s="193">
        <f t="shared" si="407"/>
        <v>1.8662235294117646</v>
      </c>
      <c r="V1036" s="6"/>
    </row>
    <row r="1037" spans="1:22" s="33" customFormat="1" ht="15" customHeight="1" x14ac:dyDescent="0.4">
      <c r="A1037" s="33" t="s">
        <v>113</v>
      </c>
      <c r="B1037" s="38" t="s">
        <v>440</v>
      </c>
      <c r="C1037" s="6" t="s">
        <v>162</v>
      </c>
      <c r="D1037" s="6"/>
      <c r="E1037" s="36">
        <v>20</v>
      </c>
      <c r="F1037" s="212">
        <v>43500</v>
      </c>
      <c r="G1037" s="195">
        <v>42614</v>
      </c>
      <c r="H1037" s="8"/>
      <c r="I1037" s="212">
        <v>46000</v>
      </c>
      <c r="J1037" s="8">
        <v>42920</v>
      </c>
      <c r="K1037" s="7">
        <f>ROUNDDOWN(E1037*F1037*0.0015,-1)</f>
        <v>1300</v>
      </c>
      <c r="L1037" s="7">
        <f>ROUNDDOWN(I1037*E1037*0.0015,-1)</f>
        <v>1380</v>
      </c>
      <c r="M1037" s="196">
        <f>I1037*E1037*0.003</f>
        <v>2760</v>
      </c>
      <c r="N1037" s="36">
        <f>18000-2770</f>
        <v>15230</v>
      </c>
      <c r="O1037" s="191">
        <f t="shared" si="383"/>
        <v>307</v>
      </c>
      <c r="P1037" s="36">
        <f t="shared" si="404"/>
        <v>870000</v>
      </c>
      <c r="Q1037" s="36">
        <f t="shared" si="405"/>
        <v>920000</v>
      </c>
      <c r="R1037" s="7">
        <f t="shared" si="406"/>
        <v>9790</v>
      </c>
      <c r="S1037" s="227">
        <f t="shared" si="384"/>
        <v>59790</v>
      </c>
      <c r="T1037" s="248">
        <f t="shared" si="385"/>
        <v>6.8724137931034476E-2</v>
      </c>
      <c r="U1037" s="9">
        <f t="shared" si="407"/>
        <v>8.1707851286083336E-2</v>
      </c>
      <c r="V1037" s="6"/>
    </row>
    <row r="1038" spans="1:22" s="33" customFormat="1" ht="15" customHeight="1" x14ac:dyDescent="0.4">
      <c r="A1038" s="33" t="s">
        <v>113</v>
      </c>
      <c r="B1038" s="38" t="s">
        <v>441</v>
      </c>
      <c r="C1038" s="6" t="s">
        <v>346</v>
      </c>
      <c r="D1038" s="6">
        <v>1</v>
      </c>
      <c r="E1038" s="34">
        <v>987</v>
      </c>
      <c r="F1038" s="34">
        <v>1017</v>
      </c>
      <c r="G1038" s="195">
        <v>45671</v>
      </c>
      <c r="H1038" s="8"/>
      <c r="I1038" s="34">
        <v>1000</v>
      </c>
      <c r="J1038" s="8">
        <v>45777</v>
      </c>
      <c r="K1038" s="23">
        <v>500</v>
      </c>
      <c r="L1038" s="23">
        <v>0</v>
      </c>
      <c r="M1038" s="206">
        <v>0</v>
      </c>
      <c r="N1038" s="34">
        <f>(15782-440)+(15782-2420)</f>
        <v>28704</v>
      </c>
      <c r="O1038" s="209">
        <f t="shared" si="383"/>
        <v>107</v>
      </c>
      <c r="P1038" s="34">
        <f>$E1038*$F1038*$D1038</f>
        <v>1003779</v>
      </c>
      <c r="Q1038" s="34">
        <f>$E1038*$I1038*$D1038</f>
        <v>987000</v>
      </c>
      <c r="R1038" s="7">
        <f>($N1038-$K1038-$L1038-$M1038)*$D1038</f>
        <v>28204</v>
      </c>
      <c r="S1038" s="41">
        <f t="shared" si="384"/>
        <v>11425</v>
      </c>
      <c r="T1038" s="249">
        <f t="shared" si="385"/>
        <v>1.1381987469353315E-2</v>
      </c>
    </row>
    <row r="1039" spans="1:22" s="33" customFormat="1" ht="15" customHeight="1" x14ac:dyDescent="0.4">
      <c r="A1039" s="33" t="s">
        <v>113</v>
      </c>
      <c r="B1039" s="38" t="s">
        <v>442</v>
      </c>
      <c r="C1039" s="6" t="s">
        <v>160</v>
      </c>
      <c r="D1039" s="6">
        <f>IF(OR($C1039="신한",$C1039="OTC",$C1039="무상증자(신한)",$C1039="토스",$C1039="R토스"),1,"확인")</f>
        <v>1</v>
      </c>
      <c r="E1039" s="34">
        <v>30</v>
      </c>
      <c r="F1039" s="212">
        <v>50400</v>
      </c>
      <c r="G1039" s="195">
        <v>44054</v>
      </c>
      <c r="H1039" s="8"/>
      <c r="I1039" s="212">
        <v>48750</v>
      </c>
      <c r="J1039" s="8">
        <v>44061</v>
      </c>
      <c r="K1039" s="23">
        <f>IF($C1039="OTC",ROUNDDOWN($E1039*$F1039*0.000909187,-1),(IF($C1039="신한",ROUNDDOWN($E1039*$F1039*0.000036396,-1),(IF($C1039="토스",$E1039*$F1039*0.00015,(IF($C1039="US",(IF($E1039*$F1039*0.0025&gt;0.01,$E1039*$F1039*0.0025,0.01)),IF($C1039="JP",(IF($E1039*$F1039*0.0025&gt;1000,$E1039*$F1039*0.0025,1000)),(IF($C1039="R토스",0,IF($C1039="무상증자(신한)",0,"")))))))))))</f>
        <v>50</v>
      </c>
      <c r="L1039" s="23">
        <f>IF($C1039="OTC",ROUNDDOWN($I1039*$E1039*0.000909187,-1),(IF($C1039="신한",ROUNDDOWN($I1039*$E1039*0.000036396,-1),(IF($C1039="토스",$I1039*$E1039*0.00015,(IF($C1039="US",(IF($I1039*$E1039*0.0025&gt;0.01,$I1039*$E1039*0.0025,0.01)),(IF($C1039="JP",(IF($I1039*$E1039*0.0025&gt;1000,$I1039*$E1039*0.0025,1000)),(IF($C1039="R토스",$I1039*$E1039*0.00015,(IF($C1039="무상증자(신한)",ROUNDDOWN($I1039*$E1039*0.000036396,-1),"")))))))))))))</f>
        <v>50</v>
      </c>
      <c r="M1039" s="206">
        <f>Q1039*0.0025</f>
        <v>3656.25</v>
      </c>
      <c r="N1039" s="34"/>
      <c r="O1039" s="209">
        <f t="shared" si="383"/>
        <v>8</v>
      </c>
      <c r="P1039" s="34">
        <f>$E1039*$F1039*$D1039</f>
        <v>1512000</v>
      </c>
      <c r="Q1039" s="34">
        <f>$E1039*$I1039*$D1039</f>
        <v>1462500</v>
      </c>
      <c r="R1039" s="7">
        <f>($N1039-$K1039-$L1039-$M1039)*$D1039</f>
        <v>-3756.25</v>
      </c>
      <c r="S1039" s="227">
        <f t="shared" si="384"/>
        <v>-53256.25</v>
      </c>
      <c r="T1039" s="249">
        <f t="shared" si="385"/>
        <v>-3.5222387566137568E-2</v>
      </c>
    </row>
    <row r="1040" spans="1:22" s="33" customFormat="1" ht="15" customHeight="1" x14ac:dyDescent="0.4">
      <c r="A1040" s="33" t="s">
        <v>113</v>
      </c>
      <c r="B1040" s="38" t="s">
        <v>442</v>
      </c>
      <c r="C1040" s="6" t="s">
        <v>160</v>
      </c>
      <c r="D1040" s="6">
        <f>IF(OR($C1040="신한",$C1040="OTC",$C1040="무상증자(신한)",$C1040="토스",$C1040="R토스"),1,"확인")</f>
        <v>1</v>
      </c>
      <c r="E1040" s="34">
        <v>30</v>
      </c>
      <c r="F1040" s="212">
        <v>48500</v>
      </c>
      <c r="G1040" s="195">
        <v>44063</v>
      </c>
      <c r="H1040" s="8"/>
      <c r="I1040" s="212">
        <v>51000</v>
      </c>
      <c r="J1040" s="8">
        <v>44200</v>
      </c>
      <c r="K1040" s="23">
        <f>IF($C1040="OTC",ROUNDDOWN($E1040*$F1040*0.000909187,-1),(IF($C1040="신한",ROUNDDOWN($E1040*$F1040*0.000036396,-1),(IF($C1040="토스",$E1040*$F1040*0.00015,(IF($C1040="US",(IF($E1040*$F1040*0.0025&gt;0.01,$E1040*$F1040*0.0025,0.01)),IF($C1040="JP",(IF($E1040*$F1040*0.0025&gt;1000,$E1040*$F1040*0.0025,1000)),(IF($C1040="R토스",0,IF($C1040="무상증자(신한)",0,"")))))))))))</f>
        <v>50</v>
      </c>
      <c r="L1040" s="23">
        <f>IF($C1040="OTC",ROUNDDOWN($I1040*$E1040*0.000909187,-1),(IF($C1040="신한",ROUNDDOWN($I1040*$E1040*0.000036396,-1),(IF($C1040="토스",$I1040*$E1040*0.00015,(IF($C1040="US",(IF($I1040*$E1040*0.0025&gt;0.01,$I1040*$E1040*0.0025,0.01)),(IF($C1040="JP",(IF($I1040*$E1040*0.0025&gt;1000,$I1040*$E1040*0.0025,1000)),(IF($C1040="R토스",$I1040*$E1040*0.00015,(IF($C1040="무상증자(신한)",ROUNDDOWN($I1040*$E1040*0.000036396,-1),"")))))))))))))</f>
        <v>50</v>
      </c>
      <c r="M1040" s="206">
        <f>Q1040*0.0023</f>
        <v>3519</v>
      </c>
      <c r="N1040" s="34">
        <f>E1040*345*(1-0.154)</f>
        <v>8756.1</v>
      </c>
      <c r="O1040" s="209">
        <f t="shared" si="383"/>
        <v>138</v>
      </c>
      <c r="P1040" s="34">
        <f>$E1040*$F1040*$D1040</f>
        <v>1455000</v>
      </c>
      <c r="Q1040" s="34">
        <f>$E1040*$I1040*$D1040</f>
        <v>1530000</v>
      </c>
      <c r="R1040" s="7">
        <f>($N1040-$K1040-$L1040-$M1040)*$D1040</f>
        <v>5137.1000000000004</v>
      </c>
      <c r="S1040" s="227">
        <f t="shared" si="384"/>
        <v>80137.100000000006</v>
      </c>
      <c r="T1040" s="249">
        <f t="shared" si="385"/>
        <v>5.5077044673539521E-2</v>
      </c>
    </row>
    <row r="1041" spans="1:28" s="33" customFormat="1" ht="15" customHeight="1" x14ac:dyDescent="0.4">
      <c r="A1041" s="33" t="s">
        <v>113</v>
      </c>
      <c r="B1041" s="38" t="s">
        <v>442</v>
      </c>
      <c r="C1041" s="6" t="s">
        <v>160</v>
      </c>
      <c r="D1041" s="6">
        <f>IF(OR($C1041="신한",$C1041="OTC",$C1041="무상증자(신한)",$C1041="토스",$C1041="R토스"),1,"확인")</f>
        <v>1</v>
      </c>
      <c r="E1041" s="34">
        <v>14</v>
      </c>
      <c r="F1041" s="212">
        <v>45500</v>
      </c>
      <c r="G1041" s="195">
        <v>44074</v>
      </c>
      <c r="H1041" s="8"/>
      <c r="I1041" s="212">
        <v>51000</v>
      </c>
      <c r="J1041" s="8">
        <v>44200</v>
      </c>
      <c r="K1041" s="23">
        <f>IF($C1041="OTC",ROUNDDOWN($E1041*$F1041*0.000909187,-1),(IF($C1041="신한",ROUNDDOWN($E1041*$F1041*0.000036396,-1),(IF($C1041="토스",$E1041*$F1041*0.00015,(IF($C1041="US",(IF($E1041*$F1041*0.0025&gt;0.01,$E1041*$F1041*0.0025,0.01)),IF($C1041="JP",(IF($E1041*$F1041*0.0025&gt;1000,$E1041*$F1041*0.0025,1000)),(IF($C1041="R토스",0,IF($C1041="무상증자(신한)",0,"")))))))))))</f>
        <v>20</v>
      </c>
      <c r="L1041" s="23">
        <f>IF($C1041="OTC",ROUNDDOWN($I1041*$E1041*0.000909187,-1),(IF($C1041="신한",ROUNDDOWN($I1041*$E1041*0.000036396,-1),(IF($C1041="토스",$I1041*$E1041*0.00015,(IF($C1041="US",(IF($I1041*$E1041*0.0025&gt;0.01,$I1041*$E1041*0.0025,0.01)),(IF($C1041="JP",(IF($I1041*$E1041*0.0025&gt;1000,$I1041*$E1041*0.0025,1000)),(IF($C1041="R토스",$I1041*$E1041*0.00015,(IF($C1041="무상증자(신한)",ROUNDDOWN($I1041*$E1041*0.000036396,-1),"")))))))))))))</f>
        <v>20</v>
      </c>
      <c r="M1041" s="206">
        <f>Q1041*0.0023</f>
        <v>1642.2</v>
      </c>
      <c r="N1041" s="34">
        <f>E1041*345*(1-0.154)</f>
        <v>4086.18</v>
      </c>
      <c r="O1041" s="209">
        <f t="shared" si="383"/>
        <v>127</v>
      </c>
      <c r="P1041" s="34">
        <f>$E1041*$F1041*$D1041</f>
        <v>637000</v>
      </c>
      <c r="Q1041" s="34">
        <f>$E1041*$I1041*$D1041</f>
        <v>714000</v>
      </c>
      <c r="R1041" s="7">
        <f>($N1041-$K1041-$L1041-$M1041)*$D1041</f>
        <v>2403.9799999999996</v>
      </c>
      <c r="S1041" s="227">
        <f t="shared" si="384"/>
        <v>79403.98</v>
      </c>
      <c r="T1041" s="249">
        <f t="shared" si="385"/>
        <v>0.12465302982731553</v>
      </c>
    </row>
    <row r="1042" spans="1:28" s="33" customFormat="1" ht="15" customHeight="1" x14ac:dyDescent="0.4">
      <c r="A1042" s="33" t="s">
        <v>113</v>
      </c>
      <c r="B1042" s="38" t="s">
        <v>443</v>
      </c>
      <c r="C1042" s="6" t="s">
        <v>187</v>
      </c>
      <c r="D1042" s="6"/>
      <c r="E1042" s="36">
        <v>20</v>
      </c>
      <c r="F1042" s="212">
        <v>20900</v>
      </c>
      <c r="G1042" s="195">
        <v>40290</v>
      </c>
      <c r="H1042" s="8"/>
      <c r="I1042" s="212">
        <v>31700</v>
      </c>
      <c r="J1042" s="8">
        <v>40450</v>
      </c>
      <c r="K1042" s="7">
        <v>120</v>
      </c>
      <c r="L1042" s="7">
        <v>180</v>
      </c>
      <c r="M1042" s="196"/>
      <c r="N1042" s="36"/>
      <c r="O1042" s="191">
        <f t="shared" si="383"/>
        <v>161</v>
      </c>
      <c r="P1042" s="36">
        <f>F1042*E1042</f>
        <v>418000</v>
      </c>
      <c r="Q1042" s="36">
        <f>I1042*E1042</f>
        <v>634000</v>
      </c>
      <c r="R1042" s="7">
        <f>N1042-K1042-L1042-M1042</f>
        <v>-300</v>
      </c>
      <c r="S1042" s="227">
        <f t="shared" si="384"/>
        <v>215700</v>
      </c>
      <c r="T1042" s="248">
        <f t="shared" si="385"/>
        <v>0.51602870813397128</v>
      </c>
      <c r="U1042" s="9">
        <f>T1042*365/O1042</f>
        <v>1.1698787482540343</v>
      </c>
      <c r="V1042" s="6"/>
    </row>
    <row r="1043" spans="1:28" s="33" customFormat="1" ht="15" customHeight="1" x14ac:dyDescent="0.4">
      <c r="A1043" s="33" t="s">
        <v>113</v>
      </c>
      <c r="B1043" s="38" t="s">
        <v>444</v>
      </c>
      <c r="C1043" s="6" t="s">
        <v>162</v>
      </c>
      <c r="D1043" s="6"/>
      <c r="E1043" s="33">
        <v>200</v>
      </c>
      <c r="F1043" s="212">
        <v>40000</v>
      </c>
      <c r="G1043" s="195">
        <v>42954</v>
      </c>
      <c r="H1043" s="8"/>
      <c r="I1043" s="212">
        <v>43000</v>
      </c>
      <c r="J1043" s="8">
        <v>42976</v>
      </c>
      <c r="K1043" s="7">
        <f>ROUNDDOWN(E1043*F1043*0.0015,-1)</f>
        <v>12000</v>
      </c>
      <c r="L1043" s="7">
        <f>ROUNDDOWN(I1043*E1043*0.0015,-1)</f>
        <v>12900</v>
      </c>
      <c r="M1043" s="196">
        <f>I1043*E1043*0.003</f>
        <v>25800</v>
      </c>
      <c r="N1043" s="36"/>
      <c r="O1043" s="191">
        <f t="shared" si="383"/>
        <v>23</v>
      </c>
      <c r="P1043" s="36">
        <f>F1043*E1043</f>
        <v>8000000</v>
      </c>
      <c r="Q1043" s="36">
        <f>I1043*E1043</f>
        <v>8600000</v>
      </c>
      <c r="R1043" s="7">
        <f>N1043-K1043-L1043-M1043</f>
        <v>-50700</v>
      </c>
      <c r="S1043" s="227">
        <f t="shared" si="384"/>
        <v>549300</v>
      </c>
      <c r="T1043" s="248">
        <f t="shared" si="385"/>
        <v>6.8662500000000001E-2</v>
      </c>
      <c r="U1043" s="9">
        <f>T1043*365/O1043</f>
        <v>1.0896440217391306</v>
      </c>
      <c r="V1043" s="6"/>
    </row>
    <row r="1044" spans="1:28" s="33" customFormat="1" ht="15" customHeight="1" x14ac:dyDescent="0.4">
      <c r="A1044" s="33" t="s">
        <v>113</v>
      </c>
      <c r="B1044" s="38" t="s">
        <v>132</v>
      </c>
      <c r="C1044" s="6" t="s">
        <v>122</v>
      </c>
      <c r="D1044" s="6">
        <f t="shared" ref="D1044:D1051" si="408">IF(OR($C1044="신한",$C1044="OTC",$C1044="무상증자(신한)",$C1044="토스",$C1044="R토스"),1,"확인")</f>
        <v>1</v>
      </c>
      <c r="E1044" s="34">
        <v>100</v>
      </c>
      <c r="F1044" s="212">
        <v>17350</v>
      </c>
      <c r="G1044" s="195">
        <v>45807</v>
      </c>
      <c r="H1044" s="33" t="s">
        <v>113</v>
      </c>
      <c r="I1044" s="212">
        <v>17910</v>
      </c>
      <c r="J1044" s="8">
        <v>45820</v>
      </c>
      <c r="K1044" s="23">
        <f t="shared" ref="K1044:K1051" si="409">IF($C1044="OTC",ROUNDDOWN($E1044*$F1044*0.000909187,-1),(IF($C1044="신한",ROUNDDOWN($E1044*$F1044*0.000036396,-1),(IF($C1044="토스",$E1044*$F1044*0.00015,(IF($C1044="US",(IF($E1044*$F1044*0.0025&gt;0.01,$E1044*$F1044*0.0025,0.01)),IF($C1044="JP",(IF($E1044*$F1044*0.0025&gt;1000,$E1044*$F1044*0.0025,1000)),(IF($C1044="R토스",0,IF($C1044="무상증자(신한)",0,"")))))))))))</f>
        <v>260.25</v>
      </c>
      <c r="L1044" s="23">
        <f t="shared" ref="L1044:L1051" si="410">IF($C1044="OTC",ROUNDDOWN($I1044*$E1044*0.000909187,-1),(IF($C1044="신한",ROUNDDOWN($I1044*$E1044*0.000036396,-1),(IF($C1044="토스",$I1044*$E1044*0.00015,(IF($C1044="US",(IF($I1044*$E1044*0.0025&gt;0.01,$I1044*$E1044*0.0025,0.01)),(IF($C1044="JP",(IF($I1044*$E1044*0.0025&gt;1000,$I1044*$E1044*0.0025,1000)),(IF($C1044="R토스",$I1044*$E1044*0.00015,(IF($C1044="무상증자(신한)",ROUNDDOWN($I1044*$E1044*0.000036396,-1),"")))))))))))))</f>
        <v>268.64999999999998</v>
      </c>
      <c r="M1044" s="206">
        <f t="shared" ref="M1044:M1051" si="411">Q1044*0.0015</f>
        <v>2686.5</v>
      </c>
      <c r="N1044" s="34"/>
      <c r="O1044" s="209">
        <f t="shared" si="383"/>
        <v>14</v>
      </c>
      <c r="P1044" s="34">
        <f t="shared" ref="P1044:P1051" si="412">$E1044*$F1044*$D1044</f>
        <v>1735000</v>
      </c>
      <c r="Q1044" s="34">
        <f t="shared" ref="Q1044:Q1051" si="413">$E1044*$I1044*$D1044</f>
        <v>1791000</v>
      </c>
      <c r="R1044" s="7">
        <f t="shared" ref="R1044:R1051" si="414">($N1044-$K1044-$L1044-$M1044)*$D1044</f>
        <v>-3215.4</v>
      </c>
      <c r="S1044" s="227">
        <f t="shared" si="384"/>
        <v>52784.6</v>
      </c>
      <c r="T1044" s="249">
        <f t="shared" si="385"/>
        <v>3.0423400576368876E-2</v>
      </c>
      <c r="V1044" s="36">
        <f t="shared" ref="V1044:V1051" si="415">+P1044*0.05*O1044/365</f>
        <v>3327.3972602739727</v>
      </c>
    </row>
    <row r="1045" spans="1:28" ht="15" customHeight="1" x14ac:dyDescent="0.4">
      <c r="B1045" s="38" t="s">
        <v>132</v>
      </c>
      <c r="C1045" s="6" t="s">
        <v>122</v>
      </c>
      <c r="D1045" s="6">
        <f t="shared" si="408"/>
        <v>1</v>
      </c>
      <c r="E1045" s="34">
        <v>40</v>
      </c>
      <c r="F1045" s="212">
        <v>17342</v>
      </c>
      <c r="G1045" s="195">
        <v>45810</v>
      </c>
      <c r="H1045" s="33" t="s">
        <v>113</v>
      </c>
      <c r="I1045" s="212">
        <v>17910</v>
      </c>
      <c r="J1045" s="8">
        <v>45820</v>
      </c>
      <c r="K1045" s="23">
        <f t="shared" si="409"/>
        <v>104.05199999999999</v>
      </c>
      <c r="L1045" s="23">
        <f t="shared" si="410"/>
        <v>107.46</v>
      </c>
      <c r="M1045" s="206">
        <f t="shared" si="411"/>
        <v>1074.5999999999999</v>
      </c>
      <c r="N1045" s="34"/>
      <c r="O1045" s="209">
        <f t="shared" si="383"/>
        <v>11</v>
      </c>
      <c r="P1045" s="34">
        <f t="shared" si="412"/>
        <v>693680</v>
      </c>
      <c r="Q1045" s="34">
        <f t="shared" si="413"/>
        <v>716400</v>
      </c>
      <c r="R1045" s="7">
        <f t="shared" si="414"/>
        <v>-1286.1119999999999</v>
      </c>
      <c r="S1045" s="227">
        <f t="shared" si="384"/>
        <v>21433.887999999999</v>
      </c>
      <c r="T1045" s="249">
        <f t="shared" si="385"/>
        <v>3.0898812132395339E-2</v>
      </c>
      <c r="U1045" s="38"/>
      <c r="V1045" s="36">
        <f t="shared" si="415"/>
        <v>1045.2712328767122</v>
      </c>
      <c r="W1045" s="23"/>
    </row>
    <row r="1046" spans="1:28" ht="15" customHeight="1" x14ac:dyDescent="0.4">
      <c r="B1046" s="38" t="s">
        <v>132</v>
      </c>
      <c r="C1046" s="6" t="s">
        <v>122</v>
      </c>
      <c r="D1046" s="6">
        <f t="shared" si="408"/>
        <v>1</v>
      </c>
      <c r="E1046" s="34">
        <v>60</v>
      </c>
      <c r="F1046" s="212">
        <v>17500</v>
      </c>
      <c r="G1046" s="195">
        <v>45812</v>
      </c>
      <c r="H1046" s="33" t="s">
        <v>113</v>
      </c>
      <c r="I1046" s="212">
        <v>17910</v>
      </c>
      <c r="J1046" s="8">
        <v>45820</v>
      </c>
      <c r="K1046" s="23">
        <f t="shared" si="409"/>
        <v>157.5</v>
      </c>
      <c r="L1046" s="23">
        <f t="shared" si="410"/>
        <v>161.19</v>
      </c>
      <c r="M1046" s="206">
        <f t="shared" si="411"/>
        <v>1611.9</v>
      </c>
      <c r="N1046" s="34"/>
      <c r="O1046" s="209">
        <f t="shared" si="383"/>
        <v>9</v>
      </c>
      <c r="P1046" s="34">
        <f t="shared" si="412"/>
        <v>1050000</v>
      </c>
      <c r="Q1046" s="34">
        <f t="shared" si="413"/>
        <v>1074600</v>
      </c>
      <c r="R1046" s="7">
        <f t="shared" si="414"/>
        <v>-1930.5900000000001</v>
      </c>
      <c r="S1046" s="227">
        <f t="shared" si="384"/>
        <v>22669.41</v>
      </c>
      <c r="T1046" s="249">
        <f t="shared" si="385"/>
        <v>2.1589914285714287E-2</v>
      </c>
      <c r="U1046" s="38"/>
      <c r="V1046" s="36">
        <f t="shared" si="415"/>
        <v>1294.5205479452054</v>
      </c>
      <c r="W1046" s="23"/>
    </row>
    <row r="1047" spans="1:28" ht="15" customHeight="1" x14ac:dyDescent="0.4">
      <c r="B1047" s="38" t="s">
        <v>132</v>
      </c>
      <c r="C1047" s="6" t="s">
        <v>122</v>
      </c>
      <c r="D1047" s="6">
        <f t="shared" si="408"/>
        <v>1</v>
      </c>
      <c r="E1047" s="34">
        <v>60</v>
      </c>
      <c r="F1047" s="212">
        <v>17470</v>
      </c>
      <c r="G1047" s="195">
        <v>45812</v>
      </c>
      <c r="H1047" s="33" t="s">
        <v>113</v>
      </c>
      <c r="I1047" s="212">
        <v>17910</v>
      </c>
      <c r="J1047" s="8">
        <v>45820</v>
      </c>
      <c r="K1047" s="23">
        <f t="shared" si="409"/>
        <v>157.22999999999999</v>
      </c>
      <c r="L1047" s="23">
        <f t="shared" si="410"/>
        <v>161.19</v>
      </c>
      <c r="M1047" s="206">
        <f t="shared" si="411"/>
        <v>1611.9</v>
      </c>
      <c r="N1047" s="34"/>
      <c r="O1047" s="209">
        <f t="shared" si="383"/>
        <v>9</v>
      </c>
      <c r="P1047" s="34">
        <f t="shared" si="412"/>
        <v>1048200</v>
      </c>
      <c r="Q1047" s="34">
        <f t="shared" si="413"/>
        <v>1074600</v>
      </c>
      <c r="R1047" s="7">
        <f t="shared" si="414"/>
        <v>-1930.3200000000002</v>
      </c>
      <c r="S1047" s="227">
        <f t="shared" si="384"/>
        <v>24469.68</v>
      </c>
      <c r="T1047" s="249">
        <f t="shared" si="385"/>
        <v>2.3344476244991415E-2</v>
      </c>
      <c r="U1047" s="38"/>
      <c r="V1047" s="36">
        <f t="shared" si="415"/>
        <v>1292.3013698630136</v>
      </c>
    </row>
    <row r="1048" spans="1:28" ht="15" customHeight="1" x14ac:dyDescent="0.4">
      <c r="B1048" s="38" t="s">
        <v>132</v>
      </c>
      <c r="C1048" s="6" t="s">
        <v>122</v>
      </c>
      <c r="D1048" s="6">
        <f t="shared" si="408"/>
        <v>1</v>
      </c>
      <c r="E1048" s="34">
        <v>30</v>
      </c>
      <c r="F1048" s="212">
        <v>17580</v>
      </c>
      <c r="G1048" s="195">
        <v>45813</v>
      </c>
      <c r="H1048" s="33" t="s">
        <v>113</v>
      </c>
      <c r="I1048" s="212">
        <v>17910</v>
      </c>
      <c r="J1048" s="8">
        <v>45820</v>
      </c>
      <c r="K1048" s="23">
        <f t="shared" si="409"/>
        <v>79.11</v>
      </c>
      <c r="L1048" s="23">
        <f t="shared" si="410"/>
        <v>80.594999999999999</v>
      </c>
      <c r="M1048" s="206">
        <f t="shared" si="411"/>
        <v>805.95</v>
      </c>
      <c r="N1048" s="34"/>
      <c r="O1048" s="209">
        <f t="shared" si="383"/>
        <v>8</v>
      </c>
      <c r="P1048" s="34">
        <f t="shared" si="412"/>
        <v>527400</v>
      </c>
      <c r="Q1048" s="34">
        <f t="shared" si="413"/>
        <v>537300</v>
      </c>
      <c r="R1048" s="7">
        <f t="shared" si="414"/>
        <v>-965.65499999999997</v>
      </c>
      <c r="S1048" s="227">
        <f t="shared" si="384"/>
        <v>8934.3449999999993</v>
      </c>
      <c r="T1048" s="249">
        <f t="shared" si="385"/>
        <v>1.6940358361774741E-2</v>
      </c>
      <c r="U1048" s="38"/>
      <c r="V1048" s="36">
        <f t="shared" si="415"/>
        <v>577.97260273972597</v>
      </c>
    </row>
    <row r="1049" spans="1:28" ht="15" customHeight="1" x14ac:dyDescent="0.4">
      <c r="B1049" s="38" t="s">
        <v>132</v>
      </c>
      <c r="C1049" s="6" t="s">
        <v>122</v>
      </c>
      <c r="D1049" s="6">
        <f t="shared" si="408"/>
        <v>1</v>
      </c>
      <c r="E1049" s="34">
        <v>6</v>
      </c>
      <c r="F1049" s="212">
        <v>17170</v>
      </c>
      <c r="G1049" s="195">
        <v>45824</v>
      </c>
      <c r="H1049" s="33" t="s">
        <v>113</v>
      </c>
      <c r="I1049" s="212">
        <v>20800</v>
      </c>
      <c r="J1049" s="8">
        <v>45826</v>
      </c>
      <c r="K1049" s="23">
        <f t="shared" si="409"/>
        <v>15.452999999999999</v>
      </c>
      <c r="L1049" s="23">
        <f t="shared" si="410"/>
        <v>18.72</v>
      </c>
      <c r="M1049" s="206">
        <f t="shared" si="411"/>
        <v>187.20000000000002</v>
      </c>
      <c r="N1049" s="34"/>
      <c r="O1049" s="40">
        <f t="shared" si="383"/>
        <v>3</v>
      </c>
      <c r="P1049" s="34">
        <f t="shared" si="412"/>
        <v>103020</v>
      </c>
      <c r="Q1049" s="34">
        <f t="shared" si="413"/>
        <v>124800</v>
      </c>
      <c r="R1049" s="7">
        <f t="shared" si="414"/>
        <v>-221.37300000000002</v>
      </c>
      <c r="S1049" s="227">
        <f t="shared" si="384"/>
        <v>21558.627</v>
      </c>
      <c r="T1049" s="249">
        <f t="shared" si="385"/>
        <v>0.20926642399534071</v>
      </c>
      <c r="U1049" s="38"/>
      <c r="V1049" s="36">
        <f t="shared" si="415"/>
        <v>42.336986301369862</v>
      </c>
      <c r="W1049"/>
      <c r="X1049"/>
      <c r="Y1049"/>
      <c r="Z1049"/>
      <c r="AA1049"/>
      <c r="AB1049"/>
    </row>
    <row r="1050" spans="1:28" ht="15" customHeight="1" x14ac:dyDescent="0.4">
      <c r="B1050" s="38" t="s">
        <v>132</v>
      </c>
      <c r="C1050" s="6" t="s">
        <v>122</v>
      </c>
      <c r="D1050" s="6">
        <f t="shared" si="408"/>
        <v>1</v>
      </c>
      <c r="E1050" s="34">
        <v>70</v>
      </c>
      <c r="F1050" s="212">
        <v>17700</v>
      </c>
      <c r="G1050" s="195">
        <v>45825</v>
      </c>
      <c r="H1050" s="33" t="s">
        <v>113</v>
      </c>
      <c r="I1050" s="212">
        <v>20800</v>
      </c>
      <c r="J1050" s="8">
        <v>45826</v>
      </c>
      <c r="K1050" s="23">
        <f t="shared" si="409"/>
        <v>185.85</v>
      </c>
      <c r="L1050" s="23">
        <f t="shared" si="410"/>
        <v>218.39999999999998</v>
      </c>
      <c r="M1050" s="206">
        <f t="shared" si="411"/>
        <v>2184</v>
      </c>
      <c r="N1050" s="34"/>
      <c r="O1050" s="40">
        <f t="shared" si="383"/>
        <v>2</v>
      </c>
      <c r="P1050" s="34">
        <f t="shared" si="412"/>
        <v>1239000</v>
      </c>
      <c r="Q1050" s="34">
        <f t="shared" si="413"/>
        <v>1456000</v>
      </c>
      <c r="R1050" s="7">
        <f t="shared" si="414"/>
        <v>-2588.25</v>
      </c>
      <c r="S1050" s="227">
        <f t="shared" si="384"/>
        <v>214411.75</v>
      </c>
      <c r="T1050" s="249">
        <f t="shared" si="385"/>
        <v>0.17305225988700565</v>
      </c>
      <c r="U1050" s="38"/>
      <c r="V1050" s="36">
        <f t="shared" si="415"/>
        <v>339.45205479452056</v>
      </c>
      <c r="W1050"/>
      <c r="X1050"/>
      <c r="Y1050"/>
      <c r="Z1050"/>
      <c r="AA1050"/>
      <c r="AB1050"/>
    </row>
    <row r="1051" spans="1:28" ht="15" customHeight="1" x14ac:dyDescent="0.4">
      <c r="B1051" s="38" t="s">
        <v>132</v>
      </c>
      <c r="C1051" s="6" t="s">
        <v>122</v>
      </c>
      <c r="D1051" s="6">
        <f t="shared" si="408"/>
        <v>1</v>
      </c>
      <c r="E1051" s="34">
        <v>25</v>
      </c>
      <c r="F1051" s="212">
        <v>17490</v>
      </c>
      <c r="G1051" s="195">
        <v>45825</v>
      </c>
      <c r="H1051" s="33" t="s">
        <v>113</v>
      </c>
      <c r="I1051" s="212">
        <v>20800</v>
      </c>
      <c r="J1051" s="8">
        <v>45826</v>
      </c>
      <c r="K1051" s="23">
        <f t="shared" si="409"/>
        <v>65.587499999999991</v>
      </c>
      <c r="L1051" s="23">
        <f t="shared" si="410"/>
        <v>78</v>
      </c>
      <c r="M1051" s="206">
        <f t="shared" si="411"/>
        <v>780</v>
      </c>
      <c r="N1051" s="34"/>
      <c r="O1051" s="40">
        <f t="shared" si="383"/>
        <v>2</v>
      </c>
      <c r="P1051" s="34">
        <f t="shared" si="412"/>
        <v>437250</v>
      </c>
      <c r="Q1051" s="34">
        <f t="shared" si="413"/>
        <v>520000</v>
      </c>
      <c r="R1051" s="7">
        <f t="shared" si="414"/>
        <v>-923.58749999999998</v>
      </c>
      <c r="S1051" s="227">
        <f t="shared" si="384"/>
        <v>81826.412500000006</v>
      </c>
      <c r="T1051" s="249">
        <f t="shared" si="385"/>
        <v>0.18713873642081191</v>
      </c>
      <c r="U1051" s="38"/>
      <c r="V1051" s="36">
        <f t="shared" si="415"/>
        <v>119.79452054794521</v>
      </c>
    </row>
    <row r="1052" spans="1:28" ht="15" customHeight="1" x14ac:dyDescent="0.4">
      <c r="B1052" s="38" t="s">
        <v>132</v>
      </c>
      <c r="C1052" s="6" t="s">
        <v>162</v>
      </c>
      <c r="D1052" s="6"/>
      <c r="E1052" s="36">
        <v>150</v>
      </c>
      <c r="F1052" s="212">
        <v>10900</v>
      </c>
      <c r="G1052" s="195">
        <v>43475</v>
      </c>
      <c r="H1052" s="8"/>
      <c r="I1052" s="212">
        <v>12000</v>
      </c>
      <c r="J1052" s="8">
        <v>43483</v>
      </c>
      <c r="K1052" s="7">
        <f>ROUNDDOWN(E1052*F1052*0.0015,-1)</f>
        <v>2450</v>
      </c>
      <c r="L1052" s="7">
        <f>ROUNDDOWN(I1052*E1052*0.0015,-1)</f>
        <v>2700</v>
      </c>
      <c r="M1052" s="196">
        <f>I1052*E1052*0.003</f>
        <v>5400</v>
      </c>
      <c r="N1052" s="36"/>
      <c r="O1052" s="191">
        <f t="shared" si="383"/>
        <v>9</v>
      </c>
      <c r="P1052" s="36">
        <f>F1052*E1052</f>
        <v>1635000</v>
      </c>
      <c r="Q1052" s="36">
        <f>I1052*E1052</f>
        <v>1800000</v>
      </c>
      <c r="R1052" s="7">
        <f>N1052-K1052-L1052-M1052</f>
        <v>-10550</v>
      </c>
      <c r="S1052" s="227">
        <f t="shared" si="384"/>
        <v>154450</v>
      </c>
      <c r="T1052" s="248">
        <f t="shared" si="385"/>
        <v>9.4464831804281349E-2</v>
      </c>
      <c r="U1052" s="193">
        <f>T1052*365/O1052</f>
        <v>3.8310737342847441</v>
      </c>
      <c r="V1052" s="6"/>
      <c r="W1052"/>
      <c r="X1052"/>
      <c r="Y1052"/>
      <c r="Z1052"/>
      <c r="AA1052"/>
      <c r="AB1052"/>
    </row>
    <row r="1053" spans="1:28" ht="15" customHeight="1" x14ac:dyDescent="0.4">
      <c r="B1053" s="38" t="s">
        <v>132</v>
      </c>
      <c r="C1053" s="6" t="s">
        <v>162</v>
      </c>
      <c r="D1053" s="6"/>
      <c r="E1053" s="36">
        <v>800</v>
      </c>
      <c r="F1053" s="212">
        <v>13100</v>
      </c>
      <c r="G1053" s="195">
        <v>43517</v>
      </c>
      <c r="H1053" s="8"/>
      <c r="I1053" s="212">
        <v>11550</v>
      </c>
      <c r="J1053" s="8">
        <v>43537</v>
      </c>
      <c r="K1053" s="7">
        <f>ROUNDDOWN(E1053*F1053*0.0015,-1)</f>
        <v>15720</v>
      </c>
      <c r="L1053" s="7">
        <f>ROUNDDOWN(I1053*E1053*0.0015,-1)</f>
        <v>13860</v>
      </c>
      <c r="M1053" s="196">
        <f>I1053*E1053*0.003</f>
        <v>27720</v>
      </c>
      <c r="N1053" s="36"/>
      <c r="O1053" s="191">
        <f t="shared" si="383"/>
        <v>21</v>
      </c>
      <c r="P1053" s="36">
        <f>F1053*E1053</f>
        <v>10480000</v>
      </c>
      <c r="Q1053" s="36">
        <f>I1053*E1053</f>
        <v>9240000</v>
      </c>
      <c r="R1053" s="7">
        <f>N1053-K1053-L1053-M1053</f>
        <v>-57300</v>
      </c>
      <c r="S1053" s="227">
        <f t="shared" si="384"/>
        <v>-1297300</v>
      </c>
      <c r="T1053" s="248">
        <f t="shared" si="385"/>
        <v>-0.1237881679389313</v>
      </c>
      <c r="U1053" s="193">
        <f>T1053*365/O1053</f>
        <v>-2.1515562522719014</v>
      </c>
      <c r="V1053" s="6"/>
      <c r="W1053"/>
      <c r="X1053"/>
      <c r="Y1053"/>
      <c r="Z1053"/>
      <c r="AA1053"/>
      <c r="AB1053"/>
    </row>
    <row r="1054" spans="1:28" s="33" customFormat="1" ht="15" customHeight="1" x14ac:dyDescent="0.4">
      <c r="B1054" s="38" t="s">
        <v>132</v>
      </c>
      <c r="C1054" s="6" t="s">
        <v>160</v>
      </c>
      <c r="D1054" s="6">
        <f>IF(OR($C1054="신한",$C1054="OTC",$C1054="무상증자(신한)",$C1054="토스",$C1054="R토스"),1,"확인")</f>
        <v>1</v>
      </c>
      <c r="E1054" s="34">
        <v>100</v>
      </c>
      <c r="F1054" s="212">
        <v>8750</v>
      </c>
      <c r="G1054" s="195">
        <v>44047</v>
      </c>
      <c r="H1054" s="8"/>
      <c r="I1054" s="212">
        <v>10250</v>
      </c>
      <c r="J1054" s="8">
        <v>44048</v>
      </c>
      <c r="K1054" s="23">
        <f>IF($C1054="OTC",ROUNDDOWN($E1054*$F1054*0.000909187,-1),(IF($C1054="신한",ROUNDDOWN($E1054*$F1054*0.000036396,-1),(IF($C1054="토스",$E1054*$F1054*0.00015,(IF($C1054="US",(IF($E1054*$F1054*0.0025&gt;0.01,$E1054*$F1054*0.0025,0.01)),IF($C1054="JP",(IF($E1054*$F1054*0.0025&gt;1000,$E1054*$F1054*0.0025,1000)),(IF($C1054="R토스",0,IF($C1054="무상증자(신한)",0,"")))))))))))</f>
        <v>30</v>
      </c>
      <c r="L1054" s="23">
        <f>IF($C1054="OTC",ROUNDDOWN($I1054*$E1054*0.000909187,-1),(IF($C1054="신한",ROUNDDOWN($I1054*$E1054*0.000036396,-1),(IF($C1054="토스",$I1054*$E1054*0.00015,(IF($C1054="US",(IF($I1054*$E1054*0.0025&gt;0.01,$I1054*$E1054*0.0025,0.01)),(IF($C1054="JP",(IF($I1054*$E1054*0.0025&gt;1000,$I1054*$E1054*0.0025,1000)),(IF($C1054="R토스",$I1054*$E1054*0.00015,(IF($C1054="무상증자(신한)",ROUNDDOWN($I1054*$E1054*0.000036396,-1),"")))))))))))))</f>
        <v>30</v>
      </c>
      <c r="M1054" s="206">
        <f>Q1054*0.0025</f>
        <v>2562.5</v>
      </c>
      <c r="N1054" s="34"/>
      <c r="O1054" s="209">
        <f t="shared" si="383"/>
        <v>2</v>
      </c>
      <c r="P1054" s="34">
        <f>$E1054*$F1054*$D1054</f>
        <v>875000</v>
      </c>
      <c r="Q1054" s="34">
        <f>$E1054*$I1054*$D1054</f>
        <v>1025000</v>
      </c>
      <c r="R1054" s="7">
        <f>($N1054-$K1054-$L1054-$M1054)*$D1054</f>
        <v>-2622.5</v>
      </c>
      <c r="S1054" s="227">
        <f t="shared" si="384"/>
        <v>147377.5</v>
      </c>
      <c r="T1054" s="249">
        <f t="shared" si="385"/>
        <v>0.16843142857142857</v>
      </c>
    </row>
    <row r="1055" spans="1:28" s="33" customFormat="1" ht="15" customHeight="1" x14ac:dyDescent="0.4">
      <c r="B1055" s="38" t="s">
        <v>445</v>
      </c>
      <c r="C1055" s="6" t="s">
        <v>185</v>
      </c>
      <c r="D1055" s="6"/>
      <c r="E1055" s="36">
        <v>10</v>
      </c>
      <c r="F1055" s="212">
        <v>8930</v>
      </c>
      <c r="G1055" s="195">
        <v>39430</v>
      </c>
      <c r="H1055" s="8"/>
      <c r="I1055" s="212">
        <v>9410</v>
      </c>
      <c r="J1055" s="8">
        <v>39440</v>
      </c>
      <c r="K1055" s="7">
        <f>ROUNDDOWN(E1055*F1055*0.005,-1)</f>
        <v>440</v>
      </c>
      <c r="L1055" s="7">
        <f>ROUNDDOWN(I1055*E1055*0.005,-1)</f>
        <v>470</v>
      </c>
      <c r="M1055" s="196">
        <f>I1055*E1055*0.003</f>
        <v>282.3</v>
      </c>
      <c r="N1055" s="36"/>
      <c r="O1055" s="191">
        <f t="shared" si="383"/>
        <v>11</v>
      </c>
      <c r="P1055" s="36">
        <f t="shared" ref="P1055:P1064" si="416">F1055*E1055</f>
        <v>89300</v>
      </c>
      <c r="Q1055" s="36">
        <f t="shared" ref="Q1055:Q1064" si="417">I1055*E1055</f>
        <v>94100</v>
      </c>
      <c r="R1055" s="7">
        <f t="shared" ref="R1055:R1064" si="418">N1055-K1055-L1055-M1055</f>
        <v>-1192.3</v>
      </c>
      <c r="S1055" s="227">
        <f t="shared" si="384"/>
        <v>3607.7</v>
      </c>
      <c r="T1055" s="248">
        <f t="shared" si="385"/>
        <v>4.0399776035834264E-2</v>
      </c>
      <c r="U1055" s="9">
        <f t="shared" ref="U1055:U1064" si="419">T1055*365/O1055</f>
        <v>1.3405380230072279</v>
      </c>
      <c r="V1055" s="6"/>
    </row>
    <row r="1056" spans="1:28" s="33" customFormat="1" ht="15" customHeight="1" x14ac:dyDescent="0.4">
      <c r="B1056" s="38" t="s">
        <v>131</v>
      </c>
      <c r="C1056" s="6" t="s">
        <v>162</v>
      </c>
      <c r="D1056" s="6"/>
      <c r="E1056" s="36">
        <v>50</v>
      </c>
      <c r="F1056" s="212">
        <v>20200</v>
      </c>
      <c r="G1056" s="195">
        <v>42590</v>
      </c>
      <c r="H1056" s="8"/>
      <c r="I1056" s="212">
        <v>17000</v>
      </c>
      <c r="J1056" s="8">
        <v>42647</v>
      </c>
      <c r="K1056" s="7">
        <f>ROUNDDOWN(E1056*F1056*0.0015,-1)</f>
        <v>1510</v>
      </c>
      <c r="L1056" s="7">
        <f>ROUNDDOWN(I1056*E1056*0.0015,-1)</f>
        <v>1270</v>
      </c>
      <c r="M1056" s="196">
        <f>I1056*E1056*0.003</f>
        <v>2550</v>
      </c>
      <c r="N1056" s="36"/>
      <c r="O1056" s="191">
        <f t="shared" si="383"/>
        <v>58</v>
      </c>
      <c r="P1056" s="36">
        <f t="shared" si="416"/>
        <v>1010000</v>
      </c>
      <c r="Q1056" s="36">
        <f t="shared" si="417"/>
        <v>850000</v>
      </c>
      <c r="R1056" s="7">
        <f t="shared" si="418"/>
        <v>-5330</v>
      </c>
      <c r="S1056" s="227">
        <f t="shared" si="384"/>
        <v>-165330</v>
      </c>
      <c r="T1056" s="248">
        <f t="shared" si="385"/>
        <v>-0.1636930693069307</v>
      </c>
      <c r="U1056" s="9">
        <f t="shared" si="419"/>
        <v>-1.0301374189143053</v>
      </c>
      <c r="V1056" s="6"/>
    </row>
    <row r="1057" spans="2:28" s="33" customFormat="1" ht="15" customHeight="1" x14ac:dyDescent="0.4">
      <c r="B1057" s="198" t="s">
        <v>446</v>
      </c>
      <c r="C1057" s="6" t="s">
        <v>162</v>
      </c>
      <c r="D1057" s="15"/>
      <c r="E1057" s="36">
        <v>500</v>
      </c>
      <c r="F1057" s="212">
        <v>4125</v>
      </c>
      <c r="G1057" s="195">
        <v>43896</v>
      </c>
      <c r="H1057" s="8"/>
      <c r="I1057" s="212">
        <v>2000</v>
      </c>
      <c r="J1057" s="8">
        <v>44042</v>
      </c>
      <c r="K1057" s="7">
        <f>ROUNDDOWN(E1057*F1057*0.0015,-1)</f>
        <v>3090</v>
      </c>
      <c r="L1057" s="7">
        <f>ROUNDDOWN(I1057*E1057*0.0015,-1)</f>
        <v>1500</v>
      </c>
      <c r="M1057" s="196">
        <f>ROUNDDOWN(I1057*E1057*0.0025, )</f>
        <v>2500</v>
      </c>
      <c r="N1057" s="36"/>
      <c r="O1057" s="191">
        <f t="shared" si="383"/>
        <v>147</v>
      </c>
      <c r="P1057" s="36">
        <f t="shared" si="416"/>
        <v>2062500</v>
      </c>
      <c r="Q1057" s="36">
        <f t="shared" si="417"/>
        <v>1000000</v>
      </c>
      <c r="R1057" s="7">
        <f t="shared" si="418"/>
        <v>-7090</v>
      </c>
      <c r="S1057" s="227">
        <f t="shared" si="384"/>
        <v>-1069590</v>
      </c>
      <c r="T1057" s="248">
        <f t="shared" si="385"/>
        <v>-0.51858909090909089</v>
      </c>
      <c r="U1057" s="9">
        <f t="shared" si="419"/>
        <v>-1.2876531849103277</v>
      </c>
      <c r="V1057" s="6"/>
    </row>
    <row r="1058" spans="2:28" s="33" customFormat="1" ht="15" customHeight="1" x14ac:dyDescent="0.4">
      <c r="B1058" s="38" t="s">
        <v>162</v>
      </c>
      <c r="C1058" s="6" t="s">
        <v>187</v>
      </c>
      <c r="D1058" s="6"/>
      <c r="E1058" s="36">
        <v>100</v>
      </c>
      <c r="F1058" s="212">
        <v>27350</v>
      </c>
      <c r="G1058" s="195">
        <v>41792</v>
      </c>
      <c r="H1058" s="8"/>
      <c r="I1058" s="212">
        <v>28000</v>
      </c>
      <c r="J1058" s="8">
        <v>41803</v>
      </c>
      <c r="K1058" s="7">
        <f>ROUNDDOWN(E1058*F1058*0.00015,-1)</f>
        <v>410</v>
      </c>
      <c r="L1058" s="7">
        <f>ROUNDDOWN(I1058*E1058*0.00015,-1)</f>
        <v>420</v>
      </c>
      <c r="M1058" s="196">
        <f>I1058*E1058*0.003</f>
        <v>8400</v>
      </c>
      <c r="N1058" s="36"/>
      <c r="O1058" s="191">
        <f t="shared" si="383"/>
        <v>12</v>
      </c>
      <c r="P1058" s="36">
        <f t="shared" si="416"/>
        <v>2735000</v>
      </c>
      <c r="Q1058" s="36">
        <f t="shared" si="417"/>
        <v>2800000</v>
      </c>
      <c r="R1058" s="7">
        <f t="shared" si="418"/>
        <v>-9230</v>
      </c>
      <c r="S1058" s="227">
        <f t="shared" si="384"/>
        <v>55770</v>
      </c>
      <c r="T1058" s="248">
        <f t="shared" si="385"/>
        <v>2.0391224862888482E-2</v>
      </c>
      <c r="U1058" s="9">
        <f t="shared" si="419"/>
        <v>0.62023308957952461</v>
      </c>
      <c r="V1058" s="6"/>
    </row>
    <row r="1059" spans="2:28" ht="15" customHeight="1" x14ac:dyDescent="0.4">
      <c r="B1059" s="38" t="s">
        <v>447</v>
      </c>
      <c r="C1059" s="6" t="s">
        <v>187</v>
      </c>
      <c r="D1059" s="6"/>
      <c r="E1059" s="36">
        <v>40</v>
      </c>
      <c r="F1059" s="212">
        <v>54500</v>
      </c>
      <c r="G1059" s="195">
        <v>42171</v>
      </c>
      <c r="H1059" s="8"/>
      <c r="I1059" s="212">
        <v>100000</v>
      </c>
      <c r="J1059" s="8">
        <v>42360</v>
      </c>
      <c r="K1059" s="7">
        <f>ROUNDDOWN(E1059*F1059*0.00015,-1)</f>
        <v>320</v>
      </c>
      <c r="L1059" s="7">
        <f>ROUNDDOWN(I1059*E1059*0.00015,-1)</f>
        <v>600</v>
      </c>
      <c r="M1059" s="196">
        <f>I1059*E1059*0.003</f>
        <v>12000</v>
      </c>
      <c r="N1059" s="36"/>
      <c r="O1059" s="191">
        <f t="shared" ref="O1059:O1122" si="420">J1059-G1059+1</f>
        <v>190</v>
      </c>
      <c r="P1059" s="36">
        <f t="shared" si="416"/>
        <v>2180000</v>
      </c>
      <c r="Q1059" s="36">
        <f t="shared" si="417"/>
        <v>4000000</v>
      </c>
      <c r="R1059" s="7">
        <f t="shared" si="418"/>
        <v>-12920</v>
      </c>
      <c r="S1059" s="227">
        <f t="shared" ref="S1059:S1122" si="421">IF(Q1059=0,0,Q1059-P1059+R1059)</f>
        <v>1807080</v>
      </c>
      <c r="T1059" s="248">
        <f t="shared" ref="T1059:T1122" si="422">S1059/P1059</f>
        <v>0.82893577981651378</v>
      </c>
      <c r="U1059" s="193">
        <f t="shared" si="419"/>
        <v>1.5924292612264606</v>
      </c>
      <c r="V1059" s="6"/>
      <c r="W1059"/>
      <c r="X1059"/>
      <c r="Y1059"/>
      <c r="Z1059"/>
      <c r="AA1059"/>
      <c r="AB1059"/>
    </row>
    <row r="1060" spans="2:28" ht="15" customHeight="1" x14ac:dyDescent="0.4">
      <c r="B1060" s="38" t="s">
        <v>447</v>
      </c>
      <c r="C1060" s="6" t="s">
        <v>162</v>
      </c>
      <c r="D1060" s="6"/>
      <c r="E1060" s="36">
        <v>30</v>
      </c>
      <c r="F1060" s="212">
        <v>42250</v>
      </c>
      <c r="G1060" s="195">
        <v>42587</v>
      </c>
      <c r="H1060" s="8"/>
      <c r="I1060" s="212">
        <v>46400</v>
      </c>
      <c r="J1060" s="8">
        <v>42606</v>
      </c>
      <c r="K1060" s="7">
        <f>ROUNDDOWN(E1060*F1060*0.0015,-1)</f>
        <v>1900</v>
      </c>
      <c r="L1060" s="7">
        <f>ROUNDDOWN(I1060*E1060*0.0015,-1)</f>
        <v>2080</v>
      </c>
      <c r="M1060" s="196">
        <f>I1060*E1060*0.003</f>
        <v>4176</v>
      </c>
      <c r="N1060" s="36"/>
      <c r="O1060" s="191">
        <f t="shared" si="420"/>
        <v>20</v>
      </c>
      <c r="P1060" s="36">
        <f t="shared" si="416"/>
        <v>1267500</v>
      </c>
      <c r="Q1060" s="36">
        <f t="shared" si="417"/>
        <v>1392000</v>
      </c>
      <c r="R1060" s="7">
        <f t="shared" si="418"/>
        <v>-8156</v>
      </c>
      <c r="S1060" s="227">
        <f t="shared" si="421"/>
        <v>116344</v>
      </c>
      <c r="T1060" s="248">
        <f t="shared" si="422"/>
        <v>9.1790138067061142E-2</v>
      </c>
      <c r="U1060" s="193">
        <f t="shared" si="419"/>
        <v>1.6751700197238659</v>
      </c>
      <c r="V1060" s="6"/>
      <c r="W1060"/>
      <c r="X1060"/>
      <c r="Y1060"/>
      <c r="Z1060"/>
      <c r="AA1060"/>
      <c r="AB1060"/>
    </row>
    <row r="1061" spans="2:28" s="33" customFormat="1" ht="15" customHeight="1" x14ac:dyDescent="0.4">
      <c r="B1061" s="198" t="s">
        <v>447</v>
      </c>
      <c r="C1061" s="6" t="s">
        <v>162</v>
      </c>
      <c r="D1061" s="15"/>
      <c r="E1061" s="36">
        <v>400</v>
      </c>
      <c r="F1061" s="212">
        <v>23300</v>
      </c>
      <c r="G1061" s="195">
        <v>43616</v>
      </c>
      <c r="H1061" s="8"/>
      <c r="I1061" s="212">
        <v>23600</v>
      </c>
      <c r="J1061" s="8">
        <v>43640</v>
      </c>
      <c r="K1061" s="7">
        <f>ROUNDDOWN(E1061*F1061*0.0015,-1)</f>
        <v>13980</v>
      </c>
      <c r="L1061" s="7">
        <f>ROUNDDOWN(I1061*E1061*0.0015,-1)</f>
        <v>14160</v>
      </c>
      <c r="M1061" s="196">
        <f>ROUNDDOWN(I1061*E1061*0.0025, )</f>
        <v>23600</v>
      </c>
      <c r="N1061" s="36"/>
      <c r="O1061" s="191">
        <f t="shared" si="420"/>
        <v>25</v>
      </c>
      <c r="P1061" s="36">
        <f t="shared" si="416"/>
        <v>9320000</v>
      </c>
      <c r="Q1061" s="36">
        <f t="shared" si="417"/>
        <v>9440000</v>
      </c>
      <c r="R1061" s="7">
        <f t="shared" si="418"/>
        <v>-51740</v>
      </c>
      <c r="S1061" s="227">
        <f t="shared" si="421"/>
        <v>68260</v>
      </c>
      <c r="T1061" s="248">
        <f t="shared" si="422"/>
        <v>7.3240343347639484E-3</v>
      </c>
      <c r="U1061" s="9">
        <f t="shared" si="419"/>
        <v>0.10693090128755366</v>
      </c>
      <c r="V1061" s="6"/>
    </row>
    <row r="1062" spans="2:28" s="33" customFormat="1" ht="15" customHeight="1" x14ac:dyDescent="0.4">
      <c r="B1062" s="38" t="s">
        <v>448</v>
      </c>
      <c r="C1062" s="6" t="s">
        <v>187</v>
      </c>
      <c r="D1062" s="6"/>
      <c r="E1062" s="36">
        <v>200</v>
      </c>
      <c r="F1062" s="212">
        <v>6830</v>
      </c>
      <c r="G1062" s="195">
        <v>41432</v>
      </c>
      <c r="H1062" s="8"/>
      <c r="I1062" s="212">
        <v>7210</v>
      </c>
      <c r="J1062" s="8">
        <v>41534</v>
      </c>
      <c r="K1062" s="7">
        <f>ROUNDDOWN(E1062*F1062*0.00015,-1)</f>
        <v>200</v>
      </c>
      <c r="L1062" s="7">
        <f>ROUNDDOWN(I1062*E1062*0.00015,-1)</f>
        <v>210</v>
      </c>
      <c r="M1062" s="196">
        <f>I1062*E1062*0.003</f>
        <v>4326</v>
      </c>
      <c r="N1062" s="36"/>
      <c r="O1062" s="191">
        <f t="shared" si="420"/>
        <v>103</v>
      </c>
      <c r="P1062" s="36">
        <f t="shared" si="416"/>
        <v>1366000</v>
      </c>
      <c r="Q1062" s="36">
        <f t="shared" si="417"/>
        <v>1442000</v>
      </c>
      <c r="R1062" s="7">
        <f t="shared" si="418"/>
        <v>-4736</v>
      </c>
      <c r="S1062" s="227">
        <f t="shared" si="421"/>
        <v>71264</v>
      </c>
      <c r="T1062" s="248">
        <f t="shared" si="422"/>
        <v>5.2169838945827232E-2</v>
      </c>
      <c r="U1062" s="9">
        <f t="shared" si="419"/>
        <v>0.18487370111870816</v>
      </c>
      <c r="V1062" s="6"/>
    </row>
    <row r="1063" spans="2:28" s="33" customFormat="1" ht="15" customHeight="1" x14ac:dyDescent="0.4">
      <c r="B1063" s="38" t="s">
        <v>448</v>
      </c>
      <c r="C1063" s="6" t="s">
        <v>187</v>
      </c>
      <c r="D1063" s="6"/>
      <c r="E1063" s="36">
        <v>500</v>
      </c>
      <c r="F1063" s="212">
        <v>7070</v>
      </c>
      <c r="G1063" s="195">
        <v>41660</v>
      </c>
      <c r="H1063" s="8"/>
      <c r="I1063" s="212">
        <v>7170</v>
      </c>
      <c r="J1063" s="8">
        <v>41661</v>
      </c>
      <c r="K1063" s="7">
        <f>ROUNDDOWN(E1063*F1063*0.00015,-1)</f>
        <v>530</v>
      </c>
      <c r="L1063" s="7">
        <f>ROUNDDOWN(I1063*E1063*0.00015,-1)</f>
        <v>530</v>
      </c>
      <c r="M1063" s="196">
        <f>I1063*E1063*0.003</f>
        <v>10755</v>
      </c>
      <c r="N1063" s="36"/>
      <c r="O1063" s="191">
        <f t="shared" si="420"/>
        <v>2</v>
      </c>
      <c r="P1063" s="36">
        <f t="shared" si="416"/>
        <v>3535000</v>
      </c>
      <c r="Q1063" s="36">
        <f t="shared" si="417"/>
        <v>3585000</v>
      </c>
      <c r="R1063" s="7">
        <f t="shared" si="418"/>
        <v>-11815</v>
      </c>
      <c r="S1063" s="227">
        <f t="shared" si="421"/>
        <v>38185</v>
      </c>
      <c r="T1063" s="248">
        <f t="shared" si="422"/>
        <v>1.0801980198019801E-2</v>
      </c>
      <c r="U1063" s="9">
        <f t="shared" si="419"/>
        <v>1.9713613861386137</v>
      </c>
      <c r="V1063" s="6"/>
    </row>
    <row r="1064" spans="2:28" s="33" customFormat="1" ht="15" customHeight="1" x14ac:dyDescent="0.4">
      <c r="B1064" s="38" t="s">
        <v>448</v>
      </c>
      <c r="C1064" s="6" t="s">
        <v>187</v>
      </c>
      <c r="D1064" s="6"/>
      <c r="E1064" s="36">
        <v>120</v>
      </c>
      <c r="F1064" s="212">
        <v>6960</v>
      </c>
      <c r="G1064" s="195">
        <v>41673</v>
      </c>
      <c r="H1064" s="8"/>
      <c r="I1064" s="212">
        <v>7100</v>
      </c>
      <c r="J1064" s="8">
        <v>41880</v>
      </c>
      <c r="K1064" s="7">
        <f>ROUNDDOWN(E1064*F1064*0.00015,-1)</f>
        <v>120</v>
      </c>
      <c r="L1064" s="7">
        <f>ROUNDDOWN(I1064*E1064*0.00015,-1)</f>
        <v>120</v>
      </c>
      <c r="M1064" s="196">
        <f>I1064*E1064*0.003</f>
        <v>2556</v>
      </c>
      <c r="N1064" s="36"/>
      <c r="O1064" s="191">
        <f t="shared" si="420"/>
        <v>208</v>
      </c>
      <c r="P1064" s="36">
        <f t="shared" si="416"/>
        <v>835200</v>
      </c>
      <c r="Q1064" s="36">
        <f t="shared" si="417"/>
        <v>852000</v>
      </c>
      <c r="R1064" s="7">
        <f t="shared" si="418"/>
        <v>-2796</v>
      </c>
      <c r="S1064" s="227">
        <f t="shared" si="421"/>
        <v>14004</v>
      </c>
      <c r="T1064" s="248">
        <f t="shared" si="422"/>
        <v>1.6767241379310346E-2</v>
      </c>
      <c r="U1064" s="9">
        <f t="shared" si="419"/>
        <v>2.9423284151193638E-2</v>
      </c>
      <c r="V1064" s="6"/>
    </row>
    <row r="1065" spans="2:28" s="33" customFormat="1" ht="15" customHeight="1" x14ac:dyDescent="0.4">
      <c r="B1065" s="38" t="s">
        <v>448</v>
      </c>
      <c r="C1065" s="6" t="s">
        <v>160</v>
      </c>
      <c r="D1065" s="6">
        <f t="shared" ref="D1065:D1080" si="423">IF(OR($C1065="신한",$C1065="OTC",$C1065="무상증자(신한)",$C1065="토스",$C1065="R토스"),1,"확인")</f>
        <v>1</v>
      </c>
      <c r="E1065" s="34">
        <v>2740</v>
      </c>
      <c r="F1065" s="212">
        <v>2700</v>
      </c>
      <c r="G1065" s="195">
        <v>44182</v>
      </c>
      <c r="H1065" s="8"/>
      <c r="I1065" s="212">
        <v>2501</v>
      </c>
      <c r="J1065" s="8">
        <v>44186</v>
      </c>
      <c r="K1065" s="23">
        <f t="shared" ref="K1065:K1078" si="424">IF($C1065="OTC",ROUNDDOWN($E1065*$F1065*0.000909187,-1),(IF($C1065="신한",ROUNDDOWN($E1065*$F1065*0.000036396,-1),(IF($C1065="토스",$E1065*$F1065*0.00015,(IF($C1065="US",(IF($E1065*$F1065*0.0025&gt;0.01,$E1065*$F1065*0.0025,0.01)),IF($C1065="JP",(IF($E1065*$F1065*0.0025&gt;1000,$E1065*$F1065*0.0025,1000)),(IF($C1065="R토스",0,IF($C1065="무상증자(신한)",0,"")))))))))))</f>
        <v>260</v>
      </c>
      <c r="L1065" s="23">
        <f>IF($C1065="OTC",ROUNDDOWN($I1065*$E1065*0.000909187,-1),(IF($C1065="신한",ROUNDDOWN($I1065*$E1065*0.000036396,-1),(IF($C1065="토스",$I1065*$E1065*0.00015,(IF($C1065="US",(IF($I1065*$E1065*0.0025&gt;0.01,$I1065*$E1065*0.0025,0.01)),(IF($C1065="JP",(IF($I1065*$E1065*0.0025&gt;1000,$I1065*$E1065*0.0025,1000)),(IF($C1065="R토스",$I1065*$E1065*0.00015,(IF($C1065="무상증자(신한)",ROUNDDOWN($I1065*$E1065*0.000036396,-1),"")))))))))))))</f>
        <v>240</v>
      </c>
      <c r="M1065" s="206">
        <f>Q1065*0.0025</f>
        <v>17131.849999999999</v>
      </c>
      <c r="N1065" s="34"/>
      <c r="O1065" s="209">
        <f t="shared" si="420"/>
        <v>5</v>
      </c>
      <c r="P1065" s="34">
        <f t="shared" ref="P1065:P1080" si="425">$E1065*$F1065*$D1065</f>
        <v>7398000</v>
      </c>
      <c r="Q1065" s="34">
        <f t="shared" ref="Q1065:Q1080" si="426">$E1065*$I1065*$D1065</f>
        <v>6852740</v>
      </c>
      <c r="R1065" s="7">
        <f t="shared" ref="R1065:R1080" si="427">($N1065-$K1065-$L1065-$M1065)*$D1065</f>
        <v>-17631.849999999999</v>
      </c>
      <c r="S1065" s="227">
        <f t="shared" si="421"/>
        <v>-562891.85</v>
      </c>
      <c r="T1065" s="249">
        <f t="shared" si="422"/>
        <v>-7.6087030278453635E-2</v>
      </c>
    </row>
    <row r="1066" spans="2:28" s="33" customFormat="1" ht="15" customHeight="1" x14ac:dyDescent="0.4">
      <c r="B1066" s="38" t="s">
        <v>448</v>
      </c>
      <c r="C1066" s="6" t="s">
        <v>160</v>
      </c>
      <c r="D1066" s="6">
        <f t="shared" si="423"/>
        <v>1</v>
      </c>
      <c r="E1066" s="34">
        <v>400</v>
      </c>
      <c r="F1066" s="212">
        <v>2650</v>
      </c>
      <c r="G1066" s="195">
        <v>44182</v>
      </c>
      <c r="H1066" s="8"/>
      <c r="I1066" s="212">
        <v>2501</v>
      </c>
      <c r="J1066" s="8">
        <v>44186</v>
      </c>
      <c r="K1066" s="23">
        <f t="shared" si="424"/>
        <v>30</v>
      </c>
      <c r="L1066" s="23">
        <f>IF($C1066="OTC",ROUNDDOWN($I1066*$E1066*0.000909187,-1),(IF($C1066="신한",ROUNDDOWN($I1066*$E1066*0.000036396,-1),(IF($C1066="토스",$I1066*$E1066*0.00015,(IF($C1066="US",(IF($I1066*$E1066*0.0025&gt;0.01,$I1066*$E1066*0.0025,0.01)),(IF($C1066="JP",(IF($I1066*$E1066*0.0025&gt;1000,$I1066*$E1066*0.0025,1000)),(IF($C1066="R토스",$I1066*$E1066*0.00015,(IF($C1066="무상증자(신한)",ROUNDDOWN($I1066*$E1066*0.000036396,-1),"")))))))))))))</f>
        <v>30</v>
      </c>
      <c r="M1066" s="206">
        <f>Q1066*0.0025</f>
        <v>2501</v>
      </c>
      <c r="N1066" s="34"/>
      <c r="O1066" s="209">
        <f t="shared" si="420"/>
        <v>5</v>
      </c>
      <c r="P1066" s="34">
        <f t="shared" si="425"/>
        <v>1060000</v>
      </c>
      <c r="Q1066" s="34">
        <f t="shared" si="426"/>
        <v>1000400</v>
      </c>
      <c r="R1066" s="7">
        <f t="shared" si="427"/>
        <v>-2561</v>
      </c>
      <c r="S1066" s="227">
        <f t="shared" si="421"/>
        <v>-62161</v>
      </c>
      <c r="T1066" s="249">
        <f t="shared" si="422"/>
        <v>-5.8642452830188679E-2</v>
      </c>
    </row>
    <row r="1067" spans="2:28" s="33" customFormat="1" ht="15" customHeight="1" x14ac:dyDescent="0.4">
      <c r="B1067" s="38" t="s">
        <v>448</v>
      </c>
      <c r="C1067" s="6" t="s">
        <v>160</v>
      </c>
      <c r="D1067" s="6">
        <f t="shared" si="423"/>
        <v>1</v>
      </c>
      <c r="E1067" s="34">
        <v>600</v>
      </c>
      <c r="F1067" s="212">
        <v>3200</v>
      </c>
      <c r="G1067" s="195">
        <v>44207</v>
      </c>
      <c r="H1067" s="8"/>
      <c r="I1067" s="212">
        <v>3700</v>
      </c>
      <c r="J1067" s="8">
        <v>44358</v>
      </c>
      <c r="K1067" s="23">
        <f t="shared" si="424"/>
        <v>60</v>
      </c>
      <c r="L1067" s="23">
        <f>IF($C1067="OTC",ROUNDDOWN($I1067*$E1067*0.000909187,-1),(IF($C1067="신한",ROUNDDOWN($I1067*$E1067*0.000036396,-1),(IF($C1067="토스",$I1067*$E1067*0.00015,(IF($C1067="US",(IF($I1067*$E1067*0.0025&gt;0.01,$I1067*$E1067*0.0025,0.01)),(IF($C1067="JP",(IF($I1067*$E1067*0.0025&gt;1000,$I1067*$E1067*0.0025,1000)),(IF($C1067="R토스",$I1067*$E1067*0.00015,(IF($C1067="무상증자(신한)",ROUNDDOWN($I1067*$E1067*0.000036396,-1),"")))))))))))))</f>
        <v>80</v>
      </c>
      <c r="M1067" s="206">
        <f>Q1067*0.0023</f>
        <v>5106</v>
      </c>
      <c r="N1067" s="34"/>
      <c r="O1067" s="209">
        <f t="shared" si="420"/>
        <v>152</v>
      </c>
      <c r="P1067" s="34">
        <f t="shared" si="425"/>
        <v>1920000</v>
      </c>
      <c r="Q1067" s="34">
        <f t="shared" si="426"/>
        <v>2220000</v>
      </c>
      <c r="R1067" s="7">
        <f t="shared" si="427"/>
        <v>-5246</v>
      </c>
      <c r="S1067" s="227">
        <f t="shared" si="421"/>
        <v>294754</v>
      </c>
      <c r="T1067" s="249">
        <f t="shared" si="422"/>
        <v>0.15351770833333334</v>
      </c>
    </row>
    <row r="1068" spans="2:28" s="33" customFormat="1" ht="15" customHeight="1" x14ac:dyDescent="0.4">
      <c r="B1068" s="38" t="s">
        <v>448</v>
      </c>
      <c r="C1068" s="6" t="s">
        <v>160</v>
      </c>
      <c r="D1068" s="6">
        <f t="shared" si="423"/>
        <v>1</v>
      </c>
      <c r="E1068" s="34">
        <v>100</v>
      </c>
      <c r="F1068" s="212">
        <v>2970</v>
      </c>
      <c r="G1068" s="195">
        <v>44279</v>
      </c>
      <c r="H1068" s="8"/>
      <c r="I1068" s="212">
        <v>3700</v>
      </c>
      <c r="J1068" s="8">
        <v>44358</v>
      </c>
      <c r="K1068" s="23">
        <f t="shared" si="424"/>
        <v>10</v>
      </c>
      <c r="L1068" s="23">
        <f>IF($C1068="OTC",ROUNDDOWN($I1068*$E1068*0.000909187,-1),(IF($C1068="신한",ROUNDDOWN($I1068*$E1068*0.000036396,-1),(IF($C1068="토스",$I1068*$E1068*0.00015,(IF($C1068="US",(IF($I1068*$E1068*0.0025&gt;0.01,$I1068*$E1068*0.0025,0.01)),(IF($C1068="JP",(IF($I1068*$E1068*0.0025&gt;1000,$I1068*$E1068*0.0025,1000)),(IF($C1068="R토스",$I1068*$E1068*0.00015,(IF($C1068="무상증자(신한)",ROUNDDOWN($I1068*$E1068*0.000036396,-1),"")))))))))))))</f>
        <v>10</v>
      </c>
      <c r="M1068" s="206">
        <f>Q1068*0.0023</f>
        <v>851</v>
      </c>
      <c r="N1068" s="34"/>
      <c r="O1068" s="209">
        <f t="shared" si="420"/>
        <v>80</v>
      </c>
      <c r="P1068" s="34">
        <f t="shared" si="425"/>
        <v>297000</v>
      </c>
      <c r="Q1068" s="34">
        <f t="shared" si="426"/>
        <v>370000</v>
      </c>
      <c r="R1068" s="7">
        <f t="shared" si="427"/>
        <v>-871</v>
      </c>
      <c r="S1068" s="227">
        <f t="shared" si="421"/>
        <v>72129</v>
      </c>
      <c r="T1068" s="249">
        <f t="shared" si="422"/>
        <v>0.24285858585858586</v>
      </c>
    </row>
    <row r="1069" spans="2:28" s="33" customFormat="1" ht="15" customHeight="1" x14ac:dyDescent="0.4">
      <c r="B1069" s="38" t="s">
        <v>129</v>
      </c>
      <c r="C1069" s="6" t="s">
        <v>122</v>
      </c>
      <c r="D1069" s="6">
        <f t="shared" si="423"/>
        <v>1</v>
      </c>
      <c r="E1069" s="34">
        <v>50</v>
      </c>
      <c r="F1069" s="212">
        <v>7320</v>
      </c>
      <c r="G1069" s="195">
        <v>45855</v>
      </c>
      <c r="H1069" s="8" t="s">
        <v>113</v>
      </c>
      <c r="I1069" s="212">
        <v>6600</v>
      </c>
      <c r="J1069" s="8">
        <v>46057</v>
      </c>
      <c r="K1069" s="23">
        <f t="shared" si="424"/>
        <v>54.9</v>
      </c>
      <c r="L1069" s="307">
        <v>0</v>
      </c>
      <c r="M1069" s="206">
        <f t="shared" ref="M1069:M1080" si="428">Q1069*0.002</f>
        <v>660</v>
      </c>
      <c r="N1069" s="34"/>
      <c r="O1069" s="209">
        <f t="shared" si="420"/>
        <v>203</v>
      </c>
      <c r="P1069" s="34">
        <f t="shared" si="425"/>
        <v>366000</v>
      </c>
      <c r="Q1069" s="34">
        <f t="shared" si="426"/>
        <v>330000</v>
      </c>
      <c r="R1069" s="7">
        <f t="shared" si="427"/>
        <v>-714.9</v>
      </c>
      <c r="S1069" s="227">
        <f t="shared" si="421"/>
        <v>-36714.9</v>
      </c>
      <c r="T1069" s="249">
        <f t="shared" si="422"/>
        <v>-0.10031393442622952</v>
      </c>
      <c r="U1069" s="36">
        <f t="shared" ref="U1069:U1077" si="429">IF(O1069&lt;0,0,P1069*0.05*O1069/365)</f>
        <v>10177.808219178081</v>
      </c>
    </row>
    <row r="1070" spans="2:28" s="33" customFormat="1" ht="15" customHeight="1" x14ac:dyDescent="0.4">
      <c r="B1070" s="38" t="s">
        <v>129</v>
      </c>
      <c r="C1070" s="6" t="s">
        <v>122</v>
      </c>
      <c r="D1070" s="6">
        <f t="shared" si="423"/>
        <v>1</v>
      </c>
      <c r="E1070" s="34">
        <v>20</v>
      </c>
      <c r="F1070" s="212">
        <v>6450</v>
      </c>
      <c r="G1070" s="195">
        <v>45861</v>
      </c>
      <c r="H1070" s="8" t="s">
        <v>113</v>
      </c>
      <c r="I1070" s="212">
        <v>6600</v>
      </c>
      <c r="J1070" s="8">
        <v>46057</v>
      </c>
      <c r="K1070" s="23">
        <f t="shared" si="424"/>
        <v>19.349999999999998</v>
      </c>
      <c r="L1070" s="307">
        <v>0</v>
      </c>
      <c r="M1070" s="206">
        <f t="shared" si="428"/>
        <v>264</v>
      </c>
      <c r="N1070" s="34"/>
      <c r="O1070" s="209">
        <f t="shared" si="420"/>
        <v>197</v>
      </c>
      <c r="P1070" s="34">
        <f t="shared" si="425"/>
        <v>129000</v>
      </c>
      <c r="Q1070" s="34">
        <f t="shared" si="426"/>
        <v>132000</v>
      </c>
      <c r="R1070" s="7">
        <f t="shared" si="427"/>
        <v>-283.35000000000002</v>
      </c>
      <c r="S1070" s="227">
        <f t="shared" si="421"/>
        <v>2716.65</v>
      </c>
      <c r="T1070" s="249">
        <f t="shared" si="422"/>
        <v>2.1059302325581397E-2</v>
      </c>
      <c r="U1070" s="36">
        <f t="shared" si="429"/>
        <v>3481.2328767123286</v>
      </c>
    </row>
    <row r="1071" spans="2:28" s="33" customFormat="1" ht="15" customHeight="1" x14ac:dyDescent="0.4">
      <c r="B1071" s="38" t="s">
        <v>129</v>
      </c>
      <c r="C1071" s="6" t="s">
        <v>122</v>
      </c>
      <c r="D1071" s="6">
        <f t="shared" si="423"/>
        <v>1</v>
      </c>
      <c r="E1071" s="34">
        <v>20</v>
      </c>
      <c r="F1071" s="212">
        <v>5930</v>
      </c>
      <c r="G1071" s="195">
        <v>45880</v>
      </c>
      <c r="H1071" s="8" t="s">
        <v>113</v>
      </c>
      <c r="I1071" s="212">
        <v>6600</v>
      </c>
      <c r="J1071" s="8">
        <v>46057</v>
      </c>
      <c r="K1071" s="23">
        <f t="shared" si="424"/>
        <v>17.79</v>
      </c>
      <c r="L1071" s="307">
        <v>0</v>
      </c>
      <c r="M1071" s="206">
        <f t="shared" si="428"/>
        <v>264</v>
      </c>
      <c r="N1071" s="34"/>
      <c r="O1071" s="209">
        <f t="shared" si="420"/>
        <v>178</v>
      </c>
      <c r="P1071" s="34">
        <f t="shared" si="425"/>
        <v>118600</v>
      </c>
      <c r="Q1071" s="34">
        <f t="shared" si="426"/>
        <v>132000</v>
      </c>
      <c r="R1071" s="7">
        <f t="shared" si="427"/>
        <v>-281.79000000000002</v>
      </c>
      <c r="S1071" s="227">
        <f t="shared" si="421"/>
        <v>13118.21</v>
      </c>
      <c r="T1071" s="249">
        <f t="shared" si="422"/>
        <v>0.11060885328836424</v>
      </c>
      <c r="U1071" s="36">
        <f t="shared" si="429"/>
        <v>2891.8904109589039</v>
      </c>
    </row>
    <row r="1072" spans="2:28" s="33" customFormat="1" ht="15" customHeight="1" x14ac:dyDescent="0.4">
      <c r="B1072" s="38" t="s">
        <v>129</v>
      </c>
      <c r="C1072" s="6" t="s">
        <v>122</v>
      </c>
      <c r="D1072" s="6">
        <f t="shared" si="423"/>
        <v>1</v>
      </c>
      <c r="E1072" s="34">
        <v>30</v>
      </c>
      <c r="F1072" s="212">
        <v>5350</v>
      </c>
      <c r="G1072" s="195">
        <v>45894</v>
      </c>
      <c r="H1072" s="8" t="s">
        <v>113</v>
      </c>
      <c r="I1072" s="212">
        <v>6600</v>
      </c>
      <c r="J1072" s="8">
        <v>46057</v>
      </c>
      <c r="K1072" s="23">
        <f t="shared" si="424"/>
        <v>24.074999999999999</v>
      </c>
      <c r="L1072" s="307">
        <v>0</v>
      </c>
      <c r="M1072" s="206">
        <f t="shared" si="428"/>
        <v>396</v>
      </c>
      <c r="N1072" s="34"/>
      <c r="O1072" s="209">
        <f t="shared" si="420"/>
        <v>164</v>
      </c>
      <c r="P1072" s="34">
        <f t="shared" si="425"/>
        <v>160500</v>
      </c>
      <c r="Q1072" s="34">
        <f t="shared" si="426"/>
        <v>198000</v>
      </c>
      <c r="R1072" s="7">
        <f t="shared" si="427"/>
        <v>-420.07499999999999</v>
      </c>
      <c r="S1072" s="227">
        <f t="shared" si="421"/>
        <v>37079.925000000003</v>
      </c>
      <c r="T1072" s="249">
        <f t="shared" si="422"/>
        <v>0.23102757009345795</v>
      </c>
      <c r="U1072" s="36">
        <f t="shared" si="429"/>
        <v>3605.7534246575342</v>
      </c>
    </row>
    <row r="1073" spans="2:22" s="33" customFormat="1" ht="15" customHeight="1" x14ac:dyDescent="0.4">
      <c r="B1073" s="38" t="s">
        <v>129</v>
      </c>
      <c r="C1073" s="6" t="s">
        <v>122</v>
      </c>
      <c r="D1073" s="6">
        <f t="shared" si="423"/>
        <v>1</v>
      </c>
      <c r="E1073" s="34">
        <v>150</v>
      </c>
      <c r="F1073" s="212">
        <v>6370</v>
      </c>
      <c r="G1073" s="195">
        <v>45916</v>
      </c>
      <c r="H1073" s="8" t="s">
        <v>113</v>
      </c>
      <c r="I1073" s="212">
        <v>6600</v>
      </c>
      <c r="J1073" s="8">
        <v>46057</v>
      </c>
      <c r="K1073" s="23">
        <f t="shared" si="424"/>
        <v>143.32499999999999</v>
      </c>
      <c r="L1073" s="307">
        <v>0</v>
      </c>
      <c r="M1073" s="206">
        <f t="shared" si="428"/>
        <v>1980</v>
      </c>
      <c r="N1073" s="34"/>
      <c r="O1073" s="209">
        <f t="shared" si="420"/>
        <v>142</v>
      </c>
      <c r="P1073" s="34">
        <f t="shared" si="425"/>
        <v>955500</v>
      </c>
      <c r="Q1073" s="34">
        <f t="shared" si="426"/>
        <v>990000</v>
      </c>
      <c r="R1073" s="7">
        <f t="shared" si="427"/>
        <v>-2123.3249999999998</v>
      </c>
      <c r="S1073" s="227">
        <f t="shared" si="421"/>
        <v>32376.674999999999</v>
      </c>
      <c r="T1073" s="249">
        <f t="shared" si="422"/>
        <v>3.3884536891679751E-2</v>
      </c>
      <c r="U1073" s="36">
        <f t="shared" si="429"/>
        <v>18586.438356164384</v>
      </c>
    </row>
    <row r="1074" spans="2:22" s="33" customFormat="1" ht="15" customHeight="1" x14ac:dyDescent="0.4">
      <c r="B1074" s="38" t="s">
        <v>129</v>
      </c>
      <c r="C1074" s="6" t="s">
        <v>122</v>
      </c>
      <c r="D1074" s="6">
        <f t="shared" si="423"/>
        <v>1</v>
      </c>
      <c r="E1074" s="34">
        <v>80</v>
      </c>
      <c r="F1074" s="212">
        <v>6070</v>
      </c>
      <c r="G1074" s="195">
        <v>45917</v>
      </c>
      <c r="H1074" s="8" t="s">
        <v>113</v>
      </c>
      <c r="I1074" s="212">
        <v>7000</v>
      </c>
      <c r="J1074" s="8">
        <v>46063</v>
      </c>
      <c r="K1074" s="23">
        <f t="shared" si="424"/>
        <v>72.839999999999989</v>
      </c>
      <c r="L1074" s="307">
        <v>0</v>
      </c>
      <c r="M1074" s="206">
        <f t="shared" si="428"/>
        <v>1120</v>
      </c>
      <c r="N1074" s="34"/>
      <c r="O1074" s="209">
        <f t="shared" si="420"/>
        <v>147</v>
      </c>
      <c r="P1074" s="34">
        <f t="shared" si="425"/>
        <v>485600</v>
      </c>
      <c r="Q1074" s="34">
        <f t="shared" si="426"/>
        <v>560000</v>
      </c>
      <c r="R1074" s="7">
        <f t="shared" si="427"/>
        <v>-1192.8399999999999</v>
      </c>
      <c r="S1074" s="227">
        <f t="shared" si="421"/>
        <v>73207.16</v>
      </c>
      <c r="T1074" s="249">
        <f t="shared" si="422"/>
        <v>0.15075609555189456</v>
      </c>
      <c r="U1074" s="36">
        <f t="shared" si="429"/>
        <v>9778.5205479452052</v>
      </c>
    </row>
    <row r="1075" spans="2:22" s="33" customFormat="1" ht="15" customHeight="1" x14ac:dyDescent="0.4">
      <c r="B1075" s="38" t="s">
        <v>129</v>
      </c>
      <c r="C1075" s="6" t="s">
        <v>122</v>
      </c>
      <c r="D1075" s="6">
        <f t="shared" si="423"/>
        <v>1</v>
      </c>
      <c r="E1075" s="34">
        <v>60</v>
      </c>
      <c r="F1075" s="212">
        <v>5950</v>
      </c>
      <c r="G1075" s="195">
        <v>45922</v>
      </c>
      <c r="H1075" s="8" t="s">
        <v>113</v>
      </c>
      <c r="I1075" s="212">
        <v>7000</v>
      </c>
      <c r="J1075" s="8">
        <v>46063</v>
      </c>
      <c r="K1075" s="23">
        <f t="shared" si="424"/>
        <v>53.55</v>
      </c>
      <c r="L1075" s="307">
        <v>0</v>
      </c>
      <c r="M1075" s="206">
        <f t="shared" si="428"/>
        <v>840</v>
      </c>
      <c r="N1075" s="34"/>
      <c r="O1075" s="209">
        <f t="shared" si="420"/>
        <v>142</v>
      </c>
      <c r="P1075" s="34">
        <f t="shared" si="425"/>
        <v>357000</v>
      </c>
      <c r="Q1075" s="34">
        <f t="shared" si="426"/>
        <v>420000</v>
      </c>
      <c r="R1075" s="7">
        <f t="shared" si="427"/>
        <v>-893.55</v>
      </c>
      <c r="S1075" s="227">
        <f t="shared" si="421"/>
        <v>62106.45</v>
      </c>
      <c r="T1075" s="249">
        <f t="shared" si="422"/>
        <v>0.17396764705882353</v>
      </c>
      <c r="U1075" s="36">
        <f t="shared" si="429"/>
        <v>6944.3835616438355</v>
      </c>
    </row>
    <row r="1076" spans="2:22" s="33" customFormat="1" ht="15" customHeight="1" x14ac:dyDescent="0.4">
      <c r="B1076" s="38" t="s">
        <v>129</v>
      </c>
      <c r="C1076" s="6" t="s">
        <v>122</v>
      </c>
      <c r="D1076" s="6">
        <f t="shared" si="423"/>
        <v>1</v>
      </c>
      <c r="E1076" s="34">
        <v>10</v>
      </c>
      <c r="F1076" s="212">
        <v>5600</v>
      </c>
      <c r="G1076" s="195">
        <v>45930</v>
      </c>
      <c r="H1076" s="8" t="s">
        <v>113</v>
      </c>
      <c r="I1076" s="212">
        <v>6600</v>
      </c>
      <c r="J1076" s="8">
        <v>46057</v>
      </c>
      <c r="K1076" s="23">
        <f t="shared" si="424"/>
        <v>8.3999999999999986</v>
      </c>
      <c r="L1076" s="307">
        <v>0</v>
      </c>
      <c r="M1076" s="206">
        <f t="shared" si="428"/>
        <v>132</v>
      </c>
      <c r="N1076" s="34"/>
      <c r="O1076" s="209">
        <f t="shared" si="420"/>
        <v>128</v>
      </c>
      <c r="P1076" s="34">
        <f t="shared" si="425"/>
        <v>56000</v>
      </c>
      <c r="Q1076" s="34">
        <f t="shared" si="426"/>
        <v>66000</v>
      </c>
      <c r="R1076" s="7">
        <f t="shared" si="427"/>
        <v>-140.4</v>
      </c>
      <c r="S1076" s="227">
        <f t="shared" si="421"/>
        <v>9859.6</v>
      </c>
      <c r="T1076" s="249">
        <f t="shared" si="422"/>
        <v>0.17606428571428573</v>
      </c>
      <c r="U1076" s="36">
        <f t="shared" si="429"/>
        <v>981.91780821917803</v>
      </c>
    </row>
    <row r="1077" spans="2:22" s="33" customFormat="1" ht="15" customHeight="1" x14ac:dyDescent="0.4">
      <c r="B1077" s="38" t="s">
        <v>129</v>
      </c>
      <c r="C1077" s="6" t="s">
        <v>122</v>
      </c>
      <c r="D1077" s="6">
        <f t="shared" si="423"/>
        <v>1</v>
      </c>
      <c r="E1077" s="34">
        <v>20</v>
      </c>
      <c r="F1077" s="212">
        <v>5580</v>
      </c>
      <c r="G1077" s="195">
        <v>45940</v>
      </c>
      <c r="H1077" s="8" t="s">
        <v>113</v>
      </c>
      <c r="I1077" s="212">
        <v>6600</v>
      </c>
      <c r="J1077" s="8">
        <v>46057</v>
      </c>
      <c r="K1077" s="23">
        <f t="shared" si="424"/>
        <v>16.739999999999998</v>
      </c>
      <c r="L1077" s="307">
        <v>0</v>
      </c>
      <c r="M1077" s="206">
        <f t="shared" si="428"/>
        <v>264</v>
      </c>
      <c r="N1077" s="34"/>
      <c r="O1077" s="209">
        <f t="shared" si="420"/>
        <v>118</v>
      </c>
      <c r="P1077" s="34">
        <f t="shared" si="425"/>
        <v>111600</v>
      </c>
      <c r="Q1077" s="34">
        <f t="shared" si="426"/>
        <v>132000</v>
      </c>
      <c r="R1077" s="7">
        <f t="shared" si="427"/>
        <v>-280.74</v>
      </c>
      <c r="S1077" s="227">
        <f t="shared" si="421"/>
        <v>20119.259999999998</v>
      </c>
      <c r="T1077" s="249">
        <f t="shared" si="422"/>
        <v>0.1802801075268817</v>
      </c>
      <c r="U1077" s="36">
        <f t="shared" si="429"/>
        <v>1803.9452054794519</v>
      </c>
    </row>
    <row r="1078" spans="2:22" s="33" customFormat="1" ht="15" customHeight="1" x14ac:dyDescent="0.4">
      <c r="B1078" s="38" t="s">
        <v>129</v>
      </c>
      <c r="C1078" s="6" t="s">
        <v>122</v>
      </c>
      <c r="D1078" s="6">
        <f t="shared" si="423"/>
        <v>1</v>
      </c>
      <c r="E1078" s="34">
        <v>44</v>
      </c>
      <c r="F1078" s="212">
        <v>5400</v>
      </c>
      <c r="G1078" s="195">
        <v>45943</v>
      </c>
      <c r="H1078" s="8"/>
      <c r="I1078" s="212">
        <v>7000</v>
      </c>
      <c r="J1078" s="8">
        <v>46063</v>
      </c>
      <c r="K1078" s="23">
        <f t="shared" si="424"/>
        <v>35.639999999999993</v>
      </c>
      <c r="L1078" s="307">
        <v>0</v>
      </c>
      <c r="M1078" s="206">
        <f t="shared" si="428"/>
        <v>616</v>
      </c>
      <c r="N1078" s="34"/>
      <c r="O1078" s="209">
        <f t="shared" si="420"/>
        <v>121</v>
      </c>
      <c r="P1078" s="34">
        <f t="shared" si="425"/>
        <v>237600</v>
      </c>
      <c r="Q1078" s="34">
        <f t="shared" si="426"/>
        <v>308000</v>
      </c>
      <c r="R1078" s="7">
        <f t="shared" si="427"/>
        <v>-651.64</v>
      </c>
      <c r="S1078" s="227">
        <f t="shared" si="421"/>
        <v>69748.36</v>
      </c>
      <c r="T1078" s="249">
        <f t="shared" si="422"/>
        <v>0.29355370370370371</v>
      </c>
      <c r="U1078" s="36"/>
    </row>
    <row r="1079" spans="2:22" s="33" customFormat="1" ht="15" customHeight="1" x14ac:dyDescent="0.4">
      <c r="B1079" s="38" t="s">
        <v>129</v>
      </c>
      <c r="C1079" s="6" t="s">
        <v>122</v>
      </c>
      <c r="D1079" s="6">
        <f t="shared" si="423"/>
        <v>1</v>
      </c>
      <c r="E1079" s="34">
        <v>100</v>
      </c>
      <c r="F1079" s="212">
        <v>6100</v>
      </c>
      <c r="G1079" s="195">
        <v>46052</v>
      </c>
      <c r="H1079" s="8"/>
      <c r="I1079" s="212">
        <v>7000</v>
      </c>
      <c r="J1079" s="8">
        <v>46063</v>
      </c>
      <c r="K1079" s="307">
        <v>0</v>
      </c>
      <c r="L1079" s="307">
        <v>0</v>
      </c>
      <c r="M1079" s="206">
        <f t="shared" si="428"/>
        <v>1400</v>
      </c>
      <c r="N1079" s="34"/>
      <c r="O1079" s="209">
        <f t="shared" si="420"/>
        <v>12</v>
      </c>
      <c r="P1079" s="34">
        <f t="shared" si="425"/>
        <v>610000</v>
      </c>
      <c r="Q1079" s="34">
        <f t="shared" si="426"/>
        <v>700000</v>
      </c>
      <c r="R1079" s="7">
        <f t="shared" si="427"/>
        <v>-1400</v>
      </c>
      <c r="S1079" s="227">
        <f t="shared" si="421"/>
        <v>88600</v>
      </c>
      <c r="T1079" s="249">
        <f t="shared" si="422"/>
        <v>0.14524590163934425</v>
      </c>
      <c r="U1079" s="36"/>
    </row>
    <row r="1080" spans="2:22" s="33" customFormat="1" ht="15" customHeight="1" x14ac:dyDescent="0.4">
      <c r="B1080" s="38" t="s">
        <v>129</v>
      </c>
      <c r="C1080" s="6" t="s">
        <v>122</v>
      </c>
      <c r="D1080" s="6">
        <f t="shared" si="423"/>
        <v>1</v>
      </c>
      <c r="E1080" s="34">
        <v>300</v>
      </c>
      <c r="F1080" s="212">
        <v>6350</v>
      </c>
      <c r="G1080" s="195">
        <v>46058</v>
      </c>
      <c r="H1080" s="8"/>
      <c r="I1080" s="212">
        <v>7000</v>
      </c>
      <c r="J1080" s="8">
        <v>46063</v>
      </c>
      <c r="K1080" s="307">
        <v>0</v>
      </c>
      <c r="L1080" s="307">
        <v>0</v>
      </c>
      <c r="M1080" s="206">
        <f t="shared" si="428"/>
        <v>4200</v>
      </c>
      <c r="N1080" s="34"/>
      <c r="O1080" s="209">
        <f t="shared" si="420"/>
        <v>6</v>
      </c>
      <c r="P1080" s="34">
        <f t="shared" si="425"/>
        <v>1905000</v>
      </c>
      <c r="Q1080" s="34">
        <f t="shared" si="426"/>
        <v>2100000</v>
      </c>
      <c r="R1080" s="7">
        <f t="shared" si="427"/>
        <v>-4200</v>
      </c>
      <c r="S1080" s="227">
        <f t="shared" si="421"/>
        <v>190800</v>
      </c>
      <c r="T1080" s="249">
        <f t="shared" si="422"/>
        <v>0.10015748031496063</v>
      </c>
      <c r="U1080" s="36"/>
    </row>
    <row r="1081" spans="2:22" ht="15" customHeight="1" x14ac:dyDescent="0.4">
      <c r="B1081" s="38" t="s">
        <v>449</v>
      </c>
      <c r="C1081" s="6" t="s">
        <v>162</v>
      </c>
      <c r="D1081" s="6"/>
      <c r="E1081" s="36">
        <v>30</v>
      </c>
      <c r="F1081" s="212">
        <v>41700</v>
      </c>
      <c r="G1081" s="195">
        <v>42776</v>
      </c>
      <c r="H1081" s="8"/>
      <c r="I1081" s="212">
        <v>27900</v>
      </c>
      <c r="J1081" s="8">
        <v>43165</v>
      </c>
      <c r="K1081" s="7">
        <f>ROUNDDOWN(E1081*F1081*0.0015,-1)</f>
        <v>1870</v>
      </c>
      <c r="L1081" s="7">
        <f>ROUNDDOWN(I1081*E1081*0.0015,-1)</f>
        <v>1250</v>
      </c>
      <c r="M1081" s="196">
        <f>I1081*E1081*0.003</f>
        <v>2511</v>
      </c>
      <c r="N1081" s="36"/>
      <c r="O1081" s="191">
        <f t="shared" si="420"/>
        <v>390</v>
      </c>
      <c r="P1081" s="36">
        <f>F1081*E1081</f>
        <v>1251000</v>
      </c>
      <c r="Q1081" s="36">
        <f>I1081*E1081</f>
        <v>837000</v>
      </c>
      <c r="R1081" s="7">
        <f>N1081-K1081-L1081-M1081</f>
        <v>-5631</v>
      </c>
      <c r="S1081" s="227">
        <f t="shared" si="421"/>
        <v>-419631</v>
      </c>
      <c r="T1081" s="248">
        <f t="shared" si="422"/>
        <v>-0.33543645083932855</v>
      </c>
      <c r="U1081" s="193">
        <f>T1081*365/O1081</f>
        <v>-0.31393411424706391</v>
      </c>
      <c r="V1081" s="6"/>
    </row>
    <row r="1082" spans="2:22" ht="15" customHeight="1" x14ac:dyDescent="0.4">
      <c r="B1082" s="38" t="s">
        <v>449</v>
      </c>
      <c r="C1082" s="6" t="s">
        <v>162</v>
      </c>
      <c r="D1082" s="6"/>
      <c r="E1082" s="36">
        <v>25</v>
      </c>
      <c r="F1082" s="212">
        <v>40150</v>
      </c>
      <c r="G1082" s="195">
        <v>42780</v>
      </c>
      <c r="H1082" s="8"/>
      <c r="I1082" s="212">
        <v>27900</v>
      </c>
      <c r="J1082" s="8">
        <v>43165</v>
      </c>
      <c r="K1082" s="7">
        <f>ROUNDDOWN(E1082*F1082*0.0015,-1)</f>
        <v>1500</v>
      </c>
      <c r="L1082" s="7">
        <f>ROUNDDOWN(I1082*E1082*0.0015,-1)</f>
        <v>1040</v>
      </c>
      <c r="M1082" s="196">
        <f>I1082*E1082*0.003</f>
        <v>2092.5</v>
      </c>
      <c r="N1082" s="36"/>
      <c r="O1082" s="191">
        <f t="shared" si="420"/>
        <v>386</v>
      </c>
      <c r="P1082" s="36">
        <f>F1082*E1082</f>
        <v>1003750</v>
      </c>
      <c r="Q1082" s="36">
        <f>I1082*E1082</f>
        <v>697500</v>
      </c>
      <c r="R1082" s="7">
        <f>N1082-K1082-L1082-M1082</f>
        <v>-4632.5</v>
      </c>
      <c r="S1082" s="227">
        <f t="shared" si="421"/>
        <v>-310882.5</v>
      </c>
      <c r="T1082" s="248">
        <f t="shared" si="422"/>
        <v>-0.30972104607721046</v>
      </c>
      <c r="U1082" s="193">
        <f>T1082*365/O1082</f>
        <v>-0.29287093735280262</v>
      </c>
      <c r="V1082" s="6"/>
    </row>
    <row r="1083" spans="2:22" ht="15" customHeight="1" x14ac:dyDescent="0.4">
      <c r="B1083" s="38" t="s">
        <v>449</v>
      </c>
      <c r="C1083" s="6" t="s">
        <v>162</v>
      </c>
      <c r="D1083" s="6"/>
      <c r="E1083" s="36">
        <v>30</v>
      </c>
      <c r="F1083" s="212">
        <v>34000</v>
      </c>
      <c r="G1083" s="195">
        <v>43077</v>
      </c>
      <c r="H1083" s="8"/>
      <c r="I1083" s="212">
        <v>27900</v>
      </c>
      <c r="J1083" s="8">
        <v>43165</v>
      </c>
      <c r="K1083" s="7">
        <f>ROUNDDOWN(E1083*F1083*0.0015,-1)</f>
        <v>1530</v>
      </c>
      <c r="L1083" s="7">
        <f>ROUNDDOWN(I1083*E1083*0.0015,-1)</f>
        <v>1250</v>
      </c>
      <c r="M1083" s="196">
        <f>I1083*E1083*0.003</f>
        <v>2511</v>
      </c>
      <c r="N1083" s="36"/>
      <c r="O1083" s="191">
        <f t="shared" si="420"/>
        <v>89</v>
      </c>
      <c r="P1083" s="36">
        <f>F1083*E1083</f>
        <v>1020000</v>
      </c>
      <c r="Q1083" s="36">
        <f>I1083*E1083</f>
        <v>837000</v>
      </c>
      <c r="R1083" s="7">
        <f>N1083-K1083-L1083-M1083</f>
        <v>-5291</v>
      </c>
      <c r="S1083" s="227">
        <f t="shared" si="421"/>
        <v>-188291</v>
      </c>
      <c r="T1083" s="248">
        <f t="shared" si="422"/>
        <v>-0.18459901960784314</v>
      </c>
      <c r="U1083" s="193">
        <f>T1083*365/O1083</f>
        <v>-0.75706339502092979</v>
      </c>
      <c r="V1083" s="6"/>
    </row>
    <row r="1084" spans="2:22" s="33" customFormat="1" ht="15" customHeight="1" x14ac:dyDescent="0.4">
      <c r="B1084" s="38" t="s">
        <v>449</v>
      </c>
      <c r="C1084" s="6" t="s">
        <v>162</v>
      </c>
      <c r="D1084" s="6"/>
      <c r="E1084" s="36">
        <v>20</v>
      </c>
      <c r="F1084" s="212">
        <v>33300</v>
      </c>
      <c r="G1084" s="195">
        <v>43117</v>
      </c>
      <c r="H1084" s="8" t="s">
        <v>450</v>
      </c>
      <c r="I1084" s="212">
        <v>27900</v>
      </c>
      <c r="J1084" s="8">
        <v>43165</v>
      </c>
      <c r="K1084" s="7">
        <f>ROUNDDOWN(E1084*F1084*0.0015,-1)</f>
        <v>990</v>
      </c>
      <c r="L1084" s="7">
        <f>ROUNDDOWN(I1084*E1084*0.0015,-1)</f>
        <v>830</v>
      </c>
      <c r="M1084" s="196">
        <f>I1084*E1084*0.003</f>
        <v>1674</v>
      </c>
      <c r="N1084" s="36"/>
      <c r="O1084" s="191">
        <f t="shared" si="420"/>
        <v>49</v>
      </c>
      <c r="P1084" s="36">
        <f>F1084*E1084</f>
        <v>666000</v>
      </c>
      <c r="Q1084" s="36">
        <f>I1084*E1084</f>
        <v>558000</v>
      </c>
      <c r="R1084" s="7">
        <f>N1084-K1084-L1084-M1084</f>
        <v>-3494</v>
      </c>
      <c r="S1084" s="227">
        <f t="shared" si="421"/>
        <v>-111494</v>
      </c>
      <c r="T1084" s="248">
        <f t="shared" si="422"/>
        <v>-0.1674084084084084</v>
      </c>
      <c r="U1084" s="9">
        <f>T1084*365/O1084</f>
        <v>-1.2470218177361032</v>
      </c>
      <c r="V1084" s="6"/>
    </row>
    <row r="1085" spans="2:22" s="33" customFormat="1" ht="15" customHeight="1" x14ac:dyDescent="0.4">
      <c r="B1085" s="38" t="s">
        <v>133</v>
      </c>
      <c r="C1085" s="6" t="s">
        <v>122</v>
      </c>
      <c r="D1085" s="6">
        <f>IF(OR($C1085="신한",$C1085="OTC",$C1085="무상증자(신한)",$C1085="토스",$C1085="R토스"),1,"확인")</f>
        <v>1</v>
      </c>
      <c r="E1085" s="34">
        <v>2</v>
      </c>
      <c r="F1085" s="212">
        <v>820000</v>
      </c>
      <c r="G1085" s="195">
        <v>45807</v>
      </c>
      <c r="H1085" s="33" t="s">
        <v>113</v>
      </c>
      <c r="I1085" s="212">
        <v>845000</v>
      </c>
      <c r="J1085" s="8">
        <v>45812</v>
      </c>
      <c r="K1085" s="23">
        <f>IF($C1085="OTC",ROUNDDOWN($E1085*$F1085*0.000909187,-1),(IF($C1085="신한",ROUNDDOWN($E1085*$F1085*0.000036396,-1),(IF($C1085="토스",$E1085*$F1085*0.00015,(IF($C1085="US",(IF($E1085*$F1085*0.0025&gt;0.01,$E1085*$F1085*0.0025,0.01)),IF($C1085="JP",(IF($E1085*$F1085*0.0025&gt;1000,$E1085*$F1085*0.0025,1000)),(IF($C1085="R토스",0,IF($C1085="무상증자(신한)",0,"")))))))))))</f>
        <v>245.99999999999997</v>
      </c>
      <c r="L1085" s="23">
        <f>IF($C1085="OTC",ROUNDDOWN($I1085*$E1085*0.000909187,-1),(IF($C1085="신한",ROUNDDOWN($I1085*$E1085*0.000036396,-1),(IF($C1085="토스",$I1085*$E1085*0.00015,(IF($C1085="US",(IF($I1085*$E1085*0.0025&gt;0.01,$I1085*$E1085*0.0025,0.01)),(IF($C1085="JP",(IF($I1085*$E1085*0.0025&gt;1000,$I1085*$E1085*0.0025,1000)),(IF($C1085="R토스",$I1085*$E1085*0.00015,(IF($C1085="무상증자(신한)",ROUNDDOWN($I1085*$E1085*0.000036396,-1),"")))))))))))))</f>
        <v>253.49999999999997</v>
      </c>
      <c r="M1085" s="206">
        <f>Q1085*0.0015</f>
        <v>2535</v>
      </c>
      <c r="N1085" s="34"/>
      <c r="O1085" s="209">
        <f t="shared" si="420"/>
        <v>6</v>
      </c>
      <c r="P1085" s="34">
        <f>$E1085*$F1085*$D1085</f>
        <v>1640000</v>
      </c>
      <c r="Q1085" s="34">
        <f>$E1085*$I1085*$D1085</f>
        <v>1690000</v>
      </c>
      <c r="R1085" s="7">
        <f>($N1085-$K1085-$L1085-$M1085)*$D1085</f>
        <v>-3034.5</v>
      </c>
      <c r="S1085" s="227">
        <f t="shared" si="421"/>
        <v>46965.5</v>
      </c>
      <c r="T1085" s="249">
        <f t="shared" si="422"/>
        <v>2.86375E-2</v>
      </c>
      <c r="V1085" s="36">
        <f>+P1085*0.05*O1085/365</f>
        <v>1347.9452054794519</v>
      </c>
    </row>
    <row r="1086" spans="2:22" s="33" customFormat="1" ht="15" customHeight="1" x14ac:dyDescent="0.4">
      <c r="B1086" s="38" t="s">
        <v>133</v>
      </c>
      <c r="C1086" s="6" t="s">
        <v>122</v>
      </c>
      <c r="D1086" s="6">
        <f>IF(OR($C1086="신한",$C1086="OTC",$C1086="무상증자(신한)",$C1086="토스",$C1086="R토스"),1,"확인")</f>
        <v>1</v>
      </c>
      <c r="E1086" s="34">
        <v>1</v>
      </c>
      <c r="F1086" s="212">
        <v>817000</v>
      </c>
      <c r="G1086" s="195">
        <v>45810</v>
      </c>
      <c r="H1086" s="33" t="s">
        <v>113</v>
      </c>
      <c r="I1086" s="212">
        <v>845000</v>
      </c>
      <c r="J1086" s="8">
        <v>45812</v>
      </c>
      <c r="K1086" s="23">
        <f>IF($C1086="OTC",ROUNDDOWN($E1086*$F1086*0.000909187,-1),(IF($C1086="신한",ROUNDDOWN($E1086*$F1086*0.000036396,-1),(IF($C1086="토스",$E1086*$F1086*0.00015,(IF($C1086="US",(IF($E1086*$F1086*0.0025&gt;0.01,$E1086*$F1086*0.0025,0.01)),IF($C1086="JP",(IF($E1086*$F1086*0.0025&gt;1000,$E1086*$F1086*0.0025,1000)),(IF($C1086="R토스",0,IF($C1086="무상증자(신한)",0,"")))))))))))</f>
        <v>122.54999999999998</v>
      </c>
      <c r="L1086" s="23">
        <f>IF($C1086="OTC",ROUNDDOWN($I1086*$E1086*0.000909187,-1),(IF($C1086="신한",ROUNDDOWN($I1086*$E1086*0.000036396,-1),(IF($C1086="토스",$I1086*$E1086*0.00015,(IF($C1086="US",(IF($I1086*$E1086*0.0025&gt;0.01,$I1086*$E1086*0.0025,0.01)),(IF($C1086="JP",(IF($I1086*$E1086*0.0025&gt;1000,$I1086*$E1086*0.0025,1000)),(IF($C1086="R토스",$I1086*$E1086*0.00015,(IF($C1086="무상증자(신한)",ROUNDDOWN($I1086*$E1086*0.000036396,-1),"")))))))))))))</f>
        <v>126.74999999999999</v>
      </c>
      <c r="M1086" s="206">
        <f>Q1086*0.0015</f>
        <v>1267.5</v>
      </c>
      <c r="N1086" s="34"/>
      <c r="O1086" s="209">
        <f t="shared" si="420"/>
        <v>3</v>
      </c>
      <c r="P1086" s="34">
        <f>$E1086*$F1086*$D1086</f>
        <v>817000</v>
      </c>
      <c r="Q1086" s="34">
        <f>$E1086*$I1086*$D1086</f>
        <v>845000</v>
      </c>
      <c r="R1086" s="7">
        <f>($N1086-$K1086-$L1086-$M1086)*$D1086</f>
        <v>-1516.8</v>
      </c>
      <c r="S1086" s="227">
        <f t="shared" si="421"/>
        <v>26483.200000000001</v>
      </c>
      <c r="T1086" s="249">
        <f t="shared" si="422"/>
        <v>3.2415177478580172E-2</v>
      </c>
      <c r="V1086" s="36">
        <f>+P1086*0.05*O1086/365</f>
        <v>335.75342465753425</v>
      </c>
    </row>
    <row r="1087" spans="2:22" s="33" customFormat="1" ht="15" customHeight="1" x14ac:dyDescent="0.4">
      <c r="B1087" s="38" t="s">
        <v>133</v>
      </c>
      <c r="C1087" s="6" t="s">
        <v>122</v>
      </c>
      <c r="D1087" s="6">
        <f>IF(OR($C1087="신한",$C1087="OTC",$C1087="무상증자(신한)",$C1087="토스",$C1087="R토스"),1,"확인")</f>
        <v>1</v>
      </c>
      <c r="E1087" s="34">
        <v>2</v>
      </c>
      <c r="F1087" s="212">
        <v>828000</v>
      </c>
      <c r="G1087" s="195">
        <v>45812</v>
      </c>
      <c r="H1087" s="33" t="s">
        <v>113</v>
      </c>
      <c r="I1087" s="212">
        <v>845000</v>
      </c>
      <c r="J1087" s="8">
        <v>45812</v>
      </c>
      <c r="K1087" s="23">
        <f>IF($C1087="OTC",ROUNDDOWN($E1087*$F1087*0.000909187,-1),(IF($C1087="신한",ROUNDDOWN($E1087*$F1087*0.000036396,-1),(IF($C1087="토스",$E1087*$F1087*0.00015,(IF($C1087="US",(IF($E1087*$F1087*0.0025&gt;0.01,$E1087*$F1087*0.0025,0.01)),IF($C1087="JP",(IF($E1087*$F1087*0.0025&gt;1000,$E1087*$F1087*0.0025,1000)),(IF($C1087="R토스",0,IF($C1087="무상증자(신한)",0,"")))))))))))</f>
        <v>248.39999999999998</v>
      </c>
      <c r="L1087" s="23">
        <f>IF($C1087="OTC",ROUNDDOWN($I1087*$E1087*0.000909187,-1),(IF($C1087="신한",ROUNDDOWN($I1087*$E1087*0.000036396,-1),(IF($C1087="토스",$I1087*$E1087*0.00015,(IF($C1087="US",(IF($I1087*$E1087*0.0025&gt;0.01,$I1087*$E1087*0.0025,0.01)),(IF($C1087="JP",(IF($I1087*$E1087*0.0025&gt;1000,$I1087*$E1087*0.0025,1000)),(IF($C1087="R토스",$I1087*$E1087*0.00015,(IF($C1087="무상증자(신한)",ROUNDDOWN($I1087*$E1087*0.000036396,-1),"")))))))))))))</f>
        <v>253.49999999999997</v>
      </c>
      <c r="M1087" s="206">
        <f>Q1087*0.0015</f>
        <v>2535</v>
      </c>
      <c r="N1087" s="34"/>
      <c r="O1087" s="209">
        <f t="shared" si="420"/>
        <v>1</v>
      </c>
      <c r="P1087" s="34">
        <f>$E1087*$F1087*$D1087</f>
        <v>1656000</v>
      </c>
      <c r="Q1087" s="34">
        <f>$E1087*$I1087*$D1087</f>
        <v>1690000</v>
      </c>
      <c r="R1087" s="7">
        <f>($N1087-$K1087-$L1087-$M1087)*$D1087</f>
        <v>-3036.9</v>
      </c>
      <c r="S1087" s="227">
        <f t="shared" si="421"/>
        <v>30963.1</v>
      </c>
      <c r="T1087" s="249">
        <f t="shared" si="422"/>
        <v>1.8697524154589373E-2</v>
      </c>
      <c r="V1087" s="36">
        <f>+P1087*0.05*O1087/365</f>
        <v>226.84931506849315</v>
      </c>
    </row>
    <row r="1088" spans="2:22" s="33" customFormat="1" ht="15" customHeight="1" x14ac:dyDescent="0.4">
      <c r="B1088" s="38" t="s">
        <v>133</v>
      </c>
      <c r="C1088" s="6" t="s">
        <v>122</v>
      </c>
      <c r="D1088" s="6">
        <f>IF(OR($C1088="신한",$C1088="OTC",$C1088="무상증자(신한)",$C1088="토스",$C1088="R토스"),1,"확인")</f>
        <v>1</v>
      </c>
      <c r="E1088" s="34">
        <v>2</v>
      </c>
      <c r="F1088" s="212">
        <v>860000</v>
      </c>
      <c r="G1088" s="195">
        <v>45833</v>
      </c>
      <c r="H1088" s="33" t="s">
        <v>113</v>
      </c>
      <c r="I1088" s="212">
        <v>957000</v>
      </c>
      <c r="J1088" s="8">
        <v>45867</v>
      </c>
      <c r="K1088" s="23">
        <f>IF($C1088="OTC",ROUNDDOWN($E1088*$F1088*0.000909187,-1),(IF($C1088="신한",ROUNDDOWN($E1088*$F1088*0.000036396,-1),(IF($C1088="토스",$E1088*$F1088*0.00015,(IF($C1088="US",(IF($E1088*$F1088*0.0025&gt;0.01,$E1088*$F1088*0.0025,0.01)),IF($C1088="JP",(IF($E1088*$F1088*0.0025&gt;1000,$E1088*$F1088*0.0025,1000)),(IF($C1088="R토스",0,IF($C1088="무상증자(신한)",0,"")))))))))))</f>
        <v>258</v>
      </c>
      <c r="L1088" s="23">
        <f>IF($C1088="OTC",ROUNDDOWN($I1088*$E1088*0.000909187,-1),(IF($C1088="신한",ROUNDDOWN($I1088*$E1088*0.000036396,-1),(IF($C1088="토스",$I1088*$E1088*0.00015,(IF($C1088="US",(IF($I1088*$E1088*0.0025&gt;0.01,$I1088*$E1088*0.0025,0.01)),(IF($C1088="JP",(IF($I1088*$E1088*0.0025&gt;1000,$I1088*$E1088*0.0025,1000)),(IF($C1088="R토스",$I1088*$E1088*0.00015,(IF($C1088="무상증자(신한)",ROUNDDOWN($I1088*$E1088*0.000036396,-1),"")))))))))))))</f>
        <v>287.09999999999997</v>
      </c>
      <c r="M1088" s="206">
        <f>Q1088*0.0015</f>
        <v>2871</v>
      </c>
      <c r="N1088" s="34"/>
      <c r="O1088" s="209">
        <f t="shared" si="420"/>
        <v>35</v>
      </c>
      <c r="P1088" s="34">
        <f>$E1088*$F1088*$D1088</f>
        <v>1720000</v>
      </c>
      <c r="Q1088" s="34">
        <f>$E1088*$I1088*$D1088</f>
        <v>1914000</v>
      </c>
      <c r="R1088" s="7">
        <f>($N1088-$K1088-$L1088-$M1088)*$D1088</f>
        <v>-3416.1</v>
      </c>
      <c r="S1088" s="227">
        <f t="shared" si="421"/>
        <v>190583.9</v>
      </c>
      <c r="T1088" s="249">
        <f t="shared" si="422"/>
        <v>0.11080459302325581</v>
      </c>
      <c r="V1088" s="36">
        <f>+P1088*0.05*O1088/365</f>
        <v>8246.5753424657541</v>
      </c>
    </row>
    <row r="1089" spans="2:28" s="33" customFormat="1" ht="15" customHeight="1" x14ac:dyDescent="0.4">
      <c r="B1089" s="38" t="s">
        <v>133</v>
      </c>
      <c r="C1089" s="6" t="s">
        <v>122</v>
      </c>
      <c r="D1089" s="6">
        <f>IF(OR($C1089="신한",$C1089="OTC",$C1089="무상증자(신한)",$C1089="토스",$C1089="R토스"),1,"확인")</f>
        <v>1</v>
      </c>
      <c r="E1089" s="34">
        <v>1</v>
      </c>
      <c r="F1089" s="212">
        <v>847000</v>
      </c>
      <c r="G1089" s="195">
        <v>45839</v>
      </c>
      <c r="H1089" s="33" t="s">
        <v>113</v>
      </c>
      <c r="I1089" s="212">
        <v>957000</v>
      </c>
      <c r="J1089" s="8">
        <v>45867</v>
      </c>
      <c r="K1089" s="23">
        <f>IF($C1089="OTC",ROUNDDOWN($E1089*$F1089*0.000909187,-1),(IF($C1089="신한",ROUNDDOWN($E1089*$F1089*0.000036396,-1),(IF($C1089="토스",$E1089*$F1089*0.00015,(IF($C1089="US",(IF($E1089*$F1089*0.0025&gt;0.01,$E1089*$F1089*0.0025,0.01)),IF($C1089="JP",(IF($E1089*$F1089*0.0025&gt;1000,$E1089*$F1089*0.0025,1000)),(IF($C1089="R토스",0,IF($C1089="무상증자(신한)",0,"")))))))))))</f>
        <v>127.04999999999998</v>
      </c>
      <c r="L1089" s="23">
        <f>IF($C1089="OTC",ROUNDDOWN($I1089*$E1089*0.000909187,-1),(IF($C1089="신한",ROUNDDOWN($I1089*$E1089*0.000036396,-1),(IF($C1089="토스",$I1089*$E1089*0.00015,(IF($C1089="US",(IF($I1089*$E1089*0.0025&gt;0.01,$I1089*$E1089*0.0025,0.01)),(IF($C1089="JP",(IF($I1089*$E1089*0.0025&gt;1000,$I1089*$E1089*0.0025,1000)),(IF($C1089="R토스",$I1089*$E1089*0.00015,(IF($C1089="무상증자(신한)",ROUNDDOWN($I1089*$E1089*0.000036396,-1),"")))))))))))))</f>
        <v>143.54999999999998</v>
      </c>
      <c r="M1089" s="206">
        <f>Q1089*0.0015</f>
        <v>1435.5</v>
      </c>
      <c r="N1089" s="34"/>
      <c r="O1089" s="209">
        <f t="shared" si="420"/>
        <v>29</v>
      </c>
      <c r="P1089" s="34">
        <f>$E1089*$F1089*$D1089</f>
        <v>847000</v>
      </c>
      <c r="Q1089" s="34">
        <f>$E1089*$I1089*$D1089</f>
        <v>957000</v>
      </c>
      <c r="R1089" s="7">
        <f>($N1089-$K1089-$L1089-$M1089)*$D1089</f>
        <v>-1706.1</v>
      </c>
      <c r="S1089" s="227">
        <f t="shared" si="421"/>
        <v>108293.9</v>
      </c>
      <c r="T1089" s="249">
        <f t="shared" si="422"/>
        <v>0.12785584415584414</v>
      </c>
      <c r="V1089" s="36">
        <f>+P1089*0.05*O1089/365</f>
        <v>3364.794520547945</v>
      </c>
    </row>
    <row r="1090" spans="2:28" s="33" customFormat="1" ht="15" customHeight="1" x14ac:dyDescent="0.4">
      <c r="B1090" s="198" t="s">
        <v>133</v>
      </c>
      <c r="C1090" s="6" t="s">
        <v>162</v>
      </c>
      <c r="D1090" s="15"/>
      <c r="E1090" s="36">
        <v>300</v>
      </c>
      <c r="F1090" s="212">
        <v>29850</v>
      </c>
      <c r="G1090" s="195">
        <v>43616</v>
      </c>
      <c r="H1090" s="8"/>
      <c r="I1090" s="212">
        <v>31600</v>
      </c>
      <c r="J1090" s="8">
        <v>43663</v>
      </c>
      <c r="K1090" s="7">
        <f>ROUNDDOWN(E1090*F1090*0.0015,-1)</f>
        <v>13430</v>
      </c>
      <c r="L1090" s="7">
        <f>ROUNDDOWN(I1090*E1090*0.0015,-1)</f>
        <v>14220</v>
      </c>
      <c r="M1090" s="196">
        <f>ROUNDDOWN(I1090*E1090*0.0025, )</f>
        <v>23700</v>
      </c>
      <c r="N1090" s="36"/>
      <c r="O1090" s="191">
        <f t="shared" si="420"/>
        <v>48</v>
      </c>
      <c r="P1090" s="36">
        <f>F1090*E1090</f>
        <v>8955000</v>
      </c>
      <c r="Q1090" s="36">
        <f>I1090*E1090</f>
        <v>9480000</v>
      </c>
      <c r="R1090" s="7">
        <f>N1090-K1090-L1090-M1090</f>
        <v>-51350</v>
      </c>
      <c r="S1090" s="227">
        <f t="shared" si="421"/>
        <v>473650</v>
      </c>
      <c r="T1090" s="248">
        <f t="shared" si="422"/>
        <v>5.2892238972640983E-2</v>
      </c>
      <c r="U1090" s="9">
        <f>T1090*365/O1090</f>
        <v>0.40220140052112413</v>
      </c>
      <c r="V1090" s="6"/>
    </row>
    <row r="1091" spans="2:28" ht="15" customHeight="1" x14ac:dyDescent="0.4">
      <c r="B1091" s="198" t="s">
        <v>133</v>
      </c>
      <c r="C1091" s="6" t="s">
        <v>162</v>
      </c>
      <c r="D1091" s="15"/>
      <c r="E1091" s="36">
        <v>80</v>
      </c>
      <c r="F1091" s="212">
        <v>31500</v>
      </c>
      <c r="G1091" s="195">
        <v>43682</v>
      </c>
      <c r="H1091" s="8"/>
      <c r="I1091" s="212">
        <v>35200</v>
      </c>
      <c r="J1091" s="8">
        <v>43693</v>
      </c>
      <c r="K1091" s="7">
        <f>ROUNDDOWN(E1091*F1091*0.0015,-1)</f>
        <v>3780</v>
      </c>
      <c r="L1091" s="7">
        <f>ROUNDDOWN(I1091*E1091*0.0015,-1)</f>
        <v>4220</v>
      </c>
      <c r="M1091" s="196">
        <f>ROUNDDOWN(I1091*E1091*0.0025, )</f>
        <v>7040</v>
      </c>
      <c r="N1091" s="36"/>
      <c r="O1091" s="191">
        <f t="shared" si="420"/>
        <v>12</v>
      </c>
      <c r="P1091" s="36">
        <f>F1091*E1091</f>
        <v>2520000</v>
      </c>
      <c r="Q1091" s="36">
        <f>I1091*E1091</f>
        <v>2816000</v>
      </c>
      <c r="R1091" s="7">
        <f>N1091-K1091-L1091-M1091</f>
        <v>-15040</v>
      </c>
      <c r="S1091" s="227">
        <f t="shared" si="421"/>
        <v>280960</v>
      </c>
      <c r="T1091" s="248">
        <f t="shared" si="422"/>
        <v>0.11149206349206349</v>
      </c>
      <c r="U1091" s="193">
        <f>T1091*365/O1091</f>
        <v>3.3912169312169311</v>
      </c>
      <c r="V1091" s="6"/>
      <c r="W1091"/>
      <c r="X1091"/>
      <c r="Y1091"/>
      <c r="Z1091"/>
      <c r="AA1091"/>
      <c r="AB1091"/>
    </row>
    <row r="1092" spans="2:28" ht="15" customHeight="1" x14ac:dyDescent="0.4">
      <c r="B1092" s="198" t="s">
        <v>133</v>
      </c>
      <c r="C1092" s="6" t="s">
        <v>162</v>
      </c>
      <c r="D1092" s="15"/>
      <c r="E1092" s="36">
        <v>120</v>
      </c>
      <c r="F1092" s="212">
        <v>31000</v>
      </c>
      <c r="G1092" s="195">
        <v>43683</v>
      </c>
      <c r="H1092" s="8"/>
      <c r="I1092" s="212">
        <v>35200</v>
      </c>
      <c r="J1092" s="8">
        <v>43693</v>
      </c>
      <c r="K1092" s="7">
        <f>ROUNDDOWN(E1092*F1092*0.0015,-1)</f>
        <v>5580</v>
      </c>
      <c r="L1092" s="7">
        <f>ROUNDDOWN(I1092*E1092*0.0015,-1)</f>
        <v>6330</v>
      </c>
      <c r="M1092" s="196">
        <f>ROUNDDOWN(I1092*E1092*0.0025, )</f>
        <v>10560</v>
      </c>
      <c r="N1092" s="36"/>
      <c r="O1092" s="191">
        <f t="shared" si="420"/>
        <v>11</v>
      </c>
      <c r="P1092" s="36">
        <f>F1092*E1092</f>
        <v>3720000</v>
      </c>
      <c r="Q1092" s="36">
        <f>I1092*E1092</f>
        <v>4224000</v>
      </c>
      <c r="R1092" s="7">
        <f>N1092-K1092-L1092-M1092</f>
        <v>-22470</v>
      </c>
      <c r="S1092" s="227">
        <f t="shared" si="421"/>
        <v>481530</v>
      </c>
      <c r="T1092" s="248">
        <f t="shared" si="422"/>
        <v>0.12944354838709676</v>
      </c>
      <c r="U1092" s="193">
        <f>T1092*365/O1092</f>
        <v>4.2951722873900291</v>
      </c>
      <c r="V1092" s="6"/>
      <c r="W1092"/>
      <c r="X1092"/>
      <c r="Y1092"/>
      <c r="Z1092"/>
      <c r="AA1092"/>
      <c r="AB1092"/>
    </row>
    <row r="1093" spans="2:28" ht="15" customHeight="1" x14ac:dyDescent="0.4">
      <c r="B1093" s="38" t="s">
        <v>133</v>
      </c>
      <c r="C1093" s="6" t="s">
        <v>160</v>
      </c>
      <c r="D1093" s="6">
        <f t="shared" ref="D1093:D1104" si="430">IF(OR($C1093="신한",$C1093="OTC",$C1093="무상증자(신한)",$C1093="토스",$C1093="R토스"),1,"확인")</f>
        <v>1</v>
      </c>
      <c r="E1093" s="34">
        <v>10</v>
      </c>
      <c r="F1093" s="212">
        <v>638000</v>
      </c>
      <c r="G1093" s="195">
        <v>45754</v>
      </c>
      <c r="H1093" s="8"/>
      <c r="I1093" s="212">
        <v>697000</v>
      </c>
      <c r="J1093" s="8">
        <v>45755</v>
      </c>
      <c r="K1093" s="23">
        <f t="shared" ref="K1093:K1104" si="431">IF($C1093="OTC",ROUNDDOWN($E1093*$F1093*0.000909187,-1),(IF($C1093="신한",ROUNDDOWN($E1093*$F1093*0.000036396,-1),(IF($C1093="토스",$E1093*$F1093*0.00015,(IF($C1093="US",(IF($E1093*$F1093*0.0025&gt;0.01,$E1093*$F1093*0.0025,0.01)),IF($C1093="JP",(IF($E1093*$F1093*0.0025&gt;1000,$E1093*$F1093*0.0025,1000)),(IF($C1093="R토스",0,IF($C1093="무상증자(신한)",0,"")))))))))))</f>
        <v>230</v>
      </c>
      <c r="L1093" s="23">
        <f t="shared" ref="L1093:L1104" si="432">IF($C1093="OTC",ROUNDDOWN($I1093*$E1093*0.000909187,-1),(IF($C1093="신한",ROUNDDOWN($I1093*$E1093*0.000036396,-1),(IF($C1093="토스",$I1093*$E1093*0.00015,(IF($C1093="US",(IF($I1093*$E1093*0.0025&gt;0.01,$I1093*$E1093*0.0025,0.01)),(IF($C1093="JP",(IF($I1093*$E1093*0.0025&gt;1000,$I1093*$E1093*0.0025,1000)),(IF($C1093="R토스",$I1093*$E1093*0.00015,(IF($C1093="무상증자(신한)",ROUNDDOWN($I1093*$E1093*0.000036396,-1),"")))))))))))))</f>
        <v>250</v>
      </c>
      <c r="M1093" s="206">
        <f t="shared" ref="M1093:M1104" si="433">Q1093*0.0015</f>
        <v>10455</v>
      </c>
      <c r="N1093" s="34"/>
      <c r="O1093" s="209">
        <f t="shared" si="420"/>
        <v>2</v>
      </c>
      <c r="P1093" s="34">
        <f t="shared" ref="P1093:P1104" si="434">$E1093*$F1093*$D1093</f>
        <v>6380000</v>
      </c>
      <c r="Q1093" s="34">
        <f t="shared" ref="Q1093:Q1104" si="435">$E1093*$I1093*$D1093</f>
        <v>6970000</v>
      </c>
      <c r="R1093" s="7">
        <f t="shared" ref="R1093:R1104" si="436">($N1093-$K1093-$L1093-$M1093)*$D1093</f>
        <v>-10935</v>
      </c>
      <c r="S1093" s="227">
        <f t="shared" si="421"/>
        <v>579065</v>
      </c>
      <c r="T1093" s="249">
        <f t="shared" si="422"/>
        <v>9.0762539184952973E-2</v>
      </c>
      <c r="U1093" s="38"/>
      <c r="V1093" s="33"/>
      <c r="W1093"/>
      <c r="X1093"/>
      <c r="Y1093"/>
      <c r="Z1093"/>
      <c r="AA1093"/>
      <c r="AB1093"/>
    </row>
    <row r="1094" spans="2:28" ht="15" customHeight="1" x14ac:dyDescent="0.4">
      <c r="B1094" s="38" t="s">
        <v>133</v>
      </c>
      <c r="C1094" s="6" t="s">
        <v>160</v>
      </c>
      <c r="D1094" s="6">
        <f t="shared" si="430"/>
        <v>1</v>
      </c>
      <c r="E1094" s="34">
        <v>1</v>
      </c>
      <c r="F1094" s="212">
        <v>683000</v>
      </c>
      <c r="G1094" s="195">
        <v>45756</v>
      </c>
      <c r="H1094" s="8"/>
      <c r="I1094" s="212">
        <v>725000</v>
      </c>
      <c r="J1094" s="8">
        <v>45757</v>
      </c>
      <c r="K1094" s="23">
        <f t="shared" si="431"/>
        <v>20</v>
      </c>
      <c r="L1094" s="23">
        <f t="shared" si="432"/>
        <v>20</v>
      </c>
      <c r="M1094" s="206">
        <f t="shared" si="433"/>
        <v>1087.5</v>
      </c>
      <c r="N1094" s="34"/>
      <c r="O1094" s="209">
        <f t="shared" si="420"/>
        <v>2</v>
      </c>
      <c r="P1094" s="34">
        <f t="shared" si="434"/>
        <v>683000</v>
      </c>
      <c r="Q1094" s="34">
        <f t="shared" si="435"/>
        <v>725000</v>
      </c>
      <c r="R1094" s="7">
        <f t="shared" si="436"/>
        <v>-1127.5</v>
      </c>
      <c r="S1094" s="227">
        <f t="shared" si="421"/>
        <v>40872.5</v>
      </c>
      <c r="T1094" s="249">
        <f t="shared" si="422"/>
        <v>5.9842606149341143E-2</v>
      </c>
      <c r="U1094" s="38"/>
      <c r="V1094" s="33"/>
      <c r="W1094"/>
      <c r="X1094"/>
      <c r="Y1094"/>
      <c r="Z1094"/>
      <c r="AA1094"/>
      <c r="AB1094"/>
    </row>
    <row r="1095" spans="2:28" ht="15" customHeight="1" x14ac:dyDescent="0.4">
      <c r="B1095" s="38" t="s">
        <v>133</v>
      </c>
      <c r="C1095" s="6" t="s">
        <v>160</v>
      </c>
      <c r="D1095" s="6">
        <f t="shared" si="430"/>
        <v>1</v>
      </c>
      <c r="E1095" s="34">
        <v>1</v>
      </c>
      <c r="F1095" s="212">
        <v>829000</v>
      </c>
      <c r="G1095" s="195">
        <v>45768</v>
      </c>
      <c r="H1095" s="8"/>
      <c r="I1095" s="212">
        <v>883000</v>
      </c>
      <c r="J1095" s="8">
        <v>45804</v>
      </c>
      <c r="K1095" s="23">
        <f t="shared" si="431"/>
        <v>30</v>
      </c>
      <c r="L1095" s="23">
        <f t="shared" si="432"/>
        <v>30</v>
      </c>
      <c r="M1095" s="206">
        <f t="shared" si="433"/>
        <v>1324.5</v>
      </c>
      <c r="N1095" s="34"/>
      <c r="O1095" s="209">
        <f t="shared" si="420"/>
        <v>37</v>
      </c>
      <c r="P1095" s="34">
        <f t="shared" si="434"/>
        <v>829000</v>
      </c>
      <c r="Q1095" s="34">
        <f t="shared" si="435"/>
        <v>883000</v>
      </c>
      <c r="R1095" s="7">
        <f t="shared" si="436"/>
        <v>-1384.5</v>
      </c>
      <c r="S1095" s="227">
        <f t="shared" si="421"/>
        <v>52615.5</v>
      </c>
      <c r="T1095" s="249">
        <f t="shared" si="422"/>
        <v>6.34686369119421E-2</v>
      </c>
      <c r="U1095" s="38"/>
      <c r="V1095" s="33"/>
      <c r="W1095"/>
      <c r="X1095"/>
      <c r="Y1095"/>
      <c r="Z1095"/>
      <c r="AA1095"/>
      <c r="AB1095"/>
    </row>
    <row r="1096" spans="2:28" ht="15" customHeight="1" x14ac:dyDescent="0.4">
      <c r="B1096" s="38" t="s">
        <v>133</v>
      </c>
      <c r="C1096" s="6" t="s">
        <v>160</v>
      </c>
      <c r="D1096" s="6">
        <f t="shared" si="430"/>
        <v>1</v>
      </c>
      <c r="E1096" s="34">
        <v>2</v>
      </c>
      <c r="F1096" s="212">
        <v>820000</v>
      </c>
      <c r="G1096" s="195">
        <v>45770</v>
      </c>
      <c r="H1096" s="8"/>
      <c r="I1096" s="212">
        <v>883000</v>
      </c>
      <c r="J1096" s="8">
        <v>45804</v>
      </c>
      <c r="K1096" s="23">
        <f t="shared" si="431"/>
        <v>50</v>
      </c>
      <c r="L1096" s="23">
        <f t="shared" si="432"/>
        <v>60</v>
      </c>
      <c r="M1096" s="206">
        <f t="shared" si="433"/>
        <v>2649</v>
      </c>
      <c r="N1096" s="34"/>
      <c r="O1096" s="209">
        <f t="shared" si="420"/>
        <v>35</v>
      </c>
      <c r="P1096" s="34">
        <f t="shared" si="434"/>
        <v>1640000</v>
      </c>
      <c r="Q1096" s="34">
        <f t="shared" si="435"/>
        <v>1766000</v>
      </c>
      <c r="R1096" s="7">
        <f t="shared" si="436"/>
        <v>-2759</v>
      </c>
      <c r="S1096" s="227">
        <f t="shared" si="421"/>
        <v>123241</v>
      </c>
      <c r="T1096" s="249">
        <f t="shared" si="422"/>
        <v>7.514695121951219E-2</v>
      </c>
      <c r="U1096" s="38"/>
      <c r="V1096" s="33"/>
      <c r="W1096"/>
      <c r="X1096"/>
      <c r="Y1096"/>
      <c r="Z1096"/>
      <c r="AA1096"/>
      <c r="AB1096"/>
    </row>
    <row r="1097" spans="2:28" ht="15" customHeight="1" x14ac:dyDescent="0.4">
      <c r="B1097" s="38" t="s">
        <v>133</v>
      </c>
      <c r="C1097" s="6" t="s">
        <v>160</v>
      </c>
      <c r="D1097" s="6">
        <f t="shared" si="430"/>
        <v>1</v>
      </c>
      <c r="E1097" s="34">
        <v>1</v>
      </c>
      <c r="F1097" s="212">
        <v>812000</v>
      </c>
      <c r="G1097" s="195">
        <v>45771</v>
      </c>
      <c r="H1097" s="8"/>
      <c r="I1097" s="212">
        <v>883000</v>
      </c>
      <c r="J1097" s="8">
        <v>45804</v>
      </c>
      <c r="K1097" s="23">
        <f t="shared" si="431"/>
        <v>20</v>
      </c>
      <c r="L1097" s="23">
        <f t="shared" si="432"/>
        <v>30</v>
      </c>
      <c r="M1097" s="206">
        <f t="shared" si="433"/>
        <v>1324.5</v>
      </c>
      <c r="N1097" s="34"/>
      <c r="O1097" s="209">
        <f t="shared" si="420"/>
        <v>34</v>
      </c>
      <c r="P1097" s="34">
        <f t="shared" si="434"/>
        <v>812000</v>
      </c>
      <c r="Q1097" s="34">
        <f t="shared" si="435"/>
        <v>883000</v>
      </c>
      <c r="R1097" s="7">
        <f t="shared" si="436"/>
        <v>-1374.5</v>
      </c>
      <c r="S1097" s="227">
        <f t="shared" si="421"/>
        <v>69625.5</v>
      </c>
      <c r="T1097" s="249">
        <f t="shared" si="422"/>
        <v>8.5745689655172416E-2</v>
      </c>
      <c r="U1097" s="38"/>
      <c r="V1097" s="33"/>
      <c r="W1097"/>
      <c r="X1097"/>
      <c r="Y1097"/>
      <c r="Z1097"/>
      <c r="AA1097"/>
      <c r="AB1097"/>
    </row>
    <row r="1098" spans="2:28" ht="15" customHeight="1" x14ac:dyDescent="0.4">
      <c r="B1098" s="38" t="s">
        <v>133</v>
      </c>
      <c r="C1098" s="6" t="s">
        <v>160</v>
      </c>
      <c r="D1098" s="6">
        <f t="shared" si="430"/>
        <v>1</v>
      </c>
      <c r="E1098" s="34">
        <v>1</v>
      </c>
      <c r="F1098" s="212">
        <v>802000</v>
      </c>
      <c r="G1098" s="195">
        <v>45776</v>
      </c>
      <c r="H1098" s="8"/>
      <c r="I1098" s="212">
        <v>883000</v>
      </c>
      <c r="J1098" s="8">
        <v>45804</v>
      </c>
      <c r="K1098" s="23">
        <f t="shared" si="431"/>
        <v>20</v>
      </c>
      <c r="L1098" s="23">
        <f t="shared" si="432"/>
        <v>30</v>
      </c>
      <c r="M1098" s="206">
        <f t="shared" si="433"/>
        <v>1324.5</v>
      </c>
      <c r="N1098" s="34"/>
      <c r="O1098" s="209">
        <f t="shared" si="420"/>
        <v>29</v>
      </c>
      <c r="P1098" s="34">
        <f t="shared" si="434"/>
        <v>802000</v>
      </c>
      <c r="Q1098" s="34">
        <f t="shared" si="435"/>
        <v>883000</v>
      </c>
      <c r="R1098" s="7">
        <f t="shared" si="436"/>
        <v>-1374.5</v>
      </c>
      <c r="S1098" s="227">
        <f t="shared" si="421"/>
        <v>79625.5</v>
      </c>
      <c r="T1098" s="249">
        <f t="shared" si="422"/>
        <v>9.9283665835411469E-2</v>
      </c>
      <c r="U1098" s="38"/>
      <c r="V1098" s="33"/>
      <c r="W1098"/>
      <c r="X1098"/>
      <c r="Y1098"/>
      <c r="Z1098"/>
      <c r="AA1098"/>
      <c r="AB1098"/>
    </row>
    <row r="1099" spans="2:28" ht="15" customHeight="1" x14ac:dyDescent="0.4">
      <c r="B1099" s="38" t="s">
        <v>133</v>
      </c>
      <c r="C1099" s="6" t="s">
        <v>160</v>
      </c>
      <c r="D1099" s="6">
        <f t="shared" si="430"/>
        <v>1</v>
      </c>
      <c r="E1099" s="34">
        <v>1</v>
      </c>
      <c r="F1099" s="212">
        <v>789000</v>
      </c>
      <c r="G1099" s="195">
        <v>45777</v>
      </c>
      <c r="H1099" s="8"/>
      <c r="I1099" s="212">
        <v>883000</v>
      </c>
      <c r="J1099" s="8">
        <v>45804</v>
      </c>
      <c r="K1099" s="23">
        <f t="shared" si="431"/>
        <v>20</v>
      </c>
      <c r="L1099" s="23">
        <f t="shared" si="432"/>
        <v>30</v>
      </c>
      <c r="M1099" s="206">
        <f t="shared" si="433"/>
        <v>1324.5</v>
      </c>
      <c r="N1099" s="34"/>
      <c r="O1099" s="209">
        <f t="shared" si="420"/>
        <v>28</v>
      </c>
      <c r="P1099" s="34">
        <f t="shared" si="434"/>
        <v>789000</v>
      </c>
      <c r="Q1099" s="34">
        <f t="shared" si="435"/>
        <v>883000</v>
      </c>
      <c r="R1099" s="7">
        <f t="shared" si="436"/>
        <v>-1374.5</v>
      </c>
      <c r="S1099" s="227">
        <f t="shared" si="421"/>
        <v>92625.5</v>
      </c>
      <c r="T1099" s="249">
        <f t="shared" si="422"/>
        <v>0.11739607097591888</v>
      </c>
      <c r="U1099" s="38"/>
      <c r="V1099" s="33"/>
      <c r="W1099"/>
      <c r="X1099"/>
      <c r="Y1099"/>
      <c r="Z1099"/>
      <c r="AA1099"/>
      <c r="AB1099"/>
    </row>
    <row r="1100" spans="2:28" ht="15" customHeight="1" x14ac:dyDescent="0.4">
      <c r="B1100" s="38" t="s">
        <v>133</v>
      </c>
      <c r="C1100" s="6" t="s">
        <v>160</v>
      </c>
      <c r="D1100" s="6">
        <f t="shared" si="430"/>
        <v>1</v>
      </c>
      <c r="E1100" s="34">
        <v>1</v>
      </c>
      <c r="F1100" s="212">
        <v>865000</v>
      </c>
      <c r="G1100" s="195">
        <v>45789</v>
      </c>
      <c r="H1100" s="8"/>
      <c r="I1100" s="212">
        <v>883000</v>
      </c>
      <c r="J1100" s="8">
        <v>45804</v>
      </c>
      <c r="K1100" s="23">
        <f t="shared" si="431"/>
        <v>30</v>
      </c>
      <c r="L1100" s="23">
        <f t="shared" si="432"/>
        <v>30</v>
      </c>
      <c r="M1100" s="206">
        <f t="shared" si="433"/>
        <v>1324.5</v>
      </c>
      <c r="N1100" s="34"/>
      <c r="O1100" s="209">
        <f t="shared" si="420"/>
        <v>16</v>
      </c>
      <c r="P1100" s="34">
        <f t="shared" si="434"/>
        <v>865000</v>
      </c>
      <c r="Q1100" s="34">
        <f t="shared" si="435"/>
        <v>883000</v>
      </c>
      <c r="R1100" s="7">
        <f t="shared" si="436"/>
        <v>-1384.5</v>
      </c>
      <c r="S1100" s="227">
        <f t="shared" si="421"/>
        <v>16615.5</v>
      </c>
      <c r="T1100" s="249">
        <f t="shared" si="422"/>
        <v>1.9208670520231213E-2</v>
      </c>
      <c r="U1100" s="38"/>
      <c r="V1100" s="33"/>
    </row>
    <row r="1101" spans="2:28" ht="15" customHeight="1" x14ac:dyDescent="0.4">
      <c r="B1101" s="38" t="s">
        <v>133</v>
      </c>
      <c r="C1101" s="6" t="s">
        <v>160</v>
      </c>
      <c r="D1101" s="6">
        <f t="shared" si="430"/>
        <v>1</v>
      </c>
      <c r="E1101" s="34">
        <v>1</v>
      </c>
      <c r="F1101" s="212">
        <v>794000</v>
      </c>
      <c r="G1101" s="195">
        <v>45790</v>
      </c>
      <c r="H1101" s="8"/>
      <c r="I1101" s="212">
        <v>883000</v>
      </c>
      <c r="J1101" s="8">
        <v>45804</v>
      </c>
      <c r="K1101" s="23">
        <f t="shared" si="431"/>
        <v>20</v>
      </c>
      <c r="L1101" s="23">
        <f t="shared" si="432"/>
        <v>30</v>
      </c>
      <c r="M1101" s="206">
        <f t="shared" si="433"/>
        <v>1324.5</v>
      </c>
      <c r="N1101" s="34"/>
      <c r="O1101" s="209">
        <f t="shared" si="420"/>
        <v>15</v>
      </c>
      <c r="P1101" s="34">
        <f t="shared" si="434"/>
        <v>794000</v>
      </c>
      <c r="Q1101" s="34">
        <f t="shared" si="435"/>
        <v>883000</v>
      </c>
      <c r="R1101" s="7">
        <f t="shared" si="436"/>
        <v>-1374.5</v>
      </c>
      <c r="S1101" s="227">
        <f t="shared" si="421"/>
        <v>87625.5</v>
      </c>
      <c r="T1101" s="249">
        <f t="shared" si="422"/>
        <v>0.1103595717884131</v>
      </c>
      <c r="U1101" s="38"/>
      <c r="V1101" s="33">
        <v>17500000</v>
      </c>
    </row>
    <row r="1102" spans="2:28" ht="15" customHeight="1" x14ac:dyDescent="0.4">
      <c r="B1102" s="38" t="s">
        <v>133</v>
      </c>
      <c r="C1102" s="6" t="s">
        <v>160</v>
      </c>
      <c r="D1102" s="6">
        <f t="shared" si="430"/>
        <v>1</v>
      </c>
      <c r="E1102" s="34">
        <v>1</v>
      </c>
      <c r="F1102" s="212">
        <v>879000</v>
      </c>
      <c r="G1102" s="195">
        <v>45804</v>
      </c>
      <c r="H1102" s="8"/>
      <c r="I1102" s="212">
        <v>930000</v>
      </c>
      <c r="J1102" s="8">
        <v>45818</v>
      </c>
      <c r="K1102" s="23">
        <f t="shared" si="431"/>
        <v>30</v>
      </c>
      <c r="L1102" s="23">
        <f t="shared" si="432"/>
        <v>30</v>
      </c>
      <c r="M1102" s="206">
        <f t="shared" si="433"/>
        <v>1395</v>
      </c>
      <c r="N1102" s="34"/>
      <c r="O1102" s="209">
        <f t="shared" si="420"/>
        <v>15</v>
      </c>
      <c r="P1102" s="34">
        <f t="shared" si="434"/>
        <v>879000</v>
      </c>
      <c r="Q1102" s="34">
        <f t="shared" si="435"/>
        <v>930000</v>
      </c>
      <c r="R1102" s="7">
        <f t="shared" si="436"/>
        <v>-1455</v>
      </c>
      <c r="S1102" s="227">
        <f t="shared" si="421"/>
        <v>49545</v>
      </c>
      <c r="T1102" s="249">
        <f t="shared" si="422"/>
        <v>5.6365187713310581E-2</v>
      </c>
      <c r="U1102" s="38"/>
      <c r="V1102" s="33">
        <f>V1101*(0.04+0.00187)</f>
        <v>732725</v>
      </c>
    </row>
    <row r="1103" spans="2:28" ht="15" customHeight="1" x14ac:dyDescent="0.4">
      <c r="B1103" s="38" t="s">
        <v>133</v>
      </c>
      <c r="C1103" s="6" t="s">
        <v>160</v>
      </c>
      <c r="D1103" s="6">
        <f t="shared" si="430"/>
        <v>1</v>
      </c>
      <c r="E1103" s="34">
        <v>4</v>
      </c>
      <c r="F1103" s="212">
        <v>873000</v>
      </c>
      <c r="G1103" s="195">
        <v>45805</v>
      </c>
      <c r="H1103" s="8"/>
      <c r="I1103" s="212">
        <v>930000</v>
      </c>
      <c r="J1103" s="8">
        <v>45818</v>
      </c>
      <c r="K1103" s="23">
        <f t="shared" si="431"/>
        <v>120</v>
      </c>
      <c r="L1103" s="23">
        <f t="shared" si="432"/>
        <v>130</v>
      </c>
      <c r="M1103" s="206">
        <f t="shared" si="433"/>
        <v>5580</v>
      </c>
      <c r="N1103" s="34"/>
      <c r="O1103" s="209">
        <f t="shared" si="420"/>
        <v>14</v>
      </c>
      <c r="P1103" s="34">
        <f t="shared" si="434"/>
        <v>3492000</v>
      </c>
      <c r="Q1103" s="34">
        <f t="shared" si="435"/>
        <v>3720000</v>
      </c>
      <c r="R1103" s="7">
        <f t="shared" si="436"/>
        <v>-5830</v>
      </c>
      <c r="S1103" s="227">
        <f t="shared" si="421"/>
        <v>222170</v>
      </c>
      <c r="T1103" s="249">
        <f t="shared" si="422"/>
        <v>6.3622565864833905E-2</v>
      </c>
      <c r="U1103" s="38"/>
      <c r="V1103" s="33"/>
    </row>
    <row r="1104" spans="2:28" ht="15" customHeight="1" x14ac:dyDescent="0.4">
      <c r="B1104" s="38" t="s">
        <v>133</v>
      </c>
      <c r="C1104" s="6" t="s">
        <v>160</v>
      </c>
      <c r="D1104" s="6">
        <f t="shared" si="430"/>
        <v>1</v>
      </c>
      <c r="E1104" s="34">
        <v>2</v>
      </c>
      <c r="F1104" s="212">
        <v>852500</v>
      </c>
      <c r="G1104" s="195">
        <v>45806</v>
      </c>
      <c r="H1104" s="8"/>
      <c r="I1104" s="212">
        <v>930000</v>
      </c>
      <c r="J1104" s="8">
        <v>45818</v>
      </c>
      <c r="K1104" s="23">
        <f t="shared" si="431"/>
        <v>60</v>
      </c>
      <c r="L1104" s="23">
        <f t="shared" si="432"/>
        <v>60</v>
      </c>
      <c r="M1104" s="206">
        <f t="shared" si="433"/>
        <v>2790</v>
      </c>
      <c r="N1104" s="34"/>
      <c r="O1104" s="209">
        <f t="shared" si="420"/>
        <v>13</v>
      </c>
      <c r="P1104" s="34">
        <f t="shared" si="434"/>
        <v>1705000</v>
      </c>
      <c r="Q1104" s="34">
        <f t="shared" si="435"/>
        <v>1860000</v>
      </c>
      <c r="R1104" s="7">
        <f t="shared" si="436"/>
        <v>-2910</v>
      </c>
      <c r="S1104" s="227">
        <f t="shared" si="421"/>
        <v>152090</v>
      </c>
      <c r="T1104" s="249">
        <f t="shared" si="422"/>
        <v>8.9202346041055716E-2</v>
      </c>
      <c r="U1104" s="38"/>
      <c r="V1104" s="33"/>
    </row>
    <row r="1105" spans="2:22" ht="15" customHeight="1" x14ac:dyDescent="0.4">
      <c r="B1105" s="38" t="s">
        <v>451</v>
      </c>
      <c r="C1105" s="6" t="s">
        <v>187</v>
      </c>
      <c r="D1105" s="6"/>
      <c r="E1105" s="36">
        <v>100</v>
      </c>
      <c r="F1105" s="212">
        <v>18450</v>
      </c>
      <c r="G1105" s="195">
        <v>41312</v>
      </c>
      <c r="H1105" s="8"/>
      <c r="I1105" s="212">
        <v>19400</v>
      </c>
      <c r="J1105" s="8">
        <v>41337</v>
      </c>
      <c r="K1105" s="7">
        <f t="shared" ref="K1105:K1119" si="437">ROUNDDOWN(E1105*F1105*0.00015,-1)</f>
        <v>270</v>
      </c>
      <c r="L1105" s="7">
        <f t="shared" ref="L1105:L1119" si="438">ROUNDDOWN(I1105*E1105*0.00015,-1)</f>
        <v>290</v>
      </c>
      <c r="M1105" s="196">
        <f t="shared" ref="M1105:M1120" si="439">I1105*E1105*0.003</f>
        <v>5820</v>
      </c>
      <c r="N1105" s="36"/>
      <c r="O1105" s="191">
        <f t="shared" si="420"/>
        <v>26</v>
      </c>
      <c r="P1105" s="36">
        <f t="shared" ref="P1105:P1126" si="440">F1105*E1105</f>
        <v>1845000</v>
      </c>
      <c r="Q1105" s="36">
        <f t="shared" ref="Q1105:Q1126" si="441">I1105*E1105</f>
        <v>1940000</v>
      </c>
      <c r="R1105" s="7">
        <f t="shared" ref="R1105:R1126" si="442">N1105-K1105-L1105-M1105</f>
        <v>-6380</v>
      </c>
      <c r="S1105" s="227">
        <f t="shared" si="421"/>
        <v>88620</v>
      </c>
      <c r="T1105" s="248">
        <f t="shared" si="422"/>
        <v>4.8032520325203255E-2</v>
      </c>
      <c r="U1105" s="193">
        <f t="shared" ref="U1105:U1126" si="443">T1105*365/O1105</f>
        <v>0.6743026891807381</v>
      </c>
      <c r="V1105" s="6"/>
    </row>
    <row r="1106" spans="2:22" ht="15" customHeight="1" x14ac:dyDescent="0.4">
      <c r="B1106" s="38" t="s">
        <v>451</v>
      </c>
      <c r="C1106" s="6" t="s">
        <v>187</v>
      </c>
      <c r="D1106" s="6"/>
      <c r="E1106" s="36">
        <v>30</v>
      </c>
      <c r="F1106" s="212">
        <v>17950</v>
      </c>
      <c r="G1106" s="195">
        <v>41372</v>
      </c>
      <c r="H1106" s="8"/>
      <c r="I1106" s="212">
        <v>18500</v>
      </c>
      <c r="J1106" s="8">
        <v>41372</v>
      </c>
      <c r="K1106" s="7">
        <f t="shared" si="437"/>
        <v>80</v>
      </c>
      <c r="L1106" s="7">
        <f t="shared" si="438"/>
        <v>80</v>
      </c>
      <c r="M1106" s="196">
        <f t="shared" si="439"/>
        <v>1665</v>
      </c>
      <c r="N1106" s="36"/>
      <c r="O1106" s="191">
        <f t="shared" si="420"/>
        <v>1</v>
      </c>
      <c r="P1106" s="36">
        <f t="shared" si="440"/>
        <v>538500</v>
      </c>
      <c r="Q1106" s="36">
        <f t="shared" si="441"/>
        <v>555000</v>
      </c>
      <c r="R1106" s="7">
        <f t="shared" si="442"/>
        <v>-1825</v>
      </c>
      <c r="S1106" s="227">
        <f t="shared" si="421"/>
        <v>14675</v>
      </c>
      <c r="T1106" s="248">
        <f t="shared" si="422"/>
        <v>2.7251624883936863E-2</v>
      </c>
      <c r="U1106" s="193">
        <f t="shared" si="443"/>
        <v>9.9468430826369545</v>
      </c>
      <c r="V1106" s="6"/>
    </row>
    <row r="1107" spans="2:22" ht="15" customHeight="1" x14ac:dyDescent="0.4">
      <c r="B1107" s="38" t="s">
        <v>451</v>
      </c>
      <c r="C1107" s="6" t="s">
        <v>187</v>
      </c>
      <c r="D1107" s="6"/>
      <c r="E1107" s="36">
        <v>100</v>
      </c>
      <c r="F1107" s="212">
        <v>16600</v>
      </c>
      <c r="G1107" s="195">
        <v>41387</v>
      </c>
      <c r="H1107" s="8"/>
      <c r="I1107" s="212">
        <v>18750</v>
      </c>
      <c r="J1107" s="8">
        <v>41477</v>
      </c>
      <c r="K1107" s="7">
        <f t="shared" si="437"/>
        <v>240</v>
      </c>
      <c r="L1107" s="7">
        <f t="shared" si="438"/>
        <v>280</v>
      </c>
      <c r="M1107" s="196">
        <f t="shared" si="439"/>
        <v>5625</v>
      </c>
      <c r="N1107" s="36"/>
      <c r="O1107" s="191">
        <f t="shared" si="420"/>
        <v>91</v>
      </c>
      <c r="P1107" s="36">
        <f t="shared" si="440"/>
        <v>1660000</v>
      </c>
      <c r="Q1107" s="36">
        <f t="shared" si="441"/>
        <v>1875000</v>
      </c>
      <c r="R1107" s="7">
        <f t="shared" si="442"/>
        <v>-6145</v>
      </c>
      <c r="S1107" s="227">
        <f t="shared" si="421"/>
        <v>208855</v>
      </c>
      <c r="T1107" s="248">
        <f t="shared" si="422"/>
        <v>0.12581626506024096</v>
      </c>
      <c r="U1107" s="193">
        <f t="shared" si="443"/>
        <v>0.50464765656030719</v>
      </c>
      <c r="V1107" s="6"/>
    </row>
    <row r="1108" spans="2:22" ht="15" customHeight="1" x14ac:dyDescent="0.4">
      <c r="B1108" s="38" t="s">
        <v>451</v>
      </c>
      <c r="C1108" s="6" t="s">
        <v>187</v>
      </c>
      <c r="D1108" s="6"/>
      <c r="E1108" s="36">
        <v>10</v>
      </c>
      <c r="F1108" s="212">
        <v>17850</v>
      </c>
      <c r="G1108" s="195">
        <v>41471</v>
      </c>
      <c r="H1108" s="8"/>
      <c r="I1108" s="212">
        <v>18750</v>
      </c>
      <c r="J1108" s="8">
        <v>41477</v>
      </c>
      <c r="K1108" s="7">
        <f t="shared" si="437"/>
        <v>20</v>
      </c>
      <c r="L1108" s="7">
        <f t="shared" si="438"/>
        <v>20</v>
      </c>
      <c r="M1108" s="196">
        <f t="shared" si="439"/>
        <v>562.5</v>
      </c>
      <c r="N1108" s="36"/>
      <c r="O1108" s="191">
        <f t="shared" si="420"/>
        <v>7</v>
      </c>
      <c r="P1108" s="36">
        <f t="shared" si="440"/>
        <v>178500</v>
      </c>
      <c r="Q1108" s="36">
        <f t="shared" si="441"/>
        <v>187500</v>
      </c>
      <c r="R1108" s="7">
        <f t="shared" si="442"/>
        <v>-602.5</v>
      </c>
      <c r="S1108" s="227">
        <f t="shared" si="421"/>
        <v>8397.5</v>
      </c>
      <c r="T1108" s="248">
        <f t="shared" si="422"/>
        <v>4.7044817927170871E-2</v>
      </c>
      <c r="U1108" s="193">
        <f t="shared" si="443"/>
        <v>2.4530512204881956</v>
      </c>
      <c r="V1108" s="6"/>
    </row>
    <row r="1109" spans="2:22" ht="15" customHeight="1" x14ac:dyDescent="0.4">
      <c r="B1109" s="38" t="s">
        <v>451</v>
      </c>
      <c r="C1109" s="6" t="s">
        <v>187</v>
      </c>
      <c r="D1109" s="6"/>
      <c r="E1109" s="36">
        <v>100</v>
      </c>
      <c r="F1109" s="212">
        <v>17700</v>
      </c>
      <c r="G1109" s="195">
        <v>41515</v>
      </c>
      <c r="H1109" s="8"/>
      <c r="I1109" s="212">
        <v>18400</v>
      </c>
      <c r="J1109" s="8">
        <v>41523</v>
      </c>
      <c r="K1109" s="7">
        <f t="shared" si="437"/>
        <v>260</v>
      </c>
      <c r="L1109" s="7">
        <f t="shared" si="438"/>
        <v>270</v>
      </c>
      <c r="M1109" s="196">
        <f t="shared" si="439"/>
        <v>5520</v>
      </c>
      <c r="N1109" s="36"/>
      <c r="O1109" s="191">
        <f t="shared" si="420"/>
        <v>9</v>
      </c>
      <c r="P1109" s="36">
        <f t="shared" si="440"/>
        <v>1770000</v>
      </c>
      <c r="Q1109" s="36">
        <f t="shared" si="441"/>
        <v>1840000</v>
      </c>
      <c r="R1109" s="7">
        <f t="shared" si="442"/>
        <v>-6050</v>
      </c>
      <c r="S1109" s="227">
        <f t="shared" si="421"/>
        <v>63950</v>
      </c>
      <c r="T1109" s="248">
        <f t="shared" si="422"/>
        <v>3.6129943502824856E-2</v>
      </c>
      <c r="U1109" s="193">
        <f t="shared" si="443"/>
        <v>1.4652699309478969</v>
      </c>
      <c r="V1109" s="6"/>
    </row>
    <row r="1110" spans="2:22" ht="15" customHeight="1" x14ac:dyDescent="0.4">
      <c r="B1110" s="38" t="s">
        <v>451</v>
      </c>
      <c r="C1110" s="6" t="s">
        <v>187</v>
      </c>
      <c r="D1110" s="6"/>
      <c r="E1110" s="36">
        <v>100</v>
      </c>
      <c r="F1110" s="212">
        <v>20000</v>
      </c>
      <c r="G1110" s="195">
        <v>41668</v>
      </c>
      <c r="H1110" s="8"/>
      <c r="I1110" s="212">
        <v>21000</v>
      </c>
      <c r="J1110" s="8">
        <v>41711</v>
      </c>
      <c r="K1110" s="7">
        <f t="shared" si="437"/>
        <v>300</v>
      </c>
      <c r="L1110" s="7">
        <f t="shared" si="438"/>
        <v>310</v>
      </c>
      <c r="M1110" s="196">
        <f t="shared" si="439"/>
        <v>6300</v>
      </c>
      <c r="N1110" s="36"/>
      <c r="O1110" s="191">
        <f t="shared" si="420"/>
        <v>44</v>
      </c>
      <c r="P1110" s="36">
        <f t="shared" si="440"/>
        <v>2000000</v>
      </c>
      <c r="Q1110" s="36">
        <f t="shared" si="441"/>
        <v>2100000</v>
      </c>
      <c r="R1110" s="7">
        <f t="shared" si="442"/>
        <v>-6910</v>
      </c>
      <c r="S1110" s="227">
        <f t="shared" si="421"/>
        <v>93090</v>
      </c>
      <c r="T1110" s="248">
        <f t="shared" si="422"/>
        <v>4.6545000000000003E-2</v>
      </c>
      <c r="U1110" s="193">
        <f t="shared" si="443"/>
        <v>0.38611193181818187</v>
      </c>
      <c r="V1110" s="6"/>
    </row>
    <row r="1111" spans="2:22" ht="15" customHeight="1" x14ac:dyDescent="0.4">
      <c r="B1111" s="38" t="s">
        <v>451</v>
      </c>
      <c r="C1111" s="6" t="s">
        <v>187</v>
      </c>
      <c r="D1111" s="6"/>
      <c r="E1111" s="36">
        <v>100</v>
      </c>
      <c r="F1111" s="212">
        <v>19000</v>
      </c>
      <c r="G1111" s="195">
        <v>41676</v>
      </c>
      <c r="H1111" s="8"/>
      <c r="I1111" s="212">
        <v>21000</v>
      </c>
      <c r="J1111" s="8">
        <v>41711</v>
      </c>
      <c r="K1111" s="7">
        <f t="shared" si="437"/>
        <v>280</v>
      </c>
      <c r="L1111" s="7">
        <f t="shared" si="438"/>
        <v>310</v>
      </c>
      <c r="M1111" s="196">
        <f t="shared" si="439"/>
        <v>6300</v>
      </c>
      <c r="N1111" s="36"/>
      <c r="O1111" s="191">
        <f t="shared" si="420"/>
        <v>36</v>
      </c>
      <c r="P1111" s="36">
        <f t="shared" si="440"/>
        <v>1900000</v>
      </c>
      <c r="Q1111" s="36">
        <f t="shared" si="441"/>
        <v>2100000</v>
      </c>
      <c r="R1111" s="7">
        <f t="shared" si="442"/>
        <v>-6890</v>
      </c>
      <c r="S1111" s="227">
        <f t="shared" si="421"/>
        <v>193110</v>
      </c>
      <c r="T1111" s="248">
        <f t="shared" si="422"/>
        <v>0.10163684210526316</v>
      </c>
      <c r="U1111" s="193">
        <f t="shared" si="443"/>
        <v>1.0304846491228072</v>
      </c>
      <c r="V1111" s="6"/>
    </row>
    <row r="1112" spans="2:22" ht="15" customHeight="1" x14ac:dyDescent="0.4">
      <c r="B1112" s="38" t="s">
        <v>451</v>
      </c>
      <c r="C1112" s="6" t="s">
        <v>187</v>
      </c>
      <c r="D1112" s="6"/>
      <c r="E1112" s="36">
        <v>200</v>
      </c>
      <c r="F1112" s="212">
        <v>19900</v>
      </c>
      <c r="G1112" s="195">
        <v>41715</v>
      </c>
      <c r="H1112" s="8"/>
      <c r="I1112" s="212">
        <v>20150</v>
      </c>
      <c r="J1112" s="8">
        <v>41715</v>
      </c>
      <c r="K1112" s="7">
        <f t="shared" si="437"/>
        <v>590</v>
      </c>
      <c r="L1112" s="7">
        <f t="shared" si="438"/>
        <v>600</v>
      </c>
      <c r="M1112" s="196">
        <f t="shared" si="439"/>
        <v>12090</v>
      </c>
      <c r="N1112" s="36"/>
      <c r="O1112" s="191">
        <f t="shared" si="420"/>
        <v>1</v>
      </c>
      <c r="P1112" s="36">
        <f t="shared" si="440"/>
        <v>3980000</v>
      </c>
      <c r="Q1112" s="36">
        <f t="shared" si="441"/>
        <v>4030000</v>
      </c>
      <c r="R1112" s="7">
        <f t="shared" si="442"/>
        <v>-13280</v>
      </c>
      <c r="S1112" s="227">
        <f t="shared" si="421"/>
        <v>36720</v>
      </c>
      <c r="T1112" s="248">
        <f t="shared" si="422"/>
        <v>9.2261306532663324E-3</v>
      </c>
      <c r="U1112" s="193">
        <f t="shared" si="443"/>
        <v>3.3675376884422112</v>
      </c>
      <c r="V1112" s="6"/>
    </row>
    <row r="1113" spans="2:22" ht="15" customHeight="1" x14ac:dyDescent="0.4">
      <c r="B1113" s="38" t="s">
        <v>451</v>
      </c>
      <c r="C1113" s="6" t="s">
        <v>187</v>
      </c>
      <c r="D1113" s="6"/>
      <c r="E1113" s="36">
        <v>200</v>
      </c>
      <c r="F1113" s="212">
        <v>19150</v>
      </c>
      <c r="G1113" s="195">
        <v>41722</v>
      </c>
      <c r="H1113" s="8"/>
      <c r="I1113" s="212">
        <v>13400</v>
      </c>
      <c r="J1113" s="8">
        <v>41969</v>
      </c>
      <c r="K1113" s="7">
        <f t="shared" si="437"/>
        <v>570</v>
      </c>
      <c r="L1113" s="7">
        <f t="shared" si="438"/>
        <v>400</v>
      </c>
      <c r="M1113" s="196">
        <f t="shared" si="439"/>
        <v>8040</v>
      </c>
      <c r="N1113" s="36"/>
      <c r="O1113" s="191">
        <f t="shared" si="420"/>
        <v>248</v>
      </c>
      <c r="P1113" s="36">
        <f t="shared" si="440"/>
        <v>3830000</v>
      </c>
      <c r="Q1113" s="36">
        <f t="shared" si="441"/>
        <v>2680000</v>
      </c>
      <c r="R1113" s="7">
        <f t="shared" si="442"/>
        <v>-9010</v>
      </c>
      <c r="S1113" s="227">
        <f t="shared" si="421"/>
        <v>-1159010</v>
      </c>
      <c r="T1113" s="248">
        <f t="shared" si="422"/>
        <v>-0.30261357702349867</v>
      </c>
      <c r="U1113" s="193">
        <f t="shared" si="443"/>
        <v>-0.44537885328055243</v>
      </c>
      <c r="V1113" s="6"/>
    </row>
    <row r="1114" spans="2:22" ht="15" customHeight="1" x14ac:dyDescent="0.4">
      <c r="B1114" s="38" t="s">
        <v>451</v>
      </c>
      <c r="C1114" s="6" t="s">
        <v>187</v>
      </c>
      <c r="D1114" s="6"/>
      <c r="E1114" s="36">
        <v>100</v>
      </c>
      <c r="F1114" s="212">
        <v>18300</v>
      </c>
      <c r="G1114" s="195">
        <v>41746</v>
      </c>
      <c r="H1114" s="8"/>
      <c r="I1114" s="212">
        <v>13400</v>
      </c>
      <c r="J1114" s="8">
        <v>41969</v>
      </c>
      <c r="K1114" s="7">
        <f t="shared" si="437"/>
        <v>270</v>
      </c>
      <c r="L1114" s="7">
        <f t="shared" si="438"/>
        <v>200</v>
      </c>
      <c r="M1114" s="196">
        <f t="shared" si="439"/>
        <v>4020</v>
      </c>
      <c r="N1114" s="36"/>
      <c r="O1114" s="191">
        <f t="shared" si="420"/>
        <v>224</v>
      </c>
      <c r="P1114" s="36">
        <f t="shared" si="440"/>
        <v>1830000</v>
      </c>
      <c r="Q1114" s="36">
        <f t="shared" si="441"/>
        <v>1340000</v>
      </c>
      <c r="R1114" s="7">
        <f t="shared" si="442"/>
        <v>-4490</v>
      </c>
      <c r="S1114" s="227">
        <f t="shared" si="421"/>
        <v>-494490</v>
      </c>
      <c r="T1114" s="248">
        <f t="shared" si="422"/>
        <v>-0.27021311475409837</v>
      </c>
      <c r="U1114" s="193">
        <f t="shared" si="443"/>
        <v>-0.44030262002341924</v>
      </c>
      <c r="V1114" s="6"/>
    </row>
    <row r="1115" spans="2:22" ht="15" customHeight="1" x14ac:dyDescent="0.4">
      <c r="B1115" s="38" t="s">
        <v>451</v>
      </c>
      <c r="C1115" s="6" t="s">
        <v>162</v>
      </c>
      <c r="D1115" s="6"/>
      <c r="E1115" s="33">
        <v>200</v>
      </c>
      <c r="F1115" s="212">
        <v>15200</v>
      </c>
      <c r="G1115" s="195">
        <v>41887</v>
      </c>
      <c r="H1115" s="8"/>
      <c r="I1115" s="212">
        <v>13400</v>
      </c>
      <c r="J1115" s="8">
        <v>41969</v>
      </c>
      <c r="K1115" s="7">
        <f t="shared" si="437"/>
        <v>450</v>
      </c>
      <c r="L1115" s="7">
        <f t="shared" si="438"/>
        <v>400</v>
      </c>
      <c r="M1115" s="196">
        <f t="shared" si="439"/>
        <v>8040</v>
      </c>
      <c r="N1115" s="36"/>
      <c r="O1115" s="191">
        <f t="shared" si="420"/>
        <v>83</v>
      </c>
      <c r="P1115" s="36">
        <f t="shared" si="440"/>
        <v>3040000</v>
      </c>
      <c r="Q1115" s="36">
        <f t="shared" si="441"/>
        <v>2680000</v>
      </c>
      <c r="R1115" s="7">
        <f t="shared" si="442"/>
        <v>-8890</v>
      </c>
      <c r="S1115" s="227">
        <f t="shared" si="421"/>
        <v>-368890</v>
      </c>
      <c r="T1115" s="248">
        <f t="shared" si="422"/>
        <v>-0.12134539473684211</v>
      </c>
      <c r="U1115" s="193">
        <f t="shared" si="443"/>
        <v>-0.53362733830057074</v>
      </c>
      <c r="V1115" s="6"/>
    </row>
    <row r="1116" spans="2:22" ht="15" customHeight="1" x14ac:dyDescent="0.4">
      <c r="B1116" s="38" t="s">
        <v>451</v>
      </c>
      <c r="C1116" s="6" t="s">
        <v>187</v>
      </c>
      <c r="D1116" s="6"/>
      <c r="E1116" s="36">
        <v>200</v>
      </c>
      <c r="F1116" s="212">
        <v>11300</v>
      </c>
      <c r="G1116" s="195">
        <v>41935</v>
      </c>
      <c r="H1116" s="8"/>
      <c r="I1116" s="212">
        <v>13400</v>
      </c>
      <c r="J1116" s="8">
        <v>41969</v>
      </c>
      <c r="K1116" s="7">
        <f t="shared" si="437"/>
        <v>330</v>
      </c>
      <c r="L1116" s="7">
        <f t="shared" si="438"/>
        <v>400</v>
      </c>
      <c r="M1116" s="196">
        <f t="shared" si="439"/>
        <v>8040</v>
      </c>
      <c r="N1116" s="36"/>
      <c r="O1116" s="191">
        <f t="shared" si="420"/>
        <v>35</v>
      </c>
      <c r="P1116" s="36">
        <f t="shared" si="440"/>
        <v>2260000</v>
      </c>
      <c r="Q1116" s="36">
        <f t="shared" si="441"/>
        <v>2680000</v>
      </c>
      <c r="R1116" s="7">
        <f t="shared" si="442"/>
        <v>-8770</v>
      </c>
      <c r="S1116" s="227">
        <f t="shared" si="421"/>
        <v>411230</v>
      </c>
      <c r="T1116" s="248">
        <f t="shared" si="422"/>
        <v>0.18196017699115044</v>
      </c>
      <c r="U1116" s="193">
        <f t="shared" si="443"/>
        <v>1.8975847029077118</v>
      </c>
      <c r="V1116" s="6"/>
    </row>
    <row r="1117" spans="2:22" ht="15" customHeight="1" x14ac:dyDescent="0.4">
      <c r="B1117" s="38" t="s">
        <v>451</v>
      </c>
      <c r="C1117" s="6" t="s">
        <v>187</v>
      </c>
      <c r="D1117" s="6"/>
      <c r="E1117" s="36">
        <v>200</v>
      </c>
      <c r="F1117" s="212">
        <v>14900</v>
      </c>
      <c r="G1117" s="195">
        <v>41971</v>
      </c>
      <c r="H1117" s="8"/>
      <c r="I1117" s="212">
        <v>13950</v>
      </c>
      <c r="J1117" s="8">
        <v>41971</v>
      </c>
      <c r="K1117" s="7">
        <f t="shared" si="437"/>
        <v>440</v>
      </c>
      <c r="L1117" s="7">
        <f t="shared" si="438"/>
        <v>410</v>
      </c>
      <c r="M1117" s="196">
        <f t="shared" si="439"/>
        <v>8370</v>
      </c>
      <c r="N1117" s="36"/>
      <c r="O1117" s="191">
        <f t="shared" si="420"/>
        <v>1</v>
      </c>
      <c r="P1117" s="36">
        <f t="shared" si="440"/>
        <v>2980000</v>
      </c>
      <c r="Q1117" s="36">
        <f t="shared" si="441"/>
        <v>2790000</v>
      </c>
      <c r="R1117" s="7">
        <f t="shared" si="442"/>
        <v>-9220</v>
      </c>
      <c r="S1117" s="227">
        <f t="shared" si="421"/>
        <v>-199220</v>
      </c>
      <c r="T1117" s="248">
        <f t="shared" si="422"/>
        <v>-6.6852348993288596E-2</v>
      </c>
      <c r="U1117" s="193">
        <f t="shared" si="443"/>
        <v>-24.401107382550336</v>
      </c>
      <c r="V1117" s="6"/>
    </row>
    <row r="1118" spans="2:22" ht="15" customHeight="1" x14ac:dyDescent="0.4">
      <c r="B1118" s="38" t="s">
        <v>451</v>
      </c>
      <c r="C1118" s="6" t="s">
        <v>187</v>
      </c>
      <c r="D1118" s="6"/>
      <c r="E1118" s="36">
        <v>200</v>
      </c>
      <c r="F1118" s="212">
        <v>12900</v>
      </c>
      <c r="G1118" s="195">
        <v>41975</v>
      </c>
      <c r="H1118" s="8"/>
      <c r="I1118" s="212">
        <v>13100</v>
      </c>
      <c r="J1118" s="8">
        <v>42046</v>
      </c>
      <c r="K1118" s="7">
        <f t="shared" si="437"/>
        <v>380</v>
      </c>
      <c r="L1118" s="7">
        <f t="shared" si="438"/>
        <v>390</v>
      </c>
      <c r="M1118" s="196">
        <f t="shared" si="439"/>
        <v>7860</v>
      </c>
      <c r="N1118" s="36">
        <f>30000-4620</f>
        <v>25380</v>
      </c>
      <c r="O1118" s="191">
        <f t="shared" si="420"/>
        <v>72</v>
      </c>
      <c r="P1118" s="36">
        <f t="shared" si="440"/>
        <v>2580000</v>
      </c>
      <c r="Q1118" s="36">
        <f t="shared" si="441"/>
        <v>2620000</v>
      </c>
      <c r="R1118" s="7">
        <f t="shared" si="442"/>
        <v>16750</v>
      </c>
      <c r="S1118" s="227">
        <f t="shared" si="421"/>
        <v>56750</v>
      </c>
      <c r="T1118" s="248">
        <f t="shared" si="422"/>
        <v>2.1996124031007751E-2</v>
      </c>
      <c r="U1118" s="193">
        <f t="shared" si="443"/>
        <v>0.11150812876830317</v>
      </c>
      <c r="V1118" s="6"/>
    </row>
    <row r="1119" spans="2:22" ht="15" customHeight="1" x14ac:dyDescent="0.4">
      <c r="B1119" s="38" t="s">
        <v>451</v>
      </c>
      <c r="C1119" s="6" t="s">
        <v>187</v>
      </c>
      <c r="D1119" s="6"/>
      <c r="E1119" s="36">
        <v>100</v>
      </c>
      <c r="F1119" s="212">
        <v>18250</v>
      </c>
      <c r="G1119" s="195">
        <v>42193</v>
      </c>
      <c r="H1119" s="8"/>
      <c r="I1119" s="212">
        <v>21600</v>
      </c>
      <c r="J1119" s="8">
        <v>42199</v>
      </c>
      <c r="K1119" s="7">
        <f t="shared" si="437"/>
        <v>270</v>
      </c>
      <c r="L1119" s="7">
        <f t="shared" si="438"/>
        <v>320</v>
      </c>
      <c r="M1119" s="196">
        <f t="shared" si="439"/>
        <v>6480</v>
      </c>
      <c r="N1119" s="36"/>
      <c r="O1119" s="191">
        <f t="shared" si="420"/>
        <v>7</v>
      </c>
      <c r="P1119" s="36">
        <f t="shared" si="440"/>
        <v>1825000</v>
      </c>
      <c r="Q1119" s="36">
        <f t="shared" si="441"/>
        <v>2160000</v>
      </c>
      <c r="R1119" s="7">
        <f t="shared" si="442"/>
        <v>-7070</v>
      </c>
      <c r="S1119" s="227">
        <f t="shared" si="421"/>
        <v>327930</v>
      </c>
      <c r="T1119" s="248">
        <f t="shared" si="422"/>
        <v>0.17968767123287671</v>
      </c>
      <c r="U1119" s="193">
        <f t="shared" si="443"/>
        <v>9.3694285714285712</v>
      </c>
      <c r="V1119" s="6"/>
    </row>
    <row r="1120" spans="2:22" ht="15" customHeight="1" x14ac:dyDescent="0.4">
      <c r="B1120" s="38" t="s">
        <v>451</v>
      </c>
      <c r="C1120" s="6" t="s">
        <v>162</v>
      </c>
      <c r="D1120" s="6"/>
      <c r="E1120" s="36">
        <v>100</v>
      </c>
      <c r="F1120" s="212">
        <v>26100</v>
      </c>
      <c r="G1120" s="195">
        <v>42599</v>
      </c>
      <c r="H1120" s="8"/>
      <c r="I1120" s="212">
        <v>24500</v>
      </c>
      <c r="J1120" s="8">
        <v>42650</v>
      </c>
      <c r="K1120" s="7">
        <f>ROUNDDOWN(E1120*F1120*0.0015,-1)</f>
        <v>3910</v>
      </c>
      <c r="L1120" s="7">
        <f>ROUNDDOWN(I1120*E1120*0.0015,-1)</f>
        <v>3670</v>
      </c>
      <c r="M1120" s="196">
        <f t="shared" si="439"/>
        <v>7350</v>
      </c>
      <c r="N1120" s="36"/>
      <c r="O1120" s="191">
        <f t="shared" si="420"/>
        <v>52</v>
      </c>
      <c r="P1120" s="36">
        <f t="shared" si="440"/>
        <v>2610000</v>
      </c>
      <c r="Q1120" s="36">
        <f t="shared" si="441"/>
        <v>2450000</v>
      </c>
      <c r="R1120" s="7">
        <f t="shared" si="442"/>
        <v>-14930</v>
      </c>
      <c r="S1120" s="227">
        <f t="shared" si="421"/>
        <v>-174930</v>
      </c>
      <c r="T1120" s="248">
        <f t="shared" si="422"/>
        <v>-6.702298850574713E-2</v>
      </c>
      <c r="U1120" s="193">
        <f t="shared" si="443"/>
        <v>-0.4704498231653404</v>
      </c>
      <c r="V1120" s="6"/>
    </row>
    <row r="1121" spans="2:22" ht="15" customHeight="1" x14ac:dyDescent="0.4">
      <c r="B1121" s="198" t="s">
        <v>451</v>
      </c>
      <c r="C1121" s="6" t="s">
        <v>162</v>
      </c>
      <c r="D1121" s="15"/>
      <c r="E1121" s="36">
        <v>113</v>
      </c>
      <c r="F1121" s="212">
        <v>17750</v>
      </c>
      <c r="G1121" s="195">
        <v>43735</v>
      </c>
      <c r="H1121" s="8"/>
      <c r="I1121" s="212">
        <v>19200</v>
      </c>
      <c r="J1121" s="8">
        <v>43833</v>
      </c>
      <c r="K1121" s="7">
        <f>ROUNDDOWN(E1121*F1121*0.0015,-1)</f>
        <v>3000</v>
      </c>
      <c r="L1121" s="7">
        <f>ROUNDDOWN(I1121*E1121*0.0015,-1)</f>
        <v>3250</v>
      </c>
      <c r="M1121" s="196">
        <f>ROUNDDOWN(I1121*E1121*0.0025, )</f>
        <v>5424</v>
      </c>
      <c r="N1121" s="36">
        <f>22600-3470</f>
        <v>19130</v>
      </c>
      <c r="O1121" s="191">
        <f t="shared" si="420"/>
        <v>99</v>
      </c>
      <c r="P1121" s="36">
        <f t="shared" si="440"/>
        <v>2005750</v>
      </c>
      <c r="Q1121" s="36">
        <f t="shared" si="441"/>
        <v>2169600</v>
      </c>
      <c r="R1121" s="7">
        <f t="shared" si="442"/>
        <v>7456</v>
      </c>
      <c r="S1121" s="227">
        <f t="shared" si="421"/>
        <v>171306</v>
      </c>
      <c r="T1121" s="248">
        <f t="shared" si="422"/>
        <v>8.5407453570983421E-2</v>
      </c>
      <c r="U1121" s="193">
        <f t="shared" si="443"/>
        <v>0.31488606619604997</v>
      </c>
      <c r="V1121" s="6"/>
    </row>
    <row r="1122" spans="2:22" ht="15" customHeight="1" x14ac:dyDescent="0.4">
      <c r="B1122" s="38" t="s">
        <v>452</v>
      </c>
      <c r="C1122" s="6" t="s">
        <v>162</v>
      </c>
      <c r="D1122" s="6"/>
      <c r="E1122" s="33">
        <v>10</v>
      </c>
      <c r="F1122" s="212">
        <v>18900</v>
      </c>
      <c r="G1122" s="195">
        <v>41045</v>
      </c>
      <c r="H1122" s="8"/>
      <c r="I1122" s="212">
        <v>20900</v>
      </c>
      <c r="J1122" s="8">
        <v>41298</v>
      </c>
      <c r="K1122" s="7">
        <f>ROUNDDOWN(E1122*F1122*0.00015,-1)</f>
        <v>20</v>
      </c>
      <c r="L1122" s="7">
        <f>ROUNDDOWN(I1122*E1122*0.00015,-1)</f>
        <v>30</v>
      </c>
      <c r="M1122" s="196">
        <f>I1122*E1122*0.003</f>
        <v>627</v>
      </c>
      <c r="N1122" s="36">
        <v>7000</v>
      </c>
      <c r="O1122" s="191">
        <f t="shared" si="420"/>
        <v>254</v>
      </c>
      <c r="P1122" s="36">
        <f t="shared" si="440"/>
        <v>189000</v>
      </c>
      <c r="Q1122" s="36">
        <f t="shared" si="441"/>
        <v>209000</v>
      </c>
      <c r="R1122" s="7">
        <f t="shared" si="442"/>
        <v>6323</v>
      </c>
      <c r="S1122" s="227">
        <f t="shared" si="421"/>
        <v>26323</v>
      </c>
      <c r="T1122" s="248">
        <f t="shared" si="422"/>
        <v>0.13927513227513227</v>
      </c>
      <c r="U1122" s="193">
        <f t="shared" si="443"/>
        <v>0.20013946173394992</v>
      </c>
      <c r="V1122" s="6"/>
    </row>
    <row r="1123" spans="2:22" s="33" customFormat="1" ht="15" customHeight="1" x14ac:dyDescent="0.4">
      <c r="B1123" s="38" t="s">
        <v>453</v>
      </c>
      <c r="C1123" s="6" t="s">
        <v>187</v>
      </c>
      <c r="D1123" s="6"/>
      <c r="E1123" s="36">
        <v>600</v>
      </c>
      <c r="F1123" s="212">
        <v>3420</v>
      </c>
      <c r="G1123" s="195">
        <v>41666</v>
      </c>
      <c r="H1123" s="8"/>
      <c r="I1123" s="212">
        <v>3690</v>
      </c>
      <c r="J1123" s="8">
        <v>41702</v>
      </c>
      <c r="K1123" s="7">
        <f>ROUNDDOWN(E1123*F1123*0.00015,-1)</f>
        <v>300</v>
      </c>
      <c r="L1123" s="7">
        <f>ROUNDDOWN(I1123*E1123*0.00015,-1)</f>
        <v>330</v>
      </c>
      <c r="M1123" s="196">
        <f>I1123*E1123*0.003</f>
        <v>6642</v>
      </c>
      <c r="N1123" s="36"/>
      <c r="O1123" s="191">
        <f t="shared" ref="O1123:O1186" si="444">J1123-G1123+1</f>
        <v>37</v>
      </c>
      <c r="P1123" s="36">
        <f t="shared" si="440"/>
        <v>2052000</v>
      </c>
      <c r="Q1123" s="36">
        <f t="shared" si="441"/>
        <v>2214000</v>
      </c>
      <c r="R1123" s="7">
        <f t="shared" si="442"/>
        <v>-7272</v>
      </c>
      <c r="S1123" s="227">
        <f t="shared" ref="S1123:S1186" si="445">IF(Q1123=0,0,Q1123-P1123+R1123)</f>
        <v>154728</v>
      </c>
      <c r="T1123" s="248">
        <f t="shared" ref="T1123:T1186" si="446">S1123/P1123</f>
        <v>7.540350877192982E-2</v>
      </c>
      <c r="U1123" s="9">
        <f t="shared" si="443"/>
        <v>0.74384542437174006</v>
      </c>
      <c r="V1123" s="6"/>
    </row>
    <row r="1124" spans="2:22" s="33" customFormat="1" ht="15" customHeight="1" x14ac:dyDescent="0.4">
      <c r="B1124" s="38" t="s">
        <v>453</v>
      </c>
      <c r="C1124" s="6" t="s">
        <v>187</v>
      </c>
      <c r="D1124" s="6"/>
      <c r="E1124" s="36">
        <v>700</v>
      </c>
      <c r="F1124" s="212">
        <v>3520</v>
      </c>
      <c r="G1124" s="195">
        <v>41710</v>
      </c>
      <c r="H1124" s="8"/>
      <c r="I1124" s="212">
        <v>3700</v>
      </c>
      <c r="J1124" s="8">
        <v>41731</v>
      </c>
      <c r="K1124" s="7">
        <f>ROUNDDOWN(E1124*F1124*0.00015,-1)</f>
        <v>360</v>
      </c>
      <c r="L1124" s="7">
        <f>ROUNDDOWN(I1124*E1124*0.00015,-1)</f>
        <v>380</v>
      </c>
      <c r="M1124" s="196">
        <f>I1124*E1124*0.003</f>
        <v>7770</v>
      </c>
      <c r="N1124" s="36"/>
      <c r="O1124" s="191">
        <f t="shared" si="444"/>
        <v>22</v>
      </c>
      <c r="P1124" s="36">
        <f t="shared" si="440"/>
        <v>2464000</v>
      </c>
      <c r="Q1124" s="36">
        <f t="shared" si="441"/>
        <v>2590000</v>
      </c>
      <c r="R1124" s="7">
        <f t="shared" si="442"/>
        <v>-8510</v>
      </c>
      <c r="S1124" s="227">
        <f t="shared" si="445"/>
        <v>117490</v>
      </c>
      <c r="T1124" s="248">
        <f t="shared" si="446"/>
        <v>4.7682629870129868E-2</v>
      </c>
      <c r="U1124" s="9">
        <f t="shared" si="443"/>
        <v>0.79109817739079102</v>
      </c>
      <c r="V1124" s="6"/>
    </row>
    <row r="1125" spans="2:22" s="33" customFormat="1" ht="15" customHeight="1" x14ac:dyDescent="0.4">
      <c r="B1125" s="38" t="s">
        <v>454</v>
      </c>
      <c r="C1125" s="6" t="s">
        <v>162</v>
      </c>
      <c r="D1125" s="6"/>
      <c r="E1125" s="216">
        <v>2500</v>
      </c>
      <c r="F1125" s="212">
        <v>1840</v>
      </c>
      <c r="G1125" s="195">
        <v>43028</v>
      </c>
      <c r="H1125" s="8"/>
      <c r="I1125" s="212">
        <v>1930</v>
      </c>
      <c r="J1125" s="8">
        <v>43042</v>
      </c>
      <c r="K1125" s="7">
        <f>ROUNDDOWN(E1125*F1125*0.0015,-1)</f>
        <v>6900</v>
      </c>
      <c r="L1125" s="7">
        <f>ROUNDDOWN(I1125*E1125*0.0015,-1)</f>
        <v>7230</v>
      </c>
      <c r="M1125" s="196">
        <f>I1125*E1125*0.003</f>
        <v>14475</v>
      </c>
      <c r="N1125" s="36"/>
      <c r="O1125" s="191">
        <f t="shared" si="444"/>
        <v>15</v>
      </c>
      <c r="P1125" s="36">
        <f t="shared" si="440"/>
        <v>4600000</v>
      </c>
      <c r="Q1125" s="36">
        <f t="shared" si="441"/>
        <v>4825000</v>
      </c>
      <c r="R1125" s="7">
        <f t="shared" si="442"/>
        <v>-28605</v>
      </c>
      <c r="S1125" s="227">
        <f t="shared" si="445"/>
        <v>196395</v>
      </c>
      <c r="T1125" s="248">
        <f t="shared" si="446"/>
        <v>4.2694565217391303E-2</v>
      </c>
      <c r="U1125" s="9">
        <f t="shared" si="443"/>
        <v>1.0389010869565218</v>
      </c>
      <c r="V1125" s="6"/>
    </row>
    <row r="1126" spans="2:22" s="33" customFormat="1" ht="15" customHeight="1" x14ac:dyDescent="0.4">
      <c r="B1126" s="38" t="s">
        <v>454</v>
      </c>
      <c r="C1126" s="6" t="s">
        <v>162</v>
      </c>
      <c r="D1126" s="6"/>
      <c r="E1126" s="33">
        <v>500</v>
      </c>
      <c r="F1126" s="212">
        <v>1810</v>
      </c>
      <c r="G1126" s="195">
        <v>43028</v>
      </c>
      <c r="H1126" s="8"/>
      <c r="I1126" s="212">
        <v>1930</v>
      </c>
      <c r="J1126" s="8">
        <v>43042</v>
      </c>
      <c r="K1126" s="7">
        <f>ROUNDDOWN(E1126*F1126*0.0015,-1)</f>
        <v>1350</v>
      </c>
      <c r="L1126" s="7">
        <f>ROUNDDOWN(I1126*E1126*0.0015,-1)</f>
        <v>1440</v>
      </c>
      <c r="M1126" s="196">
        <f>I1126*E1126*0.003</f>
        <v>2895</v>
      </c>
      <c r="N1126" s="36"/>
      <c r="O1126" s="191">
        <f t="shared" si="444"/>
        <v>15</v>
      </c>
      <c r="P1126" s="36">
        <f t="shared" si="440"/>
        <v>905000</v>
      </c>
      <c r="Q1126" s="36">
        <f t="shared" si="441"/>
        <v>965000</v>
      </c>
      <c r="R1126" s="7">
        <f t="shared" si="442"/>
        <v>-5685</v>
      </c>
      <c r="S1126" s="227">
        <f t="shared" si="445"/>
        <v>54315</v>
      </c>
      <c r="T1126" s="248">
        <f t="shared" si="446"/>
        <v>6.0016574585635356E-2</v>
      </c>
      <c r="U1126" s="9">
        <f t="shared" si="443"/>
        <v>1.4604033149171269</v>
      </c>
      <c r="V1126" s="6"/>
    </row>
    <row r="1127" spans="2:22" s="33" customFormat="1" ht="15" customHeight="1" x14ac:dyDescent="0.4">
      <c r="B1127" s="38" t="s">
        <v>134</v>
      </c>
      <c r="C1127" s="6" t="s">
        <v>122</v>
      </c>
      <c r="D1127" s="6">
        <f t="shared" ref="D1127:D1143" si="447">IF(OR($C1127="신한",$C1127="OTC",$C1127="무상증자(신한)",$C1127="토스",$C1127="R토스"),1,"확인")</f>
        <v>1</v>
      </c>
      <c r="E1127" s="34">
        <v>10</v>
      </c>
      <c r="F1127" s="212">
        <v>147000</v>
      </c>
      <c r="G1127" s="195">
        <v>45807</v>
      </c>
      <c r="H1127" s="33" t="s">
        <v>113</v>
      </c>
      <c r="I1127" s="212">
        <v>155000</v>
      </c>
      <c r="J1127" s="8">
        <v>45810</v>
      </c>
      <c r="K1127" s="23">
        <f t="shared" ref="K1127:K1143" si="448">IF($C1127="OTC",ROUNDDOWN($E1127*$F1127*0.000909187,-1),(IF($C1127="신한",ROUNDDOWN($E1127*$F1127*0.000036396,-1),(IF($C1127="토스",$E1127*$F1127*0.00015,(IF($C1127="US",(IF($E1127*$F1127*0.0025&gt;0.01,$E1127*$F1127*0.0025,0.01)),IF($C1127="JP",(IF($E1127*$F1127*0.0025&gt;1000,$E1127*$F1127*0.0025,1000)),(IF($C1127="R토스",0,IF($C1127="무상증자(신한)",0,"")))))))))))</f>
        <v>220.49999999999997</v>
      </c>
      <c r="L1127" s="23">
        <f t="shared" ref="L1127:L1143" si="449">IF($C1127="OTC",ROUNDDOWN($I1127*$E1127*0.000909187,-1),(IF($C1127="신한",ROUNDDOWN($I1127*$E1127*0.000036396,-1),(IF($C1127="토스",$I1127*$E1127*0.00015,(IF($C1127="US",(IF($I1127*$E1127*0.0025&gt;0.01,$I1127*$E1127*0.0025,0.01)),(IF($C1127="JP",(IF($I1127*$E1127*0.0025&gt;1000,$I1127*$E1127*0.0025,1000)),(IF($C1127="R토스",$I1127*$E1127*0.00015,(IF($C1127="무상증자(신한)",ROUNDDOWN($I1127*$E1127*0.000036396,-1),"")))))))))))))</f>
        <v>232.49999999999997</v>
      </c>
      <c r="M1127" s="206">
        <f t="shared" ref="M1127:M1143" si="450">Q1127*0.0015</f>
        <v>2325</v>
      </c>
      <c r="N1127" s="34"/>
      <c r="O1127" s="209">
        <f t="shared" si="444"/>
        <v>4</v>
      </c>
      <c r="P1127" s="34">
        <f t="shared" ref="P1127:P1143" si="451">$E1127*$F1127*$D1127</f>
        <v>1470000</v>
      </c>
      <c r="Q1127" s="34">
        <f t="shared" ref="Q1127:Q1143" si="452">$E1127*$I1127*$D1127</f>
        <v>1550000</v>
      </c>
      <c r="R1127" s="7">
        <f t="shared" ref="R1127:R1143" si="453">($N1127-$K1127-$L1127-$M1127)*$D1127</f>
        <v>-2778</v>
      </c>
      <c r="S1127" s="227">
        <f t="shared" si="445"/>
        <v>77222</v>
      </c>
      <c r="T1127" s="249">
        <f t="shared" si="446"/>
        <v>5.2531972789115644E-2</v>
      </c>
      <c r="V1127" s="36">
        <f t="shared" ref="V1127:V1143" si="454">+P1127*0.05*O1127/365</f>
        <v>805.47945205479448</v>
      </c>
    </row>
    <row r="1128" spans="2:22" s="33" customFormat="1" ht="15" customHeight="1" x14ac:dyDescent="0.4">
      <c r="B1128" s="38" t="s">
        <v>134</v>
      </c>
      <c r="C1128" s="6" t="s">
        <v>122</v>
      </c>
      <c r="D1128" s="6">
        <f t="shared" si="447"/>
        <v>1</v>
      </c>
      <c r="E1128" s="34">
        <v>5</v>
      </c>
      <c r="F1128" s="212">
        <v>147800</v>
      </c>
      <c r="G1128" s="195">
        <v>45807</v>
      </c>
      <c r="H1128" s="33" t="s">
        <v>113</v>
      </c>
      <c r="I1128" s="212">
        <v>155000</v>
      </c>
      <c r="J1128" s="8">
        <v>45810</v>
      </c>
      <c r="K1128" s="23">
        <f t="shared" si="448"/>
        <v>110.85</v>
      </c>
      <c r="L1128" s="23">
        <f t="shared" si="449"/>
        <v>116.24999999999999</v>
      </c>
      <c r="M1128" s="206">
        <f t="shared" si="450"/>
        <v>1162.5</v>
      </c>
      <c r="N1128" s="34"/>
      <c r="O1128" s="209">
        <f t="shared" si="444"/>
        <v>4</v>
      </c>
      <c r="P1128" s="34">
        <f t="shared" si="451"/>
        <v>739000</v>
      </c>
      <c r="Q1128" s="34">
        <f t="shared" si="452"/>
        <v>775000</v>
      </c>
      <c r="R1128" s="7">
        <f t="shared" si="453"/>
        <v>-1389.6</v>
      </c>
      <c r="S1128" s="227">
        <f t="shared" si="445"/>
        <v>34610.400000000001</v>
      </c>
      <c r="T1128" s="249">
        <f t="shared" si="446"/>
        <v>4.6834100135317996E-2</v>
      </c>
      <c r="V1128" s="36">
        <f t="shared" si="454"/>
        <v>404.93150684931504</v>
      </c>
    </row>
    <row r="1129" spans="2:22" s="33" customFormat="1" ht="15" customHeight="1" x14ac:dyDescent="0.4">
      <c r="B1129" s="38" t="s">
        <v>134</v>
      </c>
      <c r="C1129" s="6" t="s">
        <v>122</v>
      </c>
      <c r="D1129" s="6">
        <f t="shared" si="447"/>
        <v>1</v>
      </c>
      <c r="E1129" s="34">
        <v>5</v>
      </c>
      <c r="F1129" s="212">
        <v>147300</v>
      </c>
      <c r="G1129" s="195">
        <v>45807</v>
      </c>
      <c r="H1129" s="33" t="s">
        <v>113</v>
      </c>
      <c r="I1129" s="212">
        <v>155000</v>
      </c>
      <c r="J1129" s="8">
        <v>45810</v>
      </c>
      <c r="K1129" s="23">
        <f t="shared" si="448"/>
        <v>110.47499999999999</v>
      </c>
      <c r="L1129" s="23">
        <f t="shared" si="449"/>
        <v>116.24999999999999</v>
      </c>
      <c r="M1129" s="206">
        <f t="shared" si="450"/>
        <v>1162.5</v>
      </c>
      <c r="N1129" s="34"/>
      <c r="O1129" s="209">
        <f t="shared" si="444"/>
        <v>4</v>
      </c>
      <c r="P1129" s="34">
        <f t="shared" si="451"/>
        <v>736500</v>
      </c>
      <c r="Q1129" s="34">
        <f t="shared" si="452"/>
        <v>775000</v>
      </c>
      <c r="R1129" s="7">
        <f t="shared" si="453"/>
        <v>-1389.2249999999999</v>
      </c>
      <c r="S1129" s="227">
        <f t="shared" si="445"/>
        <v>37110.775000000001</v>
      </c>
      <c r="T1129" s="249">
        <f t="shared" si="446"/>
        <v>5.0388017651052275E-2</v>
      </c>
      <c r="V1129" s="36">
        <f t="shared" si="454"/>
        <v>403.56164383561645</v>
      </c>
    </row>
    <row r="1130" spans="2:22" s="33" customFormat="1" ht="15" customHeight="1" x14ac:dyDescent="0.4">
      <c r="B1130" s="38" t="s">
        <v>134</v>
      </c>
      <c r="C1130" s="6" t="s">
        <v>122</v>
      </c>
      <c r="D1130" s="6">
        <f t="shared" si="447"/>
        <v>1</v>
      </c>
      <c r="E1130" s="34">
        <v>10</v>
      </c>
      <c r="F1130" s="212">
        <v>146300</v>
      </c>
      <c r="G1130" s="195">
        <v>45807</v>
      </c>
      <c r="H1130" s="33" t="s">
        <v>113</v>
      </c>
      <c r="I1130" s="212">
        <v>155000</v>
      </c>
      <c r="J1130" s="8">
        <v>45810</v>
      </c>
      <c r="K1130" s="23">
        <f t="shared" si="448"/>
        <v>219.45</v>
      </c>
      <c r="L1130" s="23">
        <f t="shared" si="449"/>
        <v>232.49999999999997</v>
      </c>
      <c r="M1130" s="206">
        <f t="shared" si="450"/>
        <v>2325</v>
      </c>
      <c r="N1130" s="34"/>
      <c r="O1130" s="209">
        <f t="shared" si="444"/>
        <v>4</v>
      </c>
      <c r="P1130" s="34">
        <f t="shared" si="451"/>
        <v>1463000</v>
      </c>
      <c r="Q1130" s="34">
        <f t="shared" si="452"/>
        <v>1550000</v>
      </c>
      <c r="R1130" s="7">
        <f t="shared" si="453"/>
        <v>-2776.95</v>
      </c>
      <c r="S1130" s="227">
        <f t="shared" si="445"/>
        <v>84223.05</v>
      </c>
      <c r="T1130" s="249">
        <f t="shared" si="446"/>
        <v>5.7568728639781276E-2</v>
      </c>
      <c r="V1130" s="36">
        <f t="shared" si="454"/>
        <v>801.64383561643831</v>
      </c>
    </row>
    <row r="1131" spans="2:22" s="33" customFormat="1" ht="15" customHeight="1" x14ac:dyDescent="0.4">
      <c r="B1131" s="38" t="s">
        <v>134</v>
      </c>
      <c r="C1131" s="6" t="s">
        <v>122</v>
      </c>
      <c r="D1131" s="6">
        <f t="shared" si="447"/>
        <v>1</v>
      </c>
      <c r="E1131" s="34">
        <v>10</v>
      </c>
      <c r="F1131" s="212">
        <v>145700</v>
      </c>
      <c r="G1131" s="195">
        <v>45807</v>
      </c>
      <c r="H1131" s="33" t="s">
        <v>113</v>
      </c>
      <c r="I1131" s="212">
        <v>155000</v>
      </c>
      <c r="J1131" s="8">
        <v>45810</v>
      </c>
      <c r="K1131" s="23">
        <f t="shared" si="448"/>
        <v>218.54999999999998</v>
      </c>
      <c r="L1131" s="23">
        <f t="shared" si="449"/>
        <v>232.49999999999997</v>
      </c>
      <c r="M1131" s="206">
        <f t="shared" si="450"/>
        <v>2325</v>
      </c>
      <c r="N1131" s="34"/>
      <c r="O1131" s="209">
        <f t="shared" si="444"/>
        <v>4</v>
      </c>
      <c r="P1131" s="34">
        <f t="shared" si="451"/>
        <v>1457000</v>
      </c>
      <c r="Q1131" s="34">
        <f t="shared" si="452"/>
        <v>1550000</v>
      </c>
      <c r="R1131" s="7">
        <f t="shared" si="453"/>
        <v>-2776.05</v>
      </c>
      <c r="S1131" s="227">
        <f t="shared" si="445"/>
        <v>90223.95</v>
      </c>
      <c r="T1131" s="249">
        <f t="shared" si="446"/>
        <v>6.1924468085106384E-2</v>
      </c>
      <c r="V1131" s="36">
        <f t="shared" si="454"/>
        <v>798.35616438356169</v>
      </c>
    </row>
    <row r="1132" spans="2:22" s="33" customFormat="1" ht="15" customHeight="1" x14ac:dyDescent="0.4">
      <c r="B1132" s="38" t="s">
        <v>134</v>
      </c>
      <c r="C1132" s="6" t="s">
        <v>122</v>
      </c>
      <c r="D1132" s="6">
        <f t="shared" si="447"/>
        <v>1</v>
      </c>
      <c r="E1132" s="34">
        <v>10</v>
      </c>
      <c r="F1132" s="212">
        <v>145000</v>
      </c>
      <c r="G1132" s="195">
        <v>45807</v>
      </c>
      <c r="H1132" s="33" t="s">
        <v>113</v>
      </c>
      <c r="I1132" s="212">
        <v>155000</v>
      </c>
      <c r="J1132" s="8">
        <v>45810</v>
      </c>
      <c r="K1132" s="23">
        <f t="shared" si="448"/>
        <v>217.49999999999997</v>
      </c>
      <c r="L1132" s="23">
        <f t="shared" si="449"/>
        <v>232.49999999999997</v>
      </c>
      <c r="M1132" s="206">
        <f t="shared" si="450"/>
        <v>2325</v>
      </c>
      <c r="N1132" s="34"/>
      <c r="O1132" s="209">
        <f t="shared" si="444"/>
        <v>4</v>
      </c>
      <c r="P1132" s="34">
        <f t="shared" si="451"/>
        <v>1450000</v>
      </c>
      <c r="Q1132" s="34">
        <f t="shared" si="452"/>
        <v>1550000</v>
      </c>
      <c r="R1132" s="7">
        <f t="shared" si="453"/>
        <v>-2775</v>
      </c>
      <c r="S1132" s="227">
        <f t="shared" si="445"/>
        <v>97225</v>
      </c>
      <c r="T1132" s="249">
        <f t="shared" si="446"/>
        <v>6.7051724137931035E-2</v>
      </c>
      <c r="V1132" s="36">
        <f t="shared" si="454"/>
        <v>794.52054794520552</v>
      </c>
    </row>
    <row r="1133" spans="2:22" s="33" customFormat="1" ht="15" customHeight="1" x14ac:dyDescent="0.4">
      <c r="B1133" s="38" t="s">
        <v>134</v>
      </c>
      <c r="C1133" s="6" t="s">
        <v>122</v>
      </c>
      <c r="D1133" s="6">
        <f t="shared" si="447"/>
        <v>1</v>
      </c>
      <c r="E1133" s="34">
        <v>10</v>
      </c>
      <c r="F1133" s="212">
        <v>143500</v>
      </c>
      <c r="G1133" s="195">
        <v>45807</v>
      </c>
      <c r="H1133" s="33" t="s">
        <v>113</v>
      </c>
      <c r="I1133" s="212">
        <v>155000</v>
      </c>
      <c r="J1133" s="8">
        <v>45810</v>
      </c>
      <c r="K1133" s="23">
        <f t="shared" si="448"/>
        <v>215.24999999999997</v>
      </c>
      <c r="L1133" s="23">
        <f t="shared" si="449"/>
        <v>232.49999999999997</v>
      </c>
      <c r="M1133" s="206">
        <f t="shared" si="450"/>
        <v>2325</v>
      </c>
      <c r="N1133" s="34"/>
      <c r="O1133" s="209">
        <f t="shared" si="444"/>
        <v>4</v>
      </c>
      <c r="P1133" s="34">
        <f t="shared" si="451"/>
        <v>1435000</v>
      </c>
      <c r="Q1133" s="34">
        <f t="shared" si="452"/>
        <v>1550000</v>
      </c>
      <c r="R1133" s="7">
        <f t="shared" si="453"/>
        <v>-2772.75</v>
      </c>
      <c r="S1133" s="227">
        <f t="shared" si="445"/>
        <v>112227.25</v>
      </c>
      <c r="T1133" s="249">
        <f t="shared" si="446"/>
        <v>7.8207142857142864E-2</v>
      </c>
      <c r="V1133" s="36">
        <f t="shared" si="454"/>
        <v>786.30136986301375</v>
      </c>
    </row>
    <row r="1134" spans="2:22" s="33" customFormat="1" ht="15" customHeight="1" x14ac:dyDescent="0.4">
      <c r="B1134" s="38" t="s">
        <v>134</v>
      </c>
      <c r="C1134" s="6" t="s">
        <v>122</v>
      </c>
      <c r="D1134" s="6">
        <f t="shared" si="447"/>
        <v>1</v>
      </c>
      <c r="E1134" s="34">
        <v>7</v>
      </c>
      <c r="F1134" s="212">
        <v>153500</v>
      </c>
      <c r="G1134" s="195">
        <v>45810</v>
      </c>
      <c r="H1134" s="33" t="s">
        <v>113</v>
      </c>
      <c r="I1134" s="212">
        <v>156000</v>
      </c>
      <c r="J1134" s="8">
        <v>45812</v>
      </c>
      <c r="K1134" s="23">
        <f t="shared" si="448"/>
        <v>161.17499999999998</v>
      </c>
      <c r="L1134" s="23">
        <f t="shared" si="449"/>
        <v>163.79999999999998</v>
      </c>
      <c r="M1134" s="206">
        <f t="shared" si="450"/>
        <v>1638</v>
      </c>
      <c r="N1134" s="34"/>
      <c r="O1134" s="209">
        <f t="shared" si="444"/>
        <v>3</v>
      </c>
      <c r="P1134" s="34">
        <f t="shared" si="451"/>
        <v>1074500</v>
      </c>
      <c r="Q1134" s="34">
        <f t="shared" si="452"/>
        <v>1092000</v>
      </c>
      <c r="R1134" s="7">
        <f t="shared" si="453"/>
        <v>-1962.9749999999999</v>
      </c>
      <c r="S1134" s="227">
        <f t="shared" si="445"/>
        <v>15537.025</v>
      </c>
      <c r="T1134" s="249">
        <f t="shared" si="446"/>
        <v>1.4459771986970684E-2</v>
      </c>
      <c r="V1134" s="36">
        <f t="shared" si="454"/>
        <v>441.57534246575341</v>
      </c>
    </row>
    <row r="1135" spans="2:22" s="33" customFormat="1" ht="15" customHeight="1" x14ac:dyDescent="0.4">
      <c r="B1135" s="38" t="s">
        <v>134</v>
      </c>
      <c r="C1135" s="6" t="s">
        <v>122</v>
      </c>
      <c r="D1135" s="6">
        <f t="shared" si="447"/>
        <v>1</v>
      </c>
      <c r="E1135" s="34">
        <v>7</v>
      </c>
      <c r="F1135" s="212">
        <v>153200</v>
      </c>
      <c r="G1135" s="195">
        <v>45810</v>
      </c>
      <c r="H1135" s="33" t="s">
        <v>113</v>
      </c>
      <c r="I1135" s="212">
        <v>156000</v>
      </c>
      <c r="J1135" s="8">
        <v>45812</v>
      </c>
      <c r="K1135" s="23">
        <f t="shared" si="448"/>
        <v>160.85999999999999</v>
      </c>
      <c r="L1135" s="23">
        <f t="shared" si="449"/>
        <v>163.79999999999998</v>
      </c>
      <c r="M1135" s="206">
        <f t="shared" si="450"/>
        <v>1638</v>
      </c>
      <c r="N1135" s="34"/>
      <c r="O1135" s="209">
        <f t="shared" si="444"/>
        <v>3</v>
      </c>
      <c r="P1135" s="34">
        <f t="shared" si="451"/>
        <v>1072400</v>
      </c>
      <c r="Q1135" s="34">
        <f t="shared" si="452"/>
        <v>1092000</v>
      </c>
      <c r="R1135" s="7">
        <f t="shared" si="453"/>
        <v>-1962.6599999999999</v>
      </c>
      <c r="S1135" s="227">
        <f t="shared" si="445"/>
        <v>17637.34</v>
      </c>
      <c r="T1135" s="249">
        <f t="shared" si="446"/>
        <v>1.6446605744125327E-2</v>
      </c>
      <c r="V1135" s="36">
        <f t="shared" si="454"/>
        <v>440.71232876712327</v>
      </c>
    </row>
    <row r="1136" spans="2:22" s="33" customFormat="1" ht="15" customHeight="1" x14ac:dyDescent="0.4">
      <c r="B1136" s="38" t="s">
        <v>134</v>
      </c>
      <c r="C1136" s="6" t="s">
        <v>122</v>
      </c>
      <c r="D1136" s="6">
        <f t="shared" si="447"/>
        <v>1</v>
      </c>
      <c r="E1136" s="34">
        <v>7</v>
      </c>
      <c r="F1136" s="212">
        <v>152000</v>
      </c>
      <c r="G1136" s="195">
        <v>45810</v>
      </c>
      <c r="H1136" s="33" t="s">
        <v>113</v>
      </c>
      <c r="I1136" s="212">
        <v>156000</v>
      </c>
      <c r="J1136" s="8">
        <v>45812</v>
      </c>
      <c r="K1136" s="23">
        <f t="shared" si="448"/>
        <v>159.6</v>
      </c>
      <c r="L1136" s="23">
        <f t="shared" si="449"/>
        <v>163.79999999999998</v>
      </c>
      <c r="M1136" s="206">
        <f t="shared" si="450"/>
        <v>1638</v>
      </c>
      <c r="N1136" s="34"/>
      <c r="O1136" s="209">
        <f t="shared" si="444"/>
        <v>3</v>
      </c>
      <c r="P1136" s="34">
        <f t="shared" si="451"/>
        <v>1064000</v>
      </c>
      <c r="Q1136" s="34">
        <f t="shared" si="452"/>
        <v>1092000</v>
      </c>
      <c r="R1136" s="7">
        <f t="shared" si="453"/>
        <v>-1961.4</v>
      </c>
      <c r="S1136" s="227">
        <f t="shared" si="445"/>
        <v>26038.6</v>
      </c>
      <c r="T1136" s="249">
        <f t="shared" si="446"/>
        <v>2.4472368421052632E-2</v>
      </c>
      <c r="V1136" s="36">
        <f t="shared" si="454"/>
        <v>437.26027397260276</v>
      </c>
    </row>
    <row r="1137" spans="2:22" s="33" customFormat="1" ht="15" customHeight="1" x14ac:dyDescent="0.4">
      <c r="B1137" s="38" t="s">
        <v>134</v>
      </c>
      <c r="C1137" s="6" t="s">
        <v>122</v>
      </c>
      <c r="D1137" s="6">
        <f t="shared" si="447"/>
        <v>1</v>
      </c>
      <c r="E1137" s="34">
        <v>8</v>
      </c>
      <c r="F1137" s="212">
        <v>151800</v>
      </c>
      <c r="G1137" s="195">
        <v>45812</v>
      </c>
      <c r="H1137" s="33" t="s">
        <v>113</v>
      </c>
      <c r="I1137" s="212">
        <v>156000</v>
      </c>
      <c r="J1137" s="8">
        <v>45812</v>
      </c>
      <c r="K1137" s="23">
        <f t="shared" si="448"/>
        <v>182.16</v>
      </c>
      <c r="L1137" s="23">
        <f t="shared" si="449"/>
        <v>187.2</v>
      </c>
      <c r="M1137" s="206">
        <f t="shared" si="450"/>
        <v>1872</v>
      </c>
      <c r="N1137" s="34"/>
      <c r="O1137" s="209">
        <f t="shared" si="444"/>
        <v>1</v>
      </c>
      <c r="P1137" s="34">
        <f t="shared" si="451"/>
        <v>1214400</v>
      </c>
      <c r="Q1137" s="34">
        <f t="shared" si="452"/>
        <v>1248000</v>
      </c>
      <c r="R1137" s="7">
        <f t="shared" si="453"/>
        <v>-2241.36</v>
      </c>
      <c r="S1137" s="227">
        <f t="shared" si="445"/>
        <v>31358.639999999999</v>
      </c>
      <c r="T1137" s="249">
        <f t="shared" si="446"/>
        <v>2.5822332015810277E-2</v>
      </c>
      <c r="V1137" s="36">
        <f t="shared" si="454"/>
        <v>166.35616438356163</v>
      </c>
    </row>
    <row r="1138" spans="2:22" s="33" customFormat="1" ht="15" customHeight="1" x14ac:dyDescent="0.4">
      <c r="B1138" s="38" t="s">
        <v>134</v>
      </c>
      <c r="C1138" s="6" t="s">
        <v>122</v>
      </c>
      <c r="D1138" s="6">
        <f t="shared" si="447"/>
        <v>1</v>
      </c>
      <c r="E1138" s="34">
        <v>8</v>
      </c>
      <c r="F1138" s="212">
        <v>152000</v>
      </c>
      <c r="G1138" s="195">
        <v>45812</v>
      </c>
      <c r="H1138" s="33" t="s">
        <v>113</v>
      </c>
      <c r="I1138" s="212">
        <v>156000</v>
      </c>
      <c r="J1138" s="8">
        <v>45812</v>
      </c>
      <c r="K1138" s="23">
        <f t="shared" si="448"/>
        <v>182.39999999999998</v>
      </c>
      <c r="L1138" s="23">
        <f t="shared" si="449"/>
        <v>187.2</v>
      </c>
      <c r="M1138" s="206">
        <f t="shared" si="450"/>
        <v>1872</v>
      </c>
      <c r="N1138" s="34"/>
      <c r="O1138" s="209">
        <f t="shared" si="444"/>
        <v>1</v>
      </c>
      <c r="P1138" s="34">
        <f t="shared" si="451"/>
        <v>1216000</v>
      </c>
      <c r="Q1138" s="34">
        <f t="shared" si="452"/>
        <v>1248000</v>
      </c>
      <c r="R1138" s="7">
        <f t="shared" si="453"/>
        <v>-2241.6</v>
      </c>
      <c r="S1138" s="227">
        <f t="shared" si="445"/>
        <v>29758.400000000001</v>
      </c>
      <c r="T1138" s="249">
        <f t="shared" si="446"/>
        <v>2.4472368421052632E-2</v>
      </c>
      <c r="V1138" s="36">
        <f t="shared" si="454"/>
        <v>166.57534246575344</v>
      </c>
    </row>
    <row r="1139" spans="2:22" s="33" customFormat="1" ht="15" customHeight="1" x14ac:dyDescent="0.4">
      <c r="B1139" s="38" t="s">
        <v>134</v>
      </c>
      <c r="C1139" s="6" t="s">
        <v>122</v>
      </c>
      <c r="D1139" s="6">
        <f t="shared" si="447"/>
        <v>1</v>
      </c>
      <c r="E1139" s="34">
        <v>4</v>
      </c>
      <c r="F1139" s="212">
        <v>154000</v>
      </c>
      <c r="G1139" s="195">
        <v>45813</v>
      </c>
      <c r="H1139" s="33" t="s">
        <v>113</v>
      </c>
      <c r="I1139" s="212">
        <v>160000</v>
      </c>
      <c r="J1139" s="8">
        <v>45818</v>
      </c>
      <c r="K1139" s="23">
        <f t="shared" si="448"/>
        <v>92.399999999999991</v>
      </c>
      <c r="L1139" s="23">
        <f t="shared" si="449"/>
        <v>95.999999999999986</v>
      </c>
      <c r="M1139" s="206">
        <f t="shared" si="450"/>
        <v>960</v>
      </c>
      <c r="N1139" s="34"/>
      <c r="O1139" s="209">
        <f t="shared" si="444"/>
        <v>6</v>
      </c>
      <c r="P1139" s="34">
        <f t="shared" si="451"/>
        <v>616000</v>
      </c>
      <c r="Q1139" s="34">
        <f t="shared" si="452"/>
        <v>640000</v>
      </c>
      <c r="R1139" s="7">
        <f t="shared" si="453"/>
        <v>-1148.4000000000001</v>
      </c>
      <c r="S1139" s="227">
        <f t="shared" si="445"/>
        <v>22851.599999999999</v>
      </c>
      <c r="T1139" s="249">
        <f t="shared" si="446"/>
        <v>3.7096753246753246E-2</v>
      </c>
      <c r="V1139" s="36">
        <f t="shared" si="454"/>
        <v>506.30136986301369</v>
      </c>
    </row>
    <row r="1140" spans="2:22" s="33" customFormat="1" ht="15" customHeight="1" x14ac:dyDescent="0.4">
      <c r="B1140" s="38" t="s">
        <v>134</v>
      </c>
      <c r="C1140" s="6" t="s">
        <v>122</v>
      </c>
      <c r="D1140" s="6">
        <f t="shared" si="447"/>
        <v>1</v>
      </c>
      <c r="E1140" s="34">
        <v>4</v>
      </c>
      <c r="F1140" s="212">
        <v>151500</v>
      </c>
      <c r="G1140" s="195">
        <v>45813</v>
      </c>
      <c r="H1140" s="33" t="s">
        <v>113</v>
      </c>
      <c r="I1140" s="212">
        <v>160000</v>
      </c>
      <c r="J1140" s="8">
        <v>45818</v>
      </c>
      <c r="K1140" s="23">
        <f t="shared" si="448"/>
        <v>90.899999999999991</v>
      </c>
      <c r="L1140" s="23">
        <f t="shared" si="449"/>
        <v>95.999999999999986</v>
      </c>
      <c r="M1140" s="206">
        <f t="shared" si="450"/>
        <v>960</v>
      </c>
      <c r="N1140" s="34"/>
      <c r="O1140" s="209">
        <f t="shared" si="444"/>
        <v>6</v>
      </c>
      <c r="P1140" s="34">
        <f t="shared" si="451"/>
        <v>606000</v>
      </c>
      <c r="Q1140" s="34">
        <f t="shared" si="452"/>
        <v>640000</v>
      </c>
      <c r="R1140" s="7">
        <f t="shared" si="453"/>
        <v>-1146.9000000000001</v>
      </c>
      <c r="S1140" s="227">
        <f t="shared" si="445"/>
        <v>32853.1</v>
      </c>
      <c r="T1140" s="249">
        <f t="shared" si="446"/>
        <v>5.4213036303630363E-2</v>
      </c>
      <c r="V1140" s="36">
        <f t="shared" si="454"/>
        <v>498.08219178082192</v>
      </c>
    </row>
    <row r="1141" spans="2:22" s="33" customFormat="1" ht="15" customHeight="1" x14ac:dyDescent="0.4">
      <c r="B1141" s="38" t="s">
        <v>134</v>
      </c>
      <c r="C1141" s="6" t="s">
        <v>122</v>
      </c>
      <c r="D1141" s="6">
        <f t="shared" si="447"/>
        <v>1</v>
      </c>
      <c r="E1141" s="34">
        <v>6</v>
      </c>
      <c r="F1141" s="212">
        <v>153700</v>
      </c>
      <c r="G1141" s="195">
        <v>45813</v>
      </c>
      <c r="H1141" s="33" t="s">
        <v>113</v>
      </c>
      <c r="I1141" s="212">
        <v>160000</v>
      </c>
      <c r="J1141" s="8">
        <v>45818</v>
      </c>
      <c r="K1141" s="23">
        <f t="shared" si="448"/>
        <v>138.32999999999998</v>
      </c>
      <c r="L1141" s="23">
        <f t="shared" si="449"/>
        <v>144</v>
      </c>
      <c r="M1141" s="206">
        <f t="shared" si="450"/>
        <v>1440</v>
      </c>
      <c r="N1141" s="34"/>
      <c r="O1141" s="209">
        <f t="shared" si="444"/>
        <v>6</v>
      </c>
      <c r="P1141" s="34">
        <f t="shared" si="451"/>
        <v>922200</v>
      </c>
      <c r="Q1141" s="34">
        <f t="shared" si="452"/>
        <v>960000</v>
      </c>
      <c r="R1141" s="7">
        <f t="shared" si="453"/>
        <v>-1722.33</v>
      </c>
      <c r="S1141" s="227">
        <f t="shared" si="445"/>
        <v>36077.67</v>
      </c>
      <c r="T1141" s="249">
        <f t="shared" si="446"/>
        <v>3.9121307742355234E-2</v>
      </c>
      <c r="V1141" s="36">
        <f t="shared" si="454"/>
        <v>757.97260273972597</v>
      </c>
    </row>
    <row r="1142" spans="2:22" s="33" customFormat="1" ht="15" customHeight="1" x14ac:dyDescent="0.4">
      <c r="B1142" s="38" t="s">
        <v>134</v>
      </c>
      <c r="C1142" s="6" t="s">
        <v>122</v>
      </c>
      <c r="D1142" s="6">
        <f t="shared" si="447"/>
        <v>1</v>
      </c>
      <c r="E1142" s="34">
        <v>3</v>
      </c>
      <c r="F1142" s="212">
        <v>152300</v>
      </c>
      <c r="G1142" s="195">
        <v>45817</v>
      </c>
      <c r="H1142" s="33" t="s">
        <v>113</v>
      </c>
      <c r="I1142" s="212">
        <v>160000</v>
      </c>
      <c r="J1142" s="8">
        <v>45818</v>
      </c>
      <c r="K1142" s="23">
        <f t="shared" si="448"/>
        <v>68.534999999999997</v>
      </c>
      <c r="L1142" s="23">
        <f t="shared" si="449"/>
        <v>72</v>
      </c>
      <c r="M1142" s="206">
        <f t="shared" si="450"/>
        <v>720</v>
      </c>
      <c r="N1142" s="34"/>
      <c r="O1142" s="209">
        <f t="shared" si="444"/>
        <v>2</v>
      </c>
      <c r="P1142" s="34">
        <f t="shared" si="451"/>
        <v>456900</v>
      </c>
      <c r="Q1142" s="34">
        <f t="shared" si="452"/>
        <v>480000</v>
      </c>
      <c r="R1142" s="7">
        <f t="shared" si="453"/>
        <v>-860.53499999999997</v>
      </c>
      <c r="S1142" s="227">
        <f t="shared" si="445"/>
        <v>22239.465</v>
      </c>
      <c r="T1142" s="249">
        <f t="shared" si="446"/>
        <v>4.8674688115561394E-2</v>
      </c>
      <c r="V1142" s="36">
        <f t="shared" si="454"/>
        <v>125.17808219178082</v>
      </c>
    </row>
    <row r="1143" spans="2:22" s="33" customFormat="1" ht="15" customHeight="1" x14ac:dyDescent="0.4">
      <c r="B1143" s="38" t="s">
        <v>134</v>
      </c>
      <c r="C1143" s="6" t="s">
        <v>122</v>
      </c>
      <c r="D1143" s="6">
        <f t="shared" si="447"/>
        <v>1</v>
      </c>
      <c r="E1143" s="34">
        <v>2</v>
      </c>
      <c r="F1143" s="212">
        <v>151500</v>
      </c>
      <c r="G1143" s="195">
        <v>45817</v>
      </c>
      <c r="H1143" s="33" t="s">
        <v>113</v>
      </c>
      <c r="I1143" s="212">
        <v>160000</v>
      </c>
      <c r="J1143" s="8">
        <v>45818</v>
      </c>
      <c r="K1143" s="23">
        <f t="shared" si="448"/>
        <v>45.449999999999996</v>
      </c>
      <c r="L1143" s="23">
        <f t="shared" si="449"/>
        <v>47.999999999999993</v>
      </c>
      <c r="M1143" s="206">
        <f t="shared" si="450"/>
        <v>480</v>
      </c>
      <c r="N1143" s="34"/>
      <c r="O1143" s="209">
        <f t="shared" si="444"/>
        <v>2</v>
      </c>
      <c r="P1143" s="34">
        <f t="shared" si="451"/>
        <v>303000</v>
      </c>
      <c r="Q1143" s="34">
        <f t="shared" si="452"/>
        <v>320000</v>
      </c>
      <c r="R1143" s="7">
        <f t="shared" si="453"/>
        <v>-573.45000000000005</v>
      </c>
      <c r="S1143" s="227">
        <f t="shared" si="445"/>
        <v>16426.55</v>
      </c>
      <c r="T1143" s="249">
        <f t="shared" si="446"/>
        <v>5.4213036303630363E-2</v>
      </c>
      <c r="V1143" s="36">
        <f t="shared" si="454"/>
        <v>83.013698630136986</v>
      </c>
    </row>
    <row r="1144" spans="2:22" s="33" customFormat="1" ht="15" customHeight="1" x14ac:dyDescent="0.4">
      <c r="B1144" s="38" t="s">
        <v>134</v>
      </c>
      <c r="C1144" s="6" t="s">
        <v>187</v>
      </c>
      <c r="D1144" s="6"/>
      <c r="E1144" s="36">
        <v>50</v>
      </c>
      <c r="F1144" s="212">
        <v>39900</v>
      </c>
      <c r="G1144" s="195">
        <v>41582</v>
      </c>
      <c r="H1144" s="8"/>
      <c r="I1144" s="212">
        <v>22300</v>
      </c>
      <c r="J1144" s="8">
        <v>41963</v>
      </c>
      <c r="K1144" s="7">
        <f t="shared" ref="K1144:K1151" si="455">ROUNDDOWN(E1144*F1144*0.00015,-1)</f>
        <v>290</v>
      </c>
      <c r="L1144" s="7">
        <f t="shared" ref="L1144:L1151" si="456">ROUNDDOWN(I1144*E1144*0.00015,-1)</f>
        <v>160</v>
      </c>
      <c r="M1144" s="196">
        <f t="shared" ref="M1144:M1152" si="457">I1144*E1144*0.003</f>
        <v>3345</v>
      </c>
      <c r="N1144" s="36"/>
      <c r="O1144" s="191">
        <f t="shared" si="444"/>
        <v>382</v>
      </c>
      <c r="P1144" s="36">
        <f t="shared" ref="P1144:P1152" si="458">F1144*E1144</f>
        <v>1995000</v>
      </c>
      <c r="Q1144" s="36">
        <f t="shared" ref="Q1144:Q1152" si="459">I1144*E1144</f>
        <v>1115000</v>
      </c>
      <c r="R1144" s="7">
        <f t="shared" ref="R1144:R1152" si="460">N1144-K1144-L1144-M1144</f>
        <v>-3795</v>
      </c>
      <c r="S1144" s="227">
        <f t="shared" si="445"/>
        <v>-883795</v>
      </c>
      <c r="T1144" s="248">
        <f t="shared" si="446"/>
        <v>-0.44300501253132835</v>
      </c>
      <c r="U1144" s="9">
        <f t="shared" ref="U1144:U1152" si="461">T1144*365/O1144</f>
        <v>-0.42329012977469854</v>
      </c>
      <c r="V1144" s="6"/>
    </row>
    <row r="1145" spans="2:22" s="33" customFormat="1" ht="15" customHeight="1" x14ac:dyDescent="0.4">
      <c r="B1145" s="38" t="s">
        <v>134</v>
      </c>
      <c r="C1145" s="6" t="s">
        <v>187</v>
      </c>
      <c r="D1145" s="6"/>
      <c r="E1145" s="36">
        <v>10</v>
      </c>
      <c r="F1145" s="212">
        <v>29600</v>
      </c>
      <c r="G1145" s="195">
        <v>41627</v>
      </c>
      <c r="H1145" s="8"/>
      <c r="I1145" s="212">
        <v>30500</v>
      </c>
      <c r="J1145" s="8">
        <v>41682</v>
      </c>
      <c r="K1145" s="7">
        <f t="shared" si="455"/>
        <v>40</v>
      </c>
      <c r="L1145" s="7">
        <f t="shared" si="456"/>
        <v>40</v>
      </c>
      <c r="M1145" s="196">
        <f t="shared" si="457"/>
        <v>915</v>
      </c>
      <c r="N1145" s="36"/>
      <c r="O1145" s="191">
        <f t="shared" si="444"/>
        <v>56</v>
      </c>
      <c r="P1145" s="36">
        <f t="shared" si="458"/>
        <v>296000</v>
      </c>
      <c r="Q1145" s="36">
        <f t="shared" si="459"/>
        <v>305000</v>
      </c>
      <c r="R1145" s="7">
        <f t="shared" si="460"/>
        <v>-995</v>
      </c>
      <c r="S1145" s="227">
        <f t="shared" si="445"/>
        <v>8005</v>
      </c>
      <c r="T1145" s="248">
        <f t="shared" si="446"/>
        <v>2.704391891891892E-2</v>
      </c>
      <c r="U1145" s="9">
        <f t="shared" si="461"/>
        <v>0.17626840009652511</v>
      </c>
      <c r="V1145" s="6"/>
    </row>
    <row r="1146" spans="2:22" s="33" customFormat="1" ht="15" customHeight="1" x14ac:dyDescent="0.4">
      <c r="B1146" s="38" t="s">
        <v>134</v>
      </c>
      <c r="C1146" s="6" t="s">
        <v>187</v>
      </c>
      <c r="D1146" s="6"/>
      <c r="E1146" s="36">
        <v>50</v>
      </c>
      <c r="F1146" s="212">
        <v>29700</v>
      </c>
      <c r="G1146" s="195">
        <v>41684</v>
      </c>
      <c r="H1146" s="8"/>
      <c r="I1146" s="212">
        <v>30000</v>
      </c>
      <c r="J1146" s="8">
        <v>41684</v>
      </c>
      <c r="K1146" s="7">
        <f t="shared" si="455"/>
        <v>220</v>
      </c>
      <c r="L1146" s="7">
        <f t="shared" si="456"/>
        <v>220</v>
      </c>
      <c r="M1146" s="196">
        <f t="shared" si="457"/>
        <v>4500</v>
      </c>
      <c r="N1146" s="36"/>
      <c r="O1146" s="191">
        <f t="shared" si="444"/>
        <v>1</v>
      </c>
      <c r="P1146" s="36">
        <f t="shared" si="458"/>
        <v>1485000</v>
      </c>
      <c r="Q1146" s="36">
        <f t="shared" si="459"/>
        <v>1500000</v>
      </c>
      <c r="R1146" s="7">
        <f t="shared" si="460"/>
        <v>-4940</v>
      </c>
      <c r="S1146" s="227">
        <f t="shared" si="445"/>
        <v>10060</v>
      </c>
      <c r="T1146" s="248">
        <f t="shared" si="446"/>
        <v>6.774410774410774E-3</v>
      </c>
      <c r="U1146" s="9">
        <f t="shared" si="461"/>
        <v>2.4726599326599326</v>
      </c>
      <c r="V1146" s="6"/>
    </row>
    <row r="1147" spans="2:22" ht="15" customHeight="1" x14ac:dyDescent="0.4">
      <c r="B1147" s="38" t="s">
        <v>134</v>
      </c>
      <c r="C1147" s="6" t="s">
        <v>187</v>
      </c>
      <c r="D1147" s="6"/>
      <c r="E1147" s="36">
        <v>50</v>
      </c>
      <c r="F1147" s="212">
        <v>26850</v>
      </c>
      <c r="G1147" s="195">
        <v>41688</v>
      </c>
      <c r="H1147" s="8"/>
      <c r="I1147" s="212">
        <v>29400</v>
      </c>
      <c r="J1147" s="8">
        <v>41718</v>
      </c>
      <c r="K1147" s="7">
        <f t="shared" si="455"/>
        <v>200</v>
      </c>
      <c r="L1147" s="7">
        <f t="shared" si="456"/>
        <v>220</v>
      </c>
      <c r="M1147" s="196">
        <f t="shared" si="457"/>
        <v>4410</v>
      </c>
      <c r="N1147" s="36"/>
      <c r="O1147" s="191">
        <f t="shared" si="444"/>
        <v>31</v>
      </c>
      <c r="P1147" s="36">
        <f t="shared" si="458"/>
        <v>1342500</v>
      </c>
      <c r="Q1147" s="36">
        <f t="shared" si="459"/>
        <v>1470000</v>
      </c>
      <c r="R1147" s="7">
        <f t="shared" si="460"/>
        <v>-4830</v>
      </c>
      <c r="S1147" s="227">
        <f t="shared" si="445"/>
        <v>122670</v>
      </c>
      <c r="T1147" s="248">
        <f t="shared" si="446"/>
        <v>9.1374301675977654E-2</v>
      </c>
      <c r="U1147" s="193">
        <f t="shared" si="461"/>
        <v>1.0758587132816724</v>
      </c>
      <c r="V1147" s="6"/>
    </row>
    <row r="1148" spans="2:22" ht="15" customHeight="1" x14ac:dyDescent="0.4">
      <c r="B1148" s="38" t="s">
        <v>134</v>
      </c>
      <c r="C1148" s="6" t="s">
        <v>187</v>
      </c>
      <c r="D1148" s="6"/>
      <c r="E1148" s="36">
        <v>50</v>
      </c>
      <c r="F1148" s="212">
        <v>29250</v>
      </c>
      <c r="G1148" s="195">
        <v>41717</v>
      </c>
      <c r="H1148" s="8"/>
      <c r="I1148" s="212">
        <v>29400</v>
      </c>
      <c r="J1148" s="8">
        <v>41718</v>
      </c>
      <c r="K1148" s="7">
        <f t="shared" si="455"/>
        <v>210</v>
      </c>
      <c r="L1148" s="7">
        <f t="shared" si="456"/>
        <v>220</v>
      </c>
      <c r="M1148" s="196">
        <f t="shared" si="457"/>
        <v>4410</v>
      </c>
      <c r="N1148" s="36"/>
      <c r="O1148" s="191">
        <f t="shared" si="444"/>
        <v>2</v>
      </c>
      <c r="P1148" s="36">
        <f t="shared" si="458"/>
        <v>1462500</v>
      </c>
      <c r="Q1148" s="36">
        <f t="shared" si="459"/>
        <v>1470000</v>
      </c>
      <c r="R1148" s="7">
        <f t="shared" si="460"/>
        <v>-4840</v>
      </c>
      <c r="S1148" s="227">
        <f t="shared" si="445"/>
        <v>2660</v>
      </c>
      <c r="T1148" s="248">
        <f t="shared" si="446"/>
        <v>1.8188034188034187E-3</v>
      </c>
      <c r="U1148" s="193">
        <f t="shared" si="461"/>
        <v>0.3319316239316239</v>
      </c>
      <c r="V1148" s="6"/>
    </row>
    <row r="1149" spans="2:22" ht="15" customHeight="1" x14ac:dyDescent="0.4">
      <c r="B1149" s="38" t="s">
        <v>134</v>
      </c>
      <c r="C1149" s="6" t="s">
        <v>187</v>
      </c>
      <c r="D1149" s="6"/>
      <c r="E1149" s="36">
        <v>100</v>
      </c>
      <c r="F1149" s="212">
        <v>28750</v>
      </c>
      <c r="G1149" s="195">
        <v>41733</v>
      </c>
      <c r="H1149" s="8"/>
      <c r="I1149" s="212">
        <v>22300</v>
      </c>
      <c r="J1149" s="8">
        <v>41963</v>
      </c>
      <c r="K1149" s="7">
        <f t="shared" si="455"/>
        <v>430</v>
      </c>
      <c r="L1149" s="7">
        <f t="shared" si="456"/>
        <v>330</v>
      </c>
      <c r="M1149" s="196">
        <f t="shared" si="457"/>
        <v>6690</v>
      </c>
      <c r="N1149" s="36"/>
      <c r="O1149" s="191">
        <f t="shared" si="444"/>
        <v>231</v>
      </c>
      <c r="P1149" s="36">
        <f t="shared" si="458"/>
        <v>2875000</v>
      </c>
      <c r="Q1149" s="36">
        <f t="shared" si="459"/>
        <v>2230000</v>
      </c>
      <c r="R1149" s="7">
        <f t="shared" si="460"/>
        <v>-7450</v>
      </c>
      <c r="S1149" s="227">
        <f t="shared" si="445"/>
        <v>-652450</v>
      </c>
      <c r="T1149" s="248">
        <f t="shared" si="446"/>
        <v>-0.22693913043478262</v>
      </c>
      <c r="U1149" s="193">
        <f t="shared" si="461"/>
        <v>-0.35858347449651795</v>
      </c>
      <c r="V1149" s="6"/>
    </row>
    <row r="1150" spans="2:22" ht="15" customHeight="1" x14ac:dyDescent="0.4">
      <c r="B1150" s="38" t="s">
        <v>134</v>
      </c>
      <c r="C1150" s="6" t="s">
        <v>187</v>
      </c>
      <c r="D1150" s="6"/>
      <c r="E1150" s="36">
        <v>200</v>
      </c>
      <c r="F1150" s="212">
        <v>19900</v>
      </c>
      <c r="G1150" s="195">
        <v>42010</v>
      </c>
      <c r="H1150" s="8"/>
      <c r="I1150" s="212">
        <v>22100</v>
      </c>
      <c r="J1150" s="8">
        <v>42165</v>
      </c>
      <c r="K1150" s="7">
        <f t="shared" si="455"/>
        <v>590</v>
      </c>
      <c r="L1150" s="7">
        <f t="shared" si="456"/>
        <v>660</v>
      </c>
      <c r="M1150" s="196">
        <f t="shared" si="457"/>
        <v>13260</v>
      </c>
      <c r="N1150" s="36"/>
      <c r="O1150" s="191">
        <f t="shared" si="444"/>
        <v>156</v>
      </c>
      <c r="P1150" s="36">
        <f t="shared" si="458"/>
        <v>3980000</v>
      </c>
      <c r="Q1150" s="36">
        <f t="shared" si="459"/>
        <v>4420000</v>
      </c>
      <c r="R1150" s="7">
        <f t="shared" si="460"/>
        <v>-14510</v>
      </c>
      <c r="S1150" s="227">
        <f t="shared" si="445"/>
        <v>425490</v>
      </c>
      <c r="T1150" s="248">
        <f t="shared" si="446"/>
        <v>0.10690703517587939</v>
      </c>
      <c r="U1150" s="193">
        <f t="shared" si="461"/>
        <v>0.25013505025125626</v>
      </c>
      <c r="V1150" s="6"/>
    </row>
    <row r="1151" spans="2:22" ht="15" customHeight="1" x14ac:dyDescent="0.4">
      <c r="B1151" s="38" t="s">
        <v>134</v>
      </c>
      <c r="C1151" s="6" t="s">
        <v>187</v>
      </c>
      <c r="D1151" s="6"/>
      <c r="E1151" s="36">
        <v>100</v>
      </c>
      <c r="F1151" s="212">
        <v>19500</v>
      </c>
      <c r="G1151" s="195">
        <v>42205</v>
      </c>
      <c r="H1151" s="8"/>
      <c r="I1151" s="212">
        <v>13500</v>
      </c>
      <c r="J1151" s="8">
        <v>42411</v>
      </c>
      <c r="K1151" s="7">
        <f t="shared" si="455"/>
        <v>290</v>
      </c>
      <c r="L1151" s="7">
        <f t="shared" si="456"/>
        <v>200</v>
      </c>
      <c r="M1151" s="196">
        <f t="shared" si="457"/>
        <v>4050</v>
      </c>
      <c r="N1151" s="36"/>
      <c r="O1151" s="191">
        <f t="shared" si="444"/>
        <v>207</v>
      </c>
      <c r="P1151" s="36">
        <f t="shared" si="458"/>
        <v>1950000</v>
      </c>
      <c r="Q1151" s="36">
        <f t="shared" si="459"/>
        <v>1350000</v>
      </c>
      <c r="R1151" s="7">
        <f t="shared" si="460"/>
        <v>-4540</v>
      </c>
      <c r="S1151" s="227">
        <f t="shared" si="445"/>
        <v>-604540</v>
      </c>
      <c r="T1151" s="248">
        <f t="shared" si="446"/>
        <v>-0.31002051282051279</v>
      </c>
      <c r="U1151" s="193">
        <f t="shared" si="461"/>
        <v>-0.54665452743713616</v>
      </c>
      <c r="V1151" s="6"/>
    </row>
    <row r="1152" spans="2:22" ht="15" customHeight="1" x14ac:dyDescent="0.4">
      <c r="B1152" s="38" t="s">
        <v>134</v>
      </c>
      <c r="C1152" s="6" t="s">
        <v>162</v>
      </c>
      <c r="D1152" s="6"/>
      <c r="E1152" s="36">
        <v>20</v>
      </c>
      <c r="F1152" s="212">
        <v>20800</v>
      </c>
      <c r="G1152" s="195">
        <v>42643</v>
      </c>
      <c r="H1152" s="8"/>
      <c r="I1152" s="212">
        <v>22200</v>
      </c>
      <c r="J1152" s="8">
        <v>42894</v>
      </c>
      <c r="K1152" s="7">
        <f>ROUNDDOWN(E1152*F1152*0.0015,-1)</f>
        <v>620</v>
      </c>
      <c r="L1152" s="7">
        <f>ROUNDDOWN(I1152*E1152*0.0015,-1)</f>
        <v>660</v>
      </c>
      <c r="M1152" s="196">
        <f t="shared" si="457"/>
        <v>1332</v>
      </c>
      <c r="N1152" s="36"/>
      <c r="O1152" s="191">
        <f t="shared" si="444"/>
        <v>252</v>
      </c>
      <c r="P1152" s="36">
        <f t="shared" si="458"/>
        <v>416000</v>
      </c>
      <c r="Q1152" s="36">
        <f t="shared" si="459"/>
        <v>444000</v>
      </c>
      <c r="R1152" s="7">
        <f t="shared" si="460"/>
        <v>-2612</v>
      </c>
      <c r="S1152" s="227">
        <f t="shared" si="445"/>
        <v>25388</v>
      </c>
      <c r="T1152" s="248">
        <f t="shared" si="446"/>
        <v>6.1028846153846156E-2</v>
      </c>
      <c r="U1152" s="193">
        <f t="shared" si="461"/>
        <v>8.8394955738705747E-2</v>
      </c>
      <c r="V1152" s="6"/>
    </row>
    <row r="1153" spans="2:22" ht="15" customHeight="1" x14ac:dyDescent="0.4">
      <c r="B1153" s="38" t="s">
        <v>134</v>
      </c>
      <c r="C1153" s="6" t="s">
        <v>160</v>
      </c>
      <c r="D1153" s="6">
        <f t="shared" ref="D1153:D1160" si="462">IF(OR($C1153="신한",$C1153="OTC",$C1153="무상증자(신한)",$C1153="토스",$C1153="R토스"),1,"확인")</f>
        <v>1</v>
      </c>
      <c r="E1153" s="34">
        <v>8</v>
      </c>
      <c r="F1153" s="212">
        <v>113650</v>
      </c>
      <c r="G1153" s="195">
        <v>45770</v>
      </c>
      <c r="H1153" s="8"/>
      <c r="I1153" s="212">
        <v>125300</v>
      </c>
      <c r="J1153" s="8">
        <v>45800</v>
      </c>
      <c r="K1153" s="23">
        <f t="shared" ref="K1153:K1159" si="463">IF($C1153="OTC",ROUNDDOWN($E1153*$F1153*0.000909187,-1),(IF($C1153="신한",ROUNDDOWN($E1153*$F1153*0.000036396,-1),(IF($C1153="토스",$E1153*$F1153*0.00015,(IF($C1153="US",(IF($E1153*$F1153*0.0025&gt;0.01,$E1153*$F1153*0.0025,0.01)),IF($C1153="JP",(IF($E1153*$F1153*0.0025&gt;1000,$E1153*$F1153*0.0025,1000)),(IF($C1153="R토스",0,IF($C1153="무상증자(신한)",0,"")))))))))))</f>
        <v>30</v>
      </c>
      <c r="L1153" s="23">
        <f t="shared" ref="L1153:L1159" si="464">IF($C1153="OTC",ROUNDDOWN($I1153*$E1153*0.000909187,-1),(IF($C1153="신한",ROUNDDOWN($I1153*$E1153*0.000036396,-1),(IF($C1153="토스",$I1153*$E1153*0.00015,(IF($C1153="US",(IF($I1153*$E1153*0.0025&gt;0.01,$I1153*$E1153*0.0025,0.01)),(IF($C1153="JP",(IF($I1153*$E1153*0.0025&gt;1000,$I1153*$E1153*0.0025,1000)),(IF($C1153="R토스",$I1153*$E1153*0.00015,(IF($C1153="무상증자(신한)",ROUNDDOWN($I1153*$E1153*0.000036396,-1),"")))))))))))))</f>
        <v>30</v>
      </c>
      <c r="M1153" s="206">
        <f t="shared" ref="M1153:M1160" si="465">Q1153*0.0015</f>
        <v>1503.6000000000001</v>
      </c>
      <c r="N1153" s="34"/>
      <c r="O1153" s="209">
        <f t="shared" si="444"/>
        <v>31</v>
      </c>
      <c r="P1153" s="34">
        <f t="shared" ref="P1153:P1160" si="466">$E1153*$F1153*$D1153</f>
        <v>909200</v>
      </c>
      <c r="Q1153" s="34">
        <f t="shared" ref="Q1153:Q1160" si="467">$E1153*$I1153*$D1153</f>
        <v>1002400</v>
      </c>
      <c r="R1153" s="7">
        <f t="shared" ref="R1153:R1160" si="468">($N1153-$K1153-$L1153-$M1153)*$D1153</f>
        <v>-1563.6000000000001</v>
      </c>
      <c r="S1153" s="227">
        <f t="shared" si="445"/>
        <v>91636.4</v>
      </c>
      <c r="T1153" s="249">
        <f t="shared" si="446"/>
        <v>0.10078794544654641</v>
      </c>
      <c r="U1153" s="38"/>
      <c r="V1153" s="33"/>
    </row>
    <row r="1154" spans="2:22" ht="15" customHeight="1" x14ac:dyDescent="0.4">
      <c r="B1154" s="38" t="s">
        <v>134</v>
      </c>
      <c r="C1154" s="6" t="s">
        <v>160</v>
      </c>
      <c r="D1154" s="6">
        <f t="shared" si="462"/>
        <v>1</v>
      </c>
      <c r="E1154" s="34">
        <v>5</v>
      </c>
      <c r="F1154" s="212">
        <v>110000</v>
      </c>
      <c r="G1154" s="195">
        <v>45771</v>
      </c>
      <c r="H1154" s="8"/>
      <c r="I1154" s="212">
        <v>125300</v>
      </c>
      <c r="J1154" s="8">
        <v>45800</v>
      </c>
      <c r="K1154" s="23">
        <f t="shared" si="463"/>
        <v>20</v>
      </c>
      <c r="L1154" s="23">
        <f t="shared" si="464"/>
        <v>20</v>
      </c>
      <c r="M1154" s="206">
        <f t="shared" si="465"/>
        <v>939.75</v>
      </c>
      <c r="N1154" s="34"/>
      <c r="O1154" s="209">
        <f t="shared" si="444"/>
        <v>30</v>
      </c>
      <c r="P1154" s="34">
        <f t="shared" si="466"/>
        <v>550000</v>
      </c>
      <c r="Q1154" s="34">
        <f t="shared" si="467"/>
        <v>626500</v>
      </c>
      <c r="R1154" s="7">
        <f t="shared" si="468"/>
        <v>-979.75</v>
      </c>
      <c r="S1154" s="227">
        <f t="shared" si="445"/>
        <v>75520.25</v>
      </c>
      <c r="T1154" s="249">
        <f t="shared" si="446"/>
        <v>0.13730954545454546</v>
      </c>
      <c r="U1154" s="38"/>
      <c r="V1154" s="33"/>
    </row>
    <row r="1155" spans="2:22" ht="15" customHeight="1" x14ac:dyDescent="0.4">
      <c r="B1155" s="38" t="s">
        <v>134</v>
      </c>
      <c r="C1155" s="6" t="s">
        <v>160</v>
      </c>
      <c r="D1155" s="6">
        <f t="shared" si="462"/>
        <v>1</v>
      </c>
      <c r="E1155" s="34">
        <v>2</v>
      </c>
      <c r="F1155" s="212">
        <v>109200</v>
      </c>
      <c r="G1155" s="195">
        <v>45775</v>
      </c>
      <c r="H1155" s="8"/>
      <c r="I1155" s="212">
        <v>125300</v>
      </c>
      <c r="J1155" s="8">
        <v>45800</v>
      </c>
      <c r="K1155" s="23">
        <f t="shared" si="463"/>
        <v>0</v>
      </c>
      <c r="L1155" s="23">
        <f t="shared" si="464"/>
        <v>0</v>
      </c>
      <c r="M1155" s="206">
        <f t="shared" si="465"/>
        <v>375.90000000000003</v>
      </c>
      <c r="N1155" s="34"/>
      <c r="O1155" s="209">
        <f t="shared" si="444"/>
        <v>26</v>
      </c>
      <c r="P1155" s="34">
        <f t="shared" si="466"/>
        <v>218400</v>
      </c>
      <c r="Q1155" s="34">
        <f t="shared" si="467"/>
        <v>250600</v>
      </c>
      <c r="R1155" s="7">
        <f t="shared" si="468"/>
        <v>-375.90000000000003</v>
      </c>
      <c r="S1155" s="227">
        <f t="shared" si="445"/>
        <v>31824.1</v>
      </c>
      <c r="T1155" s="249">
        <f t="shared" si="446"/>
        <v>0.14571474358974359</v>
      </c>
      <c r="U1155" s="38"/>
      <c r="V1155" s="33"/>
    </row>
    <row r="1156" spans="2:22" ht="15" customHeight="1" x14ac:dyDescent="0.4">
      <c r="B1156" s="38" t="s">
        <v>134</v>
      </c>
      <c r="C1156" s="6" t="s">
        <v>160</v>
      </c>
      <c r="D1156" s="6">
        <f t="shared" si="462"/>
        <v>1</v>
      </c>
      <c r="E1156" s="34">
        <v>5</v>
      </c>
      <c r="F1156" s="212">
        <v>114500</v>
      </c>
      <c r="G1156" s="195">
        <v>45789</v>
      </c>
      <c r="H1156" s="8"/>
      <c r="I1156" s="212">
        <v>125300</v>
      </c>
      <c r="J1156" s="8">
        <v>45800</v>
      </c>
      <c r="K1156" s="23">
        <f t="shared" si="463"/>
        <v>20</v>
      </c>
      <c r="L1156" s="23">
        <f t="shared" si="464"/>
        <v>20</v>
      </c>
      <c r="M1156" s="206">
        <f t="shared" si="465"/>
        <v>939.75</v>
      </c>
      <c r="N1156" s="34"/>
      <c r="O1156" s="209">
        <f t="shared" si="444"/>
        <v>12</v>
      </c>
      <c r="P1156" s="34">
        <f t="shared" si="466"/>
        <v>572500</v>
      </c>
      <c r="Q1156" s="34">
        <f t="shared" si="467"/>
        <v>626500</v>
      </c>
      <c r="R1156" s="7">
        <f t="shared" si="468"/>
        <v>-979.75</v>
      </c>
      <c r="S1156" s="227">
        <f t="shared" si="445"/>
        <v>53020.25</v>
      </c>
      <c r="T1156" s="249">
        <f t="shared" si="446"/>
        <v>9.2611790393013094E-2</v>
      </c>
      <c r="U1156" s="38"/>
      <c r="V1156" s="33"/>
    </row>
    <row r="1157" spans="2:22" ht="15" customHeight="1" x14ac:dyDescent="0.4">
      <c r="B1157" s="38" t="s">
        <v>134</v>
      </c>
      <c r="C1157" s="6" t="s">
        <v>160</v>
      </c>
      <c r="D1157" s="6">
        <f t="shared" si="462"/>
        <v>1</v>
      </c>
      <c r="E1157" s="34">
        <v>5</v>
      </c>
      <c r="F1157" s="212">
        <v>104100</v>
      </c>
      <c r="G1157" s="195">
        <v>45790</v>
      </c>
      <c r="H1157" s="8"/>
      <c r="I1157" s="212">
        <v>125300</v>
      </c>
      <c r="J1157" s="8">
        <v>45800</v>
      </c>
      <c r="K1157" s="23">
        <f t="shared" si="463"/>
        <v>10</v>
      </c>
      <c r="L1157" s="23">
        <f t="shared" si="464"/>
        <v>20</v>
      </c>
      <c r="M1157" s="206">
        <f t="shared" si="465"/>
        <v>939.75</v>
      </c>
      <c r="N1157" s="34"/>
      <c r="O1157" s="209">
        <f t="shared" si="444"/>
        <v>11</v>
      </c>
      <c r="P1157" s="34">
        <f t="shared" si="466"/>
        <v>520500</v>
      </c>
      <c r="Q1157" s="34">
        <f t="shared" si="467"/>
        <v>626500</v>
      </c>
      <c r="R1157" s="7">
        <f t="shared" si="468"/>
        <v>-969.75</v>
      </c>
      <c r="S1157" s="227">
        <f t="shared" si="445"/>
        <v>105030.25</v>
      </c>
      <c r="T1157" s="249">
        <f t="shared" si="446"/>
        <v>0.20178722382324688</v>
      </c>
      <c r="U1157" s="38"/>
      <c r="V1157" s="33"/>
    </row>
    <row r="1158" spans="2:22" ht="15" customHeight="1" x14ac:dyDescent="0.4">
      <c r="B1158" s="38" t="s">
        <v>134</v>
      </c>
      <c r="C1158" s="6" t="s">
        <v>160</v>
      </c>
      <c r="D1158" s="6">
        <f t="shared" si="462"/>
        <v>1</v>
      </c>
      <c r="E1158" s="34">
        <v>3</v>
      </c>
      <c r="F1158" s="212">
        <v>103700</v>
      </c>
      <c r="G1158" s="195">
        <v>45792</v>
      </c>
      <c r="H1158" s="8"/>
      <c r="I1158" s="212">
        <v>125300</v>
      </c>
      <c r="J1158" s="8">
        <v>45800</v>
      </c>
      <c r="K1158" s="23">
        <f t="shared" si="463"/>
        <v>10</v>
      </c>
      <c r="L1158" s="23">
        <f t="shared" si="464"/>
        <v>10</v>
      </c>
      <c r="M1158" s="206">
        <f t="shared" si="465"/>
        <v>563.85</v>
      </c>
      <c r="N1158" s="34"/>
      <c r="O1158" s="209">
        <f t="shared" si="444"/>
        <v>9</v>
      </c>
      <c r="P1158" s="34">
        <f t="shared" si="466"/>
        <v>311100</v>
      </c>
      <c r="Q1158" s="34">
        <f t="shared" si="467"/>
        <v>375900</v>
      </c>
      <c r="R1158" s="7">
        <f t="shared" si="468"/>
        <v>-583.85</v>
      </c>
      <c r="S1158" s="227">
        <f t="shared" si="445"/>
        <v>64216.15</v>
      </c>
      <c r="T1158" s="249">
        <f t="shared" si="446"/>
        <v>0.20641642558662809</v>
      </c>
      <c r="U1158" s="38"/>
      <c r="V1158" s="33"/>
    </row>
    <row r="1159" spans="2:22" ht="15" customHeight="1" x14ac:dyDescent="0.4">
      <c r="B1159" s="38" t="s">
        <v>134</v>
      </c>
      <c r="C1159" s="6" t="s">
        <v>160</v>
      </c>
      <c r="D1159" s="6">
        <f t="shared" si="462"/>
        <v>1</v>
      </c>
      <c r="E1159" s="34">
        <v>7</v>
      </c>
      <c r="F1159" s="212">
        <v>140800</v>
      </c>
      <c r="G1159" s="195">
        <v>45805</v>
      </c>
      <c r="H1159" s="8"/>
      <c r="I1159" s="212">
        <v>168200</v>
      </c>
      <c r="J1159" s="8">
        <v>45818</v>
      </c>
      <c r="K1159" s="23">
        <f t="shared" si="463"/>
        <v>30</v>
      </c>
      <c r="L1159" s="23">
        <f t="shared" si="464"/>
        <v>40</v>
      </c>
      <c r="M1159" s="206">
        <f t="shared" si="465"/>
        <v>1766.1000000000001</v>
      </c>
      <c r="N1159" s="34"/>
      <c r="O1159" s="209">
        <f t="shared" si="444"/>
        <v>14</v>
      </c>
      <c r="P1159" s="34">
        <f t="shared" si="466"/>
        <v>985600</v>
      </c>
      <c r="Q1159" s="34">
        <f t="shared" si="467"/>
        <v>1177400</v>
      </c>
      <c r="R1159" s="7">
        <f t="shared" si="468"/>
        <v>-1836.1000000000001</v>
      </c>
      <c r="S1159" s="227">
        <f t="shared" si="445"/>
        <v>189963.9</v>
      </c>
      <c r="T1159" s="249">
        <f t="shared" si="446"/>
        <v>0.19273934659090908</v>
      </c>
      <c r="U1159" s="38"/>
      <c r="V1159" s="33"/>
    </row>
    <row r="1160" spans="2:22" ht="15" customHeight="1" x14ac:dyDescent="0.4">
      <c r="B1160" s="38" t="s">
        <v>134</v>
      </c>
      <c r="C1160" s="6" t="s">
        <v>160</v>
      </c>
      <c r="D1160" s="6">
        <f t="shared" si="462"/>
        <v>1</v>
      </c>
      <c r="E1160" s="34">
        <v>51</v>
      </c>
      <c r="F1160" s="212">
        <v>143198</v>
      </c>
      <c r="G1160" s="195">
        <v>45805</v>
      </c>
      <c r="H1160" s="8"/>
      <c r="I1160" s="212">
        <v>147500</v>
      </c>
      <c r="J1160" s="8">
        <v>45807</v>
      </c>
      <c r="K1160" s="23">
        <f>P1160*0.05*5/365+13790</f>
        <v>18792.121917808217</v>
      </c>
      <c r="L1160" s="23">
        <v>14150</v>
      </c>
      <c r="M1160" s="206">
        <f t="shared" si="465"/>
        <v>11283.75</v>
      </c>
      <c r="N1160" s="34"/>
      <c r="O1160" s="209">
        <f t="shared" si="444"/>
        <v>3</v>
      </c>
      <c r="P1160" s="34">
        <f t="shared" si="466"/>
        <v>7303098</v>
      </c>
      <c r="Q1160" s="34">
        <f t="shared" si="467"/>
        <v>7522500</v>
      </c>
      <c r="R1160" s="7">
        <f t="shared" si="468"/>
        <v>-44225.871917808217</v>
      </c>
      <c r="S1160" s="227">
        <f t="shared" si="445"/>
        <v>175176.12808219178</v>
      </c>
      <c r="T1160" s="249">
        <f t="shared" si="446"/>
        <v>2.3986550376592478E-2</v>
      </c>
      <c r="U1160" s="38"/>
      <c r="V1160" s="33"/>
    </row>
    <row r="1161" spans="2:22" ht="15" customHeight="1" x14ac:dyDescent="0.4">
      <c r="B1161" s="38" t="s">
        <v>455</v>
      </c>
      <c r="C1161" s="6" t="s">
        <v>187</v>
      </c>
      <c r="D1161" s="6"/>
      <c r="E1161" s="36">
        <v>50</v>
      </c>
      <c r="F1161" s="212">
        <v>123000</v>
      </c>
      <c r="G1161" s="195">
        <v>41982</v>
      </c>
      <c r="H1161" s="8"/>
      <c r="I1161" s="212">
        <v>125500</v>
      </c>
      <c r="J1161" s="8">
        <v>41985</v>
      </c>
      <c r="K1161" s="7">
        <f>ROUNDDOWN(E1161*F1161*0.00015,-1)</f>
        <v>920</v>
      </c>
      <c r="L1161" s="7">
        <f>ROUNDDOWN(I1161*E1161*0.00015,-1)</f>
        <v>940</v>
      </c>
      <c r="M1161" s="196">
        <f t="shared" ref="M1161:M1193" si="469">I1161*E1161*0.003</f>
        <v>18825</v>
      </c>
      <c r="N1161" s="36"/>
      <c r="O1161" s="191">
        <f t="shared" si="444"/>
        <v>4</v>
      </c>
      <c r="P1161" s="36">
        <f t="shared" ref="P1161:P1193" si="470">F1161*E1161</f>
        <v>6150000</v>
      </c>
      <c r="Q1161" s="36">
        <f t="shared" ref="Q1161:Q1193" si="471">I1161*E1161</f>
        <v>6275000</v>
      </c>
      <c r="R1161" s="7">
        <f t="shared" ref="R1161:R1193" si="472">N1161-K1161-L1161-M1161</f>
        <v>-20685</v>
      </c>
      <c r="S1161" s="227">
        <f t="shared" si="445"/>
        <v>104315</v>
      </c>
      <c r="T1161" s="248">
        <f t="shared" si="446"/>
        <v>1.6961788617886178E-2</v>
      </c>
      <c r="U1161" s="193">
        <f t="shared" ref="U1161:U1193" si="473">T1161*365/O1161</f>
        <v>1.5477632113821138</v>
      </c>
      <c r="V1161" s="6"/>
    </row>
    <row r="1162" spans="2:22" ht="15" customHeight="1" x14ac:dyDescent="0.4">
      <c r="B1162" s="38" t="s">
        <v>455</v>
      </c>
      <c r="C1162" s="6" t="s">
        <v>187</v>
      </c>
      <c r="D1162" s="6"/>
      <c r="E1162" s="36">
        <v>20</v>
      </c>
      <c r="F1162" s="212">
        <v>121500</v>
      </c>
      <c r="G1162" s="195">
        <v>41988</v>
      </c>
      <c r="H1162" s="8"/>
      <c r="I1162" s="212">
        <v>125000</v>
      </c>
      <c r="J1162" s="8">
        <v>42006</v>
      </c>
      <c r="K1162" s="7">
        <f>ROUNDDOWN(E1162*F1162*0.00015,-1)</f>
        <v>360</v>
      </c>
      <c r="L1162" s="7">
        <f>ROUNDDOWN(I1162*E1162*0.00015,-1)</f>
        <v>370</v>
      </c>
      <c r="M1162" s="196">
        <f t="shared" si="469"/>
        <v>7500</v>
      </c>
      <c r="N1162" s="36">
        <f>28000-4310</f>
        <v>23690</v>
      </c>
      <c r="O1162" s="191">
        <f t="shared" si="444"/>
        <v>19</v>
      </c>
      <c r="P1162" s="36">
        <f t="shared" si="470"/>
        <v>2430000</v>
      </c>
      <c r="Q1162" s="36">
        <f t="shared" si="471"/>
        <v>2500000</v>
      </c>
      <c r="R1162" s="7">
        <f t="shared" si="472"/>
        <v>15460</v>
      </c>
      <c r="S1162" s="227">
        <f t="shared" si="445"/>
        <v>85460</v>
      </c>
      <c r="T1162" s="248">
        <f t="shared" si="446"/>
        <v>3.5168724279835389E-2</v>
      </c>
      <c r="U1162" s="193">
        <f t="shared" si="473"/>
        <v>0.67560970327052194</v>
      </c>
      <c r="V1162" s="6"/>
    </row>
    <row r="1163" spans="2:22" ht="15" customHeight="1" x14ac:dyDescent="0.4">
      <c r="B1163" s="38" t="s">
        <v>455</v>
      </c>
      <c r="C1163" s="6" t="s">
        <v>187</v>
      </c>
      <c r="D1163" s="6"/>
      <c r="E1163" s="36">
        <v>20</v>
      </c>
      <c r="F1163" s="212">
        <v>119000</v>
      </c>
      <c r="G1163" s="195">
        <v>41989</v>
      </c>
      <c r="H1163" s="8"/>
      <c r="I1163" s="212">
        <v>125000</v>
      </c>
      <c r="J1163" s="8">
        <v>42006</v>
      </c>
      <c r="K1163" s="7">
        <f>ROUNDDOWN(E1163*F1163*0.00015,-1)</f>
        <v>350</v>
      </c>
      <c r="L1163" s="7">
        <f>ROUNDDOWN(I1163*E1163*0.00015,-1)</f>
        <v>370</v>
      </c>
      <c r="M1163" s="196">
        <f t="shared" si="469"/>
        <v>7500</v>
      </c>
      <c r="N1163" s="36"/>
      <c r="O1163" s="191">
        <f t="shared" si="444"/>
        <v>18</v>
      </c>
      <c r="P1163" s="36">
        <f t="shared" si="470"/>
        <v>2380000</v>
      </c>
      <c r="Q1163" s="36">
        <f t="shared" si="471"/>
        <v>2500000</v>
      </c>
      <c r="R1163" s="7">
        <f t="shared" si="472"/>
        <v>-8220</v>
      </c>
      <c r="S1163" s="227">
        <f t="shared" si="445"/>
        <v>111780</v>
      </c>
      <c r="T1163" s="248">
        <f t="shared" si="446"/>
        <v>4.6966386554621847E-2</v>
      </c>
      <c r="U1163" s="193">
        <f t="shared" si="473"/>
        <v>0.9523739495798319</v>
      </c>
      <c r="V1163" s="6"/>
    </row>
    <row r="1164" spans="2:22" ht="15" customHeight="1" x14ac:dyDescent="0.4">
      <c r="B1164" s="38" t="s">
        <v>455</v>
      </c>
      <c r="C1164" s="6" t="s">
        <v>187</v>
      </c>
      <c r="D1164" s="6"/>
      <c r="E1164" s="36">
        <v>20</v>
      </c>
      <c r="F1164" s="212">
        <v>114500</v>
      </c>
      <c r="G1164" s="195">
        <v>42012</v>
      </c>
      <c r="H1164" s="8"/>
      <c r="I1164" s="212">
        <v>123500</v>
      </c>
      <c r="J1164" s="8">
        <v>42037</v>
      </c>
      <c r="K1164" s="7">
        <f>ROUNDDOWN(E1164*F1164*0.00015,-1)</f>
        <v>340</v>
      </c>
      <c r="L1164" s="7">
        <f>ROUNDDOWN(I1164*E1164*0.00015,-1)</f>
        <v>370</v>
      </c>
      <c r="M1164" s="196">
        <f t="shared" si="469"/>
        <v>7410</v>
      </c>
      <c r="N1164" s="36"/>
      <c r="O1164" s="191">
        <f t="shared" si="444"/>
        <v>26</v>
      </c>
      <c r="P1164" s="36">
        <f t="shared" si="470"/>
        <v>2290000</v>
      </c>
      <c r="Q1164" s="36">
        <f t="shared" si="471"/>
        <v>2470000</v>
      </c>
      <c r="R1164" s="7">
        <f t="shared" si="472"/>
        <v>-8120</v>
      </c>
      <c r="S1164" s="227">
        <f t="shared" si="445"/>
        <v>171880</v>
      </c>
      <c r="T1164" s="248">
        <f t="shared" si="446"/>
        <v>7.5056768558951964E-2</v>
      </c>
      <c r="U1164" s="193">
        <f t="shared" si="473"/>
        <v>1.0536815586160564</v>
      </c>
      <c r="V1164" s="6"/>
    </row>
    <row r="1165" spans="2:22" ht="15" customHeight="1" x14ac:dyDescent="0.4">
      <c r="B1165" s="38" t="s">
        <v>456</v>
      </c>
      <c r="C1165" s="6" t="s">
        <v>162</v>
      </c>
      <c r="D1165" s="6"/>
      <c r="E1165" s="33">
        <v>2</v>
      </c>
      <c r="F1165" s="212">
        <v>304500</v>
      </c>
      <c r="G1165" s="195">
        <v>42929</v>
      </c>
      <c r="H1165" s="8"/>
      <c r="I1165" s="212">
        <v>125000</v>
      </c>
      <c r="J1165" s="8">
        <v>43133</v>
      </c>
      <c r="K1165" s="7">
        <f t="shared" ref="K1165:K1192" si="474">ROUNDDOWN(E1165*F1165*0.0015,-1)</f>
        <v>910</v>
      </c>
      <c r="L1165" s="7">
        <f t="shared" ref="L1165:L1192" si="475">ROUNDDOWN(I1165*E1165*0.0015,-1)</f>
        <v>370</v>
      </c>
      <c r="M1165" s="196">
        <f t="shared" si="469"/>
        <v>750</v>
      </c>
      <c r="N1165" s="36"/>
      <c r="O1165" s="191">
        <f t="shared" si="444"/>
        <v>205</v>
      </c>
      <c r="P1165" s="36">
        <f t="shared" si="470"/>
        <v>609000</v>
      </c>
      <c r="Q1165" s="36">
        <f t="shared" si="471"/>
        <v>250000</v>
      </c>
      <c r="R1165" s="7">
        <f t="shared" si="472"/>
        <v>-2030</v>
      </c>
      <c r="S1165" s="227">
        <f t="shared" si="445"/>
        <v>-361030</v>
      </c>
      <c r="T1165" s="248">
        <f t="shared" si="446"/>
        <v>-0.59282430213464699</v>
      </c>
      <c r="U1165" s="193">
        <f t="shared" si="473"/>
        <v>-1.0555164403860786</v>
      </c>
      <c r="V1165" s="6"/>
    </row>
    <row r="1166" spans="2:22" ht="15" customHeight="1" x14ac:dyDescent="0.4">
      <c r="B1166" s="38" t="s">
        <v>456</v>
      </c>
      <c r="C1166" s="6" t="s">
        <v>162</v>
      </c>
      <c r="D1166" s="6"/>
      <c r="E1166" s="33">
        <v>1</v>
      </c>
      <c r="F1166" s="212">
        <v>296500</v>
      </c>
      <c r="G1166" s="195">
        <v>42930</v>
      </c>
      <c r="H1166" s="8"/>
      <c r="I1166" s="212">
        <v>125000</v>
      </c>
      <c r="J1166" s="8">
        <v>43133</v>
      </c>
      <c r="K1166" s="7">
        <f t="shared" si="474"/>
        <v>440</v>
      </c>
      <c r="L1166" s="7">
        <f t="shared" si="475"/>
        <v>180</v>
      </c>
      <c r="M1166" s="196">
        <f t="shared" si="469"/>
        <v>375</v>
      </c>
      <c r="N1166" s="36"/>
      <c r="O1166" s="191">
        <f t="shared" si="444"/>
        <v>204</v>
      </c>
      <c r="P1166" s="36">
        <f t="shared" si="470"/>
        <v>296500</v>
      </c>
      <c r="Q1166" s="36">
        <f t="shared" si="471"/>
        <v>125000</v>
      </c>
      <c r="R1166" s="7">
        <f t="shared" si="472"/>
        <v>-995</v>
      </c>
      <c r="S1166" s="227">
        <f t="shared" si="445"/>
        <v>-172495</v>
      </c>
      <c r="T1166" s="248">
        <f t="shared" si="446"/>
        <v>-0.58177065767284997</v>
      </c>
      <c r="U1166" s="193">
        <f t="shared" si="473"/>
        <v>-1.0409131865225012</v>
      </c>
      <c r="V1166" s="6"/>
    </row>
    <row r="1167" spans="2:22" ht="15" customHeight="1" x14ac:dyDescent="0.4">
      <c r="B1167" s="38" t="s">
        <v>456</v>
      </c>
      <c r="C1167" s="6" t="s">
        <v>162</v>
      </c>
      <c r="D1167" s="6"/>
      <c r="E1167" s="33">
        <v>32</v>
      </c>
      <c r="F1167" s="212">
        <v>322000</v>
      </c>
      <c r="G1167" s="195">
        <v>42950</v>
      </c>
      <c r="H1167" s="8"/>
      <c r="I1167" s="212">
        <v>125000</v>
      </c>
      <c r="J1167" s="8">
        <v>43133</v>
      </c>
      <c r="K1167" s="7">
        <f t="shared" si="474"/>
        <v>15450</v>
      </c>
      <c r="L1167" s="7">
        <f t="shared" si="475"/>
        <v>6000</v>
      </c>
      <c r="M1167" s="196">
        <f t="shared" si="469"/>
        <v>12000</v>
      </c>
      <c r="N1167" s="36"/>
      <c r="O1167" s="191">
        <f t="shared" si="444"/>
        <v>184</v>
      </c>
      <c r="P1167" s="36">
        <f t="shared" si="470"/>
        <v>10304000</v>
      </c>
      <c r="Q1167" s="36">
        <f t="shared" si="471"/>
        <v>4000000</v>
      </c>
      <c r="R1167" s="7">
        <f t="shared" si="472"/>
        <v>-33450</v>
      </c>
      <c r="S1167" s="227">
        <f t="shared" si="445"/>
        <v>-6337450</v>
      </c>
      <c r="T1167" s="248">
        <f t="shared" si="446"/>
        <v>-0.6150475543478261</v>
      </c>
      <c r="U1167" s="193">
        <f t="shared" si="473"/>
        <v>-1.2200671594399812</v>
      </c>
      <c r="V1167" s="6"/>
    </row>
    <row r="1168" spans="2:22" ht="15" customHeight="1" x14ac:dyDescent="0.4">
      <c r="B1168" s="38" t="s">
        <v>456</v>
      </c>
      <c r="C1168" s="6" t="s">
        <v>162</v>
      </c>
      <c r="D1168" s="6"/>
      <c r="E1168" s="33">
        <v>10</v>
      </c>
      <c r="F1168" s="212">
        <v>299000</v>
      </c>
      <c r="G1168" s="195">
        <v>42972</v>
      </c>
      <c r="H1168" s="8"/>
      <c r="I1168" s="212">
        <v>125000</v>
      </c>
      <c r="J1168" s="8">
        <v>43133</v>
      </c>
      <c r="K1168" s="7">
        <f t="shared" si="474"/>
        <v>4480</v>
      </c>
      <c r="L1168" s="7">
        <f t="shared" si="475"/>
        <v>1870</v>
      </c>
      <c r="M1168" s="196">
        <f t="shared" si="469"/>
        <v>3750</v>
      </c>
      <c r="N1168" s="36"/>
      <c r="O1168" s="191">
        <f t="shared" si="444"/>
        <v>162</v>
      </c>
      <c r="P1168" s="36">
        <f t="shared" si="470"/>
        <v>2990000</v>
      </c>
      <c r="Q1168" s="36">
        <f t="shared" si="471"/>
        <v>1250000</v>
      </c>
      <c r="R1168" s="7">
        <f t="shared" si="472"/>
        <v>-10100</v>
      </c>
      <c r="S1168" s="227">
        <f t="shared" si="445"/>
        <v>-1750100</v>
      </c>
      <c r="T1168" s="248">
        <f t="shared" si="446"/>
        <v>-0.5853177257525084</v>
      </c>
      <c r="U1168" s="193">
        <f t="shared" si="473"/>
        <v>-1.3187714191337381</v>
      </c>
      <c r="V1168" s="6"/>
    </row>
    <row r="1169" spans="2:22" ht="15" customHeight="1" x14ac:dyDescent="0.4">
      <c r="B1169" s="38" t="s">
        <v>456</v>
      </c>
      <c r="C1169" s="6" t="s">
        <v>162</v>
      </c>
      <c r="D1169" s="6"/>
      <c r="E1169" s="33">
        <v>15</v>
      </c>
      <c r="F1169" s="212">
        <v>295000</v>
      </c>
      <c r="G1169" s="195">
        <v>42977</v>
      </c>
      <c r="H1169" s="8"/>
      <c r="I1169" s="212">
        <v>125000</v>
      </c>
      <c r="J1169" s="8">
        <v>43133</v>
      </c>
      <c r="K1169" s="7">
        <f t="shared" si="474"/>
        <v>6630</v>
      </c>
      <c r="L1169" s="7">
        <f t="shared" si="475"/>
        <v>2810</v>
      </c>
      <c r="M1169" s="196">
        <f t="shared" si="469"/>
        <v>5625</v>
      </c>
      <c r="N1169" s="36"/>
      <c r="O1169" s="191">
        <f t="shared" si="444"/>
        <v>157</v>
      </c>
      <c r="P1169" s="36">
        <f t="shared" si="470"/>
        <v>4425000</v>
      </c>
      <c r="Q1169" s="36">
        <f t="shared" si="471"/>
        <v>1875000</v>
      </c>
      <c r="R1169" s="7">
        <f t="shared" si="472"/>
        <v>-15065</v>
      </c>
      <c r="S1169" s="227">
        <f t="shared" si="445"/>
        <v>-2565065</v>
      </c>
      <c r="T1169" s="248">
        <f t="shared" si="446"/>
        <v>-0.57967570621468922</v>
      </c>
      <c r="U1169" s="193">
        <f t="shared" si="473"/>
        <v>-1.3476537119003922</v>
      </c>
      <c r="V1169" s="6"/>
    </row>
    <row r="1170" spans="2:22" ht="15" customHeight="1" x14ac:dyDescent="0.4">
      <c r="B1170" s="38" t="s">
        <v>456</v>
      </c>
      <c r="C1170" s="6" t="s">
        <v>162</v>
      </c>
      <c r="D1170" s="6"/>
      <c r="E1170" s="33">
        <v>5</v>
      </c>
      <c r="F1170" s="212">
        <v>247000</v>
      </c>
      <c r="G1170" s="195">
        <v>42989</v>
      </c>
      <c r="H1170" s="8"/>
      <c r="I1170" s="212">
        <v>125000</v>
      </c>
      <c r="J1170" s="8">
        <v>43133</v>
      </c>
      <c r="K1170" s="7">
        <f t="shared" si="474"/>
        <v>1850</v>
      </c>
      <c r="L1170" s="7">
        <f t="shared" si="475"/>
        <v>930</v>
      </c>
      <c r="M1170" s="196">
        <f t="shared" si="469"/>
        <v>1875</v>
      </c>
      <c r="N1170" s="36"/>
      <c r="O1170" s="191">
        <f t="shared" si="444"/>
        <v>145</v>
      </c>
      <c r="P1170" s="36">
        <f t="shared" si="470"/>
        <v>1235000</v>
      </c>
      <c r="Q1170" s="36">
        <f t="shared" si="471"/>
        <v>625000</v>
      </c>
      <c r="R1170" s="7">
        <f t="shared" si="472"/>
        <v>-4655</v>
      </c>
      <c r="S1170" s="227">
        <f t="shared" si="445"/>
        <v>-614655</v>
      </c>
      <c r="T1170" s="248">
        <f t="shared" si="446"/>
        <v>-0.49769635627530362</v>
      </c>
      <c r="U1170" s="193">
        <f t="shared" si="473"/>
        <v>-1.2528218623481782</v>
      </c>
      <c r="V1170" s="6"/>
    </row>
    <row r="1171" spans="2:22" ht="15" customHeight="1" x14ac:dyDescent="0.4">
      <c r="B1171" s="38" t="s">
        <v>456</v>
      </c>
      <c r="C1171" s="6" t="s">
        <v>162</v>
      </c>
      <c r="D1171" s="6"/>
      <c r="E1171" s="33">
        <v>4</v>
      </c>
      <c r="F1171" s="212">
        <v>248000</v>
      </c>
      <c r="G1171" s="195">
        <v>43028</v>
      </c>
      <c r="H1171" s="8"/>
      <c r="I1171" s="212">
        <v>125000</v>
      </c>
      <c r="J1171" s="8">
        <v>43133</v>
      </c>
      <c r="K1171" s="7">
        <f t="shared" si="474"/>
        <v>1480</v>
      </c>
      <c r="L1171" s="7">
        <f t="shared" si="475"/>
        <v>750</v>
      </c>
      <c r="M1171" s="196">
        <f t="shared" si="469"/>
        <v>1500</v>
      </c>
      <c r="N1171" s="36"/>
      <c r="O1171" s="191">
        <f t="shared" si="444"/>
        <v>106</v>
      </c>
      <c r="P1171" s="36">
        <f t="shared" si="470"/>
        <v>992000</v>
      </c>
      <c r="Q1171" s="36">
        <f t="shared" si="471"/>
        <v>500000</v>
      </c>
      <c r="R1171" s="7">
        <f t="shared" si="472"/>
        <v>-3730</v>
      </c>
      <c r="S1171" s="227">
        <f t="shared" si="445"/>
        <v>-495730</v>
      </c>
      <c r="T1171" s="248">
        <f t="shared" si="446"/>
        <v>-0.49972782258064519</v>
      </c>
      <c r="U1171" s="193">
        <f t="shared" si="473"/>
        <v>-1.7207608985088254</v>
      </c>
      <c r="V1171" s="6"/>
    </row>
    <row r="1172" spans="2:22" ht="15" customHeight="1" x14ac:dyDescent="0.4">
      <c r="B1172" s="38" t="s">
        <v>456</v>
      </c>
      <c r="C1172" s="6" t="s">
        <v>162</v>
      </c>
      <c r="D1172" s="6"/>
      <c r="E1172" s="33">
        <v>4</v>
      </c>
      <c r="F1172" s="212">
        <v>238000</v>
      </c>
      <c r="G1172" s="195">
        <v>43034</v>
      </c>
      <c r="H1172" s="8"/>
      <c r="I1172" s="212">
        <v>125000</v>
      </c>
      <c r="J1172" s="8">
        <v>43133</v>
      </c>
      <c r="K1172" s="7">
        <f t="shared" si="474"/>
        <v>1420</v>
      </c>
      <c r="L1172" s="7">
        <f t="shared" si="475"/>
        <v>750</v>
      </c>
      <c r="M1172" s="196">
        <f t="shared" si="469"/>
        <v>1500</v>
      </c>
      <c r="N1172" s="36"/>
      <c r="O1172" s="191">
        <f t="shared" si="444"/>
        <v>100</v>
      </c>
      <c r="P1172" s="36">
        <f t="shared" si="470"/>
        <v>952000</v>
      </c>
      <c r="Q1172" s="36">
        <f t="shared" si="471"/>
        <v>500000</v>
      </c>
      <c r="R1172" s="7">
        <f t="shared" si="472"/>
        <v>-3670</v>
      </c>
      <c r="S1172" s="227">
        <f t="shared" si="445"/>
        <v>-455670</v>
      </c>
      <c r="T1172" s="248">
        <f t="shared" si="446"/>
        <v>-0.47864495798319329</v>
      </c>
      <c r="U1172" s="193">
        <f t="shared" si="473"/>
        <v>-1.7470540966386554</v>
      </c>
      <c r="V1172" s="6"/>
    </row>
    <row r="1173" spans="2:22" ht="15" customHeight="1" x14ac:dyDescent="0.4">
      <c r="B1173" s="38" t="s">
        <v>456</v>
      </c>
      <c r="C1173" s="6" t="s">
        <v>162</v>
      </c>
      <c r="D1173" s="6"/>
      <c r="E1173" s="33">
        <v>4</v>
      </c>
      <c r="F1173" s="212">
        <v>231000</v>
      </c>
      <c r="G1173" s="195">
        <v>43038</v>
      </c>
      <c r="H1173" s="8"/>
      <c r="I1173" s="212">
        <v>125000</v>
      </c>
      <c r="J1173" s="8">
        <v>43133</v>
      </c>
      <c r="K1173" s="7">
        <f t="shared" si="474"/>
        <v>1380</v>
      </c>
      <c r="L1173" s="7">
        <f t="shared" si="475"/>
        <v>750</v>
      </c>
      <c r="M1173" s="196">
        <f t="shared" si="469"/>
        <v>1500</v>
      </c>
      <c r="N1173" s="36"/>
      <c r="O1173" s="191">
        <f t="shared" si="444"/>
        <v>96</v>
      </c>
      <c r="P1173" s="36">
        <f t="shared" si="470"/>
        <v>924000</v>
      </c>
      <c r="Q1173" s="36">
        <f t="shared" si="471"/>
        <v>500000</v>
      </c>
      <c r="R1173" s="7">
        <f t="shared" si="472"/>
        <v>-3630</v>
      </c>
      <c r="S1173" s="227">
        <f t="shared" si="445"/>
        <v>-427630</v>
      </c>
      <c r="T1173" s="248">
        <f t="shared" si="446"/>
        <v>-0.46280303030303033</v>
      </c>
      <c r="U1173" s="193">
        <f t="shared" si="473"/>
        <v>-1.7596156881313132</v>
      </c>
      <c r="V1173" s="6"/>
    </row>
    <row r="1174" spans="2:22" ht="15" customHeight="1" x14ac:dyDescent="0.4">
      <c r="B1174" s="38" t="s">
        <v>456</v>
      </c>
      <c r="C1174" s="6" t="s">
        <v>162</v>
      </c>
      <c r="D1174" s="6"/>
      <c r="E1174" s="33">
        <v>4</v>
      </c>
      <c r="F1174" s="212">
        <v>233000</v>
      </c>
      <c r="G1174" s="195">
        <v>43042</v>
      </c>
      <c r="H1174" s="8"/>
      <c r="I1174" s="212">
        <v>125000</v>
      </c>
      <c r="J1174" s="8">
        <v>43133</v>
      </c>
      <c r="K1174" s="7">
        <f t="shared" si="474"/>
        <v>1390</v>
      </c>
      <c r="L1174" s="7">
        <f t="shared" si="475"/>
        <v>750</v>
      </c>
      <c r="M1174" s="196">
        <f t="shared" si="469"/>
        <v>1500</v>
      </c>
      <c r="N1174" s="36"/>
      <c r="O1174" s="191">
        <f t="shared" si="444"/>
        <v>92</v>
      </c>
      <c r="P1174" s="36">
        <f t="shared" si="470"/>
        <v>932000</v>
      </c>
      <c r="Q1174" s="36">
        <f t="shared" si="471"/>
        <v>500000</v>
      </c>
      <c r="R1174" s="7">
        <f t="shared" si="472"/>
        <v>-3640</v>
      </c>
      <c r="S1174" s="227">
        <f t="shared" si="445"/>
        <v>-435640</v>
      </c>
      <c r="T1174" s="248">
        <f t="shared" si="446"/>
        <v>-0.46742489270386267</v>
      </c>
      <c r="U1174" s="193">
        <f t="shared" si="473"/>
        <v>-1.8544574547490205</v>
      </c>
      <c r="V1174" s="6"/>
    </row>
    <row r="1175" spans="2:22" ht="15" customHeight="1" x14ac:dyDescent="0.4">
      <c r="B1175" s="38" t="s">
        <v>456</v>
      </c>
      <c r="C1175" s="6" t="s">
        <v>162</v>
      </c>
      <c r="D1175" s="6"/>
      <c r="E1175" s="33">
        <v>4</v>
      </c>
      <c r="F1175" s="212">
        <v>230500</v>
      </c>
      <c r="G1175" s="195">
        <v>43048</v>
      </c>
      <c r="H1175" s="8"/>
      <c r="I1175" s="212">
        <v>125000</v>
      </c>
      <c r="J1175" s="8">
        <v>43133</v>
      </c>
      <c r="K1175" s="7">
        <f t="shared" si="474"/>
        <v>1380</v>
      </c>
      <c r="L1175" s="7">
        <f t="shared" si="475"/>
        <v>750</v>
      </c>
      <c r="M1175" s="196">
        <f t="shared" si="469"/>
        <v>1500</v>
      </c>
      <c r="N1175" s="36"/>
      <c r="O1175" s="191">
        <f t="shared" si="444"/>
        <v>86</v>
      </c>
      <c r="P1175" s="36">
        <f t="shared" si="470"/>
        <v>922000</v>
      </c>
      <c r="Q1175" s="36">
        <f t="shared" si="471"/>
        <v>500000</v>
      </c>
      <c r="R1175" s="7">
        <f t="shared" si="472"/>
        <v>-3630</v>
      </c>
      <c r="S1175" s="227">
        <f t="shared" si="445"/>
        <v>-425630</v>
      </c>
      <c r="T1175" s="248">
        <f t="shared" si="446"/>
        <v>-0.46163774403470714</v>
      </c>
      <c r="U1175" s="193">
        <f t="shared" si="473"/>
        <v>-1.9592764717752105</v>
      </c>
      <c r="V1175" s="6"/>
    </row>
    <row r="1176" spans="2:22" ht="15" customHeight="1" x14ac:dyDescent="0.4">
      <c r="B1176" s="38" t="s">
        <v>456</v>
      </c>
      <c r="C1176" s="6" t="s">
        <v>162</v>
      </c>
      <c r="D1176" s="6"/>
      <c r="E1176" s="33">
        <v>21</v>
      </c>
      <c r="F1176" s="212">
        <v>186000</v>
      </c>
      <c r="G1176" s="195">
        <v>43067</v>
      </c>
      <c r="H1176" s="8"/>
      <c r="I1176" s="212">
        <v>92700</v>
      </c>
      <c r="J1176" s="8">
        <v>43220</v>
      </c>
      <c r="K1176" s="7">
        <f t="shared" si="474"/>
        <v>5850</v>
      </c>
      <c r="L1176" s="7">
        <f t="shared" si="475"/>
        <v>2920</v>
      </c>
      <c r="M1176" s="196">
        <f t="shared" si="469"/>
        <v>5840.1</v>
      </c>
      <c r="N1176" s="36"/>
      <c r="O1176" s="191">
        <f t="shared" si="444"/>
        <v>154</v>
      </c>
      <c r="P1176" s="36">
        <f t="shared" si="470"/>
        <v>3906000</v>
      </c>
      <c r="Q1176" s="36">
        <f t="shared" si="471"/>
        <v>1946700</v>
      </c>
      <c r="R1176" s="7">
        <f t="shared" si="472"/>
        <v>-14610.1</v>
      </c>
      <c r="S1176" s="227">
        <f t="shared" si="445"/>
        <v>-1973910.1</v>
      </c>
      <c r="T1176" s="248">
        <f t="shared" si="446"/>
        <v>-0.5053533282130056</v>
      </c>
      <c r="U1176" s="193">
        <f t="shared" si="473"/>
        <v>-1.1977530181671885</v>
      </c>
      <c r="V1176" s="6"/>
    </row>
    <row r="1177" spans="2:22" ht="15" customHeight="1" x14ac:dyDescent="0.4">
      <c r="B1177" s="38" t="s">
        <v>456</v>
      </c>
      <c r="C1177" s="6" t="s">
        <v>162</v>
      </c>
      <c r="D1177" s="6"/>
      <c r="E1177" s="33">
        <v>15</v>
      </c>
      <c r="F1177" s="212">
        <v>115000</v>
      </c>
      <c r="G1177" s="195">
        <v>43067</v>
      </c>
      <c r="H1177" s="8"/>
      <c r="I1177" s="212">
        <v>125000</v>
      </c>
      <c r="J1177" s="8">
        <v>43133</v>
      </c>
      <c r="K1177" s="7">
        <f t="shared" si="474"/>
        <v>2580</v>
      </c>
      <c r="L1177" s="7">
        <f t="shared" si="475"/>
        <v>2810</v>
      </c>
      <c r="M1177" s="196">
        <f t="shared" si="469"/>
        <v>5625</v>
      </c>
      <c r="N1177" s="36"/>
      <c r="O1177" s="191">
        <f t="shared" si="444"/>
        <v>67</v>
      </c>
      <c r="P1177" s="36">
        <f t="shared" si="470"/>
        <v>1725000</v>
      </c>
      <c r="Q1177" s="36">
        <f t="shared" si="471"/>
        <v>1875000</v>
      </c>
      <c r="R1177" s="7">
        <f t="shared" si="472"/>
        <v>-11015</v>
      </c>
      <c r="S1177" s="227">
        <f t="shared" si="445"/>
        <v>138985</v>
      </c>
      <c r="T1177" s="248">
        <f t="shared" si="446"/>
        <v>8.0571014492753626E-2</v>
      </c>
      <c r="U1177" s="193">
        <f t="shared" si="473"/>
        <v>0.43893164611723989</v>
      </c>
      <c r="V1177" s="6"/>
    </row>
    <row r="1178" spans="2:22" ht="15" customHeight="1" x14ac:dyDescent="0.4">
      <c r="B1178" s="38" t="s">
        <v>456</v>
      </c>
      <c r="C1178" s="6" t="s">
        <v>162</v>
      </c>
      <c r="D1178" s="6"/>
      <c r="E1178" s="33">
        <v>5</v>
      </c>
      <c r="F1178" s="212">
        <v>115500</v>
      </c>
      <c r="G1178" s="195">
        <v>43070</v>
      </c>
      <c r="H1178" s="8"/>
      <c r="I1178" s="212">
        <v>92700</v>
      </c>
      <c r="J1178" s="8">
        <v>43220</v>
      </c>
      <c r="K1178" s="7">
        <f t="shared" si="474"/>
        <v>860</v>
      </c>
      <c r="L1178" s="7">
        <f t="shared" si="475"/>
        <v>690</v>
      </c>
      <c r="M1178" s="196">
        <f t="shared" si="469"/>
        <v>1390.5</v>
      </c>
      <c r="N1178" s="36"/>
      <c r="O1178" s="191">
        <f t="shared" si="444"/>
        <v>151</v>
      </c>
      <c r="P1178" s="36">
        <f t="shared" si="470"/>
        <v>577500</v>
      </c>
      <c r="Q1178" s="36">
        <f t="shared" si="471"/>
        <v>463500</v>
      </c>
      <c r="R1178" s="7">
        <f t="shared" si="472"/>
        <v>-2940.5</v>
      </c>
      <c r="S1178" s="227">
        <f t="shared" si="445"/>
        <v>-116940.5</v>
      </c>
      <c r="T1178" s="248">
        <f t="shared" si="446"/>
        <v>-0.20249437229437228</v>
      </c>
      <c r="U1178" s="193">
        <f t="shared" si="473"/>
        <v>-0.48947315157248933</v>
      </c>
      <c r="V1178" s="6"/>
    </row>
    <row r="1179" spans="2:22" ht="15" customHeight="1" x14ac:dyDescent="0.4">
      <c r="B1179" s="38" t="s">
        <v>456</v>
      </c>
      <c r="C1179" s="6" t="s">
        <v>162</v>
      </c>
      <c r="D1179" s="6"/>
      <c r="E1179" s="33">
        <v>106</v>
      </c>
      <c r="F1179" s="212">
        <v>0</v>
      </c>
      <c r="G1179" s="195">
        <v>43080</v>
      </c>
      <c r="H1179" s="8" t="s">
        <v>249</v>
      </c>
      <c r="I1179" s="212">
        <v>92700</v>
      </c>
      <c r="J1179" s="8">
        <v>43220</v>
      </c>
      <c r="K1179" s="7">
        <f t="shared" si="474"/>
        <v>0</v>
      </c>
      <c r="L1179" s="7">
        <f t="shared" si="475"/>
        <v>14730</v>
      </c>
      <c r="M1179" s="196">
        <f t="shared" si="469"/>
        <v>29478.600000000002</v>
      </c>
      <c r="N1179" s="36"/>
      <c r="O1179" s="191">
        <f t="shared" si="444"/>
        <v>141</v>
      </c>
      <c r="P1179" s="36">
        <f t="shared" si="470"/>
        <v>0</v>
      </c>
      <c r="Q1179" s="36">
        <f t="shared" si="471"/>
        <v>9826200</v>
      </c>
      <c r="R1179" s="7">
        <f t="shared" si="472"/>
        <v>-44208.600000000006</v>
      </c>
      <c r="S1179" s="227">
        <f t="shared" si="445"/>
        <v>9781991.4000000004</v>
      </c>
      <c r="T1179" s="248" t="e">
        <f t="shared" si="446"/>
        <v>#DIV/0!</v>
      </c>
      <c r="U1179" s="193" t="e">
        <f t="shared" si="473"/>
        <v>#DIV/0!</v>
      </c>
      <c r="V1179" s="6"/>
    </row>
    <row r="1180" spans="2:22" s="33" customFormat="1" ht="15" customHeight="1" x14ac:dyDescent="0.4">
      <c r="B1180" s="38" t="s">
        <v>456</v>
      </c>
      <c r="C1180" s="6" t="s">
        <v>162</v>
      </c>
      <c r="D1180" s="6"/>
      <c r="E1180" s="36">
        <v>3</v>
      </c>
      <c r="F1180" s="212">
        <v>117000</v>
      </c>
      <c r="G1180" s="195">
        <v>43117</v>
      </c>
      <c r="H1180" s="8"/>
      <c r="I1180" s="212">
        <v>92700</v>
      </c>
      <c r="J1180" s="8">
        <v>43220</v>
      </c>
      <c r="K1180" s="7">
        <f t="shared" si="474"/>
        <v>520</v>
      </c>
      <c r="L1180" s="7">
        <f t="shared" si="475"/>
        <v>410</v>
      </c>
      <c r="M1180" s="196">
        <f t="shared" si="469"/>
        <v>834.30000000000007</v>
      </c>
      <c r="N1180" s="36"/>
      <c r="O1180" s="191">
        <f t="shared" si="444"/>
        <v>104</v>
      </c>
      <c r="P1180" s="36">
        <f t="shared" si="470"/>
        <v>351000</v>
      </c>
      <c r="Q1180" s="36">
        <f t="shared" si="471"/>
        <v>278100</v>
      </c>
      <c r="R1180" s="7">
        <f t="shared" si="472"/>
        <v>-1764.3000000000002</v>
      </c>
      <c r="S1180" s="227">
        <f t="shared" si="445"/>
        <v>-74664.3</v>
      </c>
      <c r="T1180" s="248">
        <f t="shared" si="446"/>
        <v>-0.21271880341880342</v>
      </c>
      <c r="U1180" s="9">
        <f t="shared" si="473"/>
        <v>-0.74656118507560809</v>
      </c>
      <c r="V1180" s="6"/>
    </row>
    <row r="1181" spans="2:22" s="33" customFormat="1" ht="15" customHeight="1" x14ac:dyDescent="0.4">
      <c r="B1181" s="38" t="s">
        <v>456</v>
      </c>
      <c r="C1181" s="6" t="s">
        <v>162</v>
      </c>
      <c r="D1181" s="6"/>
      <c r="E1181" s="36">
        <v>32</v>
      </c>
      <c r="F1181" s="212">
        <v>96500</v>
      </c>
      <c r="G1181" s="195">
        <v>43150</v>
      </c>
      <c r="H1181" s="8"/>
      <c r="I1181" s="212">
        <v>92700</v>
      </c>
      <c r="J1181" s="8">
        <v>43220</v>
      </c>
      <c r="K1181" s="7">
        <f t="shared" si="474"/>
        <v>4630</v>
      </c>
      <c r="L1181" s="7">
        <f t="shared" si="475"/>
        <v>4440</v>
      </c>
      <c r="M1181" s="196">
        <f t="shared" si="469"/>
        <v>8899.2000000000007</v>
      </c>
      <c r="N1181" s="36"/>
      <c r="O1181" s="191">
        <f t="shared" si="444"/>
        <v>71</v>
      </c>
      <c r="P1181" s="36">
        <f t="shared" si="470"/>
        <v>3088000</v>
      </c>
      <c r="Q1181" s="36">
        <f t="shared" si="471"/>
        <v>2966400</v>
      </c>
      <c r="R1181" s="7">
        <f t="shared" si="472"/>
        <v>-17969.2</v>
      </c>
      <c r="S1181" s="227">
        <f t="shared" si="445"/>
        <v>-139569.20000000001</v>
      </c>
      <c r="T1181" s="248">
        <f t="shared" si="446"/>
        <v>-4.5197279792746119E-2</v>
      </c>
      <c r="U1181" s="9">
        <f t="shared" si="473"/>
        <v>-0.23235221301904693</v>
      </c>
      <c r="V1181" s="6"/>
    </row>
    <row r="1182" spans="2:22" s="33" customFormat="1" ht="15" customHeight="1" x14ac:dyDescent="0.4">
      <c r="B1182" s="38" t="s">
        <v>456</v>
      </c>
      <c r="C1182" s="6" t="s">
        <v>162</v>
      </c>
      <c r="D1182" s="6"/>
      <c r="E1182" s="36">
        <v>70</v>
      </c>
      <c r="F1182" s="212">
        <v>90500</v>
      </c>
      <c r="G1182" s="195">
        <v>43164</v>
      </c>
      <c r="H1182" s="8"/>
      <c r="I1182" s="212">
        <v>92700</v>
      </c>
      <c r="J1182" s="8">
        <v>43220</v>
      </c>
      <c r="K1182" s="7">
        <f t="shared" si="474"/>
        <v>9500</v>
      </c>
      <c r="L1182" s="7">
        <f t="shared" si="475"/>
        <v>9730</v>
      </c>
      <c r="M1182" s="196">
        <f t="shared" si="469"/>
        <v>19467</v>
      </c>
      <c r="N1182" s="36"/>
      <c r="O1182" s="191">
        <f t="shared" si="444"/>
        <v>57</v>
      </c>
      <c r="P1182" s="36">
        <f t="shared" si="470"/>
        <v>6335000</v>
      </c>
      <c r="Q1182" s="36">
        <f t="shared" si="471"/>
        <v>6489000</v>
      </c>
      <c r="R1182" s="7">
        <f t="shared" si="472"/>
        <v>-38697</v>
      </c>
      <c r="S1182" s="227">
        <f t="shared" si="445"/>
        <v>115303</v>
      </c>
      <c r="T1182" s="248">
        <f t="shared" si="446"/>
        <v>1.8200947119179165E-2</v>
      </c>
      <c r="U1182" s="9">
        <f t="shared" si="473"/>
        <v>0.11654992453509466</v>
      </c>
      <c r="V1182" s="6"/>
    </row>
    <row r="1183" spans="2:22" s="33" customFormat="1" ht="15" customHeight="1" x14ac:dyDescent="0.4">
      <c r="B1183" s="38" t="s">
        <v>456</v>
      </c>
      <c r="C1183" s="6" t="s">
        <v>162</v>
      </c>
      <c r="D1183" s="6"/>
      <c r="E1183" s="36">
        <v>60</v>
      </c>
      <c r="F1183" s="212">
        <v>77900</v>
      </c>
      <c r="G1183" s="195">
        <v>43199</v>
      </c>
      <c r="H1183" s="8"/>
      <c r="I1183" s="212">
        <v>81000</v>
      </c>
      <c r="J1183" s="8">
        <v>43211</v>
      </c>
      <c r="K1183" s="7">
        <f t="shared" si="474"/>
        <v>7010</v>
      </c>
      <c r="L1183" s="7">
        <f t="shared" si="475"/>
        <v>7290</v>
      </c>
      <c r="M1183" s="196">
        <f t="shared" si="469"/>
        <v>14580</v>
      </c>
      <c r="N1183" s="36"/>
      <c r="O1183" s="191">
        <f t="shared" si="444"/>
        <v>13</v>
      </c>
      <c r="P1183" s="36">
        <f t="shared" si="470"/>
        <v>4674000</v>
      </c>
      <c r="Q1183" s="36">
        <f t="shared" si="471"/>
        <v>4860000</v>
      </c>
      <c r="R1183" s="7">
        <f t="shared" si="472"/>
        <v>-28880</v>
      </c>
      <c r="S1183" s="227">
        <f t="shared" si="445"/>
        <v>157120</v>
      </c>
      <c r="T1183" s="248">
        <f t="shared" si="446"/>
        <v>3.361574668378263E-2</v>
      </c>
      <c r="U1183" s="9">
        <f t="shared" si="473"/>
        <v>0.94382673381389692</v>
      </c>
      <c r="V1183" s="6"/>
    </row>
    <row r="1184" spans="2:22" s="33" customFormat="1" ht="15" customHeight="1" x14ac:dyDescent="0.4">
      <c r="B1184" s="38" t="s">
        <v>456</v>
      </c>
      <c r="C1184" s="6" t="s">
        <v>162</v>
      </c>
      <c r="D1184" s="6"/>
      <c r="E1184" s="36">
        <v>20</v>
      </c>
      <c r="F1184" s="212">
        <v>94700</v>
      </c>
      <c r="G1184" s="195">
        <v>43228</v>
      </c>
      <c r="H1184" s="8"/>
      <c r="I1184" s="212">
        <v>105000</v>
      </c>
      <c r="J1184" s="8">
        <v>43234</v>
      </c>
      <c r="K1184" s="7">
        <f t="shared" si="474"/>
        <v>2840</v>
      </c>
      <c r="L1184" s="7">
        <f t="shared" si="475"/>
        <v>3150</v>
      </c>
      <c r="M1184" s="196">
        <f t="shared" si="469"/>
        <v>6300</v>
      </c>
      <c r="N1184" s="36"/>
      <c r="O1184" s="191">
        <f t="shared" si="444"/>
        <v>7</v>
      </c>
      <c r="P1184" s="36">
        <f t="shared" si="470"/>
        <v>1894000</v>
      </c>
      <c r="Q1184" s="36">
        <f t="shared" si="471"/>
        <v>2100000</v>
      </c>
      <c r="R1184" s="7">
        <f t="shared" si="472"/>
        <v>-12290</v>
      </c>
      <c r="S1184" s="227">
        <f t="shared" si="445"/>
        <v>193710</v>
      </c>
      <c r="T1184" s="248">
        <f t="shared" si="446"/>
        <v>0.10227560718057022</v>
      </c>
      <c r="U1184" s="9">
        <f t="shared" si="473"/>
        <v>5.3329423744154472</v>
      </c>
      <c r="V1184" s="6"/>
    </row>
    <row r="1185" spans="2:22" s="33" customFormat="1" ht="15" customHeight="1" x14ac:dyDescent="0.4">
      <c r="B1185" s="38" t="s">
        <v>456</v>
      </c>
      <c r="C1185" s="6" t="s">
        <v>162</v>
      </c>
      <c r="D1185" s="6"/>
      <c r="E1185" s="36">
        <v>100</v>
      </c>
      <c r="F1185" s="212">
        <v>96500</v>
      </c>
      <c r="G1185" s="195">
        <v>43228</v>
      </c>
      <c r="H1185" s="8"/>
      <c r="I1185" s="212">
        <v>105000</v>
      </c>
      <c r="J1185" s="8">
        <v>43234</v>
      </c>
      <c r="K1185" s="7">
        <f t="shared" si="474"/>
        <v>14470</v>
      </c>
      <c r="L1185" s="7">
        <f t="shared" si="475"/>
        <v>15750</v>
      </c>
      <c r="M1185" s="196">
        <f t="shared" si="469"/>
        <v>31500</v>
      </c>
      <c r="N1185" s="36"/>
      <c r="O1185" s="191">
        <f t="shared" si="444"/>
        <v>7</v>
      </c>
      <c r="P1185" s="36">
        <f t="shared" si="470"/>
        <v>9650000</v>
      </c>
      <c r="Q1185" s="36">
        <f t="shared" si="471"/>
        <v>10500000</v>
      </c>
      <c r="R1185" s="7">
        <f t="shared" si="472"/>
        <v>-61720</v>
      </c>
      <c r="S1185" s="227">
        <f t="shared" si="445"/>
        <v>788280</v>
      </c>
      <c r="T1185" s="248">
        <f t="shared" si="446"/>
        <v>8.1687046632124352E-2</v>
      </c>
      <c r="U1185" s="9">
        <f t="shared" si="473"/>
        <v>4.25939600296077</v>
      </c>
      <c r="V1185" s="6"/>
    </row>
    <row r="1186" spans="2:22" s="33" customFormat="1" ht="15" customHeight="1" x14ac:dyDescent="0.4">
      <c r="B1186" s="38" t="s">
        <v>456</v>
      </c>
      <c r="C1186" s="6" t="s">
        <v>162</v>
      </c>
      <c r="D1186" s="6"/>
      <c r="E1186" s="36">
        <v>15</v>
      </c>
      <c r="F1186" s="212">
        <v>95900</v>
      </c>
      <c r="G1186" s="195">
        <v>43236</v>
      </c>
      <c r="H1186" s="8"/>
      <c r="I1186" s="212">
        <v>61000</v>
      </c>
      <c r="J1186" s="8">
        <v>43300</v>
      </c>
      <c r="K1186" s="7">
        <f t="shared" si="474"/>
        <v>2150</v>
      </c>
      <c r="L1186" s="7">
        <f t="shared" si="475"/>
        <v>1370</v>
      </c>
      <c r="M1186" s="196">
        <f t="shared" si="469"/>
        <v>2745</v>
      </c>
      <c r="N1186" s="36"/>
      <c r="O1186" s="191">
        <f t="shared" si="444"/>
        <v>65</v>
      </c>
      <c r="P1186" s="36">
        <f t="shared" si="470"/>
        <v>1438500</v>
      </c>
      <c r="Q1186" s="36">
        <f t="shared" si="471"/>
        <v>915000</v>
      </c>
      <c r="R1186" s="7">
        <f t="shared" si="472"/>
        <v>-6265</v>
      </c>
      <c r="S1186" s="227">
        <f t="shared" si="445"/>
        <v>-529765</v>
      </c>
      <c r="T1186" s="248">
        <f t="shared" si="446"/>
        <v>-0.36827598192561695</v>
      </c>
      <c r="U1186" s="9">
        <f t="shared" si="473"/>
        <v>-2.068011283120772</v>
      </c>
      <c r="V1186" s="6"/>
    </row>
    <row r="1187" spans="2:22" s="33" customFormat="1" ht="15" customHeight="1" x14ac:dyDescent="0.4">
      <c r="B1187" s="38" t="s">
        <v>456</v>
      </c>
      <c r="C1187" s="6" t="s">
        <v>162</v>
      </c>
      <c r="D1187" s="6"/>
      <c r="E1187" s="36">
        <v>10</v>
      </c>
      <c r="F1187" s="212">
        <v>92900</v>
      </c>
      <c r="G1187" s="195">
        <v>43236</v>
      </c>
      <c r="H1187" s="8"/>
      <c r="I1187" s="212">
        <v>61000</v>
      </c>
      <c r="J1187" s="8">
        <v>43300</v>
      </c>
      <c r="K1187" s="7">
        <f t="shared" si="474"/>
        <v>1390</v>
      </c>
      <c r="L1187" s="7">
        <f t="shared" si="475"/>
        <v>910</v>
      </c>
      <c r="M1187" s="196">
        <f t="shared" si="469"/>
        <v>1830</v>
      </c>
      <c r="N1187" s="36"/>
      <c r="O1187" s="191">
        <f t="shared" ref="O1187:O1235" si="476">J1187-G1187+1</f>
        <v>65</v>
      </c>
      <c r="P1187" s="36">
        <f t="shared" si="470"/>
        <v>929000</v>
      </c>
      <c r="Q1187" s="36">
        <f t="shared" si="471"/>
        <v>610000</v>
      </c>
      <c r="R1187" s="7">
        <f t="shared" si="472"/>
        <v>-4130</v>
      </c>
      <c r="S1187" s="227">
        <f t="shared" ref="S1187:S1250" si="477">IF(Q1187=0,0,Q1187-P1187+R1187)</f>
        <v>-323130</v>
      </c>
      <c r="T1187" s="248">
        <f t="shared" ref="T1187:T1250" si="478">S1187/P1187</f>
        <v>-0.34782561894510228</v>
      </c>
      <c r="U1187" s="9">
        <f t="shared" si="473"/>
        <v>-1.9531746294609589</v>
      </c>
      <c r="V1187" s="6"/>
    </row>
    <row r="1188" spans="2:22" s="33" customFormat="1" ht="15" customHeight="1" x14ac:dyDescent="0.4">
      <c r="B1188" s="38" t="s">
        <v>456</v>
      </c>
      <c r="C1188" s="6" t="s">
        <v>162</v>
      </c>
      <c r="D1188" s="6"/>
      <c r="E1188" s="36">
        <v>20</v>
      </c>
      <c r="F1188" s="212">
        <v>87800</v>
      </c>
      <c r="G1188" s="195">
        <v>43258</v>
      </c>
      <c r="H1188" s="8"/>
      <c r="I1188" s="212">
        <v>61000</v>
      </c>
      <c r="J1188" s="8">
        <v>43300</v>
      </c>
      <c r="K1188" s="7">
        <f t="shared" si="474"/>
        <v>2630</v>
      </c>
      <c r="L1188" s="7">
        <f t="shared" si="475"/>
        <v>1830</v>
      </c>
      <c r="M1188" s="196">
        <f t="shared" si="469"/>
        <v>3660</v>
      </c>
      <c r="N1188" s="36"/>
      <c r="O1188" s="191">
        <f t="shared" si="476"/>
        <v>43</v>
      </c>
      <c r="P1188" s="36">
        <f t="shared" si="470"/>
        <v>1756000</v>
      </c>
      <c r="Q1188" s="36">
        <f t="shared" si="471"/>
        <v>1220000</v>
      </c>
      <c r="R1188" s="7">
        <f t="shared" si="472"/>
        <v>-8120</v>
      </c>
      <c r="S1188" s="227">
        <f t="shared" si="477"/>
        <v>-544120</v>
      </c>
      <c r="T1188" s="248">
        <f t="shared" si="478"/>
        <v>-0.30986332574031888</v>
      </c>
      <c r="U1188" s="9">
        <f t="shared" si="473"/>
        <v>-2.6302352068654975</v>
      </c>
      <c r="V1188" s="6"/>
    </row>
    <row r="1189" spans="2:22" s="33" customFormat="1" ht="15" customHeight="1" x14ac:dyDescent="0.4">
      <c r="B1189" s="38" t="s">
        <v>456</v>
      </c>
      <c r="C1189" s="6" t="s">
        <v>162</v>
      </c>
      <c r="D1189" s="6"/>
      <c r="E1189" s="36">
        <v>8</v>
      </c>
      <c r="F1189" s="212">
        <v>70500</v>
      </c>
      <c r="G1189" s="195">
        <v>43277</v>
      </c>
      <c r="H1189" s="8"/>
      <c r="I1189" s="212">
        <v>61000</v>
      </c>
      <c r="J1189" s="8">
        <v>43300</v>
      </c>
      <c r="K1189" s="7">
        <f t="shared" si="474"/>
        <v>840</v>
      </c>
      <c r="L1189" s="7">
        <f t="shared" si="475"/>
        <v>730</v>
      </c>
      <c r="M1189" s="196">
        <f t="shared" si="469"/>
        <v>1464</v>
      </c>
      <c r="N1189" s="36"/>
      <c r="O1189" s="191">
        <f t="shared" si="476"/>
        <v>24</v>
      </c>
      <c r="P1189" s="36">
        <f t="shared" si="470"/>
        <v>564000</v>
      </c>
      <c r="Q1189" s="36">
        <f t="shared" si="471"/>
        <v>488000</v>
      </c>
      <c r="R1189" s="7">
        <f t="shared" si="472"/>
        <v>-3034</v>
      </c>
      <c r="S1189" s="227">
        <f t="shared" si="477"/>
        <v>-79034</v>
      </c>
      <c r="T1189" s="248">
        <f t="shared" si="478"/>
        <v>-0.14013120567375886</v>
      </c>
      <c r="U1189" s="9">
        <f t="shared" si="473"/>
        <v>-2.1311620862884157</v>
      </c>
      <c r="V1189" s="6"/>
    </row>
    <row r="1190" spans="2:22" s="33" customFormat="1" ht="15" customHeight="1" x14ac:dyDescent="0.4">
      <c r="B1190" s="38" t="s">
        <v>456</v>
      </c>
      <c r="C1190" s="6" t="s">
        <v>162</v>
      </c>
      <c r="D1190" s="6"/>
      <c r="E1190" s="36">
        <v>5</v>
      </c>
      <c r="F1190" s="212">
        <v>72300</v>
      </c>
      <c r="G1190" s="195">
        <v>43279</v>
      </c>
      <c r="H1190" s="8"/>
      <c r="I1190" s="212">
        <v>61000</v>
      </c>
      <c r="J1190" s="8">
        <v>43300</v>
      </c>
      <c r="K1190" s="7">
        <f t="shared" si="474"/>
        <v>540</v>
      </c>
      <c r="L1190" s="7">
        <f t="shared" si="475"/>
        <v>450</v>
      </c>
      <c r="M1190" s="196">
        <f t="shared" si="469"/>
        <v>915</v>
      </c>
      <c r="N1190" s="36"/>
      <c r="O1190" s="191">
        <f t="shared" si="476"/>
        <v>22</v>
      </c>
      <c r="P1190" s="36">
        <f t="shared" si="470"/>
        <v>361500</v>
      </c>
      <c r="Q1190" s="36">
        <f t="shared" si="471"/>
        <v>305000</v>
      </c>
      <c r="R1190" s="7">
        <f t="shared" si="472"/>
        <v>-1905</v>
      </c>
      <c r="S1190" s="227">
        <f t="shared" si="477"/>
        <v>-58405</v>
      </c>
      <c r="T1190" s="248">
        <f t="shared" si="478"/>
        <v>-0.16156293222683263</v>
      </c>
      <c r="U1190" s="9">
        <f t="shared" si="473"/>
        <v>-2.6804759210360869</v>
      </c>
      <c r="V1190" s="6"/>
    </row>
    <row r="1191" spans="2:22" s="33" customFormat="1" ht="15" customHeight="1" x14ac:dyDescent="0.4">
      <c r="B1191" s="38" t="s">
        <v>456</v>
      </c>
      <c r="C1191" s="6" t="s">
        <v>162</v>
      </c>
      <c r="D1191" s="6"/>
      <c r="E1191" s="36">
        <v>20</v>
      </c>
      <c r="F1191" s="212">
        <v>27700</v>
      </c>
      <c r="G1191" s="195">
        <v>43440</v>
      </c>
      <c r="H1191" s="8"/>
      <c r="I1191" s="212">
        <v>30550</v>
      </c>
      <c r="J1191" s="8">
        <v>43504</v>
      </c>
      <c r="K1191" s="7">
        <f t="shared" si="474"/>
        <v>830</v>
      </c>
      <c r="L1191" s="7">
        <f t="shared" si="475"/>
        <v>910</v>
      </c>
      <c r="M1191" s="196">
        <f t="shared" si="469"/>
        <v>1833</v>
      </c>
      <c r="N1191" s="36"/>
      <c r="O1191" s="191">
        <f t="shared" si="476"/>
        <v>65</v>
      </c>
      <c r="P1191" s="36">
        <f t="shared" si="470"/>
        <v>554000</v>
      </c>
      <c r="Q1191" s="36">
        <f t="shared" si="471"/>
        <v>611000</v>
      </c>
      <c r="R1191" s="7">
        <f t="shared" si="472"/>
        <v>-3573</v>
      </c>
      <c r="S1191" s="227">
        <f t="shared" si="477"/>
        <v>53427</v>
      </c>
      <c r="T1191" s="248">
        <f t="shared" si="478"/>
        <v>9.6438628158844769E-2</v>
      </c>
      <c r="U1191" s="9">
        <f t="shared" si="473"/>
        <v>0.54153998889197441</v>
      </c>
      <c r="V1191" s="6"/>
    </row>
    <row r="1192" spans="2:22" s="33" customFormat="1" ht="15" customHeight="1" x14ac:dyDescent="0.4">
      <c r="B1192" s="38" t="s">
        <v>456</v>
      </c>
      <c r="C1192" s="6" t="s">
        <v>162</v>
      </c>
      <c r="D1192" s="6"/>
      <c r="E1192" s="36">
        <v>30</v>
      </c>
      <c r="F1192" s="212">
        <v>22200</v>
      </c>
      <c r="G1192" s="195">
        <v>43468</v>
      </c>
      <c r="H1192" s="8"/>
      <c r="I1192" s="212">
        <v>30550</v>
      </c>
      <c r="J1192" s="8">
        <v>43504</v>
      </c>
      <c r="K1192" s="7">
        <f t="shared" si="474"/>
        <v>990</v>
      </c>
      <c r="L1192" s="7">
        <f t="shared" si="475"/>
        <v>1370</v>
      </c>
      <c r="M1192" s="196">
        <f t="shared" si="469"/>
        <v>2749.5</v>
      </c>
      <c r="N1192" s="36"/>
      <c r="O1192" s="191">
        <f t="shared" si="476"/>
        <v>37</v>
      </c>
      <c r="P1192" s="36">
        <f t="shared" si="470"/>
        <v>666000</v>
      </c>
      <c r="Q1192" s="36">
        <f t="shared" si="471"/>
        <v>916500</v>
      </c>
      <c r="R1192" s="7">
        <f t="shared" si="472"/>
        <v>-5109.5</v>
      </c>
      <c r="S1192" s="227">
        <f t="shared" si="477"/>
        <v>245390.5</v>
      </c>
      <c r="T1192" s="248">
        <f t="shared" si="478"/>
        <v>0.36845420420420422</v>
      </c>
      <c r="U1192" s="9">
        <f t="shared" si="473"/>
        <v>3.6347509333657984</v>
      </c>
      <c r="V1192" s="6"/>
    </row>
    <row r="1193" spans="2:22" s="33" customFormat="1" ht="15" customHeight="1" x14ac:dyDescent="0.4">
      <c r="B1193" s="38" t="s">
        <v>457</v>
      </c>
      <c r="C1193" s="6" t="s">
        <v>187</v>
      </c>
      <c r="D1193" s="6"/>
      <c r="E1193" s="36">
        <v>10</v>
      </c>
      <c r="F1193" s="212">
        <v>99800</v>
      </c>
      <c r="G1193" s="195">
        <v>42020</v>
      </c>
      <c r="H1193" s="8"/>
      <c r="I1193" s="212">
        <v>125000</v>
      </c>
      <c r="J1193" s="8">
        <v>42065</v>
      </c>
      <c r="K1193" s="7">
        <f>ROUNDDOWN(E1193*F1193*0.00015,-1)</f>
        <v>140</v>
      </c>
      <c r="L1193" s="7">
        <f>ROUNDDOWN(I1193*E1193*0.00015,-1)</f>
        <v>180</v>
      </c>
      <c r="M1193" s="196">
        <f t="shared" si="469"/>
        <v>3750</v>
      </c>
      <c r="N1193" s="36"/>
      <c r="O1193" s="191">
        <f t="shared" si="476"/>
        <v>46</v>
      </c>
      <c r="P1193" s="36">
        <f t="shared" si="470"/>
        <v>998000</v>
      </c>
      <c r="Q1193" s="36">
        <f t="shared" si="471"/>
        <v>1250000</v>
      </c>
      <c r="R1193" s="7">
        <f t="shared" si="472"/>
        <v>-4070</v>
      </c>
      <c r="S1193" s="227">
        <f t="shared" si="477"/>
        <v>247930</v>
      </c>
      <c r="T1193" s="248">
        <f t="shared" si="478"/>
        <v>0.24842685370741482</v>
      </c>
      <c r="U1193" s="9">
        <f t="shared" si="473"/>
        <v>1.9712130783305741</v>
      </c>
      <c r="V1193" s="6"/>
    </row>
    <row r="1194" spans="2:22" s="33" customFormat="1" ht="15" customHeight="1" x14ac:dyDescent="0.4">
      <c r="B1194" s="38" t="s">
        <v>139</v>
      </c>
      <c r="C1194" s="6" t="s">
        <v>122</v>
      </c>
      <c r="D1194" s="6">
        <f t="shared" ref="D1194:D1211" si="479">IF(OR($C1194="신한",$C1194="OTC",$C1194="무상증자(신한)",$C1194="토스",$C1194="R토스"),1,"확인")</f>
        <v>1</v>
      </c>
      <c r="E1194" s="34">
        <v>30</v>
      </c>
      <c r="F1194" s="212">
        <v>188900</v>
      </c>
      <c r="G1194" s="195">
        <v>45813</v>
      </c>
      <c r="H1194" s="33" t="s">
        <v>113</v>
      </c>
      <c r="I1194" s="212">
        <v>197500</v>
      </c>
      <c r="J1194" s="8">
        <v>45817</v>
      </c>
      <c r="K1194" s="23">
        <f t="shared" ref="K1194:K1211" si="480">IF($C1194="OTC",ROUNDDOWN($E1194*$F1194*0.000909187,-1),(IF($C1194="신한",ROUNDDOWN($E1194*$F1194*0.000036396,-1),(IF($C1194="토스",$E1194*$F1194*0.00015,(IF($C1194="US",(IF($E1194*$F1194*0.0025&gt;0.01,$E1194*$F1194*0.0025,0.01)),IF($C1194="JP",(IF($E1194*$F1194*0.0025&gt;1000,$E1194*$F1194*0.0025,1000)),(IF($C1194="R토스",0,IF($C1194="무상증자(신한)",0,"")))))))))))</f>
        <v>850.05</v>
      </c>
      <c r="L1194" s="23">
        <f t="shared" ref="L1194:L1211" si="481">IF($C1194="OTC",ROUNDDOWN($I1194*$E1194*0.000909187,-1),(IF($C1194="신한",ROUNDDOWN($I1194*$E1194*0.000036396,-1),(IF($C1194="토스",$I1194*$E1194*0.00015,(IF($C1194="US",(IF($I1194*$E1194*0.0025&gt;0.01,$I1194*$E1194*0.0025,0.01)),(IF($C1194="JP",(IF($I1194*$E1194*0.0025&gt;1000,$I1194*$E1194*0.0025,1000)),(IF($C1194="R토스",$I1194*$E1194*0.00015,(IF($C1194="무상증자(신한)",ROUNDDOWN($I1194*$E1194*0.000036396,-1),"")))))))))))))</f>
        <v>888.74999999999989</v>
      </c>
      <c r="M1194" s="206">
        <f>Q1194*0.0015</f>
        <v>8887.5</v>
      </c>
      <c r="N1194" s="34"/>
      <c r="O1194" s="209">
        <f t="shared" si="476"/>
        <v>5</v>
      </c>
      <c r="P1194" s="34">
        <f t="shared" ref="P1194:P1211" si="482">$E1194*$F1194*$D1194</f>
        <v>5667000</v>
      </c>
      <c r="Q1194" s="34">
        <f t="shared" ref="Q1194:Q1211" si="483">$E1194*$I1194*$D1194</f>
        <v>5925000</v>
      </c>
      <c r="R1194" s="7">
        <f t="shared" ref="R1194:R1211" si="484">($N1194-$K1194-$L1194-$M1194)*$D1194</f>
        <v>-10626.3</v>
      </c>
      <c r="S1194" s="227">
        <f t="shared" si="477"/>
        <v>247373.7</v>
      </c>
      <c r="T1194" s="249">
        <f t="shared" si="478"/>
        <v>4.3651614610905241E-2</v>
      </c>
      <c r="V1194" s="36">
        <f>+P1194*0.05*O1194/365</f>
        <v>3881.5068493150684</v>
      </c>
    </row>
    <row r="1195" spans="2:22" s="33" customFormat="1" ht="15" customHeight="1" x14ac:dyDescent="0.4">
      <c r="B1195" s="38" t="s">
        <v>139</v>
      </c>
      <c r="C1195" s="6" t="s">
        <v>160</v>
      </c>
      <c r="D1195" s="6">
        <f t="shared" si="479"/>
        <v>1</v>
      </c>
      <c r="E1195" s="34">
        <v>2</v>
      </c>
      <c r="F1195" s="212">
        <v>200000</v>
      </c>
      <c r="G1195" s="195">
        <v>45085</v>
      </c>
      <c r="H1195" s="8"/>
      <c r="I1195" s="212">
        <v>253500</v>
      </c>
      <c r="J1195" s="8">
        <v>45341</v>
      </c>
      <c r="K1195" s="23">
        <f t="shared" si="480"/>
        <v>10</v>
      </c>
      <c r="L1195" s="23">
        <f t="shared" si="481"/>
        <v>10</v>
      </c>
      <c r="M1195" s="206">
        <f>Q1195*0.0018</f>
        <v>912.6</v>
      </c>
      <c r="N1195" s="34">
        <f>1500*2+1500*2</f>
        <v>6000</v>
      </c>
      <c r="O1195" s="40">
        <f t="shared" si="476"/>
        <v>257</v>
      </c>
      <c r="P1195" s="34">
        <f t="shared" si="482"/>
        <v>400000</v>
      </c>
      <c r="Q1195" s="34">
        <f t="shared" si="483"/>
        <v>507000</v>
      </c>
      <c r="R1195" s="7">
        <f t="shared" si="484"/>
        <v>5067.3999999999996</v>
      </c>
      <c r="S1195" s="227">
        <f t="shared" si="477"/>
        <v>112067.4</v>
      </c>
      <c r="T1195" s="249">
        <f t="shared" si="478"/>
        <v>0.28016849999999999</v>
      </c>
    </row>
    <row r="1196" spans="2:22" s="33" customFormat="1" ht="15" customHeight="1" x14ac:dyDescent="0.4">
      <c r="B1196" s="38" t="s">
        <v>139</v>
      </c>
      <c r="C1196" s="6" t="s">
        <v>160</v>
      </c>
      <c r="D1196" s="6">
        <f t="shared" si="479"/>
        <v>1</v>
      </c>
      <c r="E1196" s="34">
        <v>2</v>
      </c>
      <c r="F1196" s="212">
        <v>198700</v>
      </c>
      <c r="G1196" s="195">
        <v>45098</v>
      </c>
      <c r="H1196" s="8"/>
      <c r="I1196" s="212">
        <v>253500</v>
      </c>
      <c r="J1196" s="8">
        <v>45341</v>
      </c>
      <c r="K1196" s="23">
        <f t="shared" si="480"/>
        <v>10</v>
      </c>
      <c r="L1196" s="23">
        <f t="shared" si="481"/>
        <v>10</v>
      </c>
      <c r="M1196" s="206">
        <f>Q1196*0.0018</f>
        <v>912.6</v>
      </c>
      <c r="N1196" s="34">
        <f>1500*2+1500*2</f>
        <v>6000</v>
      </c>
      <c r="O1196" s="40">
        <f t="shared" si="476"/>
        <v>244</v>
      </c>
      <c r="P1196" s="34">
        <f t="shared" si="482"/>
        <v>397400</v>
      </c>
      <c r="Q1196" s="34">
        <f t="shared" si="483"/>
        <v>507000</v>
      </c>
      <c r="R1196" s="7">
        <f t="shared" si="484"/>
        <v>5067.3999999999996</v>
      </c>
      <c r="S1196" s="227">
        <f t="shared" si="477"/>
        <v>114667.4</v>
      </c>
      <c r="T1196" s="249">
        <f t="shared" si="478"/>
        <v>0.28854403623553093</v>
      </c>
    </row>
    <row r="1197" spans="2:22" s="33" customFormat="1" ht="15" customHeight="1" x14ac:dyDescent="0.4">
      <c r="B1197" s="38" t="s">
        <v>139</v>
      </c>
      <c r="C1197" s="6" t="s">
        <v>160</v>
      </c>
      <c r="D1197" s="6">
        <f t="shared" si="479"/>
        <v>1</v>
      </c>
      <c r="E1197" s="34">
        <v>9</v>
      </c>
      <c r="F1197" s="212">
        <v>209333</v>
      </c>
      <c r="G1197" s="195">
        <v>45630</v>
      </c>
      <c r="H1197" s="8"/>
      <c r="I1197" s="212">
        <v>225000</v>
      </c>
      <c r="J1197" s="8">
        <v>45667</v>
      </c>
      <c r="K1197" s="23">
        <f t="shared" si="480"/>
        <v>60</v>
      </c>
      <c r="L1197" s="23">
        <f t="shared" si="481"/>
        <v>70</v>
      </c>
      <c r="M1197" s="206">
        <f t="shared" ref="M1197:M1211" si="485">Q1197*0.0015</f>
        <v>3037.5</v>
      </c>
      <c r="N1197" s="34"/>
      <c r="O1197" s="40">
        <f t="shared" si="476"/>
        <v>38</v>
      </c>
      <c r="P1197" s="34">
        <f t="shared" si="482"/>
        <v>1883997</v>
      </c>
      <c r="Q1197" s="34">
        <f t="shared" si="483"/>
        <v>2025000</v>
      </c>
      <c r="R1197" s="7">
        <f t="shared" si="484"/>
        <v>-3167.5</v>
      </c>
      <c r="S1197" s="227">
        <f t="shared" si="477"/>
        <v>137835.5</v>
      </c>
      <c r="T1197" s="249">
        <f t="shared" si="478"/>
        <v>7.3161209917000924E-2</v>
      </c>
    </row>
    <row r="1198" spans="2:22" ht="15" customHeight="1" x14ac:dyDescent="0.4">
      <c r="B1198" s="38" t="s">
        <v>139</v>
      </c>
      <c r="C1198" s="6" t="s">
        <v>160</v>
      </c>
      <c r="D1198" s="6">
        <f t="shared" si="479"/>
        <v>1</v>
      </c>
      <c r="E1198" s="34">
        <v>5</v>
      </c>
      <c r="F1198" s="212">
        <v>205600</v>
      </c>
      <c r="G1198" s="195">
        <v>45631</v>
      </c>
      <c r="H1198" s="8"/>
      <c r="I1198" s="212">
        <v>225000</v>
      </c>
      <c r="J1198" s="8">
        <v>45667</v>
      </c>
      <c r="K1198" s="23">
        <f t="shared" si="480"/>
        <v>30</v>
      </c>
      <c r="L1198" s="23">
        <f t="shared" si="481"/>
        <v>40</v>
      </c>
      <c r="M1198" s="206">
        <f t="shared" si="485"/>
        <v>1687.5</v>
      </c>
      <c r="N1198" s="34"/>
      <c r="O1198" s="40">
        <f t="shared" si="476"/>
        <v>37</v>
      </c>
      <c r="P1198" s="34">
        <f t="shared" si="482"/>
        <v>1028000</v>
      </c>
      <c r="Q1198" s="34">
        <f t="shared" si="483"/>
        <v>1125000</v>
      </c>
      <c r="R1198" s="7">
        <f t="shared" si="484"/>
        <v>-1757.5</v>
      </c>
      <c r="S1198" s="227">
        <f t="shared" si="477"/>
        <v>95242.5</v>
      </c>
      <c r="T1198" s="249">
        <f t="shared" si="478"/>
        <v>9.2648346303501952E-2</v>
      </c>
      <c r="U1198" s="38"/>
      <c r="V1198" s="33"/>
    </row>
    <row r="1199" spans="2:22" ht="15" customHeight="1" x14ac:dyDescent="0.4">
      <c r="B1199" s="38" t="s">
        <v>139</v>
      </c>
      <c r="C1199" s="6" t="s">
        <v>160</v>
      </c>
      <c r="D1199" s="6">
        <f t="shared" si="479"/>
        <v>1</v>
      </c>
      <c r="E1199" s="34">
        <v>1</v>
      </c>
      <c r="F1199" s="212">
        <v>207000</v>
      </c>
      <c r="G1199" s="195">
        <v>45643</v>
      </c>
      <c r="H1199" s="8"/>
      <c r="I1199" s="212">
        <v>225000</v>
      </c>
      <c r="J1199" s="8">
        <v>45667</v>
      </c>
      <c r="K1199" s="23">
        <f t="shared" si="480"/>
        <v>0</v>
      </c>
      <c r="L1199" s="23">
        <f t="shared" si="481"/>
        <v>0</v>
      </c>
      <c r="M1199" s="206">
        <f t="shared" si="485"/>
        <v>337.5</v>
      </c>
      <c r="N1199" s="34"/>
      <c r="O1199" s="40">
        <f t="shared" si="476"/>
        <v>25</v>
      </c>
      <c r="P1199" s="34">
        <f t="shared" si="482"/>
        <v>207000</v>
      </c>
      <c r="Q1199" s="34">
        <f t="shared" si="483"/>
        <v>225000</v>
      </c>
      <c r="R1199" s="7">
        <f t="shared" si="484"/>
        <v>-337.5</v>
      </c>
      <c r="S1199" s="227">
        <f t="shared" si="477"/>
        <v>17662.5</v>
      </c>
      <c r="T1199" s="249">
        <f t="shared" si="478"/>
        <v>8.5326086956521732E-2</v>
      </c>
      <c r="U1199" s="38"/>
      <c r="V1199" s="33"/>
    </row>
    <row r="1200" spans="2:22" ht="15" customHeight="1" x14ac:dyDescent="0.4">
      <c r="B1200" s="38" t="s">
        <v>139</v>
      </c>
      <c r="C1200" s="6" t="s">
        <v>160</v>
      </c>
      <c r="D1200" s="6">
        <f t="shared" si="479"/>
        <v>1</v>
      </c>
      <c r="E1200" s="34">
        <v>2</v>
      </c>
      <c r="F1200" s="212">
        <v>196700</v>
      </c>
      <c r="G1200" s="195">
        <v>45726</v>
      </c>
      <c r="H1200" s="8"/>
      <c r="I1200" s="212">
        <v>221000</v>
      </c>
      <c r="J1200" s="8">
        <v>45833</v>
      </c>
      <c r="K1200" s="23">
        <f t="shared" si="480"/>
        <v>10</v>
      </c>
      <c r="L1200" s="23">
        <f t="shared" si="481"/>
        <v>10</v>
      </c>
      <c r="M1200" s="206">
        <f t="shared" si="485"/>
        <v>663</v>
      </c>
      <c r="N1200" s="34">
        <f t="shared" ref="N1200:N1211" si="486">E1200*2500*(1-0.154)</f>
        <v>4230</v>
      </c>
      <c r="O1200" s="209">
        <f t="shared" si="476"/>
        <v>108</v>
      </c>
      <c r="P1200" s="34">
        <f t="shared" si="482"/>
        <v>393400</v>
      </c>
      <c r="Q1200" s="34">
        <f t="shared" si="483"/>
        <v>442000</v>
      </c>
      <c r="R1200" s="7">
        <f t="shared" si="484"/>
        <v>3547</v>
      </c>
      <c r="S1200" s="227">
        <f t="shared" si="477"/>
        <v>52147</v>
      </c>
      <c r="T1200" s="249">
        <f t="shared" si="478"/>
        <v>0.13255465175394002</v>
      </c>
      <c r="U1200" s="38"/>
      <c r="V1200" s="33"/>
    </row>
    <row r="1201" spans="2:22" ht="15" customHeight="1" x14ac:dyDescent="0.4">
      <c r="B1201" s="38" t="s">
        <v>139</v>
      </c>
      <c r="C1201" s="6" t="s">
        <v>160</v>
      </c>
      <c r="D1201" s="6">
        <f t="shared" si="479"/>
        <v>1</v>
      </c>
      <c r="E1201" s="34">
        <v>2</v>
      </c>
      <c r="F1201" s="212">
        <v>193600</v>
      </c>
      <c r="G1201" s="195">
        <v>45750</v>
      </c>
      <c r="H1201" s="8"/>
      <c r="I1201" s="212">
        <v>221000</v>
      </c>
      <c r="J1201" s="8">
        <v>45833</v>
      </c>
      <c r="K1201" s="23">
        <f t="shared" si="480"/>
        <v>10</v>
      </c>
      <c r="L1201" s="23">
        <f t="shared" si="481"/>
        <v>10</v>
      </c>
      <c r="M1201" s="206">
        <f t="shared" si="485"/>
        <v>663</v>
      </c>
      <c r="N1201" s="34">
        <f t="shared" si="486"/>
        <v>4230</v>
      </c>
      <c r="O1201" s="209">
        <f t="shared" si="476"/>
        <v>84</v>
      </c>
      <c r="P1201" s="34">
        <f t="shared" si="482"/>
        <v>387200</v>
      </c>
      <c r="Q1201" s="34">
        <f t="shared" si="483"/>
        <v>442000</v>
      </c>
      <c r="R1201" s="7">
        <f t="shared" si="484"/>
        <v>3547</v>
      </c>
      <c r="S1201" s="227">
        <f t="shared" si="477"/>
        <v>58347</v>
      </c>
      <c r="T1201" s="249">
        <f t="shared" si="478"/>
        <v>0.15068956611570247</v>
      </c>
      <c r="U1201" s="38"/>
      <c r="V1201" s="33"/>
    </row>
    <row r="1202" spans="2:22" ht="15" customHeight="1" x14ac:dyDescent="0.4">
      <c r="B1202" s="38" t="s">
        <v>139</v>
      </c>
      <c r="C1202" s="6" t="s">
        <v>160</v>
      </c>
      <c r="D1202" s="6">
        <f t="shared" si="479"/>
        <v>1</v>
      </c>
      <c r="E1202" s="34">
        <v>2</v>
      </c>
      <c r="F1202" s="212">
        <v>194000</v>
      </c>
      <c r="G1202" s="195">
        <v>45751</v>
      </c>
      <c r="H1202" s="8"/>
      <c r="I1202" s="212">
        <v>221000</v>
      </c>
      <c r="J1202" s="8">
        <v>45833</v>
      </c>
      <c r="K1202" s="23">
        <f t="shared" si="480"/>
        <v>10</v>
      </c>
      <c r="L1202" s="23">
        <f t="shared" si="481"/>
        <v>10</v>
      </c>
      <c r="M1202" s="206">
        <f t="shared" si="485"/>
        <v>663</v>
      </c>
      <c r="N1202" s="34">
        <f t="shared" si="486"/>
        <v>4230</v>
      </c>
      <c r="O1202" s="209">
        <f t="shared" si="476"/>
        <v>83</v>
      </c>
      <c r="P1202" s="34">
        <f t="shared" si="482"/>
        <v>388000</v>
      </c>
      <c r="Q1202" s="34">
        <f t="shared" si="483"/>
        <v>442000</v>
      </c>
      <c r="R1202" s="7">
        <f t="shared" si="484"/>
        <v>3547</v>
      </c>
      <c r="S1202" s="227">
        <f t="shared" si="477"/>
        <v>57547</v>
      </c>
      <c r="T1202" s="249">
        <f t="shared" si="478"/>
        <v>0.14831701030927835</v>
      </c>
      <c r="U1202" s="38"/>
      <c r="V1202" s="33"/>
    </row>
    <row r="1203" spans="2:22" ht="15" customHeight="1" x14ac:dyDescent="0.4">
      <c r="B1203" s="38" t="s">
        <v>139</v>
      </c>
      <c r="C1203" s="6" t="s">
        <v>160</v>
      </c>
      <c r="D1203" s="6">
        <f t="shared" si="479"/>
        <v>1</v>
      </c>
      <c r="E1203" s="34">
        <v>2</v>
      </c>
      <c r="F1203" s="212">
        <v>180500</v>
      </c>
      <c r="G1203" s="195">
        <v>45754</v>
      </c>
      <c r="H1203" s="8"/>
      <c r="I1203" s="212">
        <v>221000</v>
      </c>
      <c r="J1203" s="8">
        <v>45833</v>
      </c>
      <c r="K1203" s="23">
        <f t="shared" si="480"/>
        <v>10</v>
      </c>
      <c r="L1203" s="23">
        <f t="shared" si="481"/>
        <v>10</v>
      </c>
      <c r="M1203" s="206">
        <f t="shared" si="485"/>
        <v>663</v>
      </c>
      <c r="N1203" s="34">
        <f t="shared" si="486"/>
        <v>4230</v>
      </c>
      <c r="O1203" s="209">
        <f t="shared" si="476"/>
        <v>80</v>
      </c>
      <c r="P1203" s="34">
        <f t="shared" si="482"/>
        <v>361000</v>
      </c>
      <c r="Q1203" s="34">
        <f t="shared" si="483"/>
        <v>442000</v>
      </c>
      <c r="R1203" s="7">
        <f t="shared" si="484"/>
        <v>3547</v>
      </c>
      <c r="S1203" s="227">
        <f t="shared" si="477"/>
        <v>84547</v>
      </c>
      <c r="T1203" s="249">
        <f t="shared" si="478"/>
        <v>0.23420221606648201</v>
      </c>
      <c r="U1203" s="38"/>
      <c r="V1203" s="33"/>
    </row>
    <row r="1204" spans="2:22" s="33" customFormat="1" ht="15" customHeight="1" x14ac:dyDescent="0.4">
      <c r="B1204" s="38" t="s">
        <v>139</v>
      </c>
      <c r="C1204" s="6" t="s">
        <v>160</v>
      </c>
      <c r="D1204" s="6">
        <f t="shared" si="479"/>
        <v>1</v>
      </c>
      <c r="E1204" s="34">
        <v>2</v>
      </c>
      <c r="F1204" s="212">
        <v>187100</v>
      </c>
      <c r="G1204" s="195">
        <v>45785</v>
      </c>
      <c r="H1204" s="8"/>
      <c r="I1204" s="212">
        <v>221000</v>
      </c>
      <c r="J1204" s="8">
        <v>45833</v>
      </c>
      <c r="K1204" s="23">
        <f t="shared" si="480"/>
        <v>10</v>
      </c>
      <c r="L1204" s="23">
        <f t="shared" si="481"/>
        <v>10</v>
      </c>
      <c r="M1204" s="206">
        <f t="shared" si="485"/>
        <v>663</v>
      </c>
      <c r="N1204" s="34">
        <f t="shared" si="486"/>
        <v>4230</v>
      </c>
      <c r="O1204" s="209">
        <f t="shared" si="476"/>
        <v>49</v>
      </c>
      <c r="P1204" s="34">
        <f t="shared" si="482"/>
        <v>374200</v>
      </c>
      <c r="Q1204" s="34">
        <f t="shared" si="483"/>
        <v>442000</v>
      </c>
      <c r="R1204" s="7">
        <f t="shared" si="484"/>
        <v>3547</v>
      </c>
      <c r="S1204" s="227">
        <f t="shared" si="477"/>
        <v>71347</v>
      </c>
      <c r="T1204" s="249">
        <f t="shared" si="478"/>
        <v>0.19066541956173169</v>
      </c>
    </row>
    <row r="1205" spans="2:22" s="33" customFormat="1" ht="15" customHeight="1" x14ac:dyDescent="0.4">
      <c r="B1205" s="38" t="s">
        <v>139</v>
      </c>
      <c r="C1205" s="6" t="s">
        <v>160</v>
      </c>
      <c r="D1205" s="6">
        <f t="shared" si="479"/>
        <v>1</v>
      </c>
      <c r="E1205" s="34">
        <v>3</v>
      </c>
      <c r="F1205" s="212">
        <v>189000</v>
      </c>
      <c r="G1205" s="195">
        <v>45798</v>
      </c>
      <c r="H1205" s="8"/>
      <c r="I1205" s="212">
        <v>221000</v>
      </c>
      <c r="J1205" s="8">
        <v>45833</v>
      </c>
      <c r="K1205" s="23">
        <f t="shared" si="480"/>
        <v>20</v>
      </c>
      <c r="L1205" s="23">
        <f t="shared" si="481"/>
        <v>20</v>
      </c>
      <c r="M1205" s="206">
        <f t="shared" si="485"/>
        <v>994.5</v>
      </c>
      <c r="N1205" s="34">
        <f t="shared" si="486"/>
        <v>6345</v>
      </c>
      <c r="O1205" s="209">
        <f t="shared" si="476"/>
        <v>36</v>
      </c>
      <c r="P1205" s="34">
        <f t="shared" si="482"/>
        <v>567000</v>
      </c>
      <c r="Q1205" s="34">
        <f t="shared" si="483"/>
        <v>663000</v>
      </c>
      <c r="R1205" s="7">
        <f t="shared" si="484"/>
        <v>5310.5</v>
      </c>
      <c r="S1205" s="227">
        <f t="shared" si="477"/>
        <v>101310.5</v>
      </c>
      <c r="T1205" s="249">
        <f t="shared" si="478"/>
        <v>0.17867813051146383</v>
      </c>
    </row>
    <row r="1206" spans="2:22" s="33" customFormat="1" ht="15" customHeight="1" x14ac:dyDescent="0.4">
      <c r="B1206" s="38" t="s">
        <v>139</v>
      </c>
      <c r="C1206" s="6" t="s">
        <v>160</v>
      </c>
      <c r="D1206" s="6">
        <f t="shared" si="479"/>
        <v>1</v>
      </c>
      <c r="E1206" s="34">
        <v>3</v>
      </c>
      <c r="F1206" s="212">
        <v>182000</v>
      </c>
      <c r="G1206" s="195">
        <v>45799</v>
      </c>
      <c r="H1206" s="8"/>
      <c r="I1206" s="212">
        <v>221000</v>
      </c>
      <c r="J1206" s="8">
        <v>45833</v>
      </c>
      <c r="K1206" s="23">
        <f t="shared" si="480"/>
        <v>10</v>
      </c>
      <c r="L1206" s="23">
        <f t="shared" si="481"/>
        <v>20</v>
      </c>
      <c r="M1206" s="206">
        <f t="shared" si="485"/>
        <v>994.5</v>
      </c>
      <c r="N1206" s="34">
        <f t="shared" si="486"/>
        <v>6345</v>
      </c>
      <c r="O1206" s="209">
        <f t="shared" si="476"/>
        <v>35</v>
      </c>
      <c r="P1206" s="34">
        <f t="shared" si="482"/>
        <v>546000</v>
      </c>
      <c r="Q1206" s="34">
        <f t="shared" si="483"/>
        <v>663000</v>
      </c>
      <c r="R1206" s="7">
        <f t="shared" si="484"/>
        <v>5320.5</v>
      </c>
      <c r="S1206" s="227">
        <f t="shared" si="477"/>
        <v>122320.5</v>
      </c>
      <c r="T1206" s="249">
        <f t="shared" si="478"/>
        <v>0.22403021978021978</v>
      </c>
    </row>
    <row r="1207" spans="2:22" s="33" customFormat="1" ht="15" customHeight="1" x14ac:dyDescent="0.4">
      <c r="B1207" s="38" t="s">
        <v>139</v>
      </c>
      <c r="C1207" s="6" t="s">
        <v>160</v>
      </c>
      <c r="D1207" s="6">
        <f t="shared" si="479"/>
        <v>1</v>
      </c>
      <c r="E1207" s="34">
        <v>2</v>
      </c>
      <c r="F1207" s="212">
        <v>179500</v>
      </c>
      <c r="G1207" s="195">
        <v>45800</v>
      </c>
      <c r="H1207" s="8"/>
      <c r="I1207" s="212">
        <v>221000</v>
      </c>
      <c r="J1207" s="8">
        <v>45833</v>
      </c>
      <c r="K1207" s="23">
        <f t="shared" si="480"/>
        <v>10</v>
      </c>
      <c r="L1207" s="23">
        <f t="shared" si="481"/>
        <v>10</v>
      </c>
      <c r="M1207" s="206">
        <f t="shared" si="485"/>
        <v>663</v>
      </c>
      <c r="N1207" s="34">
        <f t="shared" si="486"/>
        <v>4230</v>
      </c>
      <c r="O1207" s="209">
        <f t="shared" si="476"/>
        <v>34</v>
      </c>
      <c r="P1207" s="34">
        <f t="shared" si="482"/>
        <v>359000</v>
      </c>
      <c r="Q1207" s="34">
        <f t="shared" si="483"/>
        <v>442000</v>
      </c>
      <c r="R1207" s="7">
        <f t="shared" si="484"/>
        <v>3547</v>
      </c>
      <c r="S1207" s="227">
        <f t="shared" si="477"/>
        <v>86547</v>
      </c>
      <c r="T1207" s="249">
        <f t="shared" si="478"/>
        <v>0.24107799442896935</v>
      </c>
    </row>
    <row r="1208" spans="2:22" s="33" customFormat="1" ht="15" customHeight="1" x14ac:dyDescent="0.4">
      <c r="B1208" s="38" t="s">
        <v>139</v>
      </c>
      <c r="C1208" s="6" t="s">
        <v>160</v>
      </c>
      <c r="D1208" s="6">
        <f t="shared" si="479"/>
        <v>1</v>
      </c>
      <c r="E1208" s="34">
        <v>10</v>
      </c>
      <c r="F1208" s="212">
        <v>213500</v>
      </c>
      <c r="G1208" s="195">
        <v>45833</v>
      </c>
      <c r="H1208" s="8"/>
      <c r="I1208" s="212">
        <v>222000</v>
      </c>
      <c r="J1208" s="8">
        <v>45868</v>
      </c>
      <c r="K1208" s="23">
        <f t="shared" si="480"/>
        <v>70</v>
      </c>
      <c r="L1208" s="23">
        <f t="shared" si="481"/>
        <v>80</v>
      </c>
      <c r="M1208" s="206">
        <f t="shared" si="485"/>
        <v>3330</v>
      </c>
      <c r="N1208" s="34">
        <f t="shared" si="486"/>
        <v>21150</v>
      </c>
      <c r="O1208" s="209">
        <f t="shared" si="476"/>
        <v>36</v>
      </c>
      <c r="P1208" s="34">
        <f t="shared" si="482"/>
        <v>2135000</v>
      </c>
      <c r="Q1208" s="34">
        <f t="shared" si="483"/>
        <v>2220000</v>
      </c>
      <c r="R1208" s="7">
        <f t="shared" si="484"/>
        <v>17670</v>
      </c>
      <c r="S1208" s="227">
        <f t="shared" si="477"/>
        <v>102670</v>
      </c>
      <c r="T1208" s="249">
        <f t="shared" si="478"/>
        <v>4.8088992974238874E-2</v>
      </c>
    </row>
    <row r="1209" spans="2:22" s="33" customFormat="1" ht="15" customHeight="1" x14ac:dyDescent="0.4">
      <c r="B1209" s="38" t="s">
        <v>139</v>
      </c>
      <c r="C1209" s="6" t="s">
        <v>160</v>
      </c>
      <c r="D1209" s="6">
        <f t="shared" si="479"/>
        <v>1</v>
      </c>
      <c r="E1209" s="34">
        <v>4</v>
      </c>
      <c r="F1209" s="212">
        <v>211000</v>
      </c>
      <c r="G1209" s="195">
        <v>45834</v>
      </c>
      <c r="H1209" s="8"/>
      <c r="I1209" s="212">
        <v>222000</v>
      </c>
      <c r="J1209" s="8">
        <v>45868</v>
      </c>
      <c r="K1209" s="23">
        <f t="shared" si="480"/>
        <v>30</v>
      </c>
      <c r="L1209" s="23">
        <f t="shared" si="481"/>
        <v>30</v>
      </c>
      <c r="M1209" s="206">
        <f t="shared" si="485"/>
        <v>1332</v>
      </c>
      <c r="N1209" s="34">
        <f t="shared" si="486"/>
        <v>8460</v>
      </c>
      <c r="O1209" s="209">
        <f t="shared" si="476"/>
        <v>35</v>
      </c>
      <c r="P1209" s="34">
        <f t="shared" si="482"/>
        <v>844000</v>
      </c>
      <c r="Q1209" s="34">
        <f t="shared" si="483"/>
        <v>888000</v>
      </c>
      <c r="R1209" s="7">
        <f t="shared" si="484"/>
        <v>7068</v>
      </c>
      <c r="S1209" s="227">
        <f t="shared" si="477"/>
        <v>51068</v>
      </c>
      <c r="T1209" s="249">
        <f t="shared" si="478"/>
        <v>6.0507109004739337E-2</v>
      </c>
    </row>
    <row r="1210" spans="2:22" s="33" customFormat="1" ht="15" customHeight="1" x14ac:dyDescent="0.4">
      <c r="B1210" s="38" t="s">
        <v>139</v>
      </c>
      <c r="C1210" s="6" t="s">
        <v>160</v>
      </c>
      <c r="D1210" s="6">
        <f t="shared" si="479"/>
        <v>1</v>
      </c>
      <c r="E1210" s="34">
        <v>2</v>
      </c>
      <c r="F1210" s="212">
        <v>208000</v>
      </c>
      <c r="G1210" s="195">
        <v>45834</v>
      </c>
      <c r="H1210" s="8"/>
      <c r="I1210" s="212">
        <v>222000</v>
      </c>
      <c r="J1210" s="8">
        <v>45868</v>
      </c>
      <c r="K1210" s="23">
        <f t="shared" si="480"/>
        <v>10</v>
      </c>
      <c r="L1210" s="23">
        <f t="shared" si="481"/>
        <v>10</v>
      </c>
      <c r="M1210" s="206">
        <f t="shared" si="485"/>
        <v>666</v>
      </c>
      <c r="N1210" s="34">
        <f t="shared" si="486"/>
        <v>4230</v>
      </c>
      <c r="O1210" s="209">
        <f t="shared" si="476"/>
        <v>35</v>
      </c>
      <c r="P1210" s="34">
        <f t="shared" si="482"/>
        <v>416000</v>
      </c>
      <c r="Q1210" s="34">
        <f t="shared" si="483"/>
        <v>444000</v>
      </c>
      <c r="R1210" s="7">
        <f t="shared" si="484"/>
        <v>3544</v>
      </c>
      <c r="S1210" s="227">
        <f t="shared" si="477"/>
        <v>31544</v>
      </c>
      <c r="T1210" s="249">
        <f t="shared" si="478"/>
        <v>7.5826923076923083E-2</v>
      </c>
    </row>
    <row r="1211" spans="2:22" s="33" customFormat="1" ht="15" customHeight="1" x14ac:dyDescent="0.4">
      <c r="B1211" s="38" t="s">
        <v>139</v>
      </c>
      <c r="C1211" s="6" t="s">
        <v>160</v>
      </c>
      <c r="D1211" s="6">
        <f t="shared" si="479"/>
        <v>1</v>
      </c>
      <c r="E1211" s="34">
        <v>2</v>
      </c>
      <c r="F1211" s="212">
        <v>204000</v>
      </c>
      <c r="G1211" s="195">
        <v>45835</v>
      </c>
      <c r="H1211" s="8"/>
      <c r="I1211" s="212">
        <v>222000</v>
      </c>
      <c r="J1211" s="8">
        <v>45868</v>
      </c>
      <c r="K1211" s="23">
        <f t="shared" si="480"/>
        <v>10</v>
      </c>
      <c r="L1211" s="23">
        <f t="shared" si="481"/>
        <v>10</v>
      </c>
      <c r="M1211" s="206">
        <f t="shared" si="485"/>
        <v>666</v>
      </c>
      <c r="N1211" s="34">
        <f t="shared" si="486"/>
        <v>4230</v>
      </c>
      <c r="O1211" s="209">
        <f t="shared" si="476"/>
        <v>34</v>
      </c>
      <c r="P1211" s="34">
        <f t="shared" si="482"/>
        <v>408000</v>
      </c>
      <c r="Q1211" s="34">
        <f t="shared" si="483"/>
        <v>444000</v>
      </c>
      <c r="R1211" s="7">
        <f t="shared" si="484"/>
        <v>3544</v>
      </c>
      <c r="S1211" s="227">
        <f t="shared" si="477"/>
        <v>39544</v>
      </c>
      <c r="T1211" s="249">
        <f t="shared" si="478"/>
        <v>9.692156862745098E-2</v>
      </c>
    </row>
    <row r="1212" spans="2:22" s="33" customFormat="1" ht="15" customHeight="1" x14ac:dyDescent="0.4">
      <c r="B1212" s="38" t="s">
        <v>458</v>
      </c>
      <c r="C1212" s="6" t="s">
        <v>162</v>
      </c>
      <c r="D1212" s="6"/>
      <c r="E1212" s="36">
        <v>10</v>
      </c>
      <c r="F1212" s="212">
        <v>60100</v>
      </c>
      <c r="G1212" s="195">
        <v>42580</v>
      </c>
      <c r="H1212" s="8"/>
      <c r="I1212" s="212">
        <v>60500</v>
      </c>
      <c r="J1212" s="8">
        <v>42592</v>
      </c>
      <c r="K1212" s="7">
        <f>ROUNDDOWN(E1212*F1212*0.0015,-1)</f>
        <v>900</v>
      </c>
      <c r="L1212" s="7">
        <f>ROUNDDOWN(I1212*E1212*0.0015,-1)</f>
        <v>900</v>
      </c>
      <c r="M1212" s="196">
        <f>I1212*E1212*0.003</f>
        <v>1815</v>
      </c>
      <c r="N1212" s="36"/>
      <c r="O1212" s="191">
        <f t="shared" si="476"/>
        <v>13</v>
      </c>
      <c r="P1212" s="36">
        <f>F1212*E1212</f>
        <v>601000</v>
      </c>
      <c r="Q1212" s="36">
        <f>I1212*E1212</f>
        <v>605000</v>
      </c>
      <c r="R1212" s="7">
        <f>N1212-K1212-L1212-M1212</f>
        <v>-3615</v>
      </c>
      <c r="S1212" s="227">
        <f t="shared" si="477"/>
        <v>385</v>
      </c>
      <c r="T1212" s="248">
        <f t="shared" si="478"/>
        <v>6.4059900166389347E-4</v>
      </c>
      <c r="U1212" s="9">
        <f>T1212*365/O1212</f>
        <v>1.7986048892870855E-2</v>
      </c>
      <c r="V1212" s="6"/>
    </row>
    <row r="1213" spans="2:22" s="33" customFormat="1" ht="15" customHeight="1" x14ac:dyDescent="0.4">
      <c r="B1213" s="38" t="s">
        <v>459</v>
      </c>
      <c r="C1213" s="6" t="s">
        <v>162</v>
      </c>
      <c r="D1213" s="6"/>
      <c r="E1213" s="36">
        <v>150</v>
      </c>
      <c r="F1213" s="212">
        <v>9400</v>
      </c>
      <c r="G1213" s="195">
        <v>42639</v>
      </c>
      <c r="H1213" s="8"/>
      <c r="I1213" s="212">
        <v>9850</v>
      </c>
      <c r="J1213" s="8">
        <v>42647</v>
      </c>
      <c r="K1213" s="7">
        <f>ROUNDDOWN(E1213*F1213*0.0015,-1)</f>
        <v>2110</v>
      </c>
      <c r="L1213" s="7">
        <f>ROUNDDOWN(I1213*E1213*0.0015,-1)</f>
        <v>2210</v>
      </c>
      <c r="M1213" s="196">
        <f>I1213*E1213*0.003</f>
        <v>4432.5</v>
      </c>
      <c r="N1213" s="36"/>
      <c r="O1213" s="191">
        <f t="shared" si="476"/>
        <v>9</v>
      </c>
      <c r="P1213" s="36">
        <f>F1213*E1213</f>
        <v>1410000</v>
      </c>
      <c r="Q1213" s="36">
        <f>I1213*E1213</f>
        <v>1477500</v>
      </c>
      <c r="R1213" s="7">
        <f>N1213-K1213-L1213-M1213</f>
        <v>-8752.5</v>
      </c>
      <c r="S1213" s="227">
        <f t="shared" si="477"/>
        <v>58747.5</v>
      </c>
      <c r="T1213" s="248">
        <f t="shared" si="478"/>
        <v>4.1664893617021276E-2</v>
      </c>
      <c r="U1213" s="9">
        <f>T1213*365/O1213</f>
        <v>1.6897429078014183</v>
      </c>
      <c r="V1213" s="6"/>
    </row>
    <row r="1214" spans="2:22" s="33" customFormat="1" ht="15" customHeight="1" x14ac:dyDescent="0.4">
      <c r="B1214" s="38" t="s">
        <v>459</v>
      </c>
      <c r="C1214" s="6" t="s">
        <v>162</v>
      </c>
      <c r="D1214" s="6"/>
      <c r="E1214" s="36">
        <v>150</v>
      </c>
      <c r="F1214" s="212">
        <v>9400</v>
      </c>
      <c r="G1214" s="195">
        <v>42639</v>
      </c>
      <c r="H1214" s="8"/>
      <c r="I1214" s="212">
        <v>9800</v>
      </c>
      <c r="J1214" s="8">
        <v>42657</v>
      </c>
      <c r="K1214" s="7">
        <f>ROUNDDOWN(E1214*F1214*0.0015,-1)</f>
        <v>2110</v>
      </c>
      <c r="L1214" s="7">
        <f>ROUNDDOWN(I1214*E1214*0.0015,-1)</f>
        <v>2200</v>
      </c>
      <c r="M1214" s="196">
        <f>I1214*E1214*0.003</f>
        <v>4410</v>
      </c>
      <c r="N1214" s="36"/>
      <c r="O1214" s="191">
        <f t="shared" si="476"/>
        <v>19</v>
      </c>
      <c r="P1214" s="36">
        <f>F1214*E1214</f>
        <v>1410000</v>
      </c>
      <c r="Q1214" s="36">
        <f>I1214*E1214</f>
        <v>1470000</v>
      </c>
      <c r="R1214" s="7">
        <f>N1214-K1214-L1214-M1214</f>
        <v>-8720</v>
      </c>
      <c r="S1214" s="227">
        <f t="shared" si="477"/>
        <v>51280</v>
      </c>
      <c r="T1214" s="248">
        <f t="shared" si="478"/>
        <v>3.6368794326241134E-2</v>
      </c>
      <c r="U1214" s="9">
        <f>T1214*365/O1214</f>
        <v>0.69866368047779026</v>
      </c>
      <c r="V1214" s="6"/>
    </row>
    <row r="1215" spans="2:22" s="33" customFormat="1" ht="15" customHeight="1" x14ac:dyDescent="0.4">
      <c r="B1215" s="38" t="s">
        <v>136</v>
      </c>
      <c r="C1215" s="6" t="s">
        <v>122</v>
      </c>
      <c r="D1215" s="6">
        <f t="shared" ref="D1215:D1228" si="487">IF(OR($C1215="신한",$C1215="OTC",$C1215="무상증자(신한)",$C1215="토스",$C1215="R토스"),1,"확인")</f>
        <v>1</v>
      </c>
      <c r="E1215" s="34">
        <v>5</v>
      </c>
      <c r="F1215" s="212">
        <v>400000</v>
      </c>
      <c r="G1215" s="195">
        <v>45581</v>
      </c>
      <c r="H1215" s="8"/>
      <c r="I1215" s="212">
        <v>410000</v>
      </c>
      <c r="J1215" s="8">
        <v>45582</v>
      </c>
      <c r="K1215" s="23">
        <f t="shared" ref="K1215:K1225" si="488">IF($C1215="OTC",ROUNDDOWN($E1215*$F1215*0.000909187,-1),(IF($C1215="신한",ROUNDDOWN($E1215*$F1215*0.000036396,-1),(IF($C1215="토스",$E1215*$F1215*0.00015,(IF($C1215="US",(IF($E1215*$F1215*0.0025&gt;0.01,$E1215*$F1215*0.0025,0.01)),IF($C1215="JP",(IF($E1215*$F1215*0.0025&gt;1000,$E1215*$F1215*0.0025,1000)),(IF($C1215="R토스",0,IF($C1215="무상증자(신한)",0,"")))))))))))</f>
        <v>300</v>
      </c>
      <c r="L1215" s="23">
        <f t="shared" ref="L1215:L1228" si="489">IF($C1215="OTC",ROUNDDOWN($I1215*$E1215*0.000909187,-1),(IF($C1215="신한",ROUNDDOWN($I1215*$E1215*0.000036396,-1),(IF($C1215="토스",$I1215*$E1215*0.00015,(IF($C1215="US",(IF($I1215*$E1215*0.0025&gt;0.01,$I1215*$E1215*0.0025,0.01)),(IF($C1215="JP",(IF($I1215*$E1215*0.0025&gt;1000,$I1215*$E1215*0.0025,1000)),(IF($C1215="R토스",$I1215*$E1215*0.00015,(IF($C1215="무상증자(신한)",ROUNDDOWN($I1215*$E1215*0.000036396,-1),"")))))))))))))</f>
        <v>307.5</v>
      </c>
      <c r="M1215" s="206">
        <f>Q1215*0.0018</f>
        <v>3690</v>
      </c>
      <c r="N1215" s="34"/>
      <c r="O1215" s="209">
        <f t="shared" si="476"/>
        <v>2</v>
      </c>
      <c r="P1215" s="34">
        <f t="shared" ref="P1215:P1228" si="490">$E1215*$F1215*$D1215</f>
        <v>2000000</v>
      </c>
      <c r="Q1215" s="34">
        <f t="shared" ref="Q1215:Q1228" si="491">$E1215*$I1215*$D1215</f>
        <v>2050000</v>
      </c>
      <c r="R1215" s="7">
        <f t="shared" ref="R1215:R1228" si="492">($N1215-$K1215-$L1215-$M1215)*$D1215</f>
        <v>-4297.5</v>
      </c>
      <c r="S1215" s="227">
        <f t="shared" si="477"/>
        <v>45702.5</v>
      </c>
      <c r="T1215" s="249">
        <f t="shared" si="478"/>
        <v>2.285125E-2</v>
      </c>
    </row>
    <row r="1216" spans="2:22" s="33" customFormat="1" ht="15" customHeight="1" x14ac:dyDescent="0.4">
      <c r="B1216" s="38" t="s">
        <v>136</v>
      </c>
      <c r="C1216" s="6" t="s">
        <v>122</v>
      </c>
      <c r="D1216" s="6">
        <f t="shared" si="487"/>
        <v>1</v>
      </c>
      <c r="E1216" s="34">
        <v>5</v>
      </c>
      <c r="F1216" s="212">
        <v>398500</v>
      </c>
      <c r="G1216" s="195">
        <v>45586</v>
      </c>
      <c r="H1216" s="8"/>
      <c r="I1216" s="212">
        <v>418500</v>
      </c>
      <c r="J1216" s="8">
        <v>45597</v>
      </c>
      <c r="K1216" s="23">
        <f t="shared" si="488"/>
        <v>298.875</v>
      </c>
      <c r="L1216" s="23">
        <f t="shared" si="489"/>
        <v>313.875</v>
      </c>
      <c r="M1216" s="206">
        <f>Q1216*0.0018</f>
        <v>3766.5</v>
      </c>
      <c r="N1216" s="34"/>
      <c r="O1216" s="209">
        <f t="shared" si="476"/>
        <v>12</v>
      </c>
      <c r="P1216" s="34">
        <f t="shared" si="490"/>
        <v>1992500</v>
      </c>
      <c r="Q1216" s="34">
        <f t="shared" si="491"/>
        <v>2092500</v>
      </c>
      <c r="R1216" s="7">
        <f t="shared" si="492"/>
        <v>-4379.25</v>
      </c>
      <c r="S1216" s="227">
        <f t="shared" si="477"/>
        <v>95620.75</v>
      </c>
      <c r="T1216" s="249">
        <f t="shared" si="478"/>
        <v>4.7990338770388961E-2</v>
      </c>
    </row>
    <row r="1217" spans="2:22" s="33" customFormat="1" ht="15" customHeight="1" x14ac:dyDescent="0.4">
      <c r="B1217" s="38" t="s">
        <v>136</v>
      </c>
      <c r="C1217" s="6" t="s">
        <v>122</v>
      </c>
      <c r="D1217" s="6">
        <f t="shared" si="487"/>
        <v>1</v>
      </c>
      <c r="E1217" s="34">
        <v>2</v>
      </c>
      <c r="F1217" s="212">
        <v>421000</v>
      </c>
      <c r="G1217" s="195">
        <v>45670</v>
      </c>
      <c r="H1217" s="8"/>
      <c r="I1217" s="212">
        <v>436500</v>
      </c>
      <c r="J1217" s="8">
        <v>45672</v>
      </c>
      <c r="K1217" s="23">
        <f t="shared" si="488"/>
        <v>126.29999999999998</v>
      </c>
      <c r="L1217" s="23">
        <f t="shared" si="489"/>
        <v>130.94999999999999</v>
      </c>
      <c r="M1217" s="206">
        <f t="shared" ref="M1217:M1227" si="493">Q1217*0.0015</f>
        <v>1309.5</v>
      </c>
      <c r="N1217" s="34"/>
      <c r="O1217" s="209">
        <f t="shared" si="476"/>
        <v>3</v>
      </c>
      <c r="P1217" s="34">
        <f t="shared" si="490"/>
        <v>842000</v>
      </c>
      <c r="Q1217" s="34">
        <f t="shared" si="491"/>
        <v>873000</v>
      </c>
      <c r="R1217" s="7">
        <f t="shared" si="492"/>
        <v>-1566.75</v>
      </c>
      <c r="S1217" s="227">
        <f t="shared" si="477"/>
        <v>29433.25</v>
      </c>
      <c r="T1217" s="249">
        <f t="shared" si="478"/>
        <v>3.4956353919239902E-2</v>
      </c>
      <c r="U1217" s="38"/>
    </row>
    <row r="1218" spans="2:22" ht="15" customHeight="1" x14ac:dyDescent="0.4">
      <c r="B1218" s="38" t="s">
        <v>136</v>
      </c>
      <c r="C1218" s="6" t="s">
        <v>122</v>
      </c>
      <c r="D1218" s="6">
        <f t="shared" si="487"/>
        <v>1</v>
      </c>
      <c r="E1218" s="34">
        <v>2</v>
      </c>
      <c r="F1218" s="212">
        <v>650000</v>
      </c>
      <c r="G1218" s="195">
        <v>45812</v>
      </c>
      <c r="H1218" s="33" t="s">
        <v>113</v>
      </c>
      <c r="I1218" s="212">
        <v>651000</v>
      </c>
      <c r="J1218" s="8">
        <v>45813</v>
      </c>
      <c r="K1218" s="23">
        <f t="shared" si="488"/>
        <v>194.99999999999997</v>
      </c>
      <c r="L1218" s="23">
        <f t="shared" si="489"/>
        <v>195.29999999999998</v>
      </c>
      <c r="M1218" s="206">
        <f t="shared" si="493"/>
        <v>1953</v>
      </c>
      <c r="N1218" s="34"/>
      <c r="O1218" s="209">
        <f t="shared" si="476"/>
        <v>2</v>
      </c>
      <c r="P1218" s="34">
        <f t="shared" si="490"/>
        <v>1300000</v>
      </c>
      <c r="Q1218" s="34">
        <f t="shared" si="491"/>
        <v>1302000</v>
      </c>
      <c r="R1218" s="7">
        <f t="shared" si="492"/>
        <v>-2343.3000000000002</v>
      </c>
      <c r="S1218" s="227">
        <f t="shared" si="477"/>
        <v>-343.30000000000018</v>
      </c>
      <c r="T1218" s="249">
        <f t="shared" si="478"/>
        <v>-2.6407692307692319E-4</v>
      </c>
      <c r="U1218" s="38"/>
      <c r="V1218" s="36">
        <f t="shared" ref="V1218:V1225" si="494">+P1218*0.05*O1218/365</f>
        <v>356.16438356164383</v>
      </c>
    </row>
    <row r="1219" spans="2:22" ht="15" customHeight="1" x14ac:dyDescent="0.4">
      <c r="B1219" s="38" t="s">
        <v>136</v>
      </c>
      <c r="C1219" s="6" t="s">
        <v>122</v>
      </c>
      <c r="D1219" s="6">
        <f t="shared" si="487"/>
        <v>1</v>
      </c>
      <c r="E1219" s="34">
        <v>2</v>
      </c>
      <c r="F1219" s="212">
        <v>646000</v>
      </c>
      <c r="G1219" s="195">
        <v>45812</v>
      </c>
      <c r="H1219" s="33" t="s">
        <v>113</v>
      </c>
      <c r="I1219" s="212">
        <v>682000</v>
      </c>
      <c r="J1219" s="8">
        <v>45818</v>
      </c>
      <c r="K1219" s="23">
        <f t="shared" si="488"/>
        <v>193.79999999999998</v>
      </c>
      <c r="L1219" s="23">
        <f t="shared" si="489"/>
        <v>204.6</v>
      </c>
      <c r="M1219" s="206">
        <f t="shared" si="493"/>
        <v>2046</v>
      </c>
      <c r="N1219" s="34"/>
      <c r="O1219" s="209">
        <f t="shared" si="476"/>
        <v>7</v>
      </c>
      <c r="P1219" s="34">
        <f t="shared" si="490"/>
        <v>1292000</v>
      </c>
      <c r="Q1219" s="34">
        <f t="shared" si="491"/>
        <v>1364000</v>
      </c>
      <c r="R1219" s="7">
        <f t="shared" si="492"/>
        <v>-2444.4</v>
      </c>
      <c r="S1219" s="227">
        <f t="shared" si="477"/>
        <v>69555.600000000006</v>
      </c>
      <c r="T1219" s="249">
        <f t="shared" si="478"/>
        <v>5.383560371517028E-2</v>
      </c>
      <c r="U1219" s="38"/>
      <c r="V1219" s="36">
        <f t="shared" si="494"/>
        <v>1238.9041095890411</v>
      </c>
    </row>
    <row r="1220" spans="2:22" ht="15" customHeight="1" x14ac:dyDescent="0.4">
      <c r="B1220" s="38" t="s">
        <v>136</v>
      </c>
      <c r="C1220" s="6" t="s">
        <v>122</v>
      </c>
      <c r="D1220" s="6">
        <f t="shared" si="487"/>
        <v>1</v>
      </c>
      <c r="E1220" s="34">
        <v>2</v>
      </c>
      <c r="F1220" s="212">
        <v>649000</v>
      </c>
      <c r="G1220" s="195">
        <v>45813</v>
      </c>
      <c r="H1220" s="33" t="s">
        <v>113</v>
      </c>
      <c r="I1220" s="212">
        <v>682000</v>
      </c>
      <c r="J1220" s="8">
        <v>45818</v>
      </c>
      <c r="K1220" s="23">
        <f t="shared" si="488"/>
        <v>194.7</v>
      </c>
      <c r="L1220" s="23">
        <f t="shared" si="489"/>
        <v>204.6</v>
      </c>
      <c r="M1220" s="206">
        <f t="shared" si="493"/>
        <v>2046</v>
      </c>
      <c r="N1220" s="34"/>
      <c r="O1220" s="209">
        <f t="shared" si="476"/>
        <v>6</v>
      </c>
      <c r="P1220" s="34">
        <f t="shared" si="490"/>
        <v>1298000</v>
      </c>
      <c r="Q1220" s="34">
        <f t="shared" si="491"/>
        <v>1364000</v>
      </c>
      <c r="R1220" s="7">
        <f t="shared" si="492"/>
        <v>-2445.3000000000002</v>
      </c>
      <c r="S1220" s="227">
        <f t="shared" si="477"/>
        <v>63554.7</v>
      </c>
      <c r="T1220" s="249">
        <f t="shared" si="478"/>
        <v>4.8963559322033896E-2</v>
      </c>
      <c r="U1220" s="38"/>
      <c r="V1220" s="36">
        <f t="shared" si="494"/>
        <v>1066.8493150684931</v>
      </c>
    </row>
    <row r="1221" spans="2:22" ht="15" customHeight="1" x14ac:dyDescent="0.4">
      <c r="B1221" s="38" t="s">
        <v>136</v>
      </c>
      <c r="C1221" s="6" t="s">
        <v>122</v>
      </c>
      <c r="D1221" s="6">
        <f t="shared" si="487"/>
        <v>1</v>
      </c>
      <c r="E1221" s="34">
        <v>1</v>
      </c>
      <c r="F1221" s="212">
        <v>649000</v>
      </c>
      <c r="G1221" s="195">
        <v>45817</v>
      </c>
      <c r="H1221" s="33" t="s">
        <v>113</v>
      </c>
      <c r="I1221" s="212">
        <v>682000</v>
      </c>
      <c r="J1221" s="8">
        <v>45818</v>
      </c>
      <c r="K1221" s="23">
        <f t="shared" si="488"/>
        <v>97.35</v>
      </c>
      <c r="L1221" s="23">
        <f t="shared" si="489"/>
        <v>102.3</v>
      </c>
      <c r="M1221" s="206">
        <f t="shared" si="493"/>
        <v>1023</v>
      </c>
      <c r="N1221" s="34"/>
      <c r="O1221" s="209">
        <f t="shared" si="476"/>
        <v>2</v>
      </c>
      <c r="P1221" s="34">
        <f t="shared" si="490"/>
        <v>649000</v>
      </c>
      <c r="Q1221" s="34">
        <f t="shared" si="491"/>
        <v>682000</v>
      </c>
      <c r="R1221" s="7">
        <f t="shared" si="492"/>
        <v>-1222.6500000000001</v>
      </c>
      <c r="S1221" s="227">
        <f t="shared" si="477"/>
        <v>31777.35</v>
      </c>
      <c r="T1221" s="249">
        <f t="shared" si="478"/>
        <v>4.8963559322033896E-2</v>
      </c>
      <c r="U1221" s="38"/>
      <c r="V1221" s="36">
        <f t="shared" si="494"/>
        <v>177.8082191780822</v>
      </c>
    </row>
    <row r="1222" spans="2:22" ht="15" customHeight="1" x14ac:dyDescent="0.4">
      <c r="B1222" s="38" t="s">
        <v>136</v>
      </c>
      <c r="C1222" s="6" t="s">
        <v>122</v>
      </c>
      <c r="D1222" s="6">
        <f t="shared" si="487"/>
        <v>1</v>
      </c>
      <c r="E1222" s="34">
        <v>2</v>
      </c>
      <c r="F1222" s="212">
        <v>675000</v>
      </c>
      <c r="G1222" s="195">
        <v>45818</v>
      </c>
      <c r="H1222" s="33" t="s">
        <v>113</v>
      </c>
      <c r="I1222" s="212">
        <v>696000</v>
      </c>
      <c r="J1222" s="8">
        <v>45824</v>
      </c>
      <c r="K1222" s="23">
        <f t="shared" si="488"/>
        <v>202.49999999999997</v>
      </c>
      <c r="L1222" s="23">
        <f t="shared" si="489"/>
        <v>208.79999999999998</v>
      </c>
      <c r="M1222" s="206">
        <f t="shared" si="493"/>
        <v>2088</v>
      </c>
      <c r="N1222" s="34"/>
      <c r="O1222" s="209">
        <f t="shared" si="476"/>
        <v>7</v>
      </c>
      <c r="P1222" s="34">
        <f t="shared" si="490"/>
        <v>1350000</v>
      </c>
      <c r="Q1222" s="34">
        <f t="shared" si="491"/>
        <v>1392000</v>
      </c>
      <c r="R1222" s="7">
        <f t="shared" si="492"/>
        <v>-2499.3000000000002</v>
      </c>
      <c r="S1222" s="227">
        <f t="shared" si="477"/>
        <v>39500.699999999997</v>
      </c>
      <c r="T1222" s="249">
        <f t="shared" si="478"/>
        <v>2.9259777777777777E-2</v>
      </c>
      <c r="U1222" s="38"/>
      <c r="V1222" s="36">
        <f t="shared" si="494"/>
        <v>1294.5205479452054</v>
      </c>
    </row>
    <row r="1223" spans="2:22" ht="15" customHeight="1" x14ac:dyDescent="0.4">
      <c r="B1223" s="38" t="s">
        <v>136</v>
      </c>
      <c r="C1223" s="6" t="s">
        <v>122</v>
      </c>
      <c r="D1223" s="6">
        <f t="shared" si="487"/>
        <v>1</v>
      </c>
      <c r="E1223" s="34">
        <v>2</v>
      </c>
      <c r="F1223" s="212">
        <v>668000</v>
      </c>
      <c r="G1223" s="195">
        <v>45818</v>
      </c>
      <c r="H1223" s="33" t="s">
        <v>113</v>
      </c>
      <c r="I1223" s="212">
        <v>696000</v>
      </c>
      <c r="J1223" s="8">
        <v>45824</v>
      </c>
      <c r="K1223" s="23">
        <f t="shared" si="488"/>
        <v>200.39999999999998</v>
      </c>
      <c r="L1223" s="23">
        <f t="shared" si="489"/>
        <v>208.79999999999998</v>
      </c>
      <c r="M1223" s="206">
        <f t="shared" si="493"/>
        <v>2088</v>
      </c>
      <c r="N1223" s="34"/>
      <c r="O1223" s="209">
        <f t="shared" si="476"/>
        <v>7</v>
      </c>
      <c r="P1223" s="34">
        <f t="shared" si="490"/>
        <v>1336000</v>
      </c>
      <c r="Q1223" s="34">
        <f t="shared" si="491"/>
        <v>1392000</v>
      </c>
      <c r="R1223" s="7">
        <f t="shared" si="492"/>
        <v>-2497.1999999999998</v>
      </c>
      <c r="S1223" s="227">
        <f t="shared" si="477"/>
        <v>53502.8</v>
      </c>
      <c r="T1223" s="249">
        <f t="shared" si="478"/>
        <v>4.0047005988023951E-2</v>
      </c>
      <c r="U1223" s="38"/>
      <c r="V1223" s="36">
        <f t="shared" si="494"/>
        <v>1281.0958904109589</v>
      </c>
    </row>
    <row r="1224" spans="2:22" ht="15" customHeight="1" x14ac:dyDescent="0.4">
      <c r="B1224" s="38" t="s">
        <v>136</v>
      </c>
      <c r="C1224" s="6" t="s">
        <v>122</v>
      </c>
      <c r="D1224" s="6">
        <f t="shared" si="487"/>
        <v>1</v>
      </c>
      <c r="E1224" s="34">
        <v>2</v>
      </c>
      <c r="F1224" s="212">
        <v>683000</v>
      </c>
      <c r="G1224" s="195">
        <v>45820</v>
      </c>
      <c r="H1224" s="33" t="s">
        <v>113</v>
      </c>
      <c r="I1224" s="212">
        <v>696000</v>
      </c>
      <c r="J1224" s="8">
        <v>45824</v>
      </c>
      <c r="K1224" s="23">
        <f t="shared" si="488"/>
        <v>204.89999999999998</v>
      </c>
      <c r="L1224" s="23">
        <f t="shared" si="489"/>
        <v>208.79999999999998</v>
      </c>
      <c r="M1224" s="206">
        <f t="shared" si="493"/>
        <v>2088</v>
      </c>
      <c r="N1224" s="34"/>
      <c r="O1224" s="209">
        <f t="shared" si="476"/>
        <v>5</v>
      </c>
      <c r="P1224" s="34">
        <f t="shared" si="490"/>
        <v>1366000</v>
      </c>
      <c r="Q1224" s="34">
        <f t="shared" si="491"/>
        <v>1392000</v>
      </c>
      <c r="R1224" s="7">
        <f t="shared" si="492"/>
        <v>-2501.6999999999998</v>
      </c>
      <c r="S1224" s="227">
        <f t="shared" si="477"/>
        <v>23498.3</v>
      </c>
      <c r="T1224" s="249">
        <f t="shared" si="478"/>
        <v>1.7202269399707173E-2</v>
      </c>
      <c r="U1224" s="38"/>
      <c r="V1224" s="36">
        <f t="shared" si="494"/>
        <v>935.61643835616439</v>
      </c>
    </row>
    <row r="1225" spans="2:22" ht="15" customHeight="1" x14ac:dyDescent="0.4">
      <c r="B1225" s="38" t="s">
        <v>136</v>
      </c>
      <c r="C1225" s="6" t="s">
        <v>122</v>
      </c>
      <c r="D1225" s="6">
        <f t="shared" si="487"/>
        <v>1</v>
      </c>
      <c r="E1225" s="34">
        <v>2</v>
      </c>
      <c r="F1225" s="212">
        <v>670000</v>
      </c>
      <c r="G1225" s="195">
        <v>45821</v>
      </c>
      <c r="H1225" s="33" t="s">
        <v>113</v>
      </c>
      <c r="I1225" s="212">
        <v>696000</v>
      </c>
      <c r="J1225" s="8">
        <v>45824</v>
      </c>
      <c r="K1225" s="23">
        <f t="shared" si="488"/>
        <v>200.99999999999997</v>
      </c>
      <c r="L1225" s="23">
        <f t="shared" si="489"/>
        <v>208.79999999999998</v>
      </c>
      <c r="M1225" s="206">
        <f t="shared" si="493"/>
        <v>2088</v>
      </c>
      <c r="N1225" s="34"/>
      <c r="O1225" s="209">
        <f t="shared" si="476"/>
        <v>4</v>
      </c>
      <c r="P1225" s="34">
        <f t="shared" si="490"/>
        <v>1340000</v>
      </c>
      <c r="Q1225" s="34">
        <f t="shared" si="491"/>
        <v>1392000</v>
      </c>
      <c r="R1225" s="7">
        <f t="shared" si="492"/>
        <v>-2497.8000000000002</v>
      </c>
      <c r="S1225" s="227">
        <f t="shared" si="477"/>
        <v>49502.2</v>
      </c>
      <c r="T1225" s="249">
        <f t="shared" si="478"/>
        <v>3.6941940298507461E-2</v>
      </c>
      <c r="U1225" s="38"/>
      <c r="V1225" s="36">
        <f t="shared" si="494"/>
        <v>734.2465753424658</v>
      </c>
    </row>
    <row r="1226" spans="2:22" ht="15" customHeight="1" x14ac:dyDescent="0.4">
      <c r="B1226" s="38" t="s">
        <v>136</v>
      </c>
      <c r="C1226" s="6" t="s">
        <v>160</v>
      </c>
      <c r="D1226" s="6">
        <f t="shared" si="487"/>
        <v>1</v>
      </c>
      <c r="E1226" s="34">
        <v>4</v>
      </c>
      <c r="F1226" s="212">
        <v>1445000</v>
      </c>
      <c r="G1226" s="195">
        <v>45943</v>
      </c>
      <c r="H1226" s="8"/>
      <c r="I1226" s="212">
        <v>1610000</v>
      </c>
      <c r="J1226" s="8">
        <v>45945</v>
      </c>
      <c r="K1226" s="23">
        <f>IF($C1226="OTC",ROUNDDOWN($E1226*$F1226*0.000909187,-1),(IF($C1226="신한",ROUNDDOWN($E1226*$F1226*0.000036396,-1),(IF($C1226="토스",$E1226*$F1226*0.00015,(IF($C1226="US",(IF($E1226*$F1226*0.0025&gt;0.01,$E1226*$F1226*0.0025,0.01)),IF($C1226="JP",(IF($E1226*$F1226*0.0025&gt;1000,$E1226*$F1226*0.0025,1000)),(IF($C1226="R토스",0,IF($C1226="무상증자(신한)",0,"")))))))))))+P1226*0.05*O1226/365</f>
        <v>2585.3424657534247</v>
      </c>
      <c r="L1226" s="23">
        <f t="shared" si="489"/>
        <v>230</v>
      </c>
      <c r="M1226" s="206">
        <f t="shared" si="493"/>
        <v>9660</v>
      </c>
      <c r="N1226" s="34"/>
      <c r="O1226" s="209">
        <f t="shared" si="476"/>
        <v>3</v>
      </c>
      <c r="P1226" s="34">
        <f t="shared" si="490"/>
        <v>5780000</v>
      </c>
      <c r="Q1226" s="34">
        <f t="shared" si="491"/>
        <v>6440000</v>
      </c>
      <c r="R1226" s="7">
        <f t="shared" si="492"/>
        <v>-12475.342465753425</v>
      </c>
      <c r="S1226" s="227">
        <f t="shared" si="477"/>
        <v>647524.65753424657</v>
      </c>
      <c r="T1226" s="249">
        <f t="shared" si="478"/>
        <v>0.11202848746267241</v>
      </c>
      <c r="U1226" s="38"/>
      <c r="V1226" s="33"/>
    </row>
    <row r="1227" spans="2:22" ht="15" customHeight="1" x14ac:dyDescent="0.4">
      <c r="B1227" s="38" t="s">
        <v>136</v>
      </c>
      <c r="C1227" s="6" t="s">
        <v>160</v>
      </c>
      <c r="D1227" s="6">
        <f t="shared" si="487"/>
        <v>1</v>
      </c>
      <c r="E1227" s="34">
        <v>2</v>
      </c>
      <c r="F1227" s="212">
        <v>1575000</v>
      </c>
      <c r="G1227" s="195">
        <v>45947</v>
      </c>
      <c r="H1227" s="8"/>
      <c r="I1227" s="212">
        <v>1940000</v>
      </c>
      <c r="J1227" s="8">
        <v>45954</v>
      </c>
      <c r="K1227" s="23">
        <f>IF($C1227="OTC",ROUNDDOWN($E1227*$F1227*0.000909187,-1),(IF($C1227="신한",ROUNDDOWN($E1227*$F1227*0.000036396,-1),(IF($C1227="토스",$E1227*$F1227*0.00015,(IF($C1227="US",(IF($E1227*$F1227*0.0025&gt;0.01,$E1227*$F1227*0.0025,0.01)),IF($C1227="JP",(IF($E1227*$F1227*0.0025&gt;1000,$E1227*$F1227*0.0025,1000)),(IF($C1227="R토스",0,IF($C1227="무상증자(신한)",0,"")))))))))))+P1227*0.05*O1227/365</f>
        <v>3562.0547945205481</v>
      </c>
      <c r="L1227" s="23">
        <f t="shared" si="489"/>
        <v>140</v>
      </c>
      <c r="M1227" s="206">
        <f t="shared" si="493"/>
        <v>5820</v>
      </c>
      <c r="N1227" s="34"/>
      <c r="O1227" s="209">
        <f t="shared" si="476"/>
        <v>8</v>
      </c>
      <c r="P1227" s="34">
        <f t="shared" si="490"/>
        <v>3150000</v>
      </c>
      <c r="Q1227" s="34">
        <f t="shared" si="491"/>
        <v>3880000</v>
      </c>
      <c r="R1227" s="7">
        <f t="shared" si="492"/>
        <v>-9522.0547945205471</v>
      </c>
      <c r="S1227" s="227">
        <f t="shared" si="477"/>
        <v>720477.94520547939</v>
      </c>
      <c r="T1227" s="249">
        <f t="shared" si="478"/>
        <v>0.2287231572080887</v>
      </c>
      <c r="U1227" s="38"/>
      <c r="V1227" s="33"/>
    </row>
    <row r="1228" spans="2:22" ht="15" customHeight="1" x14ac:dyDescent="0.4">
      <c r="B1228" s="38" t="s">
        <v>460</v>
      </c>
      <c r="C1228" s="6" t="s">
        <v>160</v>
      </c>
      <c r="D1228" s="6">
        <f t="shared" si="487"/>
        <v>1</v>
      </c>
      <c r="E1228" s="34">
        <v>365</v>
      </c>
      <c r="F1228" s="212">
        <v>10150</v>
      </c>
      <c r="G1228" s="195">
        <v>44077</v>
      </c>
      <c r="H1228" s="8"/>
      <c r="I1228" s="212">
        <v>10700</v>
      </c>
      <c r="J1228" s="8">
        <v>44077</v>
      </c>
      <c r="K1228" s="23">
        <f>IF($C1228="OTC",ROUNDDOWN($E1228*$F1228*0.000909187,-1),(IF($C1228="신한",ROUNDDOWN($E1228*$F1228*0.000036396,-1),(IF($C1228="토스",$E1228*$F1228*0.00015,(IF($C1228="US",(IF($E1228*$F1228*0.0025&gt;0.01,$E1228*$F1228*0.0025,0.01)),IF($C1228="JP",(IF($E1228*$F1228*0.0025&gt;1000,$E1228*$F1228*0.0025,1000)),(IF($C1228="R토스",0,IF($C1228="무상증자(신한)",0,"")))))))))))</f>
        <v>130</v>
      </c>
      <c r="L1228" s="23">
        <f t="shared" si="489"/>
        <v>140</v>
      </c>
      <c r="M1228" s="206">
        <f>Q1228*0.0025</f>
        <v>9763.75</v>
      </c>
      <c r="N1228" s="34"/>
      <c r="O1228" s="209">
        <f t="shared" si="476"/>
        <v>1</v>
      </c>
      <c r="P1228" s="34">
        <f t="shared" si="490"/>
        <v>3704750</v>
      </c>
      <c r="Q1228" s="34">
        <f t="shared" si="491"/>
        <v>3905500</v>
      </c>
      <c r="R1228" s="7">
        <f t="shared" si="492"/>
        <v>-10033.75</v>
      </c>
      <c r="S1228" s="227">
        <f t="shared" si="477"/>
        <v>190716.25</v>
      </c>
      <c r="T1228" s="249">
        <f t="shared" si="478"/>
        <v>5.1478844726364804E-2</v>
      </c>
      <c r="U1228" s="38"/>
      <c r="V1228" s="33"/>
    </row>
    <row r="1229" spans="2:22" ht="15" customHeight="1" x14ac:dyDescent="0.4">
      <c r="B1229" s="38" t="s">
        <v>461</v>
      </c>
      <c r="C1229" s="6" t="s">
        <v>162</v>
      </c>
      <c r="D1229" s="6"/>
      <c r="E1229" s="36">
        <v>100</v>
      </c>
      <c r="F1229" s="212">
        <v>13200</v>
      </c>
      <c r="G1229" s="195">
        <v>42585</v>
      </c>
      <c r="H1229" s="8"/>
      <c r="I1229" s="212">
        <v>16500</v>
      </c>
      <c r="J1229" s="8">
        <v>42605</v>
      </c>
      <c r="K1229" s="7">
        <f t="shared" ref="K1229:K1235" si="495">ROUNDDOWN(E1229*F1229*0.0015,-1)</f>
        <v>1980</v>
      </c>
      <c r="L1229" s="7">
        <f t="shared" ref="L1229:L1235" si="496">ROUNDDOWN(I1229*E1229*0.0015,-1)</f>
        <v>2470</v>
      </c>
      <c r="M1229" s="196">
        <f t="shared" ref="M1229:M1235" si="497">I1229*E1229*0.003</f>
        <v>4950</v>
      </c>
      <c r="N1229" s="36"/>
      <c r="O1229" s="191">
        <f t="shared" si="476"/>
        <v>21</v>
      </c>
      <c r="P1229" s="36">
        <f t="shared" ref="P1229:P1235" si="498">F1229*E1229</f>
        <v>1320000</v>
      </c>
      <c r="Q1229" s="36">
        <f t="shared" ref="Q1229:Q1235" si="499">I1229*E1229</f>
        <v>1650000</v>
      </c>
      <c r="R1229" s="7">
        <f t="shared" ref="R1229:R1235" si="500">N1229-K1229-L1229-M1229</f>
        <v>-9400</v>
      </c>
      <c r="S1229" s="227">
        <f t="shared" si="477"/>
        <v>320600</v>
      </c>
      <c r="T1229" s="248">
        <f t="shared" si="478"/>
        <v>0.24287878787878789</v>
      </c>
      <c r="U1229" s="193">
        <f t="shared" ref="U1229:U1235" si="501">T1229*365/O1229</f>
        <v>4.2214646464646464</v>
      </c>
      <c r="V1229" s="6"/>
    </row>
    <row r="1230" spans="2:22" ht="15" customHeight="1" x14ac:dyDescent="0.4">
      <c r="B1230" s="38" t="s">
        <v>462</v>
      </c>
      <c r="C1230" s="6" t="s">
        <v>162</v>
      </c>
      <c r="D1230" s="6"/>
      <c r="E1230" s="36">
        <v>5</v>
      </c>
      <c r="F1230" s="212">
        <v>405000</v>
      </c>
      <c r="G1230" s="195">
        <v>42664</v>
      </c>
      <c r="H1230" s="8"/>
      <c r="I1230" s="212">
        <v>420000</v>
      </c>
      <c r="J1230" s="8">
        <v>42845</v>
      </c>
      <c r="K1230" s="7">
        <f t="shared" si="495"/>
        <v>3030</v>
      </c>
      <c r="L1230" s="7">
        <f t="shared" si="496"/>
        <v>3150</v>
      </c>
      <c r="M1230" s="196">
        <f t="shared" si="497"/>
        <v>6300</v>
      </c>
      <c r="N1230" s="36"/>
      <c r="O1230" s="191">
        <f t="shared" si="476"/>
        <v>182</v>
      </c>
      <c r="P1230" s="36">
        <f t="shared" si="498"/>
        <v>2025000</v>
      </c>
      <c r="Q1230" s="36">
        <f t="shared" si="499"/>
        <v>2100000</v>
      </c>
      <c r="R1230" s="7">
        <f t="shared" si="500"/>
        <v>-12480</v>
      </c>
      <c r="S1230" s="227">
        <f t="shared" si="477"/>
        <v>62520</v>
      </c>
      <c r="T1230" s="248">
        <f t="shared" si="478"/>
        <v>3.0874074074074075E-2</v>
      </c>
      <c r="U1230" s="193">
        <f t="shared" si="501"/>
        <v>6.191778591778592E-2</v>
      </c>
      <c r="V1230" s="6"/>
    </row>
    <row r="1231" spans="2:22" ht="15" customHeight="1" x14ac:dyDescent="0.4">
      <c r="B1231" s="38" t="s">
        <v>462</v>
      </c>
      <c r="C1231" s="6" t="s">
        <v>162</v>
      </c>
      <c r="D1231" s="6"/>
      <c r="E1231" s="36">
        <v>1</v>
      </c>
      <c r="F1231" s="212">
        <v>316500</v>
      </c>
      <c r="G1231" s="195">
        <v>42769</v>
      </c>
      <c r="H1231" s="8"/>
      <c r="I1231" s="212">
        <v>420000</v>
      </c>
      <c r="J1231" s="8">
        <v>42845</v>
      </c>
      <c r="K1231" s="7">
        <f t="shared" si="495"/>
        <v>470</v>
      </c>
      <c r="L1231" s="7">
        <f t="shared" si="496"/>
        <v>630</v>
      </c>
      <c r="M1231" s="196">
        <f t="shared" si="497"/>
        <v>1260</v>
      </c>
      <c r="N1231" s="36"/>
      <c r="O1231" s="191">
        <f t="shared" si="476"/>
        <v>77</v>
      </c>
      <c r="P1231" s="36">
        <f t="shared" si="498"/>
        <v>316500</v>
      </c>
      <c r="Q1231" s="36">
        <f t="shared" si="499"/>
        <v>420000</v>
      </c>
      <c r="R1231" s="7">
        <f t="shared" si="500"/>
        <v>-2360</v>
      </c>
      <c r="S1231" s="227">
        <f t="shared" si="477"/>
        <v>101140</v>
      </c>
      <c r="T1231" s="248">
        <f t="shared" si="478"/>
        <v>0.31955766192733015</v>
      </c>
      <c r="U1231" s="193">
        <f t="shared" si="501"/>
        <v>1.5147863195256559</v>
      </c>
      <c r="V1231" s="6"/>
    </row>
    <row r="1232" spans="2:22" ht="15" customHeight="1" x14ac:dyDescent="0.4">
      <c r="B1232" s="38" t="s">
        <v>462</v>
      </c>
      <c r="C1232" s="6" t="s">
        <v>162</v>
      </c>
      <c r="D1232" s="6"/>
      <c r="E1232" s="36">
        <v>2</v>
      </c>
      <c r="F1232" s="212">
        <v>349800</v>
      </c>
      <c r="G1232" s="195">
        <v>42794</v>
      </c>
      <c r="H1232" s="8"/>
      <c r="I1232" s="212">
        <v>420000</v>
      </c>
      <c r="J1232" s="8">
        <v>42845</v>
      </c>
      <c r="K1232" s="7">
        <f t="shared" si="495"/>
        <v>1040</v>
      </c>
      <c r="L1232" s="7">
        <f t="shared" si="496"/>
        <v>1260</v>
      </c>
      <c r="M1232" s="196">
        <f t="shared" si="497"/>
        <v>2520</v>
      </c>
      <c r="N1232" s="36"/>
      <c r="O1232" s="191">
        <f t="shared" si="476"/>
        <v>52</v>
      </c>
      <c r="P1232" s="36">
        <f t="shared" si="498"/>
        <v>699600</v>
      </c>
      <c r="Q1232" s="36">
        <f t="shared" si="499"/>
        <v>840000</v>
      </c>
      <c r="R1232" s="7">
        <f t="shared" si="500"/>
        <v>-4820</v>
      </c>
      <c r="S1232" s="227">
        <f t="shared" si="477"/>
        <v>135580</v>
      </c>
      <c r="T1232" s="248">
        <f t="shared" si="478"/>
        <v>0.19379645511720983</v>
      </c>
      <c r="U1232" s="193">
        <f t="shared" si="501"/>
        <v>1.3603020407265691</v>
      </c>
      <c r="V1232" s="6"/>
    </row>
    <row r="1233" spans="1:22" ht="15" customHeight="1" x14ac:dyDescent="0.4">
      <c r="B1233" s="38" t="s">
        <v>463</v>
      </c>
      <c r="C1233" s="6" t="s">
        <v>162</v>
      </c>
      <c r="D1233" s="6"/>
      <c r="E1233" s="36">
        <v>5000</v>
      </c>
      <c r="F1233" s="212">
        <v>815</v>
      </c>
      <c r="G1233" s="195">
        <v>43228</v>
      </c>
      <c r="H1233" s="8"/>
      <c r="I1233" s="212">
        <v>845</v>
      </c>
      <c r="J1233" s="8">
        <v>43234</v>
      </c>
      <c r="K1233" s="7">
        <f t="shared" si="495"/>
        <v>6110</v>
      </c>
      <c r="L1233" s="7">
        <f t="shared" si="496"/>
        <v>6330</v>
      </c>
      <c r="M1233" s="196">
        <f t="shared" si="497"/>
        <v>12675</v>
      </c>
      <c r="N1233" s="36"/>
      <c r="O1233" s="191">
        <f t="shared" si="476"/>
        <v>7</v>
      </c>
      <c r="P1233" s="36">
        <f t="shared" si="498"/>
        <v>4075000</v>
      </c>
      <c r="Q1233" s="36">
        <f t="shared" si="499"/>
        <v>4225000</v>
      </c>
      <c r="R1233" s="7">
        <f t="shared" si="500"/>
        <v>-25115</v>
      </c>
      <c r="S1233" s="227">
        <f t="shared" si="477"/>
        <v>124885</v>
      </c>
      <c r="T1233" s="248">
        <f t="shared" si="478"/>
        <v>3.0646625766871164E-2</v>
      </c>
      <c r="U1233" s="193">
        <f t="shared" si="501"/>
        <v>1.5980026292725678</v>
      </c>
      <c r="V1233" s="6"/>
    </row>
    <row r="1234" spans="1:22" ht="15" customHeight="1" x14ac:dyDescent="0.4">
      <c r="B1234" s="38" t="s">
        <v>463</v>
      </c>
      <c r="C1234" s="6" t="s">
        <v>162</v>
      </c>
      <c r="D1234" s="6"/>
      <c r="E1234" s="36">
        <v>1500</v>
      </c>
      <c r="F1234" s="212">
        <v>820</v>
      </c>
      <c r="G1234" s="195">
        <v>43235</v>
      </c>
      <c r="H1234" s="8"/>
      <c r="I1234" s="212">
        <v>314</v>
      </c>
      <c r="J1234" s="8">
        <v>43564</v>
      </c>
      <c r="K1234" s="7">
        <f t="shared" si="495"/>
        <v>1840</v>
      </c>
      <c r="L1234" s="7">
        <f t="shared" si="496"/>
        <v>700</v>
      </c>
      <c r="M1234" s="196">
        <f t="shared" si="497"/>
        <v>1413</v>
      </c>
      <c r="N1234" s="36"/>
      <c r="O1234" s="191">
        <f t="shared" si="476"/>
        <v>330</v>
      </c>
      <c r="P1234" s="36">
        <f t="shared" si="498"/>
        <v>1230000</v>
      </c>
      <c r="Q1234" s="36">
        <f t="shared" si="499"/>
        <v>471000</v>
      </c>
      <c r="R1234" s="7">
        <f t="shared" si="500"/>
        <v>-3953</v>
      </c>
      <c r="S1234" s="227">
        <f t="shared" si="477"/>
        <v>-762953</v>
      </c>
      <c r="T1234" s="248">
        <f t="shared" si="478"/>
        <v>-0.62028699186991865</v>
      </c>
      <c r="U1234" s="193">
        <f t="shared" si="501"/>
        <v>-0.6860750061591524</v>
      </c>
      <c r="V1234" s="6"/>
    </row>
    <row r="1235" spans="1:22" ht="15" customHeight="1" x14ac:dyDescent="0.4">
      <c r="B1235" s="38" t="s">
        <v>463</v>
      </c>
      <c r="C1235" s="6" t="s">
        <v>162</v>
      </c>
      <c r="D1235" s="6"/>
      <c r="E1235" s="36">
        <v>2000</v>
      </c>
      <c r="F1235" s="212">
        <v>780</v>
      </c>
      <c r="G1235" s="195">
        <v>43236</v>
      </c>
      <c r="H1235" s="8"/>
      <c r="I1235" s="212">
        <v>314</v>
      </c>
      <c r="J1235" s="8">
        <v>43564</v>
      </c>
      <c r="K1235" s="7">
        <f t="shared" si="495"/>
        <v>2340</v>
      </c>
      <c r="L1235" s="7">
        <f t="shared" si="496"/>
        <v>940</v>
      </c>
      <c r="M1235" s="196">
        <f t="shared" si="497"/>
        <v>1884</v>
      </c>
      <c r="N1235" s="36"/>
      <c r="O1235" s="191">
        <f t="shared" si="476"/>
        <v>329</v>
      </c>
      <c r="P1235" s="36">
        <f t="shared" si="498"/>
        <v>1560000</v>
      </c>
      <c r="Q1235" s="36">
        <f t="shared" si="499"/>
        <v>628000</v>
      </c>
      <c r="R1235" s="7">
        <f t="shared" si="500"/>
        <v>-5164</v>
      </c>
      <c r="S1235" s="227">
        <f t="shared" si="477"/>
        <v>-937164</v>
      </c>
      <c r="T1235" s="248">
        <f t="shared" si="478"/>
        <v>-0.60074615384615382</v>
      </c>
      <c r="U1235" s="193">
        <f t="shared" si="501"/>
        <v>-0.6664812953004442</v>
      </c>
      <c r="V1235" s="6"/>
    </row>
    <row r="1236" spans="1:22" ht="15" customHeight="1" x14ac:dyDescent="0.4">
      <c r="B1236" s="38"/>
      <c r="C1236" s="6"/>
      <c r="D1236" s="6"/>
      <c r="E1236" s="36"/>
      <c r="F1236" s="36"/>
      <c r="G1236" s="246"/>
      <c r="H1236" s="6"/>
      <c r="I1236" s="36"/>
      <c r="J1236" s="6"/>
      <c r="K1236" s="7"/>
      <c r="L1236" s="7"/>
      <c r="M1236" s="196"/>
      <c r="N1236" s="36"/>
      <c r="O1236" s="191"/>
      <c r="P1236" s="36"/>
      <c r="Q1236" s="36"/>
      <c r="R1236" s="7"/>
      <c r="S1236" s="36"/>
      <c r="T1236" s="246"/>
      <c r="U1236" s="231"/>
    </row>
    <row r="1237" spans="1:22" ht="15" customHeight="1" x14ac:dyDescent="0.4">
      <c r="B1237" s="38"/>
      <c r="C1237" s="6"/>
      <c r="D1237" s="6"/>
      <c r="E1237" s="36"/>
      <c r="F1237" s="36"/>
      <c r="G1237" s="246"/>
      <c r="H1237" s="6"/>
      <c r="I1237" s="36"/>
      <c r="J1237" s="6"/>
      <c r="K1237" s="7"/>
      <c r="L1237" s="7"/>
      <c r="M1237" s="196"/>
      <c r="N1237" s="36"/>
      <c r="O1237" s="191"/>
      <c r="P1237" s="36"/>
      <c r="Q1237" s="36"/>
      <c r="R1237" s="7"/>
      <c r="S1237" s="36"/>
      <c r="T1237" s="246"/>
      <c r="U1237" s="231"/>
    </row>
    <row r="1238" spans="1:22" ht="16.5" customHeight="1" x14ac:dyDescent="0.4">
      <c r="A1238" s="10"/>
      <c r="B1238" s="11"/>
      <c r="C1238" s="11"/>
      <c r="D1238" s="11"/>
      <c r="E1238" s="11"/>
      <c r="F1238" s="12">
        <f>SUM(F93:F1237)</f>
        <v>83155292.346000001</v>
      </c>
      <c r="G1238" s="13"/>
      <c r="H1238" s="13"/>
      <c r="I1238" s="14"/>
      <c r="J1238" s="11"/>
      <c r="K1238" s="12">
        <f>SUM(K93:K1237)</f>
        <v>1463067.1361205482</v>
      </c>
      <c r="L1238" s="12">
        <f>SUM(L93:L1237)</f>
        <v>1123593.5193399952</v>
      </c>
      <c r="M1238" s="12">
        <f>SUM(M93:M1237)</f>
        <v>3605669.6899995208</v>
      </c>
      <c r="N1238" s="12">
        <f>SUM(N93:N1237)</f>
        <v>2361410.08</v>
      </c>
      <c r="O1238" s="12"/>
      <c r="P1238" s="220">
        <f>SUM(P93:P1237)</f>
        <v>1484193961.8979998</v>
      </c>
      <c r="Q1238" s="220">
        <f>SUM(Q93:Q1237)</f>
        <v>1545811895.45979</v>
      </c>
      <c r="R1238" s="220">
        <f>SUM(R93:R1237)</f>
        <v>-3801996.2913200534</v>
      </c>
      <c r="S1238" s="227">
        <f>SUM(S4:S1237)</f>
        <v>58582838.937410973</v>
      </c>
      <c r="T1238" s="221">
        <f>S1238/P1238</f>
        <v>3.9471147600206341E-2</v>
      </c>
      <c r="U1238" s="11"/>
      <c r="V1238" s="11"/>
    </row>
    <row r="1239" spans="1:22" ht="16.5" customHeight="1" x14ac:dyDescent="0.4">
      <c r="A1239" s="10"/>
      <c r="B1239" s="10"/>
      <c r="C1239" s="10"/>
      <c r="D1239" s="10"/>
      <c r="E1239" s="10"/>
      <c r="F1239" s="12"/>
      <c r="G1239" s="13"/>
      <c r="H1239" s="13"/>
      <c r="I1239" s="12"/>
      <c r="J1239" s="11"/>
      <c r="K1239" s="12"/>
      <c r="L1239" s="12"/>
      <c r="M1239" s="12"/>
      <c r="N1239" s="12"/>
      <c r="O1239" s="12"/>
      <c r="P1239" s="222">
        <f>SUMIF(I93:I1237,"",P93:P1237)</f>
        <v>0</v>
      </c>
      <c r="Q1239" s="220">
        <f>Q1238-P1238-R1238</f>
        <v>65419929.853110284</v>
      </c>
      <c r="R1239" s="220"/>
      <c r="S1239" s="220"/>
      <c r="T1239" s="221">
        <f>S1238/(P1238-P1239)</f>
        <v>3.9471147600206341E-2</v>
      </c>
      <c r="U1239" s="11"/>
      <c r="V1239" s="11"/>
    </row>
    <row r="1240" spans="1:22" s="33" customFormat="1" ht="15" customHeight="1" x14ac:dyDescent="0.4">
      <c r="B1240" s="38" t="s">
        <v>219</v>
      </c>
      <c r="C1240" s="6" t="s">
        <v>464</v>
      </c>
      <c r="D1240" s="6"/>
      <c r="E1240" s="36">
        <v>5</v>
      </c>
      <c r="F1240" s="212">
        <v>79900</v>
      </c>
      <c r="G1240" s="195"/>
      <c r="H1240" s="8"/>
      <c r="I1240" s="212">
        <v>118500</v>
      </c>
      <c r="J1240" s="8"/>
      <c r="K1240" s="7">
        <v>470</v>
      </c>
      <c r="L1240" s="7">
        <v>710</v>
      </c>
      <c r="M1240" s="196">
        <f>296+888</f>
        <v>1184</v>
      </c>
      <c r="N1240" s="36"/>
      <c r="O1240" s="191"/>
      <c r="P1240" s="36">
        <f t="shared" ref="P1240:P1251" si="502">F1240*E1240</f>
        <v>399500</v>
      </c>
      <c r="Q1240" s="36">
        <f t="shared" ref="Q1240:Q1249" si="503">I1240*E1240</f>
        <v>592500</v>
      </c>
      <c r="R1240" s="7">
        <f t="shared" ref="R1240:R1253" si="504">N1240-K1240-L1240-M1240</f>
        <v>-2364</v>
      </c>
      <c r="S1240" s="227">
        <f t="shared" ref="S1240:S1253" si="505">IF(Q1240=0,0,Q1240-P1240+R1240)</f>
        <v>190636</v>
      </c>
      <c r="T1240" s="248">
        <f t="shared" ref="T1240:T1253" si="506">S1240/P1240</f>
        <v>0.47718648310387984</v>
      </c>
      <c r="U1240" s="193"/>
      <c r="V1240" s="6"/>
    </row>
    <row r="1241" spans="1:22" ht="15" customHeight="1" x14ac:dyDescent="0.4">
      <c r="B1241" s="38" t="s">
        <v>8</v>
      </c>
      <c r="C1241" s="6" t="s">
        <v>464</v>
      </c>
      <c r="D1241" s="6"/>
      <c r="E1241" s="36">
        <v>20</v>
      </c>
      <c r="F1241" s="212">
        <v>4930</v>
      </c>
      <c r="G1241" s="195"/>
      <c r="H1241" s="8"/>
      <c r="I1241" s="212">
        <v>7940</v>
      </c>
      <c r="J1241" s="8"/>
      <c r="K1241" s="7">
        <v>110</v>
      </c>
      <c r="L1241" s="7"/>
      <c r="M1241" s="196"/>
      <c r="N1241" s="36"/>
      <c r="O1241" s="191"/>
      <c r="P1241" s="36">
        <f t="shared" si="502"/>
        <v>98600</v>
      </c>
      <c r="Q1241" s="36">
        <f t="shared" si="503"/>
        <v>158800</v>
      </c>
      <c r="R1241" s="7">
        <f t="shared" si="504"/>
        <v>-110</v>
      </c>
      <c r="S1241" s="227">
        <f t="shared" si="505"/>
        <v>60090</v>
      </c>
      <c r="T1241" s="248">
        <f t="shared" si="506"/>
        <v>0.60943204868154155</v>
      </c>
      <c r="U1241" s="193"/>
      <c r="V1241" s="6"/>
    </row>
    <row r="1242" spans="1:22" ht="15" customHeight="1" x14ac:dyDescent="0.4">
      <c r="B1242" s="38" t="s">
        <v>8</v>
      </c>
      <c r="C1242" s="6" t="s">
        <v>464</v>
      </c>
      <c r="D1242" s="6"/>
      <c r="E1242" s="36">
        <v>50</v>
      </c>
      <c r="F1242" s="212">
        <v>4955</v>
      </c>
      <c r="G1242" s="195"/>
      <c r="H1242" s="8"/>
      <c r="I1242" s="212">
        <v>7940</v>
      </c>
      <c r="J1242" s="8"/>
      <c r="K1242" s="7">
        <v>290</v>
      </c>
      <c r="L1242" s="7">
        <v>660</v>
      </c>
      <c r="M1242" s="196">
        <v>1111</v>
      </c>
      <c r="N1242" s="36">
        <v>3500</v>
      </c>
      <c r="O1242" s="191"/>
      <c r="P1242" s="36">
        <f t="shared" si="502"/>
        <v>247750</v>
      </c>
      <c r="Q1242" s="36">
        <f t="shared" si="503"/>
        <v>397000</v>
      </c>
      <c r="R1242" s="7">
        <f t="shared" si="504"/>
        <v>1439</v>
      </c>
      <c r="S1242" s="227">
        <f t="shared" si="505"/>
        <v>150689</v>
      </c>
      <c r="T1242" s="248">
        <f t="shared" si="506"/>
        <v>0.60823007063572154</v>
      </c>
      <c r="U1242" s="193"/>
      <c r="V1242" s="6"/>
    </row>
    <row r="1243" spans="1:22" s="33" customFormat="1" ht="15" customHeight="1" x14ac:dyDescent="0.4">
      <c r="B1243" s="38" t="s">
        <v>62</v>
      </c>
      <c r="C1243" s="6" t="s">
        <v>464</v>
      </c>
      <c r="D1243" s="6"/>
      <c r="E1243" s="36">
        <v>9</v>
      </c>
      <c r="F1243" s="212">
        <v>118900</v>
      </c>
      <c r="G1243" s="195"/>
      <c r="H1243" s="8"/>
      <c r="I1243" s="212">
        <v>136300</v>
      </c>
      <c r="J1243" s="8"/>
      <c r="K1243" s="7">
        <v>1280</v>
      </c>
      <c r="L1243" s="7">
        <v>1470</v>
      </c>
      <c r="M1243" s="196">
        <v>2453</v>
      </c>
      <c r="N1243" s="36">
        <v>98100</v>
      </c>
      <c r="O1243" s="191"/>
      <c r="P1243" s="36">
        <f t="shared" si="502"/>
        <v>1070100</v>
      </c>
      <c r="Q1243" s="36">
        <f t="shared" si="503"/>
        <v>1226700</v>
      </c>
      <c r="R1243" s="7">
        <f t="shared" si="504"/>
        <v>92897</v>
      </c>
      <c r="S1243" s="227">
        <f t="shared" si="505"/>
        <v>249497</v>
      </c>
      <c r="T1243" s="248">
        <f t="shared" si="506"/>
        <v>0.23315297635734977</v>
      </c>
      <c r="U1243" s="9"/>
      <c r="V1243" s="6"/>
    </row>
    <row r="1244" spans="1:22" s="33" customFormat="1" ht="15" customHeight="1" x14ac:dyDescent="0.4">
      <c r="B1244" s="38" t="s">
        <v>288</v>
      </c>
      <c r="C1244" s="6" t="s">
        <v>464</v>
      </c>
      <c r="D1244" s="6"/>
      <c r="E1244" s="36">
        <v>1</v>
      </c>
      <c r="F1244" s="212">
        <v>820000</v>
      </c>
      <c r="G1244" s="195"/>
      <c r="H1244" s="8"/>
      <c r="I1244" s="212">
        <v>986000</v>
      </c>
      <c r="J1244" s="8"/>
      <c r="K1244" s="7">
        <v>980</v>
      </c>
      <c r="L1244" s="7"/>
      <c r="M1244" s="196"/>
      <c r="N1244" s="36"/>
      <c r="O1244" s="191"/>
      <c r="P1244" s="36">
        <f t="shared" si="502"/>
        <v>820000</v>
      </c>
      <c r="Q1244" s="36">
        <f t="shared" si="503"/>
        <v>986000</v>
      </c>
      <c r="R1244" s="7">
        <f t="shared" si="504"/>
        <v>-980</v>
      </c>
      <c r="S1244" s="227">
        <f t="shared" si="505"/>
        <v>165020</v>
      </c>
      <c r="T1244" s="248">
        <f t="shared" si="506"/>
        <v>0.2012439024390244</v>
      </c>
      <c r="U1244" s="193"/>
      <c r="V1244" s="6"/>
    </row>
    <row r="1245" spans="1:22" s="33" customFormat="1" ht="15" customHeight="1" x14ac:dyDescent="0.4">
      <c r="B1245" s="38" t="s">
        <v>288</v>
      </c>
      <c r="C1245" s="6" t="s">
        <v>464</v>
      </c>
      <c r="D1245" s="6"/>
      <c r="E1245" s="36">
        <v>2</v>
      </c>
      <c r="F1245" s="212">
        <v>885000</v>
      </c>
      <c r="G1245" s="195"/>
      <c r="H1245" s="8"/>
      <c r="I1245" s="212">
        <v>986000</v>
      </c>
      <c r="J1245" s="8"/>
      <c r="K1245" s="7">
        <v>2120</v>
      </c>
      <c r="L1245" s="7">
        <v>3540</v>
      </c>
      <c r="M1245" s="196">
        <f>887+4437</f>
        <v>5324</v>
      </c>
      <c r="N1245" s="36"/>
      <c r="O1245" s="191"/>
      <c r="P1245" s="36">
        <f t="shared" si="502"/>
        <v>1770000</v>
      </c>
      <c r="Q1245" s="36">
        <f t="shared" si="503"/>
        <v>1972000</v>
      </c>
      <c r="R1245" s="7">
        <f t="shared" si="504"/>
        <v>-10984</v>
      </c>
      <c r="S1245" s="227">
        <f t="shared" si="505"/>
        <v>191016</v>
      </c>
      <c r="T1245" s="248">
        <f t="shared" si="506"/>
        <v>0.10791864406779661</v>
      </c>
      <c r="U1245" s="193"/>
      <c r="V1245" s="6"/>
    </row>
    <row r="1246" spans="1:22" s="33" customFormat="1" ht="15" customHeight="1" x14ac:dyDescent="0.4">
      <c r="B1246" s="38" t="s">
        <v>296</v>
      </c>
      <c r="C1246" s="6" t="s">
        <v>464</v>
      </c>
      <c r="D1246" s="6"/>
      <c r="E1246" s="36">
        <v>15</v>
      </c>
      <c r="F1246" s="212">
        <v>112500</v>
      </c>
      <c r="G1246" s="195"/>
      <c r="H1246" s="8"/>
      <c r="I1246" s="212">
        <v>128800</v>
      </c>
      <c r="J1246" s="8"/>
      <c r="K1246" s="7">
        <v>2020</v>
      </c>
      <c r="L1246" s="7">
        <v>2310</v>
      </c>
      <c r="M1246" s="196">
        <f>965+2897</f>
        <v>3862</v>
      </c>
      <c r="N1246" s="36">
        <f>9000*(1-0.154)</f>
        <v>7614</v>
      </c>
      <c r="O1246" s="191"/>
      <c r="P1246" s="36">
        <f t="shared" si="502"/>
        <v>1687500</v>
      </c>
      <c r="Q1246" s="36">
        <f t="shared" si="503"/>
        <v>1932000</v>
      </c>
      <c r="R1246" s="7">
        <f t="shared" si="504"/>
        <v>-578</v>
      </c>
      <c r="S1246" s="227">
        <f t="shared" si="505"/>
        <v>243922</v>
      </c>
      <c r="T1246" s="248">
        <f t="shared" si="506"/>
        <v>0.14454637037037038</v>
      </c>
      <c r="U1246" s="9"/>
      <c r="V1246" s="6"/>
    </row>
    <row r="1247" spans="1:22" ht="15" customHeight="1" x14ac:dyDescent="0.4">
      <c r="B1247" s="38" t="s">
        <v>465</v>
      </c>
      <c r="C1247" s="6" t="s">
        <v>464</v>
      </c>
      <c r="D1247" s="6"/>
      <c r="E1247" s="36">
        <v>40</v>
      </c>
      <c r="F1247" s="212">
        <v>35200</v>
      </c>
      <c r="G1247" s="195"/>
      <c r="H1247" s="8"/>
      <c r="I1247" s="212">
        <v>60700</v>
      </c>
      <c r="J1247" s="8"/>
      <c r="K1247" s="7">
        <v>1680</v>
      </c>
      <c r="L1247" s="7">
        <v>2910</v>
      </c>
      <c r="M1247" s="196">
        <v>4855</v>
      </c>
      <c r="N1247" s="36">
        <f>30000*(1-0.154)</f>
        <v>25380</v>
      </c>
      <c r="O1247" s="191"/>
      <c r="P1247" s="36">
        <f t="shared" si="502"/>
        <v>1408000</v>
      </c>
      <c r="Q1247" s="36">
        <f t="shared" si="503"/>
        <v>2428000</v>
      </c>
      <c r="R1247" s="7">
        <f t="shared" si="504"/>
        <v>15935</v>
      </c>
      <c r="S1247" s="227">
        <f t="shared" si="505"/>
        <v>1035935</v>
      </c>
      <c r="T1247" s="248">
        <f t="shared" si="506"/>
        <v>0.73574928977272724</v>
      </c>
      <c r="U1247" s="193"/>
      <c r="V1247" s="6"/>
    </row>
    <row r="1248" spans="1:22" ht="15" customHeight="1" x14ac:dyDescent="0.4">
      <c r="B1248" s="38" t="s">
        <v>465</v>
      </c>
      <c r="C1248" s="6" t="s">
        <v>464</v>
      </c>
      <c r="D1248" s="6"/>
      <c r="E1248" s="36">
        <v>25</v>
      </c>
      <c r="F1248" s="212">
        <v>38100</v>
      </c>
      <c r="G1248" s="195"/>
      <c r="H1248" s="8"/>
      <c r="I1248" s="212">
        <v>38800</v>
      </c>
      <c r="J1248" s="8"/>
      <c r="K1248" s="7">
        <v>1140</v>
      </c>
      <c r="L1248" s="7">
        <v>1160</v>
      </c>
      <c r="M1248" s="196">
        <v>2231</v>
      </c>
      <c r="N1248" s="36"/>
      <c r="O1248" s="191"/>
      <c r="P1248" s="36">
        <f t="shared" si="502"/>
        <v>952500</v>
      </c>
      <c r="Q1248" s="36">
        <f t="shared" si="503"/>
        <v>970000</v>
      </c>
      <c r="R1248" s="7">
        <f t="shared" si="504"/>
        <v>-4531</v>
      </c>
      <c r="S1248" s="227">
        <f t="shared" si="505"/>
        <v>12969</v>
      </c>
      <c r="T1248" s="248">
        <f t="shared" si="506"/>
        <v>1.3615748031496063E-2</v>
      </c>
      <c r="U1248" s="193"/>
      <c r="V1248" s="6"/>
    </row>
    <row r="1249" spans="2:28" s="33" customFormat="1" ht="15" customHeight="1" x14ac:dyDescent="0.4">
      <c r="B1249" s="38" t="s">
        <v>138</v>
      </c>
      <c r="C1249" s="6" t="s">
        <v>464</v>
      </c>
      <c r="D1249" s="6"/>
      <c r="E1249" s="36">
        <v>75</v>
      </c>
      <c r="F1249" s="212">
        <v>27000</v>
      </c>
      <c r="G1249" s="195"/>
      <c r="H1249" s="8"/>
      <c r="I1249" s="212">
        <v>38900</v>
      </c>
      <c r="J1249" s="8"/>
      <c r="K1249" s="7">
        <v>2430</v>
      </c>
      <c r="L1249" s="7">
        <v>3500</v>
      </c>
      <c r="M1249" s="196">
        <v>5835</v>
      </c>
      <c r="N1249" s="36"/>
      <c r="O1249" s="191"/>
      <c r="P1249" s="36">
        <f t="shared" si="502"/>
        <v>2025000</v>
      </c>
      <c r="Q1249" s="36">
        <f t="shared" si="503"/>
        <v>2917500</v>
      </c>
      <c r="R1249" s="7">
        <f t="shared" si="504"/>
        <v>-11765</v>
      </c>
      <c r="S1249" s="227">
        <f t="shared" si="505"/>
        <v>880735</v>
      </c>
      <c r="T1249" s="248">
        <f t="shared" si="506"/>
        <v>0.43493086419753085</v>
      </c>
      <c r="U1249" s="9"/>
      <c r="V1249" s="6"/>
    </row>
    <row r="1250" spans="2:28" ht="15" customHeight="1" x14ac:dyDescent="0.4">
      <c r="B1250" s="38" t="s">
        <v>466</v>
      </c>
      <c r="C1250" s="6" t="s">
        <v>464</v>
      </c>
      <c r="D1250" s="6"/>
      <c r="E1250" s="36">
        <v>25</v>
      </c>
      <c r="F1250" s="212">
        <v>4845</v>
      </c>
      <c r="G1250" s="195"/>
      <c r="H1250" s="8" t="s">
        <v>467</v>
      </c>
      <c r="I1250" s="212"/>
      <c r="J1250" s="8"/>
      <c r="K1250" s="7"/>
      <c r="L1250" s="7"/>
      <c r="M1250" s="196"/>
      <c r="N1250" s="36"/>
      <c r="O1250" s="191"/>
      <c r="P1250" s="36">
        <f t="shared" si="502"/>
        <v>121125</v>
      </c>
      <c r="Q1250" s="36"/>
      <c r="R1250" s="7">
        <f t="shared" si="504"/>
        <v>0</v>
      </c>
      <c r="S1250" s="227">
        <f t="shared" si="505"/>
        <v>0</v>
      </c>
      <c r="T1250" s="248">
        <f t="shared" si="506"/>
        <v>0</v>
      </c>
      <c r="U1250" s="193"/>
      <c r="V1250" s="6"/>
      <c r="W1250"/>
      <c r="X1250"/>
      <c r="Y1250"/>
      <c r="Z1250"/>
      <c r="AA1250"/>
      <c r="AB1250"/>
    </row>
    <row r="1251" spans="2:28" s="33" customFormat="1" ht="15" customHeight="1" x14ac:dyDescent="0.4">
      <c r="B1251" s="38" t="s">
        <v>468</v>
      </c>
      <c r="C1251" s="6" t="s">
        <v>464</v>
      </c>
      <c r="D1251" s="6"/>
      <c r="E1251" s="36">
        <v>25</v>
      </c>
      <c r="F1251" s="212">
        <v>47750</v>
      </c>
      <c r="G1251" s="195"/>
      <c r="H1251" s="8"/>
      <c r="I1251" s="212">
        <v>9.9999999999999994E-12</v>
      </c>
      <c r="J1251" s="8"/>
      <c r="K1251" s="7">
        <v>1430</v>
      </c>
      <c r="L1251" s="7"/>
      <c r="M1251" s="196"/>
      <c r="N1251" s="36">
        <f>6600+6600</f>
        <v>13200</v>
      </c>
      <c r="O1251" s="191"/>
      <c r="P1251" s="36">
        <f t="shared" si="502"/>
        <v>1193750</v>
      </c>
      <c r="Q1251" s="36">
        <f>I1251*E1251</f>
        <v>2.4999999999999996E-10</v>
      </c>
      <c r="R1251" s="7">
        <f t="shared" si="504"/>
        <v>11770</v>
      </c>
      <c r="S1251" s="227">
        <f t="shared" si="505"/>
        <v>-1181979.9999999998</v>
      </c>
      <c r="T1251" s="248">
        <f t="shared" si="506"/>
        <v>-0.99014031413612547</v>
      </c>
      <c r="U1251" s="9"/>
      <c r="V1251" s="6"/>
    </row>
    <row r="1252" spans="2:28" s="33" customFormat="1" ht="15" customHeight="1" x14ac:dyDescent="0.4">
      <c r="B1252" s="38" t="s">
        <v>468</v>
      </c>
      <c r="C1252" s="6" t="s">
        <v>464</v>
      </c>
      <c r="D1252" s="6"/>
      <c r="E1252" s="36">
        <v>23</v>
      </c>
      <c r="F1252" s="212">
        <f>(P1251-P1253)/23</f>
        <v>41032.608695652176</v>
      </c>
      <c r="G1252" s="195"/>
      <c r="H1252" s="8" t="s">
        <v>469</v>
      </c>
      <c r="I1252" s="212"/>
      <c r="J1252" s="8"/>
      <c r="K1252" s="7"/>
      <c r="L1252" s="7"/>
      <c r="M1252" s="196"/>
      <c r="N1252" s="36">
        <f>25756+718</f>
        <v>26474</v>
      </c>
      <c r="O1252" s="191"/>
      <c r="P1252" s="36"/>
      <c r="Q1252" s="36"/>
      <c r="R1252" s="7">
        <f t="shared" si="504"/>
        <v>26474</v>
      </c>
      <c r="S1252" s="227">
        <f t="shared" si="505"/>
        <v>0</v>
      </c>
      <c r="T1252" s="248" t="e">
        <f t="shared" si="506"/>
        <v>#DIV/0!</v>
      </c>
      <c r="U1252" s="9"/>
      <c r="V1252" s="6"/>
    </row>
    <row r="1253" spans="2:28" s="33" customFormat="1" ht="15" customHeight="1" x14ac:dyDescent="0.4">
      <c r="B1253" s="38" t="s">
        <v>468</v>
      </c>
      <c r="C1253" s="6" t="s">
        <v>464</v>
      </c>
      <c r="D1253" s="6"/>
      <c r="E1253" s="36">
        <v>5</v>
      </c>
      <c r="F1253" s="212">
        <v>50000</v>
      </c>
      <c r="G1253" s="195"/>
      <c r="H1253" s="8"/>
      <c r="I1253" s="212">
        <v>50700</v>
      </c>
      <c r="J1253" s="8"/>
      <c r="K1253" s="7">
        <v>300</v>
      </c>
      <c r="L1253" s="7">
        <v>300</v>
      </c>
      <c r="M1253" s="196">
        <v>582</v>
      </c>
      <c r="N1253" s="36"/>
      <c r="O1253" s="191"/>
      <c r="P1253" s="36">
        <f>F1253*E1253</f>
        <v>250000</v>
      </c>
      <c r="Q1253" s="36">
        <f>I1253*E1253</f>
        <v>253500</v>
      </c>
      <c r="R1253" s="7">
        <f t="shared" si="504"/>
        <v>-1182</v>
      </c>
      <c r="S1253" s="227">
        <f t="shared" si="505"/>
        <v>2318</v>
      </c>
      <c r="T1253" s="248">
        <f t="shared" si="506"/>
        <v>9.2720000000000007E-3</v>
      </c>
      <c r="U1253" s="9"/>
      <c r="V1253"/>
    </row>
    <row r="1254" spans="2:28" ht="16.5" customHeight="1" x14ac:dyDescent="0.4">
      <c r="B1254" s="2"/>
      <c r="C1254" s="2"/>
      <c r="D1254" s="2"/>
      <c r="E1254"/>
      <c r="J1254" s="16"/>
      <c r="L1254" s="71"/>
    </row>
    <row r="1255" spans="2:28" ht="16.5" customHeight="1" x14ac:dyDescent="0.4">
      <c r="B1255" s="2"/>
      <c r="C1255" s="2"/>
      <c r="D1255" s="2"/>
      <c r="E1255"/>
    </row>
    <row r="1256" spans="2:28" ht="16.5" customHeight="1" x14ac:dyDescent="0.4">
      <c r="B1256" s="2"/>
      <c r="C1256" s="2"/>
      <c r="D1256" s="2"/>
      <c r="E1256"/>
    </row>
    <row r="1257" spans="2:28" ht="16.5" customHeight="1" x14ac:dyDescent="0.4">
      <c r="B1257" s="2"/>
      <c r="C1257" s="2"/>
      <c r="D1257" s="2"/>
      <c r="E1257"/>
      <c r="W1257" s="24"/>
      <c r="X1257" s="24"/>
      <c r="Y1257" s="24"/>
      <c r="Z1257" s="24"/>
      <c r="AA1257" s="24"/>
      <c r="AB1257" s="24"/>
    </row>
    <row r="1258" spans="2:28" ht="16.5" customHeight="1" x14ac:dyDescent="0.4">
      <c r="B1258" s="2"/>
      <c r="C1258" s="2"/>
      <c r="D1258" s="2"/>
      <c r="E1258"/>
    </row>
    <row r="1259" spans="2:28" ht="16.5" customHeight="1" x14ac:dyDescent="0.4">
      <c r="B1259" s="2"/>
      <c r="C1259" s="2"/>
      <c r="D1259" s="2"/>
      <c r="E1259"/>
    </row>
    <row r="1260" spans="2:28" ht="16.5" customHeight="1" x14ac:dyDescent="0.4">
      <c r="B1260" s="2"/>
      <c r="C1260" s="2"/>
      <c r="D1260" s="2"/>
      <c r="E1260"/>
    </row>
    <row r="1261" spans="2:28" ht="16.5" customHeight="1" x14ac:dyDescent="0.4">
      <c r="B1261" s="2"/>
      <c r="C1261" s="2"/>
      <c r="D1261" s="2"/>
      <c r="E1261"/>
      <c r="N1261" s="178"/>
    </row>
    <row r="1262" spans="2:28" ht="16.5" customHeight="1" x14ac:dyDescent="0.4">
      <c r="B1262" s="2"/>
      <c r="C1262" s="2"/>
      <c r="D1262" s="2"/>
      <c r="E1262"/>
    </row>
  </sheetData>
  <autoFilter ref="B2:V1253" xr:uid="{00000000-0009-0000-0000-000001000000}">
    <sortState xmlns:xlrd2="http://schemas.microsoft.com/office/spreadsheetml/2017/richdata2" ref="B3:V1239">
      <sortCondition ref="B2:B1239"/>
    </sortState>
  </autoFilter>
  <phoneticPr fontId="9" type="noConversion"/>
  <pageMargins left="0.7" right="0.7" top="0.75" bottom="0.75" header="0.3" footer="0.3"/>
  <pageSetup paperSize="9" orientation="portrait"/>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H946"/>
  <sheetViews>
    <sheetView workbookViewId="0">
      <selection activeCell="D5" sqref="D5"/>
    </sheetView>
  </sheetViews>
  <sheetFormatPr defaultColWidth="9" defaultRowHeight="13.2" x14ac:dyDescent="0.4"/>
  <cols>
    <col min="1" max="1" width="4.19921875" style="33" customWidth="1"/>
    <col min="2" max="2" width="13.59765625" style="33" customWidth="1"/>
    <col min="3" max="3" width="9.3984375" style="33" customWidth="1"/>
    <col min="4" max="4" width="9.59765625" style="33" customWidth="1"/>
    <col min="5" max="5" width="11.59765625" style="33" bestFit="1" customWidth="1"/>
    <col min="6" max="6" width="10.19921875" style="33" customWidth="1"/>
    <col min="7" max="7" width="11.19921875" style="33" bestFit="1" customWidth="1"/>
    <col min="8" max="8" width="11.19921875" style="33" customWidth="1"/>
    <col min="9" max="9" width="12.09765625" style="33" customWidth="1"/>
    <col min="10" max="10" width="11.09765625" style="33" bestFit="1" customWidth="1"/>
    <col min="11" max="12" width="11.09765625" style="33" customWidth="1"/>
    <col min="13" max="13" width="10.59765625" style="33" customWidth="1"/>
    <col min="14" max="14" width="9" style="33" bestFit="1" customWidth="1"/>
    <col min="15" max="15" width="9.09765625" style="33" bestFit="1" customWidth="1"/>
    <col min="16" max="17" width="10.69921875" style="33" bestFit="1" customWidth="1"/>
    <col min="18" max="18" width="9.8984375" style="33" bestFit="1" customWidth="1"/>
    <col min="19" max="19" width="9.5" style="33" bestFit="1" customWidth="1"/>
    <col min="20" max="20" width="9" style="33" bestFit="1" customWidth="1"/>
    <col min="21" max="21" width="9" style="33" customWidth="1"/>
    <col min="22" max="22" width="9.69921875" style="33" bestFit="1" customWidth="1"/>
    <col min="23" max="23" width="12.5" style="33" bestFit="1" customWidth="1"/>
    <col min="24" max="24" width="9" style="33" customWidth="1"/>
    <col min="25" max="16384" width="9" style="33"/>
  </cols>
  <sheetData>
    <row r="1" spans="2:21" x14ac:dyDescent="0.4">
      <c r="E1" s="35">
        <v>45820</v>
      </c>
      <c r="F1" s="33">
        <f>SUMIFS(P8:P82,G8:G82,E1,H8:H82,"약관")</f>
        <v>0</v>
      </c>
      <c r="H1" s="33">
        <f>SUMIF(H4:H891,"약관",P4:P891)</f>
        <v>27436650</v>
      </c>
      <c r="K1" s="33" t="s">
        <v>470</v>
      </c>
    </row>
    <row r="2" spans="2:21" ht="13.8" customHeight="1" thickBot="1" x14ac:dyDescent="0.45">
      <c r="K2" s="33" t="s">
        <v>471</v>
      </c>
    </row>
    <row r="3" spans="2:21" ht="15" customHeight="1" thickBot="1" x14ac:dyDescent="0.45">
      <c r="B3" s="42" t="s">
        <v>0</v>
      </c>
      <c r="C3" s="200" t="s">
        <v>170</v>
      </c>
      <c r="D3" s="200" t="s">
        <v>472</v>
      </c>
      <c r="E3" s="43" t="s">
        <v>71</v>
      </c>
      <c r="F3" s="43" t="s">
        <v>473</v>
      </c>
      <c r="G3" s="202" t="s">
        <v>118</v>
      </c>
      <c r="H3" s="43" t="s">
        <v>119</v>
      </c>
      <c r="I3" s="43" t="s">
        <v>99</v>
      </c>
      <c r="J3" s="200" t="s">
        <v>121</v>
      </c>
      <c r="K3" s="200" t="s">
        <v>474</v>
      </c>
      <c r="L3" s="200" t="s">
        <v>475</v>
      </c>
      <c r="M3" s="202" t="s">
        <v>476</v>
      </c>
      <c r="N3" s="43" t="s">
        <v>153</v>
      </c>
      <c r="O3" s="207" t="s">
        <v>154</v>
      </c>
      <c r="P3" s="43" t="s">
        <v>123</v>
      </c>
      <c r="Q3" s="43" t="s">
        <v>124</v>
      </c>
      <c r="R3" s="43" t="s">
        <v>477</v>
      </c>
      <c r="S3" s="43" t="s">
        <v>478</v>
      </c>
      <c r="T3" s="46" t="s">
        <v>479</v>
      </c>
    </row>
    <row r="4" spans="2:21" ht="15" customHeight="1" x14ac:dyDescent="0.4">
      <c r="B4" s="38"/>
      <c r="C4" s="6"/>
      <c r="D4" s="6"/>
      <c r="E4" s="34"/>
      <c r="F4" s="212"/>
      <c r="G4" s="195"/>
      <c r="H4" s="8"/>
      <c r="I4" s="212"/>
      <c r="J4" s="8"/>
      <c r="K4" s="23" t="str">
        <f>IF($C4="OTC",ROUNDDOWN($E4*$F4*0.000909187,-1),(IF($C4="신한",ROUNDDOWN($E4*$F4*0.000036396,-1),(IF($C4="토스",$E4*$F4*0.00015,(IF($C4="US",(IF($E4*$F4*0.0025&gt;0.01,$E4*$F4*0.0025,0.01)),IF($C4="JP",(IF($E4*$F4*0.0025&gt;1000,$E4*$F4*0.0025,1000)),(IF($C4="R토스",0,IF($C4="무상증자(신한)",0,"")))))))))))</f>
        <v/>
      </c>
      <c r="L4" s="23" t="str">
        <f>IF($C4="OTC",ROUNDDOWN($I4*$E4*0.000909187,-1),(IF($C4="신한",ROUNDDOWN($I4*$E4*0.000036396,-1),(IF($C4="토스",$I4*$E4*0.00015,(IF($C4="US",(IF($I4*$E4*0.0025&gt;0.01,$I4*$E4*0.0025,0.01)),(IF($C4="JP",(IF($I4*$E4*0.0025&gt;1000,$I4*$E4*0.0025,1000)),(IF($C4="R토스",$I4*$E4*0.00015,(IF($C4="무상증자(신한)",ROUNDDOWN($I4*$E4*0.000036396,-1),"")))))))))))))</f>
        <v/>
      </c>
      <c r="M4" s="206">
        <f>Q4*0.002</f>
        <v>0</v>
      </c>
      <c r="N4" s="34">
        <f>236*E4</f>
        <v>0</v>
      </c>
      <c r="O4" s="209"/>
      <c r="P4" s="34">
        <f t="shared" ref="P4:P67" si="0">$E4*$F4*$D4</f>
        <v>0</v>
      </c>
      <c r="Q4" s="34">
        <f t="shared" ref="Q4:Q67" si="1">$E4*$I4*$D4</f>
        <v>0</v>
      </c>
      <c r="R4" s="7" t="e">
        <f t="shared" ref="R4:R67" si="2">($N4-$K4-$L4-$M4)*$D4</f>
        <v>#VALUE!</v>
      </c>
      <c r="S4" s="227">
        <f t="shared" ref="S4:S67" si="3">IF(Q4=0,0,Q4-P4+R4)</f>
        <v>0</v>
      </c>
      <c r="T4" s="249" t="e">
        <f t="shared" ref="T4:T67" si="4">S4/P4</f>
        <v>#DIV/0!</v>
      </c>
    </row>
    <row r="5" spans="2:21" ht="15" customHeight="1" x14ac:dyDescent="0.4">
      <c r="B5" s="90" t="s">
        <v>76</v>
      </c>
      <c r="C5" s="201" t="s">
        <v>167</v>
      </c>
      <c r="D5" s="201"/>
      <c r="E5" s="91"/>
      <c r="F5" s="212"/>
      <c r="G5" s="203"/>
      <c r="H5" s="204" t="s">
        <v>480</v>
      </c>
      <c r="I5" s="212"/>
      <c r="J5" s="204"/>
      <c r="K5" s="217"/>
      <c r="L5" s="217"/>
      <c r="M5" s="278"/>
      <c r="N5" s="91"/>
      <c r="O5" s="208"/>
      <c r="P5" s="34">
        <f t="shared" si="0"/>
        <v>0</v>
      </c>
      <c r="Q5" s="34">
        <f t="shared" si="1"/>
        <v>0</v>
      </c>
      <c r="R5" s="7">
        <f t="shared" si="2"/>
        <v>0</v>
      </c>
      <c r="S5" s="227">
        <f t="shared" si="3"/>
        <v>0</v>
      </c>
      <c r="T5" s="249" t="e">
        <f t="shared" si="4"/>
        <v>#DIV/0!</v>
      </c>
    </row>
    <row r="6" spans="2:21" ht="15" customHeight="1" x14ac:dyDescent="0.4">
      <c r="B6" s="90" t="s">
        <v>77</v>
      </c>
      <c r="C6" s="201" t="s">
        <v>167</v>
      </c>
      <c r="D6" s="201"/>
      <c r="E6" s="91"/>
      <c r="F6" s="212"/>
      <c r="G6" s="203"/>
      <c r="H6" s="204" t="s">
        <v>481</v>
      </c>
      <c r="I6" s="212"/>
      <c r="J6" s="204"/>
      <c r="K6" s="217"/>
      <c r="L6" s="217"/>
      <c r="M6" s="278"/>
      <c r="N6" s="91"/>
      <c r="O6" s="208"/>
      <c r="P6" s="34">
        <f t="shared" si="0"/>
        <v>0</v>
      </c>
      <c r="Q6" s="34">
        <f t="shared" si="1"/>
        <v>0</v>
      </c>
      <c r="R6" s="7">
        <f t="shared" si="2"/>
        <v>0</v>
      </c>
      <c r="S6" s="227">
        <f t="shared" si="3"/>
        <v>0</v>
      </c>
      <c r="T6" s="249" t="e">
        <f t="shared" si="4"/>
        <v>#DIV/0!</v>
      </c>
    </row>
    <row r="7" spans="2:21" ht="15" customHeight="1" x14ac:dyDescent="0.4">
      <c r="B7" s="90" t="s">
        <v>168</v>
      </c>
      <c r="C7" s="201" t="s">
        <v>167</v>
      </c>
      <c r="D7" s="201" t="str">
        <f t="shared" ref="D7:D31" si="5">IF(OR($C7="신한",$C7="OTC",$C7="무상증자(신한)",$C7="토스",$C7="R토스"),1,"확인")</f>
        <v>확인</v>
      </c>
      <c r="E7" s="91"/>
      <c r="F7" s="212"/>
      <c r="G7" s="203"/>
      <c r="H7" s="204" t="s">
        <v>482</v>
      </c>
      <c r="I7" s="212"/>
      <c r="J7" s="204"/>
      <c r="K7" s="217"/>
      <c r="L7" s="217"/>
      <c r="M7" s="278"/>
      <c r="N7" s="91"/>
      <c r="O7" s="208"/>
      <c r="P7" s="34" t="e">
        <f t="shared" si="0"/>
        <v>#VALUE!</v>
      </c>
      <c r="Q7" s="34" t="e">
        <f t="shared" si="1"/>
        <v>#VALUE!</v>
      </c>
      <c r="R7" s="7" t="e">
        <f t="shared" si="2"/>
        <v>#VALUE!</v>
      </c>
      <c r="S7" s="227" t="e">
        <f t="shared" si="3"/>
        <v>#VALUE!</v>
      </c>
      <c r="T7" s="249" t="e">
        <f t="shared" si="4"/>
        <v>#VALUE!</v>
      </c>
    </row>
    <row r="8" spans="2:21" ht="15" customHeight="1" x14ac:dyDescent="0.4">
      <c r="B8" s="38" t="s">
        <v>102</v>
      </c>
      <c r="C8" s="6" t="s">
        <v>122</v>
      </c>
      <c r="D8" s="6">
        <f t="shared" si="5"/>
        <v>1</v>
      </c>
      <c r="E8" s="34">
        <v>3</v>
      </c>
      <c r="F8" s="212">
        <v>66000</v>
      </c>
      <c r="G8" s="195">
        <v>45824</v>
      </c>
      <c r="H8" s="6" t="s">
        <v>113</v>
      </c>
      <c r="I8" s="212">
        <v>67500</v>
      </c>
      <c r="J8" s="8">
        <v>46134</v>
      </c>
      <c r="K8" s="23">
        <f t="shared" ref="K8:K22" si="6">IF($C8="OTC",ROUNDDOWN($E8*$F8*0.000909187,-1),(IF($C8="신한",ROUNDDOWN($E8*$F8*0.000036396,-1),(IF($C8="토스",$E8*$F8*0.00015,(IF($C8="US",(IF($E8*$F8*0.0025&gt;0.01,$E8*$F8*0.0025,0.01)),IF($C8="JP",(IF($E8*$F8*0.0025&gt;1000,$E8*$F8*0.0025,1000)),(IF($C8="R토스",0,IF($C8="무상증자(신한)",0,"")))))))))))</f>
        <v>29.699999999999996</v>
      </c>
      <c r="L8" s="23">
        <f t="shared" ref="L8:L22" si="7">IF($C8="OTC",ROUNDDOWN($I8*$E8*0.000909187,-1),(IF($C8="신한",ROUNDDOWN($I8*$E8*0.000036396,-1),(IF($C8="토스",$I8*$E8*0.00015,(IF($C8="US",(IF($I8*$E8*0.0025&gt;0.01,$I8*$E8*0.0025,0.01)),(IF($C8="JP",(IF($I8*$E8*0.0025&gt;1000,$I8*$E8*0.0025,1000)),(IF($C8="R토스",$I8*$E8*0.00015,(IF($C8="무상증자(신한)",ROUNDDOWN($I8*$E8*0.000036396,-1),"")))))))))))))</f>
        <v>30.374999999999996</v>
      </c>
      <c r="M8" s="206">
        <f t="shared" ref="M8:M22" si="8">Q8*0.002</f>
        <v>405</v>
      </c>
      <c r="N8" s="34">
        <f>750*E8+1100*E8*(1-0.154)</f>
        <v>5041.7999999999993</v>
      </c>
      <c r="O8" s="209">
        <f t="shared" ref="O8:O22" si="9">J8-G8+1</f>
        <v>311</v>
      </c>
      <c r="P8" s="34">
        <f t="shared" si="0"/>
        <v>198000</v>
      </c>
      <c r="Q8" s="34">
        <f t="shared" si="1"/>
        <v>202500</v>
      </c>
      <c r="R8" s="7">
        <f t="shared" si="2"/>
        <v>4576.7249999999995</v>
      </c>
      <c r="S8" s="227">
        <f t="shared" si="3"/>
        <v>9076.7249999999985</v>
      </c>
      <c r="T8" s="249">
        <f t="shared" si="4"/>
        <v>4.5842045454545448E-2</v>
      </c>
      <c r="U8" s="36">
        <f t="shared" ref="U8:U22" si="10">IF(O8&lt;0,0,P8*0.05*O8/365)</f>
        <v>8435.3424657534251</v>
      </c>
    </row>
    <row r="9" spans="2:21" ht="15" customHeight="1" x14ac:dyDescent="0.4">
      <c r="B9" s="38" t="s">
        <v>102</v>
      </c>
      <c r="C9" s="6" t="s">
        <v>165</v>
      </c>
      <c r="D9" s="6">
        <f t="shared" si="5"/>
        <v>1</v>
      </c>
      <c r="E9" s="34">
        <v>1</v>
      </c>
      <c r="F9" s="212">
        <v>65000</v>
      </c>
      <c r="G9" s="195">
        <v>46008</v>
      </c>
      <c r="H9" s="6"/>
      <c r="I9" s="212">
        <v>67500</v>
      </c>
      <c r="J9" s="8">
        <v>46134</v>
      </c>
      <c r="K9" s="23">
        <f t="shared" si="6"/>
        <v>0</v>
      </c>
      <c r="L9" s="23">
        <f t="shared" si="7"/>
        <v>10.125</v>
      </c>
      <c r="M9" s="206">
        <f t="shared" si="8"/>
        <v>135</v>
      </c>
      <c r="N9" s="34">
        <f t="shared" ref="N9:N22" si="11">E9*1100*(1-0.154)</f>
        <v>930.6</v>
      </c>
      <c r="O9" s="209">
        <f t="shared" si="9"/>
        <v>127</v>
      </c>
      <c r="P9" s="34">
        <f t="shared" si="0"/>
        <v>65000</v>
      </c>
      <c r="Q9" s="34">
        <f t="shared" si="1"/>
        <v>67500</v>
      </c>
      <c r="R9" s="7">
        <f t="shared" si="2"/>
        <v>785.47500000000002</v>
      </c>
      <c r="S9" s="227">
        <f t="shared" si="3"/>
        <v>3285.4749999999999</v>
      </c>
      <c r="T9" s="249">
        <f t="shared" si="4"/>
        <v>5.0545769230769227E-2</v>
      </c>
      <c r="U9" s="36">
        <f t="shared" si="10"/>
        <v>1130.8219178082193</v>
      </c>
    </row>
    <row r="10" spans="2:21" ht="15" customHeight="1" x14ac:dyDescent="0.4">
      <c r="B10" s="38" t="s">
        <v>102</v>
      </c>
      <c r="C10" s="6" t="s">
        <v>165</v>
      </c>
      <c r="D10" s="6">
        <f t="shared" si="5"/>
        <v>1</v>
      </c>
      <c r="E10" s="34">
        <v>1</v>
      </c>
      <c r="F10" s="212">
        <v>63000</v>
      </c>
      <c r="G10" s="195">
        <v>46015</v>
      </c>
      <c r="H10" s="6"/>
      <c r="I10" s="212">
        <v>67500</v>
      </c>
      <c r="J10" s="8">
        <v>46134</v>
      </c>
      <c r="K10" s="23">
        <f t="shared" si="6"/>
        <v>0</v>
      </c>
      <c r="L10" s="23">
        <f t="shared" si="7"/>
        <v>10.125</v>
      </c>
      <c r="M10" s="206">
        <f t="shared" si="8"/>
        <v>135</v>
      </c>
      <c r="N10" s="34">
        <f t="shared" si="11"/>
        <v>930.6</v>
      </c>
      <c r="O10" s="209">
        <f t="shared" si="9"/>
        <v>120</v>
      </c>
      <c r="P10" s="34">
        <f t="shared" si="0"/>
        <v>63000</v>
      </c>
      <c r="Q10" s="34">
        <f t="shared" si="1"/>
        <v>67500</v>
      </c>
      <c r="R10" s="7">
        <f t="shared" si="2"/>
        <v>785.47500000000002</v>
      </c>
      <c r="S10" s="227">
        <f t="shared" si="3"/>
        <v>5285.4750000000004</v>
      </c>
      <c r="T10" s="249">
        <f t="shared" si="4"/>
        <v>8.389642857142858E-2</v>
      </c>
      <c r="U10" s="36">
        <f t="shared" si="10"/>
        <v>1035.6164383561643</v>
      </c>
    </row>
    <row r="11" spans="2:21" ht="15" customHeight="1" x14ac:dyDescent="0.4">
      <c r="B11" s="38" t="s">
        <v>102</v>
      </c>
      <c r="C11" s="6" t="s">
        <v>165</v>
      </c>
      <c r="D11" s="6">
        <f t="shared" si="5"/>
        <v>1</v>
      </c>
      <c r="E11" s="34">
        <v>1</v>
      </c>
      <c r="F11" s="212">
        <v>60900</v>
      </c>
      <c r="G11" s="195">
        <v>46024</v>
      </c>
      <c r="H11" s="6"/>
      <c r="I11" s="212">
        <v>67500</v>
      </c>
      <c r="J11" s="8">
        <v>46134</v>
      </c>
      <c r="K11" s="23">
        <f t="shared" si="6"/>
        <v>0</v>
      </c>
      <c r="L11" s="23">
        <f t="shared" si="7"/>
        <v>10.125</v>
      </c>
      <c r="M11" s="206">
        <f t="shared" si="8"/>
        <v>135</v>
      </c>
      <c r="N11" s="34">
        <f t="shared" si="11"/>
        <v>930.6</v>
      </c>
      <c r="O11" s="209">
        <f t="shared" si="9"/>
        <v>111</v>
      </c>
      <c r="P11" s="34">
        <f t="shared" si="0"/>
        <v>60900</v>
      </c>
      <c r="Q11" s="34">
        <f t="shared" si="1"/>
        <v>67500</v>
      </c>
      <c r="R11" s="7">
        <f t="shared" si="2"/>
        <v>785.47500000000002</v>
      </c>
      <c r="S11" s="227">
        <f t="shared" si="3"/>
        <v>7385.4750000000004</v>
      </c>
      <c r="T11" s="249">
        <f t="shared" si="4"/>
        <v>0.12127216748768474</v>
      </c>
      <c r="U11" s="36">
        <f t="shared" si="10"/>
        <v>926.01369863013701</v>
      </c>
    </row>
    <row r="12" spans="2:21" ht="15" customHeight="1" x14ac:dyDescent="0.4">
      <c r="B12" s="38" t="s">
        <v>102</v>
      </c>
      <c r="C12" s="6" t="s">
        <v>165</v>
      </c>
      <c r="D12" s="6">
        <f t="shared" si="5"/>
        <v>1</v>
      </c>
      <c r="E12" s="34">
        <v>1</v>
      </c>
      <c r="F12" s="212">
        <v>62000</v>
      </c>
      <c r="G12" s="195">
        <v>46029</v>
      </c>
      <c r="H12" s="6"/>
      <c r="I12" s="212">
        <v>67500</v>
      </c>
      <c r="J12" s="8">
        <v>46134</v>
      </c>
      <c r="K12" s="23">
        <f t="shared" si="6"/>
        <v>0</v>
      </c>
      <c r="L12" s="23">
        <f t="shared" si="7"/>
        <v>10.125</v>
      </c>
      <c r="M12" s="206">
        <f t="shared" si="8"/>
        <v>135</v>
      </c>
      <c r="N12" s="34">
        <f t="shared" si="11"/>
        <v>930.6</v>
      </c>
      <c r="O12" s="209">
        <f t="shared" si="9"/>
        <v>106</v>
      </c>
      <c r="P12" s="34">
        <f t="shared" si="0"/>
        <v>62000</v>
      </c>
      <c r="Q12" s="34">
        <f t="shared" si="1"/>
        <v>67500</v>
      </c>
      <c r="R12" s="7">
        <f t="shared" si="2"/>
        <v>785.47500000000002</v>
      </c>
      <c r="S12" s="227">
        <f t="shared" si="3"/>
        <v>6285.4750000000004</v>
      </c>
      <c r="T12" s="249">
        <f t="shared" si="4"/>
        <v>0.10137862903225807</v>
      </c>
      <c r="U12" s="36">
        <f t="shared" si="10"/>
        <v>900.27397260273972</v>
      </c>
    </row>
    <row r="13" spans="2:21" ht="15" customHeight="1" x14ac:dyDescent="0.4">
      <c r="B13" s="38" t="s">
        <v>102</v>
      </c>
      <c r="C13" s="6" t="s">
        <v>165</v>
      </c>
      <c r="D13" s="6">
        <f t="shared" si="5"/>
        <v>1</v>
      </c>
      <c r="E13" s="34">
        <v>1</v>
      </c>
      <c r="F13" s="212">
        <v>62100</v>
      </c>
      <c r="G13" s="195">
        <v>46036</v>
      </c>
      <c r="H13" s="6"/>
      <c r="I13" s="212">
        <v>67500</v>
      </c>
      <c r="J13" s="8">
        <v>46134</v>
      </c>
      <c r="K13" s="23">
        <f t="shared" si="6"/>
        <v>0</v>
      </c>
      <c r="L13" s="23">
        <f t="shared" si="7"/>
        <v>10.125</v>
      </c>
      <c r="M13" s="206">
        <f t="shared" si="8"/>
        <v>135</v>
      </c>
      <c r="N13" s="34">
        <f t="shared" si="11"/>
        <v>930.6</v>
      </c>
      <c r="O13" s="209">
        <f t="shared" si="9"/>
        <v>99</v>
      </c>
      <c r="P13" s="34">
        <f t="shared" si="0"/>
        <v>62100</v>
      </c>
      <c r="Q13" s="34">
        <f t="shared" si="1"/>
        <v>67500</v>
      </c>
      <c r="R13" s="7">
        <f t="shared" si="2"/>
        <v>785.47500000000002</v>
      </c>
      <c r="S13" s="227">
        <f t="shared" si="3"/>
        <v>6185.4750000000004</v>
      </c>
      <c r="T13" s="249">
        <f t="shared" si="4"/>
        <v>9.9605072463768124E-2</v>
      </c>
      <c r="U13" s="36">
        <f t="shared" si="10"/>
        <v>842.17808219178085</v>
      </c>
    </row>
    <row r="14" spans="2:21" ht="15" customHeight="1" x14ac:dyDescent="0.4">
      <c r="B14" s="38" t="s">
        <v>102</v>
      </c>
      <c r="C14" s="6" t="s">
        <v>165</v>
      </c>
      <c r="D14" s="6">
        <f t="shared" si="5"/>
        <v>1</v>
      </c>
      <c r="E14" s="34">
        <v>1</v>
      </c>
      <c r="F14" s="212">
        <v>68900</v>
      </c>
      <c r="G14" s="195">
        <v>46043</v>
      </c>
      <c r="H14" s="6"/>
      <c r="I14" s="212">
        <v>67500</v>
      </c>
      <c r="J14" s="8">
        <v>46134</v>
      </c>
      <c r="K14" s="23">
        <f t="shared" si="6"/>
        <v>0</v>
      </c>
      <c r="L14" s="23">
        <f t="shared" si="7"/>
        <v>10.125</v>
      </c>
      <c r="M14" s="206">
        <f t="shared" si="8"/>
        <v>135</v>
      </c>
      <c r="N14" s="34">
        <f t="shared" si="11"/>
        <v>930.6</v>
      </c>
      <c r="O14" s="209">
        <f t="shared" si="9"/>
        <v>92</v>
      </c>
      <c r="P14" s="34">
        <f t="shared" si="0"/>
        <v>68900</v>
      </c>
      <c r="Q14" s="34">
        <f t="shared" si="1"/>
        <v>67500</v>
      </c>
      <c r="R14" s="7">
        <f t="shared" si="2"/>
        <v>785.47500000000002</v>
      </c>
      <c r="S14" s="227">
        <f t="shared" si="3"/>
        <v>-614.52499999999998</v>
      </c>
      <c r="T14" s="249">
        <f t="shared" si="4"/>
        <v>-8.9190856313497817E-3</v>
      </c>
      <c r="U14" s="36">
        <f t="shared" si="10"/>
        <v>868.32876712328766</v>
      </c>
    </row>
    <row r="15" spans="2:21" ht="15" customHeight="1" x14ac:dyDescent="0.4">
      <c r="B15" s="38" t="s">
        <v>102</v>
      </c>
      <c r="C15" s="6" t="s">
        <v>165</v>
      </c>
      <c r="D15" s="6">
        <f t="shared" si="5"/>
        <v>1</v>
      </c>
      <c r="E15" s="34">
        <v>1</v>
      </c>
      <c r="F15" s="212">
        <v>69300</v>
      </c>
      <c r="G15" s="195">
        <v>46050</v>
      </c>
      <c r="H15" s="6"/>
      <c r="I15" s="212">
        <v>67500</v>
      </c>
      <c r="J15" s="8">
        <v>46134</v>
      </c>
      <c r="K15" s="23">
        <f t="shared" si="6"/>
        <v>0</v>
      </c>
      <c r="L15" s="23">
        <f t="shared" si="7"/>
        <v>10.125</v>
      </c>
      <c r="M15" s="206">
        <f t="shared" si="8"/>
        <v>135</v>
      </c>
      <c r="N15" s="34">
        <f t="shared" si="11"/>
        <v>930.6</v>
      </c>
      <c r="O15" s="209">
        <f t="shared" si="9"/>
        <v>85</v>
      </c>
      <c r="P15" s="34">
        <f t="shared" si="0"/>
        <v>69300</v>
      </c>
      <c r="Q15" s="34">
        <f t="shared" si="1"/>
        <v>67500</v>
      </c>
      <c r="R15" s="7">
        <f t="shared" si="2"/>
        <v>785.47500000000002</v>
      </c>
      <c r="S15" s="227">
        <f t="shared" si="3"/>
        <v>-1014.525</v>
      </c>
      <c r="T15" s="249">
        <f t="shared" si="4"/>
        <v>-1.463961038961039E-2</v>
      </c>
      <c r="U15" s="36">
        <f t="shared" si="10"/>
        <v>806.91780821917803</v>
      </c>
    </row>
    <row r="16" spans="2:21" ht="15" customHeight="1" x14ac:dyDescent="0.4">
      <c r="B16" s="38" t="s">
        <v>102</v>
      </c>
      <c r="C16" s="6" t="s">
        <v>165</v>
      </c>
      <c r="D16" s="6">
        <f t="shared" si="5"/>
        <v>1</v>
      </c>
      <c r="E16" s="34">
        <v>1</v>
      </c>
      <c r="F16" s="212">
        <v>70400</v>
      </c>
      <c r="G16" s="195">
        <v>46057</v>
      </c>
      <c r="H16" s="6"/>
      <c r="I16" s="212">
        <v>67500</v>
      </c>
      <c r="J16" s="8">
        <v>46134</v>
      </c>
      <c r="K16" s="23">
        <f t="shared" si="6"/>
        <v>0</v>
      </c>
      <c r="L16" s="23">
        <f t="shared" si="7"/>
        <v>10.125</v>
      </c>
      <c r="M16" s="206">
        <f t="shared" si="8"/>
        <v>135</v>
      </c>
      <c r="N16" s="34">
        <f t="shared" si="11"/>
        <v>930.6</v>
      </c>
      <c r="O16" s="209">
        <f t="shared" si="9"/>
        <v>78</v>
      </c>
      <c r="P16" s="34">
        <f t="shared" si="0"/>
        <v>70400</v>
      </c>
      <c r="Q16" s="34">
        <f t="shared" si="1"/>
        <v>67500</v>
      </c>
      <c r="R16" s="7">
        <f t="shared" si="2"/>
        <v>785.47500000000002</v>
      </c>
      <c r="S16" s="227">
        <f t="shared" si="3"/>
        <v>-2114.5250000000001</v>
      </c>
      <c r="T16" s="249">
        <f t="shared" si="4"/>
        <v>-3.003586647727273E-2</v>
      </c>
      <c r="U16" s="36">
        <f t="shared" si="10"/>
        <v>752.21917808219177</v>
      </c>
    </row>
    <row r="17" spans="2:21" ht="15" customHeight="1" x14ac:dyDescent="0.4">
      <c r="B17" s="38" t="s">
        <v>102</v>
      </c>
      <c r="C17" s="6" t="s">
        <v>165</v>
      </c>
      <c r="D17" s="6">
        <f t="shared" si="5"/>
        <v>1</v>
      </c>
      <c r="E17" s="34">
        <v>1</v>
      </c>
      <c r="F17" s="212">
        <v>68400</v>
      </c>
      <c r="G17" s="195">
        <v>46064</v>
      </c>
      <c r="H17" s="6"/>
      <c r="I17" s="212">
        <v>67500</v>
      </c>
      <c r="J17" s="8">
        <v>46134</v>
      </c>
      <c r="K17" s="23">
        <f t="shared" si="6"/>
        <v>0</v>
      </c>
      <c r="L17" s="23">
        <f t="shared" si="7"/>
        <v>10.125</v>
      </c>
      <c r="M17" s="206">
        <f t="shared" si="8"/>
        <v>135</v>
      </c>
      <c r="N17" s="34">
        <f t="shared" si="11"/>
        <v>930.6</v>
      </c>
      <c r="O17" s="209">
        <f t="shared" si="9"/>
        <v>71</v>
      </c>
      <c r="P17" s="34">
        <f t="shared" si="0"/>
        <v>68400</v>
      </c>
      <c r="Q17" s="34">
        <f t="shared" si="1"/>
        <v>67500</v>
      </c>
      <c r="R17" s="7">
        <f t="shared" si="2"/>
        <v>785.47500000000002</v>
      </c>
      <c r="S17" s="227">
        <f t="shared" si="3"/>
        <v>-114.52499999999998</v>
      </c>
      <c r="T17" s="249">
        <f t="shared" si="4"/>
        <v>-1.6743421052631577E-3</v>
      </c>
      <c r="U17" s="36">
        <f t="shared" si="10"/>
        <v>665.2602739726027</v>
      </c>
    </row>
    <row r="18" spans="2:21" ht="15" customHeight="1" x14ac:dyDescent="0.4">
      <c r="B18" s="38" t="s">
        <v>102</v>
      </c>
      <c r="C18" s="6" t="s">
        <v>165</v>
      </c>
      <c r="D18" s="6">
        <f t="shared" si="5"/>
        <v>1</v>
      </c>
      <c r="E18" s="34">
        <v>1</v>
      </c>
      <c r="F18" s="212">
        <v>70900</v>
      </c>
      <c r="G18" s="195">
        <v>46072</v>
      </c>
      <c r="H18" s="6"/>
      <c r="I18" s="212">
        <v>67500</v>
      </c>
      <c r="J18" s="8">
        <v>46134</v>
      </c>
      <c r="K18" s="23">
        <f t="shared" si="6"/>
        <v>0</v>
      </c>
      <c r="L18" s="23">
        <f t="shared" si="7"/>
        <v>10.125</v>
      </c>
      <c r="M18" s="206">
        <f t="shared" si="8"/>
        <v>135</v>
      </c>
      <c r="N18" s="34">
        <f t="shared" si="11"/>
        <v>930.6</v>
      </c>
      <c r="O18" s="209">
        <f t="shared" si="9"/>
        <v>63</v>
      </c>
      <c r="P18" s="34">
        <f t="shared" si="0"/>
        <v>70900</v>
      </c>
      <c r="Q18" s="34">
        <f t="shared" si="1"/>
        <v>67500</v>
      </c>
      <c r="R18" s="7">
        <f t="shared" si="2"/>
        <v>785.47500000000002</v>
      </c>
      <c r="S18" s="227">
        <f t="shared" si="3"/>
        <v>-2614.5250000000001</v>
      </c>
      <c r="T18" s="249">
        <f t="shared" si="4"/>
        <v>-3.68762341325811E-2</v>
      </c>
      <c r="U18" s="36">
        <f t="shared" si="10"/>
        <v>611.8767123287671</v>
      </c>
    </row>
    <row r="19" spans="2:21" ht="15" customHeight="1" x14ac:dyDescent="0.4">
      <c r="B19" s="38" t="s">
        <v>102</v>
      </c>
      <c r="C19" s="6" t="s">
        <v>165</v>
      </c>
      <c r="D19" s="6">
        <f t="shared" si="5"/>
        <v>1</v>
      </c>
      <c r="E19" s="34">
        <v>1</v>
      </c>
      <c r="F19" s="212">
        <v>69900</v>
      </c>
      <c r="G19" s="195">
        <v>46078</v>
      </c>
      <c r="H19" s="6"/>
      <c r="I19" s="212">
        <v>67500</v>
      </c>
      <c r="J19" s="8">
        <v>46134</v>
      </c>
      <c r="K19" s="23">
        <f t="shared" si="6"/>
        <v>0</v>
      </c>
      <c r="L19" s="23">
        <f t="shared" si="7"/>
        <v>10.125</v>
      </c>
      <c r="M19" s="206">
        <f t="shared" si="8"/>
        <v>135</v>
      </c>
      <c r="N19" s="34">
        <f t="shared" si="11"/>
        <v>930.6</v>
      </c>
      <c r="O19" s="209">
        <f t="shared" si="9"/>
        <v>57</v>
      </c>
      <c r="P19" s="34">
        <f t="shared" si="0"/>
        <v>69900</v>
      </c>
      <c r="Q19" s="34">
        <f t="shared" si="1"/>
        <v>67500</v>
      </c>
      <c r="R19" s="7">
        <f t="shared" si="2"/>
        <v>785.47500000000002</v>
      </c>
      <c r="S19" s="227">
        <f t="shared" si="3"/>
        <v>-1614.5250000000001</v>
      </c>
      <c r="T19" s="249">
        <f t="shared" si="4"/>
        <v>-2.3097639484978543E-2</v>
      </c>
      <c r="U19" s="36">
        <f t="shared" si="10"/>
        <v>545.79452054794524</v>
      </c>
    </row>
    <row r="20" spans="2:21" ht="15" customHeight="1" x14ac:dyDescent="0.4">
      <c r="B20" s="38" t="s">
        <v>102</v>
      </c>
      <c r="C20" s="6" t="s">
        <v>165</v>
      </c>
      <c r="D20" s="6">
        <f t="shared" si="5"/>
        <v>1</v>
      </c>
      <c r="E20" s="34">
        <v>1</v>
      </c>
      <c r="F20" s="212">
        <v>64100</v>
      </c>
      <c r="G20" s="195">
        <v>46085</v>
      </c>
      <c r="H20" s="6"/>
      <c r="I20" s="212">
        <v>67500</v>
      </c>
      <c r="J20" s="8">
        <v>46134</v>
      </c>
      <c r="K20" s="23">
        <f t="shared" si="6"/>
        <v>0</v>
      </c>
      <c r="L20" s="23">
        <f t="shared" si="7"/>
        <v>10.125</v>
      </c>
      <c r="M20" s="206">
        <f t="shared" si="8"/>
        <v>135</v>
      </c>
      <c r="N20" s="34">
        <f t="shared" si="11"/>
        <v>930.6</v>
      </c>
      <c r="O20" s="209">
        <f t="shared" si="9"/>
        <v>50</v>
      </c>
      <c r="P20" s="34">
        <f t="shared" si="0"/>
        <v>64100</v>
      </c>
      <c r="Q20" s="34">
        <f t="shared" si="1"/>
        <v>67500</v>
      </c>
      <c r="R20" s="7">
        <f t="shared" si="2"/>
        <v>785.47500000000002</v>
      </c>
      <c r="S20" s="227">
        <f t="shared" si="3"/>
        <v>4185.4750000000004</v>
      </c>
      <c r="T20" s="249">
        <f t="shared" si="4"/>
        <v>6.5296021840873644E-2</v>
      </c>
      <c r="U20" s="36">
        <f t="shared" si="10"/>
        <v>439.04109589041099</v>
      </c>
    </row>
    <row r="21" spans="2:21" ht="15" customHeight="1" x14ac:dyDescent="0.4">
      <c r="B21" s="38" t="s">
        <v>102</v>
      </c>
      <c r="C21" s="6" t="s">
        <v>165</v>
      </c>
      <c r="D21" s="6">
        <f t="shared" si="5"/>
        <v>1</v>
      </c>
      <c r="E21" s="34">
        <v>1</v>
      </c>
      <c r="F21" s="212">
        <v>66800</v>
      </c>
      <c r="G21" s="195">
        <v>46092</v>
      </c>
      <c r="H21" s="6"/>
      <c r="I21" s="212">
        <v>67500</v>
      </c>
      <c r="J21" s="8">
        <v>46134</v>
      </c>
      <c r="K21" s="23">
        <f t="shared" si="6"/>
        <v>0</v>
      </c>
      <c r="L21" s="23">
        <f t="shared" si="7"/>
        <v>10.125</v>
      </c>
      <c r="M21" s="206">
        <f t="shared" si="8"/>
        <v>135</v>
      </c>
      <c r="N21" s="34">
        <f t="shared" si="11"/>
        <v>930.6</v>
      </c>
      <c r="O21" s="209">
        <f t="shared" si="9"/>
        <v>43</v>
      </c>
      <c r="P21" s="34">
        <f t="shared" si="0"/>
        <v>66800</v>
      </c>
      <c r="Q21" s="34">
        <f t="shared" si="1"/>
        <v>67500</v>
      </c>
      <c r="R21" s="7">
        <f t="shared" si="2"/>
        <v>785.47500000000002</v>
      </c>
      <c r="S21" s="227">
        <f t="shared" si="3"/>
        <v>1485.4749999999999</v>
      </c>
      <c r="T21" s="249">
        <f t="shared" si="4"/>
        <v>2.2237649700598799E-2</v>
      </c>
      <c r="U21" s="36">
        <f t="shared" si="10"/>
        <v>393.47945205479454</v>
      </c>
    </row>
    <row r="22" spans="2:21" ht="15" customHeight="1" x14ac:dyDescent="0.4">
      <c r="B22" s="38" t="s">
        <v>102</v>
      </c>
      <c r="C22" s="6" t="s">
        <v>165</v>
      </c>
      <c r="D22" s="6">
        <f t="shared" si="5"/>
        <v>1</v>
      </c>
      <c r="E22" s="34">
        <v>1</v>
      </c>
      <c r="F22" s="212">
        <v>67400</v>
      </c>
      <c r="G22" s="195">
        <v>46099</v>
      </c>
      <c r="H22" s="6"/>
      <c r="I22" s="212">
        <v>67500</v>
      </c>
      <c r="J22" s="8">
        <v>46134</v>
      </c>
      <c r="K22" s="23">
        <f t="shared" si="6"/>
        <v>0</v>
      </c>
      <c r="L22" s="23">
        <f t="shared" si="7"/>
        <v>10.125</v>
      </c>
      <c r="M22" s="206">
        <f t="shared" si="8"/>
        <v>135</v>
      </c>
      <c r="N22" s="34">
        <f t="shared" si="11"/>
        <v>930.6</v>
      </c>
      <c r="O22" s="209">
        <f t="shared" si="9"/>
        <v>36</v>
      </c>
      <c r="P22" s="34">
        <f t="shared" si="0"/>
        <v>67400</v>
      </c>
      <c r="Q22" s="34">
        <f t="shared" si="1"/>
        <v>67500</v>
      </c>
      <c r="R22" s="7">
        <f t="shared" si="2"/>
        <v>785.47500000000002</v>
      </c>
      <c r="S22" s="227">
        <f t="shared" si="3"/>
        <v>885.47500000000002</v>
      </c>
      <c r="T22" s="249">
        <f t="shared" si="4"/>
        <v>1.3137611275964392E-2</v>
      </c>
      <c r="U22" s="36">
        <f t="shared" si="10"/>
        <v>332.38356164383561</v>
      </c>
    </row>
    <row r="23" spans="2:21" ht="15" customHeight="1" x14ac:dyDescent="0.4">
      <c r="B23" s="90" t="s">
        <v>483</v>
      </c>
      <c r="C23" s="201" t="s">
        <v>167</v>
      </c>
      <c r="D23" s="201" t="str">
        <f t="shared" si="5"/>
        <v>확인</v>
      </c>
      <c r="E23" s="91"/>
      <c r="F23" s="212"/>
      <c r="G23" s="203"/>
      <c r="H23" s="201" t="s">
        <v>484</v>
      </c>
      <c r="I23" s="212"/>
      <c r="J23" s="204"/>
      <c r="K23" s="217"/>
      <c r="L23" s="217"/>
      <c r="M23" s="278"/>
      <c r="N23" s="91"/>
      <c r="O23" s="208"/>
      <c r="P23" s="34" t="e">
        <f t="shared" si="0"/>
        <v>#VALUE!</v>
      </c>
      <c r="Q23" s="34" t="e">
        <f t="shared" si="1"/>
        <v>#VALUE!</v>
      </c>
      <c r="R23" s="7" t="e">
        <f t="shared" si="2"/>
        <v>#VALUE!</v>
      </c>
      <c r="S23" s="227" t="e">
        <f t="shared" si="3"/>
        <v>#VALUE!</v>
      </c>
      <c r="T23" s="249" t="e">
        <f t="shared" si="4"/>
        <v>#VALUE!</v>
      </c>
    </row>
    <row r="24" spans="2:21" ht="15" customHeight="1" x14ac:dyDescent="0.4">
      <c r="B24" s="90" t="s">
        <v>80</v>
      </c>
      <c r="C24" s="201" t="s">
        <v>167</v>
      </c>
      <c r="D24" s="201" t="str">
        <f t="shared" si="5"/>
        <v>확인</v>
      </c>
      <c r="E24" s="91"/>
      <c r="F24" s="212"/>
      <c r="G24" s="203"/>
      <c r="H24" s="201" t="s">
        <v>485</v>
      </c>
      <c r="I24" s="212"/>
      <c r="J24" s="204"/>
      <c r="K24" s="217"/>
      <c r="L24" s="217"/>
      <c r="M24" s="278"/>
      <c r="N24" s="91"/>
      <c r="O24" s="208"/>
      <c r="P24" s="34" t="e">
        <f t="shared" si="0"/>
        <v>#VALUE!</v>
      </c>
      <c r="Q24" s="34" t="e">
        <f t="shared" si="1"/>
        <v>#VALUE!</v>
      </c>
      <c r="R24" s="7" t="e">
        <f t="shared" si="2"/>
        <v>#VALUE!</v>
      </c>
      <c r="S24" s="227" t="e">
        <f t="shared" si="3"/>
        <v>#VALUE!</v>
      </c>
      <c r="T24" s="249" t="e">
        <f t="shared" si="4"/>
        <v>#VALUE!</v>
      </c>
    </row>
    <row r="25" spans="2:21" ht="15" customHeight="1" x14ac:dyDescent="0.4">
      <c r="B25" s="38" t="s">
        <v>219</v>
      </c>
      <c r="C25" s="6" t="s">
        <v>160</v>
      </c>
      <c r="D25" s="6">
        <f t="shared" si="5"/>
        <v>1</v>
      </c>
      <c r="E25" s="34">
        <v>6</v>
      </c>
      <c r="F25" s="212">
        <v>805000</v>
      </c>
      <c r="G25" s="195">
        <v>46112</v>
      </c>
      <c r="H25" s="6"/>
      <c r="I25" s="212">
        <v>1025000</v>
      </c>
      <c r="J25" s="8">
        <v>46122</v>
      </c>
      <c r="K25" s="23">
        <f>IF($C25="OTC",ROUNDDOWN($E25*$F25*0.000909187,-1),(IF($C25="신한",ROUNDDOWN($E25*$F25*0.000036396,-1),(IF($C25="토스",$E25*$F25*0.00015,(IF($C25="US",(IF($E25*$F25*0.0025&gt;0.01,$E25*$F25*0.0025,0.01)),IF($C25="JP",(IF($E25*$F25*0.0025&gt;1000,$E25*$F25*0.0025,1000)),(IF($C25="R토스",0,IF($C25="무상증자(신한)",0,"")))))))))))</f>
        <v>170</v>
      </c>
      <c r="L25" s="23">
        <f>IF($C25="OTC",ROUNDDOWN($I25*$E25*0.000909187,-1),(IF($C25="신한",ROUNDDOWN($I25*$E25*0.000036396,-1),(IF($C25="토스",$I25*$E25*0.00015,(IF($C25="US",(IF($I25*$E25*0.0025&gt;0.01,$I25*$E25*0.0025,0.01)),(IF($C25="JP",(IF($I25*$E25*0.0025&gt;1000,$I25*$E25*0.0025,1000)),(IF($C25="R토스",$I25*$E25*0.00015,(IF($C25="무상증자(신한)",ROUNDDOWN($I25*$E25*0.000036396,-1),"")))))))))))))</f>
        <v>220</v>
      </c>
      <c r="M25" s="206">
        <f t="shared" ref="M25:M31" si="12">Q25*0.002</f>
        <v>12300</v>
      </c>
      <c r="N25" s="34"/>
      <c r="O25" s="209">
        <f t="shared" ref="O25:O88" si="13">J25-G25+1</f>
        <v>11</v>
      </c>
      <c r="P25" s="34">
        <f t="shared" si="0"/>
        <v>4830000</v>
      </c>
      <c r="Q25" s="34">
        <f t="shared" si="1"/>
        <v>6150000</v>
      </c>
      <c r="R25" s="7">
        <f t="shared" si="2"/>
        <v>-12690</v>
      </c>
      <c r="S25" s="227">
        <f t="shared" si="3"/>
        <v>1307310</v>
      </c>
      <c r="T25" s="249">
        <f t="shared" si="4"/>
        <v>0.27066459627329192</v>
      </c>
      <c r="U25" s="36">
        <f>IF(O25&lt;0,0,P25*0.05*O25/365)</f>
        <v>7278.0821917808216</v>
      </c>
    </row>
    <row r="26" spans="2:21" ht="15" customHeight="1" x14ac:dyDescent="0.4">
      <c r="B26" s="38" t="s">
        <v>219</v>
      </c>
      <c r="C26" s="6" t="s">
        <v>122</v>
      </c>
      <c r="D26" s="6">
        <f t="shared" si="5"/>
        <v>1</v>
      </c>
      <c r="E26" s="34">
        <v>8</v>
      </c>
      <c r="F26" s="212">
        <v>1240000</v>
      </c>
      <c r="G26" s="195">
        <v>46139</v>
      </c>
      <c r="H26" s="6"/>
      <c r="I26" s="212">
        <v>1243000</v>
      </c>
      <c r="J26" s="8">
        <v>46134</v>
      </c>
      <c r="K26" s="307">
        <v>0</v>
      </c>
      <c r="L26" s="307">
        <v>0</v>
      </c>
      <c r="M26" s="206">
        <f t="shared" si="12"/>
        <v>19888</v>
      </c>
      <c r="N26" s="34"/>
      <c r="O26" s="209">
        <f t="shared" si="13"/>
        <v>-4</v>
      </c>
      <c r="P26" s="34">
        <f t="shared" si="0"/>
        <v>9920000</v>
      </c>
      <c r="Q26" s="34">
        <f t="shared" si="1"/>
        <v>9944000</v>
      </c>
      <c r="R26" s="7">
        <f t="shared" si="2"/>
        <v>-19888</v>
      </c>
      <c r="S26" s="227">
        <f t="shared" si="3"/>
        <v>4112</v>
      </c>
      <c r="T26" s="249">
        <f t="shared" si="4"/>
        <v>4.1451612903225805E-4</v>
      </c>
      <c r="U26" s="36">
        <f>IF(O26&lt;0,0,P26*0.05*O26/365)</f>
        <v>0</v>
      </c>
    </row>
    <row r="27" spans="2:21" ht="15" customHeight="1" x14ac:dyDescent="0.4">
      <c r="B27" s="38" t="s">
        <v>219</v>
      </c>
      <c r="C27" s="6" t="s">
        <v>122</v>
      </c>
      <c r="D27" s="6">
        <f t="shared" si="5"/>
        <v>1</v>
      </c>
      <c r="E27" s="34">
        <v>80</v>
      </c>
      <c r="F27" s="212">
        <v>1239000</v>
      </c>
      <c r="G27" s="195">
        <v>46139</v>
      </c>
      <c r="H27" s="6"/>
      <c r="I27" s="212">
        <v>1243000</v>
      </c>
      <c r="J27" s="8">
        <v>46134</v>
      </c>
      <c r="K27" s="307">
        <v>0</v>
      </c>
      <c r="L27" s="307">
        <v>0</v>
      </c>
      <c r="M27" s="206">
        <f t="shared" si="12"/>
        <v>198880</v>
      </c>
      <c r="N27" s="34"/>
      <c r="O27" s="209">
        <f t="shared" si="13"/>
        <v>-4</v>
      </c>
      <c r="P27" s="34">
        <f t="shared" si="0"/>
        <v>99120000</v>
      </c>
      <c r="Q27" s="34">
        <f t="shared" si="1"/>
        <v>99440000</v>
      </c>
      <c r="R27" s="7">
        <f t="shared" si="2"/>
        <v>-198880</v>
      </c>
      <c r="S27" s="227">
        <f t="shared" si="3"/>
        <v>121120</v>
      </c>
      <c r="T27" s="249">
        <f t="shared" si="4"/>
        <v>1.2219531880548829E-3</v>
      </c>
      <c r="U27" s="36">
        <f>IF(O27&lt;0,0,P27*0.05*O27/365)</f>
        <v>0</v>
      </c>
    </row>
    <row r="28" spans="2:21" ht="15" customHeight="1" x14ac:dyDescent="0.4">
      <c r="B28" s="38" t="s">
        <v>486</v>
      </c>
      <c r="C28" s="6" t="s">
        <v>160</v>
      </c>
      <c r="D28" s="6">
        <f t="shared" si="5"/>
        <v>1</v>
      </c>
      <c r="E28" s="34">
        <v>23</v>
      </c>
      <c r="F28" s="212">
        <v>88005</v>
      </c>
      <c r="G28" s="195">
        <v>46086</v>
      </c>
      <c r="H28" s="6"/>
      <c r="I28" s="212">
        <v>95000</v>
      </c>
      <c r="J28" s="8">
        <v>46126</v>
      </c>
      <c r="K28" s="23">
        <f t="shared" ref="K28:K56" si="14">IF($C28="OTC",ROUNDDOWN($E28*$F28*0.000909187,-1),(IF($C28="신한",ROUNDDOWN($E28*$F28*0.000036396,-1),(IF($C28="토스",$E28*$F28*0.00015,(IF($C28="US",(IF($E28*$F28*0.0025&gt;0.01,$E28*$F28*0.0025,0.01)),IF($C28="JP",(IF($E28*$F28*0.0025&gt;1000,$E28*$F28*0.0025,1000)),(IF($C28="R토스",0,IF($C28="무상증자(신한)",0,"")))))))))))</f>
        <v>70</v>
      </c>
      <c r="L28" s="23">
        <f t="shared" ref="L28:L43" si="15">IF($C28="OTC",ROUNDDOWN($I28*$E28*0.000909187,-1),(IF($C28="신한",ROUNDDOWN($I28*$E28*0.000036396,-1),(IF($C28="토스",$I28*$E28*0.00015,(IF($C28="US",(IF($I28*$E28*0.0025&gt;0.01,$I28*$E28*0.0025,0.01)),(IF($C28="JP",(IF($I28*$E28*0.0025&gt;1000,$I28*$E28*0.0025,1000)),(IF($C28="R토스",$I28*$E28*0.00015,(IF($C28="무상증자(신한)",ROUNDDOWN($I28*$E28*0.000036396,-1),"")))))))))))))</f>
        <v>70</v>
      </c>
      <c r="M28" s="206">
        <f t="shared" si="12"/>
        <v>4370</v>
      </c>
      <c r="N28" s="34"/>
      <c r="O28" s="209">
        <f t="shared" si="13"/>
        <v>41</v>
      </c>
      <c r="P28" s="34">
        <f t="shared" si="0"/>
        <v>2024115</v>
      </c>
      <c r="Q28" s="34">
        <f t="shared" si="1"/>
        <v>2185000</v>
      </c>
      <c r="R28" s="7">
        <f t="shared" si="2"/>
        <v>-4510</v>
      </c>
      <c r="S28" s="227">
        <f t="shared" si="3"/>
        <v>156375</v>
      </c>
      <c r="T28" s="249">
        <f t="shared" si="4"/>
        <v>7.7255985949414935E-2</v>
      </c>
    </row>
    <row r="29" spans="2:21" ht="15" customHeight="1" x14ac:dyDescent="0.4">
      <c r="B29" s="38" t="s">
        <v>486</v>
      </c>
      <c r="C29" s="6" t="s">
        <v>160</v>
      </c>
      <c r="D29" s="6">
        <f t="shared" si="5"/>
        <v>1</v>
      </c>
      <c r="E29" s="34">
        <v>13</v>
      </c>
      <c r="F29" s="212">
        <v>78498</v>
      </c>
      <c r="G29" s="195">
        <v>46104</v>
      </c>
      <c r="H29" s="6"/>
      <c r="I29" s="212">
        <v>95000</v>
      </c>
      <c r="J29" s="8">
        <v>46126</v>
      </c>
      <c r="K29" s="23">
        <f t="shared" si="14"/>
        <v>30</v>
      </c>
      <c r="L29" s="23">
        <f t="shared" si="15"/>
        <v>40</v>
      </c>
      <c r="M29" s="206">
        <f t="shared" si="12"/>
        <v>2470</v>
      </c>
      <c r="N29" s="34"/>
      <c r="O29" s="209">
        <f t="shared" si="13"/>
        <v>23</v>
      </c>
      <c r="P29" s="34">
        <f t="shared" si="0"/>
        <v>1020474</v>
      </c>
      <c r="Q29" s="34">
        <f t="shared" si="1"/>
        <v>1235000</v>
      </c>
      <c r="R29" s="7">
        <f t="shared" si="2"/>
        <v>-2540</v>
      </c>
      <c r="S29" s="227">
        <f t="shared" si="3"/>
        <v>211986</v>
      </c>
      <c r="T29" s="249">
        <f t="shared" si="4"/>
        <v>0.20773287707477114</v>
      </c>
    </row>
    <row r="30" spans="2:21" ht="15" customHeight="1" x14ac:dyDescent="0.4">
      <c r="B30" s="38" t="s">
        <v>487</v>
      </c>
      <c r="C30" s="6" t="s">
        <v>160</v>
      </c>
      <c r="D30" s="6">
        <f t="shared" si="5"/>
        <v>1</v>
      </c>
      <c r="E30" s="34">
        <v>100</v>
      </c>
      <c r="F30" s="212">
        <v>20460</v>
      </c>
      <c r="G30" s="195">
        <v>46084</v>
      </c>
      <c r="H30" s="6"/>
      <c r="I30" s="212">
        <v>17800</v>
      </c>
      <c r="J30" s="8">
        <v>46134</v>
      </c>
      <c r="K30" s="23">
        <f t="shared" si="14"/>
        <v>70</v>
      </c>
      <c r="L30" s="23">
        <f t="shared" si="15"/>
        <v>60</v>
      </c>
      <c r="M30" s="206">
        <f t="shared" si="12"/>
        <v>3560</v>
      </c>
      <c r="N30" s="34"/>
      <c r="O30" s="209">
        <f t="shared" si="13"/>
        <v>51</v>
      </c>
      <c r="P30" s="34">
        <f t="shared" si="0"/>
        <v>2046000</v>
      </c>
      <c r="Q30" s="34">
        <f t="shared" si="1"/>
        <v>1780000</v>
      </c>
      <c r="R30" s="7">
        <f t="shared" si="2"/>
        <v>-3690</v>
      </c>
      <c r="S30" s="227">
        <f t="shared" si="3"/>
        <v>-269690</v>
      </c>
      <c r="T30" s="249">
        <f t="shared" si="4"/>
        <v>-0.13181329423264906</v>
      </c>
    </row>
    <row r="31" spans="2:21" ht="15" customHeight="1" x14ac:dyDescent="0.4">
      <c r="B31" s="38" t="s">
        <v>487</v>
      </c>
      <c r="C31" s="6" t="s">
        <v>160</v>
      </c>
      <c r="D31" s="6">
        <f t="shared" si="5"/>
        <v>1</v>
      </c>
      <c r="E31" s="34">
        <v>28</v>
      </c>
      <c r="F31" s="212">
        <v>17609</v>
      </c>
      <c r="G31" s="195">
        <v>46104</v>
      </c>
      <c r="H31" s="6"/>
      <c r="I31" s="212">
        <v>17800</v>
      </c>
      <c r="J31" s="8">
        <v>46134</v>
      </c>
      <c r="K31" s="23">
        <f t="shared" si="14"/>
        <v>10</v>
      </c>
      <c r="L31" s="23">
        <f t="shared" si="15"/>
        <v>10</v>
      </c>
      <c r="M31" s="206">
        <f t="shared" si="12"/>
        <v>996.80000000000007</v>
      </c>
      <c r="N31" s="34"/>
      <c r="O31" s="209">
        <f t="shared" si="13"/>
        <v>31</v>
      </c>
      <c r="P31" s="34">
        <f t="shared" si="0"/>
        <v>493052</v>
      </c>
      <c r="Q31" s="34">
        <f t="shared" si="1"/>
        <v>498400</v>
      </c>
      <c r="R31" s="7">
        <f t="shared" si="2"/>
        <v>-1016.8000000000001</v>
      </c>
      <c r="S31" s="227">
        <f t="shared" si="3"/>
        <v>4331.2</v>
      </c>
      <c r="T31" s="249">
        <f t="shared" si="4"/>
        <v>8.7844689809594111E-3</v>
      </c>
    </row>
    <row r="32" spans="2:21" ht="15" customHeight="1" x14ac:dyDescent="0.4">
      <c r="B32" s="90" t="s">
        <v>488</v>
      </c>
      <c r="C32" s="201" t="s">
        <v>167</v>
      </c>
      <c r="D32" s="201">
        <v>1196.2</v>
      </c>
      <c r="E32" s="91">
        <v>33</v>
      </c>
      <c r="F32" s="223">
        <v>48.25</v>
      </c>
      <c r="G32" s="203">
        <v>44505</v>
      </c>
      <c r="H32" s="204"/>
      <c r="I32" s="223"/>
      <c r="J32" s="201"/>
      <c r="K32" s="251">
        <f t="shared" si="14"/>
        <v>3.9806250000000003</v>
      </c>
      <c r="L32" s="251">
        <f t="shared" si="15"/>
        <v>0.01</v>
      </c>
      <c r="M32" s="205">
        <f>E32*I32*0.0000051</f>
        <v>0</v>
      </c>
      <c r="N32" s="91"/>
      <c r="O32" s="208">
        <f t="shared" si="13"/>
        <v>-44504</v>
      </c>
      <c r="P32" s="34">
        <f t="shared" si="0"/>
        <v>1904649.4500000002</v>
      </c>
      <c r="Q32" s="34">
        <f t="shared" si="1"/>
        <v>0</v>
      </c>
      <c r="R32" s="7">
        <f t="shared" si="2"/>
        <v>-4773.5856250000006</v>
      </c>
      <c r="S32" s="227">
        <f t="shared" si="3"/>
        <v>0</v>
      </c>
      <c r="T32" s="249">
        <f t="shared" si="4"/>
        <v>0</v>
      </c>
    </row>
    <row r="33" spans="2:21" ht="15" customHeight="1" x14ac:dyDescent="0.4">
      <c r="B33" s="38" t="s">
        <v>109</v>
      </c>
      <c r="C33" s="6" t="s">
        <v>160</v>
      </c>
      <c r="D33" s="6">
        <f t="shared" ref="D33:D96" si="16">IF(OR($C33="신한",$C33="OTC",$C33="무상증자(신한)",$C33="토스",$C33="R토스"),1,"확인")</f>
        <v>1</v>
      </c>
      <c r="E33" s="34">
        <v>30</v>
      </c>
      <c r="F33" s="212">
        <v>5143</v>
      </c>
      <c r="G33" s="195">
        <v>45800</v>
      </c>
      <c r="H33" s="8"/>
      <c r="I33" s="212">
        <v>6630</v>
      </c>
      <c r="J33" s="8">
        <v>46057</v>
      </c>
      <c r="K33" s="23">
        <f t="shared" si="14"/>
        <v>0</v>
      </c>
      <c r="L33" s="23">
        <f t="shared" si="15"/>
        <v>0</v>
      </c>
      <c r="M33" s="206">
        <f t="shared" ref="M33:M64" si="17">Q33*0.002</f>
        <v>397.8</v>
      </c>
      <c r="N33" s="34"/>
      <c r="O33" s="209">
        <f t="shared" si="13"/>
        <v>258</v>
      </c>
      <c r="P33" s="34">
        <f t="shared" si="0"/>
        <v>154290</v>
      </c>
      <c r="Q33" s="34">
        <f t="shared" si="1"/>
        <v>198900</v>
      </c>
      <c r="R33" s="7">
        <f t="shared" si="2"/>
        <v>-397.8</v>
      </c>
      <c r="S33" s="227">
        <f t="shared" si="3"/>
        <v>44212.2</v>
      </c>
      <c r="T33" s="249">
        <f t="shared" si="4"/>
        <v>0.28655259576122882</v>
      </c>
    </row>
    <row r="34" spans="2:21" ht="15" customHeight="1" x14ac:dyDescent="0.4">
      <c r="B34" s="38" t="s">
        <v>109</v>
      </c>
      <c r="C34" s="6" t="s">
        <v>160</v>
      </c>
      <c r="D34" s="6">
        <f t="shared" si="16"/>
        <v>1</v>
      </c>
      <c r="E34" s="34">
        <v>560</v>
      </c>
      <c r="F34" s="212">
        <v>5118</v>
      </c>
      <c r="G34" s="195">
        <v>45803</v>
      </c>
      <c r="H34" s="8"/>
      <c r="I34" s="212">
        <v>6630</v>
      </c>
      <c r="J34" s="8">
        <v>46057</v>
      </c>
      <c r="K34" s="23">
        <f t="shared" si="14"/>
        <v>100</v>
      </c>
      <c r="L34" s="23">
        <f t="shared" si="15"/>
        <v>130</v>
      </c>
      <c r="M34" s="206">
        <f t="shared" si="17"/>
        <v>7425.6</v>
      </c>
      <c r="N34" s="34"/>
      <c r="O34" s="209">
        <f t="shared" si="13"/>
        <v>255</v>
      </c>
      <c r="P34" s="34">
        <f t="shared" si="0"/>
        <v>2866080</v>
      </c>
      <c r="Q34" s="34">
        <f t="shared" si="1"/>
        <v>3712800</v>
      </c>
      <c r="R34" s="7">
        <f t="shared" si="2"/>
        <v>-7655.6</v>
      </c>
      <c r="S34" s="227">
        <f t="shared" si="3"/>
        <v>839064.4</v>
      </c>
      <c r="T34" s="249">
        <f t="shared" si="4"/>
        <v>0.29275679673979793</v>
      </c>
    </row>
    <row r="35" spans="2:21" ht="15" customHeight="1" x14ac:dyDescent="0.4">
      <c r="B35" s="38" t="s">
        <v>109</v>
      </c>
      <c r="C35" s="6" t="s">
        <v>160</v>
      </c>
      <c r="D35" s="6">
        <f t="shared" si="16"/>
        <v>1</v>
      </c>
      <c r="E35" s="34">
        <v>240</v>
      </c>
      <c r="F35" s="212">
        <v>5118</v>
      </c>
      <c r="G35" s="195">
        <v>45803</v>
      </c>
      <c r="H35" s="8"/>
      <c r="I35" s="212">
        <v>6250</v>
      </c>
      <c r="J35" s="8">
        <v>46134</v>
      </c>
      <c r="K35" s="23">
        <f t="shared" si="14"/>
        <v>40</v>
      </c>
      <c r="L35" s="23">
        <f t="shared" si="15"/>
        <v>50</v>
      </c>
      <c r="M35" s="206">
        <f t="shared" si="17"/>
        <v>3000</v>
      </c>
      <c r="N35" s="34"/>
      <c r="O35" s="209">
        <f t="shared" si="13"/>
        <v>332</v>
      </c>
      <c r="P35" s="34">
        <f t="shared" si="0"/>
        <v>1228320</v>
      </c>
      <c r="Q35" s="34">
        <f t="shared" si="1"/>
        <v>1500000</v>
      </c>
      <c r="R35" s="7">
        <f t="shared" si="2"/>
        <v>-3090</v>
      </c>
      <c r="S35" s="227">
        <f t="shared" si="3"/>
        <v>268590</v>
      </c>
      <c r="T35" s="249">
        <f t="shared" si="4"/>
        <v>0.21866451738960532</v>
      </c>
    </row>
    <row r="36" spans="2:21" ht="15" customHeight="1" x14ac:dyDescent="0.4">
      <c r="B36" s="38" t="s">
        <v>109</v>
      </c>
      <c r="C36" s="6" t="s">
        <v>160</v>
      </c>
      <c r="D36" s="6">
        <f t="shared" si="16"/>
        <v>1</v>
      </c>
      <c r="E36" s="34">
        <v>500</v>
      </c>
      <c r="F36" s="212">
        <v>4966</v>
      </c>
      <c r="G36" s="195">
        <v>45805</v>
      </c>
      <c r="H36" s="8"/>
      <c r="I36" s="212">
        <v>7300</v>
      </c>
      <c r="J36" s="8">
        <v>46063</v>
      </c>
      <c r="K36" s="23">
        <f t="shared" si="14"/>
        <v>90</v>
      </c>
      <c r="L36" s="23">
        <f t="shared" si="15"/>
        <v>130</v>
      </c>
      <c r="M36" s="206">
        <f t="shared" si="17"/>
        <v>7300</v>
      </c>
      <c r="N36" s="34"/>
      <c r="O36" s="209">
        <f t="shared" si="13"/>
        <v>259</v>
      </c>
      <c r="P36" s="34">
        <f t="shared" si="0"/>
        <v>2483000</v>
      </c>
      <c r="Q36" s="34">
        <f t="shared" si="1"/>
        <v>3650000</v>
      </c>
      <c r="R36" s="7">
        <f t="shared" si="2"/>
        <v>-7520</v>
      </c>
      <c r="S36" s="227">
        <f t="shared" si="3"/>
        <v>1159480</v>
      </c>
      <c r="T36" s="249">
        <f t="shared" si="4"/>
        <v>0.46696737817156664</v>
      </c>
    </row>
    <row r="37" spans="2:21" ht="15" customHeight="1" x14ac:dyDescent="0.4">
      <c r="B37" s="38" t="s">
        <v>109</v>
      </c>
      <c r="C37" s="6" t="s">
        <v>160</v>
      </c>
      <c r="D37" s="6">
        <f t="shared" si="16"/>
        <v>1</v>
      </c>
      <c r="E37" s="34">
        <v>50</v>
      </c>
      <c r="F37" s="212">
        <v>4966</v>
      </c>
      <c r="G37" s="195">
        <v>45805</v>
      </c>
      <c r="H37" s="8"/>
      <c r="I37" s="212">
        <v>6250</v>
      </c>
      <c r="J37" s="8">
        <v>46134</v>
      </c>
      <c r="K37" s="23">
        <f t="shared" si="14"/>
        <v>0</v>
      </c>
      <c r="L37" s="23">
        <f t="shared" si="15"/>
        <v>10</v>
      </c>
      <c r="M37" s="206">
        <f t="shared" si="17"/>
        <v>625</v>
      </c>
      <c r="N37" s="34"/>
      <c r="O37" s="209">
        <f t="shared" si="13"/>
        <v>330</v>
      </c>
      <c r="P37" s="34">
        <f t="shared" si="0"/>
        <v>248300</v>
      </c>
      <c r="Q37" s="34">
        <f t="shared" si="1"/>
        <v>312500</v>
      </c>
      <c r="R37" s="7">
        <f t="shared" si="2"/>
        <v>-635</v>
      </c>
      <c r="S37" s="227">
        <f t="shared" si="3"/>
        <v>63565</v>
      </c>
      <c r="T37" s="249">
        <f t="shared" si="4"/>
        <v>0.25600080547724524</v>
      </c>
    </row>
    <row r="38" spans="2:21" ht="15" customHeight="1" x14ac:dyDescent="0.4">
      <c r="B38" s="38" t="s">
        <v>109</v>
      </c>
      <c r="C38" s="6" t="s">
        <v>160</v>
      </c>
      <c r="D38" s="6">
        <f t="shared" si="16"/>
        <v>1</v>
      </c>
      <c r="E38" s="34">
        <v>20</v>
      </c>
      <c r="F38" s="212">
        <v>6400</v>
      </c>
      <c r="G38" s="195">
        <v>45805</v>
      </c>
      <c r="H38" s="8"/>
      <c r="I38" s="212">
        <v>6250</v>
      </c>
      <c r="J38" s="8">
        <v>46134</v>
      </c>
      <c r="K38" s="23">
        <f t="shared" si="14"/>
        <v>0</v>
      </c>
      <c r="L38" s="23">
        <f t="shared" si="15"/>
        <v>0</v>
      </c>
      <c r="M38" s="206">
        <f t="shared" si="17"/>
        <v>250</v>
      </c>
      <c r="N38" s="34"/>
      <c r="O38" s="209">
        <f t="shared" si="13"/>
        <v>330</v>
      </c>
      <c r="P38" s="34">
        <f t="shared" si="0"/>
        <v>128000</v>
      </c>
      <c r="Q38" s="34">
        <f t="shared" si="1"/>
        <v>125000</v>
      </c>
      <c r="R38" s="7">
        <f t="shared" si="2"/>
        <v>-250</v>
      </c>
      <c r="S38" s="227">
        <f t="shared" si="3"/>
        <v>-3250</v>
      </c>
      <c r="T38" s="249">
        <f t="shared" si="4"/>
        <v>-2.5390625E-2</v>
      </c>
    </row>
    <row r="39" spans="2:21" ht="15" customHeight="1" x14ac:dyDescent="0.4">
      <c r="B39" s="38" t="s">
        <v>109</v>
      </c>
      <c r="C39" s="6" t="s">
        <v>160</v>
      </c>
      <c r="D39" s="6">
        <f t="shared" si="16"/>
        <v>1</v>
      </c>
      <c r="E39" s="34">
        <v>100</v>
      </c>
      <c r="F39" s="212">
        <v>5700</v>
      </c>
      <c r="G39" s="195">
        <v>45940</v>
      </c>
      <c r="H39" s="8"/>
      <c r="I39" s="212">
        <v>6250</v>
      </c>
      <c r="J39" s="8">
        <v>46134</v>
      </c>
      <c r="K39" s="23">
        <f t="shared" si="14"/>
        <v>20</v>
      </c>
      <c r="L39" s="23">
        <f t="shared" si="15"/>
        <v>20</v>
      </c>
      <c r="M39" s="206">
        <f t="shared" si="17"/>
        <v>1250</v>
      </c>
      <c r="N39" s="34"/>
      <c r="O39" s="209">
        <f t="shared" si="13"/>
        <v>195</v>
      </c>
      <c r="P39" s="34">
        <f t="shared" si="0"/>
        <v>570000</v>
      </c>
      <c r="Q39" s="34">
        <f t="shared" si="1"/>
        <v>625000</v>
      </c>
      <c r="R39" s="7">
        <f t="shared" si="2"/>
        <v>-1290</v>
      </c>
      <c r="S39" s="227">
        <f t="shared" si="3"/>
        <v>53710</v>
      </c>
      <c r="T39" s="249">
        <f t="shared" si="4"/>
        <v>9.4228070175438591E-2</v>
      </c>
    </row>
    <row r="40" spans="2:21" ht="15" customHeight="1" x14ac:dyDescent="0.4">
      <c r="B40" s="38" t="s">
        <v>109</v>
      </c>
      <c r="C40" s="6" t="s">
        <v>160</v>
      </c>
      <c r="D40" s="6">
        <f t="shared" si="16"/>
        <v>1</v>
      </c>
      <c r="E40" s="34">
        <v>90</v>
      </c>
      <c r="F40" s="212">
        <v>6650</v>
      </c>
      <c r="G40" s="195">
        <v>46000</v>
      </c>
      <c r="H40" s="8"/>
      <c r="I40" s="212">
        <v>6250</v>
      </c>
      <c r="J40" s="8">
        <v>46134</v>
      </c>
      <c r="K40" s="23">
        <f t="shared" si="14"/>
        <v>20</v>
      </c>
      <c r="L40" s="23">
        <f t="shared" si="15"/>
        <v>20</v>
      </c>
      <c r="M40" s="206">
        <f t="shared" si="17"/>
        <v>1125</v>
      </c>
      <c r="N40" s="34"/>
      <c r="O40" s="209">
        <f t="shared" si="13"/>
        <v>135</v>
      </c>
      <c r="P40" s="34">
        <f t="shared" si="0"/>
        <v>598500</v>
      </c>
      <c r="Q40" s="34">
        <f t="shared" si="1"/>
        <v>562500</v>
      </c>
      <c r="R40" s="7">
        <f t="shared" si="2"/>
        <v>-1165</v>
      </c>
      <c r="S40" s="227">
        <f t="shared" si="3"/>
        <v>-37165</v>
      </c>
      <c r="T40" s="249">
        <f t="shared" si="4"/>
        <v>-6.2096908939014199E-2</v>
      </c>
    </row>
    <row r="41" spans="2:21" ht="15" customHeight="1" x14ac:dyDescent="0.4">
      <c r="B41" s="38" t="s">
        <v>109</v>
      </c>
      <c r="C41" s="6" t="s">
        <v>160</v>
      </c>
      <c r="D41" s="6">
        <f t="shared" si="16"/>
        <v>1</v>
      </c>
      <c r="E41" s="34">
        <v>100</v>
      </c>
      <c r="F41" s="212">
        <v>6870</v>
      </c>
      <c r="G41" s="195">
        <v>46064</v>
      </c>
      <c r="H41" s="8"/>
      <c r="I41" s="212">
        <v>6250</v>
      </c>
      <c r="J41" s="8">
        <v>46134</v>
      </c>
      <c r="K41" s="23">
        <f t="shared" si="14"/>
        <v>20</v>
      </c>
      <c r="L41" s="23">
        <f t="shared" si="15"/>
        <v>20</v>
      </c>
      <c r="M41" s="206">
        <f t="shared" si="17"/>
        <v>1250</v>
      </c>
      <c r="N41" s="34"/>
      <c r="O41" s="209">
        <f t="shared" si="13"/>
        <v>71</v>
      </c>
      <c r="P41" s="34">
        <f t="shared" si="0"/>
        <v>687000</v>
      </c>
      <c r="Q41" s="34">
        <f t="shared" si="1"/>
        <v>625000</v>
      </c>
      <c r="R41" s="7">
        <f t="shared" si="2"/>
        <v>-1290</v>
      </c>
      <c r="S41" s="227">
        <f t="shared" si="3"/>
        <v>-63290</v>
      </c>
      <c r="T41" s="249">
        <f t="shared" si="4"/>
        <v>-9.2125181950509463E-2</v>
      </c>
    </row>
    <row r="42" spans="2:21" ht="15" customHeight="1" x14ac:dyDescent="0.4">
      <c r="B42" s="38" t="s">
        <v>109</v>
      </c>
      <c r="C42" s="6" t="s">
        <v>160</v>
      </c>
      <c r="D42" s="6">
        <f t="shared" si="16"/>
        <v>1</v>
      </c>
      <c r="E42" s="34">
        <v>200</v>
      </c>
      <c r="F42" s="212">
        <v>7000</v>
      </c>
      <c r="G42" s="195">
        <v>46064</v>
      </c>
      <c r="H42" s="8"/>
      <c r="I42" s="212">
        <v>6250</v>
      </c>
      <c r="J42" s="8">
        <v>46134</v>
      </c>
      <c r="K42" s="23">
        <f t="shared" si="14"/>
        <v>50</v>
      </c>
      <c r="L42" s="23">
        <f t="shared" si="15"/>
        <v>40</v>
      </c>
      <c r="M42" s="206">
        <f t="shared" si="17"/>
        <v>2500</v>
      </c>
      <c r="N42" s="34"/>
      <c r="O42" s="209">
        <f t="shared" si="13"/>
        <v>71</v>
      </c>
      <c r="P42" s="34">
        <f t="shared" si="0"/>
        <v>1400000</v>
      </c>
      <c r="Q42" s="34">
        <f t="shared" si="1"/>
        <v>1250000</v>
      </c>
      <c r="R42" s="7">
        <f t="shared" si="2"/>
        <v>-2590</v>
      </c>
      <c r="S42" s="227">
        <f t="shared" si="3"/>
        <v>-152590</v>
      </c>
      <c r="T42" s="249">
        <f t="shared" si="4"/>
        <v>-0.10899285714285714</v>
      </c>
    </row>
    <row r="43" spans="2:21" ht="15" customHeight="1" x14ac:dyDescent="0.4">
      <c r="B43" s="38" t="s">
        <v>109</v>
      </c>
      <c r="C43" s="6" t="s">
        <v>160</v>
      </c>
      <c r="D43" s="6">
        <f t="shared" si="16"/>
        <v>1</v>
      </c>
      <c r="E43" s="34">
        <v>200</v>
      </c>
      <c r="F43" s="212">
        <v>7070</v>
      </c>
      <c r="G43" s="195">
        <v>46064</v>
      </c>
      <c r="H43" s="8"/>
      <c r="I43" s="212">
        <v>6250</v>
      </c>
      <c r="J43" s="8">
        <v>46134</v>
      </c>
      <c r="K43" s="23">
        <f t="shared" si="14"/>
        <v>50</v>
      </c>
      <c r="L43" s="23">
        <f t="shared" si="15"/>
        <v>40</v>
      </c>
      <c r="M43" s="206">
        <f t="shared" si="17"/>
        <v>2500</v>
      </c>
      <c r="N43" s="34"/>
      <c r="O43" s="209">
        <f t="shared" si="13"/>
        <v>71</v>
      </c>
      <c r="P43" s="34">
        <f t="shared" si="0"/>
        <v>1414000</v>
      </c>
      <c r="Q43" s="34">
        <f t="shared" si="1"/>
        <v>1250000</v>
      </c>
      <c r="R43" s="7">
        <f t="shared" si="2"/>
        <v>-2590</v>
      </c>
      <c r="S43" s="227">
        <f t="shared" si="3"/>
        <v>-166590</v>
      </c>
      <c r="T43" s="249">
        <f t="shared" si="4"/>
        <v>-0.11781471004243281</v>
      </c>
    </row>
    <row r="44" spans="2:21" ht="15" customHeight="1" x14ac:dyDescent="0.4">
      <c r="B44" s="38" t="s">
        <v>109</v>
      </c>
      <c r="C44" s="6" t="s">
        <v>122</v>
      </c>
      <c r="D44" s="6">
        <f t="shared" si="16"/>
        <v>1</v>
      </c>
      <c r="E44" s="34">
        <v>100</v>
      </c>
      <c r="F44" s="212">
        <v>6400</v>
      </c>
      <c r="G44" s="195">
        <v>45924</v>
      </c>
      <c r="H44" s="8" t="s">
        <v>113</v>
      </c>
      <c r="I44" s="212">
        <v>7250</v>
      </c>
      <c r="J44" s="8">
        <v>46063</v>
      </c>
      <c r="K44" s="23">
        <f t="shared" si="14"/>
        <v>95.999999999999986</v>
      </c>
      <c r="L44" s="307">
        <v>0</v>
      </c>
      <c r="M44" s="206">
        <f t="shared" si="17"/>
        <v>1450</v>
      </c>
      <c r="N44" s="34">
        <f t="shared" ref="N44:N56" si="18">E44*200*(1-0.154)</f>
        <v>16920</v>
      </c>
      <c r="O44" s="209">
        <f t="shared" si="13"/>
        <v>140</v>
      </c>
      <c r="P44" s="34">
        <f t="shared" si="0"/>
        <v>640000</v>
      </c>
      <c r="Q44" s="34">
        <f t="shared" si="1"/>
        <v>725000</v>
      </c>
      <c r="R44" s="7">
        <f t="shared" si="2"/>
        <v>15374</v>
      </c>
      <c r="S44" s="227">
        <f t="shared" si="3"/>
        <v>100374</v>
      </c>
      <c r="T44" s="249">
        <f t="shared" si="4"/>
        <v>0.156834375</v>
      </c>
      <c r="U44" s="36">
        <f>IF(O44&lt;0,0,P44*0.05*O44/365)</f>
        <v>12273.972602739726</v>
      </c>
    </row>
    <row r="45" spans="2:21" ht="15" customHeight="1" x14ac:dyDescent="0.4">
      <c r="B45" s="38" t="s">
        <v>109</v>
      </c>
      <c r="C45" s="6" t="s">
        <v>122</v>
      </c>
      <c r="D45" s="6">
        <f t="shared" si="16"/>
        <v>1</v>
      </c>
      <c r="E45" s="34">
        <v>50</v>
      </c>
      <c r="F45" s="212">
        <v>5900</v>
      </c>
      <c r="G45" s="195">
        <v>45930</v>
      </c>
      <c r="H45" s="8" t="s">
        <v>113</v>
      </c>
      <c r="I45" s="212"/>
      <c r="J45" s="8"/>
      <c r="K45" s="23">
        <f t="shared" si="14"/>
        <v>44.249999999999993</v>
      </c>
      <c r="L45" s="23">
        <f>IF($C45="OTC",ROUNDDOWN($I45*$E45*0.000909187,-1),(IF($C45="신한",ROUNDDOWN($I45*$E45*0.000036396,-1),(IF($C45="토스",$I45*$E45*0.00015,(IF($C45="US",(IF($I45*$E45*0.0025&gt;0.01,$I45*$E45*0.0025,0.01)),(IF($C45="JP",(IF($I45*$E45*0.0025&gt;1000,$I45*$E45*0.0025,1000)),(IF($C45="R토스",$I45*$E45*0.00015,(IF($C45="무상증자(신한)",ROUNDDOWN($I45*$E45*0.000036396,-1),"")))))))))))))</f>
        <v>0</v>
      </c>
      <c r="M45" s="206">
        <f t="shared" si="17"/>
        <v>0</v>
      </c>
      <c r="N45" s="34">
        <f t="shared" si="18"/>
        <v>8460</v>
      </c>
      <c r="O45" s="209">
        <f t="shared" si="13"/>
        <v>-45929</v>
      </c>
      <c r="P45" s="34">
        <f t="shared" si="0"/>
        <v>295000</v>
      </c>
      <c r="Q45" s="34">
        <f t="shared" si="1"/>
        <v>0</v>
      </c>
      <c r="R45" s="7">
        <f t="shared" si="2"/>
        <v>8415.75</v>
      </c>
      <c r="S45" s="227">
        <f t="shared" si="3"/>
        <v>0</v>
      </c>
      <c r="T45" s="249">
        <f t="shared" si="4"/>
        <v>0</v>
      </c>
      <c r="U45" s="36">
        <f>IF(O45&lt;0,0,P45*0.05*O45/365)</f>
        <v>0</v>
      </c>
    </row>
    <row r="46" spans="2:21" ht="15" customHeight="1" x14ac:dyDescent="0.4">
      <c r="B46" s="38" t="s">
        <v>109</v>
      </c>
      <c r="C46" s="6" t="s">
        <v>122</v>
      </c>
      <c r="D46" s="6">
        <f t="shared" si="16"/>
        <v>1</v>
      </c>
      <c r="E46" s="34">
        <v>35</v>
      </c>
      <c r="F46" s="212">
        <v>5800</v>
      </c>
      <c r="G46" s="195">
        <v>45940</v>
      </c>
      <c r="H46" s="8" t="s">
        <v>113</v>
      </c>
      <c r="I46" s="212"/>
      <c r="J46" s="8"/>
      <c r="K46" s="23">
        <f t="shared" si="14"/>
        <v>30.449999999999996</v>
      </c>
      <c r="L46" s="23">
        <f>IF($C46="OTC",ROUNDDOWN($I46*$E46*0.000909187,-1),(IF($C46="신한",ROUNDDOWN($I46*$E46*0.000036396,-1),(IF($C46="토스",$I46*$E46*0.00015,(IF($C46="US",(IF($I46*$E46*0.0025&gt;0.01,$I46*$E46*0.0025,0.01)),(IF($C46="JP",(IF($I46*$E46*0.0025&gt;1000,$I46*$E46*0.0025,1000)),(IF($C46="R토스",$I46*$E46*0.00015,(IF($C46="무상증자(신한)",ROUNDDOWN($I46*$E46*0.000036396,-1),"")))))))))))))</f>
        <v>0</v>
      </c>
      <c r="M46" s="206">
        <f t="shared" si="17"/>
        <v>0</v>
      </c>
      <c r="N46" s="34">
        <f t="shared" si="18"/>
        <v>5922</v>
      </c>
      <c r="O46" s="209">
        <f t="shared" si="13"/>
        <v>-45939</v>
      </c>
      <c r="P46" s="34">
        <f t="shared" si="0"/>
        <v>203000</v>
      </c>
      <c r="Q46" s="34">
        <f t="shared" si="1"/>
        <v>0</v>
      </c>
      <c r="R46" s="7">
        <f t="shared" si="2"/>
        <v>5891.55</v>
      </c>
      <c r="S46" s="227">
        <f t="shared" si="3"/>
        <v>0</v>
      </c>
      <c r="T46" s="249">
        <f t="shared" si="4"/>
        <v>0</v>
      </c>
      <c r="U46" s="36">
        <f>IF(O46&lt;0,0,P46*0.05*O46/365)</f>
        <v>0</v>
      </c>
    </row>
    <row r="47" spans="2:21" ht="15" customHeight="1" x14ac:dyDescent="0.4">
      <c r="B47" s="38" t="s">
        <v>109</v>
      </c>
      <c r="C47" s="6" t="s">
        <v>122</v>
      </c>
      <c r="D47" s="6">
        <f t="shared" si="16"/>
        <v>1</v>
      </c>
      <c r="E47" s="34">
        <v>18</v>
      </c>
      <c r="F47" s="212">
        <v>5700</v>
      </c>
      <c r="G47" s="195">
        <v>45943</v>
      </c>
      <c r="H47" s="8"/>
      <c r="I47" s="212"/>
      <c r="J47" s="8"/>
      <c r="K47" s="23">
        <f t="shared" si="14"/>
        <v>15.389999999999999</v>
      </c>
      <c r="L47" s="23">
        <f>IF($C47="OTC",ROUNDDOWN($I47*$E47*0.000909187,-1),(IF($C47="신한",ROUNDDOWN($I47*$E47*0.000036396,-1),(IF($C47="토스",$I47*$E47*0.00015,(IF($C47="US",(IF($I47*$E47*0.0025&gt;0.01,$I47*$E47*0.0025,0.01)),(IF($C47="JP",(IF($I47*$E47*0.0025&gt;1000,$I47*$E47*0.0025,1000)),(IF($C47="R토스",$I47*$E47*0.00015,(IF($C47="무상증자(신한)",ROUNDDOWN($I47*$E47*0.000036396,-1),"")))))))))))))</f>
        <v>0</v>
      </c>
      <c r="M47" s="206">
        <f t="shared" si="17"/>
        <v>0</v>
      </c>
      <c r="N47" s="34">
        <f t="shared" si="18"/>
        <v>3045.6</v>
      </c>
      <c r="O47" s="209">
        <f t="shared" si="13"/>
        <v>-45942</v>
      </c>
      <c r="P47" s="34">
        <f t="shared" si="0"/>
        <v>102600</v>
      </c>
      <c r="Q47" s="34">
        <f t="shared" si="1"/>
        <v>0</v>
      </c>
      <c r="R47" s="7">
        <f t="shared" si="2"/>
        <v>3030.21</v>
      </c>
      <c r="S47" s="227">
        <f t="shared" si="3"/>
        <v>0</v>
      </c>
      <c r="T47" s="249">
        <f t="shared" si="4"/>
        <v>0</v>
      </c>
      <c r="U47" s="36">
        <f>IF(O47&lt;0,0,P47*0.05*O47/365)</f>
        <v>0</v>
      </c>
    </row>
    <row r="48" spans="2:21" ht="15" customHeight="1" x14ac:dyDescent="0.4">
      <c r="B48" s="38" t="s">
        <v>109</v>
      </c>
      <c r="C48" s="6" t="s">
        <v>165</v>
      </c>
      <c r="D48" s="6">
        <f t="shared" si="16"/>
        <v>1</v>
      </c>
      <c r="E48" s="34">
        <v>20</v>
      </c>
      <c r="F48" s="212">
        <v>5590</v>
      </c>
      <c r="G48" s="195">
        <v>45946</v>
      </c>
      <c r="H48" s="8"/>
      <c r="I48" s="212">
        <v>7550</v>
      </c>
      <c r="J48" s="8">
        <v>46063</v>
      </c>
      <c r="K48" s="23">
        <f t="shared" si="14"/>
        <v>0</v>
      </c>
      <c r="L48" s="307">
        <v>0</v>
      </c>
      <c r="M48" s="206">
        <f t="shared" si="17"/>
        <v>302</v>
      </c>
      <c r="N48" s="34">
        <f t="shared" si="18"/>
        <v>3384</v>
      </c>
      <c r="O48" s="209">
        <f t="shared" si="13"/>
        <v>118</v>
      </c>
      <c r="P48" s="34">
        <f t="shared" si="0"/>
        <v>111800</v>
      </c>
      <c r="Q48" s="34">
        <f t="shared" si="1"/>
        <v>151000</v>
      </c>
      <c r="R48" s="7">
        <f t="shared" si="2"/>
        <v>3082</v>
      </c>
      <c r="S48" s="227">
        <f t="shared" si="3"/>
        <v>42282</v>
      </c>
      <c r="T48" s="249">
        <f t="shared" si="4"/>
        <v>0.3781932021466905</v>
      </c>
    </row>
    <row r="49" spans="2:21" ht="15" customHeight="1" x14ac:dyDescent="0.4">
      <c r="B49" s="38" t="s">
        <v>109</v>
      </c>
      <c r="C49" s="6" t="s">
        <v>165</v>
      </c>
      <c r="D49" s="6">
        <f t="shared" si="16"/>
        <v>1</v>
      </c>
      <c r="E49" s="34">
        <v>20</v>
      </c>
      <c r="F49" s="212">
        <v>5306</v>
      </c>
      <c r="G49" s="195">
        <v>45953</v>
      </c>
      <c r="H49" s="8"/>
      <c r="I49" s="212">
        <v>7550</v>
      </c>
      <c r="J49" s="8">
        <v>46063</v>
      </c>
      <c r="K49" s="23">
        <f t="shared" si="14"/>
        <v>0</v>
      </c>
      <c r="L49" s="307">
        <v>0</v>
      </c>
      <c r="M49" s="206">
        <f t="shared" si="17"/>
        <v>302</v>
      </c>
      <c r="N49" s="34">
        <f t="shared" si="18"/>
        <v>3384</v>
      </c>
      <c r="O49" s="209">
        <f t="shared" si="13"/>
        <v>111</v>
      </c>
      <c r="P49" s="34">
        <f t="shared" si="0"/>
        <v>106120</v>
      </c>
      <c r="Q49" s="34">
        <f t="shared" si="1"/>
        <v>151000</v>
      </c>
      <c r="R49" s="7">
        <f t="shared" si="2"/>
        <v>3082</v>
      </c>
      <c r="S49" s="227">
        <f t="shared" si="3"/>
        <v>47962</v>
      </c>
      <c r="T49" s="249">
        <f t="shared" si="4"/>
        <v>0.45196004523181305</v>
      </c>
    </row>
    <row r="50" spans="2:21" ht="15" customHeight="1" x14ac:dyDescent="0.4">
      <c r="B50" s="38" t="s">
        <v>109</v>
      </c>
      <c r="C50" s="6" t="s">
        <v>122</v>
      </c>
      <c r="D50" s="6">
        <f t="shared" si="16"/>
        <v>1</v>
      </c>
      <c r="E50" s="34">
        <v>40</v>
      </c>
      <c r="F50" s="212">
        <v>5350</v>
      </c>
      <c r="G50" s="195">
        <v>45957</v>
      </c>
      <c r="H50" s="8"/>
      <c r="I50" s="212">
        <v>7550</v>
      </c>
      <c r="J50" s="8">
        <v>46063</v>
      </c>
      <c r="K50" s="23">
        <f t="shared" si="14"/>
        <v>32.099999999999994</v>
      </c>
      <c r="L50" s="307">
        <v>0</v>
      </c>
      <c r="M50" s="206">
        <f t="shared" si="17"/>
        <v>604</v>
      </c>
      <c r="N50" s="34">
        <f t="shared" si="18"/>
        <v>6768</v>
      </c>
      <c r="O50" s="209">
        <f t="shared" si="13"/>
        <v>107</v>
      </c>
      <c r="P50" s="34">
        <f t="shared" si="0"/>
        <v>214000</v>
      </c>
      <c r="Q50" s="34">
        <f t="shared" si="1"/>
        <v>302000</v>
      </c>
      <c r="R50" s="7">
        <f t="shared" si="2"/>
        <v>6131.9</v>
      </c>
      <c r="S50" s="227">
        <f t="shared" si="3"/>
        <v>94131.9</v>
      </c>
      <c r="T50" s="249">
        <f t="shared" si="4"/>
        <v>0.439868691588785</v>
      </c>
      <c r="U50" s="36">
        <f>IF(O50&lt;0,0,P50*0.05*O50/365)</f>
        <v>3136.7123287671234</v>
      </c>
    </row>
    <row r="51" spans="2:21" ht="15" customHeight="1" x14ac:dyDescent="0.4">
      <c r="B51" s="38" t="s">
        <v>109</v>
      </c>
      <c r="C51" s="6" t="s">
        <v>165</v>
      </c>
      <c r="D51" s="6">
        <f t="shared" si="16"/>
        <v>1</v>
      </c>
      <c r="E51" s="34">
        <v>20</v>
      </c>
      <c r="F51" s="212">
        <v>5350</v>
      </c>
      <c r="G51" s="195">
        <v>45960</v>
      </c>
      <c r="H51" s="8"/>
      <c r="I51" s="212">
        <v>7550</v>
      </c>
      <c r="J51" s="8">
        <v>46063</v>
      </c>
      <c r="K51" s="23">
        <f t="shared" si="14"/>
        <v>0</v>
      </c>
      <c r="L51" s="307">
        <v>0</v>
      </c>
      <c r="M51" s="206">
        <f t="shared" si="17"/>
        <v>302</v>
      </c>
      <c r="N51" s="34">
        <f t="shared" si="18"/>
        <v>3384</v>
      </c>
      <c r="O51" s="209">
        <f t="shared" si="13"/>
        <v>104</v>
      </c>
      <c r="P51" s="34">
        <f t="shared" si="0"/>
        <v>107000</v>
      </c>
      <c r="Q51" s="34">
        <f t="shared" si="1"/>
        <v>151000</v>
      </c>
      <c r="R51" s="7">
        <f t="shared" si="2"/>
        <v>3082</v>
      </c>
      <c r="S51" s="227">
        <f t="shared" si="3"/>
        <v>47082</v>
      </c>
      <c r="T51" s="249">
        <f t="shared" si="4"/>
        <v>0.44001869158878504</v>
      </c>
    </row>
    <row r="52" spans="2:21" ht="15" customHeight="1" x14ac:dyDescent="0.4">
      <c r="B52" s="38" t="s">
        <v>109</v>
      </c>
      <c r="C52" s="6" t="s">
        <v>165</v>
      </c>
      <c r="D52" s="6">
        <f t="shared" si="16"/>
        <v>1</v>
      </c>
      <c r="E52" s="34">
        <v>20</v>
      </c>
      <c r="F52" s="212">
        <v>5290</v>
      </c>
      <c r="G52" s="195">
        <v>45967</v>
      </c>
      <c r="H52" s="8"/>
      <c r="I52" s="212">
        <v>7280</v>
      </c>
      <c r="J52" s="8">
        <v>46063</v>
      </c>
      <c r="K52" s="23">
        <f t="shared" si="14"/>
        <v>0</v>
      </c>
      <c r="L52" s="307">
        <v>0</v>
      </c>
      <c r="M52" s="206">
        <f t="shared" si="17"/>
        <v>291.2</v>
      </c>
      <c r="N52" s="34">
        <f t="shared" si="18"/>
        <v>3384</v>
      </c>
      <c r="O52" s="209">
        <f t="shared" si="13"/>
        <v>97</v>
      </c>
      <c r="P52" s="34">
        <f t="shared" si="0"/>
        <v>105800</v>
      </c>
      <c r="Q52" s="34">
        <f t="shared" si="1"/>
        <v>145600</v>
      </c>
      <c r="R52" s="7">
        <f t="shared" si="2"/>
        <v>3092.8</v>
      </c>
      <c r="S52" s="227">
        <f t="shared" si="3"/>
        <v>42892.800000000003</v>
      </c>
      <c r="T52" s="249">
        <f t="shared" si="4"/>
        <v>0.405413988657845</v>
      </c>
    </row>
    <row r="53" spans="2:21" ht="15" customHeight="1" x14ac:dyDescent="0.4">
      <c r="B53" s="38" t="s">
        <v>109</v>
      </c>
      <c r="C53" s="6" t="s">
        <v>165</v>
      </c>
      <c r="D53" s="6">
        <f t="shared" si="16"/>
        <v>1</v>
      </c>
      <c r="E53" s="34">
        <v>20</v>
      </c>
      <c r="F53" s="212">
        <v>5630</v>
      </c>
      <c r="G53" s="195">
        <v>45974</v>
      </c>
      <c r="H53" s="8"/>
      <c r="I53" s="212">
        <v>7280</v>
      </c>
      <c r="J53" s="8">
        <v>46063</v>
      </c>
      <c r="K53" s="23">
        <f t="shared" si="14"/>
        <v>0</v>
      </c>
      <c r="L53" s="307">
        <v>0</v>
      </c>
      <c r="M53" s="206">
        <f t="shared" si="17"/>
        <v>291.2</v>
      </c>
      <c r="N53" s="34">
        <f t="shared" si="18"/>
        <v>3384</v>
      </c>
      <c r="O53" s="209">
        <f t="shared" si="13"/>
        <v>90</v>
      </c>
      <c r="P53" s="34">
        <f t="shared" si="0"/>
        <v>112600</v>
      </c>
      <c r="Q53" s="34">
        <f t="shared" si="1"/>
        <v>145600</v>
      </c>
      <c r="R53" s="7">
        <f t="shared" si="2"/>
        <v>3092.8</v>
      </c>
      <c r="S53" s="227">
        <f t="shared" si="3"/>
        <v>36092.800000000003</v>
      </c>
      <c r="T53" s="249">
        <f t="shared" si="4"/>
        <v>0.32053996447602134</v>
      </c>
    </row>
    <row r="54" spans="2:21" ht="15" customHeight="1" x14ac:dyDescent="0.4">
      <c r="B54" s="38" t="s">
        <v>109</v>
      </c>
      <c r="C54" s="6" t="s">
        <v>165</v>
      </c>
      <c r="D54" s="6">
        <f t="shared" si="16"/>
        <v>1</v>
      </c>
      <c r="E54" s="34">
        <v>20</v>
      </c>
      <c r="F54" s="212">
        <v>5950</v>
      </c>
      <c r="G54" s="195">
        <v>45981</v>
      </c>
      <c r="H54" s="8"/>
      <c r="I54" s="212">
        <v>7280</v>
      </c>
      <c r="J54" s="8">
        <v>46063</v>
      </c>
      <c r="K54" s="23">
        <f t="shared" si="14"/>
        <v>0</v>
      </c>
      <c r="L54" s="307">
        <v>0</v>
      </c>
      <c r="M54" s="206">
        <f t="shared" si="17"/>
        <v>291.2</v>
      </c>
      <c r="N54" s="34">
        <f t="shared" si="18"/>
        <v>3384</v>
      </c>
      <c r="O54" s="209">
        <f t="shared" si="13"/>
        <v>83</v>
      </c>
      <c r="P54" s="34">
        <f t="shared" si="0"/>
        <v>119000</v>
      </c>
      <c r="Q54" s="34">
        <f t="shared" si="1"/>
        <v>145600</v>
      </c>
      <c r="R54" s="7">
        <f t="shared" si="2"/>
        <v>3092.8</v>
      </c>
      <c r="S54" s="227">
        <f t="shared" si="3"/>
        <v>29692.799999999999</v>
      </c>
      <c r="T54" s="249">
        <f t="shared" si="4"/>
        <v>0.24951932773109242</v>
      </c>
    </row>
    <row r="55" spans="2:21" ht="15" customHeight="1" x14ac:dyDescent="0.4">
      <c r="B55" s="38" t="s">
        <v>109</v>
      </c>
      <c r="C55" s="6" t="s">
        <v>165</v>
      </c>
      <c r="D55" s="6">
        <f t="shared" si="16"/>
        <v>1</v>
      </c>
      <c r="E55" s="34">
        <v>20</v>
      </c>
      <c r="F55" s="212">
        <v>5890</v>
      </c>
      <c r="G55" s="195">
        <v>45988</v>
      </c>
      <c r="H55" s="8"/>
      <c r="I55" s="212">
        <v>7280</v>
      </c>
      <c r="J55" s="8">
        <v>46063</v>
      </c>
      <c r="K55" s="23">
        <f t="shared" si="14"/>
        <v>0</v>
      </c>
      <c r="L55" s="307">
        <v>0</v>
      </c>
      <c r="M55" s="206">
        <f t="shared" si="17"/>
        <v>291.2</v>
      </c>
      <c r="N55" s="34">
        <f t="shared" si="18"/>
        <v>3384</v>
      </c>
      <c r="O55" s="209">
        <f t="shared" si="13"/>
        <v>76</v>
      </c>
      <c r="P55" s="34">
        <f t="shared" si="0"/>
        <v>117800</v>
      </c>
      <c r="Q55" s="34">
        <f t="shared" si="1"/>
        <v>145600</v>
      </c>
      <c r="R55" s="7">
        <f t="shared" si="2"/>
        <v>3092.8</v>
      </c>
      <c r="S55" s="227">
        <f t="shared" si="3"/>
        <v>30892.799999999999</v>
      </c>
      <c r="T55" s="249">
        <f t="shared" si="4"/>
        <v>0.26224787775891339</v>
      </c>
    </row>
    <row r="56" spans="2:21" ht="15" customHeight="1" x14ac:dyDescent="0.4">
      <c r="B56" s="38" t="s">
        <v>109</v>
      </c>
      <c r="C56" s="6" t="s">
        <v>165</v>
      </c>
      <c r="D56" s="6">
        <f t="shared" si="16"/>
        <v>1</v>
      </c>
      <c r="E56" s="34">
        <v>20</v>
      </c>
      <c r="F56" s="212">
        <v>6630</v>
      </c>
      <c r="G56" s="195">
        <v>45995</v>
      </c>
      <c r="H56" s="8"/>
      <c r="I56" s="212">
        <v>7280</v>
      </c>
      <c r="J56" s="8">
        <v>46063</v>
      </c>
      <c r="K56" s="23">
        <f t="shared" si="14"/>
        <v>0</v>
      </c>
      <c r="L56" s="307">
        <v>0</v>
      </c>
      <c r="M56" s="206">
        <f t="shared" si="17"/>
        <v>291.2</v>
      </c>
      <c r="N56" s="34">
        <f t="shared" si="18"/>
        <v>3384</v>
      </c>
      <c r="O56" s="209">
        <f t="shared" si="13"/>
        <v>69</v>
      </c>
      <c r="P56" s="34">
        <f t="shared" si="0"/>
        <v>132600</v>
      </c>
      <c r="Q56" s="34">
        <f t="shared" si="1"/>
        <v>145600</v>
      </c>
      <c r="R56" s="7">
        <f t="shared" si="2"/>
        <v>3092.8</v>
      </c>
      <c r="S56" s="227">
        <f t="shared" si="3"/>
        <v>16092.8</v>
      </c>
      <c r="T56" s="249">
        <f t="shared" si="4"/>
        <v>0.12136349924585219</v>
      </c>
    </row>
    <row r="57" spans="2:21" ht="15" customHeight="1" x14ac:dyDescent="0.4">
      <c r="B57" s="38" t="s">
        <v>109</v>
      </c>
      <c r="C57" s="6" t="s">
        <v>122</v>
      </c>
      <c r="D57" s="6">
        <f t="shared" si="16"/>
        <v>1</v>
      </c>
      <c r="E57" s="34">
        <v>100</v>
      </c>
      <c r="F57" s="212">
        <v>7000</v>
      </c>
      <c r="G57" s="195">
        <v>46064</v>
      </c>
      <c r="H57" s="8"/>
      <c r="I57" s="212">
        <v>6590</v>
      </c>
      <c r="J57" s="195">
        <v>46139</v>
      </c>
      <c r="K57" s="307">
        <v>0</v>
      </c>
      <c r="L57" s="23">
        <f t="shared" ref="L57:L64" si="19">IF($C57="OTC",ROUNDDOWN($I57*$E57*0.000909187,-1),(IF($C57="신한",ROUNDDOWN($I57*$E57*0.000036396,-1),(IF($C57="토스",$I57*$E57*0.00015,(IF($C57="US",(IF($I57*$E57*0.0025&gt;0.01,$I57*$E57*0.0025,0.01)),(IF($C57="JP",(IF($I57*$E57*0.0025&gt;1000,$I57*$E57*0.0025,1000)),(IF($C57="R토스",$I57*$E57*0.00015,(IF($C57="무상증자(신한)",ROUNDDOWN($I57*$E57*0.000036396,-1),"")))))))))))))</f>
        <v>98.85</v>
      </c>
      <c r="M57" s="206">
        <f t="shared" si="17"/>
        <v>1318</v>
      </c>
      <c r="N57" s="34"/>
      <c r="O57" s="209">
        <f t="shared" si="13"/>
        <v>76</v>
      </c>
      <c r="P57" s="34">
        <f t="shared" si="0"/>
        <v>700000</v>
      </c>
      <c r="Q57" s="34">
        <f t="shared" si="1"/>
        <v>659000</v>
      </c>
      <c r="R57" s="7">
        <f t="shared" si="2"/>
        <v>-1416.85</v>
      </c>
      <c r="S57" s="227">
        <f t="shared" si="3"/>
        <v>-42416.85</v>
      </c>
      <c r="T57" s="249">
        <f t="shared" si="4"/>
        <v>-6.0595499999999997E-2</v>
      </c>
      <c r="U57" s="36">
        <f t="shared" ref="U57:U62" si="20">IF(O57&lt;0,0,P57*0.05*O57/365)</f>
        <v>7287.6712328767126</v>
      </c>
    </row>
    <row r="58" spans="2:21" ht="15" customHeight="1" x14ac:dyDescent="0.4">
      <c r="B58" s="38" t="s">
        <v>109</v>
      </c>
      <c r="C58" s="6" t="s">
        <v>122</v>
      </c>
      <c r="D58" s="6">
        <f t="shared" si="16"/>
        <v>1</v>
      </c>
      <c r="E58" s="34">
        <v>200</v>
      </c>
      <c r="F58" s="212">
        <v>7050</v>
      </c>
      <c r="G58" s="195">
        <v>46064</v>
      </c>
      <c r="H58" s="8"/>
      <c r="I58" s="212">
        <v>6590</v>
      </c>
      <c r="J58" s="195">
        <v>46139</v>
      </c>
      <c r="K58" s="307">
        <v>0</v>
      </c>
      <c r="L58" s="23">
        <f t="shared" si="19"/>
        <v>197.7</v>
      </c>
      <c r="M58" s="206">
        <f t="shared" si="17"/>
        <v>2636</v>
      </c>
      <c r="N58" s="34"/>
      <c r="O58" s="209">
        <f t="shared" si="13"/>
        <v>76</v>
      </c>
      <c r="P58" s="34">
        <f t="shared" si="0"/>
        <v>1410000</v>
      </c>
      <c r="Q58" s="34">
        <f t="shared" si="1"/>
        <v>1318000</v>
      </c>
      <c r="R58" s="7">
        <f t="shared" si="2"/>
        <v>-2833.7</v>
      </c>
      <c r="S58" s="227">
        <f t="shared" si="3"/>
        <v>-94833.7</v>
      </c>
      <c r="T58" s="249">
        <f t="shared" si="4"/>
        <v>-6.7257943262411343E-2</v>
      </c>
      <c r="U58" s="36">
        <f t="shared" si="20"/>
        <v>14679.452054794521</v>
      </c>
    </row>
    <row r="59" spans="2:21" ht="15" customHeight="1" x14ac:dyDescent="0.4">
      <c r="B59" s="38" t="s">
        <v>109</v>
      </c>
      <c r="C59" s="6" t="s">
        <v>122</v>
      </c>
      <c r="D59" s="6">
        <f t="shared" si="16"/>
        <v>1</v>
      </c>
      <c r="E59" s="34">
        <v>100</v>
      </c>
      <c r="F59" s="212">
        <v>6840</v>
      </c>
      <c r="G59" s="195">
        <v>46139</v>
      </c>
      <c r="H59" s="8"/>
      <c r="I59" s="212">
        <v>6590</v>
      </c>
      <c r="J59" s="195">
        <v>46139</v>
      </c>
      <c r="K59" s="307">
        <v>0</v>
      </c>
      <c r="L59" s="23">
        <f t="shared" si="19"/>
        <v>98.85</v>
      </c>
      <c r="M59" s="206">
        <f t="shared" si="17"/>
        <v>1318</v>
      </c>
      <c r="N59" s="34"/>
      <c r="O59" s="209">
        <f t="shared" si="13"/>
        <v>1</v>
      </c>
      <c r="P59" s="34">
        <f t="shared" si="0"/>
        <v>684000</v>
      </c>
      <c r="Q59" s="34">
        <f t="shared" si="1"/>
        <v>659000</v>
      </c>
      <c r="R59" s="7">
        <f t="shared" si="2"/>
        <v>-1416.85</v>
      </c>
      <c r="S59" s="227">
        <f t="shared" si="3"/>
        <v>-26416.85</v>
      </c>
      <c r="T59" s="249">
        <f t="shared" si="4"/>
        <v>-3.8621125730994153E-2</v>
      </c>
      <c r="U59" s="36">
        <f t="shared" si="20"/>
        <v>93.698630136986296</v>
      </c>
    </row>
    <row r="60" spans="2:21" ht="15" customHeight="1" x14ac:dyDescent="0.4">
      <c r="B60" s="38" t="s">
        <v>109</v>
      </c>
      <c r="C60" s="6" t="s">
        <v>122</v>
      </c>
      <c r="D60" s="6">
        <f t="shared" si="16"/>
        <v>1</v>
      </c>
      <c r="E60" s="34">
        <v>100</v>
      </c>
      <c r="F60" s="212">
        <v>6820</v>
      </c>
      <c r="G60" s="195">
        <v>46139</v>
      </c>
      <c r="H60" s="8"/>
      <c r="I60" s="212">
        <v>6590</v>
      </c>
      <c r="J60" s="195">
        <v>46139</v>
      </c>
      <c r="K60" s="307">
        <v>0</v>
      </c>
      <c r="L60" s="23">
        <f t="shared" si="19"/>
        <v>98.85</v>
      </c>
      <c r="M60" s="206">
        <f t="shared" si="17"/>
        <v>1318</v>
      </c>
      <c r="N60" s="34"/>
      <c r="O60" s="209">
        <f t="shared" si="13"/>
        <v>1</v>
      </c>
      <c r="P60" s="34">
        <f t="shared" si="0"/>
        <v>682000</v>
      </c>
      <c r="Q60" s="34">
        <f t="shared" si="1"/>
        <v>659000</v>
      </c>
      <c r="R60" s="7">
        <f t="shared" si="2"/>
        <v>-1416.85</v>
      </c>
      <c r="S60" s="227">
        <f t="shared" si="3"/>
        <v>-24416.85</v>
      </c>
      <c r="T60" s="249">
        <f t="shared" si="4"/>
        <v>-3.5801832844574777E-2</v>
      </c>
      <c r="U60" s="36">
        <f t="shared" si="20"/>
        <v>93.424657534246577</v>
      </c>
    </row>
    <row r="61" spans="2:21" ht="15" customHeight="1" x14ac:dyDescent="0.4">
      <c r="B61" s="38" t="s">
        <v>109</v>
      </c>
      <c r="C61" s="6" t="s">
        <v>122</v>
      </c>
      <c r="D61" s="6">
        <f t="shared" si="16"/>
        <v>1</v>
      </c>
      <c r="E61" s="34">
        <v>200</v>
      </c>
      <c r="F61" s="212">
        <v>6800</v>
      </c>
      <c r="G61" s="195">
        <v>46139</v>
      </c>
      <c r="H61" s="8"/>
      <c r="I61" s="212">
        <v>6590</v>
      </c>
      <c r="J61" s="195">
        <v>46139</v>
      </c>
      <c r="K61" s="307">
        <v>0</v>
      </c>
      <c r="L61" s="23">
        <f t="shared" si="19"/>
        <v>197.7</v>
      </c>
      <c r="M61" s="206">
        <f t="shared" si="17"/>
        <v>2636</v>
      </c>
      <c r="N61" s="34"/>
      <c r="O61" s="209">
        <f t="shared" si="13"/>
        <v>1</v>
      </c>
      <c r="P61" s="34">
        <f t="shared" si="0"/>
        <v>1360000</v>
      </c>
      <c r="Q61" s="34">
        <f t="shared" si="1"/>
        <v>1318000</v>
      </c>
      <c r="R61" s="7">
        <f t="shared" si="2"/>
        <v>-2833.7</v>
      </c>
      <c r="S61" s="227">
        <f t="shared" si="3"/>
        <v>-44833.7</v>
      </c>
      <c r="T61" s="249">
        <f t="shared" si="4"/>
        <v>-3.2965955882352939E-2</v>
      </c>
      <c r="U61" s="36">
        <f t="shared" si="20"/>
        <v>186.30136986301369</v>
      </c>
    </row>
    <row r="62" spans="2:21" ht="15" customHeight="1" x14ac:dyDescent="0.4">
      <c r="B62" s="38" t="s">
        <v>109</v>
      </c>
      <c r="C62" s="6" t="s">
        <v>122</v>
      </c>
      <c r="D62" s="6">
        <f t="shared" si="16"/>
        <v>1</v>
      </c>
      <c r="E62" s="34">
        <v>100</v>
      </c>
      <c r="F62" s="212">
        <v>6670</v>
      </c>
      <c r="G62" s="195">
        <v>46139</v>
      </c>
      <c r="H62" s="8"/>
      <c r="I62" s="212">
        <v>6590</v>
      </c>
      <c r="J62" s="195">
        <v>46139</v>
      </c>
      <c r="K62" s="307">
        <v>0</v>
      </c>
      <c r="L62" s="23">
        <f t="shared" si="19"/>
        <v>98.85</v>
      </c>
      <c r="M62" s="206">
        <f t="shared" si="17"/>
        <v>1318</v>
      </c>
      <c r="N62" s="34"/>
      <c r="O62" s="209">
        <f t="shared" si="13"/>
        <v>1</v>
      </c>
      <c r="P62" s="34">
        <f t="shared" si="0"/>
        <v>667000</v>
      </c>
      <c r="Q62" s="34">
        <f t="shared" si="1"/>
        <v>659000</v>
      </c>
      <c r="R62" s="7">
        <f t="shared" si="2"/>
        <v>-1416.85</v>
      </c>
      <c r="S62" s="227">
        <f t="shared" si="3"/>
        <v>-9416.85</v>
      </c>
      <c r="T62" s="249">
        <f t="shared" si="4"/>
        <v>-1.4118215892053974E-2</v>
      </c>
      <c r="U62" s="36">
        <f t="shared" si="20"/>
        <v>91.369863013698634</v>
      </c>
    </row>
    <row r="63" spans="2:21" ht="15" customHeight="1" x14ac:dyDescent="0.4">
      <c r="B63" s="38" t="s">
        <v>31</v>
      </c>
      <c r="C63" s="6" t="s">
        <v>122</v>
      </c>
      <c r="D63" s="6">
        <f t="shared" si="16"/>
        <v>1</v>
      </c>
      <c r="E63" s="34">
        <v>5</v>
      </c>
      <c r="F63" s="212">
        <v>17600</v>
      </c>
      <c r="G63" s="195">
        <v>45943</v>
      </c>
      <c r="H63" s="8" t="s">
        <v>489</v>
      </c>
      <c r="I63" s="212"/>
      <c r="J63" s="8"/>
      <c r="K63" s="23">
        <f>IF($C63="OTC",ROUNDDOWN($E63*$F63*0.000909187,-1),(IF($C63="신한",ROUNDDOWN($E63*$F63*0.000036396,-1),(IF($C63="토스",$E63*$F63*0.00015,(IF($C63="US",(IF($E63*$F63*0.0025&gt;0.01,$E63*$F63*0.0025,0.01)),IF($C63="JP",(IF($E63*$F63*0.0025&gt;1000,$E63*$F63*0.0025,1000)),(IF($C63="R토스",0,IF($C63="무상증자(신한)",0,"")))))))))))</f>
        <v>13.2</v>
      </c>
      <c r="L63" s="23">
        <f t="shared" si="19"/>
        <v>0</v>
      </c>
      <c r="M63" s="206">
        <f t="shared" si="17"/>
        <v>0</v>
      </c>
      <c r="N63" s="34"/>
      <c r="O63" s="209">
        <f t="shared" si="13"/>
        <v>-45942</v>
      </c>
      <c r="P63" s="34">
        <f t="shared" si="0"/>
        <v>88000</v>
      </c>
      <c r="Q63" s="34">
        <f t="shared" si="1"/>
        <v>0</v>
      </c>
      <c r="R63" s="7">
        <f t="shared" si="2"/>
        <v>-13.2</v>
      </c>
      <c r="S63" s="227">
        <f t="shared" si="3"/>
        <v>0</v>
      </c>
      <c r="T63" s="249">
        <f t="shared" si="4"/>
        <v>0</v>
      </c>
    </row>
    <row r="64" spans="2:21" ht="15" customHeight="1" x14ac:dyDescent="0.4">
      <c r="B64" s="38" t="s">
        <v>31</v>
      </c>
      <c r="C64" s="6" t="s">
        <v>122</v>
      </c>
      <c r="D64" s="6">
        <f t="shared" si="16"/>
        <v>1</v>
      </c>
      <c r="E64" s="34">
        <v>10</v>
      </c>
      <c r="F64" s="212">
        <v>17000</v>
      </c>
      <c r="G64" s="195">
        <v>45959</v>
      </c>
      <c r="H64" s="8" t="s">
        <v>489</v>
      </c>
      <c r="I64" s="212"/>
      <c r="J64" s="8"/>
      <c r="K64" s="23">
        <f>IF($C64="OTC",ROUNDDOWN($E64*$F64*0.000909187,-1),(IF($C64="신한",ROUNDDOWN($E64*$F64*0.000036396,-1),(IF($C64="토스",$E64*$F64*0.00015,(IF($C64="US",(IF($E64*$F64*0.0025&gt;0.01,$E64*$F64*0.0025,0.01)),IF($C64="JP",(IF($E64*$F64*0.0025&gt;1000,$E64*$F64*0.0025,1000)),(IF($C64="R토스",0,IF($C64="무상증자(신한)",0,"")))))))))))</f>
        <v>25.499999999999996</v>
      </c>
      <c r="L64" s="23">
        <f t="shared" si="19"/>
        <v>0</v>
      </c>
      <c r="M64" s="206">
        <f t="shared" si="17"/>
        <v>0</v>
      </c>
      <c r="N64" s="34"/>
      <c r="O64" s="209">
        <f t="shared" si="13"/>
        <v>-45958</v>
      </c>
      <c r="P64" s="34">
        <f t="shared" si="0"/>
        <v>170000</v>
      </c>
      <c r="Q64" s="34">
        <f t="shared" si="1"/>
        <v>0</v>
      </c>
      <c r="R64" s="7">
        <f t="shared" si="2"/>
        <v>-25.499999999999996</v>
      </c>
      <c r="S64" s="227">
        <f t="shared" si="3"/>
        <v>0</v>
      </c>
      <c r="T64" s="249">
        <f t="shared" si="4"/>
        <v>0</v>
      </c>
    </row>
    <row r="65" spans="2:34" ht="15" customHeight="1" x14ac:dyDescent="0.4">
      <c r="B65" s="38" t="s">
        <v>490</v>
      </c>
      <c r="C65" s="6" t="s">
        <v>122</v>
      </c>
      <c r="D65" s="6">
        <f t="shared" si="16"/>
        <v>1</v>
      </c>
      <c r="E65" s="34">
        <v>2</v>
      </c>
      <c r="F65" s="212">
        <v>2340</v>
      </c>
      <c r="G65" s="195">
        <v>46106</v>
      </c>
      <c r="H65" s="8"/>
      <c r="I65" s="212">
        <v>2600</v>
      </c>
      <c r="J65" s="8">
        <v>46134</v>
      </c>
      <c r="K65" s="307">
        <v>0</v>
      </c>
      <c r="L65" s="376">
        <v>0</v>
      </c>
      <c r="M65" s="206">
        <f t="shared" ref="M65:M96" si="21">Q65*0.002</f>
        <v>10.4</v>
      </c>
      <c r="N65" s="34"/>
      <c r="O65" s="209">
        <f t="shared" si="13"/>
        <v>29</v>
      </c>
      <c r="P65" s="34">
        <f t="shared" si="0"/>
        <v>4680</v>
      </c>
      <c r="Q65" s="34">
        <f t="shared" si="1"/>
        <v>5200</v>
      </c>
      <c r="R65" s="7">
        <f t="shared" si="2"/>
        <v>-10.4</v>
      </c>
      <c r="S65" s="227">
        <f t="shared" si="3"/>
        <v>509.6</v>
      </c>
      <c r="T65" s="249">
        <f t="shared" si="4"/>
        <v>0.1088888888888889</v>
      </c>
    </row>
    <row r="66" spans="2:34" ht="15" customHeight="1" x14ac:dyDescent="0.4">
      <c r="B66" s="38" t="s">
        <v>22</v>
      </c>
      <c r="C66" s="6" t="s">
        <v>160</v>
      </c>
      <c r="D66" s="6">
        <f t="shared" si="16"/>
        <v>1</v>
      </c>
      <c r="E66" s="34">
        <v>2000</v>
      </c>
      <c r="F66" s="212">
        <v>6360</v>
      </c>
      <c r="G66" s="195">
        <v>46128</v>
      </c>
      <c r="H66" s="8"/>
      <c r="I66" s="212">
        <v>6650</v>
      </c>
      <c r="J66" s="8">
        <v>46128</v>
      </c>
      <c r="K66" s="23">
        <f t="shared" ref="K66:K92" si="22">IF($C66="OTC",ROUNDDOWN($E66*$F66*0.000909187,-1),(IF($C66="신한",ROUNDDOWN($E66*$F66*0.000036396,-1),(IF($C66="토스",$E66*$F66*0.00015,(IF($C66="US",(IF($E66*$F66*0.0025&gt;0.01,$E66*$F66*0.0025,0.01)),IF($C66="JP",(IF($E66*$F66*0.0025&gt;1000,$E66*$F66*0.0025,1000)),(IF($C66="R토스",0,IF($C66="무상증자(신한)",0,"")))))))))))</f>
        <v>460</v>
      </c>
      <c r="L66" s="23">
        <f>IF($C66="OTC",ROUNDDOWN($I66*$E66*0.000909187,-1),(IF($C66="신한",ROUNDDOWN($I66*$E66*0.000036396,-1),(IF($C66="토스",$I66*$E66*0.00015,(IF($C66="US",(IF($I66*$E66*0.0025&gt;0.01,$I66*$E66*0.0025,0.01)),(IF($C66="JP",(IF($I66*$E66*0.0025&gt;1000,$I66*$E66*0.0025,1000)),(IF($C66="R토스",$I66*$E66*0.00015,(IF($C66="무상증자(신한)",ROUNDDOWN($I66*$E66*0.000036396,-1),"")))))))))))))</f>
        <v>480</v>
      </c>
      <c r="M66" s="206">
        <f t="shared" si="21"/>
        <v>26600</v>
      </c>
      <c r="N66" s="34"/>
      <c r="O66" s="209">
        <f t="shared" si="13"/>
        <v>1</v>
      </c>
      <c r="P66" s="34">
        <f t="shared" si="0"/>
        <v>12720000</v>
      </c>
      <c r="Q66" s="34">
        <f t="shared" si="1"/>
        <v>13300000</v>
      </c>
      <c r="R66" s="7">
        <f t="shared" si="2"/>
        <v>-27540</v>
      </c>
      <c r="S66" s="227">
        <f t="shared" si="3"/>
        <v>552460</v>
      </c>
      <c r="T66" s="249">
        <f t="shared" si="4"/>
        <v>4.3432389937106922E-2</v>
      </c>
    </row>
    <row r="67" spans="2:34" ht="15" customHeight="1" x14ac:dyDescent="0.4">
      <c r="B67" s="38" t="s">
        <v>22</v>
      </c>
      <c r="C67" s="6" t="s">
        <v>122</v>
      </c>
      <c r="D67" s="6">
        <f t="shared" si="16"/>
        <v>1</v>
      </c>
      <c r="E67" s="34">
        <v>600</v>
      </c>
      <c r="F67" s="212">
        <v>6650</v>
      </c>
      <c r="G67" s="195">
        <v>45562</v>
      </c>
      <c r="H67" s="8"/>
      <c r="I67" s="212">
        <v>6610</v>
      </c>
      <c r="J67" s="8">
        <v>46049</v>
      </c>
      <c r="K67" s="23">
        <f t="shared" si="22"/>
        <v>598.5</v>
      </c>
      <c r="L67" s="307">
        <v>0</v>
      </c>
      <c r="M67" s="206">
        <f t="shared" si="21"/>
        <v>7932</v>
      </c>
      <c r="N67" s="34"/>
      <c r="O67" s="209">
        <f t="shared" si="13"/>
        <v>488</v>
      </c>
      <c r="P67" s="34">
        <f t="shared" si="0"/>
        <v>3990000</v>
      </c>
      <c r="Q67" s="34">
        <f t="shared" si="1"/>
        <v>3966000</v>
      </c>
      <c r="R67" s="7">
        <f t="shared" si="2"/>
        <v>-8530.5</v>
      </c>
      <c r="S67" s="227">
        <f t="shared" si="3"/>
        <v>-32530.5</v>
      </c>
      <c r="T67" s="249">
        <f t="shared" si="4"/>
        <v>-8.1530075187969918E-3</v>
      </c>
    </row>
    <row r="68" spans="2:34" ht="15" customHeight="1" x14ac:dyDescent="0.4">
      <c r="B68" s="38" t="s">
        <v>22</v>
      </c>
      <c r="C68" s="6" t="s">
        <v>122</v>
      </c>
      <c r="D68" s="6">
        <f t="shared" si="16"/>
        <v>1</v>
      </c>
      <c r="E68" s="34">
        <v>200</v>
      </c>
      <c r="F68" s="212">
        <v>6650</v>
      </c>
      <c r="G68" s="195">
        <v>45562</v>
      </c>
      <c r="H68" s="8"/>
      <c r="I68" s="212">
        <v>6650</v>
      </c>
      <c r="J68" s="8">
        <v>46133</v>
      </c>
      <c r="K68" s="23">
        <f t="shared" si="22"/>
        <v>199.49999999999997</v>
      </c>
      <c r="L68" s="23">
        <f t="shared" ref="L68:L99" si="23">IF($C68="OTC",ROUNDDOWN($I68*$E68*0.000909187,-1),(IF($C68="신한",ROUNDDOWN($I68*$E68*0.000036396,-1),(IF($C68="토스",$I68*$E68*0.00015,(IF($C68="US",(IF($I68*$E68*0.0025&gt;0.01,$I68*$E68*0.0025,0.01)),(IF($C68="JP",(IF($I68*$E68*0.0025&gt;1000,$I68*$E68*0.0025,1000)),(IF($C68="R토스",$I68*$E68*0.00015,(IF($C68="무상증자(신한)",ROUNDDOWN($I68*$E68*0.000036396,-1),"")))))))))))))</f>
        <v>199.49999999999997</v>
      </c>
      <c r="M68" s="206">
        <f t="shared" si="21"/>
        <v>2660</v>
      </c>
      <c r="N68" s="34"/>
      <c r="O68" s="209">
        <f t="shared" si="13"/>
        <v>572</v>
      </c>
      <c r="P68" s="34">
        <f t="shared" ref="P68:P131" si="24">$E68*$F68*$D68</f>
        <v>1330000</v>
      </c>
      <c r="Q68" s="34">
        <f t="shared" ref="Q68:Q131" si="25">$E68*$I68*$D68</f>
        <v>1330000</v>
      </c>
      <c r="R68" s="7">
        <f t="shared" ref="R68:R131" si="26">($N68-$K68-$L68-$M68)*$D68</f>
        <v>-3059</v>
      </c>
      <c r="S68" s="227">
        <f t="shared" ref="S68:S131" si="27">IF(Q68=0,0,Q68-P68+R68)</f>
        <v>-3059</v>
      </c>
      <c r="T68" s="249">
        <f t="shared" ref="T68:T131" si="28">S68/P68</f>
        <v>-2.3E-3</v>
      </c>
    </row>
    <row r="69" spans="2:34" ht="15" customHeight="1" x14ac:dyDescent="0.4">
      <c r="B69" s="38" t="s">
        <v>22</v>
      </c>
      <c r="C69" s="6" t="s">
        <v>122</v>
      </c>
      <c r="D69" s="6">
        <f t="shared" si="16"/>
        <v>1</v>
      </c>
      <c r="E69" s="34">
        <v>20</v>
      </c>
      <c r="F69" s="212">
        <v>5300</v>
      </c>
      <c r="G69" s="195">
        <v>45645</v>
      </c>
      <c r="H69" s="8"/>
      <c r="I69" s="212">
        <v>6650</v>
      </c>
      <c r="J69" s="8">
        <v>46133</v>
      </c>
      <c r="K69" s="23">
        <f t="shared" si="22"/>
        <v>15.899999999999999</v>
      </c>
      <c r="L69" s="23">
        <f t="shared" si="23"/>
        <v>19.95</v>
      </c>
      <c r="M69" s="206">
        <f t="shared" si="21"/>
        <v>266</v>
      </c>
      <c r="N69" s="34"/>
      <c r="O69" s="209">
        <f t="shared" si="13"/>
        <v>489</v>
      </c>
      <c r="P69" s="34">
        <f t="shared" si="24"/>
        <v>106000</v>
      </c>
      <c r="Q69" s="34">
        <f t="shared" si="25"/>
        <v>133000</v>
      </c>
      <c r="R69" s="7">
        <f t="shared" si="26"/>
        <v>-301.85000000000002</v>
      </c>
      <c r="S69" s="227">
        <f t="shared" si="27"/>
        <v>26698.15</v>
      </c>
      <c r="T69" s="249">
        <f t="shared" si="28"/>
        <v>0.25186933962264152</v>
      </c>
      <c r="X69" s="33">
        <f>6650*1.1</f>
        <v>7315.0000000000009</v>
      </c>
    </row>
    <row r="70" spans="2:34" ht="15" customHeight="1" x14ac:dyDescent="0.4">
      <c r="B70" s="38" t="s">
        <v>22</v>
      </c>
      <c r="C70" s="6" t="s">
        <v>122</v>
      </c>
      <c r="D70" s="6">
        <f t="shared" si="16"/>
        <v>1</v>
      </c>
      <c r="E70" s="34">
        <v>30</v>
      </c>
      <c r="F70" s="212">
        <v>5000</v>
      </c>
      <c r="G70" s="195">
        <v>45646</v>
      </c>
      <c r="H70" s="8"/>
      <c r="I70" s="212">
        <v>6650</v>
      </c>
      <c r="J70" s="8">
        <v>46133</v>
      </c>
      <c r="K70" s="23">
        <f t="shared" si="22"/>
        <v>22.499999999999996</v>
      </c>
      <c r="L70" s="23">
        <f t="shared" si="23"/>
        <v>29.924999999999997</v>
      </c>
      <c r="M70" s="206">
        <f t="shared" si="21"/>
        <v>399</v>
      </c>
      <c r="N70" s="34"/>
      <c r="O70" s="209">
        <f t="shared" si="13"/>
        <v>488</v>
      </c>
      <c r="P70" s="34">
        <f t="shared" si="24"/>
        <v>150000</v>
      </c>
      <c r="Q70" s="34">
        <f t="shared" si="25"/>
        <v>199500</v>
      </c>
      <c r="R70" s="7">
        <f t="shared" si="26"/>
        <v>-451.42500000000001</v>
      </c>
      <c r="S70" s="227">
        <f t="shared" si="27"/>
        <v>49048.574999999997</v>
      </c>
      <c r="T70" s="249">
        <f t="shared" si="28"/>
        <v>0.32699049999999996</v>
      </c>
    </row>
    <row r="71" spans="2:34" ht="15" customHeight="1" x14ac:dyDescent="0.4">
      <c r="B71" s="38" t="s">
        <v>22</v>
      </c>
      <c r="C71" s="6" t="s">
        <v>122</v>
      </c>
      <c r="D71" s="6">
        <f t="shared" si="16"/>
        <v>1</v>
      </c>
      <c r="E71" s="34">
        <v>18</v>
      </c>
      <c r="F71" s="212">
        <v>5550</v>
      </c>
      <c r="G71" s="195">
        <v>45667</v>
      </c>
      <c r="H71" s="8"/>
      <c r="I71" s="212">
        <v>6650</v>
      </c>
      <c r="J71" s="8">
        <v>46133</v>
      </c>
      <c r="K71" s="23">
        <f t="shared" si="22"/>
        <v>14.984999999999999</v>
      </c>
      <c r="L71" s="23">
        <f t="shared" si="23"/>
        <v>17.954999999999998</v>
      </c>
      <c r="M71" s="206">
        <f t="shared" si="21"/>
        <v>239.4</v>
      </c>
      <c r="N71" s="34"/>
      <c r="O71" s="209">
        <f t="shared" si="13"/>
        <v>467</v>
      </c>
      <c r="P71" s="34">
        <f t="shared" si="24"/>
        <v>99900</v>
      </c>
      <c r="Q71" s="34">
        <f t="shared" si="25"/>
        <v>119700</v>
      </c>
      <c r="R71" s="7">
        <f t="shared" si="26"/>
        <v>-272.34000000000003</v>
      </c>
      <c r="S71" s="227">
        <f t="shared" si="27"/>
        <v>19527.66</v>
      </c>
      <c r="T71" s="249">
        <f t="shared" si="28"/>
        <v>0.19547207207207207</v>
      </c>
      <c r="V71" s="33">
        <f>8700000*0.0015</f>
        <v>13050</v>
      </c>
    </row>
    <row r="72" spans="2:34" ht="15" customHeight="1" x14ac:dyDescent="0.4">
      <c r="B72" s="38" t="s">
        <v>22</v>
      </c>
      <c r="C72" s="6" t="s">
        <v>122</v>
      </c>
      <c r="D72" s="6">
        <f t="shared" si="16"/>
        <v>1</v>
      </c>
      <c r="E72" s="34">
        <v>20</v>
      </c>
      <c r="F72" s="212">
        <v>5300</v>
      </c>
      <c r="G72" s="195">
        <v>45674</v>
      </c>
      <c r="H72" s="8"/>
      <c r="I72" s="212">
        <v>6650</v>
      </c>
      <c r="J72" s="8">
        <v>46133</v>
      </c>
      <c r="K72" s="23">
        <f t="shared" si="22"/>
        <v>15.899999999999999</v>
      </c>
      <c r="L72" s="23">
        <f t="shared" si="23"/>
        <v>19.95</v>
      </c>
      <c r="M72" s="206">
        <f t="shared" si="21"/>
        <v>266</v>
      </c>
      <c r="N72" s="34"/>
      <c r="O72" s="209">
        <f t="shared" si="13"/>
        <v>460</v>
      </c>
      <c r="P72" s="34">
        <f t="shared" si="24"/>
        <v>106000</v>
      </c>
      <c r="Q72" s="34">
        <f t="shared" si="25"/>
        <v>133000</v>
      </c>
      <c r="R72" s="7">
        <f t="shared" si="26"/>
        <v>-301.85000000000002</v>
      </c>
      <c r="S72" s="227">
        <f t="shared" si="27"/>
        <v>26698.15</v>
      </c>
      <c r="T72" s="249">
        <f t="shared" si="28"/>
        <v>0.25186933962264152</v>
      </c>
      <c r="AH72" s="33" t="s">
        <v>491</v>
      </c>
    </row>
    <row r="73" spans="2:34" ht="15" customHeight="1" x14ac:dyDescent="0.4">
      <c r="B73" s="38" t="s">
        <v>22</v>
      </c>
      <c r="C73" s="6" t="s">
        <v>122</v>
      </c>
      <c r="D73" s="6">
        <f t="shared" si="16"/>
        <v>1</v>
      </c>
      <c r="E73" s="34">
        <v>60</v>
      </c>
      <c r="F73" s="212">
        <v>5250</v>
      </c>
      <c r="G73" s="195">
        <v>45714</v>
      </c>
      <c r="H73" s="8"/>
      <c r="I73" s="212">
        <v>6650</v>
      </c>
      <c r="J73" s="8">
        <v>46133</v>
      </c>
      <c r="K73" s="23">
        <f t="shared" si="22"/>
        <v>47.249999999999993</v>
      </c>
      <c r="L73" s="23">
        <f t="shared" si="23"/>
        <v>59.849999999999994</v>
      </c>
      <c r="M73" s="206">
        <f t="shared" si="21"/>
        <v>798</v>
      </c>
      <c r="N73" s="34"/>
      <c r="O73" s="209">
        <f t="shared" si="13"/>
        <v>420</v>
      </c>
      <c r="P73" s="34">
        <f t="shared" si="24"/>
        <v>315000</v>
      </c>
      <c r="Q73" s="34">
        <f t="shared" si="25"/>
        <v>399000</v>
      </c>
      <c r="R73" s="7">
        <f t="shared" si="26"/>
        <v>-905.1</v>
      </c>
      <c r="S73" s="227">
        <f t="shared" si="27"/>
        <v>83094.899999999994</v>
      </c>
      <c r="T73" s="249">
        <f t="shared" si="28"/>
        <v>0.26379333333333332</v>
      </c>
    </row>
    <row r="74" spans="2:34" ht="15" customHeight="1" x14ac:dyDescent="0.4">
      <c r="B74" s="38" t="s">
        <v>22</v>
      </c>
      <c r="C74" s="6" t="s">
        <v>122</v>
      </c>
      <c r="D74" s="6">
        <f t="shared" si="16"/>
        <v>1</v>
      </c>
      <c r="E74" s="34">
        <v>19</v>
      </c>
      <c r="F74" s="212">
        <v>5170</v>
      </c>
      <c r="G74" s="195">
        <v>45715</v>
      </c>
      <c r="H74" s="8"/>
      <c r="I74" s="212">
        <v>6650</v>
      </c>
      <c r="J74" s="8">
        <v>46133</v>
      </c>
      <c r="K74" s="23">
        <f t="shared" si="22"/>
        <v>14.734499999999999</v>
      </c>
      <c r="L74" s="23">
        <f t="shared" si="23"/>
        <v>18.952499999999997</v>
      </c>
      <c r="M74" s="206">
        <f t="shared" si="21"/>
        <v>252.70000000000002</v>
      </c>
      <c r="N74" s="34"/>
      <c r="O74" s="209">
        <f t="shared" si="13"/>
        <v>419</v>
      </c>
      <c r="P74" s="34">
        <f t="shared" si="24"/>
        <v>98230</v>
      </c>
      <c r="Q74" s="34">
        <f t="shared" si="25"/>
        <v>126350</v>
      </c>
      <c r="R74" s="7">
        <f t="shared" si="26"/>
        <v>-286.387</v>
      </c>
      <c r="S74" s="227">
        <f t="shared" si="27"/>
        <v>27833.613000000001</v>
      </c>
      <c r="T74" s="249">
        <f t="shared" si="28"/>
        <v>0.28335145067698259</v>
      </c>
    </row>
    <row r="75" spans="2:34" ht="15" customHeight="1" x14ac:dyDescent="0.4">
      <c r="B75" s="38" t="s">
        <v>22</v>
      </c>
      <c r="C75" s="6" t="s">
        <v>122</v>
      </c>
      <c r="D75" s="6">
        <f t="shared" si="16"/>
        <v>1</v>
      </c>
      <c r="E75" s="34">
        <v>21</v>
      </c>
      <c r="F75" s="212">
        <v>4780</v>
      </c>
      <c r="G75" s="195">
        <v>45720</v>
      </c>
      <c r="H75" s="8"/>
      <c r="I75" s="212">
        <v>6650</v>
      </c>
      <c r="J75" s="8">
        <v>46133</v>
      </c>
      <c r="K75" s="23">
        <f t="shared" si="22"/>
        <v>15.056999999999999</v>
      </c>
      <c r="L75" s="23">
        <f t="shared" si="23"/>
        <v>20.947499999999998</v>
      </c>
      <c r="M75" s="206">
        <f t="shared" si="21"/>
        <v>279.3</v>
      </c>
      <c r="N75" s="34"/>
      <c r="O75" s="209">
        <f t="shared" si="13"/>
        <v>414</v>
      </c>
      <c r="P75" s="34">
        <f t="shared" si="24"/>
        <v>100380</v>
      </c>
      <c r="Q75" s="34">
        <f t="shared" si="25"/>
        <v>139650</v>
      </c>
      <c r="R75" s="7">
        <f t="shared" si="26"/>
        <v>-315.30450000000002</v>
      </c>
      <c r="S75" s="227">
        <f t="shared" si="27"/>
        <v>38954.695500000002</v>
      </c>
      <c r="T75" s="249">
        <f t="shared" si="28"/>
        <v>0.38807228033472807</v>
      </c>
    </row>
    <row r="76" spans="2:34" ht="15" customHeight="1" x14ac:dyDescent="0.4">
      <c r="B76" s="38" t="s">
        <v>22</v>
      </c>
      <c r="C76" s="6" t="s">
        <v>122</v>
      </c>
      <c r="D76" s="6">
        <f t="shared" si="16"/>
        <v>1</v>
      </c>
      <c r="E76" s="34">
        <v>12</v>
      </c>
      <c r="F76" s="212">
        <v>4800</v>
      </c>
      <c r="G76" s="195">
        <v>45729</v>
      </c>
      <c r="H76" s="8"/>
      <c r="I76" s="212">
        <v>6650</v>
      </c>
      <c r="J76" s="8">
        <v>46133</v>
      </c>
      <c r="K76" s="23">
        <f t="shared" si="22"/>
        <v>8.6399999999999988</v>
      </c>
      <c r="L76" s="23">
        <f t="shared" si="23"/>
        <v>11.969999999999999</v>
      </c>
      <c r="M76" s="206">
        <f t="shared" si="21"/>
        <v>159.6</v>
      </c>
      <c r="N76" s="34"/>
      <c r="O76" s="209">
        <f t="shared" si="13"/>
        <v>405</v>
      </c>
      <c r="P76" s="34">
        <f t="shared" si="24"/>
        <v>57600</v>
      </c>
      <c r="Q76" s="34">
        <f t="shared" si="25"/>
        <v>79800</v>
      </c>
      <c r="R76" s="7">
        <f t="shared" si="26"/>
        <v>-180.20999999999998</v>
      </c>
      <c r="S76" s="227">
        <f t="shared" si="27"/>
        <v>22019.79</v>
      </c>
      <c r="T76" s="249">
        <f t="shared" si="28"/>
        <v>0.38228802083333335</v>
      </c>
    </row>
    <row r="77" spans="2:34" ht="15" customHeight="1" x14ac:dyDescent="0.4">
      <c r="B77" s="38" t="s">
        <v>22</v>
      </c>
      <c r="C77" s="6" t="s">
        <v>122</v>
      </c>
      <c r="D77" s="6">
        <f t="shared" si="16"/>
        <v>1</v>
      </c>
      <c r="E77" s="34">
        <v>10</v>
      </c>
      <c r="F77" s="212">
        <v>4780</v>
      </c>
      <c r="G77" s="195">
        <v>45736</v>
      </c>
      <c r="H77" s="8"/>
      <c r="I77" s="212">
        <v>6650</v>
      </c>
      <c r="J77" s="8">
        <v>46133</v>
      </c>
      <c r="K77" s="23">
        <f t="shared" si="22"/>
        <v>7.169999999999999</v>
      </c>
      <c r="L77" s="23">
        <f t="shared" si="23"/>
        <v>9.9749999999999996</v>
      </c>
      <c r="M77" s="206">
        <f t="shared" si="21"/>
        <v>133</v>
      </c>
      <c r="N77" s="34"/>
      <c r="O77" s="209">
        <f t="shared" si="13"/>
        <v>398</v>
      </c>
      <c r="P77" s="34">
        <f t="shared" si="24"/>
        <v>47800</v>
      </c>
      <c r="Q77" s="34">
        <f t="shared" si="25"/>
        <v>66500</v>
      </c>
      <c r="R77" s="7">
        <f t="shared" si="26"/>
        <v>-150.14500000000001</v>
      </c>
      <c r="S77" s="227">
        <f t="shared" si="27"/>
        <v>18549.855</v>
      </c>
      <c r="T77" s="249">
        <f t="shared" si="28"/>
        <v>0.38807228033472801</v>
      </c>
    </row>
    <row r="78" spans="2:34" ht="15" customHeight="1" x14ac:dyDescent="0.4">
      <c r="B78" s="38" t="s">
        <v>22</v>
      </c>
      <c r="C78" s="6" t="s">
        <v>122</v>
      </c>
      <c r="D78" s="6">
        <f t="shared" si="16"/>
        <v>1</v>
      </c>
      <c r="E78" s="34">
        <v>20</v>
      </c>
      <c r="F78" s="212">
        <v>3950</v>
      </c>
      <c r="G78" s="195">
        <v>45754</v>
      </c>
      <c r="H78" s="8"/>
      <c r="I78" s="212">
        <v>6650</v>
      </c>
      <c r="J78" s="8">
        <v>46133</v>
      </c>
      <c r="K78" s="23">
        <f t="shared" si="22"/>
        <v>11.85</v>
      </c>
      <c r="L78" s="23">
        <f t="shared" si="23"/>
        <v>19.95</v>
      </c>
      <c r="M78" s="206">
        <f t="shared" si="21"/>
        <v>266</v>
      </c>
      <c r="N78" s="34"/>
      <c r="O78" s="209">
        <f t="shared" si="13"/>
        <v>380</v>
      </c>
      <c r="P78" s="34">
        <f t="shared" si="24"/>
        <v>79000</v>
      </c>
      <c r="Q78" s="34">
        <f t="shared" si="25"/>
        <v>133000</v>
      </c>
      <c r="R78" s="7">
        <f t="shared" si="26"/>
        <v>-297.8</v>
      </c>
      <c r="S78" s="227">
        <f t="shared" si="27"/>
        <v>53702.2</v>
      </c>
      <c r="T78" s="249">
        <f t="shared" si="28"/>
        <v>0.67977468354430381</v>
      </c>
    </row>
    <row r="79" spans="2:34" ht="15" customHeight="1" x14ac:dyDescent="0.4">
      <c r="B79" s="38" t="s">
        <v>22</v>
      </c>
      <c r="C79" s="6" t="s">
        <v>122</v>
      </c>
      <c r="D79" s="6">
        <f t="shared" si="16"/>
        <v>1</v>
      </c>
      <c r="E79" s="34">
        <v>100</v>
      </c>
      <c r="F79" s="212">
        <v>4530</v>
      </c>
      <c r="G79" s="195">
        <v>45826</v>
      </c>
      <c r="H79" s="8" t="s">
        <v>113</v>
      </c>
      <c r="I79" s="212">
        <v>6650</v>
      </c>
      <c r="J79" s="8">
        <v>46133</v>
      </c>
      <c r="K79" s="23">
        <f t="shared" si="22"/>
        <v>67.949999999999989</v>
      </c>
      <c r="L79" s="23">
        <f t="shared" si="23"/>
        <v>99.749999999999986</v>
      </c>
      <c r="M79" s="206">
        <f t="shared" si="21"/>
        <v>1330</v>
      </c>
      <c r="N79" s="34"/>
      <c r="O79" s="209">
        <f t="shared" si="13"/>
        <v>308</v>
      </c>
      <c r="P79" s="34">
        <f t="shared" si="24"/>
        <v>453000</v>
      </c>
      <c r="Q79" s="34">
        <f t="shared" si="25"/>
        <v>665000</v>
      </c>
      <c r="R79" s="7">
        <f t="shared" si="26"/>
        <v>-1497.7</v>
      </c>
      <c r="S79" s="227">
        <f t="shared" si="27"/>
        <v>210502.3</v>
      </c>
      <c r="T79" s="249">
        <f t="shared" si="28"/>
        <v>0.4646849889624724</v>
      </c>
      <c r="U79" s="36">
        <f t="shared" ref="U79:U105" si="29">IF(O79&lt;0,0,P79*0.05*O79/365)</f>
        <v>19112.876712328769</v>
      </c>
    </row>
    <row r="80" spans="2:34" ht="15" customHeight="1" x14ac:dyDescent="0.4">
      <c r="B80" s="38" t="s">
        <v>22</v>
      </c>
      <c r="C80" s="6" t="s">
        <v>122</v>
      </c>
      <c r="D80" s="6">
        <f t="shared" si="16"/>
        <v>1</v>
      </c>
      <c r="E80" s="34">
        <v>20</v>
      </c>
      <c r="F80" s="212">
        <v>5480</v>
      </c>
      <c r="G80" s="195">
        <v>45922</v>
      </c>
      <c r="H80" s="8" t="s">
        <v>113</v>
      </c>
      <c r="I80" s="212">
        <v>6650</v>
      </c>
      <c r="J80" s="8">
        <v>46133</v>
      </c>
      <c r="K80" s="23">
        <f t="shared" si="22"/>
        <v>16.439999999999998</v>
      </c>
      <c r="L80" s="23">
        <f t="shared" si="23"/>
        <v>19.95</v>
      </c>
      <c r="M80" s="206">
        <f t="shared" si="21"/>
        <v>266</v>
      </c>
      <c r="N80" s="34"/>
      <c r="O80" s="209">
        <f t="shared" si="13"/>
        <v>212</v>
      </c>
      <c r="P80" s="34">
        <f t="shared" si="24"/>
        <v>109600</v>
      </c>
      <c r="Q80" s="34">
        <f t="shared" si="25"/>
        <v>133000</v>
      </c>
      <c r="R80" s="7">
        <f t="shared" si="26"/>
        <v>-302.39</v>
      </c>
      <c r="S80" s="227">
        <f t="shared" si="27"/>
        <v>23097.61</v>
      </c>
      <c r="T80" s="249">
        <f t="shared" si="28"/>
        <v>0.21074461678832118</v>
      </c>
      <c r="U80" s="36">
        <f t="shared" si="29"/>
        <v>3182.9041095890411</v>
      </c>
    </row>
    <row r="81" spans="2:21" ht="15" customHeight="1" x14ac:dyDescent="0.4">
      <c r="B81" s="38" t="s">
        <v>22</v>
      </c>
      <c r="C81" s="6" t="s">
        <v>122</v>
      </c>
      <c r="D81" s="6">
        <f t="shared" si="16"/>
        <v>1</v>
      </c>
      <c r="E81" s="34">
        <v>50</v>
      </c>
      <c r="F81" s="212">
        <v>5300</v>
      </c>
      <c r="G81" s="195">
        <v>45924</v>
      </c>
      <c r="H81" s="8" t="s">
        <v>113</v>
      </c>
      <c r="I81" s="212">
        <v>6650</v>
      </c>
      <c r="J81" s="8">
        <v>46133</v>
      </c>
      <c r="K81" s="23">
        <f t="shared" si="22"/>
        <v>39.75</v>
      </c>
      <c r="L81" s="23">
        <f t="shared" si="23"/>
        <v>49.874999999999993</v>
      </c>
      <c r="M81" s="206">
        <f t="shared" si="21"/>
        <v>665</v>
      </c>
      <c r="N81" s="34"/>
      <c r="O81" s="209">
        <f t="shared" si="13"/>
        <v>210</v>
      </c>
      <c r="P81" s="34">
        <f t="shared" si="24"/>
        <v>265000</v>
      </c>
      <c r="Q81" s="34">
        <f t="shared" si="25"/>
        <v>332500</v>
      </c>
      <c r="R81" s="7">
        <f t="shared" si="26"/>
        <v>-754.625</v>
      </c>
      <c r="S81" s="227">
        <f t="shared" si="27"/>
        <v>66745.375</v>
      </c>
      <c r="T81" s="249">
        <f t="shared" si="28"/>
        <v>0.25186933962264152</v>
      </c>
      <c r="U81" s="36">
        <f t="shared" si="29"/>
        <v>7623.2876712328771</v>
      </c>
    </row>
    <row r="82" spans="2:21" ht="15" customHeight="1" x14ac:dyDescent="0.4">
      <c r="B82" s="38" t="s">
        <v>22</v>
      </c>
      <c r="C82" s="6" t="s">
        <v>122</v>
      </c>
      <c r="D82" s="6">
        <f t="shared" si="16"/>
        <v>1</v>
      </c>
      <c r="E82" s="34">
        <v>50</v>
      </c>
      <c r="F82" s="212">
        <v>5300</v>
      </c>
      <c r="G82" s="195">
        <v>45953</v>
      </c>
      <c r="H82" s="8"/>
      <c r="I82" s="212">
        <v>6650</v>
      </c>
      <c r="J82" s="8">
        <v>46133</v>
      </c>
      <c r="K82" s="23">
        <f t="shared" si="22"/>
        <v>39.75</v>
      </c>
      <c r="L82" s="23">
        <f t="shared" si="23"/>
        <v>49.874999999999993</v>
      </c>
      <c r="M82" s="206">
        <f t="shared" si="21"/>
        <v>665</v>
      </c>
      <c r="N82" s="34"/>
      <c r="O82" s="209">
        <f t="shared" si="13"/>
        <v>181</v>
      </c>
      <c r="P82" s="34">
        <f t="shared" si="24"/>
        <v>265000</v>
      </c>
      <c r="Q82" s="34">
        <f t="shared" si="25"/>
        <v>332500</v>
      </c>
      <c r="R82" s="7">
        <f t="shared" si="26"/>
        <v>-754.625</v>
      </c>
      <c r="S82" s="227">
        <f t="shared" si="27"/>
        <v>66745.375</v>
      </c>
      <c r="T82" s="249">
        <f t="shared" si="28"/>
        <v>0.25186933962264152</v>
      </c>
      <c r="U82" s="36">
        <f t="shared" si="29"/>
        <v>6570.5479452054797</v>
      </c>
    </row>
    <row r="83" spans="2:21" ht="15" customHeight="1" x14ac:dyDescent="0.4">
      <c r="B83" s="38" t="s">
        <v>22</v>
      </c>
      <c r="C83" s="6" t="s">
        <v>165</v>
      </c>
      <c r="D83" s="6">
        <f t="shared" si="16"/>
        <v>1</v>
      </c>
      <c r="E83" s="34">
        <v>5</v>
      </c>
      <c r="F83" s="212">
        <v>5180</v>
      </c>
      <c r="G83" s="195">
        <v>46002</v>
      </c>
      <c r="H83" s="8"/>
      <c r="I83" s="212">
        <v>6650</v>
      </c>
      <c r="J83" s="8">
        <v>46133</v>
      </c>
      <c r="K83" s="23">
        <f t="shared" si="22"/>
        <v>0</v>
      </c>
      <c r="L83" s="23">
        <f t="shared" si="23"/>
        <v>4.9874999999999998</v>
      </c>
      <c r="M83" s="206">
        <f t="shared" si="21"/>
        <v>66.5</v>
      </c>
      <c r="N83" s="34"/>
      <c r="O83" s="209">
        <f t="shared" si="13"/>
        <v>132</v>
      </c>
      <c r="P83" s="34">
        <f t="shared" si="24"/>
        <v>25900</v>
      </c>
      <c r="Q83" s="34">
        <f t="shared" si="25"/>
        <v>33250</v>
      </c>
      <c r="R83" s="7">
        <f t="shared" si="26"/>
        <v>-71.487499999999997</v>
      </c>
      <c r="S83" s="227">
        <f t="shared" si="27"/>
        <v>7278.5124999999998</v>
      </c>
      <c r="T83" s="249">
        <f t="shared" si="28"/>
        <v>0.28102364864864865</v>
      </c>
      <c r="U83" s="36">
        <f t="shared" si="29"/>
        <v>468.32876712328766</v>
      </c>
    </row>
    <row r="84" spans="2:21" ht="15" customHeight="1" x14ac:dyDescent="0.4">
      <c r="B84" s="38" t="s">
        <v>22</v>
      </c>
      <c r="C84" s="6" t="s">
        <v>165</v>
      </c>
      <c r="D84" s="6">
        <f t="shared" si="16"/>
        <v>1</v>
      </c>
      <c r="E84" s="34">
        <v>5</v>
      </c>
      <c r="F84" s="212">
        <v>5040</v>
      </c>
      <c r="G84" s="195">
        <v>46009</v>
      </c>
      <c r="H84" s="8"/>
      <c r="I84" s="212">
        <v>6650</v>
      </c>
      <c r="J84" s="8">
        <v>46133</v>
      </c>
      <c r="K84" s="23">
        <f t="shared" si="22"/>
        <v>0</v>
      </c>
      <c r="L84" s="23">
        <f t="shared" si="23"/>
        <v>4.9874999999999998</v>
      </c>
      <c r="M84" s="206">
        <f t="shared" si="21"/>
        <v>66.5</v>
      </c>
      <c r="N84" s="34"/>
      <c r="O84" s="209">
        <f t="shared" si="13"/>
        <v>125</v>
      </c>
      <c r="P84" s="34">
        <f t="shared" si="24"/>
        <v>25200</v>
      </c>
      <c r="Q84" s="34">
        <f t="shared" si="25"/>
        <v>33250</v>
      </c>
      <c r="R84" s="7">
        <f t="shared" si="26"/>
        <v>-71.487499999999997</v>
      </c>
      <c r="S84" s="227">
        <f t="shared" si="27"/>
        <v>7978.5124999999998</v>
      </c>
      <c r="T84" s="249">
        <f t="shared" si="28"/>
        <v>0.31660763888888888</v>
      </c>
      <c r="U84" s="36">
        <f t="shared" si="29"/>
        <v>431.50684931506851</v>
      </c>
    </row>
    <row r="85" spans="2:21" ht="15" customHeight="1" x14ac:dyDescent="0.4">
      <c r="B85" s="38" t="s">
        <v>22</v>
      </c>
      <c r="C85" s="6" t="s">
        <v>165</v>
      </c>
      <c r="D85" s="6">
        <f t="shared" si="16"/>
        <v>1</v>
      </c>
      <c r="E85" s="34">
        <v>5</v>
      </c>
      <c r="F85" s="212">
        <v>4965</v>
      </c>
      <c r="G85" s="195">
        <v>46017</v>
      </c>
      <c r="H85" s="8"/>
      <c r="I85" s="212">
        <v>6650</v>
      </c>
      <c r="J85" s="8">
        <v>46133</v>
      </c>
      <c r="K85" s="23">
        <f t="shared" si="22"/>
        <v>0</v>
      </c>
      <c r="L85" s="23">
        <f t="shared" si="23"/>
        <v>4.9874999999999998</v>
      </c>
      <c r="M85" s="206">
        <f t="shared" si="21"/>
        <v>66.5</v>
      </c>
      <c r="N85" s="34"/>
      <c r="O85" s="209">
        <f t="shared" si="13"/>
        <v>117</v>
      </c>
      <c r="P85" s="34">
        <f t="shared" si="24"/>
        <v>24825</v>
      </c>
      <c r="Q85" s="34">
        <f t="shared" si="25"/>
        <v>33250</v>
      </c>
      <c r="R85" s="7">
        <f t="shared" si="26"/>
        <v>-71.487499999999997</v>
      </c>
      <c r="S85" s="227">
        <f t="shared" si="27"/>
        <v>8353.5125000000007</v>
      </c>
      <c r="T85" s="249">
        <f t="shared" si="28"/>
        <v>0.33649597180261837</v>
      </c>
      <c r="U85" s="36">
        <f t="shared" si="29"/>
        <v>397.88013698630135</v>
      </c>
    </row>
    <row r="86" spans="2:21" ht="15" customHeight="1" x14ac:dyDescent="0.4">
      <c r="B86" s="38" t="s">
        <v>22</v>
      </c>
      <c r="C86" s="6" t="s">
        <v>165</v>
      </c>
      <c r="D86" s="6">
        <f t="shared" si="16"/>
        <v>1</v>
      </c>
      <c r="E86" s="34">
        <v>5</v>
      </c>
      <c r="F86" s="212">
        <v>5090</v>
      </c>
      <c r="G86" s="195">
        <v>46024</v>
      </c>
      <c r="H86" s="8"/>
      <c r="I86" s="212">
        <v>6650</v>
      </c>
      <c r="J86" s="8">
        <v>46133</v>
      </c>
      <c r="K86" s="23">
        <f t="shared" si="22"/>
        <v>0</v>
      </c>
      <c r="L86" s="23">
        <f t="shared" si="23"/>
        <v>4.9874999999999998</v>
      </c>
      <c r="M86" s="206">
        <f t="shared" si="21"/>
        <v>66.5</v>
      </c>
      <c r="N86" s="34"/>
      <c r="O86" s="209">
        <f t="shared" si="13"/>
        <v>110</v>
      </c>
      <c r="P86" s="34">
        <f t="shared" si="24"/>
        <v>25450</v>
      </c>
      <c r="Q86" s="34">
        <f t="shared" si="25"/>
        <v>33250</v>
      </c>
      <c r="R86" s="7">
        <f t="shared" si="26"/>
        <v>-71.487499999999997</v>
      </c>
      <c r="S86" s="227">
        <f t="shared" si="27"/>
        <v>7728.5124999999998</v>
      </c>
      <c r="T86" s="249">
        <f t="shared" si="28"/>
        <v>0.30367436149312377</v>
      </c>
      <c r="U86" s="36">
        <f t="shared" si="29"/>
        <v>383.49315068493149</v>
      </c>
    </row>
    <row r="87" spans="2:21" ht="15" customHeight="1" x14ac:dyDescent="0.4">
      <c r="B87" s="38" t="s">
        <v>22</v>
      </c>
      <c r="C87" s="6" t="s">
        <v>165</v>
      </c>
      <c r="D87" s="6">
        <f t="shared" si="16"/>
        <v>1</v>
      </c>
      <c r="E87" s="34">
        <v>5</v>
      </c>
      <c r="F87" s="212">
        <v>5190</v>
      </c>
      <c r="G87" s="195">
        <v>46030</v>
      </c>
      <c r="H87" s="8"/>
      <c r="I87" s="212">
        <v>6650</v>
      </c>
      <c r="J87" s="8">
        <v>46133</v>
      </c>
      <c r="K87" s="23">
        <f t="shared" si="22"/>
        <v>0</v>
      </c>
      <c r="L87" s="23">
        <f t="shared" si="23"/>
        <v>4.9874999999999998</v>
      </c>
      <c r="M87" s="206">
        <f t="shared" si="21"/>
        <v>66.5</v>
      </c>
      <c r="N87" s="34"/>
      <c r="O87" s="209">
        <f t="shared" si="13"/>
        <v>104</v>
      </c>
      <c r="P87" s="34">
        <f t="shared" si="24"/>
        <v>25950</v>
      </c>
      <c r="Q87" s="34">
        <f t="shared" si="25"/>
        <v>33250</v>
      </c>
      <c r="R87" s="7">
        <f t="shared" si="26"/>
        <v>-71.487499999999997</v>
      </c>
      <c r="S87" s="227">
        <f t="shared" si="27"/>
        <v>7228.5124999999998</v>
      </c>
      <c r="T87" s="249">
        <f t="shared" si="28"/>
        <v>0.27855539499036608</v>
      </c>
      <c r="U87" s="36">
        <f t="shared" si="29"/>
        <v>369.69863013698631</v>
      </c>
    </row>
    <row r="88" spans="2:21" ht="15" customHeight="1" x14ac:dyDescent="0.4">
      <c r="B88" s="38" t="s">
        <v>22</v>
      </c>
      <c r="C88" s="6" t="s">
        <v>165</v>
      </c>
      <c r="D88" s="6">
        <f t="shared" si="16"/>
        <v>1</v>
      </c>
      <c r="E88" s="34">
        <v>5</v>
      </c>
      <c r="F88" s="212">
        <v>5390</v>
      </c>
      <c r="G88" s="195">
        <v>46037</v>
      </c>
      <c r="H88" s="8"/>
      <c r="I88" s="212">
        <v>6650</v>
      </c>
      <c r="J88" s="8">
        <v>46133</v>
      </c>
      <c r="K88" s="23">
        <f t="shared" si="22"/>
        <v>0</v>
      </c>
      <c r="L88" s="23">
        <f t="shared" si="23"/>
        <v>4.9874999999999998</v>
      </c>
      <c r="M88" s="206">
        <f t="shared" si="21"/>
        <v>66.5</v>
      </c>
      <c r="N88" s="34"/>
      <c r="O88" s="209">
        <f t="shared" si="13"/>
        <v>97</v>
      </c>
      <c r="P88" s="34">
        <f t="shared" si="24"/>
        <v>26950</v>
      </c>
      <c r="Q88" s="34">
        <f t="shared" si="25"/>
        <v>33250</v>
      </c>
      <c r="R88" s="7">
        <f t="shared" si="26"/>
        <v>-71.487499999999997</v>
      </c>
      <c r="S88" s="227">
        <f t="shared" si="27"/>
        <v>6228.5124999999998</v>
      </c>
      <c r="T88" s="249">
        <f t="shared" si="28"/>
        <v>0.23111363636363635</v>
      </c>
      <c r="U88" s="36">
        <f t="shared" si="29"/>
        <v>358.10273972602738</v>
      </c>
    </row>
    <row r="89" spans="2:21" ht="15" customHeight="1" x14ac:dyDescent="0.4">
      <c r="B89" s="38" t="s">
        <v>22</v>
      </c>
      <c r="C89" s="6" t="s">
        <v>165</v>
      </c>
      <c r="D89" s="6">
        <f t="shared" si="16"/>
        <v>1</v>
      </c>
      <c r="E89" s="34">
        <v>5</v>
      </c>
      <c r="F89" s="212">
        <v>6260</v>
      </c>
      <c r="G89" s="195">
        <v>46044</v>
      </c>
      <c r="H89" s="8"/>
      <c r="I89" s="212">
        <v>6650</v>
      </c>
      <c r="J89" s="8">
        <v>46133</v>
      </c>
      <c r="K89" s="23">
        <f t="shared" si="22"/>
        <v>0</v>
      </c>
      <c r="L89" s="23">
        <f t="shared" si="23"/>
        <v>4.9874999999999998</v>
      </c>
      <c r="M89" s="206">
        <f t="shared" si="21"/>
        <v>66.5</v>
      </c>
      <c r="N89" s="34"/>
      <c r="O89" s="209">
        <f t="shared" ref="O89:O152" si="30">J89-G89+1</f>
        <v>90</v>
      </c>
      <c r="P89" s="34">
        <f t="shared" si="24"/>
        <v>31300</v>
      </c>
      <c r="Q89" s="34">
        <f t="shared" si="25"/>
        <v>33250</v>
      </c>
      <c r="R89" s="7">
        <f t="shared" si="26"/>
        <v>-71.487499999999997</v>
      </c>
      <c r="S89" s="227">
        <f t="shared" si="27"/>
        <v>1878.5125</v>
      </c>
      <c r="T89" s="249">
        <f t="shared" si="28"/>
        <v>6.0016373801916933E-2</v>
      </c>
      <c r="U89" s="36">
        <f t="shared" si="29"/>
        <v>385.89041095890411</v>
      </c>
    </row>
    <row r="90" spans="2:21" ht="15" customHeight="1" x14ac:dyDescent="0.4">
      <c r="B90" s="38" t="s">
        <v>22</v>
      </c>
      <c r="C90" s="6" t="s">
        <v>165</v>
      </c>
      <c r="D90" s="6">
        <f t="shared" si="16"/>
        <v>1</v>
      </c>
      <c r="E90" s="34">
        <v>5</v>
      </c>
      <c r="F90" s="212">
        <v>6520</v>
      </c>
      <c r="G90" s="195">
        <v>46051</v>
      </c>
      <c r="H90" s="8"/>
      <c r="I90" s="212">
        <v>6650</v>
      </c>
      <c r="J90" s="8">
        <v>46133</v>
      </c>
      <c r="K90" s="23">
        <f t="shared" si="22"/>
        <v>0</v>
      </c>
      <c r="L90" s="23">
        <f t="shared" si="23"/>
        <v>4.9874999999999998</v>
      </c>
      <c r="M90" s="206">
        <f t="shared" si="21"/>
        <v>66.5</v>
      </c>
      <c r="N90" s="34"/>
      <c r="O90" s="209">
        <f t="shared" si="30"/>
        <v>83</v>
      </c>
      <c r="P90" s="34">
        <f t="shared" si="24"/>
        <v>32600</v>
      </c>
      <c r="Q90" s="34">
        <f t="shared" si="25"/>
        <v>33250</v>
      </c>
      <c r="R90" s="7">
        <f t="shared" si="26"/>
        <v>-71.487499999999997</v>
      </c>
      <c r="S90" s="227">
        <f t="shared" si="27"/>
        <v>578.51250000000005</v>
      </c>
      <c r="T90" s="249">
        <f t="shared" si="28"/>
        <v>1.7745782208588957E-2</v>
      </c>
      <c r="U90" s="36">
        <f t="shared" si="29"/>
        <v>370.65753424657532</v>
      </c>
    </row>
    <row r="91" spans="2:21" ht="15" customHeight="1" x14ac:dyDescent="0.4">
      <c r="B91" s="38" t="s">
        <v>22</v>
      </c>
      <c r="C91" s="6" t="s">
        <v>165</v>
      </c>
      <c r="D91" s="6">
        <f t="shared" si="16"/>
        <v>1</v>
      </c>
      <c r="E91" s="34">
        <v>5</v>
      </c>
      <c r="F91" s="212">
        <v>6560</v>
      </c>
      <c r="G91" s="195">
        <v>46058</v>
      </c>
      <c r="H91" s="8"/>
      <c r="I91" s="212">
        <v>6650</v>
      </c>
      <c r="J91" s="8">
        <v>46133</v>
      </c>
      <c r="K91" s="23">
        <f t="shared" si="22"/>
        <v>0</v>
      </c>
      <c r="L91" s="23">
        <f t="shared" si="23"/>
        <v>4.9874999999999998</v>
      </c>
      <c r="M91" s="206">
        <f t="shared" si="21"/>
        <v>66.5</v>
      </c>
      <c r="N91" s="34"/>
      <c r="O91" s="209">
        <f t="shared" si="30"/>
        <v>76</v>
      </c>
      <c r="P91" s="34">
        <f t="shared" si="24"/>
        <v>32800</v>
      </c>
      <c r="Q91" s="34">
        <f t="shared" si="25"/>
        <v>33250</v>
      </c>
      <c r="R91" s="7">
        <f t="shared" si="26"/>
        <v>-71.487499999999997</v>
      </c>
      <c r="S91" s="227">
        <f t="shared" si="27"/>
        <v>378.51249999999999</v>
      </c>
      <c r="T91" s="249">
        <f t="shared" si="28"/>
        <v>1.1540015243902439E-2</v>
      </c>
      <c r="U91" s="36">
        <f t="shared" si="29"/>
        <v>341.47945205479454</v>
      </c>
    </row>
    <row r="92" spans="2:21" ht="15" customHeight="1" x14ac:dyDescent="0.4">
      <c r="B92" s="38" t="s">
        <v>22</v>
      </c>
      <c r="C92" s="6" t="s">
        <v>165</v>
      </c>
      <c r="D92" s="6">
        <f t="shared" si="16"/>
        <v>1</v>
      </c>
      <c r="E92" s="34">
        <v>5</v>
      </c>
      <c r="F92" s="212">
        <v>6480</v>
      </c>
      <c r="G92" s="195">
        <v>46065</v>
      </c>
      <c r="H92" s="8"/>
      <c r="I92" s="212">
        <v>6650</v>
      </c>
      <c r="J92" s="8">
        <v>46133</v>
      </c>
      <c r="K92" s="23">
        <f t="shared" si="22"/>
        <v>0</v>
      </c>
      <c r="L92" s="23">
        <f t="shared" si="23"/>
        <v>4.9874999999999998</v>
      </c>
      <c r="M92" s="206">
        <f t="shared" si="21"/>
        <v>66.5</v>
      </c>
      <c r="N92" s="34"/>
      <c r="O92" s="209">
        <f t="shared" si="30"/>
        <v>69</v>
      </c>
      <c r="P92" s="34">
        <f t="shared" si="24"/>
        <v>32400</v>
      </c>
      <c r="Q92" s="34">
        <f t="shared" si="25"/>
        <v>33250</v>
      </c>
      <c r="R92" s="7">
        <f t="shared" si="26"/>
        <v>-71.487499999999997</v>
      </c>
      <c r="S92" s="227">
        <f t="shared" si="27"/>
        <v>778.51250000000005</v>
      </c>
      <c r="T92" s="249">
        <f t="shared" si="28"/>
        <v>2.4028163580246915E-2</v>
      </c>
      <c r="U92" s="36">
        <f t="shared" si="29"/>
        <v>306.24657534246575</v>
      </c>
    </row>
    <row r="93" spans="2:21" ht="15" customHeight="1" x14ac:dyDescent="0.4">
      <c r="B93" s="38" t="s">
        <v>22</v>
      </c>
      <c r="C93" s="6" t="s">
        <v>122</v>
      </c>
      <c r="D93" s="6">
        <f t="shared" si="16"/>
        <v>1</v>
      </c>
      <c r="E93" s="34">
        <v>300</v>
      </c>
      <c r="F93" s="212">
        <v>6370</v>
      </c>
      <c r="G93" s="195">
        <v>46065</v>
      </c>
      <c r="H93" s="8"/>
      <c r="I93" s="212">
        <v>6650</v>
      </c>
      <c r="J93" s="8">
        <v>46133</v>
      </c>
      <c r="K93" s="307">
        <v>0</v>
      </c>
      <c r="L93" s="23">
        <f t="shared" si="23"/>
        <v>299.25</v>
      </c>
      <c r="M93" s="206">
        <f t="shared" si="21"/>
        <v>3990</v>
      </c>
      <c r="N93" s="34"/>
      <c r="O93" s="209">
        <f t="shared" si="30"/>
        <v>69</v>
      </c>
      <c r="P93" s="34">
        <f t="shared" si="24"/>
        <v>1911000</v>
      </c>
      <c r="Q93" s="34">
        <f t="shared" si="25"/>
        <v>1995000</v>
      </c>
      <c r="R93" s="7">
        <f t="shared" si="26"/>
        <v>-4289.25</v>
      </c>
      <c r="S93" s="227">
        <f t="shared" si="27"/>
        <v>79710.75</v>
      </c>
      <c r="T93" s="249">
        <f t="shared" si="28"/>
        <v>4.171153846153846E-2</v>
      </c>
      <c r="U93" s="36">
        <f t="shared" si="29"/>
        <v>18062.876712328769</v>
      </c>
    </row>
    <row r="94" spans="2:21" ht="15" customHeight="1" x14ac:dyDescent="0.4">
      <c r="B94" s="38" t="s">
        <v>22</v>
      </c>
      <c r="C94" s="6" t="s">
        <v>122</v>
      </c>
      <c r="D94" s="6">
        <f t="shared" si="16"/>
        <v>1</v>
      </c>
      <c r="E94" s="34">
        <v>150</v>
      </c>
      <c r="F94" s="212">
        <v>6150</v>
      </c>
      <c r="G94" s="195">
        <v>46066</v>
      </c>
      <c r="H94" s="8"/>
      <c r="I94" s="212">
        <v>6650</v>
      </c>
      <c r="J94" s="8">
        <v>46133</v>
      </c>
      <c r="K94" s="307">
        <v>0</v>
      </c>
      <c r="L94" s="23">
        <f t="shared" si="23"/>
        <v>149.625</v>
      </c>
      <c r="M94" s="206">
        <f t="shared" si="21"/>
        <v>1995</v>
      </c>
      <c r="N94" s="34"/>
      <c r="O94" s="209">
        <f t="shared" si="30"/>
        <v>68</v>
      </c>
      <c r="P94" s="34">
        <f t="shared" si="24"/>
        <v>922500</v>
      </c>
      <c r="Q94" s="34">
        <f t="shared" si="25"/>
        <v>997500</v>
      </c>
      <c r="R94" s="7">
        <f t="shared" si="26"/>
        <v>-2144.625</v>
      </c>
      <c r="S94" s="227">
        <f t="shared" si="27"/>
        <v>72855.375</v>
      </c>
      <c r="T94" s="249">
        <f t="shared" si="28"/>
        <v>7.8976016260162596E-2</v>
      </c>
      <c r="U94" s="36">
        <f t="shared" si="29"/>
        <v>8593.1506849315065</v>
      </c>
    </row>
    <row r="95" spans="2:21" ht="15" customHeight="1" x14ac:dyDescent="0.4">
      <c r="B95" s="38" t="s">
        <v>22</v>
      </c>
      <c r="C95" s="6" t="s">
        <v>165</v>
      </c>
      <c r="D95" s="6">
        <f t="shared" si="16"/>
        <v>1</v>
      </c>
      <c r="E95" s="34">
        <v>5</v>
      </c>
      <c r="F95" s="212">
        <v>6320</v>
      </c>
      <c r="G95" s="195">
        <v>46072</v>
      </c>
      <c r="H95" s="8"/>
      <c r="I95" s="212">
        <v>6650</v>
      </c>
      <c r="J95" s="8">
        <v>46133</v>
      </c>
      <c r="K95" s="23">
        <f t="shared" ref="K95:K100" si="31">IF($C95="OTC",ROUNDDOWN($E95*$F95*0.000909187,-1),(IF($C95="신한",ROUNDDOWN($E95*$F95*0.000036396,-1),(IF($C95="토스",$E95*$F95*0.00015,(IF($C95="US",(IF($E95*$F95*0.0025&gt;0.01,$E95*$F95*0.0025,0.01)),IF($C95="JP",(IF($E95*$F95*0.0025&gt;1000,$E95*$F95*0.0025,1000)),(IF($C95="R토스",0,IF($C95="무상증자(신한)",0,"")))))))))))</f>
        <v>0</v>
      </c>
      <c r="L95" s="23">
        <f t="shared" si="23"/>
        <v>4.9874999999999998</v>
      </c>
      <c r="M95" s="206">
        <f t="shared" si="21"/>
        <v>66.5</v>
      </c>
      <c r="N95" s="34"/>
      <c r="O95" s="209">
        <f t="shared" si="30"/>
        <v>62</v>
      </c>
      <c r="P95" s="34">
        <f t="shared" si="24"/>
        <v>31600</v>
      </c>
      <c r="Q95" s="34">
        <f t="shared" si="25"/>
        <v>33250</v>
      </c>
      <c r="R95" s="7">
        <f t="shared" si="26"/>
        <v>-71.487499999999997</v>
      </c>
      <c r="S95" s="227">
        <f t="shared" si="27"/>
        <v>1578.5125</v>
      </c>
      <c r="T95" s="249">
        <f t="shared" si="28"/>
        <v>4.9952927215189874E-2</v>
      </c>
      <c r="U95" s="36">
        <f t="shared" si="29"/>
        <v>268.38356164383561</v>
      </c>
    </row>
    <row r="96" spans="2:21" ht="15" customHeight="1" x14ac:dyDescent="0.4">
      <c r="B96" s="38" t="s">
        <v>22</v>
      </c>
      <c r="C96" s="6" t="s">
        <v>165</v>
      </c>
      <c r="D96" s="6">
        <f t="shared" si="16"/>
        <v>1</v>
      </c>
      <c r="E96" s="34">
        <v>5</v>
      </c>
      <c r="F96" s="212">
        <v>6060</v>
      </c>
      <c r="G96" s="195">
        <v>46079</v>
      </c>
      <c r="H96" s="8"/>
      <c r="I96" s="212">
        <v>6650</v>
      </c>
      <c r="J96" s="8">
        <v>46133</v>
      </c>
      <c r="K96" s="23">
        <f t="shared" si="31"/>
        <v>0</v>
      </c>
      <c r="L96" s="23">
        <f t="shared" si="23"/>
        <v>4.9874999999999998</v>
      </c>
      <c r="M96" s="206">
        <f t="shared" si="21"/>
        <v>66.5</v>
      </c>
      <c r="N96" s="34"/>
      <c r="O96" s="209">
        <f t="shared" si="30"/>
        <v>55</v>
      </c>
      <c r="P96" s="34">
        <f t="shared" si="24"/>
        <v>30300</v>
      </c>
      <c r="Q96" s="34">
        <f t="shared" si="25"/>
        <v>33250</v>
      </c>
      <c r="R96" s="7">
        <f t="shared" si="26"/>
        <v>-71.487499999999997</v>
      </c>
      <c r="S96" s="227">
        <f t="shared" si="27"/>
        <v>2878.5124999999998</v>
      </c>
      <c r="T96" s="249">
        <f t="shared" si="28"/>
        <v>9.5000412541254117E-2</v>
      </c>
      <c r="U96" s="36">
        <f t="shared" si="29"/>
        <v>228.2876712328767</v>
      </c>
    </row>
    <row r="97" spans="2:34" ht="15" customHeight="1" x14ac:dyDescent="0.4">
      <c r="B97" s="38" t="s">
        <v>22</v>
      </c>
      <c r="C97" s="6" t="s">
        <v>165</v>
      </c>
      <c r="D97" s="6">
        <f t="shared" ref="D97:D160" si="32">IF(OR($C97="신한",$C97="OTC",$C97="무상증자(신한)",$C97="토스",$C97="R토스"),1,"확인")</f>
        <v>1</v>
      </c>
      <c r="E97" s="34">
        <v>5</v>
      </c>
      <c r="F97" s="212">
        <v>5070</v>
      </c>
      <c r="G97" s="195">
        <v>46086</v>
      </c>
      <c r="H97" s="8"/>
      <c r="I97" s="212">
        <v>6650</v>
      </c>
      <c r="J97" s="8">
        <v>46133</v>
      </c>
      <c r="K97" s="23">
        <f t="shared" si="31"/>
        <v>0</v>
      </c>
      <c r="L97" s="23">
        <f t="shared" si="23"/>
        <v>4.9874999999999998</v>
      </c>
      <c r="M97" s="206">
        <f t="shared" ref="M97:M128" si="33">Q97*0.002</f>
        <v>66.5</v>
      </c>
      <c r="N97" s="34"/>
      <c r="O97" s="209">
        <f t="shared" si="30"/>
        <v>48</v>
      </c>
      <c r="P97" s="34">
        <f t="shared" si="24"/>
        <v>25350</v>
      </c>
      <c r="Q97" s="34">
        <f t="shared" si="25"/>
        <v>33250</v>
      </c>
      <c r="R97" s="7">
        <f t="shared" si="26"/>
        <v>-71.487499999999997</v>
      </c>
      <c r="S97" s="227">
        <f t="shared" si="27"/>
        <v>7828.5124999999998</v>
      </c>
      <c r="T97" s="249">
        <f t="shared" si="28"/>
        <v>0.30881706114398422</v>
      </c>
      <c r="U97" s="36">
        <f t="shared" si="29"/>
        <v>166.68493150684932</v>
      </c>
    </row>
    <row r="98" spans="2:34" ht="15" customHeight="1" x14ac:dyDescent="0.4">
      <c r="B98" s="38" t="s">
        <v>22</v>
      </c>
      <c r="C98" s="6" t="s">
        <v>165</v>
      </c>
      <c r="D98" s="6">
        <f t="shared" si="32"/>
        <v>1</v>
      </c>
      <c r="E98" s="34">
        <v>5</v>
      </c>
      <c r="F98" s="212">
        <v>5590</v>
      </c>
      <c r="G98" s="195">
        <v>46093</v>
      </c>
      <c r="H98" s="8"/>
      <c r="I98" s="212">
        <v>6650</v>
      </c>
      <c r="J98" s="8">
        <v>46133</v>
      </c>
      <c r="K98" s="23">
        <f t="shared" si="31"/>
        <v>0</v>
      </c>
      <c r="L98" s="23">
        <f t="shared" si="23"/>
        <v>4.9874999999999998</v>
      </c>
      <c r="M98" s="206">
        <f t="shared" si="33"/>
        <v>66.5</v>
      </c>
      <c r="N98" s="34"/>
      <c r="O98" s="209">
        <f t="shared" si="30"/>
        <v>41</v>
      </c>
      <c r="P98" s="34">
        <f t="shared" si="24"/>
        <v>27950</v>
      </c>
      <c r="Q98" s="34">
        <f t="shared" si="25"/>
        <v>33250</v>
      </c>
      <c r="R98" s="7">
        <f t="shared" si="26"/>
        <v>-71.487499999999997</v>
      </c>
      <c r="S98" s="227">
        <f t="shared" si="27"/>
        <v>5228.5124999999998</v>
      </c>
      <c r="T98" s="249">
        <f t="shared" si="28"/>
        <v>0.18706663685152056</v>
      </c>
      <c r="U98" s="36">
        <f t="shared" si="29"/>
        <v>156.97945205479451</v>
      </c>
    </row>
    <row r="99" spans="2:34" ht="15" customHeight="1" x14ac:dyDescent="0.4">
      <c r="B99" s="38" t="s">
        <v>22</v>
      </c>
      <c r="C99" s="6" t="s">
        <v>165</v>
      </c>
      <c r="D99" s="6">
        <f t="shared" si="32"/>
        <v>1</v>
      </c>
      <c r="E99" s="34">
        <v>5</v>
      </c>
      <c r="F99" s="212">
        <v>5350</v>
      </c>
      <c r="G99" s="195">
        <v>46100</v>
      </c>
      <c r="H99" s="8"/>
      <c r="I99" s="212">
        <v>6650</v>
      </c>
      <c r="J99" s="8">
        <v>46133</v>
      </c>
      <c r="K99" s="23">
        <f t="shared" si="31"/>
        <v>0</v>
      </c>
      <c r="L99" s="23">
        <f t="shared" si="23"/>
        <v>4.9874999999999998</v>
      </c>
      <c r="M99" s="206">
        <f t="shared" si="33"/>
        <v>66.5</v>
      </c>
      <c r="N99" s="34"/>
      <c r="O99" s="209">
        <f t="shared" si="30"/>
        <v>34</v>
      </c>
      <c r="P99" s="34">
        <f t="shared" si="24"/>
        <v>26750</v>
      </c>
      <c r="Q99" s="34">
        <f t="shared" si="25"/>
        <v>33250</v>
      </c>
      <c r="R99" s="7">
        <f t="shared" si="26"/>
        <v>-71.487499999999997</v>
      </c>
      <c r="S99" s="227">
        <f t="shared" si="27"/>
        <v>6428.5124999999998</v>
      </c>
      <c r="T99" s="249">
        <f t="shared" si="28"/>
        <v>0.24031822429906541</v>
      </c>
      <c r="U99" s="36">
        <f t="shared" si="29"/>
        <v>124.58904109589041</v>
      </c>
    </row>
    <row r="100" spans="2:34" ht="15" customHeight="1" x14ac:dyDescent="0.4">
      <c r="B100" s="38" t="s">
        <v>22</v>
      </c>
      <c r="C100" s="6" t="s">
        <v>165</v>
      </c>
      <c r="D100" s="6">
        <f t="shared" si="32"/>
        <v>1</v>
      </c>
      <c r="E100" s="34">
        <v>5</v>
      </c>
      <c r="F100" s="212">
        <v>5620</v>
      </c>
      <c r="G100" s="195">
        <v>46107</v>
      </c>
      <c r="H100" s="8"/>
      <c r="I100" s="212">
        <v>6650</v>
      </c>
      <c r="J100" s="8">
        <v>46133</v>
      </c>
      <c r="K100" s="23">
        <f t="shared" si="31"/>
        <v>0</v>
      </c>
      <c r="L100" s="23">
        <f t="shared" ref="L100:L131" si="34">IF($C100="OTC",ROUNDDOWN($I100*$E100*0.000909187,-1),(IF($C100="신한",ROUNDDOWN($I100*$E100*0.000036396,-1),(IF($C100="토스",$I100*$E100*0.00015,(IF($C100="US",(IF($I100*$E100*0.0025&gt;0.01,$I100*$E100*0.0025,0.01)),(IF($C100="JP",(IF($I100*$E100*0.0025&gt;1000,$I100*$E100*0.0025,1000)),(IF($C100="R토스",$I100*$E100*0.00015,(IF($C100="무상증자(신한)",ROUNDDOWN($I100*$E100*0.000036396,-1),"")))))))))))))</f>
        <v>4.9874999999999998</v>
      </c>
      <c r="M100" s="206">
        <f t="shared" si="33"/>
        <v>66.5</v>
      </c>
      <c r="N100" s="34"/>
      <c r="O100" s="209">
        <f t="shared" si="30"/>
        <v>27</v>
      </c>
      <c r="P100" s="34">
        <f t="shared" si="24"/>
        <v>28100</v>
      </c>
      <c r="Q100" s="34">
        <f t="shared" si="25"/>
        <v>33250</v>
      </c>
      <c r="R100" s="7">
        <f t="shared" si="26"/>
        <v>-71.487499999999997</v>
      </c>
      <c r="S100" s="227">
        <f t="shared" si="27"/>
        <v>5078.5124999999998</v>
      </c>
      <c r="T100" s="249">
        <f t="shared" si="28"/>
        <v>0.18072998220640568</v>
      </c>
      <c r="U100" s="36">
        <f t="shared" si="29"/>
        <v>103.93150684931507</v>
      </c>
    </row>
    <row r="101" spans="2:34" ht="15" customHeight="1" x14ac:dyDescent="0.4">
      <c r="B101" s="38" t="s">
        <v>22</v>
      </c>
      <c r="C101" s="6" t="s">
        <v>122</v>
      </c>
      <c r="D101" s="6">
        <f t="shared" si="32"/>
        <v>1</v>
      </c>
      <c r="E101" s="34">
        <v>50</v>
      </c>
      <c r="F101" s="212">
        <v>5550</v>
      </c>
      <c r="G101" s="195">
        <v>46108</v>
      </c>
      <c r="H101" s="8"/>
      <c r="I101" s="212">
        <v>6650</v>
      </c>
      <c r="J101" s="8">
        <v>46133</v>
      </c>
      <c r="K101" s="307">
        <v>0</v>
      </c>
      <c r="L101" s="23">
        <f t="shared" si="34"/>
        <v>49.874999999999993</v>
      </c>
      <c r="M101" s="206">
        <f t="shared" si="33"/>
        <v>665</v>
      </c>
      <c r="N101" s="34"/>
      <c r="O101" s="209">
        <f t="shared" si="30"/>
        <v>26</v>
      </c>
      <c r="P101" s="34">
        <f t="shared" si="24"/>
        <v>277500</v>
      </c>
      <c r="Q101" s="34">
        <f t="shared" si="25"/>
        <v>332500</v>
      </c>
      <c r="R101" s="7">
        <f t="shared" si="26"/>
        <v>-714.875</v>
      </c>
      <c r="S101" s="227">
        <f t="shared" si="27"/>
        <v>54285.125</v>
      </c>
      <c r="T101" s="249">
        <f t="shared" si="28"/>
        <v>0.19562207207207208</v>
      </c>
      <c r="U101" s="36">
        <f t="shared" si="29"/>
        <v>988.35616438356169</v>
      </c>
    </row>
    <row r="102" spans="2:34" ht="15" customHeight="1" x14ac:dyDescent="0.4">
      <c r="B102" s="38" t="s">
        <v>22</v>
      </c>
      <c r="C102" s="6" t="s">
        <v>165</v>
      </c>
      <c r="D102" s="6">
        <f t="shared" si="32"/>
        <v>1</v>
      </c>
      <c r="E102" s="34">
        <v>5</v>
      </c>
      <c r="F102" s="212">
        <v>5480</v>
      </c>
      <c r="G102" s="195">
        <v>46114</v>
      </c>
      <c r="H102" s="8"/>
      <c r="I102" s="212">
        <v>6650</v>
      </c>
      <c r="J102" s="8">
        <v>46133</v>
      </c>
      <c r="K102" s="23">
        <f t="shared" ref="K102:K133" si="35">IF($C102="OTC",ROUNDDOWN($E102*$F102*0.000909187,-1),(IF($C102="신한",ROUNDDOWN($E102*$F102*0.000036396,-1),(IF($C102="토스",$E102*$F102*0.00015,(IF($C102="US",(IF($E102*$F102*0.0025&gt;0.01,$E102*$F102*0.0025,0.01)),IF($C102="JP",(IF($E102*$F102*0.0025&gt;1000,$E102*$F102*0.0025,1000)),(IF($C102="R토스",0,IF($C102="무상증자(신한)",0,"")))))))))))</f>
        <v>0</v>
      </c>
      <c r="L102" s="23">
        <f t="shared" si="34"/>
        <v>4.9874999999999998</v>
      </c>
      <c r="M102" s="206">
        <f t="shared" si="33"/>
        <v>66.5</v>
      </c>
      <c r="N102" s="34"/>
      <c r="O102" s="209">
        <f t="shared" si="30"/>
        <v>20</v>
      </c>
      <c r="P102" s="34">
        <f t="shared" si="24"/>
        <v>27400</v>
      </c>
      <c r="Q102" s="34">
        <f t="shared" si="25"/>
        <v>33250</v>
      </c>
      <c r="R102" s="7">
        <f t="shared" si="26"/>
        <v>-71.487499999999997</v>
      </c>
      <c r="S102" s="227">
        <f t="shared" si="27"/>
        <v>5778.5124999999998</v>
      </c>
      <c r="T102" s="249">
        <f t="shared" si="28"/>
        <v>0.21089461678832117</v>
      </c>
      <c r="U102" s="36">
        <f t="shared" si="29"/>
        <v>75.06849315068493</v>
      </c>
    </row>
    <row r="103" spans="2:34" ht="15" customHeight="1" x14ac:dyDescent="0.4">
      <c r="B103" s="38" t="s">
        <v>22</v>
      </c>
      <c r="C103" s="6" t="s">
        <v>165</v>
      </c>
      <c r="D103" s="6">
        <f t="shared" si="32"/>
        <v>1</v>
      </c>
      <c r="E103" s="34">
        <v>5</v>
      </c>
      <c r="F103" s="212">
        <v>5330</v>
      </c>
      <c r="G103" s="195">
        <v>46121</v>
      </c>
      <c r="H103" s="8"/>
      <c r="I103" s="212">
        <v>6650</v>
      </c>
      <c r="J103" s="8">
        <v>46133</v>
      </c>
      <c r="K103" s="23">
        <f t="shared" si="35"/>
        <v>0</v>
      </c>
      <c r="L103" s="23">
        <f t="shared" si="34"/>
        <v>4.9874999999999998</v>
      </c>
      <c r="M103" s="206">
        <f t="shared" si="33"/>
        <v>66.5</v>
      </c>
      <c r="N103" s="34"/>
      <c r="O103" s="209">
        <f t="shared" si="30"/>
        <v>13</v>
      </c>
      <c r="P103" s="34">
        <f t="shared" si="24"/>
        <v>26650</v>
      </c>
      <c r="Q103" s="34">
        <f t="shared" si="25"/>
        <v>33250</v>
      </c>
      <c r="R103" s="7">
        <f t="shared" si="26"/>
        <v>-71.487499999999997</v>
      </c>
      <c r="S103" s="227">
        <f t="shared" si="27"/>
        <v>6528.5124999999998</v>
      </c>
      <c r="T103" s="249">
        <f t="shared" si="28"/>
        <v>0.24497232645403377</v>
      </c>
      <c r="U103" s="36">
        <f t="shared" si="29"/>
        <v>47.458904109589042</v>
      </c>
    </row>
    <row r="104" spans="2:34" ht="15" customHeight="1" x14ac:dyDescent="0.4">
      <c r="B104" s="38" t="s">
        <v>22</v>
      </c>
      <c r="C104" s="6" t="s">
        <v>165</v>
      </c>
      <c r="D104" s="6">
        <f t="shared" si="32"/>
        <v>1</v>
      </c>
      <c r="E104" s="34">
        <v>5</v>
      </c>
      <c r="F104" s="212">
        <v>6500</v>
      </c>
      <c r="G104" s="195">
        <v>46128</v>
      </c>
      <c r="H104" s="8"/>
      <c r="I104" s="212">
        <v>6650</v>
      </c>
      <c r="J104" s="8">
        <v>46133</v>
      </c>
      <c r="K104" s="23">
        <f t="shared" si="35"/>
        <v>0</v>
      </c>
      <c r="L104" s="23">
        <f t="shared" si="34"/>
        <v>4.9874999999999998</v>
      </c>
      <c r="M104" s="206">
        <f t="shared" si="33"/>
        <v>66.5</v>
      </c>
      <c r="N104" s="34"/>
      <c r="O104" s="209">
        <f t="shared" si="30"/>
        <v>6</v>
      </c>
      <c r="P104" s="34">
        <f t="shared" si="24"/>
        <v>32500</v>
      </c>
      <c r="Q104" s="34">
        <f t="shared" si="25"/>
        <v>33250</v>
      </c>
      <c r="R104" s="7">
        <f t="shared" si="26"/>
        <v>-71.487499999999997</v>
      </c>
      <c r="S104" s="227">
        <f t="shared" si="27"/>
        <v>678.51250000000005</v>
      </c>
      <c r="T104" s="249">
        <f t="shared" si="28"/>
        <v>2.0877307692307695E-2</v>
      </c>
      <c r="U104" s="36">
        <f t="shared" si="29"/>
        <v>26.712328767123289</v>
      </c>
    </row>
    <row r="105" spans="2:34" ht="15" customHeight="1" x14ac:dyDescent="0.4">
      <c r="B105" s="38" t="s">
        <v>22</v>
      </c>
      <c r="C105" s="6" t="s">
        <v>165</v>
      </c>
      <c r="D105" s="6">
        <f t="shared" si="32"/>
        <v>1</v>
      </c>
      <c r="E105" s="34">
        <v>5</v>
      </c>
      <c r="F105" s="212">
        <v>6900</v>
      </c>
      <c r="G105" s="195">
        <v>46135</v>
      </c>
      <c r="H105" s="8"/>
      <c r="I105" s="212"/>
      <c r="J105" s="8"/>
      <c r="K105" s="23">
        <f t="shared" si="35"/>
        <v>0</v>
      </c>
      <c r="L105" s="23">
        <f t="shared" si="34"/>
        <v>0</v>
      </c>
      <c r="M105" s="206">
        <f t="shared" si="33"/>
        <v>0</v>
      </c>
      <c r="N105" s="34"/>
      <c r="O105" s="209">
        <f t="shared" si="30"/>
        <v>-46134</v>
      </c>
      <c r="P105" s="34">
        <f t="shared" si="24"/>
        <v>34500</v>
      </c>
      <c r="Q105" s="34">
        <f t="shared" si="25"/>
        <v>0</v>
      </c>
      <c r="R105" s="7">
        <f t="shared" si="26"/>
        <v>0</v>
      </c>
      <c r="S105" s="227">
        <f t="shared" si="27"/>
        <v>0</v>
      </c>
      <c r="T105" s="249">
        <f t="shared" si="28"/>
        <v>0</v>
      </c>
      <c r="U105" s="36">
        <f t="shared" si="29"/>
        <v>0</v>
      </c>
    </row>
    <row r="106" spans="2:34" ht="15" customHeight="1" x14ac:dyDescent="0.4">
      <c r="B106" s="38" t="s">
        <v>58</v>
      </c>
      <c r="C106" s="6" t="s">
        <v>160</v>
      </c>
      <c r="D106" s="6">
        <f t="shared" si="32"/>
        <v>1</v>
      </c>
      <c r="E106" s="34">
        <v>200</v>
      </c>
      <c r="F106" s="212">
        <v>7500</v>
      </c>
      <c r="G106" s="195">
        <v>44356</v>
      </c>
      <c r="H106" s="8" t="s">
        <v>492</v>
      </c>
      <c r="I106" s="212">
        <v>4230</v>
      </c>
      <c r="J106" s="8">
        <v>46134</v>
      </c>
      <c r="K106" s="23">
        <f t="shared" si="35"/>
        <v>50</v>
      </c>
      <c r="L106" s="23">
        <f t="shared" si="34"/>
        <v>30</v>
      </c>
      <c r="M106" s="206">
        <f t="shared" si="33"/>
        <v>1692</v>
      </c>
      <c r="N106" s="34">
        <f>E106*250*(1-0.154)+E106*150*(1-0.154)+E106*150*(1-0.154)+E106*150*(1-0.154)+E106*240*(1-0.154)</f>
        <v>159048</v>
      </c>
      <c r="O106" s="209">
        <f t="shared" si="30"/>
        <v>1779</v>
      </c>
      <c r="P106" s="34">
        <f t="shared" si="24"/>
        <v>1500000</v>
      </c>
      <c r="Q106" s="34">
        <f t="shared" si="25"/>
        <v>846000</v>
      </c>
      <c r="R106" s="7">
        <f t="shared" si="26"/>
        <v>157276</v>
      </c>
      <c r="S106" s="227">
        <f t="shared" si="27"/>
        <v>-496724</v>
      </c>
      <c r="T106" s="249">
        <f t="shared" si="28"/>
        <v>-0.33114933333333335</v>
      </c>
    </row>
    <row r="107" spans="2:34" ht="15" customHeight="1" x14ac:dyDescent="0.4">
      <c r="B107" s="38" t="s">
        <v>58</v>
      </c>
      <c r="C107" s="6" t="s">
        <v>160</v>
      </c>
      <c r="D107" s="6">
        <f t="shared" si="32"/>
        <v>1</v>
      </c>
      <c r="E107" s="34">
        <v>1</v>
      </c>
      <c r="F107" s="212">
        <v>3000</v>
      </c>
      <c r="G107" s="195">
        <v>45667</v>
      </c>
      <c r="H107" s="8"/>
      <c r="I107" s="212">
        <v>4230</v>
      </c>
      <c r="J107" s="8">
        <v>46134</v>
      </c>
      <c r="K107" s="23">
        <f t="shared" si="35"/>
        <v>0</v>
      </c>
      <c r="L107" s="23">
        <f t="shared" si="34"/>
        <v>0</v>
      </c>
      <c r="M107" s="206">
        <f t="shared" si="33"/>
        <v>8.4600000000000009</v>
      </c>
      <c r="N107" s="34">
        <f>ROUNDUP(E107*150*(1-0.154)+E107*240*(1-0.154),-1)</f>
        <v>330</v>
      </c>
      <c r="O107" s="209">
        <f t="shared" si="30"/>
        <v>468</v>
      </c>
      <c r="P107" s="34">
        <f t="shared" si="24"/>
        <v>3000</v>
      </c>
      <c r="Q107" s="34">
        <f t="shared" si="25"/>
        <v>4230</v>
      </c>
      <c r="R107" s="7">
        <f t="shared" si="26"/>
        <v>321.54000000000002</v>
      </c>
      <c r="S107" s="227">
        <f t="shared" si="27"/>
        <v>1551.54</v>
      </c>
      <c r="T107" s="249">
        <f t="shared" si="28"/>
        <v>0.51717999999999997</v>
      </c>
      <c r="AH107" s="33" t="s">
        <v>493</v>
      </c>
    </row>
    <row r="108" spans="2:34" ht="15" customHeight="1" x14ac:dyDescent="0.4">
      <c r="B108" s="38" t="s">
        <v>58</v>
      </c>
      <c r="C108" s="6" t="s">
        <v>160</v>
      </c>
      <c r="D108" s="6">
        <f t="shared" si="32"/>
        <v>1</v>
      </c>
      <c r="E108" s="34">
        <v>1</v>
      </c>
      <c r="F108" s="212">
        <v>2740</v>
      </c>
      <c r="G108" s="195">
        <v>45698</v>
      </c>
      <c r="H108" s="8"/>
      <c r="I108" s="212">
        <v>4230</v>
      </c>
      <c r="J108" s="8">
        <v>46134</v>
      </c>
      <c r="K108" s="23">
        <f t="shared" si="35"/>
        <v>0</v>
      </c>
      <c r="L108" s="23">
        <f t="shared" si="34"/>
        <v>0</v>
      </c>
      <c r="M108" s="206">
        <f t="shared" si="33"/>
        <v>8.4600000000000009</v>
      </c>
      <c r="N108" s="34">
        <f>ROUNDUP(E108*150*(1-0.154)+E108*240*(1-0.154),-1)</f>
        <v>330</v>
      </c>
      <c r="O108" s="209">
        <f t="shared" si="30"/>
        <v>437</v>
      </c>
      <c r="P108" s="34">
        <f t="shared" si="24"/>
        <v>2740</v>
      </c>
      <c r="Q108" s="34">
        <f t="shared" si="25"/>
        <v>4230</v>
      </c>
      <c r="R108" s="7">
        <f t="shared" si="26"/>
        <v>321.54000000000002</v>
      </c>
      <c r="S108" s="227">
        <f t="shared" si="27"/>
        <v>1811.54</v>
      </c>
      <c r="T108" s="249">
        <f t="shared" si="28"/>
        <v>0.66114598540145986</v>
      </c>
    </row>
    <row r="109" spans="2:34" ht="15" customHeight="1" x14ac:dyDescent="0.4">
      <c r="B109" s="38" t="s">
        <v>58</v>
      </c>
      <c r="C109" s="6" t="s">
        <v>160</v>
      </c>
      <c r="D109" s="6">
        <f t="shared" si="32"/>
        <v>1</v>
      </c>
      <c r="E109" s="34">
        <v>1</v>
      </c>
      <c r="F109" s="212">
        <v>3010</v>
      </c>
      <c r="G109" s="195">
        <v>45726</v>
      </c>
      <c r="H109" s="8"/>
      <c r="I109" s="212">
        <v>4230</v>
      </c>
      <c r="J109" s="8">
        <v>46134</v>
      </c>
      <c r="K109" s="23">
        <f t="shared" si="35"/>
        <v>0</v>
      </c>
      <c r="L109" s="23">
        <f t="shared" si="34"/>
        <v>0</v>
      </c>
      <c r="M109" s="206">
        <f t="shared" si="33"/>
        <v>8.4600000000000009</v>
      </c>
      <c r="N109" s="34">
        <f>ROUNDUP(E109*150*(1-0.154)+E109*240*(1-0.154),-1)</f>
        <v>330</v>
      </c>
      <c r="O109" s="209">
        <f t="shared" si="30"/>
        <v>409</v>
      </c>
      <c r="P109" s="34">
        <f t="shared" si="24"/>
        <v>3010</v>
      </c>
      <c r="Q109" s="34">
        <f t="shared" si="25"/>
        <v>4230</v>
      </c>
      <c r="R109" s="7">
        <f t="shared" si="26"/>
        <v>321.54000000000002</v>
      </c>
      <c r="S109" s="227">
        <f t="shared" si="27"/>
        <v>1541.54</v>
      </c>
      <c r="T109" s="249">
        <f t="shared" si="28"/>
        <v>0.51213953488372088</v>
      </c>
    </row>
    <row r="110" spans="2:34" ht="15" customHeight="1" x14ac:dyDescent="0.4">
      <c r="B110" s="38" t="s">
        <v>58</v>
      </c>
      <c r="C110" s="6" t="s">
        <v>160</v>
      </c>
      <c r="D110" s="6">
        <f t="shared" si="32"/>
        <v>1</v>
      </c>
      <c r="E110" s="34">
        <v>1</v>
      </c>
      <c r="F110" s="212">
        <v>2845</v>
      </c>
      <c r="G110" s="195">
        <v>45757</v>
      </c>
      <c r="H110" s="8"/>
      <c r="I110" s="212">
        <v>4230</v>
      </c>
      <c r="J110" s="8">
        <v>46134</v>
      </c>
      <c r="K110" s="23">
        <f t="shared" si="35"/>
        <v>0</v>
      </c>
      <c r="L110" s="23">
        <f t="shared" si="34"/>
        <v>0</v>
      </c>
      <c r="M110" s="206">
        <f t="shared" si="33"/>
        <v>8.4600000000000009</v>
      </c>
      <c r="N110" s="34">
        <f t="shared" ref="N110:N118" si="36">ROUNDUP(E110*240*(1-0.154),-1)</f>
        <v>210</v>
      </c>
      <c r="O110" s="209">
        <f t="shared" si="30"/>
        <v>378</v>
      </c>
      <c r="P110" s="34">
        <f t="shared" si="24"/>
        <v>2845</v>
      </c>
      <c r="Q110" s="34">
        <f t="shared" si="25"/>
        <v>4230</v>
      </c>
      <c r="R110" s="7">
        <f t="shared" si="26"/>
        <v>201.54</v>
      </c>
      <c r="S110" s="227">
        <f t="shared" si="27"/>
        <v>1586.54</v>
      </c>
      <c r="T110" s="249">
        <f t="shared" si="28"/>
        <v>0.55765905096660806</v>
      </c>
    </row>
    <row r="111" spans="2:34" ht="15" customHeight="1" x14ac:dyDescent="0.4">
      <c r="B111" s="38" t="s">
        <v>58</v>
      </c>
      <c r="C111" s="6" t="s">
        <v>160</v>
      </c>
      <c r="D111" s="6">
        <f t="shared" si="32"/>
        <v>1</v>
      </c>
      <c r="E111" s="34">
        <v>1</v>
      </c>
      <c r="F111" s="212">
        <v>3435</v>
      </c>
      <c r="G111" s="195">
        <v>45789</v>
      </c>
      <c r="H111" s="8"/>
      <c r="I111" s="212">
        <v>4230</v>
      </c>
      <c r="J111" s="8">
        <v>46134</v>
      </c>
      <c r="K111" s="23">
        <f t="shared" si="35"/>
        <v>0</v>
      </c>
      <c r="L111" s="23">
        <f t="shared" si="34"/>
        <v>0</v>
      </c>
      <c r="M111" s="206">
        <f t="shared" si="33"/>
        <v>8.4600000000000009</v>
      </c>
      <c r="N111" s="34">
        <f t="shared" si="36"/>
        <v>210</v>
      </c>
      <c r="O111" s="209">
        <f t="shared" si="30"/>
        <v>346</v>
      </c>
      <c r="P111" s="34">
        <f t="shared" si="24"/>
        <v>3435</v>
      </c>
      <c r="Q111" s="34">
        <f t="shared" si="25"/>
        <v>4230</v>
      </c>
      <c r="R111" s="7">
        <f t="shared" si="26"/>
        <v>201.54</v>
      </c>
      <c r="S111" s="227">
        <f t="shared" si="27"/>
        <v>996.54</v>
      </c>
      <c r="T111" s="249">
        <f t="shared" si="28"/>
        <v>0.29011353711790394</v>
      </c>
    </row>
    <row r="112" spans="2:34" ht="15" customHeight="1" x14ac:dyDescent="0.4">
      <c r="B112" s="38" t="s">
        <v>58</v>
      </c>
      <c r="C112" s="6" t="s">
        <v>160</v>
      </c>
      <c r="D112" s="6">
        <f t="shared" si="32"/>
        <v>1</v>
      </c>
      <c r="E112" s="34">
        <v>1</v>
      </c>
      <c r="F112" s="212">
        <v>3660</v>
      </c>
      <c r="G112" s="195">
        <v>45818</v>
      </c>
      <c r="H112" s="8"/>
      <c r="I112" s="212">
        <v>4230</v>
      </c>
      <c r="J112" s="8">
        <v>46134</v>
      </c>
      <c r="K112" s="23">
        <f t="shared" si="35"/>
        <v>0</v>
      </c>
      <c r="L112" s="23">
        <f t="shared" si="34"/>
        <v>0</v>
      </c>
      <c r="M112" s="206">
        <f t="shared" si="33"/>
        <v>8.4600000000000009</v>
      </c>
      <c r="N112" s="34">
        <f t="shared" si="36"/>
        <v>210</v>
      </c>
      <c r="O112" s="209">
        <f t="shared" si="30"/>
        <v>317</v>
      </c>
      <c r="P112" s="34">
        <f t="shared" si="24"/>
        <v>3660</v>
      </c>
      <c r="Q112" s="34">
        <f t="shared" si="25"/>
        <v>4230</v>
      </c>
      <c r="R112" s="7">
        <f t="shared" si="26"/>
        <v>201.54</v>
      </c>
      <c r="S112" s="227">
        <f t="shared" si="27"/>
        <v>771.54</v>
      </c>
      <c r="T112" s="249">
        <f t="shared" si="28"/>
        <v>0.21080327868852458</v>
      </c>
    </row>
    <row r="113" spans="2:20" ht="15" customHeight="1" x14ac:dyDescent="0.4">
      <c r="B113" s="38" t="s">
        <v>58</v>
      </c>
      <c r="C113" s="6" t="s">
        <v>160</v>
      </c>
      <c r="D113" s="6">
        <f t="shared" si="32"/>
        <v>1</v>
      </c>
      <c r="E113" s="34">
        <v>1</v>
      </c>
      <c r="F113" s="212">
        <v>3810</v>
      </c>
      <c r="G113" s="195">
        <v>45848</v>
      </c>
      <c r="H113" s="8"/>
      <c r="I113" s="212">
        <v>4230</v>
      </c>
      <c r="J113" s="8">
        <v>46134</v>
      </c>
      <c r="K113" s="23">
        <f t="shared" si="35"/>
        <v>0</v>
      </c>
      <c r="L113" s="23">
        <f t="shared" si="34"/>
        <v>0</v>
      </c>
      <c r="M113" s="206">
        <f t="shared" si="33"/>
        <v>8.4600000000000009</v>
      </c>
      <c r="N113" s="34">
        <f t="shared" si="36"/>
        <v>210</v>
      </c>
      <c r="O113" s="209">
        <f t="shared" si="30"/>
        <v>287</v>
      </c>
      <c r="P113" s="34">
        <f t="shared" si="24"/>
        <v>3810</v>
      </c>
      <c r="Q113" s="34">
        <f t="shared" si="25"/>
        <v>4230</v>
      </c>
      <c r="R113" s="7">
        <f t="shared" si="26"/>
        <v>201.54</v>
      </c>
      <c r="S113" s="227">
        <f t="shared" si="27"/>
        <v>621.54</v>
      </c>
      <c r="T113" s="249">
        <f t="shared" si="28"/>
        <v>0.16313385826771654</v>
      </c>
    </row>
    <row r="114" spans="2:20" ht="15" customHeight="1" x14ac:dyDescent="0.4">
      <c r="B114" s="38" t="s">
        <v>58</v>
      </c>
      <c r="C114" s="6" t="s">
        <v>160</v>
      </c>
      <c r="D114" s="6">
        <f t="shared" si="32"/>
        <v>1</v>
      </c>
      <c r="E114" s="34">
        <v>1</v>
      </c>
      <c r="F114" s="212">
        <v>3460</v>
      </c>
      <c r="G114" s="195">
        <v>45880</v>
      </c>
      <c r="H114" s="8"/>
      <c r="I114" s="212">
        <v>4230</v>
      </c>
      <c r="J114" s="8">
        <v>46134</v>
      </c>
      <c r="K114" s="23">
        <f t="shared" si="35"/>
        <v>0</v>
      </c>
      <c r="L114" s="23">
        <f t="shared" si="34"/>
        <v>0</v>
      </c>
      <c r="M114" s="206">
        <f t="shared" si="33"/>
        <v>8.4600000000000009</v>
      </c>
      <c r="N114" s="34">
        <f t="shared" si="36"/>
        <v>210</v>
      </c>
      <c r="O114" s="209">
        <f t="shared" si="30"/>
        <v>255</v>
      </c>
      <c r="P114" s="34">
        <f t="shared" si="24"/>
        <v>3460</v>
      </c>
      <c r="Q114" s="34">
        <f t="shared" si="25"/>
        <v>4230</v>
      </c>
      <c r="R114" s="7">
        <f t="shared" si="26"/>
        <v>201.54</v>
      </c>
      <c r="S114" s="227">
        <f t="shared" si="27"/>
        <v>971.54</v>
      </c>
      <c r="T114" s="249">
        <f t="shared" si="28"/>
        <v>0.28079190751445088</v>
      </c>
    </row>
    <row r="115" spans="2:20" ht="15" customHeight="1" x14ac:dyDescent="0.4">
      <c r="B115" s="38" t="s">
        <v>58</v>
      </c>
      <c r="C115" s="6" t="s">
        <v>160</v>
      </c>
      <c r="D115" s="6">
        <f t="shared" si="32"/>
        <v>1</v>
      </c>
      <c r="E115" s="34">
        <v>1</v>
      </c>
      <c r="F115" s="212">
        <v>3725</v>
      </c>
      <c r="G115" s="195">
        <v>45910</v>
      </c>
      <c r="H115" s="8"/>
      <c r="I115" s="212">
        <v>4230</v>
      </c>
      <c r="J115" s="8">
        <v>46134</v>
      </c>
      <c r="K115" s="23">
        <f t="shared" si="35"/>
        <v>0</v>
      </c>
      <c r="L115" s="23">
        <f t="shared" si="34"/>
        <v>0</v>
      </c>
      <c r="M115" s="206">
        <f t="shared" si="33"/>
        <v>8.4600000000000009</v>
      </c>
      <c r="N115" s="34">
        <f t="shared" si="36"/>
        <v>210</v>
      </c>
      <c r="O115" s="209">
        <f t="shared" si="30"/>
        <v>225</v>
      </c>
      <c r="P115" s="34">
        <f t="shared" si="24"/>
        <v>3725</v>
      </c>
      <c r="Q115" s="34">
        <f t="shared" si="25"/>
        <v>4230</v>
      </c>
      <c r="R115" s="7">
        <f t="shared" si="26"/>
        <v>201.54</v>
      </c>
      <c r="S115" s="227">
        <f t="shared" si="27"/>
        <v>706.54</v>
      </c>
      <c r="T115" s="249">
        <f t="shared" si="28"/>
        <v>0.18967516778523488</v>
      </c>
    </row>
    <row r="116" spans="2:20" ht="15" customHeight="1" x14ac:dyDescent="0.4">
      <c r="B116" s="38" t="s">
        <v>58</v>
      </c>
      <c r="C116" s="6" t="s">
        <v>160</v>
      </c>
      <c r="D116" s="6">
        <f t="shared" si="32"/>
        <v>1</v>
      </c>
      <c r="E116" s="34">
        <v>1</v>
      </c>
      <c r="F116" s="212">
        <v>3585</v>
      </c>
      <c r="G116" s="195">
        <v>45940</v>
      </c>
      <c r="H116" s="8"/>
      <c r="I116" s="212">
        <v>4230</v>
      </c>
      <c r="J116" s="8">
        <v>46134</v>
      </c>
      <c r="K116" s="23">
        <f t="shared" si="35"/>
        <v>0</v>
      </c>
      <c r="L116" s="23">
        <f t="shared" si="34"/>
        <v>0</v>
      </c>
      <c r="M116" s="206">
        <f t="shared" si="33"/>
        <v>8.4600000000000009</v>
      </c>
      <c r="N116" s="34">
        <f t="shared" si="36"/>
        <v>210</v>
      </c>
      <c r="O116" s="209">
        <f t="shared" si="30"/>
        <v>195</v>
      </c>
      <c r="P116" s="34">
        <f t="shared" si="24"/>
        <v>3585</v>
      </c>
      <c r="Q116" s="34">
        <f t="shared" si="25"/>
        <v>4230</v>
      </c>
      <c r="R116" s="7">
        <f t="shared" si="26"/>
        <v>201.54</v>
      </c>
      <c r="S116" s="227">
        <f t="shared" si="27"/>
        <v>846.54</v>
      </c>
      <c r="T116" s="249">
        <f t="shared" si="28"/>
        <v>0.23613389121338912</v>
      </c>
    </row>
    <row r="117" spans="2:20" ht="15" customHeight="1" x14ac:dyDescent="0.4">
      <c r="B117" s="38" t="s">
        <v>58</v>
      </c>
      <c r="C117" s="6" t="s">
        <v>160</v>
      </c>
      <c r="D117" s="6">
        <f t="shared" si="32"/>
        <v>1</v>
      </c>
      <c r="E117" s="34">
        <v>1</v>
      </c>
      <c r="F117" s="212">
        <v>3525</v>
      </c>
      <c r="G117" s="195">
        <v>45971</v>
      </c>
      <c r="H117" s="8"/>
      <c r="I117" s="212">
        <v>4230</v>
      </c>
      <c r="J117" s="8">
        <v>46134</v>
      </c>
      <c r="K117" s="23">
        <f t="shared" si="35"/>
        <v>0</v>
      </c>
      <c r="L117" s="23">
        <f t="shared" si="34"/>
        <v>0</v>
      </c>
      <c r="M117" s="206">
        <f t="shared" si="33"/>
        <v>8.4600000000000009</v>
      </c>
      <c r="N117" s="34">
        <f t="shared" si="36"/>
        <v>210</v>
      </c>
      <c r="O117" s="209">
        <f t="shared" si="30"/>
        <v>164</v>
      </c>
      <c r="P117" s="34">
        <f t="shared" si="24"/>
        <v>3525</v>
      </c>
      <c r="Q117" s="34">
        <f t="shared" si="25"/>
        <v>4230</v>
      </c>
      <c r="R117" s="7">
        <f t="shared" si="26"/>
        <v>201.54</v>
      </c>
      <c r="S117" s="227">
        <f t="shared" si="27"/>
        <v>906.54</v>
      </c>
      <c r="T117" s="249">
        <f t="shared" si="28"/>
        <v>0.25717446808510636</v>
      </c>
    </row>
    <row r="118" spans="2:20" ht="15" customHeight="1" x14ac:dyDescent="0.4">
      <c r="B118" s="38" t="s">
        <v>58</v>
      </c>
      <c r="C118" s="6" t="s">
        <v>160</v>
      </c>
      <c r="D118" s="6">
        <f t="shared" si="32"/>
        <v>1</v>
      </c>
      <c r="E118" s="34">
        <v>1</v>
      </c>
      <c r="F118" s="212">
        <v>3455</v>
      </c>
      <c r="G118" s="195">
        <v>46001</v>
      </c>
      <c r="H118" s="8"/>
      <c r="I118" s="212">
        <v>4230</v>
      </c>
      <c r="J118" s="8">
        <v>46134</v>
      </c>
      <c r="K118" s="23">
        <f t="shared" si="35"/>
        <v>0</v>
      </c>
      <c r="L118" s="23">
        <f t="shared" si="34"/>
        <v>0</v>
      </c>
      <c r="M118" s="206">
        <f t="shared" si="33"/>
        <v>8.4600000000000009</v>
      </c>
      <c r="N118" s="34">
        <f t="shared" si="36"/>
        <v>210</v>
      </c>
      <c r="O118" s="209">
        <f t="shared" si="30"/>
        <v>134</v>
      </c>
      <c r="P118" s="34">
        <f t="shared" si="24"/>
        <v>3455</v>
      </c>
      <c r="Q118" s="34">
        <f t="shared" si="25"/>
        <v>4230</v>
      </c>
      <c r="R118" s="7">
        <f t="shared" si="26"/>
        <v>201.54</v>
      </c>
      <c r="S118" s="227">
        <f t="shared" si="27"/>
        <v>976.54</v>
      </c>
      <c r="T118" s="249">
        <f t="shared" si="28"/>
        <v>0.28264544138929087</v>
      </c>
    </row>
    <row r="119" spans="2:20" ht="15" customHeight="1" x14ac:dyDescent="0.4">
      <c r="B119" s="38" t="s">
        <v>8</v>
      </c>
      <c r="C119" s="6" t="s">
        <v>160</v>
      </c>
      <c r="D119" s="6">
        <f t="shared" si="32"/>
        <v>1</v>
      </c>
      <c r="E119" s="34">
        <v>100</v>
      </c>
      <c r="F119" s="212">
        <v>8000</v>
      </c>
      <c r="G119" s="195">
        <v>44678</v>
      </c>
      <c r="H119" s="8" t="s">
        <v>494</v>
      </c>
      <c r="I119" s="212"/>
      <c r="J119" s="8"/>
      <c r="K119" s="23">
        <f t="shared" si="35"/>
        <v>20</v>
      </c>
      <c r="L119" s="23">
        <f t="shared" si="34"/>
        <v>0</v>
      </c>
      <c r="M119" s="206">
        <f t="shared" si="33"/>
        <v>0</v>
      </c>
      <c r="N119" s="34">
        <f>E119*50+50*E119</f>
        <v>10000</v>
      </c>
      <c r="O119" s="209">
        <f t="shared" si="30"/>
        <v>-44677</v>
      </c>
      <c r="P119" s="34">
        <f t="shared" si="24"/>
        <v>800000</v>
      </c>
      <c r="Q119" s="34">
        <f t="shared" si="25"/>
        <v>0</v>
      </c>
      <c r="R119" s="7">
        <f t="shared" si="26"/>
        <v>9980</v>
      </c>
      <c r="S119" s="227">
        <f t="shared" si="27"/>
        <v>0</v>
      </c>
      <c r="T119" s="249">
        <f t="shared" si="28"/>
        <v>0</v>
      </c>
    </row>
    <row r="120" spans="2:20" ht="15" customHeight="1" x14ac:dyDescent="0.4">
      <c r="B120" s="38" t="s">
        <v>8</v>
      </c>
      <c r="C120" s="6" t="s">
        <v>160</v>
      </c>
      <c r="D120" s="6">
        <f t="shared" si="32"/>
        <v>1</v>
      </c>
      <c r="E120" s="34">
        <v>1</v>
      </c>
      <c r="F120" s="212">
        <v>2840</v>
      </c>
      <c r="G120" s="195">
        <v>45660</v>
      </c>
      <c r="H120" s="8"/>
      <c r="I120" s="212"/>
      <c r="J120" s="8"/>
      <c r="K120" s="23">
        <f t="shared" si="35"/>
        <v>0</v>
      </c>
      <c r="L120" s="23">
        <f t="shared" si="34"/>
        <v>0</v>
      </c>
      <c r="M120" s="206">
        <f t="shared" si="33"/>
        <v>0</v>
      </c>
      <c r="N120" s="34"/>
      <c r="O120" s="209">
        <f t="shared" si="30"/>
        <v>-45659</v>
      </c>
      <c r="P120" s="34">
        <f t="shared" si="24"/>
        <v>2840</v>
      </c>
      <c r="Q120" s="34">
        <f t="shared" si="25"/>
        <v>0</v>
      </c>
      <c r="R120" s="7">
        <f t="shared" si="26"/>
        <v>0</v>
      </c>
      <c r="S120" s="227">
        <f t="shared" si="27"/>
        <v>0</v>
      </c>
      <c r="T120" s="249">
        <f t="shared" si="28"/>
        <v>0</v>
      </c>
    </row>
    <row r="121" spans="2:20" ht="15" customHeight="1" x14ac:dyDescent="0.4">
      <c r="B121" s="38" t="s">
        <v>8</v>
      </c>
      <c r="C121" s="6" t="s">
        <v>160</v>
      </c>
      <c r="D121" s="6">
        <f t="shared" si="32"/>
        <v>1</v>
      </c>
      <c r="E121" s="34">
        <v>1</v>
      </c>
      <c r="F121" s="212">
        <v>2980</v>
      </c>
      <c r="G121" s="195">
        <v>45667</v>
      </c>
      <c r="H121" s="8"/>
      <c r="I121" s="212"/>
      <c r="J121" s="8"/>
      <c r="K121" s="23">
        <f t="shared" si="35"/>
        <v>0</v>
      </c>
      <c r="L121" s="23">
        <f t="shared" si="34"/>
        <v>0</v>
      </c>
      <c r="M121" s="206">
        <f t="shared" si="33"/>
        <v>0</v>
      </c>
      <c r="N121" s="34"/>
      <c r="O121" s="209">
        <f t="shared" si="30"/>
        <v>-45666</v>
      </c>
      <c r="P121" s="34">
        <f t="shared" si="24"/>
        <v>2980</v>
      </c>
      <c r="Q121" s="34">
        <f t="shared" si="25"/>
        <v>0</v>
      </c>
      <c r="R121" s="7">
        <f t="shared" si="26"/>
        <v>0</v>
      </c>
      <c r="S121" s="227">
        <f t="shared" si="27"/>
        <v>0</v>
      </c>
      <c r="T121" s="249">
        <f t="shared" si="28"/>
        <v>0</v>
      </c>
    </row>
    <row r="122" spans="2:20" ht="15" customHeight="1" x14ac:dyDescent="0.4">
      <c r="B122" s="38" t="s">
        <v>8</v>
      </c>
      <c r="C122" s="6" t="s">
        <v>160</v>
      </c>
      <c r="D122" s="6">
        <f t="shared" si="32"/>
        <v>1</v>
      </c>
      <c r="E122" s="34">
        <v>1</v>
      </c>
      <c r="F122" s="212">
        <v>3070</v>
      </c>
      <c r="G122" s="195">
        <v>45674</v>
      </c>
      <c r="H122" s="8"/>
      <c r="I122" s="212"/>
      <c r="J122" s="8"/>
      <c r="K122" s="23">
        <f t="shared" si="35"/>
        <v>0</v>
      </c>
      <c r="L122" s="23">
        <f t="shared" si="34"/>
        <v>0</v>
      </c>
      <c r="M122" s="206">
        <f t="shared" si="33"/>
        <v>0</v>
      </c>
      <c r="N122" s="34"/>
      <c r="O122" s="209">
        <f t="shared" si="30"/>
        <v>-45673</v>
      </c>
      <c r="P122" s="34">
        <f t="shared" si="24"/>
        <v>3070</v>
      </c>
      <c r="Q122" s="34">
        <f t="shared" si="25"/>
        <v>0</v>
      </c>
      <c r="R122" s="7">
        <f t="shared" si="26"/>
        <v>0</v>
      </c>
      <c r="S122" s="227">
        <f t="shared" si="27"/>
        <v>0</v>
      </c>
      <c r="T122" s="249">
        <f t="shared" si="28"/>
        <v>0</v>
      </c>
    </row>
    <row r="123" spans="2:20" ht="15" customHeight="1" x14ac:dyDescent="0.4">
      <c r="B123" s="38" t="s">
        <v>8</v>
      </c>
      <c r="C123" s="6" t="s">
        <v>160</v>
      </c>
      <c r="D123" s="6">
        <f t="shared" si="32"/>
        <v>1</v>
      </c>
      <c r="E123" s="34">
        <v>1</v>
      </c>
      <c r="F123" s="212">
        <v>3030</v>
      </c>
      <c r="G123" s="195">
        <v>45681</v>
      </c>
      <c r="H123" s="8"/>
      <c r="I123" s="212"/>
      <c r="J123" s="8"/>
      <c r="K123" s="23">
        <f t="shared" si="35"/>
        <v>0</v>
      </c>
      <c r="L123" s="23">
        <f t="shared" si="34"/>
        <v>0</v>
      </c>
      <c r="M123" s="206">
        <f t="shared" si="33"/>
        <v>0</v>
      </c>
      <c r="N123" s="34"/>
      <c r="O123" s="209">
        <f t="shared" si="30"/>
        <v>-45680</v>
      </c>
      <c r="P123" s="34">
        <f t="shared" si="24"/>
        <v>3030</v>
      </c>
      <c r="Q123" s="34">
        <f t="shared" si="25"/>
        <v>0</v>
      </c>
      <c r="R123" s="7">
        <f t="shared" si="26"/>
        <v>0</v>
      </c>
      <c r="S123" s="227">
        <f t="shared" si="27"/>
        <v>0</v>
      </c>
      <c r="T123" s="249">
        <f t="shared" si="28"/>
        <v>0</v>
      </c>
    </row>
    <row r="124" spans="2:20" ht="15" customHeight="1" x14ac:dyDescent="0.4">
      <c r="B124" s="38" t="s">
        <v>8</v>
      </c>
      <c r="C124" s="6" t="s">
        <v>160</v>
      </c>
      <c r="D124" s="6">
        <f t="shared" si="32"/>
        <v>1</v>
      </c>
      <c r="E124" s="34">
        <v>1</v>
      </c>
      <c r="F124" s="212">
        <v>3040</v>
      </c>
      <c r="G124" s="195">
        <v>45688</v>
      </c>
      <c r="H124" s="8"/>
      <c r="I124" s="212"/>
      <c r="J124" s="8"/>
      <c r="K124" s="23">
        <f t="shared" si="35"/>
        <v>0</v>
      </c>
      <c r="L124" s="23">
        <f t="shared" si="34"/>
        <v>0</v>
      </c>
      <c r="M124" s="206">
        <f t="shared" si="33"/>
        <v>0</v>
      </c>
      <c r="N124" s="34"/>
      <c r="O124" s="209">
        <f t="shared" si="30"/>
        <v>-45687</v>
      </c>
      <c r="P124" s="34">
        <f t="shared" si="24"/>
        <v>3040</v>
      </c>
      <c r="Q124" s="34">
        <f t="shared" si="25"/>
        <v>0</v>
      </c>
      <c r="R124" s="7">
        <f t="shared" si="26"/>
        <v>0</v>
      </c>
      <c r="S124" s="227">
        <f t="shared" si="27"/>
        <v>0</v>
      </c>
      <c r="T124" s="249">
        <f t="shared" si="28"/>
        <v>0</v>
      </c>
    </row>
    <row r="125" spans="2:20" ht="15" customHeight="1" x14ac:dyDescent="0.4">
      <c r="B125" s="38" t="s">
        <v>8</v>
      </c>
      <c r="C125" s="6" t="s">
        <v>160</v>
      </c>
      <c r="D125" s="6">
        <f t="shared" si="32"/>
        <v>1</v>
      </c>
      <c r="E125" s="34">
        <v>1</v>
      </c>
      <c r="F125" s="212">
        <v>3040</v>
      </c>
      <c r="G125" s="195">
        <v>45695</v>
      </c>
      <c r="H125" s="8"/>
      <c r="I125" s="212"/>
      <c r="J125" s="8"/>
      <c r="K125" s="23">
        <f t="shared" si="35"/>
        <v>0</v>
      </c>
      <c r="L125" s="23">
        <f t="shared" si="34"/>
        <v>0</v>
      </c>
      <c r="M125" s="206">
        <f t="shared" si="33"/>
        <v>0</v>
      </c>
      <c r="N125" s="34"/>
      <c r="O125" s="209">
        <f t="shared" si="30"/>
        <v>-45694</v>
      </c>
      <c r="P125" s="34">
        <f t="shared" si="24"/>
        <v>3040</v>
      </c>
      <c r="Q125" s="34">
        <f t="shared" si="25"/>
        <v>0</v>
      </c>
      <c r="R125" s="7">
        <f t="shared" si="26"/>
        <v>0</v>
      </c>
      <c r="S125" s="227">
        <f t="shared" si="27"/>
        <v>0</v>
      </c>
      <c r="T125" s="249">
        <f t="shared" si="28"/>
        <v>0</v>
      </c>
    </row>
    <row r="126" spans="2:20" ht="15" customHeight="1" x14ac:dyDescent="0.4">
      <c r="B126" s="38" t="s">
        <v>8</v>
      </c>
      <c r="C126" s="6" t="s">
        <v>160</v>
      </c>
      <c r="D126" s="6">
        <f t="shared" si="32"/>
        <v>1</v>
      </c>
      <c r="E126" s="34">
        <v>1</v>
      </c>
      <c r="F126" s="212">
        <v>2990</v>
      </c>
      <c r="G126" s="195">
        <v>45702</v>
      </c>
      <c r="H126" s="8"/>
      <c r="I126" s="212"/>
      <c r="J126" s="8"/>
      <c r="K126" s="23">
        <f t="shared" si="35"/>
        <v>0</v>
      </c>
      <c r="L126" s="23">
        <f t="shared" si="34"/>
        <v>0</v>
      </c>
      <c r="M126" s="206">
        <f t="shared" si="33"/>
        <v>0</v>
      </c>
      <c r="N126" s="34"/>
      <c r="O126" s="209">
        <f t="shared" si="30"/>
        <v>-45701</v>
      </c>
      <c r="P126" s="34">
        <f t="shared" si="24"/>
        <v>2990</v>
      </c>
      <c r="Q126" s="34">
        <f t="shared" si="25"/>
        <v>0</v>
      </c>
      <c r="R126" s="7">
        <f t="shared" si="26"/>
        <v>0</v>
      </c>
      <c r="S126" s="227">
        <f t="shared" si="27"/>
        <v>0</v>
      </c>
      <c r="T126" s="249">
        <f t="shared" si="28"/>
        <v>0</v>
      </c>
    </row>
    <row r="127" spans="2:20" ht="15" customHeight="1" x14ac:dyDescent="0.4">
      <c r="B127" s="38" t="s">
        <v>8</v>
      </c>
      <c r="C127" s="6" t="s">
        <v>160</v>
      </c>
      <c r="D127" s="6">
        <f t="shared" si="32"/>
        <v>1</v>
      </c>
      <c r="E127" s="34">
        <v>1</v>
      </c>
      <c r="F127" s="212">
        <v>3040</v>
      </c>
      <c r="G127" s="195">
        <v>45709</v>
      </c>
      <c r="H127" s="8"/>
      <c r="I127" s="212"/>
      <c r="J127" s="8"/>
      <c r="K127" s="23">
        <f t="shared" si="35"/>
        <v>0</v>
      </c>
      <c r="L127" s="23">
        <f t="shared" si="34"/>
        <v>0</v>
      </c>
      <c r="M127" s="206">
        <f t="shared" si="33"/>
        <v>0</v>
      </c>
      <c r="N127" s="34"/>
      <c r="O127" s="209">
        <f t="shared" si="30"/>
        <v>-45708</v>
      </c>
      <c r="P127" s="34">
        <f t="shared" si="24"/>
        <v>3040</v>
      </c>
      <c r="Q127" s="34">
        <f t="shared" si="25"/>
        <v>0</v>
      </c>
      <c r="R127" s="7">
        <f t="shared" si="26"/>
        <v>0</v>
      </c>
      <c r="S127" s="227">
        <f t="shared" si="27"/>
        <v>0</v>
      </c>
      <c r="T127" s="249">
        <f t="shared" si="28"/>
        <v>0</v>
      </c>
    </row>
    <row r="128" spans="2:20" ht="15" customHeight="1" x14ac:dyDescent="0.4">
      <c r="B128" s="38" t="s">
        <v>8</v>
      </c>
      <c r="C128" s="6" t="s">
        <v>160</v>
      </c>
      <c r="D128" s="6">
        <f t="shared" si="32"/>
        <v>1</v>
      </c>
      <c r="E128" s="34">
        <v>1</v>
      </c>
      <c r="F128" s="212">
        <v>3020</v>
      </c>
      <c r="G128" s="195">
        <v>45716</v>
      </c>
      <c r="H128" s="8"/>
      <c r="I128" s="212"/>
      <c r="J128" s="8"/>
      <c r="K128" s="23">
        <f t="shared" si="35"/>
        <v>0</v>
      </c>
      <c r="L128" s="23">
        <f t="shared" si="34"/>
        <v>0</v>
      </c>
      <c r="M128" s="206">
        <f t="shared" si="33"/>
        <v>0</v>
      </c>
      <c r="N128" s="34"/>
      <c r="O128" s="209">
        <f t="shared" si="30"/>
        <v>-45715</v>
      </c>
      <c r="P128" s="34">
        <f t="shared" si="24"/>
        <v>3020</v>
      </c>
      <c r="Q128" s="34">
        <f t="shared" si="25"/>
        <v>0</v>
      </c>
      <c r="R128" s="7">
        <f t="shared" si="26"/>
        <v>0</v>
      </c>
      <c r="S128" s="227">
        <f t="shared" si="27"/>
        <v>0</v>
      </c>
      <c r="T128" s="249">
        <f t="shared" si="28"/>
        <v>0</v>
      </c>
    </row>
    <row r="129" spans="2:20" ht="15" customHeight="1" x14ac:dyDescent="0.4">
      <c r="B129" s="38" t="s">
        <v>8</v>
      </c>
      <c r="C129" s="6" t="s">
        <v>160</v>
      </c>
      <c r="D129" s="6">
        <f t="shared" si="32"/>
        <v>1</v>
      </c>
      <c r="E129" s="34">
        <v>1</v>
      </c>
      <c r="F129" s="212">
        <v>2915</v>
      </c>
      <c r="G129" s="195">
        <v>45723</v>
      </c>
      <c r="H129" s="8"/>
      <c r="I129" s="212"/>
      <c r="J129" s="8"/>
      <c r="K129" s="23">
        <f t="shared" si="35"/>
        <v>0</v>
      </c>
      <c r="L129" s="23">
        <f t="shared" si="34"/>
        <v>0</v>
      </c>
      <c r="M129" s="206">
        <f t="shared" ref="M129:M160" si="37">Q129*0.002</f>
        <v>0</v>
      </c>
      <c r="N129" s="34"/>
      <c r="O129" s="209">
        <f t="shared" si="30"/>
        <v>-45722</v>
      </c>
      <c r="P129" s="34">
        <f t="shared" si="24"/>
        <v>2915</v>
      </c>
      <c r="Q129" s="34">
        <f t="shared" si="25"/>
        <v>0</v>
      </c>
      <c r="R129" s="7">
        <f t="shared" si="26"/>
        <v>0</v>
      </c>
      <c r="S129" s="227">
        <f t="shared" si="27"/>
        <v>0</v>
      </c>
      <c r="T129" s="249">
        <f t="shared" si="28"/>
        <v>0</v>
      </c>
    </row>
    <row r="130" spans="2:20" ht="15" customHeight="1" x14ac:dyDescent="0.4">
      <c r="B130" s="38" t="s">
        <v>8</v>
      </c>
      <c r="C130" s="6" t="s">
        <v>160</v>
      </c>
      <c r="D130" s="6">
        <f t="shared" si="32"/>
        <v>1</v>
      </c>
      <c r="E130" s="34">
        <v>1</v>
      </c>
      <c r="F130" s="212">
        <v>2855</v>
      </c>
      <c r="G130" s="195">
        <v>45730</v>
      </c>
      <c r="H130" s="8"/>
      <c r="I130" s="212"/>
      <c r="J130" s="8"/>
      <c r="K130" s="23">
        <f t="shared" si="35"/>
        <v>0</v>
      </c>
      <c r="L130" s="23">
        <f t="shared" si="34"/>
        <v>0</v>
      </c>
      <c r="M130" s="206">
        <f t="shared" si="37"/>
        <v>0</v>
      </c>
      <c r="N130" s="34"/>
      <c r="O130" s="209">
        <f t="shared" si="30"/>
        <v>-45729</v>
      </c>
      <c r="P130" s="34">
        <f t="shared" si="24"/>
        <v>2855</v>
      </c>
      <c r="Q130" s="34">
        <f t="shared" si="25"/>
        <v>0</v>
      </c>
      <c r="R130" s="7">
        <f t="shared" si="26"/>
        <v>0</v>
      </c>
      <c r="S130" s="227">
        <f t="shared" si="27"/>
        <v>0</v>
      </c>
      <c r="T130" s="249">
        <f t="shared" si="28"/>
        <v>0</v>
      </c>
    </row>
    <row r="131" spans="2:20" ht="15" customHeight="1" x14ac:dyDescent="0.4">
      <c r="B131" s="38" t="s">
        <v>8</v>
      </c>
      <c r="C131" s="6" t="s">
        <v>160</v>
      </c>
      <c r="D131" s="6">
        <f t="shared" si="32"/>
        <v>1</v>
      </c>
      <c r="E131" s="34">
        <v>1</v>
      </c>
      <c r="F131" s="212">
        <v>2900</v>
      </c>
      <c r="G131" s="195">
        <v>45737</v>
      </c>
      <c r="H131" s="8"/>
      <c r="I131" s="212"/>
      <c r="J131" s="8"/>
      <c r="K131" s="23">
        <f t="shared" si="35"/>
        <v>0</v>
      </c>
      <c r="L131" s="23">
        <f t="shared" si="34"/>
        <v>0</v>
      </c>
      <c r="M131" s="206">
        <f t="shared" si="37"/>
        <v>0</v>
      </c>
      <c r="N131" s="34"/>
      <c r="O131" s="209">
        <f t="shared" si="30"/>
        <v>-45736</v>
      </c>
      <c r="P131" s="34">
        <f t="shared" si="24"/>
        <v>2900</v>
      </c>
      <c r="Q131" s="34">
        <f t="shared" si="25"/>
        <v>0</v>
      </c>
      <c r="R131" s="7">
        <f t="shared" si="26"/>
        <v>0</v>
      </c>
      <c r="S131" s="227">
        <f t="shared" si="27"/>
        <v>0</v>
      </c>
      <c r="T131" s="249">
        <f t="shared" si="28"/>
        <v>0</v>
      </c>
    </row>
    <row r="132" spans="2:20" ht="15" customHeight="1" x14ac:dyDescent="0.4">
      <c r="B132" s="38" t="s">
        <v>8</v>
      </c>
      <c r="C132" s="6" t="s">
        <v>160</v>
      </c>
      <c r="D132" s="6">
        <f t="shared" si="32"/>
        <v>1</v>
      </c>
      <c r="E132" s="34">
        <v>1</v>
      </c>
      <c r="F132" s="212">
        <v>2910</v>
      </c>
      <c r="G132" s="195">
        <v>45744</v>
      </c>
      <c r="H132" s="8"/>
      <c r="I132" s="212"/>
      <c r="J132" s="8"/>
      <c r="K132" s="23">
        <f t="shared" si="35"/>
        <v>0</v>
      </c>
      <c r="L132" s="23">
        <f t="shared" ref="L132:L163" si="38">IF($C132="OTC",ROUNDDOWN($I132*$E132*0.000909187,-1),(IF($C132="신한",ROUNDDOWN($I132*$E132*0.000036396,-1),(IF($C132="토스",$I132*$E132*0.00015,(IF($C132="US",(IF($I132*$E132*0.0025&gt;0.01,$I132*$E132*0.0025,0.01)),(IF($C132="JP",(IF($I132*$E132*0.0025&gt;1000,$I132*$E132*0.0025,1000)),(IF($C132="R토스",$I132*$E132*0.00015,(IF($C132="무상증자(신한)",ROUNDDOWN($I132*$E132*0.000036396,-1),"")))))))))))))</f>
        <v>0</v>
      </c>
      <c r="M132" s="206">
        <f t="shared" si="37"/>
        <v>0</v>
      </c>
      <c r="N132" s="34"/>
      <c r="O132" s="209">
        <f t="shared" si="30"/>
        <v>-45743</v>
      </c>
      <c r="P132" s="34">
        <f t="shared" ref="P132:P195" si="39">$E132*$F132*$D132</f>
        <v>2910</v>
      </c>
      <c r="Q132" s="34">
        <f t="shared" ref="Q132:Q195" si="40">$E132*$I132*$D132</f>
        <v>0</v>
      </c>
      <c r="R132" s="7">
        <f t="shared" ref="R132:R195" si="41">($N132-$K132-$L132-$M132)*$D132</f>
        <v>0</v>
      </c>
      <c r="S132" s="227">
        <f t="shared" ref="S132:S195" si="42">IF(Q132=0,0,Q132-P132+R132)</f>
        <v>0</v>
      </c>
      <c r="T132" s="249">
        <f t="shared" ref="T132:T195" si="43">S132/P132</f>
        <v>0</v>
      </c>
    </row>
    <row r="133" spans="2:20" ht="15" customHeight="1" x14ac:dyDescent="0.4">
      <c r="B133" s="38" t="s">
        <v>8</v>
      </c>
      <c r="C133" s="6" t="s">
        <v>160</v>
      </c>
      <c r="D133" s="6">
        <f t="shared" si="32"/>
        <v>1</v>
      </c>
      <c r="E133" s="34">
        <v>1</v>
      </c>
      <c r="F133" s="212">
        <v>2795</v>
      </c>
      <c r="G133" s="195">
        <v>45751</v>
      </c>
      <c r="H133" s="8"/>
      <c r="I133" s="212"/>
      <c r="J133" s="8"/>
      <c r="K133" s="23">
        <f t="shared" si="35"/>
        <v>0</v>
      </c>
      <c r="L133" s="23">
        <f t="shared" si="38"/>
        <v>0</v>
      </c>
      <c r="M133" s="206">
        <f t="shared" si="37"/>
        <v>0</v>
      </c>
      <c r="N133" s="34"/>
      <c r="O133" s="209">
        <f t="shared" si="30"/>
        <v>-45750</v>
      </c>
      <c r="P133" s="34">
        <f t="shared" si="39"/>
        <v>2795</v>
      </c>
      <c r="Q133" s="34">
        <f t="shared" si="40"/>
        <v>0</v>
      </c>
      <c r="R133" s="7">
        <f t="shared" si="41"/>
        <v>0</v>
      </c>
      <c r="S133" s="227">
        <f t="shared" si="42"/>
        <v>0</v>
      </c>
      <c r="T133" s="249">
        <f t="shared" si="43"/>
        <v>0</v>
      </c>
    </row>
    <row r="134" spans="2:20" ht="15" customHeight="1" x14ac:dyDescent="0.4">
      <c r="B134" s="38" t="s">
        <v>8</v>
      </c>
      <c r="C134" s="6" t="s">
        <v>160</v>
      </c>
      <c r="D134" s="6">
        <f t="shared" si="32"/>
        <v>1</v>
      </c>
      <c r="E134" s="34">
        <v>1</v>
      </c>
      <c r="F134" s="212">
        <v>2735</v>
      </c>
      <c r="G134" s="195">
        <v>45758</v>
      </c>
      <c r="H134" s="8"/>
      <c r="I134" s="212"/>
      <c r="J134" s="8"/>
      <c r="K134" s="23">
        <f t="shared" ref="K134:K165" si="44">IF($C134="OTC",ROUNDDOWN($E134*$F134*0.000909187,-1),(IF($C134="신한",ROUNDDOWN($E134*$F134*0.000036396,-1),(IF($C134="토스",$E134*$F134*0.00015,(IF($C134="US",(IF($E134*$F134*0.0025&gt;0.01,$E134*$F134*0.0025,0.01)),IF($C134="JP",(IF($E134*$F134*0.0025&gt;1000,$E134*$F134*0.0025,1000)),(IF($C134="R토스",0,IF($C134="무상증자(신한)",0,"")))))))))))</f>
        <v>0</v>
      </c>
      <c r="L134" s="23">
        <f t="shared" si="38"/>
        <v>0</v>
      </c>
      <c r="M134" s="206">
        <f t="shared" si="37"/>
        <v>0</v>
      </c>
      <c r="N134" s="34"/>
      <c r="O134" s="209">
        <f t="shared" si="30"/>
        <v>-45757</v>
      </c>
      <c r="P134" s="34">
        <f t="shared" si="39"/>
        <v>2735</v>
      </c>
      <c r="Q134" s="34">
        <f t="shared" si="40"/>
        <v>0</v>
      </c>
      <c r="R134" s="7">
        <f t="shared" si="41"/>
        <v>0</v>
      </c>
      <c r="S134" s="227">
        <f t="shared" si="42"/>
        <v>0</v>
      </c>
      <c r="T134" s="249">
        <f t="shared" si="43"/>
        <v>0</v>
      </c>
    </row>
    <row r="135" spans="2:20" ht="15" customHeight="1" x14ac:dyDescent="0.4">
      <c r="B135" s="38" t="s">
        <v>8</v>
      </c>
      <c r="C135" s="6" t="s">
        <v>160</v>
      </c>
      <c r="D135" s="6">
        <f t="shared" si="32"/>
        <v>1</v>
      </c>
      <c r="E135" s="34">
        <v>1</v>
      </c>
      <c r="F135" s="212">
        <v>2985</v>
      </c>
      <c r="G135" s="195">
        <v>45765</v>
      </c>
      <c r="H135" s="8"/>
      <c r="I135" s="212"/>
      <c r="J135" s="8"/>
      <c r="K135" s="23">
        <f t="shared" si="44"/>
        <v>0</v>
      </c>
      <c r="L135" s="23">
        <f t="shared" si="38"/>
        <v>0</v>
      </c>
      <c r="M135" s="206">
        <f t="shared" si="37"/>
        <v>0</v>
      </c>
      <c r="N135" s="34"/>
      <c r="O135" s="209">
        <f t="shared" si="30"/>
        <v>-45764</v>
      </c>
      <c r="P135" s="34">
        <f t="shared" si="39"/>
        <v>2985</v>
      </c>
      <c r="Q135" s="34">
        <f t="shared" si="40"/>
        <v>0</v>
      </c>
      <c r="R135" s="7">
        <f t="shared" si="41"/>
        <v>0</v>
      </c>
      <c r="S135" s="227">
        <f t="shared" si="42"/>
        <v>0</v>
      </c>
      <c r="T135" s="249">
        <f t="shared" si="43"/>
        <v>0</v>
      </c>
    </row>
    <row r="136" spans="2:20" ht="15" customHeight="1" x14ac:dyDescent="0.4">
      <c r="B136" s="38" t="s">
        <v>8</v>
      </c>
      <c r="C136" s="6" t="s">
        <v>160</v>
      </c>
      <c r="D136" s="6">
        <f t="shared" si="32"/>
        <v>1</v>
      </c>
      <c r="E136" s="34">
        <v>1</v>
      </c>
      <c r="F136" s="212">
        <v>3020</v>
      </c>
      <c r="G136" s="195">
        <v>45772</v>
      </c>
      <c r="H136" s="8"/>
      <c r="I136" s="212"/>
      <c r="J136" s="8"/>
      <c r="K136" s="23">
        <f t="shared" si="44"/>
        <v>0</v>
      </c>
      <c r="L136" s="23">
        <f t="shared" si="38"/>
        <v>0</v>
      </c>
      <c r="M136" s="206">
        <f t="shared" si="37"/>
        <v>0</v>
      </c>
      <c r="N136" s="34"/>
      <c r="O136" s="209">
        <f t="shared" si="30"/>
        <v>-45771</v>
      </c>
      <c r="P136" s="34">
        <f t="shared" si="39"/>
        <v>3020</v>
      </c>
      <c r="Q136" s="34">
        <f t="shared" si="40"/>
        <v>0</v>
      </c>
      <c r="R136" s="7">
        <f t="shared" si="41"/>
        <v>0</v>
      </c>
      <c r="S136" s="227">
        <f t="shared" si="42"/>
        <v>0</v>
      </c>
      <c r="T136" s="249">
        <f t="shared" si="43"/>
        <v>0</v>
      </c>
    </row>
    <row r="137" spans="2:20" ht="15" customHeight="1" x14ac:dyDescent="0.4">
      <c r="B137" s="38" t="s">
        <v>8</v>
      </c>
      <c r="C137" s="6" t="s">
        <v>160</v>
      </c>
      <c r="D137" s="6">
        <f t="shared" si="32"/>
        <v>1</v>
      </c>
      <c r="E137" s="34">
        <v>1</v>
      </c>
      <c r="F137" s="212">
        <v>3070</v>
      </c>
      <c r="G137" s="195">
        <v>45779</v>
      </c>
      <c r="H137" s="8"/>
      <c r="I137" s="212"/>
      <c r="J137" s="8"/>
      <c r="K137" s="23">
        <f t="shared" si="44"/>
        <v>0</v>
      </c>
      <c r="L137" s="23">
        <f t="shared" si="38"/>
        <v>0</v>
      </c>
      <c r="M137" s="206">
        <f t="shared" si="37"/>
        <v>0</v>
      </c>
      <c r="N137" s="34"/>
      <c r="O137" s="209">
        <f t="shared" si="30"/>
        <v>-45778</v>
      </c>
      <c r="P137" s="34">
        <f t="shared" si="39"/>
        <v>3070</v>
      </c>
      <c r="Q137" s="34">
        <f t="shared" si="40"/>
        <v>0</v>
      </c>
      <c r="R137" s="7">
        <f t="shared" si="41"/>
        <v>0</v>
      </c>
      <c r="S137" s="227">
        <f t="shared" si="42"/>
        <v>0</v>
      </c>
      <c r="T137" s="249">
        <f t="shared" si="43"/>
        <v>0</v>
      </c>
    </row>
    <row r="138" spans="2:20" ht="15" customHeight="1" x14ac:dyDescent="0.4">
      <c r="B138" s="38" t="s">
        <v>8</v>
      </c>
      <c r="C138" s="6" t="s">
        <v>160</v>
      </c>
      <c r="D138" s="6">
        <f t="shared" si="32"/>
        <v>1</v>
      </c>
      <c r="E138" s="34">
        <v>1</v>
      </c>
      <c r="F138" s="212">
        <v>3080</v>
      </c>
      <c r="G138" s="195">
        <v>45786</v>
      </c>
      <c r="H138" s="8"/>
      <c r="I138" s="212"/>
      <c r="J138" s="8"/>
      <c r="K138" s="23">
        <f t="shared" si="44"/>
        <v>0</v>
      </c>
      <c r="L138" s="23">
        <f t="shared" si="38"/>
        <v>0</v>
      </c>
      <c r="M138" s="206">
        <f t="shared" si="37"/>
        <v>0</v>
      </c>
      <c r="N138" s="34"/>
      <c r="O138" s="209">
        <f t="shared" si="30"/>
        <v>-45785</v>
      </c>
      <c r="P138" s="34">
        <f t="shared" si="39"/>
        <v>3080</v>
      </c>
      <c r="Q138" s="34">
        <f t="shared" si="40"/>
        <v>0</v>
      </c>
      <c r="R138" s="7">
        <f t="shared" si="41"/>
        <v>0</v>
      </c>
      <c r="S138" s="227">
        <f t="shared" si="42"/>
        <v>0</v>
      </c>
      <c r="T138" s="249">
        <f t="shared" si="43"/>
        <v>0</v>
      </c>
    </row>
    <row r="139" spans="2:20" ht="15" customHeight="1" x14ac:dyDescent="0.4">
      <c r="B139" s="38" t="s">
        <v>8</v>
      </c>
      <c r="C139" s="6" t="s">
        <v>160</v>
      </c>
      <c r="D139" s="6">
        <f t="shared" si="32"/>
        <v>1</v>
      </c>
      <c r="E139" s="34">
        <v>1</v>
      </c>
      <c r="F139" s="212">
        <v>3145</v>
      </c>
      <c r="G139" s="195">
        <v>45793</v>
      </c>
      <c r="H139" s="8"/>
      <c r="I139" s="212"/>
      <c r="J139" s="8"/>
      <c r="K139" s="23">
        <f t="shared" si="44"/>
        <v>0</v>
      </c>
      <c r="L139" s="23">
        <f t="shared" si="38"/>
        <v>0</v>
      </c>
      <c r="M139" s="206">
        <f t="shared" si="37"/>
        <v>0</v>
      </c>
      <c r="N139" s="34"/>
      <c r="O139" s="209">
        <f t="shared" si="30"/>
        <v>-45792</v>
      </c>
      <c r="P139" s="34">
        <f t="shared" si="39"/>
        <v>3145</v>
      </c>
      <c r="Q139" s="34">
        <f t="shared" si="40"/>
        <v>0</v>
      </c>
      <c r="R139" s="7">
        <f t="shared" si="41"/>
        <v>0</v>
      </c>
      <c r="S139" s="227">
        <f t="shared" si="42"/>
        <v>0</v>
      </c>
      <c r="T139" s="249">
        <f t="shared" si="43"/>
        <v>0</v>
      </c>
    </row>
    <row r="140" spans="2:20" ht="15" customHeight="1" x14ac:dyDescent="0.4">
      <c r="B140" s="38" t="s">
        <v>8</v>
      </c>
      <c r="C140" s="6" t="s">
        <v>160</v>
      </c>
      <c r="D140" s="6">
        <f t="shared" si="32"/>
        <v>1</v>
      </c>
      <c r="E140" s="34">
        <v>1</v>
      </c>
      <c r="F140" s="212">
        <v>3110</v>
      </c>
      <c r="G140" s="195">
        <v>45800</v>
      </c>
      <c r="H140" s="8"/>
      <c r="I140" s="212"/>
      <c r="J140" s="8"/>
      <c r="K140" s="23">
        <f t="shared" si="44"/>
        <v>0</v>
      </c>
      <c r="L140" s="23">
        <f t="shared" si="38"/>
        <v>0</v>
      </c>
      <c r="M140" s="206">
        <f t="shared" si="37"/>
        <v>0</v>
      </c>
      <c r="N140" s="34"/>
      <c r="O140" s="209">
        <f t="shared" si="30"/>
        <v>-45799</v>
      </c>
      <c r="P140" s="34">
        <f t="shared" si="39"/>
        <v>3110</v>
      </c>
      <c r="Q140" s="34">
        <f t="shared" si="40"/>
        <v>0</v>
      </c>
      <c r="R140" s="7">
        <f t="shared" si="41"/>
        <v>0</v>
      </c>
      <c r="S140" s="227">
        <f t="shared" si="42"/>
        <v>0</v>
      </c>
      <c r="T140" s="249">
        <f t="shared" si="43"/>
        <v>0</v>
      </c>
    </row>
    <row r="141" spans="2:20" ht="15" customHeight="1" x14ac:dyDescent="0.4">
      <c r="B141" s="38" t="s">
        <v>8</v>
      </c>
      <c r="C141" s="6" t="s">
        <v>160</v>
      </c>
      <c r="D141" s="6">
        <f t="shared" si="32"/>
        <v>1</v>
      </c>
      <c r="E141" s="34">
        <v>1</v>
      </c>
      <c r="F141" s="212">
        <v>3085</v>
      </c>
      <c r="G141" s="195">
        <v>45807</v>
      </c>
      <c r="H141" s="8"/>
      <c r="I141" s="212"/>
      <c r="J141" s="8"/>
      <c r="K141" s="23">
        <f t="shared" si="44"/>
        <v>0</v>
      </c>
      <c r="L141" s="23">
        <f t="shared" si="38"/>
        <v>0</v>
      </c>
      <c r="M141" s="206">
        <f t="shared" si="37"/>
        <v>0</v>
      </c>
      <c r="N141" s="34"/>
      <c r="O141" s="209">
        <f t="shared" si="30"/>
        <v>-45806</v>
      </c>
      <c r="P141" s="34">
        <f t="shared" si="39"/>
        <v>3085</v>
      </c>
      <c r="Q141" s="34">
        <f t="shared" si="40"/>
        <v>0</v>
      </c>
      <c r="R141" s="7">
        <f t="shared" si="41"/>
        <v>0</v>
      </c>
      <c r="S141" s="227">
        <f t="shared" si="42"/>
        <v>0</v>
      </c>
      <c r="T141" s="249">
        <f t="shared" si="43"/>
        <v>0</v>
      </c>
    </row>
    <row r="142" spans="2:20" ht="15" customHeight="1" x14ac:dyDescent="0.4">
      <c r="B142" s="38" t="s">
        <v>8</v>
      </c>
      <c r="C142" s="6" t="s">
        <v>160</v>
      </c>
      <c r="D142" s="6">
        <f t="shared" si="32"/>
        <v>1</v>
      </c>
      <c r="E142" s="34">
        <v>1</v>
      </c>
      <c r="F142" s="212">
        <v>3115</v>
      </c>
      <c r="G142" s="195">
        <v>45817</v>
      </c>
      <c r="H142" s="8"/>
      <c r="I142" s="212"/>
      <c r="J142" s="8"/>
      <c r="K142" s="23">
        <f t="shared" si="44"/>
        <v>0</v>
      </c>
      <c r="L142" s="23">
        <f t="shared" si="38"/>
        <v>0</v>
      </c>
      <c r="M142" s="206">
        <f t="shared" si="37"/>
        <v>0</v>
      </c>
      <c r="N142" s="34"/>
      <c r="O142" s="209">
        <f t="shared" si="30"/>
        <v>-45816</v>
      </c>
      <c r="P142" s="34">
        <f t="shared" si="39"/>
        <v>3115</v>
      </c>
      <c r="Q142" s="34">
        <f t="shared" si="40"/>
        <v>0</v>
      </c>
      <c r="R142" s="7">
        <f t="shared" si="41"/>
        <v>0</v>
      </c>
      <c r="S142" s="227">
        <f t="shared" si="42"/>
        <v>0</v>
      </c>
      <c r="T142" s="249">
        <f t="shared" si="43"/>
        <v>0</v>
      </c>
    </row>
    <row r="143" spans="2:20" ht="15" customHeight="1" x14ac:dyDescent="0.4">
      <c r="B143" s="38" t="s">
        <v>8</v>
      </c>
      <c r="C143" s="6" t="s">
        <v>160</v>
      </c>
      <c r="D143" s="6">
        <f t="shared" si="32"/>
        <v>1</v>
      </c>
      <c r="E143" s="34">
        <v>1</v>
      </c>
      <c r="F143" s="212">
        <v>3330</v>
      </c>
      <c r="G143" s="195">
        <v>45821</v>
      </c>
      <c r="H143" s="8"/>
      <c r="I143" s="212"/>
      <c r="J143" s="8"/>
      <c r="K143" s="23">
        <f t="shared" si="44"/>
        <v>0</v>
      </c>
      <c r="L143" s="23">
        <f t="shared" si="38"/>
        <v>0</v>
      </c>
      <c r="M143" s="206">
        <f t="shared" si="37"/>
        <v>0</v>
      </c>
      <c r="N143" s="34"/>
      <c r="O143" s="209">
        <f t="shared" si="30"/>
        <v>-45820</v>
      </c>
      <c r="P143" s="34">
        <f t="shared" si="39"/>
        <v>3330</v>
      </c>
      <c r="Q143" s="34">
        <f t="shared" si="40"/>
        <v>0</v>
      </c>
      <c r="R143" s="7">
        <f t="shared" si="41"/>
        <v>0</v>
      </c>
      <c r="S143" s="227">
        <f t="shared" si="42"/>
        <v>0</v>
      </c>
      <c r="T143" s="249">
        <f t="shared" si="43"/>
        <v>0</v>
      </c>
    </row>
    <row r="144" spans="2:20" ht="15" customHeight="1" x14ac:dyDescent="0.4">
      <c r="B144" s="38" t="s">
        <v>8</v>
      </c>
      <c r="C144" s="6" t="s">
        <v>160</v>
      </c>
      <c r="D144" s="6">
        <f t="shared" si="32"/>
        <v>1</v>
      </c>
      <c r="E144" s="34">
        <v>1</v>
      </c>
      <c r="F144" s="212">
        <v>3220</v>
      </c>
      <c r="G144" s="195">
        <v>45828</v>
      </c>
      <c r="H144" s="8"/>
      <c r="I144" s="212"/>
      <c r="J144" s="8"/>
      <c r="K144" s="23">
        <f t="shared" si="44"/>
        <v>0</v>
      </c>
      <c r="L144" s="23">
        <f t="shared" si="38"/>
        <v>0</v>
      </c>
      <c r="M144" s="206">
        <f t="shared" si="37"/>
        <v>0</v>
      </c>
      <c r="N144" s="34"/>
      <c r="O144" s="209">
        <f t="shared" si="30"/>
        <v>-45827</v>
      </c>
      <c r="P144" s="34">
        <f t="shared" si="39"/>
        <v>3220</v>
      </c>
      <c r="Q144" s="34">
        <f t="shared" si="40"/>
        <v>0</v>
      </c>
      <c r="R144" s="7">
        <f t="shared" si="41"/>
        <v>0</v>
      </c>
      <c r="S144" s="227">
        <f t="shared" si="42"/>
        <v>0</v>
      </c>
      <c r="T144" s="249">
        <f t="shared" si="43"/>
        <v>0</v>
      </c>
    </row>
    <row r="145" spans="2:20" ht="15" customHeight="1" x14ac:dyDescent="0.4">
      <c r="B145" s="38" t="s">
        <v>8</v>
      </c>
      <c r="C145" s="6" t="s">
        <v>160</v>
      </c>
      <c r="D145" s="6">
        <f t="shared" si="32"/>
        <v>1</v>
      </c>
      <c r="E145" s="34">
        <v>1</v>
      </c>
      <c r="F145" s="212">
        <v>3190</v>
      </c>
      <c r="G145" s="195">
        <v>45835</v>
      </c>
      <c r="H145" s="8"/>
      <c r="I145" s="212"/>
      <c r="J145" s="8"/>
      <c r="K145" s="23">
        <f t="shared" si="44"/>
        <v>0</v>
      </c>
      <c r="L145" s="23">
        <f t="shared" si="38"/>
        <v>0</v>
      </c>
      <c r="M145" s="206">
        <f t="shared" si="37"/>
        <v>0</v>
      </c>
      <c r="N145" s="34"/>
      <c r="O145" s="209">
        <f t="shared" si="30"/>
        <v>-45834</v>
      </c>
      <c r="P145" s="34">
        <f t="shared" si="39"/>
        <v>3190</v>
      </c>
      <c r="Q145" s="34">
        <f t="shared" si="40"/>
        <v>0</v>
      </c>
      <c r="R145" s="7">
        <f t="shared" si="41"/>
        <v>0</v>
      </c>
      <c r="S145" s="227">
        <f t="shared" si="42"/>
        <v>0</v>
      </c>
      <c r="T145" s="249">
        <f t="shared" si="43"/>
        <v>0</v>
      </c>
    </row>
    <row r="146" spans="2:20" ht="15" customHeight="1" x14ac:dyDescent="0.4">
      <c r="B146" s="38" t="s">
        <v>8</v>
      </c>
      <c r="C146" s="6" t="s">
        <v>160</v>
      </c>
      <c r="D146" s="6">
        <f t="shared" si="32"/>
        <v>1</v>
      </c>
      <c r="E146" s="34">
        <v>1</v>
      </c>
      <c r="F146" s="212">
        <v>3190</v>
      </c>
      <c r="G146" s="195">
        <v>45842</v>
      </c>
      <c r="H146" s="8"/>
      <c r="I146" s="212"/>
      <c r="J146" s="8"/>
      <c r="K146" s="23">
        <f t="shared" si="44"/>
        <v>0</v>
      </c>
      <c r="L146" s="23">
        <f t="shared" si="38"/>
        <v>0</v>
      </c>
      <c r="M146" s="206">
        <f t="shared" si="37"/>
        <v>0</v>
      </c>
      <c r="N146" s="34"/>
      <c r="O146" s="209">
        <f t="shared" si="30"/>
        <v>-45841</v>
      </c>
      <c r="P146" s="34">
        <f t="shared" si="39"/>
        <v>3190</v>
      </c>
      <c r="Q146" s="34">
        <f t="shared" si="40"/>
        <v>0</v>
      </c>
      <c r="R146" s="7">
        <f t="shared" si="41"/>
        <v>0</v>
      </c>
      <c r="S146" s="227">
        <f t="shared" si="42"/>
        <v>0</v>
      </c>
      <c r="T146" s="249">
        <f t="shared" si="43"/>
        <v>0</v>
      </c>
    </row>
    <row r="147" spans="2:20" ht="15" customHeight="1" x14ac:dyDescent="0.4">
      <c r="B147" s="38" t="s">
        <v>8</v>
      </c>
      <c r="C147" s="6" t="s">
        <v>160</v>
      </c>
      <c r="D147" s="6">
        <f t="shared" si="32"/>
        <v>1</v>
      </c>
      <c r="E147" s="34">
        <v>1</v>
      </c>
      <c r="F147" s="212">
        <v>3295</v>
      </c>
      <c r="G147" s="195">
        <v>45849</v>
      </c>
      <c r="H147" s="8"/>
      <c r="I147" s="212"/>
      <c r="J147" s="8"/>
      <c r="K147" s="23">
        <f t="shared" si="44"/>
        <v>0</v>
      </c>
      <c r="L147" s="23">
        <f t="shared" si="38"/>
        <v>0</v>
      </c>
      <c r="M147" s="206">
        <f t="shared" si="37"/>
        <v>0</v>
      </c>
      <c r="N147" s="34"/>
      <c r="O147" s="209">
        <f t="shared" si="30"/>
        <v>-45848</v>
      </c>
      <c r="P147" s="34">
        <f t="shared" si="39"/>
        <v>3295</v>
      </c>
      <c r="Q147" s="34">
        <f t="shared" si="40"/>
        <v>0</v>
      </c>
      <c r="R147" s="7">
        <f t="shared" si="41"/>
        <v>0</v>
      </c>
      <c r="S147" s="227">
        <f t="shared" si="42"/>
        <v>0</v>
      </c>
      <c r="T147" s="249">
        <f t="shared" si="43"/>
        <v>0</v>
      </c>
    </row>
    <row r="148" spans="2:20" ht="15" customHeight="1" x14ac:dyDescent="0.4">
      <c r="B148" s="38" t="s">
        <v>8</v>
      </c>
      <c r="C148" s="6" t="s">
        <v>160</v>
      </c>
      <c r="D148" s="6">
        <f t="shared" si="32"/>
        <v>1</v>
      </c>
      <c r="E148" s="34">
        <v>1</v>
      </c>
      <c r="F148" s="212">
        <v>3285</v>
      </c>
      <c r="G148" s="195">
        <v>45856</v>
      </c>
      <c r="H148" s="8"/>
      <c r="I148" s="212"/>
      <c r="J148" s="8"/>
      <c r="K148" s="23">
        <f t="shared" si="44"/>
        <v>0</v>
      </c>
      <c r="L148" s="23">
        <f t="shared" si="38"/>
        <v>0</v>
      </c>
      <c r="M148" s="206">
        <f t="shared" si="37"/>
        <v>0</v>
      </c>
      <c r="N148" s="34"/>
      <c r="O148" s="209">
        <f t="shared" si="30"/>
        <v>-45855</v>
      </c>
      <c r="P148" s="34">
        <f t="shared" si="39"/>
        <v>3285</v>
      </c>
      <c r="Q148" s="34">
        <f t="shared" si="40"/>
        <v>0</v>
      </c>
      <c r="R148" s="7">
        <f t="shared" si="41"/>
        <v>0</v>
      </c>
      <c r="S148" s="227">
        <f t="shared" si="42"/>
        <v>0</v>
      </c>
      <c r="T148" s="249">
        <f t="shared" si="43"/>
        <v>0</v>
      </c>
    </row>
    <row r="149" spans="2:20" ht="15" customHeight="1" x14ac:dyDescent="0.4">
      <c r="B149" s="38" t="s">
        <v>8</v>
      </c>
      <c r="C149" s="6" t="s">
        <v>160</v>
      </c>
      <c r="D149" s="6">
        <f t="shared" si="32"/>
        <v>1</v>
      </c>
      <c r="E149" s="34">
        <v>1</v>
      </c>
      <c r="F149" s="212">
        <v>3245</v>
      </c>
      <c r="G149" s="195">
        <v>45863</v>
      </c>
      <c r="H149" s="8"/>
      <c r="I149" s="212"/>
      <c r="J149" s="8"/>
      <c r="K149" s="23">
        <f t="shared" si="44"/>
        <v>0</v>
      </c>
      <c r="L149" s="23">
        <f t="shared" si="38"/>
        <v>0</v>
      </c>
      <c r="M149" s="206">
        <f t="shared" si="37"/>
        <v>0</v>
      </c>
      <c r="N149" s="34"/>
      <c r="O149" s="209">
        <f t="shared" si="30"/>
        <v>-45862</v>
      </c>
      <c r="P149" s="34">
        <f t="shared" si="39"/>
        <v>3245</v>
      </c>
      <c r="Q149" s="34">
        <f t="shared" si="40"/>
        <v>0</v>
      </c>
      <c r="R149" s="7">
        <f t="shared" si="41"/>
        <v>0</v>
      </c>
      <c r="S149" s="227">
        <f t="shared" si="42"/>
        <v>0</v>
      </c>
      <c r="T149" s="249">
        <f t="shared" si="43"/>
        <v>0</v>
      </c>
    </row>
    <row r="150" spans="2:20" ht="15" customHeight="1" x14ac:dyDescent="0.4">
      <c r="B150" s="38" t="s">
        <v>8</v>
      </c>
      <c r="C150" s="6" t="s">
        <v>160</v>
      </c>
      <c r="D150" s="6">
        <f t="shared" si="32"/>
        <v>1</v>
      </c>
      <c r="E150" s="34">
        <v>1</v>
      </c>
      <c r="F150" s="212">
        <v>3260</v>
      </c>
      <c r="G150" s="195">
        <v>45870</v>
      </c>
      <c r="H150" s="8"/>
      <c r="I150" s="212"/>
      <c r="J150" s="8"/>
      <c r="K150" s="23">
        <f t="shared" si="44"/>
        <v>0</v>
      </c>
      <c r="L150" s="23">
        <f t="shared" si="38"/>
        <v>0</v>
      </c>
      <c r="M150" s="206">
        <f t="shared" si="37"/>
        <v>0</v>
      </c>
      <c r="N150" s="34"/>
      <c r="O150" s="209">
        <f t="shared" si="30"/>
        <v>-45869</v>
      </c>
      <c r="P150" s="34">
        <f t="shared" si="39"/>
        <v>3260</v>
      </c>
      <c r="Q150" s="34">
        <f t="shared" si="40"/>
        <v>0</v>
      </c>
      <c r="R150" s="7">
        <f t="shared" si="41"/>
        <v>0</v>
      </c>
      <c r="S150" s="227">
        <f t="shared" si="42"/>
        <v>0</v>
      </c>
      <c r="T150" s="249">
        <f t="shared" si="43"/>
        <v>0</v>
      </c>
    </row>
    <row r="151" spans="2:20" ht="15" customHeight="1" x14ac:dyDescent="0.4">
      <c r="B151" s="38" t="s">
        <v>8</v>
      </c>
      <c r="C151" s="6" t="s">
        <v>160</v>
      </c>
      <c r="D151" s="6">
        <f t="shared" si="32"/>
        <v>1</v>
      </c>
      <c r="E151" s="34">
        <v>1</v>
      </c>
      <c r="F151" s="212">
        <v>3190</v>
      </c>
      <c r="G151" s="195">
        <v>45877</v>
      </c>
      <c r="H151" s="8"/>
      <c r="I151" s="212"/>
      <c r="J151" s="8"/>
      <c r="K151" s="23">
        <f t="shared" si="44"/>
        <v>0</v>
      </c>
      <c r="L151" s="23">
        <f t="shared" si="38"/>
        <v>0</v>
      </c>
      <c r="M151" s="206">
        <f t="shared" si="37"/>
        <v>0</v>
      </c>
      <c r="N151" s="34"/>
      <c r="O151" s="209">
        <f t="shared" si="30"/>
        <v>-45876</v>
      </c>
      <c r="P151" s="34">
        <f t="shared" si="39"/>
        <v>3190</v>
      </c>
      <c r="Q151" s="34">
        <f t="shared" si="40"/>
        <v>0</v>
      </c>
      <c r="R151" s="7">
        <f t="shared" si="41"/>
        <v>0</v>
      </c>
      <c r="S151" s="227">
        <f t="shared" si="42"/>
        <v>0</v>
      </c>
      <c r="T151" s="249">
        <f t="shared" si="43"/>
        <v>0</v>
      </c>
    </row>
    <row r="152" spans="2:20" ht="15" customHeight="1" x14ac:dyDescent="0.4">
      <c r="B152" s="38" t="s">
        <v>8</v>
      </c>
      <c r="C152" s="6" t="s">
        <v>160</v>
      </c>
      <c r="D152" s="6">
        <f t="shared" si="32"/>
        <v>1</v>
      </c>
      <c r="E152" s="34">
        <v>1</v>
      </c>
      <c r="F152" s="212">
        <v>3195</v>
      </c>
      <c r="G152" s="195">
        <v>45887</v>
      </c>
      <c r="H152" s="8"/>
      <c r="I152" s="212"/>
      <c r="J152" s="8"/>
      <c r="K152" s="23">
        <f t="shared" si="44"/>
        <v>0</v>
      </c>
      <c r="L152" s="23">
        <f t="shared" si="38"/>
        <v>0</v>
      </c>
      <c r="M152" s="206">
        <f t="shared" si="37"/>
        <v>0</v>
      </c>
      <c r="N152" s="34"/>
      <c r="O152" s="209">
        <f t="shared" si="30"/>
        <v>-45886</v>
      </c>
      <c r="P152" s="34">
        <f t="shared" si="39"/>
        <v>3195</v>
      </c>
      <c r="Q152" s="34">
        <f t="shared" si="40"/>
        <v>0</v>
      </c>
      <c r="R152" s="7">
        <f t="shared" si="41"/>
        <v>0</v>
      </c>
      <c r="S152" s="227">
        <f t="shared" si="42"/>
        <v>0</v>
      </c>
      <c r="T152" s="249">
        <f t="shared" si="43"/>
        <v>0</v>
      </c>
    </row>
    <row r="153" spans="2:20" ht="15" customHeight="1" x14ac:dyDescent="0.4">
      <c r="B153" s="38" t="s">
        <v>8</v>
      </c>
      <c r="C153" s="6" t="s">
        <v>160</v>
      </c>
      <c r="D153" s="6">
        <f t="shared" si="32"/>
        <v>1</v>
      </c>
      <c r="E153" s="34">
        <v>1</v>
      </c>
      <c r="F153" s="212">
        <v>3150</v>
      </c>
      <c r="G153" s="195">
        <v>45891</v>
      </c>
      <c r="H153" s="8"/>
      <c r="I153" s="212"/>
      <c r="J153" s="8"/>
      <c r="K153" s="23">
        <f t="shared" si="44"/>
        <v>0</v>
      </c>
      <c r="L153" s="23">
        <f t="shared" si="38"/>
        <v>0</v>
      </c>
      <c r="M153" s="206">
        <f t="shared" si="37"/>
        <v>0</v>
      </c>
      <c r="N153" s="34"/>
      <c r="O153" s="209">
        <f t="shared" ref="O153:O216" si="45">J153-G153+1</f>
        <v>-45890</v>
      </c>
      <c r="P153" s="34">
        <f t="shared" si="39"/>
        <v>3150</v>
      </c>
      <c r="Q153" s="34">
        <f t="shared" si="40"/>
        <v>0</v>
      </c>
      <c r="R153" s="7">
        <f t="shared" si="41"/>
        <v>0</v>
      </c>
      <c r="S153" s="227">
        <f t="shared" si="42"/>
        <v>0</v>
      </c>
      <c r="T153" s="249">
        <f t="shared" si="43"/>
        <v>0</v>
      </c>
    </row>
    <row r="154" spans="2:20" ht="15" customHeight="1" x14ac:dyDescent="0.4">
      <c r="B154" s="38" t="s">
        <v>8</v>
      </c>
      <c r="C154" s="6" t="s">
        <v>160</v>
      </c>
      <c r="D154" s="6">
        <f t="shared" si="32"/>
        <v>1</v>
      </c>
      <c r="E154" s="34">
        <v>1</v>
      </c>
      <c r="F154" s="212">
        <v>2985</v>
      </c>
      <c r="G154" s="195">
        <v>45898</v>
      </c>
      <c r="H154" s="8"/>
      <c r="I154" s="212"/>
      <c r="J154" s="8"/>
      <c r="K154" s="23">
        <f t="shared" si="44"/>
        <v>0</v>
      </c>
      <c r="L154" s="23">
        <f t="shared" si="38"/>
        <v>0</v>
      </c>
      <c r="M154" s="206">
        <f t="shared" si="37"/>
        <v>0</v>
      </c>
      <c r="N154" s="34"/>
      <c r="O154" s="209">
        <f t="shared" si="45"/>
        <v>-45897</v>
      </c>
      <c r="P154" s="34">
        <f t="shared" si="39"/>
        <v>2985</v>
      </c>
      <c r="Q154" s="34">
        <f t="shared" si="40"/>
        <v>0</v>
      </c>
      <c r="R154" s="7">
        <f t="shared" si="41"/>
        <v>0</v>
      </c>
      <c r="S154" s="227">
        <f t="shared" si="42"/>
        <v>0</v>
      </c>
      <c r="T154" s="249">
        <f t="shared" si="43"/>
        <v>0</v>
      </c>
    </row>
    <row r="155" spans="2:20" ht="15" customHeight="1" x14ac:dyDescent="0.4">
      <c r="B155" s="38" t="s">
        <v>8</v>
      </c>
      <c r="C155" s="6" t="s">
        <v>160</v>
      </c>
      <c r="D155" s="6">
        <f t="shared" si="32"/>
        <v>1</v>
      </c>
      <c r="E155" s="34">
        <v>1</v>
      </c>
      <c r="F155" s="212">
        <v>2845</v>
      </c>
      <c r="G155" s="195">
        <v>45905</v>
      </c>
      <c r="H155" s="8"/>
      <c r="I155" s="212"/>
      <c r="J155" s="8"/>
      <c r="K155" s="23">
        <f t="shared" si="44"/>
        <v>0</v>
      </c>
      <c r="L155" s="23">
        <f t="shared" si="38"/>
        <v>0</v>
      </c>
      <c r="M155" s="206">
        <f t="shared" si="37"/>
        <v>0</v>
      </c>
      <c r="N155" s="34"/>
      <c r="O155" s="209">
        <f t="shared" si="45"/>
        <v>-45904</v>
      </c>
      <c r="P155" s="34">
        <f t="shared" si="39"/>
        <v>2845</v>
      </c>
      <c r="Q155" s="34">
        <f t="shared" si="40"/>
        <v>0</v>
      </c>
      <c r="R155" s="7">
        <f t="shared" si="41"/>
        <v>0</v>
      </c>
      <c r="S155" s="227">
        <f t="shared" si="42"/>
        <v>0</v>
      </c>
      <c r="T155" s="249">
        <f t="shared" si="43"/>
        <v>0</v>
      </c>
    </row>
    <row r="156" spans="2:20" ht="15" customHeight="1" x14ac:dyDescent="0.4">
      <c r="B156" s="38" t="s">
        <v>8</v>
      </c>
      <c r="C156" s="6" t="s">
        <v>160</v>
      </c>
      <c r="D156" s="6">
        <f t="shared" si="32"/>
        <v>1</v>
      </c>
      <c r="E156" s="34">
        <v>1</v>
      </c>
      <c r="F156" s="212">
        <v>2830</v>
      </c>
      <c r="G156" s="195">
        <v>45912</v>
      </c>
      <c r="H156" s="8"/>
      <c r="I156" s="212"/>
      <c r="J156" s="8"/>
      <c r="K156" s="23">
        <f t="shared" si="44"/>
        <v>0</v>
      </c>
      <c r="L156" s="23">
        <f t="shared" si="38"/>
        <v>0</v>
      </c>
      <c r="M156" s="206">
        <f t="shared" si="37"/>
        <v>0</v>
      </c>
      <c r="N156" s="34"/>
      <c r="O156" s="209">
        <f t="shared" si="45"/>
        <v>-45911</v>
      </c>
      <c r="P156" s="34">
        <f t="shared" si="39"/>
        <v>2830</v>
      </c>
      <c r="Q156" s="34">
        <f t="shared" si="40"/>
        <v>0</v>
      </c>
      <c r="R156" s="7">
        <f t="shared" si="41"/>
        <v>0</v>
      </c>
      <c r="S156" s="227">
        <f t="shared" si="42"/>
        <v>0</v>
      </c>
      <c r="T156" s="249">
        <f t="shared" si="43"/>
        <v>0</v>
      </c>
    </row>
    <row r="157" spans="2:20" ht="15" customHeight="1" x14ac:dyDescent="0.4">
      <c r="B157" s="38" t="s">
        <v>8</v>
      </c>
      <c r="C157" s="6" t="s">
        <v>160</v>
      </c>
      <c r="D157" s="6">
        <f t="shared" si="32"/>
        <v>1</v>
      </c>
      <c r="E157" s="34">
        <v>1</v>
      </c>
      <c r="F157" s="212">
        <v>3075</v>
      </c>
      <c r="G157" s="195">
        <v>45919</v>
      </c>
      <c r="H157" s="8"/>
      <c r="I157" s="212"/>
      <c r="J157" s="8"/>
      <c r="K157" s="23">
        <f t="shared" si="44"/>
        <v>0</v>
      </c>
      <c r="L157" s="23">
        <f t="shared" si="38"/>
        <v>0</v>
      </c>
      <c r="M157" s="206">
        <f t="shared" si="37"/>
        <v>0</v>
      </c>
      <c r="N157" s="34"/>
      <c r="O157" s="209">
        <f t="shared" si="45"/>
        <v>-45918</v>
      </c>
      <c r="P157" s="34">
        <f t="shared" si="39"/>
        <v>3075</v>
      </c>
      <c r="Q157" s="34">
        <f t="shared" si="40"/>
        <v>0</v>
      </c>
      <c r="R157" s="7">
        <f t="shared" si="41"/>
        <v>0</v>
      </c>
      <c r="S157" s="227">
        <f t="shared" si="42"/>
        <v>0</v>
      </c>
      <c r="T157" s="249">
        <f t="shared" si="43"/>
        <v>0</v>
      </c>
    </row>
    <row r="158" spans="2:20" ht="15" customHeight="1" x14ac:dyDescent="0.4">
      <c r="B158" s="38" t="s">
        <v>8</v>
      </c>
      <c r="C158" s="6" t="s">
        <v>160</v>
      </c>
      <c r="D158" s="6">
        <f t="shared" si="32"/>
        <v>1</v>
      </c>
      <c r="E158" s="34">
        <v>1</v>
      </c>
      <c r="F158" s="212">
        <v>3025</v>
      </c>
      <c r="G158" s="195">
        <v>45926</v>
      </c>
      <c r="H158" s="8"/>
      <c r="I158" s="212"/>
      <c r="J158" s="8"/>
      <c r="K158" s="23">
        <f t="shared" si="44"/>
        <v>0</v>
      </c>
      <c r="L158" s="23">
        <f t="shared" si="38"/>
        <v>0</v>
      </c>
      <c r="M158" s="206">
        <f t="shared" si="37"/>
        <v>0</v>
      </c>
      <c r="N158" s="34"/>
      <c r="O158" s="209">
        <f t="shared" si="45"/>
        <v>-45925</v>
      </c>
      <c r="P158" s="34">
        <f t="shared" si="39"/>
        <v>3025</v>
      </c>
      <c r="Q158" s="34">
        <f t="shared" si="40"/>
        <v>0</v>
      </c>
      <c r="R158" s="7">
        <f t="shared" si="41"/>
        <v>0</v>
      </c>
      <c r="S158" s="227">
        <f t="shared" si="42"/>
        <v>0</v>
      </c>
      <c r="T158" s="249">
        <f t="shared" si="43"/>
        <v>0</v>
      </c>
    </row>
    <row r="159" spans="2:20" ht="15" customHeight="1" x14ac:dyDescent="0.4">
      <c r="B159" s="38" t="s">
        <v>8</v>
      </c>
      <c r="C159" s="6" t="s">
        <v>160</v>
      </c>
      <c r="D159" s="6">
        <f t="shared" si="32"/>
        <v>1</v>
      </c>
      <c r="E159" s="34">
        <v>2</v>
      </c>
      <c r="F159" s="212">
        <v>2970</v>
      </c>
      <c r="G159" s="195">
        <v>45940</v>
      </c>
      <c r="H159" s="8"/>
      <c r="I159" s="212"/>
      <c r="J159" s="8"/>
      <c r="K159" s="23">
        <f t="shared" si="44"/>
        <v>0</v>
      </c>
      <c r="L159" s="23">
        <f t="shared" si="38"/>
        <v>0</v>
      </c>
      <c r="M159" s="206">
        <f t="shared" si="37"/>
        <v>0</v>
      </c>
      <c r="N159" s="34"/>
      <c r="O159" s="209">
        <f t="shared" si="45"/>
        <v>-45939</v>
      </c>
      <c r="P159" s="34">
        <f t="shared" si="39"/>
        <v>5940</v>
      </c>
      <c r="Q159" s="34">
        <f t="shared" si="40"/>
        <v>0</v>
      </c>
      <c r="R159" s="7">
        <f t="shared" si="41"/>
        <v>0</v>
      </c>
      <c r="S159" s="227">
        <f t="shared" si="42"/>
        <v>0</v>
      </c>
      <c r="T159" s="249">
        <f t="shared" si="43"/>
        <v>0</v>
      </c>
    </row>
    <row r="160" spans="2:20" ht="15" customHeight="1" x14ac:dyDescent="0.4">
      <c r="B160" s="38" t="s">
        <v>8</v>
      </c>
      <c r="C160" s="6" t="s">
        <v>160</v>
      </c>
      <c r="D160" s="6">
        <f t="shared" si="32"/>
        <v>1</v>
      </c>
      <c r="E160" s="34">
        <v>1</v>
      </c>
      <c r="F160" s="212">
        <v>2935</v>
      </c>
      <c r="G160" s="195">
        <v>45947</v>
      </c>
      <c r="H160" s="8"/>
      <c r="I160" s="212"/>
      <c r="J160" s="8"/>
      <c r="K160" s="23">
        <f t="shared" si="44"/>
        <v>0</v>
      </c>
      <c r="L160" s="23">
        <f t="shared" si="38"/>
        <v>0</v>
      </c>
      <c r="M160" s="206">
        <f t="shared" si="37"/>
        <v>0</v>
      </c>
      <c r="N160" s="34"/>
      <c r="O160" s="209">
        <f t="shared" si="45"/>
        <v>-45946</v>
      </c>
      <c r="P160" s="34">
        <f t="shared" si="39"/>
        <v>2935</v>
      </c>
      <c r="Q160" s="34">
        <f t="shared" si="40"/>
        <v>0</v>
      </c>
      <c r="R160" s="7">
        <f t="shared" si="41"/>
        <v>0</v>
      </c>
      <c r="S160" s="227">
        <f t="shared" si="42"/>
        <v>0</v>
      </c>
      <c r="T160" s="249">
        <f t="shared" si="43"/>
        <v>0</v>
      </c>
    </row>
    <row r="161" spans="2:28" ht="15" customHeight="1" x14ac:dyDescent="0.4">
      <c r="B161" s="38" t="s">
        <v>8</v>
      </c>
      <c r="C161" s="6" t="s">
        <v>160</v>
      </c>
      <c r="D161" s="6">
        <f t="shared" ref="D161:D224" si="46">IF(OR($C161="신한",$C161="OTC",$C161="무상증자(신한)",$C161="토스",$C161="R토스"),1,"확인")</f>
        <v>1</v>
      </c>
      <c r="E161" s="34">
        <v>1</v>
      </c>
      <c r="F161" s="212">
        <v>2890</v>
      </c>
      <c r="G161" s="195">
        <v>45954</v>
      </c>
      <c r="H161" s="8"/>
      <c r="I161" s="212"/>
      <c r="J161" s="8"/>
      <c r="K161" s="23">
        <f t="shared" si="44"/>
        <v>0</v>
      </c>
      <c r="L161" s="23">
        <f t="shared" si="38"/>
        <v>0</v>
      </c>
      <c r="M161" s="206">
        <f t="shared" ref="M161:M192" si="47">Q161*0.002</f>
        <v>0</v>
      </c>
      <c r="N161" s="34"/>
      <c r="O161" s="209">
        <f t="shared" si="45"/>
        <v>-45953</v>
      </c>
      <c r="P161" s="34">
        <f t="shared" si="39"/>
        <v>2890</v>
      </c>
      <c r="Q161" s="34">
        <f t="shared" si="40"/>
        <v>0</v>
      </c>
      <c r="R161" s="7">
        <f t="shared" si="41"/>
        <v>0</v>
      </c>
      <c r="S161" s="227">
        <f t="shared" si="42"/>
        <v>0</v>
      </c>
      <c r="T161" s="249">
        <f t="shared" si="43"/>
        <v>0</v>
      </c>
    </row>
    <row r="162" spans="2:28" ht="15" customHeight="1" x14ac:dyDescent="0.4">
      <c r="B162" s="38" t="s">
        <v>8</v>
      </c>
      <c r="C162" s="6" t="s">
        <v>160</v>
      </c>
      <c r="D162" s="6">
        <f t="shared" si="46"/>
        <v>1</v>
      </c>
      <c r="E162" s="34">
        <v>1</v>
      </c>
      <c r="F162" s="212">
        <v>2720</v>
      </c>
      <c r="G162" s="195">
        <v>45961</v>
      </c>
      <c r="H162" s="8"/>
      <c r="I162" s="212"/>
      <c r="J162" s="8"/>
      <c r="K162" s="23">
        <f t="shared" si="44"/>
        <v>0</v>
      </c>
      <c r="L162" s="23">
        <f t="shared" si="38"/>
        <v>0</v>
      </c>
      <c r="M162" s="206">
        <f t="shared" si="47"/>
        <v>0</v>
      </c>
      <c r="N162" s="34"/>
      <c r="O162" s="209">
        <f t="shared" si="45"/>
        <v>-45960</v>
      </c>
      <c r="P162" s="34">
        <f t="shared" si="39"/>
        <v>2720</v>
      </c>
      <c r="Q162" s="34">
        <f t="shared" si="40"/>
        <v>0</v>
      </c>
      <c r="R162" s="7">
        <f t="shared" si="41"/>
        <v>0</v>
      </c>
      <c r="S162" s="227">
        <f t="shared" si="42"/>
        <v>0</v>
      </c>
      <c r="T162" s="249">
        <f t="shared" si="43"/>
        <v>0</v>
      </c>
    </row>
    <row r="163" spans="2:28" ht="15" customHeight="1" x14ac:dyDescent="0.4">
      <c r="B163" s="38" t="s">
        <v>8</v>
      </c>
      <c r="C163" s="6" t="s">
        <v>160</v>
      </c>
      <c r="D163" s="6">
        <f t="shared" si="46"/>
        <v>1</v>
      </c>
      <c r="E163" s="34">
        <v>1</v>
      </c>
      <c r="F163" s="212">
        <v>2700</v>
      </c>
      <c r="G163" s="195">
        <v>45968</v>
      </c>
      <c r="H163" s="8"/>
      <c r="I163" s="212"/>
      <c r="J163" s="8"/>
      <c r="K163" s="23">
        <f t="shared" si="44"/>
        <v>0</v>
      </c>
      <c r="L163" s="23">
        <f t="shared" si="38"/>
        <v>0</v>
      </c>
      <c r="M163" s="206">
        <f t="shared" si="47"/>
        <v>0</v>
      </c>
      <c r="N163" s="34"/>
      <c r="O163" s="209">
        <f t="shared" si="45"/>
        <v>-45967</v>
      </c>
      <c r="P163" s="34">
        <f t="shared" si="39"/>
        <v>2700</v>
      </c>
      <c r="Q163" s="34">
        <f t="shared" si="40"/>
        <v>0</v>
      </c>
      <c r="R163" s="7">
        <f t="shared" si="41"/>
        <v>0</v>
      </c>
      <c r="S163" s="227">
        <f t="shared" si="42"/>
        <v>0</v>
      </c>
      <c r="T163" s="249">
        <f t="shared" si="43"/>
        <v>0</v>
      </c>
    </row>
    <row r="164" spans="2:28" ht="15" customHeight="1" x14ac:dyDescent="0.4">
      <c r="B164" s="38" t="s">
        <v>8</v>
      </c>
      <c r="C164" s="6" t="s">
        <v>160</v>
      </c>
      <c r="D164" s="6">
        <f t="shared" si="46"/>
        <v>1</v>
      </c>
      <c r="E164" s="34">
        <v>1</v>
      </c>
      <c r="F164" s="212">
        <v>2810</v>
      </c>
      <c r="G164" s="195">
        <v>45975</v>
      </c>
      <c r="H164" s="8"/>
      <c r="I164" s="212"/>
      <c r="J164" s="8"/>
      <c r="K164" s="23">
        <f t="shared" si="44"/>
        <v>0</v>
      </c>
      <c r="L164" s="23">
        <f t="shared" ref="L164:L195" si="48">IF($C164="OTC",ROUNDDOWN($I164*$E164*0.000909187,-1),(IF($C164="신한",ROUNDDOWN($I164*$E164*0.000036396,-1),(IF($C164="토스",$I164*$E164*0.00015,(IF($C164="US",(IF($I164*$E164*0.0025&gt;0.01,$I164*$E164*0.0025,0.01)),(IF($C164="JP",(IF($I164*$E164*0.0025&gt;1000,$I164*$E164*0.0025,1000)),(IF($C164="R토스",$I164*$E164*0.00015,(IF($C164="무상증자(신한)",ROUNDDOWN($I164*$E164*0.000036396,-1),"")))))))))))))</f>
        <v>0</v>
      </c>
      <c r="M164" s="206">
        <f t="shared" si="47"/>
        <v>0</v>
      </c>
      <c r="N164" s="34"/>
      <c r="O164" s="209">
        <f t="shared" si="45"/>
        <v>-45974</v>
      </c>
      <c r="P164" s="34">
        <f t="shared" si="39"/>
        <v>2810</v>
      </c>
      <c r="Q164" s="34">
        <f t="shared" si="40"/>
        <v>0</v>
      </c>
      <c r="R164" s="7">
        <f t="shared" si="41"/>
        <v>0</v>
      </c>
      <c r="S164" s="227">
        <f t="shared" si="42"/>
        <v>0</v>
      </c>
      <c r="T164" s="249">
        <f t="shared" si="43"/>
        <v>0</v>
      </c>
    </row>
    <row r="165" spans="2:28" ht="15" customHeight="1" x14ac:dyDescent="0.4">
      <c r="B165" s="38" t="s">
        <v>8</v>
      </c>
      <c r="C165" s="6" t="s">
        <v>160</v>
      </c>
      <c r="D165" s="6">
        <f t="shared" si="46"/>
        <v>1</v>
      </c>
      <c r="E165" s="34">
        <v>1</v>
      </c>
      <c r="F165" s="212">
        <v>2690</v>
      </c>
      <c r="G165" s="195">
        <v>45982</v>
      </c>
      <c r="H165" s="8"/>
      <c r="I165" s="212"/>
      <c r="J165" s="8"/>
      <c r="K165" s="23">
        <f t="shared" si="44"/>
        <v>0</v>
      </c>
      <c r="L165" s="23">
        <f t="shared" si="48"/>
        <v>0</v>
      </c>
      <c r="M165" s="206">
        <f t="shared" si="47"/>
        <v>0</v>
      </c>
      <c r="N165" s="34"/>
      <c r="O165" s="209">
        <f t="shared" si="45"/>
        <v>-45981</v>
      </c>
      <c r="P165" s="34">
        <f t="shared" si="39"/>
        <v>2690</v>
      </c>
      <c r="Q165" s="34">
        <f t="shared" si="40"/>
        <v>0</v>
      </c>
      <c r="R165" s="7">
        <f t="shared" si="41"/>
        <v>0</v>
      </c>
      <c r="S165" s="227">
        <f t="shared" si="42"/>
        <v>0</v>
      </c>
      <c r="T165" s="249">
        <f t="shared" si="43"/>
        <v>0</v>
      </c>
    </row>
    <row r="166" spans="2:28" ht="15" customHeight="1" x14ac:dyDescent="0.4">
      <c r="B166" s="38" t="s">
        <v>8</v>
      </c>
      <c r="C166" s="6" t="s">
        <v>160</v>
      </c>
      <c r="D166" s="6">
        <f t="shared" si="46"/>
        <v>1</v>
      </c>
      <c r="E166" s="34">
        <v>1</v>
      </c>
      <c r="F166" s="212">
        <v>3025</v>
      </c>
      <c r="G166" s="195">
        <v>45989</v>
      </c>
      <c r="H166" s="8"/>
      <c r="I166" s="212"/>
      <c r="J166" s="8"/>
      <c r="K166" s="23">
        <f t="shared" ref="K166:K197" si="49">IF($C166="OTC",ROUNDDOWN($E166*$F166*0.000909187,-1),(IF($C166="신한",ROUNDDOWN($E166*$F166*0.000036396,-1),(IF($C166="토스",$E166*$F166*0.00015,(IF($C166="US",(IF($E166*$F166*0.0025&gt;0.01,$E166*$F166*0.0025,0.01)),IF($C166="JP",(IF($E166*$F166*0.0025&gt;1000,$E166*$F166*0.0025,1000)),(IF($C166="R토스",0,IF($C166="무상증자(신한)",0,"")))))))))))</f>
        <v>0</v>
      </c>
      <c r="L166" s="23">
        <f t="shared" si="48"/>
        <v>0</v>
      </c>
      <c r="M166" s="206">
        <f t="shared" si="47"/>
        <v>0</v>
      </c>
      <c r="N166" s="34"/>
      <c r="O166" s="209">
        <f t="shared" si="45"/>
        <v>-45988</v>
      </c>
      <c r="P166" s="34">
        <f t="shared" si="39"/>
        <v>3025</v>
      </c>
      <c r="Q166" s="34">
        <f t="shared" si="40"/>
        <v>0</v>
      </c>
      <c r="R166" s="7">
        <f t="shared" si="41"/>
        <v>0</v>
      </c>
      <c r="S166" s="227">
        <f t="shared" si="42"/>
        <v>0</v>
      </c>
      <c r="T166" s="249">
        <f t="shared" si="43"/>
        <v>0</v>
      </c>
    </row>
    <row r="167" spans="2:28" ht="15" customHeight="1" x14ac:dyDescent="0.4">
      <c r="B167" s="38" t="s">
        <v>8</v>
      </c>
      <c r="C167" s="6" t="s">
        <v>160</v>
      </c>
      <c r="D167" s="6">
        <f t="shared" si="46"/>
        <v>1</v>
      </c>
      <c r="E167" s="34">
        <v>1</v>
      </c>
      <c r="F167" s="212">
        <v>3295</v>
      </c>
      <c r="G167" s="195">
        <v>45996</v>
      </c>
      <c r="H167" s="8"/>
      <c r="I167" s="212"/>
      <c r="J167" s="8"/>
      <c r="K167" s="23">
        <f t="shared" si="49"/>
        <v>0</v>
      </c>
      <c r="L167" s="23">
        <f t="shared" si="48"/>
        <v>0</v>
      </c>
      <c r="M167" s="206">
        <f t="shared" si="47"/>
        <v>0</v>
      </c>
      <c r="N167" s="34"/>
      <c r="O167" s="209">
        <f t="shared" si="45"/>
        <v>-45995</v>
      </c>
      <c r="P167" s="34">
        <f t="shared" si="39"/>
        <v>3295</v>
      </c>
      <c r="Q167" s="34">
        <f t="shared" si="40"/>
        <v>0</v>
      </c>
      <c r="R167" s="7">
        <f t="shared" si="41"/>
        <v>0</v>
      </c>
      <c r="S167" s="227">
        <f t="shared" si="42"/>
        <v>0</v>
      </c>
      <c r="T167" s="249">
        <f t="shared" si="43"/>
        <v>0</v>
      </c>
    </row>
    <row r="168" spans="2:28" ht="15" customHeight="1" x14ac:dyDescent="0.4">
      <c r="B168" s="38" t="s">
        <v>8</v>
      </c>
      <c r="C168" s="6" t="s">
        <v>160</v>
      </c>
      <c r="D168" s="6">
        <f t="shared" si="46"/>
        <v>1</v>
      </c>
      <c r="E168" s="34">
        <v>1</v>
      </c>
      <c r="F168" s="212">
        <v>3260</v>
      </c>
      <c r="G168" s="195">
        <v>46003</v>
      </c>
      <c r="H168" s="8"/>
      <c r="I168" s="212"/>
      <c r="J168" s="8"/>
      <c r="K168" s="23">
        <f t="shared" si="49"/>
        <v>0</v>
      </c>
      <c r="L168" s="23">
        <f t="shared" si="48"/>
        <v>0</v>
      </c>
      <c r="M168" s="206">
        <f t="shared" si="47"/>
        <v>0</v>
      </c>
      <c r="N168" s="34"/>
      <c r="O168" s="209">
        <f t="shared" si="45"/>
        <v>-46002</v>
      </c>
      <c r="P168" s="34">
        <f t="shared" si="39"/>
        <v>3260</v>
      </c>
      <c r="Q168" s="34">
        <f t="shared" si="40"/>
        <v>0</v>
      </c>
      <c r="R168" s="7">
        <f t="shared" si="41"/>
        <v>0</v>
      </c>
      <c r="S168" s="227">
        <f t="shared" si="42"/>
        <v>0</v>
      </c>
      <c r="T168" s="249">
        <f t="shared" si="43"/>
        <v>0</v>
      </c>
    </row>
    <row r="169" spans="2:28" ht="15" customHeight="1" x14ac:dyDescent="0.4">
      <c r="B169" s="38" t="s">
        <v>8</v>
      </c>
      <c r="C169" s="6" t="s">
        <v>160</v>
      </c>
      <c r="D169" s="6">
        <f t="shared" si="46"/>
        <v>1</v>
      </c>
      <c r="E169" s="34">
        <v>1</v>
      </c>
      <c r="F169" s="212">
        <v>3330</v>
      </c>
      <c r="G169" s="195">
        <v>46010</v>
      </c>
      <c r="H169" s="8"/>
      <c r="I169" s="212"/>
      <c r="J169" s="8"/>
      <c r="K169" s="23">
        <f t="shared" si="49"/>
        <v>0</v>
      </c>
      <c r="L169" s="23">
        <f t="shared" si="48"/>
        <v>0</v>
      </c>
      <c r="M169" s="206">
        <f t="shared" si="47"/>
        <v>0</v>
      </c>
      <c r="N169" s="34"/>
      <c r="O169" s="209">
        <f t="shared" si="45"/>
        <v>-46009</v>
      </c>
      <c r="P169" s="34">
        <f t="shared" si="39"/>
        <v>3330</v>
      </c>
      <c r="Q169" s="34">
        <f t="shared" si="40"/>
        <v>0</v>
      </c>
      <c r="R169" s="7">
        <f t="shared" si="41"/>
        <v>0</v>
      </c>
      <c r="S169" s="227">
        <f t="shared" si="42"/>
        <v>0</v>
      </c>
      <c r="T169" s="249">
        <f t="shared" si="43"/>
        <v>0</v>
      </c>
    </row>
    <row r="170" spans="2:28" ht="15" customHeight="1" x14ac:dyDescent="0.4">
      <c r="B170" s="38" t="s">
        <v>8</v>
      </c>
      <c r="C170" s="6" t="s">
        <v>160</v>
      </c>
      <c r="D170" s="6">
        <f t="shared" si="46"/>
        <v>1</v>
      </c>
      <c r="E170" s="34">
        <v>1</v>
      </c>
      <c r="F170" s="212">
        <v>3520</v>
      </c>
      <c r="G170" s="195">
        <v>46017</v>
      </c>
      <c r="H170" s="8"/>
      <c r="I170" s="212"/>
      <c r="J170" s="8"/>
      <c r="K170" s="23">
        <f t="shared" si="49"/>
        <v>0</v>
      </c>
      <c r="L170" s="23">
        <f t="shared" si="48"/>
        <v>0</v>
      </c>
      <c r="M170" s="206">
        <f t="shared" si="47"/>
        <v>0</v>
      </c>
      <c r="N170" s="34"/>
      <c r="O170" s="209">
        <f t="shared" si="45"/>
        <v>-46016</v>
      </c>
      <c r="P170" s="34">
        <f t="shared" si="39"/>
        <v>3520</v>
      </c>
      <c r="Q170" s="34">
        <f t="shared" si="40"/>
        <v>0</v>
      </c>
      <c r="R170" s="7">
        <f t="shared" si="41"/>
        <v>0</v>
      </c>
      <c r="S170" s="227">
        <f t="shared" si="42"/>
        <v>0</v>
      </c>
      <c r="T170" s="249">
        <f t="shared" si="43"/>
        <v>0</v>
      </c>
    </row>
    <row r="171" spans="2:28" ht="15" customHeight="1" x14ac:dyDescent="0.4">
      <c r="B171" s="38" t="s">
        <v>8</v>
      </c>
      <c r="C171" s="6" t="s">
        <v>160</v>
      </c>
      <c r="D171" s="6">
        <f t="shared" si="46"/>
        <v>1</v>
      </c>
      <c r="E171" s="34">
        <v>1</v>
      </c>
      <c r="F171" s="212">
        <v>3400</v>
      </c>
      <c r="G171" s="195">
        <v>46024</v>
      </c>
      <c r="H171" s="8"/>
      <c r="I171" s="212"/>
      <c r="J171" s="8"/>
      <c r="K171" s="23">
        <f t="shared" si="49"/>
        <v>0</v>
      </c>
      <c r="L171" s="23">
        <f t="shared" si="48"/>
        <v>0</v>
      </c>
      <c r="M171" s="206">
        <f t="shared" si="47"/>
        <v>0</v>
      </c>
      <c r="N171" s="34"/>
      <c r="O171" s="209">
        <f t="shared" si="45"/>
        <v>-46023</v>
      </c>
      <c r="P171" s="34">
        <f t="shared" si="39"/>
        <v>3400</v>
      </c>
      <c r="Q171" s="34">
        <f t="shared" si="40"/>
        <v>0</v>
      </c>
      <c r="R171" s="7">
        <f t="shared" si="41"/>
        <v>0</v>
      </c>
      <c r="S171" s="227">
        <f t="shared" si="42"/>
        <v>0</v>
      </c>
      <c r="T171" s="249">
        <f t="shared" si="43"/>
        <v>0</v>
      </c>
    </row>
    <row r="172" spans="2:28" ht="15" customHeight="1" x14ac:dyDescent="0.4">
      <c r="B172" s="38" t="s">
        <v>62</v>
      </c>
      <c r="C172" s="6" t="s">
        <v>160</v>
      </c>
      <c r="D172" s="6">
        <f t="shared" si="46"/>
        <v>1</v>
      </c>
      <c r="E172" s="34">
        <v>5</v>
      </c>
      <c r="F172" s="212">
        <v>250000</v>
      </c>
      <c r="G172" s="195">
        <v>45098</v>
      </c>
      <c r="H172" s="8"/>
      <c r="I172" s="212"/>
      <c r="J172" s="8"/>
      <c r="K172" s="23">
        <f t="shared" si="49"/>
        <v>40</v>
      </c>
      <c r="L172" s="23">
        <f t="shared" si="48"/>
        <v>0</v>
      </c>
      <c r="M172" s="206">
        <f t="shared" si="47"/>
        <v>0</v>
      </c>
      <c r="N172" s="34">
        <f>1100*E172+1100*E172+1200*E172*(1-0.154)</f>
        <v>16076</v>
      </c>
      <c r="O172" s="209">
        <f t="shared" si="45"/>
        <v>-45097</v>
      </c>
      <c r="P172" s="34">
        <f t="shared" si="39"/>
        <v>1250000</v>
      </c>
      <c r="Q172" s="34">
        <f t="shared" si="40"/>
        <v>0</v>
      </c>
      <c r="R172" s="7">
        <f t="shared" si="41"/>
        <v>16036</v>
      </c>
      <c r="S172" s="227">
        <f t="shared" si="42"/>
        <v>0</v>
      </c>
      <c r="T172" s="249">
        <f t="shared" si="43"/>
        <v>0</v>
      </c>
      <c r="U172" s="38"/>
      <c r="W172" s="6"/>
      <c r="X172" s="6"/>
      <c r="Y172" s="6"/>
      <c r="Z172" s="6"/>
      <c r="AA172" s="6"/>
      <c r="AB172" s="6"/>
    </row>
    <row r="173" spans="2:28" ht="15" customHeight="1" x14ac:dyDescent="0.4">
      <c r="B173" s="38" t="s">
        <v>62</v>
      </c>
      <c r="C173" s="6" t="s">
        <v>160</v>
      </c>
      <c r="D173" s="6">
        <f t="shared" si="46"/>
        <v>1</v>
      </c>
      <c r="E173" s="34">
        <v>1</v>
      </c>
      <c r="F173" s="212">
        <v>180000</v>
      </c>
      <c r="G173" s="195">
        <v>45789</v>
      </c>
      <c r="H173" s="8"/>
      <c r="I173" s="212"/>
      <c r="J173" s="8"/>
      <c r="K173" s="23">
        <f t="shared" si="49"/>
        <v>0</v>
      </c>
      <c r="L173" s="23">
        <f t="shared" si="48"/>
        <v>0</v>
      </c>
      <c r="M173" s="206">
        <f t="shared" si="47"/>
        <v>0</v>
      </c>
      <c r="N173" s="34">
        <f t="shared" ref="N173:N178" si="50">1200*E173*(1-0.154)</f>
        <v>1015.1999999999999</v>
      </c>
      <c r="O173" s="209">
        <f t="shared" si="45"/>
        <v>-45788</v>
      </c>
      <c r="P173" s="34">
        <f t="shared" si="39"/>
        <v>180000</v>
      </c>
      <c r="Q173" s="34">
        <f t="shared" si="40"/>
        <v>0</v>
      </c>
      <c r="R173" s="7">
        <f t="shared" si="41"/>
        <v>1015.1999999999999</v>
      </c>
      <c r="S173" s="227">
        <f t="shared" si="42"/>
        <v>0</v>
      </c>
      <c r="T173" s="249">
        <f t="shared" si="43"/>
        <v>0</v>
      </c>
      <c r="U173" s="38"/>
      <c r="W173" s="6"/>
      <c r="X173" s="6"/>
      <c r="Y173" s="6"/>
      <c r="Z173" s="6"/>
      <c r="AA173" s="6"/>
      <c r="AB173" s="6"/>
    </row>
    <row r="174" spans="2:28" ht="15" customHeight="1" x14ac:dyDescent="0.4">
      <c r="B174" s="38" t="s">
        <v>62</v>
      </c>
      <c r="C174" s="6" t="s">
        <v>160</v>
      </c>
      <c r="D174" s="6">
        <f t="shared" si="46"/>
        <v>1</v>
      </c>
      <c r="E174" s="34">
        <v>1</v>
      </c>
      <c r="F174" s="212">
        <v>164600</v>
      </c>
      <c r="G174" s="195">
        <v>45818</v>
      </c>
      <c r="H174" s="8"/>
      <c r="I174" s="212"/>
      <c r="J174" s="8"/>
      <c r="K174" s="23">
        <f t="shared" si="49"/>
        <v>0</v>
      </c>
      <c r="L174" s="23">
        <f t="shared" si="48"/>
        <v>0</v>
      </c>
      <c r="M174" s="206">
        <f t="shared" si="47"/>
        <v>0</v>
      </c>
      <c r="N174" s="34">
        <f t="shared" si="50"/>
        <v>1015.1999999999999</v>
      </c>
      <c r="O174" s="209">
        <f t="shared" si="45"/>
        <v>-45817</v>
      </c>
      <c r="P174" s="34">
        <f t="shared" si="39"/>
        <v>164600</v>
      </c>
      <c r="Q174" s="34">
        <f t="shared" si="40"/>
        <v>0</v>
      </c>
      <c r="R174" s="7">
        <f t="shared" si="41"/>
        <v>1015.1999999999999</v>
      </c>
      <c r="S174" s="227">
        <f t="shared" si="42"/>
        <v>0</v>
      </c>
      <c r="T174" s="249">
        <f t="shared" si="43"/>
        <v>0</v>
      </c>
      <c r="U174" s="38"/>
      <c r="W174" s="6"/>
      <c r="X174" s="6"/>
      <c r="Y174" s="6"/>
      <c r="Z174" s="6"/>
      <c r="AA174" s="6"/>
      <c r="AB174" s="6"/>
    </row>
    <row r="175" spans="2:28" ht="15" customHeight="1" x14ac:dyDescent="0.4">
      <c r="B175" s="38" t="s">
        <v>62</v>
      </c>
      <c r="C175" s="6" t="s">
        <v>160</v>
      </c>
      <c r="D175" s="6">
        <f t="shared" si="46"/>
        <v>1</v>
      </c>
      <c r="E175" s="34">
        <v>1</v>
      </c>
      <c r="F175" s="212">
        <v>170800</v>
      </c>
      <c r="G175" s="195">
        <v>45848</v>
      </c>
      <c r="H175" s="8"/>
      <c r="I175" s="212"/>
      <c r="J175" s="8"/>
      <c r="K175" s="23">
        <f t="shared" si="49"/>
        <v>0</v>
      </c>
      <c r="L175" s="23">
        <f t="shared" si="48"/>
        <v>0</v>
      </c>
      <c r="M175" s="206">
        <f t="shared" si="47"/>
        <v>0</v>
      </c>
      <c r="N175" s="34">
        <f t="shared" si="50"/>
        <v>1015.1999999999999</v>
      </c>
      <c r="O175" s="209">
        <f t="shared" si="45"/>
        <v>-45847</v>
      </c>
      <c r="P175" s="34">
        <f t="shared" si="39"/>
        <v>170800</v>
      </c>
      <c r="Q175" s="34">
        <f t="shared" si="40"/>
        <v>0</v>
      </c>
      <c r="R175" s="7">
        <f t="shared" si="41"/>
        <v>1015.1999999999999</v>
      </c>
      <c r="S175" s="227">
        <f t="shared" si="42"/>
        <v>0</v>
      </c>
      <c r="T175" s="249">
        <f t="shared" si="43"/>
        <v>0</v>
      </c>
      <c r="U175" s="38"/>
      <c r="W175" s="6"/>
      <c r="X175" s="6"/>
      <c r="Y175" s="6"/>
      <c r="Z175" s="6"/>
      <c r="AA175" s="6"/>
      <c r="AB175" s="6"/>
    </row>
    <row r="176" spans="2:28" ht="15" customHeight="1" x14ac:dyDescent="0.4">
      <c r="B176" s="38" t="s">
        <v>62</v>
      </c>
      <c r="C176" s="6" t="s">
        <v>160</v>
      </c>
      <c r="D176" s="6">
        <f t="shared" si="46"/>
        <v>1</v>
      </c>
      <c r="E176" s="34">
        <v>1</v>
      </c>
      <c r="F176" s="212">
        <v>167800</v>
      </c>
      <c r="G176" s="195">
        <v>45848</v>
      </c>
      <c r="H176" s="8"/>
      <c r="I176" s="212"/>
      <c r="J176" s="8"/>
      <c r="K176" s="23">
        <f t="shared" si="49"/>
        <v>0</v>
      </c>
      <c r="L176" s="23">
        <f t="shared" si="48"/>
        <v>0</v>
      </c>
      <c r="M176" s="206">
        <f t="shared" si="47"/>
        <v>0</v>
      </c>
      <c r="N176" s="34">
        <f t="shared" si="50"/>
        <v>1015.1999999999999</v>
      </c>
      <c r="O176" s="209">
        <f t="shared" si="45"/>
        <v>-45847</v>
      </c>
      <c r="P176" s="34">
        <f t="shared" si="39"/>
        <v>167800</v>
      </c>
      <c r="Q176" s="34">
        <f t="shared" si="40"/>
        <v>0</v>
      </c>
      <c r="R176" s="7">
        <f t="shared" si="41"/>
        <v>1015.1999999999999</v>
      </c>
      <c r="S176" s="227">
        <f t="shared" si="42"/>
        <v>0</v>
      </c>
      <c r="T176" s="249">
        <f t="shared" si="43"/>
        <v>0</v>
      </c>
      <c r="U176" s="38"/>
      <c r="W176" s="6"/>
      <c r="X176" s="6"/>
      <c r="Y176" s="6"/>
      <c r="Z176" s="6"/>
      <c r="AA176" s="6"/>
      <c r="AB176" s="6"/>
    </row>
    <row r="177" spans="2:28" ht="15" customHeight="1" x14ac:dyDescent="0.4">
      <c r="B177" s="38" t="s">
        <v>62</v>
      </c>
      <c r="C177" s="6" t="s">
        <v>160</v>
      </c>
      <c r="D177" s="6">
        <f t="shared" si="46"/>
        <v>1</v>
      </c>
      <c r="E177" s="34">
        <v>1</v>
      </c>
      <c r="F177" s="212">
        <v>144000</v>
      </c>
      <c r="G177" s="195">
        <v>45880</v>
      </c>
      <c r="H177" s="8"/>
      <c r="I177" s="212"/>
      <c r="J177" s="8"/>
      <c r="K177" s="23">
        <f t="shared" si="49"/>
        <v>0</v>
      </c>
      <c r="L177" s="23">
        <f t="shared" si="48"/>
        <v>0</v>
      </c>
      <c r="M177" s="206">
        <f t="shared" si="47"/>
        <v>0</v>
      </c>
      <c r="N177" s="34">
        <f t="shared" si="50"/>
        <v>1015.1999999999999</v>
      </c>
      <c r="O177" s="209">
        <f t="shared" si="45"/>
        <v>-45879</v>
      </c>
      <c r="P177" s="34">
        <f t="shared" si="39"/>
        <v>144000</v>
      </c>
      <c r="Q177" s="34">
        <f t="shared" si="40"/>
        <v>0</v>
      </c>
      <c r="R177" s="7">
        <f t="shared" si="41"/>
        <v>1015.1999999999999</v>
      </c>
      <c r="S177" s="227">
        <f t="shared" si="42"/>
        <v>0</v>
      </c>
      <c r="T177" s="249">
        <f t="shared" si="43"/>
        <v>0</v>
      </c>
      <c r="U177" s="38"/>
      <c r="W177" s="6"/>
      <c r="X177" s="6"/>
      <c r="Y177" s="6"/>
      <c r="Z177" s="6"/>
      <c r="AA177" s="6"/>
      <c r="AB177" s="6"/>
    </row>
    <row r="178" spans="2:28" ht="15" customHeight="1" x14ac:dyDescent="0.4">
      <c r="B178" s="38" t="s">
        <v>62</v>
      </c>
      <c r="C178" s="6" t="s">
        <v>160</v>
      </c>
      <c r="D178" s="6">
        <f t="shared" si="46"/>
        <v>1</v>
      </c>
      <c r="E178" s="34">
        <v>1</v>
      </c>
      <c r="F178" s="212">
        <v>121500</v>
      </c>
      <c r="G178" s="195">
        <v>45910</v>
      </c>
      <c r="H178" s="8"/>
      <c r="I178" s="212"/>
      <c r="J178" s="8"/>
      <c r="K178" s="23">
        <f t="shared" si="49"/>
        <v>0</v>
      </c>
      <c r="L178" s="23">
        <f t="shared" si="48"/>
        <v>0</v>
      </c>
      <c r="M178" s="206">
        <f t="shared" si="47"/>
        <v>0</v>
      </c>
      <c r="N178" s="34">
        <f t="shared" si="50"/>
        <v>1015.1999999999999</v>
      </c>
      <c r="O178" s="209">
        <f t="shared" si="45"/>
        <v>-45909</v>
      </c>
      <c r="P178" s="34">
        <f t="shared" si="39"/>
        <v>121500</v>
      </c>
      <c r="Q178" s="34">
        <f t="shared" si="40"/>
        <v>0</v>
      </c>
      <c r="R178" s="7">
        <f t="shared" si="41"/>
        <v>1015.1999999999999</v>
      </c>
      <c r="S178" s="227">
        <f t="shared" si="42"/>
        <v>0</v>
      </c>
      <c r="T178" s="249">
        <f t="shared" si="43"/>
        <v>0</v>
      </c>
      <c r="U178" s="38"/>
      <c r="W178" s="6"/>
      <c r="X178" s="6"/>
      <c r="Y178" s="6"/>
      <c r="Z178" s="6"/>
      <c r="AA178" s="6"/>
      <c r="AB178" s="6"/>
    </row>
    <row r="179" spans="2:28" ht="15" customHeight="1" x14ac:dyDescent="0.4">
      <c r="B179" s="38" t="s">
        <v>62</v>
      </c>
      <c r="C179" s="6" t="s">
        <v>160</v>
      </c>
      <c r="D179" s="6">
        <f t="shared" si="46"/>
        <v>1</v>
      </c>
      <c r="E179" s="34">
        <v>1</v>
      </c>
      <c r="F179" s="212">
        <v>120400</v>
      </c>
      <c r="G179" s="195">
        <v>45940</v>
      </c>
      <c r="H179" s="8"/>
      <c r="I179" s="212"/>
      <c r="J179" s="8"/>
      <c r="K179" s="23">
        <f t="shared" si="49"/>
        <v>0</v>
      </c>
      <c r="L179" s="23">
        <f t="shared" si="48"/>
        <v>0</v>
      </c>
      <c r="M179" s="206">
        <f t="shared" si="47"/>
        <v>0</v>
      </c>
      <c r="N179" s="34"/>
      <c r="O179" s="209">
        <f t="shared" si="45"/>
        <v>-45939</v>
      </c>
      <c r="P179" s="34">
        <f t="shared" si="39"/>
        <v>120400</v>
      </c>
      <c r="Q179" s="34">
        <f t="shared" si="40"/>
        <v>0</v>
      </c>
      <c r="R179" s="7">
        <f t="shared" si="41"/>
        <v>0</v>
      </c>
      <c r="S179" s="227">
        <f t="shared" si="42"/>
        <v>0</v>
      </c>
      <c r="T179" s="249">
        <f t="shared" si="43"/>
        <v>0</v>
      </c>
      <c r="U179" s="38"/>
      <c r="W179" s="6"/>
      <c r="X179" s="6"/>
      <c r="Y179" s="6"/>
      <c r="Z179" s="6"/>
      <c r="AA179" s="6"/>
      <c r="AB179" s="6"/>
    </row>
    <row r="180" spans="2:28" ht="15" customHeight="1" x14ac:dyDescent="0.4">
      <c r="B180" s="38" t="s">
        <v>62</v>
      </c>
      <c r="C180" s="6" t="s">
        <v>160</v>
      </c>
      <c r="D180" s="6">
        <f t="shared" si="46"/>
        <v>1</v>
      </c>
      <c r="E180" s="34">
        <v>1</v>
      </c>
      <c r="F180" s="212">
        <v>117500</v>
      </c>
      <c r="G180" s="195">
        <v>45971</v>
      </c>
      <c r="H180" s="8"/>
      <c r="I180" s="212"/>
      <c r="J180" s="8"/>
      <c r="K180" s="23">
        <f t="shared" si="49"/>
        <v>0</v>
      </c>
      <c r="L180" s="23">
        <f t="shared" si="48"/>
        <v>0</v>
      </c>
      <c r="M180" s="206">
        <f t="shared" si="47"/>
        <v>0</v>
      </c>
      <c r="N180" s="34"/>
      <c r="O180" s="209">
        <f t="shared" si="45"/>
        <v>-45970</v>
      </c>
      <c r="P180" s="34">
        <f t="shared" si="39"/>
        <v>117500</v>
      </c>
      <c r="Q180" s="34">
        <f t="shared" si="40"/>
        <v>0</v>
      </c>
      <c r="R180" s="7">
        <f t="shared" si="41"/>
        <v>0</v>
      </c>
      <c r="S180" s="227">
        <f t="shared" si="42"/>
        <v>0</v>
      </c>
      <c r="T180" s="249">
        <f t="shared" si="43"/>
        <v>0</v>
      </c>
      <c r="U180" s="38"/>
      <c r="W180" s="6"/>
      <c r="X180" s="6"/>
      <c r="Y180" s="6"/>
      <c r="Z180" s="6"/>
      <c r="AA180" s="6"/>
      <c r="AB180" s="6"/>
    </row>
    <row r="181" spans="2:28" ht="15" customHeight="1" x14ac:dyDescent="0.4">
      <c r="B181" s="38" t="s">
        <v>62</v>
      </c>
      <c r="C181" s="6" t="s">
        <v>160</v>
      </c>
      <c r="D181" s="6">
        <f t="shared" si="46"/>
        <v>1</v>
      </c>
      <c r="E181" s="34">
        <v>1</v>
      </c>
      <c r="F181" s="212">
        <v>125300</v>
      </c>
      <c r="G181" s="195">
        <v>46001</v>
      </c>
      <c r="H181" s="8"/>
      <c r="I181" s="212"/>
      <c r="J181" s="8"/>
      <c r="K181" s="23">
        <f t="shared" si="49"/>
        <v>0</v>
      </c>
      <c r="L181" s="23">
        <f t="shared" si="48"/>
        <v>0</v>
      </c>
      <c r="M181" s="206">
        <f t="shared" si="47"/>
        <v>0</v>
      </c>
      <c r="N181" s="34"/>
      <c r="O181" s="209">
        <f t="shared" si="45"/>
        <v>-46000</v>
      </c>
      <c r="P181" s="34">
        <f t="shared" si="39"/>
        <v>125300</v>
      </c>
      <c r="Q181" s="34">
        <f t="shared" si="40"/>
        <v>0</v>
      </c>
      <c r="R181" s="7">
        <f t="shared" si="41"/>
        <v>0</v>
      </c>
      <c r="S181" s="227">
        <f t="shared" si="42"/>
        <v>0</v>
      </c>
      <c r="T181" s="249">
        <f t="shared" si="43"/>
        <v>0</v>
      </c>
      <c r="U181" s="38"/>
      <c r="W181" s="6"/>
      <c r="X181" s="6"/>
      <c r="Y181" s="6"/>
      <c r="Z181" s="6"/>
      <c r="AA181" s="6"/>
      <c r="AB181" s="6"/>
    </row>
    <row r="182" spans="2:28" ht="15" customHeight="1" x14ac:dyDescent="0.4">
      <c r="B182" s="38" t="s">
        <v>62</v>
      </c>
      <c r="C182" s="6" t="s">
        <v>160</v>
      </c>
      <c r="D182" s="6">
        <f t="shared" si="46"/>
        <v>1</v>
      </c>
      <c r="E182" s="34">
        <v>1</v>
      </c>
      <c r="F182" s="212">
        <v>119300</v>
      </c>
      <c r="G182" s="195">
        <v>46034</v>
      </c>
      <c r="H182" s="8"/>
      <c r="I182" s="212"/>
      <c r="J182" s="8"/>
      <c r="K182" s="23">
        <f t="shared" si="49"/>
        <v>0</v>
      </c>
      <c r="L182" s="23">
        <f t="shared" si="48"/>
        <v>0</v>
      </c>
      <c r="M182" s="206">
        <f t="shared" si="47"/>
        <v>0</v>
      </c>
      <c r="N182" s="34"/>
      <c r="O182" s="209">
        <f t="shared" si="45"/>
        <v>-46033</v>
      </c>
      <c r="P182" s="34">
        <f t="shared" si="39"/>
        <v>119300</v>
      </c>
      <c r="Q182" s="34">
        <f t="shared" si="40"/>
        <v>0</v>
      </c>
      <c r="R182" s="7">
        <f t="shared" si="41"/>
        <v>0</v>
      </c>
      <c r="S182" s="227">
        <f t="shared" si="42"/>
        <v>0</v>
      </c>
      <c r="T182" s="249">
        <f t="shared" si="43"/>
        <v>0</v>
      </c>
      <c r="U182" s="38"/>
      <c r="W182" s="6"/>
      <c r="X182" s="6"/>
      <c r="Y182" s="6"/>
      <c r="Z182" s="6"/>
      <c r="AA182" s="6"/>
      <c r="AB182" s="6"/>
    </row>
    <row r="183" spans="2:28" ht="15" customHeight="1" x14ac:dyDescent="0.4">
      <c r="B183" s="38" t="s">
        <v>62</v>
      </c>
      <c r="C183" s="6" t="s">
        <v>160</v>
      </c>
      <c r="D183" s="6">
        <f t="shared" si="46"/>
        <v>1</v>
      </c>
      <c r="E183" s="34">
        <v>1</v>
      </c>
      <c r="F183" s="212">
        <v>130100</v>
      </c>
      <c r="G183" s="195">
        <v>46063</v>
      </c>
      <c r="H183" s="8"/>
      <c r="I183" s="212"/>
      <c r="J183" s="8"/>
      <c r="K183" s="23">
        <f t="shared" si="49"/>
        <v>0</v>
      </c>
      <c r="L183" s="23">
        <f t="shared" si="48"/>
        <v>0</v>
      </c>
      <c r="M183" s="206">
        <f t="shared" si="47"/>
        <v>0</v>
      </c>
      <c r="N183" s="34"/>
      <c r="O183" s="209">
        <f t="shared" si="45"/>
        <v>-46062</v>
      </c>
      <c r="P183" s="34">
        <f t="shared" si="39"/>
        <v>130100</v>
      </c>
      <c r="Q183" s="34">
        <f t="shared" si="40"/>
        <v>0</v>
      </c>
      <c r="R183" s="7">
        <f t="shared" si="41"/>
        <v>0</v>
      </c>
      <c r="S183" s="227">
        <f t="shared" si="42"/>
        <v>0</v>
      </c>
      <c r="T183" s="249">
        <f t="shared" si="43"/>
        <v>0</v>
      </c>
      <c r="U183" s="38"/>
      <c r="W183" s="6"/>
      <c r="X183" s="6"/>
      <c r="Y183" s="6"/>
      <c r="Z183" s="6"/>
      <c r="AA183" s="6"/>
      <c r="AB183" s="6"/>
    </row>
    <row r="184" spans="2:28" ht="15" customHeight="1" x14ac:dyDescent="0.4">
      <c r="B184" s="38" t="s">
        <v>62</v>
      </c>
      <c r="C184" s="6" t="s">
        <v>160</v>
      </c>
      <c r="D184" s="6">
        <f t="shared" si="46"/>
        <v>1</v>
      </c>
      <c r="E184" s="34">
        <v>1</v>
      </c>
      <c r="F184" s="212">
        <v>124300</v>
      </c>
      <c r="G184" s="195">
        <v>46091</v>
      </c>
      <c r="H184" s="8"/>
      <c r="I184" s="212"/>
      <c r="J184" s="8"/>
      <c r="K184" s="23">
        <f t="shared" si="49"/>
        <v>0</v>
      </c>
      <c r="L184" s="23">
        <f t="shared" si="48"/>
        <v>0</v>
      </c>
      <c r="M184" s="206">
        <f t="shared" si="47"/>
        <v>0</v>
      </c>
      <c r="N184" s="34"/>
      <c r="O184" s="209">
        <f t="shared" si="45"/>
        <v>-46090</v>
      </c>
      <c r="P184" s="34">
        <f t="shared" si="39"/>
        <v>124300</v>
      </c>
      <c r="Q184" s="34">
        <f t="shared" si="40"/>
        <v>0</v>
      </c>
      <c r="R184" s="7">
        <f t="shared" si="41"/>
        <v>0</v>
      </c>
      <c r="S184" s="227">
        <f t="shared" si="42"/>
        <v>0</v>
      </c>
      <c r="T184" s="249">
        <f t="shared" si="43"/>
        <v>0</v>
      </c>
      <c r="U184" s="38"/>
      <c r="W184" s="6"/>
      <c r="X184" s="6"/>
      <c r="Y184" s="6"/>
      <c r="Z184" s="6"/>
      <c r="AA184" s="6"/>
      <c r="AB184" s="6"/>
    </row>
    <row r="185" spans="2:28" ht="15" customHeight="1" x14ac:dyDescent="0.4">
      <c r="B185" s="38" t="s">
        <v>495</v>
      </c>
      <c r="C185" s="6" t="s">
        <v>160</v>
      </c>
      <c r="D185" s="6">
        <f t="shared" si="46"/>
        <v>1</v>
      </c>
      <c r="E185" s="34">
        <v>1</v>
      </c>
      <c r="F185" s="212">
        <v>5000</v>
      </c>
      <c r="G185" s="195">
        <v>45790</v>
      </c>
      <c r="H185" s="8"/>
      <c r="I185" s="212"/>
      <c r="J185" s="8"/>
      <c r="K185" s="23">
        <f t="shared" si="49"/>
        <v>0</v>
      </c>
      <c r="L185" s="23">
        <f t="shared" si="48"/>
        <v>0</v>
      </c>
      <c r="M185" s="206">
        <f t="shared" si="47"/>
        <v>0</v>
      </c>
      <c r="N185" s="34"/>
      <c r="O185" s="209">
        <f t="shared" si="45"/>
        <v>-45789</v>
      </c>
      <c r="P185" s="34">
        <f t="shared" si="39"/>
        <v>5000</v>
      </c>
      <c r="Q185" s="34">
        <f t="shared" si="40"/>
        <v>0</v>
      </c>
      <c r="R185" s="7">
        <f t="shared" si="41"/>
        <v>0</v>
      </c>
      <c r="S185" s="227">
        <f t="shared" si="42"/>
        <v>0</v>
      </c>
      <c r="T185" s="249">
        <f t="shared" si="43"/>
        <v>0</v>
      </c>
    </row>
    <row r="186" spans="2:28" ht="15" customHeight="1" x14ac:dyDescent="0.4">
      <c r="B186" s="38" t="s">
        <v>496</v>
      </c>
      <c r="C186" s="6" t="s">
        <v>160</v>
      </c>
      <c r="D186" s="6">
        <f t="shared" si="46"/>
        <v>1</v>
      </c>
      <c r="E186" s="34">
        <v>2</v>
      </c>
      <c r="F186" s="212">
        <v>43700</v>
      </c>
      <c r="G186" s="195">
        <v>46017</v>
      </c>
      <c r="H186" s="8"/>
      <c r="I186" s="212"/>
      <c r="J186" s="8"/>
      <c r="K186" s="23">
        <f t="shared" si="49"/>
        <v>0</v>
      </c>
      <c r="L186" s="23">
        <f t="shared" si="48"/>
        <v>0</v>
      </c>
      <c r="M186" s="206">
        <f t="shared" si="47"/>
        <v>0</v>
      </c>
      <c r="N186" s="34"/>
      <c r="O186" s="209">
        <f t="shared" si="45"/>
        <v>-46016</v>
      </c>
      <c r="P186" s="34">
        <f t="shared" si="39"/>
        <v>87400</v>
      </c>
      <c r="Q186" s="34">
        <f t="shared" si="40"/>
        <v>0</v>
      </c>
      <c r="R186" s="7">
        <f t="shared" si="41"/>
        <v>0</v>
      </c>
      <c r="S186" s="227">
        <f t="shared" si="42"/>
        <v>0</v>
      </c>
      <c r="T186" s="249">
        <f t="shared" si="43"/>
        <v>0</v>
      </c>
    </row>
    <row r="187" spans="2:28" ht="15" customHeight="1" x14ac:dyDescent="0.4">
      <c r="B187" s="38" t="s">
        <v>496</v>
      </c>
      <c r="C187" s="6" t="s">
        <v>160</v>
      </c>
      <c r="D187" s="6">
        <f t="shared" si="46"/>
        <v>1</v>
      </c>
      <c r="E187" s="34">
        <v>2</v>
      </c>
      <c r="F187" s="212">
        <v>43300</v>
      </c>
      <c r="G187" s="195">
        <v>46020</v>
      </c>
      <c r="H187" s="8"/>
      <c r="I187" s="212"/>
      <c r="J187" s="8"/>
      <c r="K187" s="23">
        <f t="shared" si="49"/>
        <v>0</v>
      </c>
      <c r="L187" s="23">
        <f t="shared" si="48"/>
        <v>0</v>
      </c>
      <c r="M187" s="206">
        <f t="shared" si="47"/>
        <v>0</v>
      </c>
      <c r="N187" s="34"/>
      <c r="O187" s="209">
        <f t="shared" si="45"/>
        <v>-46019</v>
      </c>
      <c r="P187" s="34">
        <f t="shared" si="39"/>
        <v>86600</v>
      </c>
      <c r="Q187" s="34">
        <f t="shared" si="40"/>
        <v>0</v>
      </c>
      <c r="R187" s="7">
        <f t="shared" si="41"/>
        <v>0</v>
      </c>
      <c r="S187" s="227">
        <f t="shared" si="42"/>
        <v>0</v>
      </c>
      <c r="T187" s="249">
        <f t="shared" si="43"/>
        <v>0</v>
      </c>
    </row>
    <row r="188" spans="2:28" ht="15" customHeight="1" x14ac:dyDescent="0.4">
      <c r="B188" s="38" t="s">
        <v>496</v>
      </c>
      <c r="C188" s="6" t="s">
        <v>160</v>
      </c>
      <c r="D188" s="6">
        <f t="shared" si="46"/>
        <v>1</v>
      </c>
      <c r="E188" s="34">
        <v>35</v>
      </c>
      <c r="F188" s="212">
        <v>44671</v>
      </c>
      <c r="G188" s="195">
        <v>46048</v>
      </c>
      <c r="H188" s="8"/>
      <c r="I188" s="212"/>
      <c r="J188" s="8"/>
      <c r="K188" s="23">
        <f t="shared" si="49"/>
        <v>50</v>
      </c>
      <c r="L188" s="23">
        <f t="shared" si="48"/>
        <v>0</v>
      </c>
      <c r="M188" s="206">
        <f t="shared" si="47"/>
        <v>0</v>
      </c>
      <c r="N188" s="34"/>
      <c r="O188" s="209">
        <f t="shared" si="45"/>
        <v>-46047</v>
      </c>
      <c r="P188" s="34">
        <f t="shared" si="39"/>
        <v>1563485</v>
      </c>
      <c r="Q188" s="34">
        <f t="shared" si="40"/>
        <v>0</v>
      </c>
      <c r="R188" s="7">
        <f t="shared" si="41"/>
        <v>-50</v>
      </c>
      <c r="S188" s="227">
        <f t="shared" si="42"/>
        <v>0</v>
      </c>
      <c r="T188" s="249">
        <f t="shared" si="43"/>
        <v>0</v>
      </c>
    </row>
    <row r="189" spans="2:28" ht="15" customHeight="1" x14ac:dyDescent="0.4">
      <c r="B189" s="38" t="s">
        <v>496</v>
      </c>
      <c r="C189" s="6" t="s">
        <v>160</v>
      </c>
      <c r="D189" s="6">
        <f t="shared" si="46"/>
        <v>1</v>
      </c>
      <c r="E189" s="34">
        <v>1</v>
      </c>
      <c r="F189" s="212">
        <v>38500</v>
      </c>
      <c r="G189" s="195">
        <v>46111</v>
      </c>
      <c r="H189" s="8"/>
      <c r="I189" s="212"/>
      <c r="J189" s="8"/>
      <c r="K189" s="23">
        <f t="shared" si="49"/>
        <v>0</v>
      </c>
      <c r="L189" s="23">
        <f t="shared" si="48"/>
        <v>0</v>
      </c>
      <c r="M189" s="206">
        <f t="shared" si="47"/>
        <v>0</v>
      </c>
      <c r="N189" s="34"/>
      <c r="O189" s="209">
        <f t="shared" si="45"/>
        <v>-46110</v>
      </c>
      <c r="P189" s="34">
        <f t="shared" si="39"/>
        <v>38500</v>
      </c>
      <c r="Q189" s="34">
        <f t="shared" si="40"/>
        <v>0</v>
      </c>
      <c r="R189" s="7">
        <f t="shared" si="41"/>
        <v>0</v>
      </c>
      <c r="S189" s="227">
        <f t="shared" si="42"/>
        <v>0</v>
      </c>
      <c r="T189" s="249">
        <f t="shared" si="43"/>
        <v>0</v>
      </c>
    </row>
    <row r="190" spans="2:28" ht="15" customHeight="1" x14ac:dyDescent="0.4">
      <c r="B190" s="38" t="s">
        <v>496</v>
      </c>
      <c r="C190" s="6" t="s">
        <v>160</v>
      </c>
      <c r="D190" s="6">
        <f t="shared" si="46"/>
        <v>1</v>
      </c>
      <c r="E190" s="34">
        <v>1</v>
      </c>
      <c r="F190" s="212">
        <v>40700</v>
      </c>
      <c r="G190" s="195">
        <v>46118</v>
      </c>
      <c r="H190" s="8"/>
      <c r="I190" s="212"/>
      <c r="J190" s="8"/>
      <c r="K190" s="23">
        <f t="shared" si="49"/>
        <v>0</v>
      </c>
      <c r="L190" s="23">
        <f t="shared" si="48"/>
        <v>0</v>
      </c>
      <c r="M190" s="206">
        <f t="shared" si="47"/>
        <v>0</v>
      </c>
      <c r="N190" s="34"/>
      <c r="O190" s="209">
        <f t="shared" si="45"/>
        <v>-46117</v>
      </c>
      <c r="P190" s="34">
        <f t="shared" si="39"/>
        <v>40700</v>
      </c>
      <c r="Q190" s="34">
        <f t="shared" si="40"/>
        <v>0</v>
      </c>
      <c r="R190" s="7">
        <f t="shared" si="41"/>
        <v>0</v>
      </c>
      <c r="S190" s="227">
        <f t="shared" si="42"/>
        <v>0</v>
      </c>
      <c r="T190" s="249">
        <f t="shared" si="43"/>
        <v>0</v>
      </c>
    </row>
    <row r="191" spans="2:28" ht="15" customHeight="1" x14ac:dyDescent="0.4">
      <c r="B191" s="38" t="s">
        <v>496</v>
      </c>
      <c r="C191" s="6" t="s">
        <v>160</v>
      </c>
      <c r="D191" s="6">
        <f t="shared" si="46"/>
        <v>1</v>
      </c>
      <c r="E191" s="34">
        <v>1</v>
      </c>
      <c r="F191" s="212">
        <v>42250</v>
      </c>
      <c r="G191" s="195">
        <v>46125</v>
      </c>
      <c r="H191" s="8"/>
      <c r="I191" s="212"/>
      <c r="J191" s="8"/>
      <c r="K191" s="23">
        <f t="shared" si="49"/>
        <v>0</v>
      </c>
      <c r="L191" s="23">
        <f t="shared" si="48"/>
        <v>0</v>
      </c>
      <c r="M191" s="206">
        <f t="shared" si="47"/>
        <v>0</v>
      </c>
      <c r="N191" s="34"/>
      <c r="O191" s="209">
        <f t="shared" si="45"/>
        <v>-46124</v>
      </c>
      <c r="P191" s="34">
        <f t="shared" si="39"/>
        <v>42250</v>
      </c>
      <c r="Q191" s="34">
        <f t="shared" si="40"/>
        <v>0</v>
      </c>
      <c r="R191" s="7">
        <f t="shared" si="41"/>
        <v>0</v>
      </c>
      <c r="S191" s="227">
        <f t="shared" si="42"/>
        <v>0</v>
      </c>
      <c r="T191" s="249">
        <f t="shared" si="43"/>
        <v>0</v>
      </c>
    </row>
    <row r="192" spans="2:28" ht="15" customHeight="1" x14ac:dyDescent="0.4">
      <c r="B192" s="38" t="s">
        <v>496</v>
      </c>
      <c r="C192" s="6" t="s">
        <v>160</v>
      </c>
      <c r="D192" s="6">
        <f t="shared" si="46"/>
        <v>1</v>
      </c>
      <c r="E192" s="34">
        <v>1</v>
      </c>
      <c r="F192" s="212">
        <v>43250</v>
      </c>
      <c r="G192" s="195">
        <v>46132</v>
      </c>
      <c r="H192" s="8"/>
      <c r="I192" s="212"/>
      <c r="J192" s="8"/>
      <c r="K192" s="23">
        <f t="shared" si="49"/>
        <v>0</v>
      </c>
      <c r="L192" s="23">
        <f t="shared" si="48"/>
        <v>0</v>
      </c>
      <c r="M192" s="206">
        <f t="shared" si="47"/>
        <v>0</v>
      </c>
      <c r="N192" s="34"/>
      <c r="O192" s="209">
        <f t="shared" si="45"/>
        <v>-46131</v>
      </c>
      <c r="P192" s="34">
        <f t="shared" si="39"/>
        <v>43250</v>
      </c>
      <c r="Q192" s="34">
        <f t="shared" si="40"/>
        <v>0</v>
      </c>
      <c r="R192" s="7">
        <f t="shared" si="41"/>
        <v>0</v>
      </c>
      <c r="S192" s="227">
        <f t="shared" si="42"/>
        <v>0</v>
      </c>
      <c r="T192" s="249">
        <f t="shared" si="43"/>
        <v>0</v>
      </c>
    </row>
    <row r="193" spans="2:21" ht="15" customHeight="1" x14ac:dyDescent="0.4">
      <c r="B193" s="38" t="s">
        <v>496</v>
      </c>
      <c r="C193" s="6" t="s">
        <v>160</v>
      </c>
      <c r="D193" s="6">
        <f t="shared" si="46"/>
        <v>1</v>
      </c>
      <c r="E193" s="34">
        <v>1</v>
      </c>
      <c r="F193" s="212">
        <v>41450</v>
      </c>
      <c r="G193" s="195">
        <v>46139</v>
      </c>
      <c r="H193" s="8"/>
      <c r="I193" s="212"/>
      <c r="J193" s="8"/>
      <c r="K193" s="23">
        <f t="shared" si="49"/>
        <v>0</v>
      </c>
      <c r="L193" s="23">
        <f t="shared" si="48"/>
        <v>0</v>
      </c>
      <c r="M193" s="206">
        <f t="shared" ref="M193:M205" si="51">Q193*0.002</f>
        <v>0</v>
      </c>
      <c r="N193" s="34"/>
      <c r="O193" s="209">
        <f t="shared" si="45"/>
        <v>-46138</v>
      </c>
      <c r="P193" s="34">
        <f t="shared" si="39"/>
        <v>41450</v>
      </c>
      <c r="Q193" s="34">
        <f t="shared" si="40"/>
        <v>0</v>
      </c>
      <c r="R193" s="7">
        <f t="shared" si="41"/>
        <v>0</v>
      </c>
      <c r="S193" s="227">
        <f t="shared" si="42"/>
        <v>0</v>
      </c>
      <c r="T193" s="249">
        <f t="shared" si="43"/>
        <v>0</v>
      </c>
    </row>
    <row r="194" spans="2:21" ht="15" customHeight="1" x14ac:dyDescent="0.4">
      <c r="B194" s="38" t="s">
        <v>130</v>
      </c>
      <c r="C194" s="6" t="s">
        <v>160</v>
      </c>
      <c r="D194" s="6">
        <f t="shared" si="46"/>
        <v>1</v>
      </c>
      <c r="E194" s="34">
        <v>20</v>
      </c>
      <c r="F194" s="212">
        <v>10030</v>
      </c>
      <c r="G194" s="195">
        <v>45920</v>
      </c>
      <c r="H194" s="8"/>
      <c r="I194" s="212"/>
      <c r="J194" s="8"/>
      <c r="K194" s="23">
        <f t="shared" si="49"/>
        <v>0</v>
      </c>
      <c r="L194" s="23">
        <f t="shared" si="48"/>
        <v>0</v>
      </c>
      <c r="M194" s="206">
        <f t="shared" si="51"/>
        <v>0</v>
      </c>
      <c r="N194" s="34"/>
      <c r="O194" s="209">
        <f t="shared" si="45"/>
        <v>-45919</v>
      </c>
      <c r="P194" s="34">
        <f t="shared" si="39"/>
        <v>200600</v>
      </c>
      <c r="Q194" s="34">
        <f t="shared" si="40"/>
        <v>0</v>
      </c>
      <c r="R194" s="7">
        <f t="shared" si="41"/>
        <v>0</v>
      </c>
      <c r="S194" s="227">
        <f t="shared" si="42"/>
        <v>0</v>
      </c>
      <c r="T194" s="249">
        <f t="shared" si="43"/>
        <v>0</v>
      </c>
    </row>
    <row r="195" spans="2:21" ht="15" customHeight="1" x14ac:dyDescent="0.4">
      <c r="B195" s="38" t="s">
        <v>130</v>
      </c>
      <c r="C195" s="6" t="s">
        <v>160</v>
      </c>
      <c r="D195" s="6">
        <f t="shared" si="46"/>
        <v>1</v>
      </c>
      <c r="E195" s="34">
        <v>10</v>
      </c>
      <c r="F195" s="212">
        <v>9700</v>
      </c>
      <c r="G195" s="195">
        <v>45922</v>
      </c>
      <c r="H195" s="8"/>
      <c r="I195" s="212"/>
      <c r="J195" s="8"/>
      <c r="K195" s="23">
        <f t="shared" si="49"/>
        <v>0</v>
      </c>
      <c r="L195" s="23">
        <f t="shared" si="48"/>
        <v>0</v>
      </c>
      <c r="M195" s="206">
        <f t="shared" si="51"/>
        <v>0</v>
      </c>
      <c r="N195" s="34"/>
      <c r="O195" s="209">
        <f t="shared" si="45"/>
        <v>-45921</v>
      </c>
      <c r="P195" s="34">
        <f t="shared" si="39"/>
        <v>97000</v>
      </c>
      <c r="Q195" s="34">
        <f t="shared" si="40"/>
        <v>0</v>
      </c>
      <c r="R195" s="7">
        <f t="shared" si="41"/>
        <v>0</v>
      </c>
      <c r="S195" s="227">
        <f t="shared" si="42"/>
        <v>0</v>
      </c>
      <c r="T195" s="249">
        <f t="shared" si="43"/>
        <v>0</v>
      </c>
    </row>
    <row r="196" spans="2:21" ht="15" customHeight="1" x14ac:dyDescent="0.4">
      <c r="B196" s="38" t="s">
        <v>130</v>
      </c>
      <c r="C196" s="6" t="s">
        <v>160</v>
      </c>
      <c r="D196" s="6">
        <f t="shared" si="46"/>
        <v>1</v>
      </c>
      <c r="E196" s="34">
        <v>10</v>
      </c>
      <c r="F196" s="212">
        <v>9190</v>
      </c>
      <c r="G196" s="195">
        <v>45932</v>
      </c>
      <c r="H196" s="8"/>
      <c r="I196" s="212"/>
      <c r="J196" s="8"/>
      <c r="K196" s="23">
        <f t="shared" si="49"/>
        <v>0</v>
      </c>
      <c r="L196" s="23">
        <f t="shared" ref="L196:L205" si="52">IF($C196="OTC",ROUNDDOWN($I196*$E196*0.000909187,-1),(IF($C196="신한",ROUNDDOWN($I196*$E196*0.000036396,-1),(IF($C196="토스",$I196*$E196*0.00015,(IF($C196="US",(IF($I196*$E196*0.0025&gt;0.01,$I196*$E196*0.0025,0.01)),(IF($C196="JP",(IF($I196*$E196*0.0025&gt;1000,$I196*$E196*0.0025,1000)),(IF($C196="R토스",$I196*$E196*0.00015,(IF($C196="무상증자(신한)",ROUNDDOWN($I196*$E196*0.000036396,-1),"")))))))))))))</f>
        <v>0</v>
      </c>
      <c r="M196" s="206">
        <f t="shared" si="51"/>
        <v>0</v>
      </c>
      <c r="N196" s="34"/>
      <c r="O196" s="209">
        <f t="shared" si="45"/>
        <v>-45931</v>
      </c>
      <c r="P196" s="34">
        <f t="shared" ref="P196:P259" si="53">$E196*$F196*$D196</f>
        <v>91900</v>
      </c>
      <c r="Q196" s="34">
        <f t="shared" ref="Q196:Q259" si="54">$E196*$I196*$D196</f>
        <v>0</v>
      </c>
      <c r="R196" s="7">
        <f t="shared" ref="R196:R259" si="55">($N196-$K196-$L196-$M196)*$D196</f>
        <v>0</v>
      </c>
      <c r="S196" s="227">
        <f t="shared" ref="S196:S259" si="56">IF(Q196=0,0,Q196-P196+R196)</f>
        <v>0</v>
      </c>
      <c r="T196" s="249">
        <f t="shared" ref="T196:T259" si="57">S196/P196</f>
        <v>0</v>
      </c>
    </row>
    <row r="197" spans="2:21" ht="15" customHeight="1" x14ac:dyDescent="0.4">
      <c r="B197" s="38" t="s">
        <v>130</v>
      </c>
      <c r="C197" s="6" t="s">
        <v>160</v>
      </c>
      <c r="D197" s="6">
        <f t="shared" si="46"/>
        <v>1</v>
      </c>
      <c r="E197" s="34">
        <v>15</v>
      </c>
      <c r="F197" s="212">
        <v>9200</v>
      </c>
      <c r="G197" s="195">
        <v>45932</v>
      </c>
      <c r="H197" s="8"/>
      <c r="I197" s="212"/>
      <c r="J197" s="8"/>
      <c r="K197" s="23">
        <f t="shared" si="49"/>
        <v>0</v>
      </c>
      <c r="L197" s="23">
        <f t="shared" si="52"/>
        <v>0</v>
      </c>
      <c r="M197" s="206">
        <f t="shared" si="51"/>
        <v>0</v>
      </c>
      <c r="N197" s="34"/>
      <c r="O197" s="209">
        <f t="shared" si="45"/>
        <v>-45931</v>
      </c>
      <c r="P197" s="34">
        <f t="shared" si="53"/>
        <v>138000</v>
      </c>
      <c r="Q197" s="34">
        <f t="shared" si="54"/>
        <v>0</v>
      </c>
      <c r="R197" s="7">
        <f t="shared" si="55"/>
        <v>0</v>
      </c>
      <c r="S197" s="227">
        <f t="shared" si="56"/>
        <v>0</v>
      </c>
      <c r="T197" s="249">
        <f t="shared" si="57"/>
        <v>0</v>
      </c>
    </row>
    <row r="198" spans="2:21" ht="15" customHeight="1" x14ac:dyDescent="0.4">
      <c r="B198" s="38" t="s">
        <v>130</v>
      </c>
      <c r="C198" s="6" t="s">
        <v>160</v>
      </c>
      <c r="D198" s="6">
        <f t="shared" si="46"/>
        <v>1</v>
      </c>
      <c r="E198" s="34">
        <v>50</v>
      </c>
      <c r="F198" s="212">
        <v>9510</v>
      </c>
      <c r="G198" s="195">
        <v>45957</v>
      </c>
      <c r="H198" s="8"/>
      <c r="I198" s="212"/>
      <c r="J198" s="8"/>
      <c r="K198" s="23">
        <f t="shared" ref="K198:K203" si="58">IF($C198="OTC",ROUNDDOWN($E198*$F198*0.000909187,-1),(IF($C198="신한",ROUNDDOWN($E198*$F198*0.000036396,-1),(IF($C198="토스",$E198*$F198*0.00015,(IF($C198="US",(IF($E198*$F198*0.0025&gt;0.01,$E198*$F198*0.0025,0.01)),IF($C198="JP",(IF($E198*$F198*0.0025&gt;1000,$E198*$F198*0.0025,1000)),(IF($C198="R토스",0,IF($C198="무상증자(신한)",0,"")))))))))))</f>
        <v>10</v>
      </c>
      <c r="L198" s="23">
        <f t="shared" si="52"/>
        <v>0</v>
      </c>
      <c r="M198" s="206">
        <f t="shared" si="51"/>
        <v>0</v>
      </c>
      <c r="N198" s="34"/>
      <c r="O198" s="209">
        <f t="shared" si="45"/>
        <v>-45956</v>
      </c>
      <c r="P198" s="34">
        <f t="shared" si="53"/>
        <v>475500</v>
      </c>
      <c r="Q198" s="34">
        <f t="shared" si="54"/>
        <v>0</v>
      </c>
      <c r="R198" s="7">
        <f t="shared" si="55"/>
        <v>-10</v>
      </c>
      <c r="S198" s="227">
        <f t="shared" si="56"/>
        <v>0</v>
      </c>
      <c r="T198" s="249">
        <f t="shared" si="57"/>
        <v>0</v>
      </c>
    </row>
    <row r="199" spans="2:21" ht="15" customHeight="1" x14ac:dyDescent="0.4">
      <c r="B199" s="38" t="s">
        <v>130</v>
      </c>
      <c r="C199" s="6" t="s">
        <v>122</v>
      </c>
      <c r="D199" s="6">
        <f t="shared" si="46"/>
        <v>1</v>
      </c>
      <c r="E199" s="34">
        <v>282</v>
      </c>
      <c r="F199" s="212">
        <v>10100</v>
      </c>
      <c r="G199" s="195">
        <v>45923</v>
      </c>
      <c r="H199" s="8"/>
      <c r="I199" s="212"/>
      <c r="J199" s="8"/>
      <c r="K199" s="23">
        <f t="shared" si="58"/>
        <v>427.22999999999996</v>
      </c>
      <c r="L199" s="23">
        <f t="shared" si="52"/>
        <v>0</v>
      </c>
      <c r="M199" s="206">
        <f t="shared" si="51"/>
        <v>0</v>
      </c>
      <c r="N199" s="34"/>
      <c r="O199" s="209">
        <f t="shared" si="45"/>
        <v>-45922</v>
      </c>
      <c r="P199" s="34">
        <f t="shared" si="53"/>
        <v>2848200</v>
      </c>
      <c r="Q199" s="34">
        <f t="shared" si="54"/>
        <v>0</v>
      </c>
      <c r="R199" s="7">
        <f t="shared" si="55"/>
        <v>-427.22999999999996</v>
      </c>
      <c r="S199" s="227">
        <f t="shared" si="56"/>
        <v>0</v>
      </c>
      <c r="T199" s="249">
        <f t="shared" si="57"/>
        <v>0</v>
      </c>
      <c r="U199" s="36">
        <f t="shared" ref="U199:U204" si="59">IF(O199&lt;0,0,P199*0.05*O199/365)</f>
        <v>0</v>
      </c>
    </row>
    <row r="200" spans="2:21" ht="15" customHeight="1" x14ac:dyDescent="0.4">
      <c r="B200" s="38" t="s">
        <v>130</v>
      </c>
      <c r="C200" s="6" t="s">
        <v>122</v>
      </c>
      <c r="D200" s="6">
        <f t="shared" si="46"/>
        <v>1</v>
      </c>
      <c r="E200" s="34">
        <v>200</v>
      </c>
      <c r="F200" s="212">
        <v>9950</v>
      </c>
      <c r="G200" s="195">
        <v>45923</v>
      </c>
      <c r="H200" s="8"/>
      <c r="I200" s="212"/>
      <c r="J200" s="8"/>
      <c r="K200" s="23">
        <f t="shared" si="58"/>
        <v>298.5</v>
      </c>
      <c r="L200" s="23">
        <f t="shared" si="52"/>
        <v>0</v>
      </c>
      <c r="M200" s="206">
        <f t="shared" si="51"/>
        <v>0</v>
      </c>
      <c r="N200" s="34"/>
      <c r="O200" s="209">
        <f t="shared" si="45"/>
        <v>-45922</v>
      </c>
      <c r="P200" s="34">
        <f t="shared" si="53"/>
        <v>1990000</v>
      </c>
      <c r="Q200" s="34">
        <f t="shared" si="54"/>
        <v>0</v>
      </c>
      <c r="R200" s="7">
        <f t="shared" si="55"/>
        <v>-298.5</v>
      </c>
      <c r="S200" s="227">
        <f t="shared" si="56"/>
        <v>0</v>
      </c>
      <c r="T200" s="249">
        <f t="shared" si="57"/>
        <v>0</v>
      </c>
      <c r="U200" s="36">
        <f t="shared" si="59"/>
        <v>0</v>
      </c>
    </row>
    <row r="201" spans="2:21" ht="15" customHeight="1" x14ac:dyDescent="0.4">
      <c r="B201" s="38" t="s">
        <v>130</v>
      </c>
      <c r="C201" s="6" t="s">
        <v>122</v>
      </c>
      <c r="D201" s="6">
        <f t="shared" si="46"/>
        <v>1</v>
      </c>
      <c r="E201" s="34">
        <v>10</v>
      </c>
      <c r="F201" s="212">
        <v>9700</v>
      </c>
      <c r="G201" s="195">
        <v>45924</v>
      </c>
      <c r="H201" s="8" t="s">
        <v>113</v>
      </c>
      <c r="I201" s="212"/>
      <c r="J201" s="8"/>
      <c r="K201" s="23">
        <f t="shared" si="58"/>
        <v>14.549999999999999</v>
      </c>
      <c r="L201" s="23">
        <f t="shared" si="52"/>
        <v>0</v>
      </c>
      <c r="M201" s="206">
        <f t="shared" si="51"/>
        <v>0</v>
      </c>
      <c r="N201" s="34"/>
      <c r="O201" s="209">
        <f t="shared" si="45"/>
        <v>-45923</v>
      </c>
      <c r="P201" s="34">
        <f t="shared" si="53"/>
        <v>97000</v>
      </c>
      <c r="Q201" s="34">
        <f t="shared" si="54"/>
        <v>0</v>
      </c>
      <c r="R201" s="7">
        <f t="shared" si="55"/>
        <v>-14.549999999999999</v>
      </c>
      <c r="S201" s="227">
        <f t="shared" si="56"/>
        <v>0</v>
      </c>
      <c r="T201" s="249">
        <f t="shared" si="57"/>
        <v>0</v>
      </c>
      <c r="U201" s="36">
        <f t="shared" si="59"/>
        <v>0</v>
      </c>
    </row>
    <row r="202" spans="2:21" ht="15" customHeight="1" x14ac:dyDescent="0.4">
      <c r="B202" s="38" t="s">
        <v>130</v>
      </c>
      <c r="C202" s="6" t="s">
        <v>122</v>
      </c>
      <c r="D202" s="6">
        <f t="shared" si="46"/>
        <v>1</v>
      </c>
      <c r="E202" s="34">
        <v>8</v>
      </c>
      <c r="F202" s="212">
        <v>9000</v>
      </c>
      <c r="G202" s="195">
        <v>45940</v>
      </c>
      <c r="H202" s="8" t="s">
        <v>113</v>
      </c>
      <c r="I202" s="212"/>
      <c r="J202" s="8"/>
      <c r="K202" s="23">
        <f t="shared" si="58"/>
        <v>10.799999999999999</v>
      </c>
      <c r="L202" s="23">
        <f t="shared" si="52"/>
        <v>0</v>
      </c>
      <c r="M202" s="206">
        <f t="shared" si="51"/>
        <v>0</v>
      </c>
      <c r="N202" s="34"/>
      <c r="O202" s="209">
        <f t="shared" si="45"/>
        <v>-45939</v>
      </c>
      <c r="P202" s="34">
        <f t="shared" si="53"/>
        <v>72000</v>
      </c>
      <c r="Q202" s="34">
        <f t="shared" si="54"/>
        <v>0</v>
      </c>
      <c r="R202" s="7">
        <f t="shared" si="55"/>
        <v>-10.799999999999999</v>
      </c>
      <c r="S202" s="227">
        <f t="shared" si="56"/>
        <v>0</v>
      </c>
      <c r="T202" s="249">
        <f t="shared" si="57"/>
        <v>0</v>
      </c>
      <c r="U202" s="36">
        <f t="shared" si="59"/>
        <v>0</v>
      </c>
    </row>
    <row r="203" spans="2:21" ht="15" customHeight="1" x14ac:dyDescent="0.4">
      <c r="B203" s="38" t="s">
        <v>130</v>
      </c>
      <c r="C203" s="6" t="s">
        <v>122</v>
      </c>
      <c r="D203" s="6">
        <f t="shared" si="46"/>
        <v>1</v>
      </c>
      <c r="E203" s="34">
        <v>100</v>
      </c>
      <c r="F203" s="212">
        <v>9400</v>
      </c>
      <c r="G203" s="195">
        <v>45951</v>
      </c>
      <c r="H203" s="8"/>
      <c r="I203" s="212"/>
      <c r="J203" s="8"/>
      <c r="K203" s="23">
        <f t="shared" si="58"/>
        <v>141</v>
      </c>
      <c r="L203" s="23">
        <f t="shared" si="52"/>
        <v>0</v>
      </c>
      <c r="M203" s="206">
        <f t="shared" si="51"/>
        <v>0</v>
      </c>
      <c r="N203" s="34"/>
      <c r="O203" s="209">
        <f t="shared" si="45"/>
        <v>-45950</v>
      </c>
      <c r="P203" s="34">
        <f t="shared" si="53"/>
        <v>940000</v>
      </c>
      <c r="Q203" s="34">
        <f t="shared" si="54"/>
        <v>0</v>
      </c>
      <c r="R203" s="7">
        <f t="shared" si="55"/>
        <v>-141</v>
      </c>
      <c r="S203" s="227">
        <f t="shared" si="56"/>
        <v>0</v>
      </c>
      <c r="T203" s="249">
        <f t="shared" si="57"/>
        <v>0</v>
      </c>
      <c r="U203" s="36">
        <f t="shared" si="59"/>
        <v>0</v>
      </c>
    </row>
    <row r="204" spans="2:21" ht="15" customHeight="1" x14ac:dyDescent="0.4">
      <c r="B204" s="38" t="s">
        <v>130</v>
      </c>
      <c r="C204" s="6" t="s">
        <v>122</v>
      </c>
      <c r="D204" s="6">
        <f t="shared" si="46"/>
        <v>1</v>
      </c>
      <c r="E204" s="34">
        <v>200</v>
      </c>
      <c r="F204" s="212">
        <v>10500</v>
      </c>
      <c r="G204" s="195">
        <v>46052</v>
      </c>
      <c r="H204" s="8"/>
      <c r="I204" s="212"/>
      <c r="J204" s="8"/>
      <c r="K204" s="307">
        <v>0</v>
      </c>
      <c r="L204" s="23">
        <f t="shared" si="52"/>
        <v>0</v>
      </c>
      <c r="M204" s="206">
        <f t="shared" si="51"/>
        <v>0</v>
      </c>
      <c r="N204" s="34"/>
      <c r="O204" s="209">
        <f t="shared" si="45"/>
        <v>-46051</v>
      </c>
      <c r="P204" s="34">
        <f t="shared" si="53"/>
        <v>2100000</v>
      </c>
      <c r="Q204" s="34">
        <f t="shared" si="54"/>
        <v>0</v>
      </c>
      <c r="R204" s="7">
        <f t="shared" si="55"/>
        <v>0</v>
      </c>
      <c r="S204" s="227">
        <f t="shared" si="56"/>
        <v>0</v>
      </c>
      <c r="T204" s="249">
        <f t="shared" si="57"/>
        <v>0</v>
      </c>
      <c r="U204" s="36">
        <f t="shared" si="59"/>
        <v>0</v>
      </c>
    </row>
    <row r="205" spans="2:21" ht="15" customHeight="1" x14ac:dyDescent="0.4">
      <c r="B205" s="38" t="s">
        <v>33</v>
      </c>
      <c r="C205" s="6" t="s">
        <v>497</v>
      </c>
      <c r="D205" s="6">
        <f t="shared" si="46"/>
        <v>1</v>
      </c>
      <c r="E205" s="34">
        <v>92</v>
      </c>
      <c r="F205" s="212">
        <v>26800</v>
      </c>
      <c r="G205" s="195">
        <v>44046</v>
      </c>
      <c r="H205" s="8"/>
      <c r="I205" s="212">
        <v>25300</v>
      </c>
      <c r="J205" s="8">
        <v>44978</v>
      </c>
      <c r="K205" s="23">
        <f t="shared" ref="K205:K236" si="60">IF($C205="OTC",ROUNDDOWN($E205*$F205*0.000909187,-1),(IF($C205="신한",ROUNDDOWN($E205*$F205*0.000036396,-1),(IF($C205="토스",$E205*$F205*0.00015,(IF($C205="US",(IF($E205*$F205*0.0025&gt;0.01,$E205*$F205*0.0025,0.01)),IF($C205="JP",(IF($E205*$F205*0.0025&gt;1000,$E205*$F205*0.0025,1000)),(IF($C205="R토스",0,IF($C205="무상증자(신한)",0,"")))))))))))</f>
        <v>2240</v>
      </c>
      <c r="L205" s="23">
        <f t="shared" si="52"/>
        <v>2110</v>
      </c>
      <c r="M205" s="206">
        <f t="shared" si="51"/>
        <v>4655.2</v>
      </c>
      <c r="N205" s="34"/>
      <c r="O205" s="209">
        <f t="shared" si="45"/>
        <v>933</v>
      </c>
      <c r="P205" s="34">
        <f t="shared" si="53"/>
        <v>2465600</v>
      </c>
      <c r="Q205" s="34">
        <f t="shared" si="54"/>
        <v>2327600</v>
      </c>
      <c r="R205" s="7">
        <f t="shared" si="55"/>
        <v>-9005.2000000000007</v>
      </c>
      <c r="S205" s="227">
        <f t="shared" si="56"/>
        <v>-147005.20000000001</v>
      </c>
      <c r="T205" s="249">
        <f t="shared" si="57"/>
        <v>-5.9622485399091506E-2</v>
      </c>
    </row>
    <row r="206" spans="2:21" ht="15" customHeight="1" x14ac:dyDescent="0.4">
      <c r="B206" s="38" t="s">
        <v>33</v>
      </c>
      <c r="C206" s="6" t="s">
        <v>497</v>
      </c>
      <c r="D206" s="6">
        <f t="shared" si="46"/>
        <v>1</v>
      </c>
      <c r="E206" s="34">
        <v>8</v>
      </c>
      <c r="F206" s="212">
        <v>26800</v>
      </c>
      <c r="G206" s="195">
        <v>44046</v>
      </c>
      <c r="H206" s="8"/>
      <c r="I206" s="212">
        <v>22000</v>
      </c>
      <c r="J206" s="8">
        <v>44062</v>
      </c>
      <c r="K206" s="23">
        <f t="shared" si="60"/>
        <v>190</v>
      </c>
      <c r="L206" s="23">
        <v>10</v>
      </c>
      <c r="M206" s="206">
        <f>Q206*0.0025</f>
        <v>440</v>
      </c>
      <c r="N206" s="34"/>
      <c r="O206" s="209">
        <f t="shared" si="45"/>
        <v>17</v>
      </c>
      <c r="P206" s="34">
        <f t="shared" si="53"/>
        <v>214400</v>
      </c>
      <c r="Q206" s="34">
        <f t="shared" si="54"/>
        <v>176000</v>
      </c>
      <c r="R206" s="7">
        <f t="shared" si="55"/>
        <v>-640</v>
      </c>
      <c r="S206" s="227">
        <f t="shared" si="56"/>
        <v>-39040</v>
      </c>
      <c r="T206" s="249">
        <f t="shared" si="57"/>
        <v>-0.18208955223880596</v>
      </c>
    </row>
    <row r="207" spans="2:21" ht="15" customHeight="1" x14ac:dyDescent="0.4">
      <c r="B207" s="38" t="s">
        <v>33</v>
      </c>
      <c r="C207" s="6" t="s">
        <v>497</v>
      </c>
      <c r="D207" s="6">
        <f t="shared" si="46"/>
        <v>1</v>
      </c>
      <c r="E207" s="34">
        <v>8</v>
      </c>
      <c r="F207" s="212">
        <v>20600</v>
      </c>
      <c r="G207" s="195">
        <v>44160</v>
      </c>
      <c r="H207" s="8"/>
      <c r="I207" s="212">
        <v>25300</v>
      </c>
      <c r="J207" s="8">
        <v>44978</v>
      </c>
      <c r="K207" s="23">
        <f t="shared" si="60"/>
        <v>140</v>
      </c>
      <c r="L207" s="23">
        <f t="shared" ref="L207:L238" si="61">IF($C207="OTC",ROUNDDOWN($I207*$E207*0.000909187,-1),(IF($C207="신한",ROUNDDOWN($I207*$E207*0.000036396,-1),(IF($C207="토스",$I207*$E207*0.00015,(IF($C207="US",(IF($I207*$E207*0.0025&gt;0.01,$I207*$E207*0.0025,0.01)),(IF($C207="JP",(IF($I207*$E207*0.0025&gt;1000,$I207*$E207*0.0025,1000)),(IF($C207="R토스",$I207*$E207*0.00015,(IF($C207="무상증자(신한)",ROUNDDOWN($I207*$E207*0.000036396,-1),"")))))))))))))</f>
        <v>180</v>
      </c>
      <c r="M207" s="206">
        <f t="shared" ref="M207:M238" si="62">Q207*0.002</f>
        <v>404.8</v>
      </c>
      <c r="N207" s="34"/>
      <c r="O207" s="209">
        <f t="shared" si="45"/>
        <v>819</v>
      </c>
      <c r="P207" s="34">
        <f t="shared" si="53"/>
        <v>164800</v>
      </c>
      <c r="Q207" s="34">
        <f t="shared" si="54"/>
        <v>202400</v>
      </c>
      <c r="R207" s="7">
        <f t="shared" si="55"/>
        <v>-724.8</v>
      </c>
      <c r="S207" s="227">
        <f t="shared" si="56"/>
        <v>36875.199999999997</v>
      </c>
      <c r="T207" s="249">
        <f t="shared" si="57"/>
        <v>0.22375728155339805</v>
      </c>
    </row>
    <row r="208" spans="2:21" ht="15" customHeight="1" x14ac:dyDescent="0.4">
      <c r="B208" s="38" t="s">
        <v>33</v>
      </c>
      <c r="C208" s="6" t="s">
        <v>497</v>
      </c>
      <c r="D208" s="6">
        <f t="shared" si="46"/>
        <v>1</v>
      </c>
      <c r="E208" s="34">
        <v>10</v>
      </c>
      <c r="F208" s="212">
        <v>19800</v>
      </c>
      <c r="G208" s="195">
        <v>44169</v>
      </c>
      <c r="H208" s="8"/>
      <c r="I208" s="212"/>
      <c r="J208" s="6"/>
      <c r="K208" s="23">
        <f t="shared" si="60"/>
        <v>180</v>
      </c>
      <c r="L208" s="23">
        <f t="shared" si="61"/>
        <v>0</v>
      </c>
      <c r="M208" s="206">
        <f t="shared" si="62"/>
        <v>0</v>
      </c>
      <c r="N208" s="34"/>
      <c r="O208" s="209">
        <f t="shared" si="45"/>
        <v>-44168</v>
      </c>
      <c r="P208" s="34">
        <f t="shared" si="53"/>
        <v>198000</v>
      </c>
      <c r="Q208" s="34">
        <f t="shared" si="54"/>
        <v>0</v>
      </c>
      <c r="R208" s="7">
        <f t="shared" si="55"/>
        <v>-180</v>
      </c>
      <c r="S208" s="227">
        <f t="shared" si="56"/>
        <v>0</v>
      </c>
      <c r="T208" s="249">
        <f t="shared" si="57"/>
        <v>0</v>
      </c>
    </row>
    <row r="209" spans="2:20" ht="15" customHeight="1" x14ac:dyDescent="0.4">
      <c r="B209" s="38" t="s">
        <v>33</v>
      </c>
      <c r="C209" s="6" t="s">
        <v>497</v>
      </c>
      <c r="D209" s="6">
        <f t="shared" si="46"/>
        <v>1</v>
      </c>
      <c r="E209" s="34">
        <v>20</v>
      </c>
      <c r="F209" s="212">
        <v>19550</v>
      </c>
      <c r="G209" s="195">
        <v>44173</v>
      </c>
      <c r="H209" s="8"/>
      <c r="I209" s="212">
        <v>26150</v>
      </c>
      <c r="J209" s="8">
        <v>44973</v>
      </c>
      <c r="K209" s="23">
        <f t="shared" si="60"/>
        <v>350</v>
      </c>
      <c r="L209" s="23">
        <f t="shared" si="61"/>
        <v>470</v>
      </c>
      <c r="M209" s="206">
        <f t="shared" si="62"/>
        <v>1046</v>
      </c>
      <c r="N209" s="34"/>
      <c r="O209" s="209">
        <f t="shared" si="45"/>
        <v>801</v>
      </c>
      <c r="P209" s="34">
        <f t="shared" si="53"/>
        <v>391000</v>
      </c>
      <c r="Q209" s="34">
        <f t="shared" si="54"/>
        <v>523000</v>
      </c>
      <c r="R209" s="7">
        <f t="shared" si="55"/>
        <v>-1866</v>
      </c>
      <c r="S209" s="227">
        <f t="shared" si="56"/>
        <v>130134</v>
      </c>
      <c r="T209" s="249">
        <f t="shared" si="57"/>
        <v>0.33282352941176468</v>
      </c>
    </row>
    <row r="210" spans="2:20" ht="15" customHeight="1" x14ac:dyDescent="0.4">
      <c r="B210" s="38" t="s">
        <v>33</v>
      </c>
      <c r="C210" s="6" t="s">
        <v>497</v>
      </c>
      <c r="D210" s="6">
        <f t="shared" si="46"/>
        <v>1</v>
      </c>
      <c r="E210" s="34">
        <v>50</v>
      </c>
      <c r="F210" s="212">
        <v>19000</v>
      </c>
      <c r="G210" s="195">
        <v>44182</v>
      </c>
      <c r="H210" s="8"/>
      <c r="I210" s="212">
        <v>26150</v>
      </c>
      <c r="J210" s="8">
        <v>44973</v>
      </c>
      <c r="K210" s="23">
        <f t="shared" si="60"/>
        <v>860</v>
      </c>
      <c r="L210" s="23">
        <f t="shared" si="61"/>
        <v>1180</v>
      </c>
      <c r="M210" s="206">
        <f t="shared" si="62"/>
        <v>2615</v>
      </c>
      <c r="N210" s="34"/>
      <c r="O210" s="209">
        <f t="shared" si="45"/>
        <v>792</v>
      </c>
      <c r="P210" s="34">
        <f t="shared" si="53"/>
        <v>950000</v>
      </c>
      <c r="Q210" s="34">
        <f t="shared" si="54"/>
        <v>1307500</v>
      </c>
      <c r="R210" s="7">
        <f t="shared" si="55"/>
        <v>-4655</v>
      </c>
      <c r="S210" s="227">
        <f t="shared" si="56"/>
        <v>352845</v>
      </c>
      <c r="T210" s="249">
        <f t="shared" si="57"/>
        <v>0.3714157894736842</v>
      </c>
    </row>
    <row r="211" spans="2:20" ht="15" customHeight="1" x14ac:dyDescent="0.4">
      <c r="B211" s="38" t="s">
        <v>33</v>
      </c>
      <c r="C211" s="6" t="s">
        <v>497</v>
      </c>
      <c r="D211" s="6">
        <f t="shared" si="46"/>
        <v>1</v>
      </c>
      <c r="E211" s="34">
        <v>23</v>
      </c>
      <c r="F211" s="212">
        <v>17800</v>
      </c>
      <c r="G211" s="195">
        <v>44278</v>
      </c>
      <c r="H211" s="8"/>
      <c r="I211" s="212">
        <v>26150</v>
      </c>
      <c r="J211" s="8">
        <v>44973</v>
      </c>
      <c r="K211" s="23">
        <f t="shared" si="60"/>
        <v>370</v>
      </c>
      <c r="L211" s="23">
        <f t="shared" si="61"/>
        <v>540</v>
      </c>
      <c r="M211" s="206">
        <f t="shared" si="62"/>
        <v>1202.9000000000001</v>
      </c>
      <c r="N211" s="34"/>
      <c r="O211" s="209">
        <f t="shared" si="45"/>
        <v>696</v>
      </c>
      <c r="P211" s="34">
        <f t="shared" si="53"/>
        <v>409400</v>
      </c>
      <c r="Q211" s="34">
        <f t="shared" si="54"/>
        <v>601450</v>
      </c>
      <c r="R211" s="7">
        <f t="shared" si="55"/>
        <v>-2112.9</v>
      </c>
      <c r="S211" s="227">
        <f t="shared" si="56"/>
        <v>189937.1</v>
      </c>
      <c r="T211" s="249">
        <f t="shared" si="57"/>
        <v>0.46394015632633123</v>
      </c>
    </row>
    <row r="212" spans="2:20" ht="15" customHeight="1" x14ac:dyDescent="0.4">
      <c r="B212" s="38" t="s">
        <v>33</v>
      </c>
      <c r="C212" s="6" t="s">
        <v>497</v>
      </c>
      <c r="D212" s="6">
        <f t="shared" si="46"/>
        <v>1</v>
      </c>
      <c r="E212" s="34">
        <v>40</v>
      </c>
      <c r="F212" s="212">
        <v>17600</v>
      </c>
      <c r="G212" s="195">
        <v>44288</v>
      </c>
      <c r="H212" s="8"/>
      <c r="I212" s="212"/>
      <c r="J212" s="6"/>
      <c r="K212" s="23">
        <f t="shared" si="60"/>
        <v>640</v>
      </c>
      <c r="L212" s="23">
        <f t="shared" si="61"/>
        <v>0</v>
      </c>
      <c r="M212" s="206">
        <f t="shared" si="62"/>
        <v>0</v>
      </c>
      <c r="N212" s="34"/>
      <c r="O212" s="209">
        <f t="shared" si="45"/>
        <v>-44287</v>
      </c>
      <c r="P212" s="34">
        <f t="shared" si="53"/>
        <v>704000</v>
      </c>
      <c r="Q212" s="34">
        <f t="shared" si="54"/>
        <v>0</v>
      </c>
      <c r="R212" s="7">
        <f t="shared" si="55"/>
        <v>-640</v>
      </c>
      <c r="S212" s="227">
        <f t="shared" si="56"/>
        <v>0</v>
      </c>
      <c r="T212" s="249">
        <f t="shared" si="57"/>
        <v>0</v>
      </c>
    </row>
    <row r="213" spans="2:20" ht="15" customHeight="1" x14ac:dyDescent="0.4">
      <c r="B213" s="38" t="s">
        <v>33</v>
      </c>
      <c r="C213" s="6" t="s">
        <v>497</v>
      </c>
      <c r="D213" s="6">
        <f t="shared" si="46"/>
        <v>1</v>
      </c>
      <c r="E213" s="34">
        <v>10</v>
      </c>
      <c r="F213" s="212">
        <v>17800</v>
      </c>
      <c r="G213" s="195">
        <v>44432</v>
      </c>
      <c r="H213" s="8"/>
      <c r="I213" s="212"/>
      <c r="J213" s="8"/>
      <c r="K213" s="23">
        <f t="shared" si="60"/>
        <v>160</v>
      </c>
      <c r="L213" s="23">
        <f t="shared" si="61"/>
        <v>0</v>
      </c>
      <c r="M213" s="206">
        <f t="shared" si="62"/>
        <v>0</v>
      </c>
      <c r="N213" s="34"/>
      <c r="O213" s="209">
        <f t="shared" si="45"/>
        <v>-44431</v>
      </c>
      <c r="P213" s="34">
        <f t="shared" si="53"/>
        <v>178000</v>
      </c>
      <c r="Q213" s="34">
        <f t="shared" si="54"/>
        <v>0</v>
      </c>
      <c r="R213" s="7">
        <f t="shared" si="55"/>
        <v>-160</v>
      </c>
      <c r="S213" s="227">
        <f t="shared" si="56"/>
        <v>0</v>
      </c>
      <c r="T213" s="249">
        <f t="shared" si="57"/>
        <v>0</v>
      </c>
    </row>
    <row r="214" spans="2:20" ht="15" customHeight="1" x14ac:dyDescent="0.4">
      <c r="B214" s="38" t="s">
        <v>33</v>
      </c>
      <c r="C214" s="6" t="s">
        <v>497</v>
      </c>
      <c r="D214" s="6">
        <f t="shared" si="46"/>
        <v>1</v>
      </c>
      <c r="E214" s="34">
        <v>20</v>
      </c>
      <c r="F214" s="212">
        <v>16500</v>
      </c>
      <c r="G214" s="195">
        <v>44505</v>
      </c>
      <c r="H214" s="8"/>
      <c r="I214" s="212"/>
      <c r="J214" s="8"/>
      <c r="K214" s="23">
        <f t="shared" si="60"/>
        <v>300</v>
      </c>
      <c r="L214" s="23">
        <f t="shared" si="61"/>
        <v>0</v>
      </c>
      <c r="M214" s="206">
        <f t="shared" si="62"/>
        <v>0</v>
      </c>
      <c r="N214" s="34"/>
      <c r="O214" s="209">
        <f t="shared" si="45"/>
        <v>-44504</v>
      </c>
      <c r="P214" s="34">
        <f t="shared" si="53"/>
        <v>330000</v>
      </c>
      <c r="Q214" s="34">
        <f t="shared" si="54"/>
        <v>0</v>
      </c>
      <c r="R214" s="7">
        <f t="shared" si="55"/>
        <v>-300</v>
      </c>
      <c r="S214" s="227">
        <f t="shared" si="56"/>
        <v>0</v>
      </c>
      <c r="T214" s="249">
        <f t="shared" si="57"/>
        <v>0</v>
      </c>
    </row>
    <row r="215" spans="2:20" ht="15" customHeight="1" x14ac:dyDescent="0.4">
      <c r="B215" s="38" t="s">
        <v>33</v>
      </c>
      <c r="C215" s="6" t="s">
        <v>497</v>
      </c>
      <c r="D215" s="6">
        <f t="shared" si="46"/>
        <v>1</v>
      </c>
      <c r="E215" s="34">
        <v>19</v>
      </c>
      <c r="F215" s="212">
        <v>16300</v>
      </c>
      <c r="G215" s="195">
        <v>44508</v>
      </c>
      <c r="H215" s="8"/>
      <c r="I215" s="212">
        <v>26150</v>
      </c>
      <c r="J215" s="8">
        <v>44973</v>
      </c>
      <c r="K215" s="23">
        <f t="shared" si="60"/>
        <v>280</v>
      </c>
      <c r="L215" s="23">
        <f t="shared" si="61"/>
        <v>450</v>
      </c>
      <c r="M215" s="206">
        <f t="shared" si="62"/>
        <v>993.7</v>
      </c>
      <c r="N215" s="34"/>
      <c r="O215" s="209">
        <f t="shared" si="45"/>
        <v>466</v>
      </c>
      <c r="P215" s="34">
        <f t="shared" si="53"/>
        <v>309700</v>
      </c>
      <c r="Q215" s="34">
        <f t="shared" si="54"/>
        <v>496850</v>
      </c>
      <c r="R215" s="7">
        <f t="shared" si="55"/>
        <v>-1723.7</v>
      </c>
      <c r="S215" s="227">
        <f t="shared" si="56"/>
        <v>185426.3</v>
      </c>
      <c r="T215" s="249">
        <f t="shared" si="57"/>
        <v>0.59872876977720368</v>
      </c>
    </row>
    <row r="216" spans="2:20" ht="15" customHeight="1" x14ac:dyDescent="0.4">
      <c r="B216" s="38" t="s">
        <v>33</v>
      </c>
      <c r="C216" s="6" t="s">
        <v>497</v>
      </c>
      <c r="D216" s="6">
        <f t="shared" si="46"/>
        <v>1</v>
      </c>
      <c r="E216" s="34">
        <v>100</v>
      </c>
      <c r="F216" s="212">
        <v>15500</v>
      </c>
      <c r="G216" s="195">
        <v>44600</v>
      </c>
      <c r="H216" s="8"/>
      <c r="I216" s="212"/>
      <c r="J216" s="8"/>
      <c r="K216" s="23">
        <f t="shared" si="60"/>
        <v>1400</v>
      </c>
      <c r="L216" s="23">
        <f t="shared" si="61"/>
        <v>0</v>
      </c>
      <c r="M216" s="206">
        <f t="shared" si="62"/>
        <v>0</v>
      </c>
      <c r="N216" s="34"/>
      <c r="O216" s="209">
        <f t="shared" si="45"/>
        <v>-44599</v>
      </c>
      <c r="P216" s="34">
        <f t="shared" si="53"/>
        <v>1550000</v>
      </c>
      <c r="Q216" s="34">
        <f t="shared" si="54"/>
        <v>0</v>
      </c>
      <c r="R216" s="7">
        <f t="shared" si="55"/>
        <v>-1400</v>
      </c>
      <c r="S216" s="227">
        <f t="shared" si="56"/>
        <v>0</v>
      </c>
      <c r="T216" s="249">
        <f t="shared" si="57"/>
        <v>0</v>
      </c>
    </row>
    <row r="217" spans="2:20" ht="15" customHeight="1" x14ac:dyDescent="0.4">
      <c r="B217" s="38" t="s">
        <v>33</v>
      </c>
      <c r="C217" s="6" t="s">
        <v>497</v>
      </c>
      <c r="D217" s="6">
        <f t="shared" si="46"/>
        <v>1</v>
      </c>
      <c r="E217" s="34">
        <v>20</v>
      </c>
      <c r="F217" s="212">
        <v>10150</v>
      </c>
      <c r="G217" s="195">
        <v>44678</v>
      </c>
      <c r="H217" s="8"/>
      <c r="I217" s="212"/>
      <c r="J217" s="8"/>
      <c r="K217" s="23">
        <f t="shared" si="60"/>
        <v>180</v>
      </c>
      <c r="L217" s="23">
        <f t="shared" si="61"/>
        <v>0</v>
      </c>
      <c r="M217" s="206">
        <f t="shared" si="62"/>
        <v>0</v>
      </c>
      <c r="N217" s="34"/>
      <c r="O217" s="209">
        <f t="shared" ref="O217:O280" si="63">J217-G217+1</f>
        <v>-44677</v>
      </c>
      <c r="P217" s="34">
        <f t="shared" si="53"/>
        <v>203000</v>
      </c>
      <c r="Q217" s="34">
        <f t="shared" si="54"/>
        <v>0</v>
      </c>
      <c r="R217" s="7">
        <f t="shared" si="55"/>
        <v>-180</v>
      </c>
      <c r="S217" s="227">
        <f t="shared" si="56"/>
        <v>0</v>
      </c>
      <c r="T217" s="249">
        <f t="shared" si="57"/>
        <v>0</v>
      </c>
    </row>
    <row r="218" spans="2:20" ht="15" customHeight="1" x14ac:dyDescent="0.4">
      <c r="B218" s="38" t="s">
        <v>33</v>
      </c>
      <c r="C218" s="6" t="s">
        <v>497</v>
      </c>
      <c r="D218" s="6">
        <f t="shared" si="46"/>
        <v>1</v>
      </c>
      <c r="E218" s="34">
        <v>15</v>
      </c>
      <c r="F218" s="212">
        <v>13000</v>
      </c>
      <c r="G218" s="195">
        <v>45077</v>
      </c>
      <c r="H218" s="8"/>
      <c r="I218" s="212"/>
      <c r="J218" s="8"/>
      <c r="K218" s="23">
        <f t="shared" si="60"/>
        <v>170</v>
      </c>
      <c r="L218" s="23">
        <f t="shared" si="61"/>
        <v>0</v>
      </c>
      <c r="M218" s="206">
        <f t="shared" si="62"/>
        <v>0</v>
      </c>
      <c r="N218" s="34"/>
      <c r="O218" s="209">
        <f t="shared" si="63"/>
        <v>-45076</v>
      </c>
      <c r="P218" s="34">
        <f t="shared" si="53"/>
        <v>195000</v>
      </c>
      <c r="Q218" s="34">
        <f t="shared" si="54"/>
        <v>0</v>
      </c>
      <c r="R218" s="7">
        <f t="shared" si="55"/>
        <v>-170</v>
      </c>
      <c r="S218" s="227">
        <f t="shared" si="56"/>
        <v>0</v>
      </c>
      <c r="T218" s="249">
        <f t="shared" si="57"/>
        <v>0</v>
      </c>
    </row>
    <row r="219" spans="2:20" ht="15" customHeight="1" x14ac:dyDescent="0.4">
      <c r="B219" s="38" t="s">
        <v>33</v>
      </c>
      <c r="C219" s="6" t="s">
        <v>497</v>
      </c>
      <c r="D219" s="6">
        <f t="shared" si="46"/>
        <v>1</v>
      </c>
      <c r="E219" s="34">
        <v>23</v>
      </c>
      <c r="F219" s="212">
        <v>12890</v>
      </c>
      <c r="G219" s="195">
        <v>45085</v>
      </c>
      <c r="H219" s="8"/>
      <c r="I219" s="212"/>
      <c r="J219" s="8"/>
      <c r="K219" s="23">
        <f t="shared" si="60"/>
        <v>260</v>
      </c>
      <c r="L219" s="23">
        <f t="shared" si="61"/>
        <v>0</v>
      </c>
      <c r="M219" s="206">
        <f t="shared" si="62"/>
        <v>0</v>
      </c>
      <c r="N219" s="34"/>
      <c r="O219" s="209">
        <f t="shared" si="63"/>
        <v>-45084</v>
      </c>
      <c r="P219" s="34">
        <f t="shared" si="53"/>
        <v>296470</v>
      </c>
      <c r="Q219" s="34">
        <f t="shared" si="54"/>
        <v>0</v>
      </c>
      <c r="R219" s="7">
        <f t="shared" si="55"/>
        <v>-260</v>
      </c>
      <c r="S219" s="227">
        <f t="shared" si="56"/>
        <v>0</v>
      </c>
      <c r="T219" s="249">
        <f t="shared" si="57"/>
        <v>0</v>
      </c>
    </row>
    <row r="220" spans="2:20" ht="15" customHeight="1" x14ac:dyDescent="0.4">
      <c r="B220" s="38" t="s">
        <v>33</v>
      </c>
      <c r="C220" s="6" t="s">
        <v>497</v>
      </c>
      <c r="D220" s="6">
        <f t="shared" si="46"/>
        <v>1</v>
      </c>
      <c r="E220" s="34">
        <v>17</v>
      </c>
      <c r="F220" s="212">
        <v>11450</v>
      </c>
      <c r="G220" s="195">
        <v>45098</v>
      </c>
      <c r="H220" s="8"/>
      <c r="I220" s="212"/>
      <c r="J220" s="8"/>
      <c r="K220" s="23">
        <f t="shared" si="60"/>
        <v>170</v>
      </c>
      <c r="L220" s="23">
        <f t="shared" si="61"/>
        <v>0</v>
      </c>
      <c r="M220" s="206">
        <f t="shared" si="62"/>
        <v>0</v>
      </c>
      <c r="N220" s="34"/>
      <c r="O220" s="209">
        <f t="shared" si="63"/>
        <v>-45097</v>
      </c>
      <c r="P220" s="34">
        <f t="shared" si="53"/>
        <v>194650</v>
      </c>
      <c r="Q220" s="34">
        <f t="shared" si="54"/>
        <v>0</v>
      </c>
      <c r="R220" s="7">
        <f t="shared" si="55"/>
        <v>-170</v>
      </c>
      <c r="S220" s="227">
        <f t="shared" si="56"/>
        <v>0</v>
      </c>
      <c r="T220" s="249">
        <f t="shared" si="57"/>
        <v>0</v>
      </c>
    </row>
    <row r="221" spans="2:20" ht="15" customHeight="1" x14ac:dyDescent="0.4">
      <c r="B221" s="38" t="s">
        <v>33</v>
      </c>
      <c r="C221" s="6" t="s">
        <v>497</v>
      </c>
      <c r="D221" s="6">
        <f t="shared" si="46"/>
        <v>1</v>
      </c>
      <c r="E221" s="34">
        <v>50</v>
      </c>
      <c r="F221" s="212">
        <v>8050</v>
      </c>
      <c r="G221" s="195">
        <v>45364</v>
      </c>
      <c r="H221" s="8"/>
      <c r="I221" s="212"/>
      <c r="J221" s="8"/>
      <c r="K221" s="23">
        <f t="shared" si="60"/>
        <v>360</v>
      </c>
      <c r="L221" s="23">
        <f t="shared" si="61"/>
        <v>0</v>
      </c>
      <c r="M221" s="206">
        <f t="shared" si="62"/>
        <v>0</v>
      </c>
      <c r="N221" s="34"/>
      <c r="O221" s="209">
        <f t="shared" si="63"/>
        <v>-45363</v>
      </c>
      <c r="P221" s="34">
        <f t="shared" si="53"/>
        <v>402500</v>
      </c>
      <c r="Q221" s="34">
        <f t="shared" si="54"/>
        <v>0</v>
      </c>
      <c r="R221" s="7">
        <f t="shared" si="55"/>
        <v>-360</v>
      </c>
      <c r="S221" s="227">
        <f t="shared" si="56"/>
        <v>0</v>
      </c>
      <c r="T221" s="249">
        <f t="shared" si="57"/>
        <v>0</v>
      </c>
    </row>
    <row r="222" spans="2:20" ht="15" customHeight="1" x14ac:dyDescent="0.4">
      <c r="B222" s="38" t="s">
        <v>33</v>
      </c>
      <c r="C222" s="6" t="s">
        <v>497</v>
      </c>
      <c r="D222" s="6">
        <f t="shared" si="46"/>
        <v>1</v>
      </c>
      <c r="E222" s="34">
        <v>37</v>
      </c>
      <c r="F222" s="212">
        <v>14280</v>
      </c>
      <c r="G222" s="195">
        <v>45630</v>
      </c>
      <c r="H222" s="8"/>
      <c r="I222" s="212"/>
      <c r="J222" s="8"/>
      <c r="K222" s="23">
        <f t="shared" si="60"/>
        <v>480</v>
      </c>
      <c r="L222" s="23">
        <f t="shared" si="61"/>
        <v>0</v>
      </c>
      <c r="M222" s="206">
        <f t="shared" si="62"/>
        <v>0</v>
      </c>
      <c r="N222" s="34"/>
      <c r="O222" s="209">
        <f t="shared" si="63"/>
        <v>-45629</v>
      </c>
      <c r="P222" s="34">
        <f t="shared" si="53"/>
        <v>528360</v>
      </c>
      <c r="Q222" s="34">
        <f t="shared" si="54"/>
        <v>0</v>
      </c>
      <c r="R222" s="7">
        <f t="shared" si="55"/>
        <v>-480</v>
      </c>
      <c r="S222" s="227">
        <f t="shared" si="56"/>
        <v>0</v>
      </c>
      <c r="T222" s="249">
        <f t="shared" si="57"/>
        <v>0</v>
      </c>
    </row>
    <row r="223" spans="2:20" ht="15" customHeight="1" x14ac:dyDescent="0.4">
      <c r="B223" s="38" t="s">
        <v>33</v>
      </c>
      <c r="C223" s="6" t="s">
        <v>497</v>
      </c>
      <c r="D223" s="6">
        <f t="shared" si="46"/>
        <v>1</v>
      </c>
      <c r="E223" s="34">
        <v>50</v>
      </c>
      <c r="F223" s="212">
        <v>14125</v>
      </c>
      <c r="G223" s="195">
        <v>45631</v>
      </c>
      <c r="H223" s="8"/>
      <c r="I223" s="212"/>
      <c r="J223" s="8"/>
      <c r="K223" s="23">
        <f t="shared" si="60"/>
        <v>640</v>
      </c>
      <c r="L223" s="23">
        <f t="shared" si="61"/>
        <v>0</v>
      </c>
      <c r="M223" s="206">
        <f t="shared" si="62"/>
        <v>0</v>
      </c>
      <c r="N223" s="34"/>
      <c r="O223" s="209">
        <f t="shared" si="63"/>
        <v>-45630</v>
      </c>
      <c r="P223" s="34">
        <f t="shared" si="53"/>
        <v>706250</v>
      </c>
      <c r="Q223" s="34">
        <f t="shared" si="54"/>
        <v>0</v>
      </c>
      <c r="R223" s="7">
        <f t="shared" si="55"/>
        <v>-640</v>
      </c>
      <c r="S223" s="227">
        <f t="shared" si="56"/>
        <v>0</v>
      </c>
      <c r="T223" s="249">
        <f t="shared" si="57"/>
        <v>0</v>
      </c>
    </row>
    <row r="224" spans="2:20" ht="15" customHeight="1" x14ac:dyDescent="0.4">
      <c r="B224" s="38" t="s">
        <v>33</v>
      </c>
      <c r="C224" s="6" t="s">
        <v>497</v>
      </c>
      <c r="D224" s="6">
        <f t="shared" si="46"/>
        <v>1</v>
      </c>
      <c r="E224" s="34">
        <v>15</v>
      </c>
      <c r="F224" s="212">
        <v>12810</v>
      </c>
      <c r="G224" s="195">
        <v>45635</v>
      </c>
      <c r="H224" s="8"/>
      <c r="I224" s="212"/>
      <c r="J224" s="8"/>
      <c r="K224" s="23">
        <f t="shared" si="60"/>
        <v>170</v>
      </c>
      <c r="L224" s="23">
        <f t="shared" si="61"/>
        <v>0</v>
      </c>
      <c r="M224" s="206">
        <f t="shared" si="62"/>
        <v>0</v>
      </c>
      <c r="N224" s="34"/>
      <c r="O224" s="209">
        <f t="shared" si="63"/>
        <v>-45634</v>
      </c>
      <c r="P224" s="34">
        <f t="shared" si="53"/>
        <v>192150</v>
      </c>
      <c r="Q224" s="34">
        <f t="shared" si="54"/>
        <v>0</v>
      </c>
      <c r="R224" s="7">
        <f t="shared" si="55"/>
        <v>-170</v>
      </c>
      <c r="S224" s="227">
        <f t="shared" si="56"/>
        <v>0</v>
      </c>
      <c r="T224" s="249">
        <f t="shared" si="57"/>
        <v>0</v>
      </c>
    </row>
    <row r="225" spans="2:20" ht="15" customHeight="1" x14ac:dyDescent="0.4">
      <c r="B225" s="38" t="s">
        <v>33</v>
      </c>
      <c r="C225" s="6" t="s">
        <v>497</v>
      </c>
      <c r="D225" s="6">
        <f t="shared" ref="D225:D279" si="64">IF(OR($C225="신한",$C225="OTC",$C225="무상증자(신한)",$C225="토스",$C225="R토스"),1,"확인")</f>
        <v>1</v>
      </c>
      <c r="E225" s="34">
        <v>34</v>
      </c>
      <c r="F225" s="212">
        <v>8800</v>
      </c>
      <c r="G225" s="195">
        <v>45673</v>
      </c>
      <c r="H225" s="8"/>
      <c r="I225" s="212"/>
      <c r="J225" s="8"/>
      <c r="K225" s="23">
        <f t="shared" si="60"/>
        <v>270</v>
      </c>
      <c r="L225" s="23">
        <f t="shared" si="61"/>
        <v>0</v>
      </c>
      <c r="M225" s="206">
        <f t="shared" si="62"/>
        <v>0</v>
      </c>
      <c r="N225" s="34"/>
      <c r="O225" s="209">
        <f t="shared" si="63"/>
        <v>-45672</v>
      </c>
      <c r="P225" s="34">
        <f t="shared" si="53"/>
        <v>299200</v>
      </c>
      <c r="Q225" s="34">
        <f t="shared" si="54"/>
        <v>0</v>
      </c>
      <c r="R225" s="7">
        <f t="shared" si="55"/>
        <v>-270</v>
      </c>
      <c r="S225" s="227">
        <f t="shared" si="56"/>
        <v>0</v>
      </c>
      <c r="T225" s="249">
        <f t="shared" si="57"/>
        <v>0</v>
      </c>
    </row>
    <row r="226" spans="2:20" ht="15" customHeight="1" x14ac:dyDescent="0.4">
      <c r="B226" s="38" t="s">
        <v>33</v>
      </c>
      <c r="C226" s="6" t="s">
        <v>497</v>
      </c>
      <c r="D226" s="6">
        <f t="shared" si="64"/>
        <v>1</v>
      </c>
      <c r="E226" s="34">
        <v>50</v>
      </c>
      <c r="F226" s="212">
        <v>8300</v>
      </c>
      <c r="G226" s="195">
        <v>45677</v>
      </c>
      <c r="H226" s="8"/>
      <c r="I226" s="212"/>
      <c r="J226" s="8"/>
      <c r="K226" s="23">
        <f t="shared" si="60"/>
        <v>370</v>
      </c>
      <c r="L226" s="23">
        <f t="shared" si="61"/>
        <v>0</v>
      </c>
      <c r="M226" s="206">
        <f t="shared" si="62"/>
        <v>0</v>
      </c>
      <c r="N226" s="34"/>
      <c r="O226" s="209">
        <f t="shared" si="63"/>
        <v>-45676</v>
      </c>
      <c r="P226" s="34">
        <f t="shared" si="53"/>
        <v>415000</v>
      </c>
      <c r="Q226" s="34">
        <f t="shared" si="54"/>
        <v>0</v>
      </c>
      <c r="R226" s="7">
        <f t="shared" si="55"/>
        <v>-370</v>
      </c>
      <c r="S226" s="227">
        <f t="shared" si="56"/>
        <v>0</v>
      </c>
      <c r="T226" s="249">
        <f t="shared" si="57"/>
        <v>0</v>
      </c>
    </row>
    <row r="227" spans="2:20" ht="15" customHeight="1" x14ac:dyDescent="0.4">
      <c r="B227" s="38" t="s">
        <v>33</v>
      </c>
      <c r="C227" s="6" t="s">
        <v>497</v>
      </c>
      <c r="D227" s="6">
        <f t="shared" si="64"/>
        <v>1</v>
      </c>
      <c r="E227" s="34">
        <v>100</v>
      </c>
      <c r="F227" s="212">
        <v>8000</v>
      </c>
      <c r="G227" s="195">
        <v>45691</v>
      </c>
      <c r="H227" s="8"/>
      <c r="I227" s="212"/>
      <c r="J227" s="8"/>
      <c r="K227" s="23">
        <f t="shared" si="60"/>
        <v>720</v>
      </c>
      <c r="L227" s="23">
        <f t="shared" si="61"/>
        <v>0</v>
      </c>
      <c r="M227" s="206">
        <f t="shared" si="62"/>
        <v>0</v>
      </c>
      <c r="N227" s="34"/>
      <c r="O227" s="209">
        <f t="shared" si="63"/>
        <v>-45690</v>
      </c>
      <c r="P227" s="34">
        <f t="shared" si="53"/>
        <v>800000</v>
      </c>
      <c r="Q227" s="34">
        <f t="shared" si="54"/>
        <v>0</v>
      </c>
      <c r="R227" s="7">
        <f t="shared" si="55"/>
        <v>-720</v>
      </c>
      <c r="S227" s="227">
        <f t="shared" si="56"/>
        <v>0</v>
      </c>
      <c r="T227" s="249">
        <f t="shared" si="57"/>
        <v>0</v>
      </c>
    </row>
    <row r="228" spans="2:20" ht="15" customHeight="1" x14ac:dyDescent="0.4">
      <c r="B228" s="38" t="s">
        <v>33</v>
      </c>
      <c r="C228" s="6" t="s">
        <v>497</v>
      </c>
      <c r="D228" s="6">
        <f t="shared" si="64"/>
        <v>1</v>
      </c>
      <c r="E228" s="34">
        <v>36</v>
      </c>
      <c r="F228" s="212">
        <v>8250</v>
      </c>
      <c r="G228" s="195">
        <v>45699</v>
      </c>
      <c r="H228" s="8"/>
      <c r="I228" s="212"/>
      <c r="J228" s="8"/>
      <c r="K228" s="23">
        <f t="shared" si="60"/>
        <v>270</v>
      </c>
      <c r="L228" s="23">
        <f t="shared" si="61"/>
        <v>0</v>
      </c>
      <c r="M228" s="206">
        <f t="shared" si="62"/>
        <v>0</v>
      </c>
      <c r="N228" s="34"/>
      <c r="O228" s="209">
        <f t="shared" si="63"/>
        <v>-45698</v>
      </c>
      <c r="P228" s="34">
        <f t="shared" si="53"/>
        <v>297000</v>
      </c>
      <c r="Q228" s="34">
        <f t="shared" si="54"/>
        <v>0</v>
      </c>
      <c r="R228" s="7">
        <f t="shared" si="55"/>
        <v>-270</v>
      </c>
      <c r="S228" s="227">
        <f t="shared" si="56"/>
        <v>0</v>
      </c>
      <c r="T228" s="249">
        <f t="shared" si="57"/>
        <v>0</v>
      </c>
    </row>
    <row r="229" spans="2:20" ht="15" customHeight="1" x14ac:dyDescent="0.4">
      <c r="B229" s="38" t="s">
        <v>33</v>
      </c>
      <c r="C229" s="6" t="s">
        <v>497</v>
      </c>
      <c r="D229" s="6">
        <f t="shared" si="64"/>
        <v>1</v>
      </c>
      <c r="E229" s="34">
        <v>10</v>
      </c>
      <c r="F229" s="212">
        <v>8000</v>
      </c>
      <c r="G229" s="195">
        <v>45701</v>
      </c>
      <c r="H229" s="8"/>
      <c r="I229" s="212"/>
      <c r="J229" s="8"/>
      <c r="K229" s="23">
        <f t="shared" si="60"/>
        <v>70</v>
      </c>
      <c r="L229" s="23">
        <f t="shared" si="61"/>
        <v>0</v>
      </c>
      <c r="M229" s="206">
        <f t="shared" si="62"/>
        <v>0</v>
      </c>
      <c r="N229" s="34"/>
      <c r="O229" s="209">
        <f t="shared" si="63"/>
        <v>-45700</v>
      </c>
      <c r="P229" s="34">
        <f t="shared" si="53"/>
        <v>80000</v>
      </c>
      <c r="Q229" s="34">
        <f t="shared" si="54"/>
        <v>0</v>
      </c>
      <c r="R229" s="7">
        <f t="shared" si="55"/>
        <v>-70</v>
      </c>
      <c r="S229" s="227">
        <f t="shared" si="56"/>
        <v>0</v>
      </c>
      <c r="T229" s="249">
        <f t="shared" si="57"/>
        <v>0</v>
      </c>
    </row>
    <row r="230" spans="2:20" ht="15" customHeight="1" x14ac:dyDescent="0.4">
      <c r="B230" s="38" t="s">
        <v>33</v>
      </c>
      <c r="C230" s="6" t="s">
        <v>497</v>
      </c>
      <c r="D230" s="6">
        <f t="shared" si="64"/>
        <v>1</v>
      </c>
      <c r="E230" s="34">
        <v>25</v>
      </c>
      <c r="F230" s="212">
        <v>7700</v>
      </c>
      <c r="G230" s="195">
        <v>45705</v>
      </c>
      <c r="H230" s="8"/>
      <c r="I230" s="212"/>
      <c r="J230" s="8"/>
      <c r="K230" s="23">
        <f t="shared" si="60"/>
        <v>170</v>
      </c>
      <c r="L230" s="23">
        <f t="shared" si="61"/>
        <v>0</v>
      </c>
      <c r="M230" s="206">
        <f t="shared" si="62"/>
        <v>0</v>
      </c>
      <c r="N230" s="34"/>
      <c r="O230" s="209">
        <f t="shared" si="63"/>
        <v>-45704</v>
      </c>
      <c r="P230" s="34">
        <f t="shared" si="53"/>
        <v>192500</v>
      </c>
      <c r="Q230" s="34">
        <f t="shared" si="54"/>
        <v>0</v>
      </c>
      <c r="R230" s="7">
        <f t="shared" si="55"/>
        <v>-170</v>
      </c>
      <c r="S230" s="227">
        <f t="shared" si="56"/>
        <v>0</v>
      </c>
      <c r="T230" s="249">
        <f t="shared" si="57"/>
        <v>0</v>
      </c>
    </row>
    <row r="231" spans="2:20" ht="15" customHeight="1" x14ac:dyDescent="0.4">
      <c r="B231" s="38" t="s">
        <v>33</v>
      </c>
      <c r="C231" s="6" t="s">
        <v>497</v>
      </c>
      <c r="D231" s="6">
        <f t="shared" si="64"/>
        <v>1</v>
      </c>
      <c r="E231" s="34">
        <v>15</v>
      </c>
      <c r="F231" s="212">
        <v>7470</v>
      </c>
      <c r="G231" s="195">
        <v>45707</v>
      </c>
      <c r="H231" s="8"/>
      <c r="I231" s="212"/>
      <c r="J231" s="8"/>
      <c r="K231" s="23">
        <f t="shared" si="60"/>
        <v>100</v>
      </c>
      <c r="L231" s="23">
        <f t="shared" si="61"/>
        <v>0</v>
      </c>
      <c r="M231" s="206">
        <f t="shared" si="62"/>
        <v>0</v>
      </c>
      <c r="N231" s="34"/>
      <c r="O231" s="209">
        <f t="shared" si="63"/>
        <v>-45706</v>
      </c>
      <c r="P231" s="34">
        <f t="shared" si="53"/>
        <v>112050</v>
      </c>
      <c r="Q231" s="34">
        <f t="shared" si="54"/>
        <v>0</v>
      </c>
      <c r="R231" s="7">
        <f t="shared" si="55"/>
        <v>-100</v>
      </c>
      <c r="S231" s="227">
        <f t="shared" si="56"/>
        <v>0</v>
      </c>
      <c r="T231" s="249">
        <f t="shared" si="57"/>
        <v>0</v>
      </c>
    </row>
    <row r="232" spans="2:20" ht="15" customHeight="1" x14ac:dyDescent="0.4">
      <c r="B232" s="38" t="s">
        <v>33</v>
      </c>
      <c r="C232" s="6" t="s">
        <v>497</v>
      </c>
      <c r="D232" s="6">
        <f t="shared" si="64"/>
        <v>1</v>
      </c>
      <c r="E232" s="34">
        <v>14</v>
      </c>
      <c r="F232" s="212">
        <v>7200</v>
      </c>
      <c r="G232" s="195">
        <v>45709</v>
      </c>
      <c r="H232" s="8"/>
      <c r="I232" s="212"/>
      <c r="J232" s="8"/>
      <c r="K232" s="23">
        <f t="shared" si="60"/>
        <v>90</v>
      </c>
      <c r="L232" s="23">
        <f t="shared" si="61"/>
        <v>0</v>
      </c>
      <c r="M232" s="206">
        <f t="shared" si="62"/>
        <v>0</v>
      </c>
      <c r="N232" s="34"/>
      <c r="O232" s="209">
        <f t="shared" si="63"/>
        <v>-45708</v>
      </c>
      <c r="P232" s="34">
        <f t="shared" si="53"/>
        <v>100800</v>
      </c>
      <c r="Q232" s="34">
        <f t="shared" si="54"/>
        <v>0</v>
      </c>
      <c r="R232" s="7">
        <f t="shared" si="55"/>
        <v>-90</v>
      </c>
      <c r="S232" s="227">
        <f t="shared" si="56"/>
        <v>0</v>
      </c>
      <c r="T232" s="249">
        <f t="shared" si="57"/>
        <v>0</v>
      </c>
    </row>
    <row r="233" spans="2:20" ht="15" customHeight="1" x14ac:dyDescent="0.4">
      <c r="B233" s="38" t="s">
        <v>33</v>
      </c>
      <c r="C233" s="6" t="s">
        <v>497</v>
      </c>
      <c r="D233" s="6">
        <f t="shared" si="64"/>
        <v>1</v>
      </c>
      <c r="E233" s="34">
        <v>14</v>
      </c>
      <c r="F233" s="212">
        <v>7010</v>
      </c>
      <c r="G233" s="195">
        <v>45713</v>
      </c>
      <c r="H233" s="8"/>
      <c r="I233" s="212"/>
      <c r="J233" s="8"/>
      <c r="K233" s="23">
        <f t="shared" si="60"/>
        <v>80</v>
      </c>
      <c r="L233" s="23">
        <f t="shared" si="61"/>
        <v>0</v>
      </c>
      <c r="M233" s="206">
        <f t="shared" si="62"/>
        <v>0</v>
      </c>
      <c r="N233" s="34"/>
      <c r="O233" s="209">
        <f t="shared" si="63"/>
        <v>-45712</v>
      </c>
      <c r="P233" s="34">
        <f t="shared" si="53"/>
        <v>98140</v>
      </c>
      <c r="Q233" s="34">
        <f t="shared" si="54"/>
        <v>0</v>
      </c>
      <c r="R233" s="7">
        <f t="shared" si="55"/>
        <v>-80</v>
      </c>
      <c r="S233" s="227">
        <f t="shared" si="56"/>
        <v>0</v>
      </c>
      <c r="T233" s="249">
        <f t="shared" si="57"/>
        <v>0</v>
      </c>
    </row>
    <row r="234" spans="2:20" ht="15" customHeight="1" x14ac:dyDescent="0.4">
      <c r="B234" s="38" t="s">
        <v>33</v>
      </c>
      <c r="C234" s="6" t="s">
        <v>497</v>
      </c>
      <c r="D234" s="6">
        <f t="shared" si="64"/>
        <v>1</v>
      </c>
      <c r="E234" s="34">
        <v>14</v>
      </c>
      <c r="F234" s="212">
        <v>7000</v>
      </c>
      <c r="G234" s="195">
        <v>45714</v>
      </c>
      <c r="H234" s="8"/>
      <c r="I234" s="212"/>
      <c r="J234" s="8"/>
      <c r="K234" s="23">
        <f t="shared" si="60"/>
        <v>80</v>
      </c>
      <c r="L234" s="23">
        <f t="shared" si="61"/>
        <v>0</v>
      </c>
      <c r="M234" s="206">
        <f t="shared" si="62"/>
        <v>0</v>
      </c>
      <c r="N234" s="34"/>
      <c r="O234" s="209">
        <f t="shared" si="63"/>
        <v>-45713</v>
      </c>
      <c r="P234" s="34">
        <f t="shared" si="53"/>
        <v>98000</v>
      </c>
      <c r="Q234" s="34">
        <f t="shared" si="54"/>
        <v>0</v>
      </c>
      <c r="R234" s="7">
        <f t="shared" si="55"/>
        <v>-80</v>
      </c>
      <c r="S234" s="227">
        <f t="shared" si="56"/>
        <v>0</v>
      </c>
      <c r="T234" s="249">
        <f t="shared" si="57"/>
        <v>0</v>
      </c>
    </row>
    <row r="235" spans="2:20" ht="15" customHeight="1" x14ac:dyDescent="0.4">
      <c r="B235" s="38" t="s">
        <v>33</v>
      </c>
      <c r="C235" s="6" t="s">
        <v>497</v>
      </c>
      <c r="D235" s="6">
        <f t="shared" si="64"/>
        <v>1</v>
      </c>
      <c r="E235" s="34">
        <v>11</v>
      </c>
      <c r="F235" s="212">
        <v>7750</v>
      </c>
      <c r="G235" s="195">
        <v>45741</v>
      </c>
      <c r="H235" s="8"/>
      <c r="I235" s="212"/>
      <c r="J235" s="8"/>
      <c r="K235" s="23">
        <f t="shared" si="60"/>
        <v>70</v>
      </c>
      <c r="L235" s="23">
        <f t="shared" si="61"/>
        <v>0</v>
      </c>
      <c r="M235" s="206">
        <f t="shared" si="62"/>
        <v>0</v>
      </c>
      <c r="N235" s="34"/>
      <c r="O235" s="209">
        <f t="shared" si="63"/>
        <v>-45740</v>
      </c>
      <c r="P235" s="34">
        <f t="shared" si="53"/>
        <v>85250</v>
      </c>
      <c r="Q235" s="34">
        <f t="shared" si="54"/>
        <v>0</v>
      </c>
      <c r="R235" s="7">
        <f t="shared" si="55"/>
        <v>-70</v>
      </c>
      <c r="S235" s="227">
        <f t="shared" si="56"/>
        <v>0</v>
      </c>
      <c r="T235" s="249">
        <f t="shared" si="57"/>
        <v>0</v>
      </c>
    </row>
    <row r="236" spans="2:20" ht="15" customHeight="1" x14ac:dyDescent="0.4">
      <c r="B236" s="38" t="s">
        <v>33</v>
      </c>
      <c r="C236" s="6" t="s">
        <v>497</v>
      </c>
      <c r="D236" s="6">
        <f t="shared" si="64"/>
        <v>1</v>
      </c>
      <c r="E236" s="34">
        <v>30</v>
      </c>
      <c r="F236" s="212">
        <v>7100</v>
      </c>
      <c r="G236" s="195">
        <v>45754</v>
      </c>
      <c r="H236" s="8"/>
      <c r="I236" s="212"/>
      <c r="J236" s="8"/>
      <c r="K236" s="23">
        <f t="shared" si="60"/>
        <v>190</v>
      </c>
      <c r="L236" s="23">
        <f t="shared" si="61"/>
        <v>0</v>
      </c>
      <c r="M236" s="206">
        <f t="shared" si="62"/>
        <v>0</v>
      </c>
      <c r="N236" s="34"/>
      <c r="O236" s="209">
        <f t="shared" si="63"/>
        <v>-45753</v>
      </c>
      <c r="P236" s="34">
        <f t="shared" si="53"/>
        <v>213000</v>
      </c>
      <c r="Q236" s="34">
        <f t="shared" si="54"/>
        <v>0</v>
      </c>
      <c r="R236" s="7">
        <f t="shared" si="55"/>
        <v>-190</v>
      </c>
      <c r="S236" s="227">
        <f t="shared" si="56"/>
        <v>0</v>
      </c>
      <c r="T236" s="249">
        <f t="shared" si="57"/>
        <v>0</v>
      </c>
    </row>
    <row r="237" spans="2:20" ht="15" customHeight="1" x14ac:dyDescent="0.4">
      <c r="B237" s="38" t="s">
        <v>33</v>
      </c>
      <c r="C237" s="6" t="s">
        <v>497</v>
      </c>
      <c r="D237" s="6">
        <f t="shared" si="64"/>
        <v>1</v>
      </c>
      <c r="E237" s="34">
        <v>100</v>
      </c>
      <c r="F237" s="212">
        <v>8390</v>
      </c>
      <c r="G237" s="195">
        <v>45825</v>
      </c>
      <c r="H237" s="8"/>
      <c r="I237" s="212"/>
      <c r="J237" s="8"/>
      <c r="K237" s="23">
        <f t="shared" ref="K237:K268" si="65">IF($C237="OTC",ROUNDDOWN($E237*$F237*0.000909187,-1),(IF($C237="신한",ROUNDDOWN($E237*$F237*0.000036396,-1),(IF($C237="토스",$E237*$F237*0.00015,(IF($C237="US",(IF($E237*$F237*0.0025&gt;0.01,$E237*$F237*0.0025,0.01)),IF($C237="JP",(IF($E237*$F237*0.0025&gt;1000,$E237*$F237*0.0025,1000)),(IF($C237="R토스",0,IF($C237="무상증자(신한)",0,"")))))))))))</f>
        <v>760</v>
      </c>
      <c r="L237" s="23">
        <f t="shared" si="61"/>
        <v>0</v>
      </c>
      <c r="M237" s="206">
        <f t="shared" si="62"/>
        <v>0</v>
      </c>
      <c r="N237" s="34"/>
      <c r="O237" s="209">
        <f t="shared" si="63"/>
        <v>-45824</v>
      </c>
      <c r="P237" s="34">
        <f t="shared" si="53"/>
        <v>839000</v>
      </c>
      <c r="Q237" s="34">
        <f t="shared" si="54"/>
        <v>0</v>
      </c>
      <c r="R237" s="7">
        <f t="shared" si="55"/>
        <v>-760</v>
      </c>
      <c r="S237" s="227">
        <f t="shared" si="56"/>
        <v>0</v>
      </c>
      <c r="T237" s="249">
        <f t="shared" si="57"/>
        <v>0</v>
      </c>
    </row>
    <row r="238" spans="2:20" ht="15" customHeight="1" x14ac:dyDescent="0.4">
      <c r="B238" s="38" t="s">
        <v>33</v>
      </c>
      <c r="C238" s="6" t="s">
        <v>497</v>
      </c>
      <c r="D238" s="6">
        <f t="shared" si="64"/>
        <v>1</v>
      </c>
      <c r="E238" s="34">
        <v>100</v>
      </c>
      <c r="F238" s="212">
        <v>8220</v>
      </c>
      <c r="G238" s="195">
        <v>45825</v>
      </c>
      <c r="H238" s="8"/>
      <c r="I238" s="212"/>
      <c r="J238" s="8"/>
      <c r="K238" s="23">
        <f t="shared" si="65"/>
        <v>740</v>
      </c>
      <c r="L238" s="23">
        <f t="shared" si="61"/>
        <v>0</v>
      </c>
      <c r="M238" s="206">
        <f t="shared" si="62"/>
        <v>0</v>
      </c>
      <c r="N238" s="34"/>
      <c r="O238" s="209">
        <f t="shared" si="63"/>
        <v>-45824</v>
      </c>
      <c r="P238" s="34">
        <f t="shared" si="53"/>
        <v>822000</v>
      </c>
      <c r="Q238" s="34">
        <f t="shared" si="54"/>
        <v>0</v>
      </c>
      <c r="R238" s="7">
        <f t="shared" si="55"/>
        <v>-740</v>
      </c>
      <c r="S238" s="227">
        <f t="shared" si="56"/>
        <v>0</v>
      </c>
      <c r="T238" s="249">
        <f t="shared" si="57"/>
        <v>0</v>
      </c>
    </row>
    <row r="239" spans="2:20" ht="15" customHeight="1" x14ac:dyDescent="0.4">
      <c r="B239" s="38" t="s">
        <v>33</v>
      </c>
      <c r="C239" s="6" t="s">
        <v>497</v>
      </c>
      <c r="D239" s="6">
        <f t="shared" si="64"/>
        <v>1</v>
      </c>
      <c r="E239" s="34">
        <v>80</v>
      </c>
      <c r="F239" s="212">
        <v>8400</v>
      </c>
      <c r="G239" s="195">
        <v>45826</v>
      </c>
      <c r="H239" s="8"/>
      <c r="I239" s="212"/>
      <c r="J239" s="8"/>
      <c r="K239" s="23">
        <f t="shared" si="65"/>
        <v>610</v>
      </c>
      <c r="L239" s="23">
        <f t="shared" ref="L239:L270" si="66">IF($C239="OTC",ROUNDDOWN($I239*$E239*0.000909187,-1),(IF($C239="신한",ROUNDDOWN($I239*$E239*0.000036396,-1),(IF($C239="토스",$I239*$E239*0.00015,(IF($C239="US",(IF($I239*$E239*0.0025&gt;0.01,$I239*$E239*0.0025,0.01)),(IF($C239="JP",(IF($I239*$E239*0.0025&gt;1000,$I239*$E239*0.0025,1000)),(IF($C239="R토스",$I239*$E239*0.00015,(IF($C239="무상증자(신한)",ROUNDDOWN($I239*$E239*0.000036396,-1),"")))))))))))))</f>
        <v>0</v>
      </c>
      <c r="M239" s="206">
        <f t="shared" ref="M239:M270" si="67">Q239*0.002</f>
        <v>0</v>
      </c>
      <c r="N239" s="34"/>
      <c r="O239" s="209">
        <f t="shared" si="63"/>
        <v>-45825</v>
      </c>
      <c r="P239" s="34">
        <f t="shared" si="53"/>
        <v>672000</v>
      </c>
      <c r="Q239" s="34">
        <f t="shared" si="54"/>
        <v>0</v>
      </c>
      <c r="R239" s="7">
        <f t="shared" si="55"/>
        <v>-610</v>
      </c>
      <c r="S239" s="227">
        <f t="shared" si="56"/>
        <v>0</v>
      </c>
      <c r="T239" s="249">
        <f t="shared" si="57"/>
        <v>0</v>
      </c>
    </row>
    <row r="240" spans="2:20" ht="15" customHeight="1" x14ac:dyDescent="0.4">
      <c r="B240" s="38" t="s">
        <v>33</v>
      </c>
      <c r="C240" s="6" t="s">
        <v>497</v>
      </c>
      <c r="D240" s="6">
        <f t="shared" si="64"/>
        <v>1</v>
      </c>
      <c r="E240" s="34">
        <v>10</v>
      </c>
      <c r="F240" s="212">
        <v>7100</v>
      </c>
      <c r="G240" s="195">
        <v>45862</v>
      </c>
      <c r="H240" s="8"/>
      <c r="I240" s="212"/>
      <c r="J240" s="8"/>
      <c r="K240" s="23">
        <f t="shared" si="65"/>
        <v>60</v>
      </c>
      <c r="L240" s="23">
        <f t="shared" si="66"/>
        <v>0</v>
      </c>
      <c r="M240" s="206">
        <f t="shared" si="67"/>
        <v>0</v>
      </c>
      <c r="N240" s="34"/>
      <c r="O240" s="209">
        <f t="shared" si="63"/>
        <v>-45861</v>
      </c>
      <c r="P240" s="34">
        <f t="shared" si="53"/>
        <v>71000</v>
      </c>
      <c r="Q240" s="34">
        <f t="shared" si="54"/>
        <v>0</v>
      </c>
      <c r="R240" s="7">
        <f t="shared" si="55"/>
        <v>-60</v>
      </c>
      <c r="S240" s="227">
        <f t="shared" si="56"/>
        <v>0</v>
      </c>
      <c r="T240" s="249">
        <f t="shared" si="57"/>
        <v>0</v>
      </c>
    </row>
    <row r="241" spans="2:21" ht="15" customHeight="1" x14ac:dyDescent="0.4">
      <c r="B241" s="38" t="s">
        <v>33</v>
      </c>
      <c r="C241" s="6" t="s">
        <v>497</v>
      </c>
      <c r="D241" s="6">
        <f t="shared" si="64"/>
        <v>1</v>
      </c>
      <c r="E241" s="34">
        <v>60</v>
      </c>
      <c r="F241" s="212">
        <v>7000</v>
      </c>
      <c r="G241" s="195">
        <v>45932</v>
      </c>
      <c r="H241" s="8"/>
      <c r="I241" s="212"/>
      <c r="J241" s="8"/>
      <c r="K241" s="23">
        <f t="shared" si="65"/>
        <v>380</v>
      </c>
      <c r="L241" s="23">
        <f t="shared" si="66"/>
        <v>0</v>
      </c>
      <c r="M241" s="206">
        <f t="shared" si="67"/>
        <v>0</v>
      </c>
      <c r="N241" s="34"/>
      <c r="O241" s="209">
        <f t="shared" si="63"/>
        <v>-45931</v>
      </c>
      <c r="P241" s="34">
        <f t="shared" si="53"/>
        <v>420000</v>
      </c>
      <c r="Q241" s="34">
        <f t="shared" si="54"/>
        <v>0</v>
      </c>
      <c r="R241" s="7">
        <f t="shared" si="55"/>
        <v>-380</v>
      </c>
      <c r="S241" s="227">
        <f t="shared" si="56"/>
        <v>0</v>
      </c>
      <c r="T241" s="249">
        <f t="shared" si="57"/>
        <v>0</v>
      </c>
    </row>
    <row r="242" spans="2:21" ht="15" customHeight="1" x14ac:dyDescent="0.4">
      <c r="B242" s="38" t="s">
        <v>24</v>
      </c>
      <c r="C242" s="6" t="s">
        <v>160</v>
      </c>
      <c r="D242" s="6">
        <f t="shared" si="64"/>
        <v>1</v>
      </c>
      <c r="E242" s="34">
        <v>100</v>
      </c>
      <c r="F242" s="212">
        <v>7190</v>
      </c>
      <c r="G242" s="195">
        <v>45839</v>
      </c>
      <c r="H242" s="8"/>
      <c r="I242" s="212"/>
      <c r="J242" s="8"/>
      <c r="K242" s="23">
        <f t="shared" si="65"/>
        <v>20</v>
      </c>
      <c r="L242" s="23">
        <f t="shared" si="66"/>
        <v>0</v>
      </c>
      <c r="M242" s="206">
        <f t="shared" si="67"/>
        <v>0</v>
      </c>
      <c r="N242" s="34"/>
      <c r="O242" s="209">
        <f t="shared" si="63"/>
        <v>-45838</v>
      </c>
      <c r="P242" s="34">
        <f t="shared" si="53"/>
        <v>719000</v>
      </c>
      <c r="Q242" s="34">
        <f t="shared" si="54"/>
        <v>0</v>
      </c>
      <c r="R242" s="7">
        <f t="shared" si="55"/>
        <v>-20</v>
      </c>
      <c r="S242" s="227">
        <f t="shared" si="56"/>
        <v>0</v>
      </c>
      <c r="T242" s="249">
        <f t="shared" si="57"/>
        <v>0</v>
      </c>
    </row>
    <row r="243" spans="2:21" ht="15" customHeight="1" x14ac:dyDescent="0.4">
      <c r="B243" s="38" t="s">
        <v>24</v>
      </c>
      <c r="C243" s="6" t="s">
        <v>160</v>
      </c>
      <c r="D243" s="6">
        <f t="shared" si="64"/>
        <v>1</v>
      </c>
      <c r="E243" s="34">
        <v>100</v>
      </c>
      <c r="F243" s="212">
        <v>7170</v>
      </c>
      <c r="G243" s="195">
        <v>45839</v>
      </c>
      <c r="H243" s="8"/>
      <c r="I243" s="212"/>
      <c r="J243" s="8"/>
      <c r="K243" s="23">
        <f t="shared" si="65"/>
        <v>20</v>
      </c>
      <c r="L243" s="23">
        <f t="shared" si="66"/>
        <v>0</v>
      </c>
      <c r="M243" s="206">
        <f t="shared" si="67"/>
        <v>0</v>
      </c>
      <c r="N243" s="34"/>
      <c r="O243" s="209">
        <f t="shared" si="63"/>
        <v>-45838</v>
      </c>
      <c r="P243" s="34">
        <f t="shared" si="53"/>
        <v>717000</v>
      </c>
      <c r="Q243" s="34">
        <f t="shared" si="54"/>
        <v>0</v>
      </c>
      <c r="R243" s="7">
        <f t="shared" si="55"/>
        <v>-20</v>
      </c>
      <c r="S243" s="227">
        <f t="shared" si="56"/>
        <v>0</v>
      </c>
      <c r="T243" s="249">
        <f t="shared" si="57"/>
        <v>0</v>
      </c>
    </row>
    <row r="244" spans="2:21" ht="15" customHeight="1" x14ac:dyDescent="0.4">
      <c r="B244" s="38" t="s">
        <v>24</v>
      </c>
      <c r="C244" s="6" t="s">
        <v>160</v>
      </c>
      <c r="D244" s="6">
        <f t="shared" si="64"/>
        <v>1</v>
      </c>
      <c r="E244" s="34">
        <v>100</v>
      </c>
      <c r="F244" s="212">
        <v>7050</v>
      </c>
      <c r="G244" s="195">
        <v>45840</v>
      </c>
      <c r="H244" s="8"/>
      <c r="I244" s="212"/>
      <c r="J244" s="8"/>
      <c r="K244" s="23">
        <f t="shared" si="65"/>
        <v>20</v>
      </c>
      <c r="L244" s="23">
        <f t="shared" si="66"/>
        <v>0</v>
      </c>
      <c r="M244" s="206">
        <f t="shared" si="67"/>
        <v>0</v>
      </c>
      <c r="N244" s="34"/>
      <c r="O244" s="209">
        <f t="shared" si="63"/>
        <v>-45839</v>
      </c>
      <c r="P244" s="34">
        <f t="shared" si="53"/>
        <v>705000</v>
      </c>
      <c r="Q244" s="34">
        <f t="shared" si="54"/>
        <v>0</v>
      </c>
      <c r="R244" s="7">
        <f t="shared" si="55"/>
        <v>-20</v>
      </c>
      <c r="S244" s="227">
        <f t="shared" si="56"/>
        <v>0</v>
      </c>
      <c r="T244" s="249">
        <f t="shared" si="57"/>
        <v>0</v>
      </c>
    </row>
    <row r="245" spans="2:21" ht="15" customHeight="1" x14ac:dyDescent="0.4">
      <c r="B245" s="38" t="s">
        <v>24</v>
      </c>
      <c r="C245" s="6" t="s">
        <v>160</v>
      </c>
      <c r="D245" s="6">
        <f t="shared" si="64"/>
        <v>1</v>
      </c>
      <c r="E245" s="34">
        <v>50</v>
      </c>
      <c r="F245" s="212">
        <v>6980</v>
      </c>
      <c r="G245" s="195">
        <v>45840</v>
      </c>
      <c r="H245" s="8"/>
      <c r="I245" s="212"/>
      <c r="J245" s="8"/>
      <c r="K245" s="23">
        <f t="shared" si="65"/>
        <v>10</v>
      </c>
      <c r="L245" s="23">
        <f t="shared" si="66"/>
        <v>0</v>
      </c>
      <c r="M245" s="206">
        <f t="shared" si="67"/>
        <v>0</v>
      </c>
      <c r="N245" s="34"/>
      <c r="O245" s="209">
        <f t="shared" si="63"/>
        <v>-45839</v>
      </c>
      <c r="P245" s="34">
        <f t="shared" si="53"/>
        <v>349000</v>
      </c>
      <c r="Q245" s="34">
        <f t="shared" si="54"/>
        <v>0</v>
      </c>
      <c r="R245" s="7">
        <f t="shared" si="55"/>
        <v>-10</v>
      </c>
      <c r="S245" s="227">
        <f t="shared" si="56"/>
        <v>0</v>
      </c>
      <c r="T245" s="249">
        <f t="shared" si="57"/>
        <v>0</v>
      </c>
    </row>
    <row r="246" spans="2:21" ht="15" customHeight="1" x14ac:dyDescent="0.4">
      <c r="B246" s="38" t="s">
        <v>24</v>
      </c>
      <c r="C246" s="6" t="s">
        <v>160</v>
      </c>
      <c r="D246" s="6">
        <f t="shared" si="64"/>
        <v>1</v>
      </c>
      <c r="E246" s="34">
        <v>40</v>
      </c>
      <c r="F246" s="212">
        <v>6850</v>
      </c>
      <c r="G246" s="195">
        <v>45840</v>
      </c>
      <c r="H246" s="8"/>
      <c r="I246" s="212"/>
      <c r="J246" s="8"/>
      <c r="K246" s="23">
        <f t="shared" si="65"/>
        <v>0</v>
      </c>
      <c r="L246" s="23">
        <f t="shared" si="66"/>
        <v>0</v>
      </c>
      <c r="M246" s="206">
        <f t="shared" si="67"/>
        <v>0</v>
      </c>
      <c r="N246" s="34"/>
      <c r="O246" s="209">
        <f t="shared" si="63"/>
        <v>-45839</v>
      </c>
      <c r="P246" s="34">
        <f t="shared" si="53"/>
        <v>274000</v>
      </c>
      <c r="Q246" s="34">
        <f t="shared" si="54"/>
        <v>0</v>
      </c>
      <c r="R246" s="7">
        <f t="shared" si="55"/>
        <v>0</v>
      </c>
      <c r="S246" s="227">
        <f t="shared" si="56"/>
        <v>0</v>
      </c>
      <c r="T246" s="249">
        <f t="shared" si="57"/>
        <v>0</v>
      </c>
    </row>
    <row r="247" spans="2:21" ht="15" customHeight="1" x14ac:dyDescent="0.4">
      <c r="B247" s="38" t="s">
        <v>24</v>
      </c>
      <c r="C247" s="6" t="s">
        <v>160</v>
      </c>
      <c r="D247" s="6">
        <f t="shared" si="64"/>
        <v>1</v>
      </c>
      <c r="E247" s="34">
        <v>40</v>
      </c>
      <c r="F247" s="212">
        <v>6960</v>
      </c>
      <c r="G247" s="195">
        <v>45840</v>
      </c>
      <c r="H247" s="8"/>
      <c r="I247" s="212"/>
      <c r="J247" s="8"/>
      <c r="K247" s="23">
        <f t="shared" si="65"/>
        <v>10</v>
      </c>
      <c r="L247" s="23">
        <f t="shared" si="66"/>
        <v>0</v>
      </c>
      <c r="M247" s="206">
        <f t="shared" si="67"/>
        <v>0</v>
      </c>
      <c r="N247" s="34"/>
      <c r="O247" s="209">
        <f t="shared" si="63"/>
        <v>-45839</v>
      </c>
      <c r="P247" s="34">
        <f t="shared" si="53"/>
        <v>278400</v>
      </c>
      <c r="Q247" s="34">
        <f t="shared" si="54"/>
        <v>0</v>
      </c>
      <c r="R247" s="7">
        <f t="shared" si="55"/>
        <v>-10</v>
      </c>
      <c r="S247" s="227">
        <f t="shared" si="56"/>
        <v>0</v>
      </c>
      <c r="T247" s="249">
        <f t="shared" si="57"/>
        <v>0</v>
      </c>
    </row>
    <row r="248" spans="2:21" ht="15" customHeight="1" x14ac:dyDescent="0.4">
      <c r="B248" s="38" t="s">
        <v>24</v>
      </c>
      <c r="C248" s="6" t="s">
        <v>160</v>
      </c>
      <c r="D248" s="6">
        <f t="shared" si="64"/>
        <v>1</v>
      </c>
      <c r="E248" s="34">
        <v>30</v>
      </c>
      <c r="F248" s="212">
        <v>6950</v>
      </c>
      <c r="G248" s="195">
        <v>45840</v>
      </c>
      <c r="H248" s="8"/>
      <c r="I248" s="212"/>
      <c r="J248" s="8"/>
      <c r="K248" s="23">
        <f t="shared" si="65"/>
        <v>0</v>
      </c>
      <c r="L248" s="23">
        <f t="shared" si="66"/>
        <v>0</v>
      </c>
      <c r="M248" s="206">
        <f t="shared" si="67"/>
        <v>0</v>
      </c>
      <c r="N248" s="34"/>
      <c r="O248" s="209">
        <f t="shared" si="63"/>
        <v>-45839</v>
      </c>
      <c r="P248" s="34">
        <f t="shared" si="53"/>
        <v>208500</v>
      </c>
      <c r="Q248" s="34">
        <f t="shared" si="54"/>
        <v>0</v>
      </c>
      <c r="R248" s="7">
        <f t="shared" si="55"/>
        <v>0</v>
      </c>
      <c r="S248" s="227">
        <f t="shared" si="56"/>
        <v>0</v>
      </c>
      <c r="T248" s="249">
        <f t="shared" si="57"/>
        <v>0</v>
      </c>
    </row>
    <row r="249" spans="2:21" ht="15" customHeight="1" x14ac:dyDescent="0.4">
      <c r="B249" s="38" t="s">
        <v>24</v>
      </c>
      <c r="C249" s="6" t="s">
        <v>160</v>
      </c>
      <c r="D249" s="6">
        <f t="shared" si="64"/>
        <v>1</v>
      </c>
      <c r="E249" s="34">
        <v>80</v>
      </c>
      <c r="F249" s="212">
        <v>6520</v>
      </c>
      <c r="G249" s="195">
        <v>45940</v>
      </c>
      <c r="H249" s="8"/>
      <c r="I249" s="212"/>
      <c r="J249" s="8"/>
      <c r="K249" s="23">
        <f t="shared" si="65"/>
        <v>10</v>
      </c>
      <c r="L249" s="23">
        <f t="shared" si="66"/>
        <v>0</v>
      </c>
      <c r="M249" s="206">
        <f t="shared" si="67"/>
        <v>0</v>
      </c>
      <c r="N249" s="34"/>
      <c r="O249" s="209">
        <f t="shared" si="63"/>
        <v>-45939</v>
      </c>
      <c r="P249" s="34">
        <f t="shared" si="53"/>
        <v>521600</v>
      </c>
      <c r="Q249" s="34">
        <f t="shared" si="54"/>
        <v>0</v>
      </c>
      <c r="R249" s="7">
        <f t="shared" si="55"/>
        <v>-10</v>
      </c>
      <c r="S249" s="227">
        <f t="shared" si="56"/>
        <v>0</v>
      </c>
      <c r="T249" s="249">
        <f t="shared" si="57"/>
        <v>0</v>
      </c>
    </row>
    <row r="250" spans="2:21" ht="15" customHeight="1" x14ac:dyDescent="0.4">
      <c r="B250" s="38" t="s">
        <v>24</v>
      </c>
      <c r="C250" s="6" t="s">
        <v>160</v>
      </c>
      <c r="D250" s="6">
        <f t="shared" si="64"/>
        <v>1</v>
      </c>
      <c r="E250" s="34">
        <v>200</v>
      </c>
      <c r="F250" s="212">
        <v>5450</v>
      </c>
      <c r="G250" s="195">
        <v>45944</v>
      </c>
      <c r="H250" s="8"/>
      <c r="I250" s="212"/>
      <c r="J250" s="8"/>
      <c r="K250" s="23">
        <f t="shared" si="65"/>
        <v>30</v>
      </c>
      <c r="L250" s="23">
        <f t="shared" si="66"/>
        <v>0</v>
      </c>
      <c r="M250" s="206">
        <f t="shared" si="67"/>
        <v>0</v>
      </c>
      <c r="N250" s="34"/>
      <c r="O250" s="209">
        <f t="shared" si="63"/>
        <v>-45943</v>
      </c>
      <c r="P250" s="34">
        <f t="shared" si="53"/>
        <v>1090000</v>
      </c>
      <c r="Q250" s="34">
        <f t="shared" si="54"/>
        <v>0</v>
      </c>
      <c r="R250" s="7">
        <f t="shared" si="55"/>
        <v>-30</v>
      </c>
      <c r="S250" s="227">
        <f t="shared" si="56"/>
        <v>0</v>
      </c>
      <c r="T250" s="249">
        <f t="shared" si="57"/>
        <v>0</v>
      </c>
    </row>
    <row r="251" spans="2:21" ht="15" customHeight="1" x14ac:dyDescent="0.4">
      <c r="B251" s="38" t="s">
        <v>24</v>
      </c>
      <c r="C251" s="6" t="s">
        <v>160</v>
      </c>
      <c r="D251" s="6">
        <f t="shared" si="64"/>
        <v>1</v>
      </c>
      <c r="E251" s="34">
        <v>183</v>
      </c>
      <c r="F251" s="212">
        <v>3065</v>
      </c>
      <c r="G251" s="195">
        <v>46100</v>
      </c>
      <c r="H251" s="8" t="s">
        <v>248</v>
      </c>
      <c r="I251" s="212"/>
      <c r="J251" s="8"/>
      <c r="K251" s="23">
        <f t="shared" si="65"/>
        <v>20</v>
      </c>
      <c r="L251" s="23">
        <f t="shared" si="66"/>
        <v>0</v>
      </c>
      <c r="M251" s="206">
        <f t="shared" si="67"/>
        <v>0</v>
      </c>
      <c r="N251" s="34"/>
      <c r="O251" s="209">
        <f t="shared" si="63"/>
        <v>-46099</v>
      </c>
      <c r="P251" s="34">
        <f t="shared" si="53"/>
        <v>560895</v>
      </c>
      <c r="Q251" s="34">
        <f t="shared" si="54"/>
        <v>0</v>
      </c>
      <c r="R251" s="7">
        <f t="shared" si="55"/>
        <v>-20</v>
      </c>
      <c r="S251" s="227">
        <f t="shared" si="56"/>
        <v>0</v>
      </c>
      <c r="T251" s="249">
        <f t="shared" si="57"/>
        <v>0</v>
      </c>
    </row>
    <row r="252" spans="2:21" ht="15" customHeight="1" x14ac:dyDescent="0.4">
      <c r="B252" s="38" t="s">
        <v>24</v>
      </c>
      <c r="C252" s="6" t="s">
        <v>122</v>
      </c>
      <c r="D252" s="6">
        <f t="shared" si="64"/>
        <v>1</v>
      </c>
      <c r="E252" s="34">
        <v>70</v>
      </c>
      <c r="F252" s="212">
        <v>7240</v>
      </c>
      <c r="G252" s="195">
        <v>45918</v>
      </c>
      <c r="H252" s="8" t="s">
        <v>113</v>
      </c>
      <c r="I252" s="212"/>
      <c r="J252" s="8"/>
      <c r="K252" s="23">
        <f t="shared" si="65"/>
        <v>76.02</v>
      </c>
      <c r="L252" s="23">
        <f t="shared" si="66"/>
        <v>0</v>
      </c>
      <c r="M252" s="206">
        <f t="shared" si="67"/>
        <v>0</v>
      </c>
      <c r="N252" s="34"/>
      <c r="O252" s="209">
        <f t="shared" si="63"/>
        <v>-45917</v>
      </c>
      <c r="P252" s="34">
        <f t="shared" si="53"/>
        <v>506800</v>
      </c>
      <c r="Q252" s="34">
        <f t="shared" si="54"/>
        <v>0</v>
      </c>
      <c r="R252" s="7">
        <f t="shared" si="55"/>
        <v>-76.02</v>
      </c>
      <c r="S252" s="227">
        <f t="shared" si="56"/>
        <v>0</v>
      </c>
      <c r="T252" s="249">
        <f t="shared" si="57"/>
        <v>0</v>
      </c>
      <c r="U252" s="36">
        <f t="shared" ref="U252:U258" si="68">IF(O252&lt;0,0,P252*0.05*O252/365)</f>
        <v>0</v>
      </c>
    </row>
    <row r="253" spans="2:21" ht="15" customHeight="1" x14ac:dyDescent="0.4">
      <c r="B253" s="38" t="s">
        <v>24</v>
      </c>
      <c r="C253" s="6" t="s">
        <v>122</v>
      </c>
      <c r="D253" s="6">
        <f t="shared" si="64"/>
        <v>1</v>
      </c>
      <c r="E253" s="34">
        <v>50</v>
      </c>
      <c r="F253" s="212">
        <v>7140</v>
      </c>
      <c r="G253" s="195">
        <v>45919</v>
      </c>
      <c r="H253" s="8" t="s">
        <v>113</v>
      </c>
      <c r="I253" s="212"/>
      <c r="J253" s="8"/>
      <c r="K253" s="23">
        <f t="shared" si="65"/>
        <v>53.55</v>
      </c>
      <c r="L253" s="23">
        <f t="shared" si="66"/>
        <v>0</v>
      </c>
      <c r="M253" s="206">
        <f t="shared" si="67"/>
        <v>0</v>
      </c>
      <c r="N253" s="34"/>
      <c r="O253" s="209">
        <f t="shared" si="63"/>
        <v>-45918</v>
      </c>
      <c r="P253" s="34">
        <f t="shared" si="53"/>
        <v>357000</v>
      </c>
      <c r="Q253" s="34">
        <f t="shared" si="54"/>
        <v>0</v>
      </c>
      <c r="R253" s="7">
        <f t="shared" si="55"/>
        <v>-53.55</v>
      </c>
      <c r="S253" s="227">
        <f t="shared" si="56"/>
        <v>0</v>
      </c>
      <c r="T253" s="249">
        <f t="shared" si="57"/>
        <v>0</v>
      </c>
      <c r="U253" s="36">
        <f t="shared" si="68"/>
        <v>0</v>
      </c>
    </row>
    <row r="254" spans="2:21" ht="15" customHeight="1" x14ac:dyDescent="0.4">
      <c r="B254" s="38" t="s">
        <v>24</v>
      </c>
      <c r="C254" s="6" t="s">
        <v>122</v>
      </c>
      <c r="D254" s="6">
        <f t="shared" si="64"/>
        <v>1</v>
      </c>
      <c r="E254" s="34">
        <v>50</v>
      </c>
      <c r="F254" s="212">
        <v>7000</v>
      </c>
      <c r="G254" s="195">
        <v>45919</v>
      </c>
      <c r="H254" s="8" t="s">
        <v>113</v>
      </c>
      <c r="I254" s="212"/>
      <c r="J254" s="8"/>
      <c r="K254" s="23">
        <f t="shared" si="65"/>
        <v>52.499999999999993</v>
      </c>
      <c r="L254" s="23">
        <f t="shared" si="66"/>
        <v>0</v>
      </c>
      <c r="M254" s="206">
        <f t="shared" si="67"/>
        <v>0</v>
      </c>
      <c r="N254" s="34"/>
      <c r="O254" s="209">
        <f t="shared" si="63"/>
        <v>-45918</v>
      </c>
      <c r="P254" s="34">
        <f t="shared" si="53"/>
        <v>350000</v>
      </c>
      <c r="Q254" s="34">
        <f t="shared" si="54"/>
        <v>0</v>
      </c>
      <c r="R254" s="7">
        <f t="shared" si="55"/>
        <v>-52.499999999999993</v>
      </c>
      <c r="S254" s="227">
        <f t="shared" si="56"/>
        <v>0</v>
      </c>
      <c r="T254" s="249">
        <f t="shared" si="57"/>
        <v>0</v>
      </c>
      <c r="U254" s="36">
        <f t="shared" si="68"/>
        <v>0</v>
      </c>
    </row>
    <row r="255" spans="2:21" ht="15" customHeight="1" x14ac:dyDescent="0.4">
      <c r="B255" s="38" t="s">
        <v>24</v>
      </c>
      <c r="C255" s="6" t="s">
        <v>122</v>
      </c>
      <c r="D255" s="6">
        <f t="shared" si="64"/>
        <v>1</v>
      </c>
      <c r="E255" s="34">
        <v>30</v>
      </c>
      <c r="F255" s="212">
        <v>6970</v>
      </c>
      <c r="G255" s="195">
        <v>45922</v>
      </c>
      <c r="H255" s="8" t="s">
        <v>113</v>
      </c>
      <c r="I255" s="212"/>
      <c r="J255" s="8"/>
      <c r="K255" s="23">
        <f t="shared" si="65"/>
        <v>31.364999999999998</v>
      </c>
      <c r="L255" s="23">
        <f t="shared" si="66"/>
        <v>0</v>
      </c>
      <c r="M255" s="206">
        <f t="shared" si="67"/>
        <v>0</v>
      </c>
      <c r="N255" s="34"/>
      <c r="O255" s="209">
        <f t="shared" si="63"/>
        <v>-45921</v>
      </c>
      <c r="P255" s="34">
        <f t="shared" si="53"/>
        <v>209100</v>
      </c>
      <c r="Q255" s="34">
        <f t="shared" si="54"/>
        <v>0</v>
      </c>
      <c r="R255" s="7">
        <f t="shared" si="55"/>
        <v>-31.364999999999998</v>
      </c>
      <c r="S255" s="227">
        <f t="shared" si="56"/>
        <v>0</v>
      </c>
      <c r="T255" s="249">
        <f t="shared" si="57"/>
        <v>0</v>
      </c>
      <c r="U255" s="36">
        <f t="shared" si="68"/>
        <v>0</v>
      </c>
    </row>
    <row r="256" spans="2:21" ht="15" customHeight="1" x14ac:dyDescent="0.4">
      <c r="B256" s="38" t="s">
        <v>24</v>
      </c>
      <c r="C256" s="6" t="s">
        <v>122</v>
      </c>
      <c r="D256" s="6">
        <f t="shared" si="64"/>
        <v>1</v>
      </c>
      <c r="E256" s="34">
        <v>200</v>
      </c>
      <c r="F256" s="212">
        <v>5200</v>
      </c>
      <c r="G256" s="195">
        <v>45944</v>
      </c>
      <c r="H256" s="8"/>
      <c r="I256" s="212"/>
      <c r="J256" s="8"/>
      <c r="K256" s="23">
        <f t="shared" si="65"/>
        <v>156</v>
      </c>
      <c r="L256" s="23">
        <f t="shared" si="66"/>
        <v>0</v>
      </c>
      <c r="M256" s="206">
        <f t="shared" si="67"/>
        <v>0</v>
      </c>
      <c r="N256" s="34"/>
      <c r="O256" s="209">
        <f t="shared" si="63"/>
        <v>-45943</v>
      </c>
      <c r="P256" s="34">
        <f t="shared" si="53"/>
        <v>1040000</v>
      </c>
      <c r="Q256" s="34">
        <f t="shared" si="54"/>
        <v>0</v>
      </c>
      <c r="R256" s="7">
        <f t="shared" si="55"/>
        <v>-156</v>
      </c>
      <c r="S256" s="227">
        <f t="shared" si="56"/>
        <v>0</v>
      </c>
      <c r="T256" s="249">
        <f t="shared" si="57"/>
        <v>0</v>
      </c>
      <c r="U256" s="36">
        <f t="shared" si="68"/>
        <v>0</v>
      </c>
    </row>
    <row r="257" spans="2:21" ht="15" customHeight="1" x14ac:dyDescent="0.4">
      <c r="B257" s="38" t="s">
        <v>24</v>
      </c>
      <c r="C257" s="6" t="s">
        <v>122</v>
      </c>
      <c r="D257" s="6">
        <f t="shared" si="64"/>
        <v>1</v>
      </c>
      <c r="E257" s="34">
        <v>100</v>
      </c>
      <c r="F257" s="212">
        <v>5100</v>
      </c>
      <c r="G257" s="195">
        <v>45946</v>
      </c>
      <c r="H257" s="8"/>
      <c r="I257" s="212"/>
      <c r="J257" s="8"/>
      <c r="K257" s="23">
        <f t="shared" si="65"/>
        <v>76.5</v>
      </c>
      <c r="L257" s="23">
        <f t="shared" si="66"/>
        <v>0</v>
      </c>
      <c r="M257" s="206">
        <f t="shared" si="67"/>
        <v>0</v>
      </c>
      <c r="N257" s="34"/>
      <c r="O257" s="209">
        <f t="shared" si="63"/>
        <v>-45945</v>
      </c>
      <c r="P257" s="34">
        <f t="shared" si="53"/>
        <v>510000</v>
      </c>
      <c r="Q257" s="34">
        <f t="shared" si="54"/>
        <v>0</v>
      </c>
      <c r="R257" s="7">
        <f t="shared" si="55"/>
        <v>-76.5</v>
      </c>
      <c r="S257" s="227">
        <f t="shared" si="56"/>
        <v>0</v>
      </c>
      <c r="T257" s="249">
        <f t="shared" si="57"/>
        <v>0</v>
      </c>
      <c r="U257" s="36">
        <f t="shared" si="68"/>
        <v>0</v>
      </c>
    </row>
    <row r="258" spans="2:21" ht="15" customHeight="1" x14ac:dyDescent="0.4">
      <c r="B258" s="38" t="s">
        <v>24</v>
      </c>
      <c r="C258" s="6" t="s">
        <v>122</v>
      </c>
      <c r="D258" s="6">
        <f t="shared" si="64"/>
        <v>1</v>
      </c>
      <c r="E258" s="34">
        <v>100</v>
      </c>
      <c r="F258" s="212">
        <v>4680</v>
      </c>
      <c r="G258" s="195">
        <v>45973</v>
      </c>
      <c r="H258" s="8"/>
      <c r="I258" s="212"/>
      <c r="J258" s="8"/>
      <c r="K258" s="23">
        <f t="shared" si="65"/>
        <v>70.199999999999989</v>
      </c>
      <c r="L258" s="23">
        <f t="shared" si="66"/>
        <v>0</v>
      </c>
      <c r="M258" s="206">
        <f t="shared" si="67"/>
        <v>0</v>
      </c>
      <c r="N258" s="34"/>
      <c r="O258" s="209">
        <f t="shared" si="63"/>
        <v>-45972</v>
      </c>
      <c r="P258" s="34">
        <f t="shared" si="53"/>
        <v>468000</v>
      </c>
      <c r="Q258" s="34">
        <f t="shared" si="54"/>
        <v>0</v>
      </c>
      <c r="R258" s="7">
        <f t="shared" si="55"/>
        <v>-70.199999999999989</v>
      </c>
      <c r="S258" s="227">
        <f t="shared" si="56"/>
        <v>0</v>
      </c>
      <c r="T258" s="249">
        <f t="shared" si="57"/>
        <v>0</v>
      </c>
      <c r="U258" s="36">
        <f t="shared" si="68"/>
        <v>0</v>
      </c>
    </row>
    <row r="259" spans="2:21" ht="15" customHeight="1" x14ac:dyDescent="0.4">
      <c r="B259" s="38" t="s">
        <v>24</v>
      </c>
      <c r="C259" s="6" t="s">
        <v>165</v>
      </c>
      <c r="D259" s="6">
        <f t="shared" si="64"/>
        <v>1</v>
      </c>
      <c r="E259" s="34">
        <v>5</v>
      </c>
      <c r="F259" s="212">
        <v>4250</v>
      </c>
      <c r="G259" s="195">
        <v>46000</v>
      </c>
      <c r="H259" s="8"/>
      <c r="I259" s="212"/>
      <c r="J259" s="8"/>
      <c r="K259" s="23">
        <f t="shared" si="65"/>
        <v>0</v>
      </c>
      <c r="L259" s="23">
        <f t="shared" si="66"/>
        <v>0</v>
      </c>
      <c r="M259" s="206">
        <f t="shared" si="67"/>
        <v>0</v>
      </c>
      <c r="N259" s="34"/>
      <c r="O259" s="209">
        <f t="shared" si="63"/>
        <v>-45999</v>
      </c>
      <c r="P259" s="34">
        <f t="shared" si="53"/>
        <v>21250</v>
      </c>
      <c r="Q259" s="34">
        <f t="shared" si="54"/>
        <v>0</v>
      </c>
      <c r="R259" s="7">
        <f t="shared" si="55"/>
        <v>0</v>
      </c>
      <c r="S259" s="227">
        <f t="shared" si="56"/>
        <v>0</v>
      </c>
      <c r="T259" s="249">
        <f t="shared" si="57"/>
        <v>0</v>
      </c>
    </row>
    <row r="260" spans="2:21" ht="15" customHeight="1" x14ac:dyDescent="0.4">
      <c r="B260" s="38" t="s">
        <v>24</v>
      </c>
      <c r="C260" s="6" t="s">
        <v>165</v>
      </c>
      <c r="D260" s="6">
        <f t="shared" si="64"/>
        <v>1</v>
      </c>
      <c r="E260" s="34">
        <v>5</v>
      </c>
      <c r="F260" s="212">
        <v>4275</v>
      </c>
      <c r="G260" s="195">
        <v>46007</v>
      </c>
      <c r="H260" s="8"/>
      <c r="I260" s="212"/>
      <c r="J260" s="8"/>
      <c r="K260" s="23">
        <f t="shared" si="65"/>
        <v>0</v>
      </c>
      <c r="L260" s="23">
        <f t="shared" si="66"/>
        <v>0</v>
      </c>
      <c r="M260" s="206">
        <f t="shared" si="67"/>
        <v>0</v>
      </c>
      <c r="N260" s="34"/>
      <c r="O260" s="209">
        <f t="shared" si="63"/>
        <v>-46006</v>
      </c>
      <c r="P260" s="34">
        <f t="shared" ref="P260:P323" si="69">$E260*$F260*$D260</f>
        <v>21375</v>
      </c>
      <c r="Q260" s="34">
        <f t="shared" ref="Q260:Q323" si="70">$E260*$I260*$D260</f>
        <v>0</v>
      </c>
      <c r="R260" s="7">
        <f t="shared" ref="R260:R323" si="71">($N260-$K260-$L260-$M260)*$D260</f>
        <v>0</v>
      </c>
      <c r="S260" s="227">
        <f t="shared" ref="S260:S323" si="72">IF(Q260=0,0,Q260-P260+R260)</f>
        <v>0</v>
      </c>
      <c r="T260" s="249">
        <f t="shared" ref="T260:T323" si="73">S260/P260</f>
        <v>0</v>
      </c>
    </row>
    <row r="261" spans="2:21" ht="15" customHeight="1" x14ac:dyDescent="0.4">
      <c r="B261" s="38" t="s">
        <v>24</v>
      </c>
      <c r="C261" s="6" t="s">
        <v>165</v>
      </c>
      <c r="D261" s="6">
        <f t="shared" si="64"/>
        <v>1</v>
      </c>
      <c r="E261" s="34">
        <v>5</v>
      </c>
      <c r="F261" s="212">
        <v>4110</v>
      </c>
      <c r="G261" s="195">
        <v>46014</v>
      </c>
      <c r="H261" s="8"/>
      <c r="I261" s="212"/>
      <c r="J261" s="8"/>
      <c r="K261" s="23">
        <f t="shared" si="65"/>
        <v>0</v>
      </c>
      <c r="L261" s="23">
        <f t="shared" si="66"/>
        <v>0</v>
      </c>
      <c r="M261" s="206">
        <f t="shared" si="67"/>
        <v>0</v>
      </c>
      <c r="N261" s="34"/>
      <c r="O261" s="209">
        <f t="shared" si="63"/>
        <v>-46013</v>
      </c>
      <c r="P261" s="34">
        <f t="shared" si="69"/>
        <v>20550</v>
      </c>
      <c r="Q261" s="34">
        <f t="shared" si="70"/>
        <v>0</v>
      </c>
      <c r="R261" s="7">
        <f t="shared" si="71"/>
        <v>0</v>
      </c>
      <c r="S261" s="227">
        <f t="shared" si="72"/>
        <v>0</v>
      </c>
      <c r="T261" s="249">
        <f t="shared" si="73"/>
        <v>0</v>
      </c>
    </row>
    <row r="262" spans="2:21" ht="15" customHeight="1" x14ac:dyDescent="0.4">
      <c r="B262" s="38" t="s">
        <v>24</v>
      </c>
      <c r="C262" s="6" t="s">
        <v>165</v>
      </c>
      <c r="D262" s="6">
        <f t="shared" si="64"/>
        <v>1</v>
      </c>
      <c r="E262" s="34">
        <v>5</v>
      </c>
      <c r="F262" s="212">
        <v>3997</v>
      </c>
      <c r="G262" s="195">
        <v>46021</v>
      </c>
      <c r="H262" s="8"/>
      <c r="I262" s="212"/>
      <c r="J262" s="8"/>
      <c r="K262" s="23">
        <f t="shared" si="65"/>
        <v>0</v>
      </c>
      <c r="L262" s="23">
        <f t="shared" si="66"/>
        <v>0</v>
      </c>
      <c r="M262" s="206">
        <f t="shared" si="67"/>
        <v>0</v>
      </c>
      <c r="N262" s="34"/>
      <c r="O262" s="209">
        <f t="shared" si="63"/>
        <v>-46020</v>
      </c>
      <c r="P262" s="34">
        <f t="shared" si="69"/>
        <v>19985</v>
      </c>
      <c r="Q262" s="34">
        <f t="shared" si="70"/>
        <v>0</v>
      </c>
      <c r="R262" s="7">
        <f t="shared" si="71"/>
        <v>0</v>
      </c>
      <c r="S262" s="227">
        <f t="shared" si="72"/>
        <v>0</v>
      </c>
      <c r="T262" s="249">
        <f t="shared" si="73"/>
        <v>0</v>
      </c>
    </row>
    <row r="263" spans="2:21" ht="15" customHeight="1" x14ac:dyDescent="0.4">
      <c r="B263" s="38" t="s">
        <v>24</v>
      </c>
      <c r="C263" s="6" t="s">
        <v>165</v>
      </c>
      <c r="D263" s="6">
        <f t="shared" si="64"/>
        <v>1</v>
      </c>
      <c r="E263" s="34">
        <v>5</v>
      </c>
      <c r="F263" s="212">
        <v>4815</v>
      </c>
      <c r="G263" s="195">
        <v>46028</v>
      </c>
      <c r="H263" s="8"/>
      <c r="I263" s="212"/>
      <c r="J263" s="8"/>
      <c r="K263" s="23">
        <f t="shared" si="65"/>
        <v>0</v>
      </c>
      <c r="L263" s="23">
        <f t="shared" si="66"/>
        <v>0</v>
      </c>
      <c r="M263" s="206">
        <f t="shared" si="67"/>
        <v>0</v>
      </c>
      <c r="N263" s="34"/>
      <c r="O263" s="209">
        <f t="shared" si="63"/>
        <v>-46027</v>
      </c>
      <c r="P263" s="34">
        <f t="shared" si="69"/>
        <v>24075</v>
      </c>
      <c r="Q263" s="34">
        <f t="shared" si="70"/>
        <v>0</v>
      </c>
      <c r="R263" s="7">
        <f t="shared" si="71"/>
        <v>0</v>
      </c>
      <c r="S263" s="227">
        <f t="shared" si="72"/>
        <v>0</v>
      </c>
      <c r="T263" s="249">
        <f t="shared" si="73"/>
        <v>0</v>
      </c>
    </row>
    <row r="264" spans="2:21" ht="15" customHeight="1" x14ac:dyDescent="0.4">
      <c r="B264" s="38" t="s">
        <v>24</v>
      </c>
      <c r="C264" s="6" t="s">
        <v>165</v>
      </c>
      <c r="D264" s="6">
        <f t="shared" si="64"/>
        <v>1</v>
      </c>
      <c r="E264" s="34">
        <v>5</v>
      </c>
      <c r="F264" s="212">
        <v>4380</v>
      </c>
      <c r="G264" s="195">
        <v>46035</v>
      </c>
      <c r="H264" s="8"/>
      <c r="I264" s="212"/>
      <c r="J264" s="8"/>
      <c r="K264" s="23">
        <f t="shared" si="65"/>
        <v>0</v>
      </c>
      <c r="L264" s="23">
        <f t="shared" si="66"/>
        <v>0</v>
      </c>
      <c r="M264" s="206">
        <f t="shared" si="67"/>
        <v>0</v>
      </c>
      <c r="N264" s="34"/>
      <c r="O264" s="209">
        <f t="shared" si="63"/>
        <v>-46034</v>
      </c>
      <c r="P264" s="34">
        <f t="shared" si="69"/>
        <v>21900</v>
      </c>
      <c r="Q264" s="34">
        <f t="shared" si="70"/>
        <v>0</v>
      </c>
      <c r="R264" s="7">
        <f t="shared" si="71"/>
        <v>0</v>
      </c>
      <c r="S264" s="227">
        <f t="shared" si="72"/>
        <v>0</v>
      </c>
      <c r="T264" s="249">
        <f t="shared" si="73"/>
        <v>0</v>
      </c>
    </row>
    <row r="265" spans="2:21" ht="15" customHeight="1" x14ac:dyDescent="0.4">
      <c r="B265" s="38" t="s">
        <v>24</v>
      </c>
      <c r="C265" s="6" t="s">
        <v>165</v>
      </c>
      <c r="D265" s="6">
        <f t="shared" si="64"/>
        <v>1</v>
      </c>
      <c r="E265" s="34">
        <v>5</v>
      </c>
      <c r="F265" s="212">
        <v>4270</v>
      </c>
      <c r="G265" s="195">
        <v>46042</v>
      </c>
      <c r="H265" s="8"/>
      <c r="I265" s="212"/>
      <c r="J265" s="8"/>
      <c r="K265" s="23">
        <f t="shared" si="65"/>
        <v>0</v>
      </c>
      <c r="L265" s="23">
        <f t="shared" si="66"/>
        <v>0</v>
      </c>
      <c r="M265" s="206">
        <f t="shared" si="67"/>
        <v>0</v>
      </c>
      <c r="N265" s="34"/>
      <c r="O265" s="209">
        <f t="shared" si="63"/>
        <v>-46041</v>
      </c>
      <c r="P265" s="34">
        <f t="shared" si="69"/>
        <v>21350</v>
      </c>
      <c r="Q265" s="34">
        <f t="shared" si="70"/>
        <v>0</v>
      </c>
      <c r="R265" s="7">
        <f t="shared" si="71"/>
        <v>0</v>
      </c>
      <c r="S265" s="227">
        <f t="shared" si="72"/>
        <v>0</v>
      </c>
      <c r="T265" s="249">
        <f t="shared" si="73"/>
        <v>0</v>
      </c>
    </row>
    <row r="266" spans="2:21" ht="15" customHeight="1" x14ac:dyDescent="0.4">
      <c r="B266" s="38" t="s">
        <v>24</v>
      </c>
      <c r="C266" s="6" t="s">
        <v>165</v>
      </c>
      <c r="D266" s="6">
        <f t="shared" si="64"/>
        <v>1</v>
      </c>
      <c r="E266" s="34">
        <v>5</v>
      </c>
      <c r="F266" s="212">
        <v>5650</v>
      </c>
      <c r="G266" s="195">
        <v>46049</v>
      </c>
      <c r="H266" s="8"/>
      <c r="I266" s="212"/>
      <c r="J266" s="8"/>
      <c r="K266" s="23">
        <f t="shared" si="65"/>
        <v>0</v>
      </c>
      <c r="L266" s="23">
        <f t="shared" si="66"/>
        <v>0</v>
      </c>
      <c r="M266" s="206">
        <f t="shared" si="67"/>
        <v>0</v>
      </c>
      <c r="N266" s="34"/>
      <c r="O266" s="209">
        <f t="shared" si="63"/>
        <v>-46048</v>
      </c>
      <c r="P266" s="34">
        <f t="shared" si="69"/>
        <v>28250</v>
      </c>
      <c r="Q266" s="34">
        <f t="shared" si="70"/>
        <v>0</v>
      </c>
      <c r="R266" s="7">
        <f t="shared" si="71"/>
        <v>0</v>
      </c>
      <c r="S266" s="227">
        <f t="shared" si="72"/>
        <v>0</v>
      </c>
      <c r="T266" s="249">
        <f t="shared" si="73"/>
        <v>0</v>
      </c>
    </row>
    <row r="267" spans="2:21" ht="15" customHeight="1" x14ac:dyDescent="0.4">
      <c r="B267" s="38" t="s">
        <v>24</v>
      </c>
      <c r="C267" s="6" t="s">
        <v>165</v>
      </c>
      <c r="D267" s="6">
        <f t="shared" si="64"/>
        <v>1</v>
      </c>
      <c r="E267" s="34">
        <v>5</v>
      </c>
      <c r="F267" s="212">
        <v>4719</v>
      </c>
      <c r="G267" s="195">
        <v>46056</v>
      </c>
      <c r="H267" s="8"/>
      <c r="I267" s="212"/>
      <c r="J267" s="8"/>
      <c r="K267" s="23">
        <f t="shared" si="65"/>
        <v>0</v>
      </c>
      <c r="L267" s="23">
        <f t="shared" si="66"/>
        <v>0</v>
      </c>
      <c r="M267" s="206">
        <f t="shared" si="67"/>
        <v>0</v>
      </c>
      <c r="N267" s="34"/>
      <c r="O267" s="209">
        <f t="shared" si="63"/>
        <v>-46055</v>
      </c>
      <c r="P267" s="34">
        <f t="shared" si="69"/>
        <v>23595</v>
      </c>
      <c r="Q267" s="34">
        <f t="shared" si="70"/>
        <v>0</v>
      </c>
      <c r="R267" s="7">
        <f t="shared" si="71"/>
        <v>0</v>
      </c>
      <c r="S267" s="227">
        <f t="shared" si="72"/>
        <v>0</v>
      </c>
      <c r="T267" s="249">
        <f t="shared" si="73"/>
        <v>0</v>
      </c>
    </row>
    <row r="268" spans="2:21" ht="15" customHeight="1" x14ac:dyDescent="0.4">
      <c r="B268" s="38" t="s">
        <v>24</v>
      </c>
      <c r="C268" s="6" t="s">
        <v>165</v>
      </c>
      <c r="D268" s="6">
        <f t="shared" si="64"/>
        <v>1</v>
      </c>
      <c r="E268" s="34">
        <v>5</v>
      </c>
      <c r="F268" s="212">
        <v>4430</v>
      </c>
      <c r="G268" s="195">
        <v>46063</v>
      </c>
      <c r="H268" s="8"/>
      <c r="I268" s="212"/>
      <c r="J268" s="8"/>
      <c r="K268" s="23">
        <f t="shared" si="65"/>
        <v>0</v>
      </c>
      <c r="L268" s="23">
        <f t="shared" si="66"/>
        <v>0</v>
      </c>
      <c r="M268" s="206">
        <f t="shared" si="67"/>
        <v>0</v>
      </c>
      <c r="N268" s="34"/>
      <c r="O268" s="209">
        <f t="shared" si="63"/>
        <v>-46062</v>
      </c>
      <c r="P268" s="34">
        <f t="shared" si="69"/>
        <v>22150</v>
      </c>
      <c r="Q268" s="34">
        <f t="shared" si="70"/>
        <v>0</v>
      </c>
      <c r="R268" s="7">
        <f t="shared" si="71"/>
        <v>0</v>
      </c>
      <c r="S268" s="227">
        <f t="shared" si="72"/>
        <v>0</v>
      </c>
      <c r="T268" s="249">
        <f t="shared" si="73"/>
        <v>0</v>
      </c>
    </row>
    <row r="269" spans="2:21" ht="15" customHeight="1" x14ac:dyDescent="0.4">
      <c r="B269" s="38" t="s">
        <v>24</v>
      </c>
      <c r="C269" s="6" t="s">
        <v>165</v>
      </c>
      <c r="D269" s="6">
        <f t="shared" si="64"/>
        <v>1</v>
      </c>
      <c r="E269" s="34">
        <v>5</v>
      </c>
      <c r="F269" s="212">
        <v>4045</v>
      </c>
      <c r="G269" s="195">
        <v>46072</v>
      </c>
      <c r="H269" s="8"/>
      <c r="I269" s="212"/>
      <c r="J269" s="8"/>
      <c r="K269" s="23">
        <f t="shared" ref="K269:K279" si="74">IF($C269="OTC",ROUNDDOWN($E269*$F269*0.000909187,-1),(IF($C269="신한",ROUNDDOWN($E269*$F269*0.000036396,-1),(IF($C269="토스",$E269*$F269*0.00015,(IF($C269="US",(IF($E269*$F269*0.0025&gt;0.01,$E269*$F269*0.0025,0.01)),IF($C269="JP",(IF($E269*$F269*0.0025&gt;1000,$E269*$F269*0.0025,1000)),(IF($C269="R토스",0,IF($C269="무상증자(신한)",0,"")))))))))))</f>
        <v>0</v>
      </c>
      <c r="L269" s="23">
        <f t="shared" si="66"/>
        <v>0</v>
      </c>
      <c r="M269" s="206">
        <f t="shared" si="67"/>
        <v>0</v>
      </c>
      <c r="N269" s="34"/>
      <c r="O269" s="209">
        <f t="shared" si="63"/>
        <v>-46071</v>
      </c>
      <c r="P269" s="34">
        <f t="shared" si="69"/>
        <v>20225</v>
      </c>
      <c r="Q269" s="34">
        <f t="shared" si="70"/>
        <v>0</v>
      </c>
      <c r="R269" s="7">
        <f t="shared" si="71"/>
        <v>0</v>
      </c>
      <c r="S269" s="227">
        <f t="shared" si="72"/>
        <v>0</v>
      </c>
      <c r="T269" s="249">
        <f t="shared" si="73"/>
        <v>0</v>
      </c>
    </row>
    <row r="270" spans="2:21" ht="15" customHeight="1" x14ac:dyDescent="0.4">
      <c r="B270" s="38" t="s">
        <v>24</v>
      </c>
      <c r="C270" s="6" t="s">
        <v>165</v>
      </c>
      <c r="D270" s="6">
        <f t="shared" si="64"/>
        <v>1</v>
      </c>
      <c r="E270" s="34">
        <v>5</v>
      </c>
      <c r="F270" s="212">
        <v>3840</v>
      </c>
      <c r="G270" s="195">
        <v>46077</v>
      </c>
      <c r="H270" s="8"/>
      <c r="I270" s="212"/>
      <c r="J270" s="8"/>
      <c r="K270" s="23">
        <f t="shared" si="74"/>
        <v>0</v>
      </c>
      <c r="L270" s="23">
        <f t="shared" si="66"/>
        <v>0</v>
      </c>
      <c r="M270" s="206">
        <f t="shared" si="67"/>
        <v>0</v>
      </c>
      <c r="N270" s="34"/>
      <c r="O270" s="209">
        <f t="shared" si="63"/>
        <v>-46076</v>
      </c>
      <c r="P270" s="34">
        <f t="shared" si="69"/>
        <v>19200</v>
      </c>
      <c r="Q270" s="34">
        <f t="shared" si="70"/>
        <v>0</v>
      </c>
      <c r="R270" s="7">
        <f t="shared" si="71"/>
        <v>0</v>
      </c>
      <c r="S270" s="227">
        <f t="shared" si="72"/>
        <v>0</v>
      </c>
      <c r="T270" s="249">
        <f t="shared" si="73"/>
        <v>0</v>
      </c>
    </row>
    <row r="271" spans="2:21" ht="15" customHeight="1" x14ac:dyDescent="0.4">
      <c r="B271" s="38" t="s">
        <v>24</v>
      </c>
      <c r="C271" s="6" t="s">
        <v>165</v>
      </c>
      <c r="D271" s="6">
        <f t="shared" si="64"/>
        <v>1</v>
      </c>
      <c r="E271" s="34">
        <v>5</v>
      </c>
      <c r="F271" s="212">
        <v>4330</v>
      </c>
      <c r="G271" s="195">
        <v>46084</v>
      </c>
      <c r="H271" s="8"/>
      <c r="I271" s="212"/>
      <c r="J271" s="8"/>
      <c r="K271" s="23">
        <f t="shared" si="74"/>
        <v>0</v>
      </c>
      <c r="L271" s="23">
        <f t="shared" ref="L271:L279" si="75">IF($C271="OTC",ROUNDDOWN($I271*$E271*0.000909187,-1),(IF($C271="신한",ROUNDDOWN($I271*$E271*0.000036396,-1),(IF($C271="토스",$I271*$E271*0.00015,(IF($C271="US",(IF($I271*$E271*0.0025&gt;0.01,$I271*$E271*0.0025,0.01)),(IF($C271="JP",(IF($I271*$E271*0.0025&gt;1000,$I271*$E271*0.0025,1000)),(IF($C271="R토스",$I271*$E271*0.00015,(IF($C271="무상증자(신한)",ROUNDDOWN($I271*$E271*0.000036396,-1),"")))))))))))))</f>
        <v>0</v>
      </c>
      <c r="M271" s="206">
        <f t="shared" ref="M271:M302" si="76">Q271*0.002</f>
        <v>0</v>
      </c>
      <c r="N271" s="34"/>
      <c r="O271" s="209">
        <f t="shared" si="63"/>
        <v>-46083</v>
      </c>
      <c r="P271" s="34">
        <f t="shared" si="69"/>
        <v>21650</v>
      </c>
      <c r="Q271" s="34">
        <f t="shared" si="70"/>
        <v>0</v>
      </c>
      <c r="R271" s="7">
        <f t="shared" si="71"/>
        <v>0</v>
      </c>
      <c r="S271" s="227">
        <f t="shared" si="72"/>
        <v>0</v>
      </c>
      <c r="T271" s="249">
        <f t="shared" si="73"/>
        <v>0</v>
      </c>
    </row>
    <row r="272" spans="2:21" ht="15" customHeight="1" x14ac:dyDescent="0.4">
      <c r="B272" s="38" t="s">
        <v>24</v>
      </c>
      <c r="C272" s="6" t="s">
        <v>165</v>
      </c>
      <c r="D272" s="6">
        <f t="shared" si="64"/>
        <v>1</v>
      </c>
      <c r="E272" s="34">
        <v>5</v>
      </c>
      <c r="F272" s="212">
        <v>3870</v>
      </c>
      <c r="G272" s="195">
        <v>46091</v>
      </c>
      <c r="H272" s="8"/>
      <c r="I272" s="212"/>
      <c r="J272" s="8"/>
      <c r="K272" s="23">
        <f t="shared" si="74"/>
        <v>0</v>
      </c>
      <c r="L272" s="23">
        <f t="shared" si="75"/>
        <v>0</v>
      </c>
      <c r="M272" s="206">
        <f t="shared" si="76"/>
        <v>0</v>
      </c>
      <c r="N272" s="34"/>
      <c r="O272" s="209">
        <f t="shared" si="63"/>
        <v>-46090</v>
      </c>
      <c r="P272" s="34">
        <f t="shared" si="69"/>
        <v>19350</v>
      </c>
      <c r="Q272" s="34">
        <f t="shared" si="70"/>
        <v>0</v>
      </c>
      <c r="R272" s="7">
        <f t="shared" si="71"/>
        <v>0</v>
      </c>
      <c r="S272" s="227">
        <f t="shared" si="72"/>
        <v>0</v>
      </c>
      <c r="T272" s="249">
        <f t="shared" si="73"/>
        <v>0</v>
      </c>
    </row>
    <row r="273" spans="2:20" ht="15" customHeight="1" x14ac:dyDescent="0.4">
      <c r="B273" s="38" t="s">
        <v>24</v>
      </c>
      <c r="C273" s="6" t="s">
        <v>165</v>
      </c>
      <c r="D273" s="6">
        <f t="shared" si="64"/>
        <v>1</v>
      </c>
      <c r="E273" s="34">
        <v>5</v>
      </c>
      <c r="F273" s="212">
        <v>3390</v>
      </c>
      <c r="G273" s="195">
        <v>46098</v>
      </c>
      <c r="H273" s="8"/>
      <c r="I273" s="212"/>
      <c r="J273" s="8"/>
      <c r="K273" s="23">
        <f t="shared" si="74"/>
        <v>0</v>
      </c>
      <c r="L273" s="23">
        <f t="shared" si="75"/>
        <v>0</v>
      </c>
      <c r="M273" s="206">
        <f t="shared" si="76"/>
        <v>0</v>
      </c>
      <c r="N273" s="34"/>
      <c r="O273" s="209">
        <f t="shared" si="63"/>
        <v>-46097</v>
      </c>
      <c r="P273" s="34">
        <f t="shared" si="69"/>
        <v>16950</v>
      </c>
      <c r="Q273" s="34">
        <f t="shared" si="70"/>
        <v>0</v>
      </c>
      <c r="R273" s="7">
        <f t="shared" si="71"/>
        <v>0</v>
      </c>
      <c r="S273" s="227">
        <f t="shared" si="72"/>
        <v>0</v>
      </c>
      <c r="T273" s="249">
        <f t="shared" si="73"/>
        <v>0</v>
      </c>
    </row>
    <row r="274" spans="2:20" ht="15" customHeight="1" x14ac:dyDescent="0.4">
      <c r="B274" s="38" t="s">
        <v>24</v>
      </c>
      <c r="C274" s="6" t="s">
        <v>122</v>
      </c>
      <c r="D274" s="6">
        <f t="shared" si="64"/>
        <v>1</v>
      </c>
      <c r="E274" s="34">
        <v>153</v>
      </c>
      <c r="F274" s="212">
        <v>3065</v>
      </c>
      <c r="G274" s="195">
        <v>46100</v>
      </c>
      <c r="H274" s="8" t="s">
        <v>248</v>
      </c>
      <c r="I274" s="212"/>
      <c r="J274" s="8"/>
      <c r="K274" s="23">
        <f t="shared" si="74"/>
        <v>70.34174999999999</v>
      </c>
      <c r="L274" s="23">
        <f t="shared" si="75"/>
        <v>0</v>
      </c>
      <c r="M274" s="206">
        <f t="shared" si="76"/>
        <v>0</v>
      </c>
      <c r="N274" s="34"/>
      <c r="O274" s="209">
        <f t="shared" si="63"/>
        <v>-46099</v>
      </c>
      <c r="P274" s="34">
        <f t="shared" si="69"/>
        <v>468945</v>
      </c>
      <c r="Q274" s="34">
        <f t="shared" si="70"/>
        <v>0</v>
      </c>
      <c r="R274" s="7">
        <f t="shared" si="71"/>
        <v>-70.34174999999999</v>
      </c>
      <c r="S274" s="227">
        <f t="shared" si="72"/>
        <v>0</v>
      </c>
      <c r="T274" s="249">
        <f t="shared" si="73"/>
        <v>0</v>
      </c>
    </row>
    <row r="275" spans="2:20" ht="15" customHeight="1" x14ac:dyDescent="0.4">
      <c r="B275" s="38" t="s">
        <v>24</v>
      </c>
      <c r="C275" s="6" t="s">
        <v>165</v>
      </c>
      <c r="D275" s="6">
        <f t="shared" si="64"/>
        <v>1</v>
      </c>
      <c r="E275" s="34">
        <v>5</v>
      </c>
      <c r="F275" s="212">
        <v>3500</v>
      </c>
      <c r="G275" s="195">
        <v>46106</v>
      </c>
      <c r="H275" s="8"/>
      <c r="I275" s="212"/>
      <c r="J275" s="8"/>
      <c r="K275" s="23">
        <f t="shared" si="74"/>
        <v>0</v>
      </c>
      <c r="L275" s="23">
        <f t="shared" si="75"/>
        <v>0</v>
      </c>
      <c r="M275" s="206">
        <f t="shared" si="76"/>
        <v>0</v>
      </c>
      <c r="N275" s="34"/>
      <c r="O275" s="209">
        <f t="shared" si="63"/>
        <v>-46105</v>
      </c>
      <c r="P275" s="34">
        <f t="shared" si="69"/>
        <v>17500</v>
      </c>
      <c r="Q275" s="34">
        <f t="shared" si="70"/>
        <v>0</v>
      </c>
      <c r="R275" s="7">
        <f t="shared" si="71"/>
        <v>0</v>
      </c>
      <c r="S275" s="227">
        <f t="shared" si="72"/>
        <v>0</v>
      </c>
      <c r="T275" s="249">
        <f t="shared" si="73"/>
        <v>0</v>
      </c>
    </row>
    <row r="276" spans="2:20" ht="15" customHeight="1" x14ac:dyDescent="0.4">
      <c r="B276" s="38" t="s">
        <v>24</v>
      </c>
      <c r="C276" s="6" t="s">
        <v>165</v>
      </c>
      <c r="D276" s="6">
        <f t="shared" si="64"/>
        <v>1</v>
      </c>
      <c r="E276" s="34">
        <v>5</v>
      </c>
      <c r="F276" s="212">
        <v>3160</v>
      </c>
      <c r="G276" s="195">
        <v>46112</v>
      </c>
      <c r="H276" s="8"/>
      <c r="I276" s="212"/>
      <c r="J276" s="8"/>
      <c r="K276" s="23">
        <f t="shared" si="74"/>
        <v>0</v>
      </c>
      <c r="L276" s="23">
        <f t="shared" si="75"/>
        <v>0</v>
      </c>
      <c r="M276" s="206">
        <f t="shared" si="76"/>
        <v>0</v>
      </c>
      <c r="N276" s="34"/>
      <c r="O276" s="209">
        <f t="shared" si="63"/>
        <v>-46111</v>
      </c>
      <c r="P276" s="34">
        <f t="shared" si="69"/>
        <v>15800</v>
      </c>
      <c r="Q276" s="34">
        <f t="shared" si="70"/>
        <v>0</v>
      </c>
      <c r="R276" s="7">
        <f t="shared" si="71"/>
        <v>0</v>
      </c>
      <c r="S276" s="227">
        <f t="shared" si="72"/>
        <v>0</v>
      </c>
      <c r="T276" s="249">
        <f t="shared" si="73"/>
        <v>0</v>
      </c>
    </row>
    <row r="277" spans="2:20" ht="15" customHeight="1" x14ac:dyDescent="0.4">
      <c r="B277" s="38" t="s">
        <v>24</v>
      </c>
      <c r="C277" s="6" t="s">
        <v>165</v>
      </c>
      <c r="D277" s="6">
        <f t="shared" si="64"/>
        <v>1</v>
      </c>
      <c r="E277" s="34">
        <v>5</v>
      </c>
      <c r="F277" s="212">
        <v>3100</v>
      </c>
      <c r="G277" s="195">
        <v>46119</v>
      </c>
      <c r="H277" s="8"/>
      <c r="I277" s="212"/>
      <c r="J277" s="8"/>
      <c r="K277" s="23">
        <f t="shared" si="74"/>
        <v>0</v>
      </c>
      <c r="L277" s="23">
        <f t="shared" si="75"/>
        <v>0</v>
      </c>
      <c r="M277" s="206">
        <f t="shared" si="76"/>
        <v>0</v>
      </c>
      <c r="N277" s="34"/>
      <c r="O277" s="209">
        <f t="shared" si="63"/>
        <v>-46118</v>
      </c>
      <c r="P277" s="34">
        <f t="shared" si="69"/>
        <v>15500</v>
      </c>
      <c r="Q277" s="34">
        <f t="shared" si="70"/>
        <v>0</v>
      </c>
      <c r="R277" s="7">
        <f t="shared" si="71"/>
        <v>0</v>
      </c>
      <c r="S277" s="227">
        <f t="shared" si="72"/>
        <v>0</v>
      </c>
      <c r="T277" s="249">
        <f t="shared" si="73"/>
        <v>0</v>
      </c>
    </row>
    <row r="278" spans="2:20" ht="15" customHeight="1" x14ac:dyDescent="0.4">
      <c r="B278" s="38" t="s">
        <v>24</v>
      </c>
      <c r="C278" s="6" t="s">
        <v>165</v>
      </c>
      <c r="D278" s="6">
        <f t="shared" si="64"/>
        <v>1</v>
      </c>
      <c r="E278" s="34">
        <v>5</v>
      </c>
      <c r="F278" s="212">
        <v>3100</v>
      </c>
      <c r="G278" s="195">
        <v>46126</v>
      </c>
      <c r="H278" s="8"/>
      <c r="I278" s="212"/>
      <c r="J278" s="8"/>
      <c r="K278" s="23">
        <f t="shared" si="74"/>
        <v>0</v>
      </c>
      <c r="L278" s="23">
        <f t="shared" si="75"/>
        <v>0</v>
      </c>
      <c r="M278" s="206">
        <f t="shared" si="76"/>
        <v>0</v>
      </c>
      <c r="N278" s="34"/>
      <c r="O278" s="209">
        <f t="shared" si="63"/>
        <v>-46125</v>
      </c>
      <c r="P278" s="34">
        <f t="shared" si="69"/>
        <v>15500</v>
      </c>
      <c r="Q278" s="34">
        <f t="shared" si="70"/>
        <v>0</v>
      </c>
      <c r="R278" s="7">
        <f t="shared" si="71"/>
        <v>0</v>
      </c>
      <c r="S278" s="227">
        <f t="shared" si="72"/>
        <v>0</v>
      </c>
      <c r="T278" s="249">
        <f t="shared" si="73"/>
        <v>0</v>
      </c>
    </row>
    <row r="279" spans="2:20" ht="15" customHeight="1" x14ac:dyDescent="0.4">
      <c r="B279" s="38" t="s">
        <v>24</v>
      </c>
      <c r="C279" s="6" t="s">
        <v>165</v>
      </c>
      <c r="D279" s="6">
        <f t="shared" si="64"/>
        <v>1</v>
      </c>
      <c r="E279" s="34">
        <v>5</v>
      </c>
      <c r="F279" s="212">
        <v>3320</v>
      </c>
      <c r="G279" s="195">
        <v>46133</v>
      </c>
      <c r="H279" s="8"/>
      <c r="I279" s="212"/>
      <c r="J279" s="8"/>
      <c r="K279" s="23">
        <f t="shared" si="74"/>
        <v>0</v>
      </c>
      <c r="L279" s="23">
        <f t="shared" si="75"/>
        <v>0</v>
      </c>
      <c r="M279" s="206">
        <f t="shared" si="76"/>
        <v>0</v>
      </c>
      <c r="N279" s="34"/>
      <c r="O279" s="209">
        <f t="shared" si="63"/>
        <v>-46132</v>
      </c>
      <c r="P279" s="34">
        <f t="shared" si="69"/>
        <v>16600</v>
      </c>
      <c r="Q279" s="34">
        <f t="shared" si="70"/>
        <v>0</v>
      </c>
      <c r="R279" s="7">
        <f t="shared" si="71"/>
        <v>0</v>
      </c>
      <c r="S279" s="227">
        <f t="shared" si="72"/>
        <v>0</v>
      </c>
      <c r="T279" s="249">
        <f t="shared" si="73"/>
        <v>0</v>
      </c>
    </row>
    <row r="280" spans="2:20" ht="15" customHeight="1" x14ac:dyDescent="0.4">
      <c r="B280" s="38" t="s">
        <v>111</v>
      </c>
      <c r="C280" s="6" t="s">
        <v>165</v>
      </c>
      <c r="D280" s="6">
        <v>1</v>
      </c>
      <c r="E280" s="34">
        <v>1</v>
      </c>
      <c r="F280" s="212">
        <v>31050</v>
      </c>
      <c r="G280" s="195">
        <v>46113</v>
      </c>
      <c r="H280" s="8"/>
      <c r="I280" s="212">
        <v>35800</v>
      </c>
      <c r="J280" s="8">
        <v>46134</v>
      </c>
      <c r="K280" s="307">
        <v>0</v>
      </c>
      <c r="L280" s="307">
        <v>0</v>
      </c>
      <c r="M280" s="206">
        <f t="shared" si="76"/>
        <v>71.600000000000009</v>
      </c>
      <c r="N280" s="34"/>
      <c r="O280" s="209">
        <f t="shared" si="63"/>
        <v>22</v>
      </c>
      <c r="P280" s="34">
        <f t="shared" si="69"/>
        <v>31050</v>
      </c>
      <c r="Q280" s="34">
        <f t="shared" si="70"/>
        <v>35800</v>
      </c>
      <c r="R280" s="7">
        <f t="shared" si="71"/>
        <v>-71.600000000000009</v>
      </c>
      <c r="S280" s="227">
        <f t="shared" si="72"/>
        <v>4678.3999999999996</v>
      </c>
      <c r="T280" s="249">
        <f t="shared" si="73"/>
        <v>0.15067310789049917</v>
      </c>
    </row>
    <row r="281" spans="2:20" ht="15" customHeight="1" x14ac:dyDescent="0.4">
      <c r="B281" s="38" t="s">
        <v>111</v>
      </c>
      <c r="C281" s="6" t="s">
        <v>165</v>
      </c>
      <c r="D281" s="6">
        <v>1</v>
      </c>
      <c r="E281" s="34">
        <v>1</v>
      </c>
      <c r="F281" s="212">
        <v>32150</v>
      </c>
      <c r="G281" s="195">
        <v>46120</v>
      </c>
      <c r="H281" s="8"/>
      <c r="I281" s="212">
        <v>35800</v>
      </c>
      <c r="J281" s="8">
        <v>46134</v>
      </c>
      <c r="K281" s="307">
        <v>0</v>
      </c>
      <c r="L281" s="307">
        <v>0</v>
      </c>
      <c r="M281" s="206">
        <f t="shared" si="76"/>
        <v>71.600000000000009</v>
      </c>
      <c r="N281" s="34"/>
      <c r="O281" s="209">
        <f t="shared" ref="O281:O344" si="77">J281-G281+1</f>
        <v>15</v>
      </c>
      <c r="P281" s="34">
        <f t="shared" si="69"/>
        <v>32150</v>
      </c>
      <c r="Q281" s="34">
        <f t="shared" si="70"/>
        <v>35800</v>
      </c>
      <c r="R281" s="7">
        <f t="shared" si="71"/>
        <v>-71.600000000000009</v>
      </c>
      <c r="S281" s="227">
        <f t="shared" si="72"/>
        <v>3578.4</v>
      </c>
      <c r="T281" s="249">
        <f t="shared" si="73"/>
        <v>0.11130326594090202</v>
      </c>
    </row>
    <row r="282" spans="2:20" ht="15" customHeight="1" x14ac:dyDescent="0.4">
      <c r="B282" s="38" t="s">
        <v>111</v>
      </c>
      <c r="C282" s="6" t="s">
        <v>165</v>
      </c>
      <c r="D282" s="6">
        <v>1</v>
      </c>
      <c r="E282" s="34">
        <v>1</v>
      </c>
      <c r="F282" s="212">
        <v>33300</v>
      </c>
      <c r="G282" s="195">
        <v>46127</v>
      </c>
      <c r="H282" s="8"/>
      <c r="I282" s="212">
        <v>35800</v>
      </c>
      <c r="J282" s="8">
        <v>46134</v>
      </c>
      <c r="K282" s="307">
        <v>0</v>
      </c>
      <c r="L282" s="307">
        <v>0</v>
      </c>
      <c r="M282" s="206">
        <f t="shared" si="76"/>
        <v>71.600000000000009</v>
      </c>
      <c r="N282" s="34"/>
      <c r="O282" s="209">
        <f t="shared" si="77"/>
        <v>8</v>
      </c>
      <c r="P282" s="34">
        <f t="shared" si="69"/>
        <v>33300</v>
      </c>
      <c r="Q282" s="34">
        <f t="shared" si="70"/>
        <v>35800</v>
      </c>
      <c r="R282" s="7">
        <f t="shared" si="71"/>
        <v>-71.600000000000009</v>
      </c>
      <c r="S282" s="227">
        <f t="shared" si="72"/>
        <v>2428.4</v>
      </c>
      <c r="T282" s="249">
        <f t="shared" si="73"/>
        <v>7.292492492492493E-2</v>
      </c>
    </row>
    <row r="283" spans="2:20" ht="15" customHeight="1" x14ac:dyDescent="0.4">
      <c r="B283" s="38" t="s">
        <v>111</v>
      </c>
      <c r="C283" s="6" t="s">
        <v>165</v>
      </c>
      <c r="D283" s="6">
        <v>1</v>
      </c>
      <c r="E283" s="34">
        <v>1</v>
      </c>
      <c r="F283" s="212">
        <v>36000</v>
      </c>
      <c r="G283" s="195">
        <v>46134</v>
      </c>
      <c r="H283" s="8"/>
      <c r="I283" s="212">
        <v>44450</v>
      </c>
      <c r="J283" s="8">
        <v>46139</v>
      </c>
      <c r="K283" s="307">
        <v>0</v>
      </c>
      <c r="L283" s="23">
        <f t="shared" ref="L283:L289" si="78">IF($C283="OTC",ROUNDDOWN($I283*$E283*0.000909187,-1),(IF($C283="신한",ROUNDDOWN($I283*$E283*0.000036396,-1),(IF($C283="토스",$I283*$E283*0.00015,(IF($C283="US",(IF($I283*$E283*0.0025&gt;0.01,$I283*$E283*0.0025,0.01)),(IF($C283="JP",(IF($I283*$E283*0.0025&gt;1000,$I283*$E283*0.0025,1000)),(IF($C283="R토스",$I283*$E283*0.00015,(IF($C283="무상증자(신한)",ROUNDDOWN($I283*$E283*0.000036396,-1),"")))))))))))))</f>
        <v>6.6674999999999995</v>
      </c>
      <c r="M283" s="206">
        <f t="shared" si="76"/>
        <v>88.9</v>
      </c>
      <c r="N283" s="34"/>
      <c r="O283" s="209">
        <f t="shared" si="77"/>
        <v>6</v>
      </c>
      <c r="P283" s="34">
        <f t="shared" si="69"/>
        <v>36000</v>
      </c>
      <c r="Q283" s="34">
        <f t="shared" si="70"/>
        <v>44450</v>
      </c>
      <c r="R283" s="7">
        <f t="shared" si="71"/>
        <v>-95.56750000000001</v>
      </c>
      <c r="S283" s="227">
        <f t="shared" si="72"/>
        <v>8354.4325000000008</v>
      </c>
      <c r="T283" s="249">
        <f t="shared" si="73"/>
        <v>0.23206756944444445</v>
      </c>
    </row>
    <row r="284" spans="2:20" ht="15" customHeight="1" x14ac:dyDescent="0.4">
      <c r="B284" s="38" t="s">
        <v>111</v>
      </c>
      <c r="C284" s="6" t="s">
        <v>122</v>
      </c>
      <c r="D284" s="6">
        <v>1</v>
      </c>
      <c r="E284" s="34">
        <v>100</v>
      </c>
      <c r="F284" s="212">
        <v>44400</v>
      </c>
      <c r="G284" s="195">
        <v>46139</v>
      </c>
      <c r="H284" s="8"/>
      <c r="I284" s="212">
        <v>44450</v>
      </c>
      <c r="J284" s="8">
        <v>46139</v>
      </c>
      <c r="K284" s="307">
        <v>0</v>
      </c>
      <c r="L284" s="23">
        <f t="shared" si="78"/>
        <v>666.74999999999989</v>
      </c>
      <c r="M284" s="206">
        <f t="shared" si="76"/>
        <v>8890</v>
      </c>
      <c r="N284" s="34"/>
      <c r="O284" s="209">
        <f t="shared" si="77"/>
        <v>1</v>
      </c>
      <c r="P284" s="34">
        <f t="shared" si="69"/>
        <v>4440000</v>
      </c>
      <c r="Q284" s="34">
        <f t="shared" si="70"/>
        <v>4445000</v>
      </c>
      <c r="R284" s="7">
        <f t="shared" si="71"/>
        <v>-9556.75</v>
      </c>
      <c r="S284" s="227">
        <f t="shared" si="72"/>
        <v>-4556.75</v>
      </c>
      <c r="T284" s="249">
        <f t="shared" si="73"/>
        <v>-1.0262950450450452E-3</v>
      </c>
    </row>
    <row r="285" spans="2:20" ht="15" customHeight="1" x14ac:dyDescent="0.4">
      <c r="B285" s="38" t="s">
        <v>111</v>
      </c>
      <c r="C285" s="6" t="s">
        <v>165</v>
      </c>
      <c r="D285" s="6">
        <v>1</v>
      </c>
      <c r="E285" s="34"/>
      <c r="F285" s="212"/>
      <c r="G285" s="195">
        <v>46141</v>
      </c>
      <c r="H285" s="8"/>
      <c r="I285" s="212"/>
      <c r="J285" s="8"/>
      <c r="K285" s="307">
        <v>0</v>
      </c>
      <c r="L285" s="23">
        <f t="shared" si="78"/>
        <v>0</v>
      </c>
      <c r="M285" s="206">
        <f t="shared" si="76"/>
        <v>0</v>
      </c>
      <c r="N285" s="34"/>
      <c r="O285" s="209">
        <f t="shared" si="77"/>
        <v>-46140</v>
      </c>
      <c r="P285" s="34">
        <f t="shared" si="69"/>
        <v>0</v>
      </c>
      <c r="Q285" s="34">
        <f t="shared" si="70"/>
        <v>0</v>
      </c>
      <c r="R285" s="7">
        <f t="shared" si="71"/>
        <v>0</v>
      </c>
      <c r="S285" s="227">
        <f t="shared" si="72"/>
        <v>0</v>
      </c>
      <c r="T285" s="249" t="e">
        <f t="shared" si="73"/>
        <v>#DIV/0!</v>
      </c>
    </row>
    <row r="286" spans="2:20" ht="15" customHeight="1" x14ac:dyDescent="0.4">
      <c r="B286" s="38" t="s">
        <v>52</v>
      </c>
      <c r="C286" s="6" t="s">
        <v>160</v>
      </c>
      <c r="D286" s="6">
        <f t="shared" ref="D286:D330" si="79">IF(OR($C286="신한",$C286="OTC",$C286="무상증자(신한)",$C286="토스",$C286="R토스"),1,"확인")</f>
        <v>1</v>
      </c>
      <c r="E286" s="34">
        <v>1</v>
      </c>
      <c r="F286" s="212">
        <v>6430</v>
      </c>
      <c r="G286" s="195">
        <v>45910</v>
      </c>
      <c r="H286" s="8"/>
      <c r="I286" s="212"/>
      <c r="J286" s="8"/>
      <c r="K286" s="23">
        <f>IF($C286="OTC",ROUNDDOWN($E286*$F286*0.000909187,-1),(IF($C286="신한",ROUNDDOWN($E286*$F286*0.000036396,-1),(IF($C286="토스",$E286*$F286*0.00015,(IF($C286="US",(IF($E286*$F286*0.0025&gt;0.01,$E286*$F286*0.0025,0.01)),IF($C286="JP",(IF($E286*$F286*0.0025&gt;1000,$E286*$F286*0.0025,1000)),(IF($C286="R토스",0,IF($C286="무상증자(신한)",0,"")))))))))))</f>
        <v>0</v>
      </c>
      <c r="L286" s="23">
        <f t="shared" si="78"/>
        <v>0</v>
      </c>
      <c r="M286" s="206">
        <f t="shared" si="76"/>
        <v>0</v>
      </c>
      <c r="N286" s="34"/>
      <c r="O286" s="209">
        <f t="shared" si="77"/>
        <v>-45909</v>
      </c>
      <c r="P286" s="34">
        <f t="shared" si="69"/>
        <v>6430</v>
      </c>
      <c r="Q286" s="34">
        <f t="shared" si="70"/>
        <v>0</v>
      </c>
      <c r="R286" s="7">
        <f t="shared" si="71"/>
        <v>0</v>
      </c>
      <c r="S286" s="227">
        <f t="shared" si="72"/>
        <v>0</v>
      </c>
      <c r="T286" s="249">
        <f t="shared" si="73"/>
        <v>0</v>
      </c>
    </row>
    <row r="287" spans="2:20" ht="15" customHeight="1" x14ac:dyDescent="0.4">
      <c r="B287" s="38" t="s">
        <v>52</v>
      </c>
      <c r="C287" s="6" t="s">
        <v>160</v>
      </c>
      <c r="D287" s="6">
        <f t="shared" si="79"/>
        <v>1</v>
      </c>
      <c r="E287" s="34">
        <v>1</v>
      </c>
      <c r="F287" s="212">
        <v>5230</v>
      </c>
      <c r="G287" s="195">
        <v>45940</v>
      </c>
      <c r="H287" s="8"/>
      <c r="I287" s="212"/>
      <c r="J287" s="8"/>
      <c r="K287" s="23">
        <f>IF($C287="OTC",ROUNDDOWN($E287*$F287*0.000909187,-1),(IF($C287="신한",ROUNDDOWN($E287*$F287*0.000036396,-1),(IF($C287="토스",$E287*$F287*0.00015,(IF($C287="US",(IF($E287*$F287*0.0025&gt;0.01,$E287*$F287*0.0025,0.01)),IF($C287="JP",(IF($E287*$F287*0.0025&gt;1000,$E287*$F287*0.0025,1000)),(IF($C287="R토스",0,IF($C287="무상증자(신한)",0,"")))))))))))</f>
        <v>0</v>
      </c>
      <c r="L287" s="23">
        <f t="shared" si="78"/>
        <v>0</v>
      </c>
      <c r="M287" s="206">
        <f t="shared" si="76"/>
        <v>0</v>
      </c>
      <c r="N287" s="34"/>
      <c r="O287" s="209">
        <f t="shared" si="77"/>
        <v>-45939</v>
      </c>
      <c r="P287" s="34">
        <f t="shared" si="69"/>
        <v>5230</v>
      </c>
      <c r="Q287" s="34">
        <f t="shared" si="70"/>
        <v>0</v>
      </c>
      <c r="R287" s="7">
        <f t="shared" si="71"/>
        <v>0</v>
      </c>
      <c r="S287" s="227">
        <f t="shared" si="72"/>
        <v>0</v>
      </c>
      <c r="T287" s="249">
        <f t="shared" si="73"/>
        <v>0</v>
      </c>
    </row>
    <row r="288" spans="2:20" ht="15" customHeight="1" x14ac:dyDescent="0.4">
      <c r="B288" s="38" t="s">
        <v>52</v>
      </c>
      <c r="C288" s="6" t="s">
        <v>160</v>
      </c>
      <c r="D288" s="6">
        <f t="shared" si="79"/>
        <v>1</v>
      </c>
      <c r="E288" s="34">
        <v>1</v>
      </c>
      <c r="F288" s="212">
        <v>4570</v>
      </c>
      <c r="G288" s="195">
        <v>45971</v>
      </c>
      <c r="H288" s="8"/>
      <c r="I288" s="212"/>
      <c r="J288" s="8"/>
      <c r="K288" s="23">
        <f>IF($C288="OTC",ROUNDDOWN($E288*$F288*0.000909187,-1),(IF($C288="신한",ROUNDDOWN($E288*$F288*0.000036396,-1),(IF($C288="토스",$E288*$F288*0.00015,(IF($C288="US",(IF($E288*$F288*0.0025&gt;0.01,$E288*$F288*0.0025,0.01)),IF($C288="JP",(IF($E288*$F288*0.0025&gt;1000,$E288*$F288*0.0025,1000)),(IF($C288="R토스",0,IF($C288="무상증자(신한)",0,"")))))))))))</f>
        <v>0</v>
      </c>
      <c r="L288" s="23">
        <f t="shared" si="78"/>
        <v>0</v>
      </c>
      <c r="M288" s="206">
        <f t="shared" si="76"/>
        <v>0</v>
      </c>
      <c r="N288" s="34"/>
      <c r="O288" s="209">
        <f t="shared" si="77"/>
        <v>-45970</v>
      </c>
      <c r="P288" s="34">
        <f t="shared" si="69"/>
        <v>4570</v>
      </c>
      <c r="Q288" s="34">
        <f t="shared" si="70"/>
        <v>0</v>
      </c>
      <c r="R288" s="7">
        <f t="shared" si="71"/>
        <v>0</v>
      </c>
      <c r="S288" s="227">
        <f t="shared" si="72"/>
        <v>0</v>
      </c>
      <c r="T288" s="249">
        <f t="shared" si="73"/>
        <v>0</v>
      </c>
    </row>
    <row r="289" spans="2:20" ht="15" customHeight="1" x14ac:dyDescent="0.4">
      <c r="B289" s="38" t="s">
        <v>52</v>
      </c>
      <c r="C289" s="6" t="s">
        <v>160</v>
      </c>
      <c r="D289" s="6">
        <f t="shared" si="79"/>
        <v>1</v>
      </c>
      <c r="E289" s="34">
        <v>1</v>
      </c>
      <c r="F289" s="212">
        <v>4265</v>
      </c>
      <c r="G289" s="195">
        <v>46001</v>
      </c>
      <c r="H289" s="8"/>
      <c r="I289" s="212"/>
      <c r="J289" s="8"/>
      <c r="K289" s="23">
        <f>IF($C289="OTC",ROUNDDOWN($E289*$F289*0.000909187,-1),(IF($C289="신한",ROUNDDOWN($E289*$F289*0.000036396,-1),(IF($C289="토스",$E289*$F289*0.00015,(IF($C289="US",(IF($E289*$F289*0.0025&gt;0.01,$E289*$F289*0.0025,0.01)),IF($C289="JP",(IF($E289*$F289*0.0025&gt;1000,$E289*$F289*0.0025,1000)),(IF($C289="R토스",0,IF($C289="무상증자(신한)",0,"")))))))))))</f>
        <v>0</v>
      </c>
      <c r="L289" s="23">
        <f t="shared" si="78"/>
        <v>0</v>
      </c>
      <c r="M289" s="206">
        <f t="shared" si="76"/>
        <v>0</v>
      </c>
      <c r="N289" s="34"/>
      <c r="O289" s="209">
        <f t="shared" si="77"/>
        <v>-46000</v>
      </c>
      <c r="P289" s="34">
        <f t="shared" si="69"/>
        <v>4265</v>
      </c>
      <c r="Q289" s="34">
        <f t="shared" si="70"/>
        <v>0</v>
      </c>
      <c r="R289" s="7">
        <f t="shared" si="71"/>
        <v>0</v>
      </c>
      <c r="S289" s="227">
        <f t="shared" si="72"/>
        <v>0</v>
      </c>
      <c r="T289" s="249">
        <f t="shared" si="73"/>
        <v>0</v>
      </c>
    </row>
    <row r="290" spans="2:20" ht="15" customHeight="1" x14ac:dyDescent="0.4">
      <c r="B290" s="38" t="s">
        <v>498</v>
      </c>
      <c r="C290" s="6" t="s">
        <v>122</v>
      </c>
      <c r="D290" s="6">
        <f t="shared" si="79"/>
        <v>1</v>
      </c>
      <c r="E290" s="34">
        <v>150</v>
      </c>
      <c r="F290" s="212">
        <v>52600</v>
      </c>
      <c r="G290" s="195">
        <v>46139</v>
      </c>
      <c r="H290" s="8"/>
      <c r="I290" s="212">
        <v>55300</v>
      </c>
      <c r="J290" s="195">
        <v>46139</v>
      </c>
      <c r="K290" s="307">
        <v>0</v>
      </c>
      <c r="L290" s="307">
        <v>0</v>
      </c>
      <c r="M290" s="206">
        <f t="shared" si="76"/>
        <v>16590</v>
      </c>
      <c r="N290" s="34"/>
      <c r="O290" s="209">
        <f t="shared" si="77"/>
        <v>1</v>
      </c>
      <c r="P290" s="34">
        <f t="shared" si="69"/>
        <v>7890000</v>
      </c>
      <c r="Q290" s="34">
        <f t="shared" si="70"/>
        <v>8295000</v>
      </c>
      <c r="R290" s="7">
        <f t="shared" si="71"/>
        <v>-16590</v>
      </c>
      <c r="S290" s="227">
        <f t="shared" si="72"/>
        <v>388410</v>
      </c>
      <c r="T290" s="249">
        <f t="shared" si="73"/>
        <v>4.9228136882129278E-2</v>
      </c>
    </row>
    <row r="291" spans="2:20" ht="15" customHeight="1" x14ac:dyDescent="0.4">
      <c r="B291" s="38" t="s">
        <v>498</v>
      </c>
      <c r="C291" s="6" t="s">
        <v>122</v>
      </c>
      <c r="D291" s="6">
        <f t="shared" si="79"/>
        <v>1</v>
      </c>
      <c r="E291" s="34">
        <v>800</v>
      </c>
      <c r="F291" s="212">
        <v>53700</v>
      </c>
      <c r="G291" s="195">
        <v>46139</v>
      </c>
      <c r="H291" s="8"/>
      <c r="I291" s="212">
        <v>55300</v>
      </c>
      <c r="J291" s="195">
        <v>46139</v>
      </c>
      <c r="K291" s="307">
        <v>0</v>
      </c>
      <c r="L291" s="307">
        <v>0</v>
      </c>
      <c r="M291" s="206">
        <f t="shared" si="76"/>
        <v>88480</v>
      </c>
      <c r="N291" s="34"/>
      <c r="O291" s="209">
        <f t="shared" si="77"/>
        <v>1</v>
      </c>
      <c r="P291" s="34">
        <f t="shared" si="69"/>
        <v>42960000</v>
      </c>
      <c r="Q291" s="34">
        <f t="shared" si="70"/>
        <v>44240000</v>
      </c>
      <c r="R291" s="7">
        <f t="shared" si="71"/>
        <v>-88480</v>
      </c>
      <c r="S291" s="227">
        <f t="shared" si="72"/>
        <v>1191520</v>
      </c>
      <c r="T291" s="249">
        <f t="shared" si="73"/>
        <v>2.7735567970204843E-2</v>
      </c>
    </row>
    <row r="292" spans="2:20" ht="15" customHeight="1" x14ac:dyDescent="0.4">
      <c r="B292" s="38" t="s">
        <v>498</v>
      </c>
      <c r="C292" s="6" t="s">
        <v>122</v>
      </c>
      <c r="D292" s="6">
        <f t="shared" si="79"/>
        <v>1</v>
      </c>
      <c r="E292" s="34">
        <v>100</v>
      </c>
      <c r="F292" s="212">
        <v>54000</v>
      </c>
      <c r="G292" s="195">
        <v>46139</v>
      </c>
      <c r="H292" s="8"/>
      <c r="I292" s="212">
        <v>54500</v>
      </c>
      <c r="J292" s="195">
        <v>46139</v>
      </c>
      <c r="K292" s="307">
        <v>0</v>
      </c>
      <c r="L292" s="307">
        <v>0</v>
      </c>
      <c r="M292" s="206">
        <f t="shared" si="76"/>
        <v>10900</v>
      </c>
      <c r="N292" s="34"/>
      <c r="O292" s="209">
        <f t="shared" si="77"/>
        <v>1</v>
      </c>
      <c r="P292" s="34">
        <f t="shared" si="69"/>
        <v>5400000</v>
      </c>
      <c r="Q292" s="34">
        <f t="shared" si="70"/>
        <v>5450000</v>
      </c>
      <c r="R292" s="7">
        <f t="shared" si="71"/>
        <v>-10900</v>
      </c>
      <c r="S292" s="227">
        <f t="shared" si="72"/>
        <v>39100</v>
      </c>
      <c r="T292" s="249">
        <f t="shared" si="73"/>
        <v>7.2407407407407412E-3</v>
      </c>
    </row>
    <row r="293" spans="2:20" ht="15" customHeight="1" x14ac:dyDescent="0.4">
      <c r="B293" s="38" t="s">
        <v>498</v>
      </c>
      <c r="C293" s="6" t="s">
        <v>122</v>
      </c>
      <c r="D293" s="6">
        <f t="shared" si="79"/>
        <v>1</v>
      </c>
      <c r="E293" s="34">
        <v>15</v>
      </c>
      <c r="F293" s="212">
        <v>54500</v>
      </c>
      <c r="G293" s="195">
        <v>46139</v>
      </c>
      <c r="H293" s="8"/>
      <c r="I293" s="212">
        <v>54500</v>
      </c>
      <c r="J293" s="195">
        <v>46139</v>
      </c>
      <c r="K293" s="307">
        <v>0</v>
      </c>
      <c r="L293" s="307">
        <v>0</v>
      </c>
      <c r="M293" s="206">
        <f t="shared" si="76"/>
        <v>1635</v>
      </c>
      <c r="N293" s="34"/>
      <c r="O293" s="209">
        <f t="shared" si="77"/>
        <v>1</v>
      </c>
      <c r="P293" s="34">
        <f t="shared" si="69"/>
        <v>817500</v>
      </c>
      <c r="Q293" s="34">
        <f t="shared" si="70"/>
        <v>817500</v>
      </c>
      <c r="R293" s="7">
        <f t="shared" si="71"/>
        <v>-1635</v>
      </c>
      <c r="S293" s="227">
        <f t="shared" si="72"/>
        <v>-1635</v>
      </c>
      <c r="T293" s="249">
        <f t="shared" si="73"/>
        <v>-2E-3</v>
      </c>
    </row>
    <row r="294" spans="2:20" ht="15" customHeight="1" x14ac:dyDescent="0.4">
      <c r="B294" s="38" t="s">
        <v>498</v>
      </c>
      <c r="C294" s="6" t="s">
        <v>122</v>
      </c>
      <c r="D294" s="6">
        <f t="shared" si="79"/>
        <v>1</v>
      </c>
      <c r="E294" s="34">
        <v>20</v>
      </c>
      <c r="F294" s="212">
        <v>54400</v>
      </c>
      <c r="G294" s="195">
        <v>46139</v>
      </c>
      <c r="H294" s="8"/>
      <c r="I294" s="212">
        <v>54500</v>
      </c>
      <c r="J294" s="195">
        <v>46139</v>
      </c>
      <c r="K294" s="307">
        <v>0</v>
      </c>
      <c r="L294" s="307">
        <v>0</v>
      </c>
      <c r="M294" s="206">
        <f t="shared" si="76"/>
        <v>2180</v>
      </c>
      <c r="N294" s="34"/>
      <c r="O294" s="209">
        <f t="shared" si="77"/>
        <v>1</v>
      </c>
      <c r="P294" s="34">
        <f t="shared" si="69"/>
        <v>1088000</v>
      </c>
      <c r="Q294" s="34">
        <f t="shared" si="70"/>
        <v>1090000</v>
      </c>
      <c r="R294" s="7">
        <f t="shared" si="71"/>
        <v>-2180</v>
      </c>
      <c r="S294" s="227">
        <f t="shared" si="72"/>
        <v>-180</v>
      </c>
      <c r="T294" s="249">
        <f t="shared" si="73"/>
        <v>-1.6544117647058823E-4</v>
      </c>
    </row>
    <row r="295" spans="2:20" ht="15" customHeight="1" x14ac:dyDescent="0.4">
      <c r="B295" s="38" t="s">
        <v>498</v>
      </c>
      <c r="C295" s="6" t="s">
        <v>122</v>
      </c>
      <c r="D295" s="6">
        <f t="shared" si="79"/>
        <v>1</v>
      </c>
      <c r="E295" s="34">
        <v>60</v>
      </c>
      <c r="F295" s="212">
        <v>53800</v>
      </c>
      <c r="G295" s="195">
        <v>46139</v>
      </c>
      <c r="H295" s="8"/>
      <c r="I295" s="212">
        <v>54500</v>
      </c>
      <c r="J295" s="195">
        <v>46139</v>
      </c>
      <c r="K295" s="307">
        <v>0</v>
      </c>
      <c r="L295" s="307">
        <v>0</v>
      </c>
      <c r="M295" s="206">
        <f t="shared" si="76"/>
        <v>6540</v>
      </c>
      <c r="N295" s="34"/>
      <c r="O295" s="209">
        <f t="shared" si="77"/>
        <v>1</v>
      </c>
      <c r="P295" s="34">
        <f t="shared" si="69"/>
        <v>3228000</v>
      </c>
      <c r="Q295" s="34">
        <f t="shared" si="70"/>
        <v>3270000</v>
      </c>
      <c r="R295" s="7">
        <f t="shared" si="71"/>
        <v>-6540</v>
      </c>
      <c r="S295" s="227">
        <f t="shared" si="72"/>
        <v>35460</v>
      </c>
      <c r="T295" s="249">
        <f t="shared" si="73"/>
        <v>1.0985130111524164E-2</v>
      </c>
    </row>
    <row r="296" spans="2:20" ht="15" customHeight="1" x14ac:dyDescent="0.4">
      <c r="B296" s="38" t="s">
        <v>498</v>
      </c>
      <c r="C296" s="6" t="s">
        <v>122</v>
      </c>
      <c r="D296" s="6">
        <f t="shared" si="79"/>
        <v>1</v>
      </c>
      <c r="E296" s="34">
        <v>100</v>
      </c>
      <c r="F296" s="212">
        <v>53100</v>
      </c>
      <c r="G296" s="195">
        <v>46139</v>
      </c>
      <c r="H296" s="8"/>
      <c r="I296" s="212">
        <v>54500</v>
      </c>
      <c r="J296" s="195">
        <v>46139</v>
      </c>
      <c r="K296" s="307">
        <v>0</v>
      </c>
      <c r="L296" s="307">
        <v>0</v>
      </c>
      <c r="M296" s="206">
        <f t="shared" si="76"/>
        <v>10900</v>
      </c>
      <c r="N296" s="34"/>
      <c r="O296" s="209">
        <f t="shared" si="77"/>
        <v>1</v>
      </c>
      <c r="P296" s="34">
        <f t="shared" si="69"/>
        <v>5310000</v>
      </c>
      <c r="Q296" s="34">
        <f t="shared" si="70"/>
        <v>5450000</v>
      </c>
      <c r="R296" s="7">
        <f t="shared" si="71"/>
        <v>-10900</v>
      </c>
      <c r="S296" s="227">
        <f t="shared" si="72"/>
        <v>129100</v>
      </c>
      <c r="T296" s="249">
        <f t="shared" si="73"/>
        <v>2.4312617702448212E-2</v>
      </c>
    </row>
    <row r="297" spans="2:20" ht="15" customHeight="1" x14ac:dyDescent="0.4">
      <c r="B297" s="38" t="s">
        <v>498</v>
      </c>
      <c r="C297" s="6" t="s">
        <v>122</v>
      </c>
      <c r="D297" s="6">
        <f t="shared" si="79"/>
        <v>1</v>
      </c>
      <c r="E297" s="34">
        <v>100</v>
      </c>
      <c r="F297" s="212">
        <v>54200</v>
      </c>
      <c r="G297" s="195">
        <v>46139</v>
      </c>
      <c r="H297" s="8"/>
      <c r="I297" s="212">
        <v>54500</v>
      </c>
      <c r="J297" s="195">
        <v>46139</v>
      </c>
      <c r="K297" s="307">
        <v>0</v>
      </c>
      <c r="L297" s="307">
        <v>0</v>
      </c>
      <c r="M297" s="206">
        <f t="shared" si="76"/>
        <v>10900</v>
      </c>
      <c r="N297" s="34"/>
      <c r="O297" s="209">
        <f t="shared" si="77"/>
        <v>1</v>
      </c>
      <c r="P297" s="34">
        <f t="shared" si="69"/>
        <v>5420000</v>
      </c>
      <c r="Q297" s="34">
        <f t="shared" si="70"/>
        <v>5450000</v>
      </c>
      <c r="R297" s="7">
        <f t="shared" si="71"/>
        <v>-10900</v>
      </c>
      <c r="S297" s="227">
        <f t="shared" si="72"/>
        <v>19100</v>
      </c>
      <c r="T297" s="249">
        <f t="shared" si="73"/>
        <v>3.5239852398523987E-3</v>
      </c>
    </row>
    <row r="298" spans="2:20" ht="15" customHeight="1" x14ac:dyDescent="0.4">
      <c r="B298" s="38" t="s">
        <v>498</v>
      </c>
      <c r="C298" s="6" t="s">
        <v>122</v>
      </c>
      <c r="D298" s="6">
        <f t="shared" si="79"/>
        <v>1</v>
      </c>
      <c r="E298" s="34">
        <v>1000</v>
      </c>
      <c r="F298" s="212">
        <v>54000</v>
      </c>
      <c r="G298" s="195">
        <v>46139</v>
      </c>
      <c r="H298" s="8"/>
      <c r="I298" s="212">
        <v>54500</v>
      </c>
      <c r="J298" s="195">
        <v>46139</v>
      </c>
      <c r="K298" s="307">
        <v>0</v>
      </c>
      <c r="L298" s="307">
        <v>0</v>
      </c>
      <c r="M298" s="206">
        <f t="shared" si="76"/>
        <v>109000</v>
      </c>
      <c r="N298" s="34"/>
      <c r="O298" s="209">
        <f t="shared" si="77"/>
        <v>1</v>
      </c>
      <c r="P298" s="34">
        <f t="shared" si="69"/>
        <v>54000000</v>
      </c>
      <c r="Q298" s="34">
        <f t="shared" si="70"/>
        <v>54500000</v>
      </c>
      <c r="R298" s="7">
        <f t="shared" si="71"/>
        <v>-109000</v>
      </c>
      <c r="S298" s="227">
        <f t="shared" si="72"/>
        <v>391000</v>
      </c>
      <c r="T298" s="249">
        <f t="shared" si="73"/>
        <v>7.2407407407407412E-3</v>
      </c>
    </row>
    <row r="299" spans="2:20" ht="15" customHeight="1" x14ac:dyDescent="0.4">
      <c r="B299" s="38" t="s">
        <v>499</v>
      </c>
      <c r="C299" s="6" t="s">
        <v>122</v>
      </c>
      <c r="D299" s="6">
        <f t="shared" si="79"/>
        <v>1</v>
      </c>
      <c r="E299" s="34">
        <v>10</v>
      </c>
      <c r="F299" s="212">
        <v>116200</v>
      </c>
      <c r="G299" s="195">
        <v>46139</v>
      </c>
      <c r="H299" s="8"/>
      <c r="I299" s="212">
        <v>115500</v>
      </c>
      <c r="J299" s="195">
        <v>46139</v>
      </c>
      <c r="K299" s="307">
        <v>0</v>
      </c>
      <c r="L299" s="307">
        <v>0</v>
      </c>
      <c r="M299" s="206">
        <f t="shared" si="76"/>
        <v>2310</v>
      </c>
      <c r="N299" s="34"/>
      <c r="O299" s="209">
        <f t="shared" si="77"/>
        <v>1</v>
      </c>
      <c r="P299" s="34">
        <f t="shared" si="69"/>
        <v>1162000</v>
      </c>
      <c r="Q299" s="34">
        <f t="shared" si="70"/>
        <v>1155000</v>
      </c>
      <c r="R299" s="7">
        <f t="shared" si="71"/>
        <v>-2310</v>
      </c>
      <c r="S299" s="227">
        <f t="shared" si="72"/>
        <v>-9310</v>
      </c>
      <c r="T299" s="249">
        <f t="shared" si="73"/>
        <v>-8.0120481927710846E-3</v>
      </c>
    </row>
    <row r="300" spans="2:20" ht="15" customHeight="1" x14ac:dyDescent="0.4">
      <c r="B300" s="38" t="s">
        <v>499</v>
      </c>
      <c r="C300" s="6" t="s">
        <v>122</v>
      </c>
      <c r="D300" s="6">
        <f t="shared" si="79"/>
        <v>1</v>
      </c>
      <c r="E300" s="34">
        <v>10</v>
      </c>
      <c r="F300" s="212">
        <v>116000</v>
      </c>
      <c r="G300" s="195">
        <v>46139</v>
      </c>
      <c r="H300" s="8"/>
      <c r="I300" s="212">
        <v>115500</v>
      </c>
      <c r="J300" s="195">
        <v>46139</v>
      </c>
      <c r="K300" s="307">
        <v>0</v>
      </c>
      <c r="L300" s="307">
        <v>0</v>
      </c>
      <c r="M300" s="206">
        <f t="shared" si="76"/>
        <v>2310</v>
      </c>
      <c r="N300" s="34"/>
      <c r="O300" s="209">
        <f t="shared" si="77"/>
        <v>1</v>
      </c>
      <c r="P300" s="34">
        <f t="shared" si="69"/>
        <v>1160000</v>
      </c>
      <c r="Q300" s="34">
        <f t="shared" si="70"/>
        <v>1155000</v>
      </c>
      <c r="R300" s="7">
        <f t="shared" si="71"/>
        <v>-2310</v>
      </c>
      <c r="S300" s="227">
        <f t="shared" si="72"/>
        <v>-7310</v>
      </c>
      <c r="T300" s="249">
        <f t="shared" si="73"/>
        <v>-6.3017241379310345E-3</v>
      </c>
    </row>
    <row r="301" spans="2:20" ht="15" customHeight="1" x14ac:dyDescent="0.4">
      <c r="B301" s="38" t="s">
        <v>499</v>
      </c>
      <c r="C301" s="6" t="s">
        <v>122</v>
      </c>
      <c r="D301" s="6">
        <f t="shared" si="79"/>
        <v>1</v>
      </c>
      <c r="E301" s="34">
        <v>20</v>
      </c>
      <c r="F301" s="212">
        <v>115500</v>
      </c>
      <c r="G301" s="195">
        <v>46139</v>
      </c>
      <c r="H301" s="8"/>
      <c r="I301" s="212">
        <v>115500</v>
      </c>
      <c r="J301" s="195">
        <v>46139</v>
      </c>
      <c r="K301" s="307">
        <v>0</v>
      </c>
      <c r="L301" s="307">
        <v>0</v>
      </c>
      <c r="M301" s="206">
        <f t="shared" si="76"/>
        <v>4620</v>
      </c>
      <c r="N301" s="34"/>
      <c r="O301" s="209">
        <f t="shared" si="77"/>
        <v>1</v>
      </c>
      <c r="P301" s="34">
        <f t="shared" si="69"/>
        <v>2310000</v>
      </c>
      <c r="Q301" s="34">
        <f t="shared" si="70"/>
        <v>2310000</v>
      </c>
      <c r="R301" s="7">
        <f t="shared" si="71"/>
        <v>-4620</v>
      </c>
      <c r="S301" s="227">
        <f t="shared" si="72"/>
        <v>-4620</v>
      </c>
      <c r="T301" s="249">
        <f t="shared" si="73"/>
        <v>-2E-3</v>
      </c>
    </row>
    <row r="302" spans="2:20" ht="15" customHeight="1" x14ac:dyDescent="0.4">
      <c r="B302" s="38" t="s">
        <v>499</v>
      </c>
      <c r="C302" s="6" t="s">
        <v>122</v>
      </c>
      <c r="D302" s="6">
        <f t="shared" si="79"/>
        <v>1</v>
      </c>
      <c r="E302" s="34">
        <v>10</v>
      </c>
      <c r="F302" s="212">
        <v>114200</v>
      </c>
      <c r="G302" s="195">
        <v>46139</v>
      </c>
      <c r="H302" s="8"/>
      <c r="I302" s="212">
        <v>115500</v>
      </c>
      <c r="J302" s="195">
        <v>46139</v>
      </c>
      <c r="K302" s="307">
        <v>0</v>
      </c>
      <c r="L302" s="307">
        <v>0</v>
      </c>
      <c r="M302" s="206">
        <f t="shared" si="76"/>
        <v>2310</v>
      </c>
      <c r="N302" s="34"/>
      <c r="O302" s="209">
        <f t="shared" si="77"/>
        <v>1</v>
      </c>
      <c r="P302" s="34">
        <f t="shared" si="69"/>
        <v>1142000</v>
      </c>
      <c r="Q302" s="34">
        <f t="shared" si="70"/>
        <v>1155000</v>
      </c>
      <c r="R302" s="7">
        <f t="shared" si="71"/>
        <v>-2310</v>
      </c>
      <c r="S302" s="227">
        <f t="shared" si="72"/>
        <v>10690</v>
      </c>
      <c r="T302" s="249">
        <f t="shared" si="73"/>
        <v>9.3607705779334503E-3</v>
      </c>
    </row>
    <row r="303" spans="2:20" ht="15" customHeight="1" x14ac:dyDescent="0.4">
      <c r="B303" s="38" t="s">
        <v>499</v>
      </c>
      <c r="C303" s="6" t="s">
        <v>122</v>
      </c>
      <c r="D303" s="6">
        <f t="shared" si="79"/>
        <v>1</v>
      </c>
      <c r="E303" s="34">
        <v>30</v>
      </c>
      <c r="F303" s="212">
        <v>114000</v>
      </c>
      <c r="G303" s="195">
        <v>46139</v>
      </c>
      <c r="H303" s="8"/>
      <c r="I303" s="212">
        <v>115500</v>
      </c>
      <c r="J303" s="195">
        <v>46139</v>
      </c>
      <c r="K303" s="307">
        <v>0</v>
      </c>
      <c r="L303" s="307">
        <v>0</v>
      </c>
      <c r="M303" s="206">
        <f t="shared" ref="M303:M330" si="80">Q303*0.002</f>
        <v>6930</v>
      </c>
      <c r="N303" s="34"/>
      <c r="O303" s="209">
        <f t="shared" si="77"/>
        <v>1</v>
      </c>
      <c r="P303" s="34">
        <f t="shared" si="69"/>
        <v>3420000</v>
      </c>
      <c r="Q303" s="34">
        <f t="shared" si="70"/>
        <v>3465000</v>
      </c>
      <c r="R303" s="7">
        <f t="shared" si="71"/>
        <v>-6930</v>
      </c>
      <c r="S303" s="227">
        <f t="shared" si="72"/>
        <v>38070</v>
      </c>
      <c r="T303" s="249">
        <f t="shared" si="73"/>
        <v>1.1131578947368421E-2</v>
      </c>
    </row>
    <row r="304" spans="2:20" ht="15" customHeight="1" x14ac:dyDescent="0.4">
      <c r="B304" s="38" t="s">
        <v>499</v>
      </c>
      <c r="C304" s="6" t="s">
        <v>122</v>
      </c>
      <c r="D304" s="6">
        <f t="shared" si="79"/>
        <v>1</v>
      </c>
      <c r="E304" s="34">
        <v>100</v>
      </c>
      <c r="F304" s="212">
        <v>114500</v>
      </c>
      <c r="G304" s="195">
        <v>46139</v>
      </c>
      <c r="H304" s="8"/>
      <c r="I304" s="212">
        <v>115500</v>
      </c>
      <c r="J304" s="195">
        <v>46139</v>
      </c>
      <c r="K304" s="307">
        <v>0</v>
      </c>
      <c r="L304" s="307">
        <v>0</v>
      </c>
      <c r="M304" s="206">
        <f t="shared" si="80"/>
        <v>23100</v>
      </c>
      <c r="N304" s="34"/>
      <c r="O304" s="209">
        <f t="shared" si="77"/>
        <v>1</v>
      </c>
      <c r="P304" s="34">
        <f t="shared" si="69"/>
        <v>11450000</v>
      </c>
      <c r="Q304" s="34">
        <f t="shared" si="70"/>
        <v>11550000</v>
      </c>
      <c r="R304" s="7">
        <f t="shared" si="71"/>
        <v>-23100</v>
      </c>
      <c r="S304" s="227">
        <f t="shared" si="72"/>
        <v>76900</v>
      </c>
      <c r="T304" s="249">
        <f t="shared" si="73"/>
        <v>6.7161572052401751E-3</v>
      </c>
    </row>
    <row r="305" spans="2:23" ht="15" customHeight="1" x14ac:dyDescent="0.4">
      <c r="B305" s="38" t="s">
        <v>55</v>
      </c>
      <c r="C305" s="6" t="s">
        <v>160</v>
      </c>
      <c r="D305" s="6">
        <f t="shared" si="79"/>
        <v>1</v>
      </c>
      <c r="E305" s="34">
        <v>25</v>
      </c>
      <c r="F305" s="212">
        <v>380000</v>
      </c>
      <c r="G305" s="195">
        <v>44208</v>
      </c>
      <c r="H305" s="8"/>
      <c r="I305" s="212">
        <v>204500</v>
      </c>
      <c r="J305" s="8">
        <v>46134</v>
      </c>
      <c r="K305" s="23">
        <f t="shared" ref="K305:K336" si="81">IF($C305="OTC",ROUNDDOWN($E305*$F305*0.000909187,-1),(IF($C305="신한",ROUNDDOWN($E305*$F305*0.000036396,-1),(IF($C305="토스",$E305*$F305*0.00015,(IF($C305="US",(IF($E305*$F305*0.0025&gt;0.01,$E305*$F305*0.0025,0.01)),IF($C305="JP",(IF($E305*$F305*0.0025&gt;1000,$E305*$F305*0.0025,1000)),(IF($C305="R토스",0,IF($C305="무상증자(신한)",0,"")))))))))))</f>
        <v>340</v>
      </c>
      <c r="L305" s="23">
        <f t="shared" ref="L305:L336" si="82">IF($C305="OTC",ROUNDDOWN($I305*$E305*0.000909187,-1),(IF($C305="신한",ROUNDDOWN($I305*$E305*0.000036396,-1),(IF($C305="토스",$I305*$E305*0.00015,(IF($C305="US",(IF($I305*$E305*0.0025&gt;0.01,$I305*$E305*0.0025,0.01)),(IF($C305="JP",(IF($I305*$E305*0.0025&gt;1000,$I305*$E305*0.0025,1000)),(IF($C305="R토스",$I305*$E305*0.00015,(IF($C305="무상증자(신한)",ROUNDDOWN($I305*$E305*0.000036396,-1),"")))))))))))))</f>
        <v>180</v>
      </c>
      <c r="M305" s="206">
        <f t="shared" si="80"/>
        <v>10225</v>
      </c>
      <c r="N305" s="34">
        <f>E305*750*(1-0.154)+3360*E305+E305*375*(1-0.154)+E305*500*(1-0.154)+E305*750*(1-0.154)</f>
        <v>134231.25</v>
      </c>
      <c r="O305" s="209">
        <f t="shared" si="77"/>
        <v>1927</v>
      </c>
      <c r="P305" s="34">
        <f t="shared" si="69"/>
        <v>9500000</v>
      </c>
      <c r="Q305" s="34">
        <f t="shared" si="70"/>
        <v>5112500</v>
      </c>
      <c r="R305" s="7">
        <f t="shared" si="71"/>
        <v>123486.25</v>
      </c>
      <c r="S305" s="227">
        <f t="shared" si="72"/>
        <v>-4264013.75</v>
      </c>
      <c r="T305" s="249">
        <f t="shared" si="73"/>
        <v>-0.44884355263157893</v>
      </c>
      <c r="V305" s="34"/>
      <c r="W305" s="34"/>
    </row>
    <row r="306" spans="2:23" ht="15" customHeight="1" x14ac:dyDescent="0.4">
      <c r="B306" s="38" t="s">
        <v>55</v>
      </c>
      <c r="C306" s="6" t="s">
        <v>160</v>
      </c>
      <c r="D306" s="6">
        <f t="shared" si="79"/>
        <v>1</v>
      </c>
      <c r="E306" s="34">
        <v>1</v>
      </c>
      <c r="F306" s="212">
        <v>263000</v>
      </c>
      <c r="G306" s="195">
        <v>44351</v>
      </c>
      <c r="H306" s="8"/>
      <c r="I306" s="212">
        <v>204500</v>
      </c>
      <c r="J306" s="8">
        <v>46134</v>
      </c>
      <c r="K306" s="23">
        <f t="shared" si="81"/>
        <v>0</v>
      </c>
      <c r="L306" s="23">
        <f t="shared" si="82"/>
        <v>0</v>
      </c>
      <c r="M306" s="206">
        <f t="shared" si="80"/>
        <v>409</v>
      </c>
      <c r="N306" s="34">
        <f>E306*750*(1-0.154)+3360*E306+E306*375*(1-0.154)+E306*500*(1-0.154)+E306*750*(1-0.154)</f>
        <v>5369.25</v>
      </c>
      <c r="O306" s="209">
        <f t="shared" si="77"/>
        <v>1784</v>
      </c>
      <c r="P306" s="34">
        <f t="shared" si="69"/>
        <v>263000</v>
      </c>
      <c r="Q306" s="34">
        <f t="shared" si="70"/>
        <v>204500</v>
      </c>
      <c r="R306" s="7">
        <f t="shared" si="71"/>
        <v>4960.25</v>
      </c>
      <c r="S306" s="227">
        <f t="shared" si="72"/>
        <v>-53539.75</v>
      </c>
      <c r="T306" s="249">
        <f t="shared" si="73"/>
        <v>-0.20357319391634981</v>
      </c>
    </row>
    <row r="307" spans="2:23" ht="15" customHeight="1" x14ac:dyDescent="0.4">
      <c r="B307" s="38" t="s">
        <v>55</v>
      </c>
      <c r="C307" s="6" t="s">
        <v>160</v>
      </c>
      <c r="D307" s="6">
        <f t="shared" si="79"/>
        <v>1</v>
      </c>
      <c r="E307" s="34">
        <v>1</v>
      </c>
      <c r="F307" s="212">
        <v>0</v>
      </c>
      <c r="G307" s="195">
        <v>45040</v>
      </c>
      <c r="H307" s="8" t="s">
        <v>281</v>
      </c>
      <c r="I307" s="212">
        <v>204500</v>
      </c>
      <c r="J307" s="8">
        <v>46134</v>
      </c>
      <c r="K307" s="23">
        <f t="shared" si="81"/>
        <v>0</v>
      </c>
      <c r="L307" s="23">
        <f t="shared" si="82"/>
        <v>0</v>
      </c>
      <c r="M307" s="206">
        <f t="shared" si="80"/>
        <v>409</v>
      </c>
      <c r="N307" s="34">
        <f>6344+500*E307+ROUNDUP(750*(1-0.154)*E307,-1)</f>
        <v>7484</v>
      </c>
      <c r="O307" s="209">
        <f t="shared" si="77"/>
        <v>1095</v>
      </c>
      <c r="P307" s="34">
        <f t="shared" si="69"/>
        <v>0</v>
      </c>
      <c r="Q307" s="34">
        <f t="shared" si="70"/>
        <v>204500</v>
      </c>
      <c r="R307" s="7">
        <f t="shared" si="71"/>
        <v>7075</v>
      </c>
      <c r="S307" s="227">
        <f t="shared" si="72"/>
        <v>211575</v>
      </c>
      <c r="T307" s="249" t="e">
        <f t="shared" si="73"/>
        <v>#DIV/0!</v>
      </c>
    </row>
    <row r="308" spans="2:23" ht="15" customHeight="1" x14ac:dyDescent="0.4">
      <c r="B308" s="38" t="s">
        <v>55</v>
      </c>
      <c r="C308" s="6" t="s">
        <v>160</v>
      </c>
      <c r="D308" s="6">
        <f t="shared" si="79"/>
        <v>1</v>
      </c>
      <c r="E308" s="34">
        <v>3</v>
      </c>
      <c r="F308" s="212">
        <v>172600</v>
      </c>
      <c r="G308" s="195">
        <v>45077</v>
      </c>
      <c r="H308" s="8"/>
      <c r="I308" s="212">
        <v>204500</v>
      </c>
      <c r="J308" s="8">
        <v>46134</v>
      </c>
      <c r="K308" s="23">
        <f t="shared" si="81"/>
        <v>10</v>
      </c>
      <c r="L308" s="23">
        <f t="shared" si="82"/>
        <v>20</v>
      </c>
      <c r="M308" s="206">
        <f t="shared" si="80"/>
        <v>1227</v>
      </c>
      <c r="N308" s="34">
        <f>500*E308+ROUNDUP(750*(1-0.154)*E308,-1)</f>
        <v>3410</v>
      </c>
      <c r="O308" s="209">
        <f t="shared" si="77"/>
        <v>1058</v>
      </c>
      <c r="P308" s="34">
        <f t="shared" si="69"/>
        <v>517800</v>
      </c>
      <c r="Q308" s="34">
        <f t="shared" si="70"/>
        <v>613500</v>
      </c>
      <c r="R308" s="7">
        <f t="shared" si="71"/>
        <v>2153</v>
      </c>
      <c r="S308" s="227">
        <f t="shared" si="72"/>
        <v>97853</v>
      </c>
      <c r="T308" s="249">
        <f t="shared" si="73"/>
        <v>0.18897837002703746</v>
      </c>
    </row>
    <row r="309" spans="2:23" ht="15" customHeight="1" x14ac:dyDescent="0.4">
      <c r="B309" s="38" t="s">
        <v>55</v>
      </c>
      <c r="C309" s="6" t="s">
        <v>160</v>
      </c>
      <c r="D309" s="6">
        <f t="shared" si="79"/>
        <v>1</v>
      </c>
      <c r="E309" s="34">
        <v>3</v>
      </c>
      <c r="F309" s="212">
        <v>163500</v>
      </c>
      <c r="G309" s="195">
        <v>45098</v>
      </c>
      <c r="H309" s="8"/>
      <c r="I309" s="212">
        <v>204500</v>
      </c>
      <c r="J309" s="8">
        <v>46134</v>
      </c>
      <c r="K309" s="23">
        <f t="shared" si="81"/>
        <v>10</v>
      </c>
      <c r="L309" s="23">
        <f t="shared" si="82"/>
        <v>20</v>
      </c>
      <c r="M309" s="206">
        <f t="shared" si="80"/>
        <v>1227</v>
      </c>
      <c r="N309" s="34">
        <f>500*E309+ROUNDUP(750*(1-0.154)*E309,-1)</f>
        <v>3410</v>
      </c>
      <c r="O309" s="209">
        <f t="shared" si="77"/>
        <v>1037</v>
      </c>
      <c r="P309" s="34">
        <f t="shared" si="69"/>
        <v>490500</v>
      </c>
      <c r="Q309" s="34">
        <f t="shared" si="70"/>
        <v>613500</v>
      </c>
      <c r="R309" s="7">
        <f t="shared" si="71"/>
        <v>2153</v>
      </c>
      <c r="S309" s="227">
        <f t="shared" si="72"/>
        <v>125153</v>
      </c>
      <c r="T309" s="249">
        <f t="shared" si="73"/>
        <v>0.25515392456676861</v>
      </c>
    </row>
    <row r="310" spans="2:23" ht="15" customHeight="1" x14ac:dyDescent="0.4">
      <c r="B310" s="38" t="s">
        <v>55</v>
      </c>
      <c r="C310" s="6" t="s">
        <v>160</v>
      </c>
      <c r="D310" s="6">
        <f t="shared" si="79"/>
        <v>1</v>
      </c>
      <c r="E310" s="34">
        <v>1</v>
      </c>
      <c r="F310" s="212">
        <v>180400</v>
      </c>
      <c r="G310" s="195">
        <v>45659</v>
      </c>
      <c r="H310" s="8"/>
      <c r="I310" s="212">
        <v>204500</v>
      </c>
      <c r="J310" s="8">
        <v>46134</v>
      </c>
      <c r="K310" s="23">
        <f t="shared" si="81"/>
        <v>0</v>
      </c>
      <c r="L310" s="23">
        <f t="shared" si="82"/>
        <v>0</v>
      </c>
      <c r="M310" s="206">
        <f t="shared" si="80"/>
        <v>409</v>
      </c>
      <c r="N310" s="34"/>
      <c r="O310" s="209">
        <f t="shared" si="77"/>
        <v>476</v>
      </c>
      <c r="P310" s="34">
        <f t="shared" si="69"/>
        <v>180400</v>
      </c>
      <c r="Q310" s="34">
        <f t="shared" si="70"/>
        <v>204500</v>
      </c>
      <c r="R310" s="7">
        <f t="shared" si="71"/>
        <v>-409</v>
      </c>
      <c r="S310" s="227">
        <f t="shared" si="72"/>
        <v>23691</v>
      </c>
      <c r="T310" s="249">
        <f t="shared" si="73"/>
        <v>0.13132483370288248</v>
      </c>
    </row>
    <row r="311" spans="2:23" ht="15" customHeight="1" x14ac:dyDescent="0.4">
      <c r="B311" s="38" t="s">
        <v>55</v>
      </c>
      <c r="C311" s="6" t="s">
        <v>160</v>
      </c>
      <c r="D311" s="6">
        <f t="shared" si="79"/>
        <v>1</v>
      </c>
      <c r="E311" s="34">
        <v>1</v>
      </c>
      <c r="F311" s="212">
        <v>185600</v>
      </c>
      <c r="G311" s="195">
        <v>45667</v>
      </c>
      <c r="H311" s="8"/>
      <c r="I311" s="212">
        <v>204500</v>
      </c>
      <c r="J311" s="8">
        <v>46134</v>
      </c>
      <c r="K311" s="23">
        <f t="shared" si="81"/>
        <v>0</v>
      </c>
      <c r="L311" s="23">
        <f t="shared" si="82"/>
        <v>0</v>
      </c>
      <c r="M311" s="206">
        <f t="shared" si="80"/>
        <v>409</v>
      </c>
      <c r="N311" s="34"/>
      <c r="O311" s="209">
        <f t="shared" si="77"/>
        <v>468</v>
      </c>
      <c r="P311" s="34">
        <f t="shared" si="69"/>
        <v>185600</v>
      </c>
      <c r="Q311" s="34">
        <f t="shared" si="70"/>
        <v>204500</v>
      </c>
      <c r="R311" s="7">
        <f t="shared" si="71"/>
        <v>-409</v>
      </c>
      <c r="S311" s="227">
        <f t="shared" si="72"/>
        <v>18491</v>
      </c>
      <c r="T311" s="249">
        <f t="shared" si="73"/>
        <v>9.9628232758620691E-2</v>
      </c>
    </row>
    <row r="312" spans="2:23" ht="15" customHeight="1" x14ac:dyDescent="0.4">
      <c r="B312" s="38" t="s">
        <v>55</v>
      </c>
      <c r="C312" s="6" t="s">
        <v>160</v>
      </c>
      <c r="D312" s="6">
        <f t="shared" si="79"/>
        <v>1</v>
      </c>
      <c r="E312" s="34">
        <v>1</v>
      </c>
      <c r="F312" s="212">
        <v>178200</v>
      </c>
      <c r="G312" s="195">
        <v>45698</v>
      </c>
      <c r="H312" s="8"/>
      <c r="I312" s="212">
        <v>204500</v>
      </c>
      <c r="J312" s="8">
        <v>46134</v>
      </c>
      <c r="K312" s="23">
        <f t="shared" si="81"/>
        <v>0</v>
      </c>
      <c r="L312" s="23">
        <f t="shared" si="82"/>
        <v>0</v>
      </c>
      <c r="M312" s="206">
        <f t="shared" si="80"/>
        <v>409</v>
      </c>
      <c r="N312" s="34"/>
      <c r="O312" s="209">
        <f t="shared" si="77"/>
        <v>437</v>
      </c>
      <c r="P312" s="34">
        <f t="shared" si="69"/>
        <v>178200</v>
      </c>
      <c r="Q312" s="34">
        <f t="shared" si="70"/>
        <v>204500</v>
      </c>
      <c r="R312" s="7">
        <f t="shared" si="71"/>
        <v>-409</v>
      </c>
      <c r="S312" s="227">
        <f t="shared" si="72"/>
        <v>25891</v>
      </c>
      <c r="T312" s="249">
        <f t="shared" si="73"/>
        <v>0.14529180695847363</v>
      </c>
    </row>
    <row r="313" spans="2:23" ht="15" customHeight="1" x14ac:dyDescent="0.4">
      <c r="B313" s="38" t="s">
        <v>55</v>
      </c>
      <c r="C313" s="6" t="s">
        <v>160</v>
      </c>
      <c r="D313" s="6">
        <f t="shared" si="79"/>
        <v>1</v>
      </c>
      <c r="E313" s="34">
        <v>1</v>
      </c>
      <c r="F313" s="212">
        <v>183500</v>
      </c>
      <c r="G313" s="195">
        <v>45726</v>
      </c>
      <c r="H313" s="8"/>
      <c r="I313" s="212">
        <v>204500</v>
      </c>
      <c r="J313" s="8">
        <v>46134</v>
      </c>
      <c r="K313" s="23">
        <f t="shared" si="81"/>
        <v>0</v>
      </c>
      <c r="L313" s="23">
        <f t="shared" si="82"/>
        <v>0</v>
      </c>
      <c r="M313" s="206">
        <f t="shared" si="80"/>
        <v>409</v>
      </c>
      <c r="N313" s="34"/>
      <c r="O313" s="209">
        <f t="shared" si="77"/>
        <v>409</v>
      </c>
      <c r="P313" s="34">
        <f t="shared" si="69"/>
        <v>183500</v>
      </c>
      <c r="Q313" s="34">
        <f t="shared" si="70"/>
        <v>204500</v>
      </c>
      <c r="R313" s="7">
        <f t="shared" si="71"/>
        <v>-409</v>
      </c>
      <c r="S313" s="227">
        <f t="shared" si="72"/>
        <v>20591</v>
      </c>
      <c r="T313" s="249">
        <f t="shared" si="73"/>
        <v>0.11221253405994551</v>
      </c>
    </row>
    <row r="314" spans="2:23" ht="15" customHeight="1" x14ac:dyDescent="0.4">
      <c r="B314" s="38" t="s">
        <v>55</v>
      </c>
      <c r="C314" s="6" t="s">
        <v>160</v>
      </c>
      <c r="D314" s="6">
        <f t="shared" si="79"/>
        <v>1</v>
      </c>
      <c r="E314" s="34">
        <v>1</v>
      </c>
      <c r="F314" s="212">
        <v>160100</v>
      </c>
      <c r="G314" s="195">
        <v>45762</v>
      </c>
      <c r="H314" s="8"/>
      <c r="I314" s="212">
        <v>204500</v>
      </c>
      <c r="J314" s="8">
        <v>46134</v>
      </c>
      <c r="K314" s="23">
        <f t="shared" si="81"/>
        <v>0</v>
      </c>
      <c r="L314" s="23">
        <f t="shared" si="82"/>
        <v>0</v>
      </c>
      <c r="M314" s="206">
        <f t="shared" si="80"/>
        <v>409</v>
      </c>
      <c r="N314" s="34"/>
      <c r="O314" s="209">
        <f t="shared" si="77"/>
        <v>373</v>
      </c>
      <c r="P314" s="34">
        <f t="shared" si="69"/>
        <v>160100</v>
      </c>
      <c r="Q314" s="34">
        <f t="shared" si="70"/>
        <v>204500</v>
      </c>
      <c r="R314" s="7">
        <f t="shared" si="71"/>
        <v>-409</v>
      </c>
      <c r="S314" s="227">
        <f t="shared" si="72"/>
        <v>43991</v>
      </c>
      <c r="T314" s="249">
        <f t="shared" si="73"/>
        <v>0.27477201748906932</v>
      </c>
    </row>
    <row r="315" spans="2:23" ht="15" customHeight="1" x14ac:dyDescent="0.4">
      <c r="B315" s="38" t="s">
        <v>55</v>
      </c>
      <c r="C315" s="6" t="s">
        <v>160</v>
      </c>
      <c r="D315" s="6">
        <f t="shared" si="79"/>
        <v>1</v>
      </c>
      <c r="E315" s="34">
        <v>1</v>
      </c>
      <c r="F315" s="212">
        <v>0</v>
      </c>
      <c r="G315" s="195">
        <v>45763</v>
      </c>
      <c r="H315" s="6" t="s">
        <v>281</v>
      </c>
      <c r="I315" s="212">
        <v>204500</v>
      </c>
      <c r="J315" s="8">
        <v>46134</v>
      </c>
      <c r="K315" s="23">
        <f t="shared" si="81"/>
        <v>0</v>
      </c>
      <c r="L315" s="23">
        <f t="shared" si="82"/>
        <v>0</v>
      </c>
      <c r="M315" s="206">
        <f t="shared" si="80"/>
        <v>409</v>
      </c>
      <c r="N315" s="34">
        <v>120315</v>
      </c>
      <c r="O315" s="209">
        <f t="shared" si="77"/>
        <v>372</v>
      </c>
      <c r="P315" s="34">
        <f t="shared" si="69"/>
        <v>0</v>
      </c>
      <c r="Q315" s="34">
        <f t="shared" si="70"/>
        <v>204500</v>
      </c>
      <c r="R315" s="7">
        <f t="shared" si="71"/>
        <v>119906</v>
      </c>
      <c r="S315" s="227">
        <f t="shared" si="72"/>
        <v>324406</v>
      </c>
      <c r="T315" s="249" t="e">
        <f t="shared" si="73"/>
        <v>#DIV/0!</v>
      </c>
    </row>
    <row r="316" spans="2:23" ht="15" customHeight="1" x14ac:dyDescent="0.4">
      <c r="B316" s="38" t="s">
        <v>55</v>
      </c>
      <c r="C316" s="6" t="s">
        <v>160</v>
      </c>
      <c r="D316" s="6">
        <f t="shared" si="79"/>
        <v>1</v>
      </c>
      <c r="E316" s="34">
        <v>1</v>
      </c>
      <c r="F316" s="212">
        <v>157400</v>
      </c>
      <c r="G316" s="195">
        <v>45789</v>
      </c>
      <c r="H316" s="6"/>
      <c r="I316" s="212">
        <v>204500</v>
      </c>
      <c r="J316" s="8">
        <v>46134</v>
      </c>
      <c r="K316" s="23">
        <f t="shared" si="81"/>
        <v>0</v>
      </c>
      <c r="L316" s="23">
        <f t="shared" si="82"/>
        <v>0</v>
      </c>
      <c r="M316" s="206">
        <f t="shared" si="80"/>
        <v>409</v>
      </c>
      <c r="N316" s="34"/>
      <c r="O316" s="209">
        <f t="shared" si="77"/>
        <v>346</v>
      </c>
      <c r="P316" s="34">
        <f t="shared" si="69"/>
        <v>157400</v>
      </c>
      <c r="Q316" s="34">
        <f t="shared" si="70"/>
        <v>204500</v>
      </c>
      <c r="R316" s="7">
        <f t="shared" si="71"/>
        <v>-409</v>
      </c>
      <c r="S316" s="227">
        <f t="shared" si="72"/>
        <v>46691</v>
      </c>
      <c r="T316" s="249">
        <f t="shared" si="73"/>
        <v>0.29663913595933927</v>
      </c>
    </row>
    <row r="317" spans="2:23" ht="15" customHeight="1" x14ac:dyDescent="0.4">
      <c r="B317" s="38" t="s">
        <v>55</v>
      </c>
      <c r="C317" s="6" t="s">
        <v>160</v>
      </c>
      <c r="D317" s="6">
        <f t="shared" si="79"/>
        <v>1</v>
      </c>
      <c r="E317" s="34">
        <v>1</v>
      </c>
      <c r="F317" s="212">
        <v>152100</v>
      </c>
      <c r="G317" s="195">
        <v>45789</v>
      </c>
      <c r="H317" s="6"/>
      <c r="I317" s="212">
        <v>204500</v>
      </c>
      <c r="J317" s="8">
        <v>46134</v>
      </c>
      <c r="K317" s="23">
        <f t="shared" si="81"/>
        <v>0</v>
      </c>
      <c r="L317" s="23">
        <f t="shared" si="82"/>
        <v>0</v>
      </c>
      <c r="M317" s="206">
        <f t="shared" si="80"/>
        <v>409</v>
      </c>
      <c r="N317" s="34"/>
      <c r="O317" s="209">
        <f t="shared" si="77"/>
        <v>346</v>
      </c>
      <c r="P317" s="34">
        <f t="shared" si="69"/>
        <v>152100</v>
      </c>
      <c r="Q317" s="34">
        <f t="shared" si="70"/>
        <v>204500</v>
      </c>
      <c r="R317" s="7">
        <f t="shared" si="71"/>
        <v>-409</v>
      </c>
      <c r="S317" s="227">
        <f t="shared" si="72"/>
        <v>51991</v>
      </c>
      <c r="T317" s="249">
        <f t="shared" si="73"/>
        <v>0.34182117028270875</v>
      </c>
    </row>
    <row r="318" spans="2:23" ht="15" customHeight="1" x14ac:dyDescent="0.4">
      <c r="B318" s="38" t="s">
        <v>55</v>
      </c>
      <c r="C318" s="6" t="s">
        <v>160</v>
      </c>
      <c r="D318" s="6">
        <f t="shared" si="79"/>
        <v>1</v>
      </c>
      <c r="E318" s="34">
        <v>2</v>
      </c>
      <c r="F318" s="212">
        <v>153000</v>
      </c>
      <c r="G318" s="195">
        <v>45799</v>
      </c>
      <c r="H318" s="6"/>
      <c r="I318" s="212">
        <v>204500</v>
      </c>
      <c r="J318" s="8">
        <v>46134</v>
      </c>
      <c r="K318" s="23">
        <f t="shared" si="81"/>
        <v>10</v>
      </c>
      <c r="L318" s="23">
        <f t="shared" si="82"/>
        <v>10</v>
      </c>
      <c r="M318" s="206">
        <f t="shared" si="80"/>
        <v>818</v>
      </c>
      <c r="N318" s="34"/>
      <c r="O318" s="209">
        <f t="shared" si="77"/>
        <v>336</v>
      </c>
      <c r="P318" s="34">
        <f t="shared" si="69"/>
        <v>306000</v>
      </c>
      <c r="Q318" s="34">
        <f t="shared" si="70"/>
        <v>409000</v>
      </c>
      <c r="R318" s="7">
        <f t="shared" si="71"/>
        <v>-838</v>
      </c>
      <c r="S318" s="227">
        <f t="shared" si="72"/>
        <v>102162</v>
      </c>
      <c r="T318" s="249">
        <f t="shared" si="73"/>
        <v>0.3338627450980392</v>
      </c>
    </row>
    <row r="319" spans="2:23" ht="15" customHeight="1" x14ac:dyDescent="0.4">
      <c r="B319" s="38" t="s">
        <v>55</v>
      </c>
      <c r="C319" s="6" t="s">
        <v>160</v>
      </c>
      <c r="D319" s="6">
        <f t="shared" si="79"/>
        <v>1</v>
      </c>
      <c r="E319" s="34">
        <v>1</v>
      </c>
      <c r="F319" s="212">
        <v>160500</v>
      </c>
      <c r="G319" s="195">
        <v>45818</v>
      </c>
      <c r="H319" s="6"/>
      <c r="I319" s="212">
        <v>204500</v>
      </c>
      <c r="J319" s="8">
        <v>46134</v>
      </c>
      <c r="K319" s="23">
        <f t="shared" si="81"/>
        <v>0</v>
      </c>
      <c r="L319" s="23">
        <f t="shared" si="82"/>
        <v>0</v>
      </c>
      <c r="M319" s="206">
        <f t="shared" si="80"/>
        <v>409</v>
      </c>
      <c r="N319" s="34"/>
      <c r="O319" s="209">
        <f t="shared" si="77"/>
        <v>317</v>
      </c>
      <c r="P319" s="34">
        <f t="shared" si="69"/>
        <v>160500</v>
      </c>
      <c r="Q319" s="34">
        <f t="shared" si="70"/>
        <v>204500</v>
      </c>
      <c r="R319" s="7">
        <f t="shared" si="71"/>
        <v>-409</v>
      </c>
      <c r="S319" s="227">
        <f t="shared" si="72"/>
        <v>43591</v>
      </c>
      <c r="T319" s="249">
        <f t="shared" si="73"/>
        <v>0.27159501557632398</v>
      </c>
    </row>
    <row r="320" spans="2:23" ht="15" customHeight="1" x14ac:dyDescent="0.4">
      <c r="B320" s="38" t="s">
        <v>55</v>
      </c>
      <c r="C320" s="6" t="s">
        <v>160</v>
      </c>
      <c r="D320" s="6">
        <f t="shared" si="79"/>
        <v>1</v>
      </c>
      <c r="E320" s="34">
        <v>1</v>
      </c>
      <c r="F320" s="212">
        <v>175500</v>
      </c>
      <c r="G320" s="195">
        <v>45848</v>
      </c>
      <c r="H320" s="6"/>
      <c r="I320" s="212">
        <v>204500</v>
      </c>
      <c r="J320" s="8">
        <v>46134</v>
      </c>
      <c r="K320" s="23">
        <f t="shared" si="81"/>
        <v>0</v>
      </c>
      <c r="L320" s="23">
        <f t="shared" si="82"/>
        <v>0</v>
      </c>
      <c r="M320" s="206">
        <f t="shared" si="80"/>
        <v>409</v>
      </c>
      <c r="N320" s="34"/>
      <c r="O320" s="209">
        <f t="shared" si="77"/>
        <v>287</v>
      </c>
      <c r="P320" s="34">
        <f t="shared" si="69"/>
        <v>175500</v>
      </c>
      <c r="Q320" s="34">
        <f t="shared" si="70"/>
        <v>204500</v>
      </c>
      <c r="R320" s="7">
        <f t="shared" si="71"/>
        <v>-409</v>
      </c>
      <c r="S320" s="227">
        <f t="shared" si="72"/>
        <v>28591</v>
      </c>
      <c r="T320" s="249">
        <f t="shared" si="73"/>
        <v>0.1629116809116809</v>
      </c>
    </row>
    <row r="321" spans="2:21" ht="15" customHeight="1" x14ac:dyDescent="0.4">
      <c r="B321" s="38" t="s">
        <v>55</v>
      </c>
      <c r="C321" s="6" t="s">
        <v>160</v>
      </c>
      <c r="D321" s="6">
        <f t="shared" si="79"/>
        <v>1</v>
      </c>
      <c r="E321" s="34">
        <v>1</v>
      </c>
      <c r="F321" s="212">
        <v>0</v>
      </c>
      <c r="G321" s="195">
        <v>45863</v>
      </c>
      <c r="H321" s="6" t="s">
        <v>500</v>
      </c>
      <c r="I321" s="212">
        <v>204500</v>
      </c>
      <c r="J321" s="8">
        <v>46134</v>
      </c>
      <c r="K321" s="23">
        <f t="shared" si="81"/>
        <v>0</v>
      </c>
      <c r="L321" s="23">
        <f t="shared" si="82"/>
        <v>0</v>
      </c>
      <c r="M321" s="206">
        <f t="shared" si="80"/>
        <v>409</v>
      </c>
      <c r="N321" s="34"/>
      <c r="O321" s="209">
        <f t="shared" si="77"/>
        <v>272</v>
      </c>
      <c r="P321" s="34">
        <f t="shared" si="69"/>
        <v>0</v>
      </c>
      <c r="Q321" s="34">
        <f t="shared" si="70"/>
        <v>204500</v>
      </c>
      <c r="R321" s="7">
        <f t="shared" si="71"/>
        <v>-409</v>
      </c>
      <c r="S321" s="227">
        <f t="shared" si="72"/>
        <v>204091</v>
      </c>
      <c r="T321" s="249" t="e">
        <f t="shared" si="73"/>
        <v>#DIV/0!</v>
      </c>
    </row>
    <row r="322" spans="2:21" ht="15" customHeight="1" x14ac:dyDescent="0.4">
      <c r="B322" s="38" t="s">
        <v>55</v>
      </c>
      <c r="C322" s="6" t="s">
        <v>160</v>
      </c>
      <c r="D322" s="6">
        <f t="shared" si="79"/>
        <v>1</v>
      </c>
      <c r="E322" s="34">
        <v>1</v>
      </c>
      <c r="F322" s="212">
        <v>173900</v>
      </c>
      <c r="G322" s="195">
        <v>45880</v>
      </c>
      <c r="H322" s="6"/>
      <c r="I322" s="212">
        <v>204500</v>
      </c>
      <c r="J322" s="8">
        <v>46134</v>
      </c>
      <c r="K322" s="23">
        <f t="shared" si="81"/>
        <v>0</v>
      </c>
      <c r="L322" s="23">
        <f t="shared" si="82"/>
        <v>0</v>
      </c>
      <c r="M322" s="206">
        <f t="shared" si="80"/>
        <v>409</v>
      </c>
      <c r="N322" s="34"/>
      <c r="O322" s="209">
        <f t="shared" si="77"/>
        <v>255</v>
      </c>
      <c r="P322" s="34">
        <f t="shared" si="69"/>
        <v>173900</v>
      </c>
      <c r="Q322" s="34">
        <f t="shared" si="70"/>
        <v>204500</v>
      </c>
      <c r="R322" s="7">
        <f t="shared" si="71"/>
        <v>-409</v>
      </c>
      <c r="S322" s="227">
        <f t="shared" si="72"/>
        <v>30191</v>
      </c>
      <c r="T322" s="249">
        <f t="shared" si="73"/>
        <v>0.17361127084531339</v>
      </c>
    </row>
    <row r="323" spans="2:21" ht="15" customHeight="1" x14ac:dyDescent="0.4">
      <c r="B323" s="38" t="s">
        <v>55</v>
      </c>
      <c r="C323" s="6" t="s">
        <v>160</v>
      </c>
      <c r="D323" s="6">
        <f t="shared" si="79"/>
        <v>1</v>
      </c>
      <c r="E323" s="34">
        <v>1</v>
      </c>
      <c r="F323" s="212">
        <v>168200</v>
      </c>
      <c r="G323" s="195">
        <v>45910</v>
      </c>
      <c r="H323" s="6"/>
      <c r="I323" s="212">
        <v>204500</v>
      </c>
      <c r="J323" s="8">
        <v>46134</v>
      </c>
      <c r="K323" s="23">
        <f t="shared" si="81"/>
        <v>0</v>
      </c>
      <c r="L323" s="23">
        <f t="shared" si="82"/>
        <v>0</v>
      </c>
      <c r="M323" s="206">
        <f t="shared" si="80"/>
        <v>409</v>
      </c>
      <c r="N323" s="34"/>
      <c r="O323" s="209">
        <f t="shared" si="77"/>
        <v>225</v>
      </c>
      <c r="P323" s="34">
        <f t="shared" si="69"/>
        <v>168200</v>
      </c>
      <c r="Q323" s="34">
        <f t="shared" si="70"/>
        <v>204500</v>
      </c>
      <c r="R323" s="7">
        <f t="shared" si="71"/>
        <v>-409</v>
      </c>
      <c r="S323" s="227">
        <f t="shared" si="72"/>
        <v>35891</v>
      </c>
      <c r="T323" s="249">
        <f t="shared" si="73"/>
        <v>0.21338287752675386</v>
      </c>
    </row>
    <row r="324" spans="2:21" ht="15" customHeight="1" x14ac:dyDescent="0.4">
      <c r="B324" s="38" t="s">
        <v>55</v>
      </c>
      <c r="C324" s="6" t="s">
        <v>160</v>
      </c>
      <c r="D324" s="6">
        <f t="shared" si="79"/>
        <v>1</v>
      </c>
      <c r="E324" s="34">
        <v>2</v>
      </c>
      <c r="F324" s="212">
        <v>175400</v>
      </c>
      <c r="G324" s="195">
        <v>45932</v>
      </c>
      <c r="H324" s="6"/>
      <c r="I324" s="212">
        <v>204500</v>
      </c>
      <c r="J324" s="8">
        <v>46134</v>
      </c>
      <c r="K324" s="23">
        <f t="shared" si="81"/>
        <v>10</v>
      </c>
      <c r="L324" s="23">
        <f t="shared" si="82"/>
        <v>10</v>
      </c>
      <c r="M324" s="206">
        <f t="shared" si="80"/>
        <v>818</v>
      </c>
      <c r="N324" s="34"/>
      <c r="O324" s="209">
        <f t="shared" si="77"/>
        <v>203</v>
      </c>
      <c r="P324" s="34">
        <f t="shared" ref="P324:P387" si="83">$E324*$F324*$D324</f>
        <v>350800</v>
      </c>
      <c r="Q324" s="34">
        <f t="shared" ref="Q324:Q387" si="84">$E324*$I324*$D324</f>
        <v>409000</v>
      </c>
      <c r="R324" s="7">
        <f t="shared" ref="R324:R387" si="85">($N324-$K324-$L324-$M324)*$D324</f>
        <v>-838</v>
      </c>
      <c r="S324" s="227">
        <f t="shared" ref="S324:S387" si="86">IF(Q324=0,0,Q324-P324+R324)</f>
        <v>57362</v>
      </c>
      <c r="T324" s="249">
        <f t="shared" ref="T324:T387" si="87">S324/P324</f>
        <v>0.16351767388825542</v>
      </c>
    </row>
    <row r="325" spans="2:21" ht="15" customHeight="1" x14ac:dyDescent="0.4">
      <c r="B325" s="38" t="s">
        <v>55</v>
      </c>
      <c r="C325" s="6" t="s">
        <v>160</v>
      </c>
      <c r="D325" s="6">
        <f t="shared" si="79"/>
        <v>1</v>
      </c>
      <c r="E325" s="34">
        <v>1</v>
      </c>
      <c r="F325" s="212">
        <v>175800</v>
      </c>
      <c r="G325" s="195">
        <v>45940</v>
      </c>
      <c r="H325" s="6"/>
      <c r="I325" s="212">
        <v>204500</v>
      </c>
      <c r="J325" s="8">
        <v>46134</v>
      </c>
      <c r="K325" s="23">
        <f t="shared" si="81"/>
        <v>0</v>
      </c>
      <c r="L325" s="23">
        <f t="shared" si="82"/>
        <v>0</v>
      </c>
      <c r="M325" s="206">
        <f t="shared" si="80"/>
        <v>409</v>
      </c>
      <c r="N325" s="34"/>
      <c r="O325" s="209">
        <f t="shared" si="77"/>
        <v>195</v>
      </c>
      <c r="P325" s="34">
        <f t="shared" si="83"/>
        <v>175800</v>
      </c>
      <c r="Q325" s="34">
        <f t="shared" si="84"/>
        <v>204500</v>
      </c>
      <c r="R325" s="7">
        <f t="shared" si="85"/>
        <v>-409</v>
      </c>
      <c r="S325" s="227">
        <f t="shared" si="86"/>
        <v>28291</v>
      </c>
      <c r="T325" s="249">
        <f t="shared" si="87"/>
        <v>0.16092718998862343</v>
      </c>
    </row>
    <row r="326" spans="2:21" ht="15" customHeight="1" x14ac:dyDescent="0.4">
      <c r="B326" s="38" t="s">
        <v>55</v>
      </c>
      <c r="C326" s="6" t="s">
        <v>160</v>
      </c>
      <c r="D326" s="6">
        <f t="shared" si="79"/>
        <v>1</v>
      </c>
      <c r="E326" s="34">
        <v>1</v>
      </c>
      <c r="F326" s="212">
        <v>174000</v>
      </c>
      <c r="G326" s="195">
        <v>45971</v>
      </c>
      <c r="H326" s="6"/>
      <c r="I326" s="212">
        <v>204500</v>
      </c>
      <c r="J326" s="8">
        <v>46134</v>
      </c>
      <c r="K326" s="23">
        <f t="shared" si="81"/>
        <v>0</v>
      </c>
      <c r="L326" s="23">
        <f t="shared" si="82"/>
        <v>0</v>
      </c>
      <c r="M326" s="206">
        <f t="shared" si="80"/>
        <v>409</v>
      </c>
      <c r="N326" s="34"/>
      <c r="O326" s="209">
        <f t="shared" si="77"/>
        <v>164</v>
      </c>
      <c r="P326" s="34">
        <f t="shared" si="83"/>
        <v>174000</v>
      </c>
      <c r="Q326" s="34">
        <f t="shared" si="84"/>
        <v>204500</v>
      </c>
      <c r="R326" s="7">
        <f t="shared" si="85"/>
        <v>-409</v>
      </c>
      <c r="S326" s="227">
        <f t="shared" si="86"/>
        <v>30091</v>
      </c>
      <c r="T326" s="249">
        <f t="shared" si="87"/>
        <v>0.1729367816091954</v>
      </c>
    </row>
    <row r="327" spans="2:21" ht="15" customHeight="1" x14ac:dyDescent="0.4">
      <c r="B327" s="38" t="s">
        <v>55</v>
      </c>
      <c r="C327" s="6" t="s">
        <v>160</v>
      </c>
      <c r="D327" s="6">
        <f t="shared" si="79"/>
        <v>1</v>
      </c>
      <c r="E327" s="34">
        <v>1</v>
      </c>
      <c r="F327" s="212">
        <v>186900</v>
      </c>
      <c r="G327" s="195">
        <v>46001</v>
      </c>
      <c r="H327" s="6"/>
      <c r="I327" s="212">
        <v>204500</v>
      </c>
      <c r="J327" s="8">
        <v>46134</v>
      </c>
      <c r="K327" s="23">
        <f t="shared" si="81"/>
        <v>0</v>
      </c>
      <c r="L327" s="23">
        <f t="shared" si="82"/>
        <v>0</v>
      </c>
      <c r="M327" s="206">
        <f t="shared" si="80"/>
        <v>409</v>
      </c>
      <c r="N327" s="34"/>
      <c r="O327" s="209">
        <f t="shared" si="77"/>
        <v>134</v>
      </c>
      <c r="P327" s="34">
        <f t="shared" si="83"/>
        <v>186900</v>
      </c>
      <c r="Q327" s="34">
        <f t="shared" si="84"/>
        <v>204500</v>
      </c>
      <c r="R327" s="7">
        <f t="shared" si="85"/>
        <v>-409</v>
      </c>
      <c r="S327" s="227">
        <f t="shared" si="86"/>
        <v>17191</v>
      </c>
      <c r="T327" s="249">
        <f t="shared" si="87"/>
        <v>9.1979668271803108E-2</v>
      </c>
    </row>
    <row r="328" spans="2:21" ht="15" customHeight="1" x14ac:dyDescent="0.4">
      <c r="B328" s="38" t="s">
        <v>55</v>
      </c>
      <c r="C328" s="6" t="s">
        <v>160</v>
      </c>
      <c r="D328" s="6">
        <f t="shared" si="79"/>
        <v>1</v>
      </c>
      <c r="E328" s="34">
        <v>1</v>
      </c>
      <c r="F328" s="212">
        <v>228000</v>
      </c>
      <c r="G328" s="195">
        <v>46063</v>
      </c>
      <c r="H328" s="6"/>
      <c r="I328" s="212">
        <v>204500</v>
      </c>
      <c r="J328" s="8">
        <v>46134</v>
      </c>
      <c r="K328" s="23">
        <f t="shared" si="81"/>
        <v>0</v>
      </c>
      <c r="L328" s="23">
        <f t="shared" si="82"/>
        <v>0</v>
      </c>
      <c r="M328" s="206">
        <f t="shared" si="80"/>
        <v>409</v>
      </c>
      <c r="N328" s="34"/>
      <c r="O328" s="209">
        <f t="shared" si="77"/>
        <v>72</v>
      </c>
      <c r="P328" s="34">
        <f t="shared" si="83"/>
        <v>228000</v>
      </c>
      <c r="Q328" s="34">
        <f t="shared" si="84"/>
        <v>204500</v>
      </c>
      <c r="R328" s="7">
        <f t="shared" si="85"/>
        <v>-409</v>
      </c>
      <c r="S328" s="227">
        <f t="shared" si="86"/>
        <v>-23909</v>
      </c>
      <c r="T328" s="249">
        <f t="shared" si="87"/>
        <v>-0.1048640350877193</v>
      </c>
    </row>
    <row r="329" spans="2:21" ht="15" customHeight="1" x14ac:dyDescent="0.4">
      <c r="B329" s="38" t="s">
        <v>55</v>
      </c>
      <c r="C329" s="6" t="s">
        <v>160</v>
      </c>
      <c r="D329" s="6">
        <f t="shared" si="79"/>
        <v>1</v>
      </c>
      <c r="E329" s="34">
        <v>1</v>
      </c>
      <c r="F329" s="212">
        <v>210000</v>
      </c>
      <c r="G329" s="195">
        <v>46091</v>
      </c>
      <c r="H329" s="6"/>
      <c r="I329" s="212">
        <v>204500</v>
      </c>
      <c r="J329" s="8">
        <v>46134</v>
      </c>
      <c r="K329" s="23">
        <f t="shared" si="81"/>
        <v>0</v>
      </c>
      <c r="L329" s="23">
        <f t="shared" si="82"/>
        <v>0</v>
      </c>
      <c r="M329" s="206">
        <f t="shared" si="80"/>
        <v>409</v>
      </c>
      <c r="N329" s="34"/>
      <c r="O329" s="209">
        <f t="shared" si="77"/>
        <v>44</v>
      </c>
      <c r="P329" s="34">
        <f t="shared" si="83"/>
        <v>210000</v>
      </c>
      <c r="Q329" s="34">
        <f t="shared" si="84"/>
        <v>204500</v>
      </c>
      <c r="R329" s="7">
        <f t="shared" si="85"/>
        <v>-409</v>
      </c>
      <c r="S329" s="227">
        <f t="shared" si="86"/>
        <v>-5909</v>
      </c>
      <c r="T329" s="249">
        <f t="shared" si="87"/>
        <v>-2.813809523809524E-2</v>
      </c>
    </row>
    <row r="330" spans="2:21" ht="15" customHeight="1" x14ac:dyDescent="0.4">
      <c r="B330" s="38" t="s">
        <v>55</v>
      </c>
      <c r="C330" s="6" t="s">
        <v>160</v>
      </c>
      <c r="D330" s="6">
        <f t="shared" si="79"/>
        <v>1</v>
      </c>
      <c r="E330" s="34">
        <v>1</v>
      </c>
      <c r="F330" s="212">
        <v>203000</v>
      </c>
      <c r="G330" s="195">
        <v>46122</v>
      </c>
      <c r="H330" s="6"/>
      <c r="I330" s="212">
        <v>204500</v>
      </c>
      <c r="J330" s="8">
        <v>46134</v>
      </c>
      <c r="K330" s="23">
        <f t="shared" si="81"/>
        <v>0</v>
      </c>
      <c r="L330" s="23">
        <f t="shared" si="82"/>
        <v>0</v>
      </c>
      <c r="M330" s="206">
        <f t="shared" si="80"/>
        <v>409</v>
      </c>
      <c r="N330" s="34"/>
      <c r="O330" s="209">
        <f t="shared" si="77"/>
        <v>13</v>
      </c>
      <c r="P330" s="34">
        <f t="shared" si="83"/>
        <v>203000</v>
      </c>
      <c r="Q330" s="34">
        <f t="shared" si="84"/>
        <v>204500</v>
      </c>
      <c r="R330" s="7">
        <f t="shared" si="85"/>
        <v>-409</v>
      </c>
      <c r="S330" s="227">
        <f t="shared" si="86"/>
        <v>1091</v>
      </c>
      <c r="T330" s="249">
        <f t="shared" si="87"/>
        <v>5.3743842364532019E-3</v>
      </c>
    </row>
    <row r="331" spans="2:21" ht="15" customHeight="1" x14ac:dyDescent="0.4">
      <c r="B331" s="262" t="s">
        <v>309</v>
      </c>
      <c r="C331" s="263" t="s">
        <v>175</v>
      </c>
      <c r="D331" s="263">
        <v>10.3698</v>
      </c>
      <c r="E331" s="264">
        <v>100</v>
      </c>
      <c r="F331" s="212">
        <v>4650</v>
      </c>
      <c r="G331" s="265">
        <v>46029</v>
      </c>
      <c r="H331" s="266"/>
      <c r="I331" s="212"/>
      <c r="J331" s="266"/>
      <c r="K331" s="275">
        <f t="shared" si="81"/>
        <v>1162.5</v>
      </c>
      <c r="L331" s="275">
        <f t="shared" si="82"/>
        <v>1000</v>
      </c>
      <c r="M331" s="276"/>
      <c r="N331" s="264">
        <f>(2200-337)+(2200-337)+(2200-337)+(2200-337)+(2200-337)+(2200-337)+(2200-337)+(2200-337)</f>
        <v>14904</v>
      </c>
      <c r="O331" s="268">
        <f t="shared" si="77"/>
        <v>-46028</v>
      </c>
      <c r="P331" s="34">
        <f t="shared" si="83"/>
        <v>4821957</v>
      </c>
      <c r="Q331" s="34">
        <f t="shared" si="84"/>
        <v>0</v>
      </c>
      <c r="R331" s="7">
        <f t="shared" si="85"/>
        <v>132126.80669999999</v>
      </c>
      <c r="S331" s="227">
        <f t="shared" si="86"/>
        <v>0</v>
      </c>
      <c r="T331" s="249">
        <f t="shared" si="87"/>
        <v>0</v>
      </c>
    </row>
    <row r="332" spans="2:21" ht="15" customHeight="1" x14ac:dyDescent="0.4">
      <c r="B332" s="38" t="s">
        <v>112</v>
      </c>
      <c r="C332" s="6" t="s">
        <v>122</v>
      </c>
      <c r="D332" s="6">
        <f t="shared" ref="D332:D363" si="88">IF(OR($C332="신한",$C332="OTC",$C332="무상증자(신한)",$C332="토스",$C332="R토스"),1,"확인")</f>
        <v>1</v>
      </c>
      <c r="E332" s="34">
        <v>100</v>
      </c>
      <c r="F332" s="212">
        <v>56500</v>
      </c>
      <c r="G332" s="195">
        <v>45817</v>
      </c>
      <c r="H332" s="8" t="s">
        <v>113</v>
      </c>
      <c r="I332" s="212">
        <v>24600</v>
      </c>
      <c r="J332" s="8">
        <v>46134</v>
      </c>
      <c r="K332" s="23">
        <f t="shared" si="81"/>
        <v>847.49999999999989</v>
      </c>
      <c r="L332" s="23">
        <f t="shared" si="82"/>
        <v>368.99999999999994</v>
      </c>
      <c r="M332" s="206">
        <f t="shared" ref="M332:M363" si="89">Q332*0.002</f>
        <v>4920</v>
      </c>
      <c r="N332" s="34"/>
      <c r="O332" s="209">
        <f t="shared" si="77"/>
        <v>318</v>
      </c>
      <c r="P332" s="34">
        <f t="shared" si="83"/>
        <v>5650000</v>
      </c>
      <c r="Q332" s="34">
        <f t="shared" si="84"/>
        <v>2460000</v>
      </c>
      <c r="R332" s="7">
        <f t="shared" si="85"/>
        <v>-6136.5</v>
      </c>
      <c r="S332" s="227">
        <f t="shared" si="86"/>
        <v>-3196136.5</v>
      </c>
      <c r="T332" s="249">
        <f t="shared" si="87"/>
        <v>-0.56568787610619464</v>
      </c>
      <c r="U332" s="36">
        <f t="shared" ref="U332:U341" si="90">IF(O332&lt;0,0,P332*0.05*O332/365)</f>
        <v>246123.28767123289</v>
      </c>
    </row>
    <row r="333" spans="2:21" ht="15" customHeight="1" x14ac:dyDescent="0.4">
      <c r="B333" s="38" t="s">
        <v>112</v>
      </c>
      <c r="C333" s="6" t="s">
        <v>122</v>
      </c>
      <c r="D333" s="6">
        <f t="shared" si="88"/>
        <v>1</v>
      </c>
      <c r="E333" s="34">
        <v>20</v>
      </c>
      <c r="F333" s="212">
        <v>56100</v>
      </c>
      <c r="G333" s="195">
        <v>45817</v>
      </c>
      <c r="H333" s="8" t="s">
        <v>113</v>
      </c>
      <c r="I333" s="212">
        <v>24600</v>
      </c>
      <c r="J333" s="8">
        <v>46134</v>
      </c>
      <c r="K333" s="23">
        <f t="shared" si="81"/>
        <v>168.29999999999998</v>
      </c>
      <c r="L333" s="23">
        <f t="shared" si="82"/>
        <v>73.8</v>
      </c>
      <c r="M333" s="206">
        <f t="shared" si="89"/>
        <v>984</v>
      </c>
      <c r="N333" s="34"/>
      <c r="O333" s="209">
        <f t="shared" si="77"/>
        <v>318</v>
      </c>
      <c r="P333" s="34">
        <f t="shared" si="83"/>
        <v>1122000</v>
      </c>
      <c r="Q333" s="34">
        <f t="shared" si="84"/>
        <v>492000</v>
      </c>
      <c r="R333" s="7">
        <f t="shared" si="85"/>
        <v>-1226.0999999999999</v>
      </c>
      <c r="S333" s="227">
        <f t="shared" si="86"/>
        <v>-631226.1</v>
      </c>
      <c r="T333" s="249">
        <f t="shared" si="87"/>
        <v>-0.56259010695187162</v>
      </c>
      <c r="U333" s="36">
        <f t="shared" si="90"/>
        <v>48876.164383561641</v>
      </c>
    </row>
    <row r="334" spans="2:21" ht="15" customHeight="1" x14ac:dyDescent="0.4">
      <c r="B334" s="38" t="s">
        <v>112</v>
      </c>
      <c r="C334" s="6" t="s">
        <v>122</v>
      </c>
      <c r="D334" s="6">
        <f t="shared" si="88"/>
        <v>1</v>
      </c>
      <c r="E334" s="34">
        <v>17</v>
      </c>
      <c r="F334" s="212">
        <v>52900</v>
      </c>
      <c r="G334" s="195">
        <v>45818</v>
      </c>
      <c r="H334" s="8" t="s">
        <v>113</v>
      </c>
      <c r="I334" s="212">
        <v>24600</v>
      </c>
      <c r="J334" s="8">
        <v>46134</v>
      </c>
      <c r="K334" s="23">
        <f t="shared" si="81"/>
        <v>134.89499999999998</v>
      </c>
      <c r="L334" s="23">
        <f t="shared" si="82"/>
        <v>62.73</v>
      </c>
      <c r="M334" s="206">
        <f t="shared" si="89"/>
        <v>836.4</v>
      </c>
      <c r="N334" s="34"/>
      <c r="O334" s="209">
        <f t="shared" si="77"/>
        <v>317</v>
      </c>
      <c r="P334" s="34">
        <f t="shared" si="83"/>
        <v>899300</v>
      </c>
      <c r="Q334" s="34">
        <f t="shared" si="84"/>
        <v>418200</v>
      </c>
      <c r="R334" s="7">
        <f t="shared" si="85"/>
        <v>-1034.0249999999999</v>
      </c>
      <c r="S334" s="227">
        <f t="shared" si="86"/>
        <v>-482134.02500000002</v>
      </c>
      <c r="T334" s="249">
        <f t="shared" si="87"/>
        <v>-0.53612145557655955</v>
      </c>
      <c r="U334" s="36">
        <f t="shared" si="90"/>
        <v>39051.794520547948</v>
      </c>
    </row>
    <row r="335" spans="2:21" ht="15" customHeight="1" x14ac:dyDescent="0.4">
      <c r="B335" s="38" t="s">
        <v>112</v>
      </c>
      <c r="C335" s="6" t="s">
        <v>122</v>
      </c>
      <c r="D335" s="6">
        <f t="shared" si="88"/>
        <v>1</v>
      </c>
      <c r="E335" s="34">
        <v>30</v>
      </c>
      <c r="F335" s="212">
        <v>55300</v>
      </c>
      <c r="G335" s="195">
        <v>45819</v>
      </c>
      <c r="H335" s="8" t="s">
        <v>113</v>
      </c>
      <c r="I335" s="212">
        <v>24600</v>
      </c>
      <c r="J335" s="8">
        <v>46134</v>
      </c>
      <c r="K335" s="23">
        <f t="shared" si="81"/>
        <v>248.84999999999997</v>
      </c>
      <c r="L335" s="23">
        <f t="shared" si="82"/>
        <v>110.69999999999999</v>
      </c>
      <c r="M335" s="206">
        <f t="shared" si="89"/>
        <v>1476</v>
      </c>
      <c r="N335" s="34"/>
      <c r="O335" s="209">
        <f t="shared" si="77"/>
        <v>316</v>
      </c>
      <c r="P335" s="34">
        <f t="shared" si="83"/>
        <v>1659000</v>
      </c>
      <c r="Q335" s="34">
        <f t="shared" si="84"/>
        <v>738000</v>
      </c>
      <c r="R335" s="7">
        <f t="shared" si="85"/>
        <v>-1835.55</v>
      </c>
      <c r="S335" s="227">
        <f t="shared" si="86"/>
        <v>-922835.55</v>
      </c>
      <c r="T335" s="249">
        <f t="shared" si="87"/>
        <v>-0.55626012658227852</v>
      </c>
      <c r="U335" s="36">
        <f t="shared" si="90"/>
        <v>71814.246575342462</v>
      </c>
    </row>
    <row r="336" spans="2:21" ht="15" customHeight="1" x14ac:dyDescent="0.4">
      <c r="B336" s="38" t="s">
        <v>112</v>
      </c>
      <c r="C336" s="6" t="s">
        <v>122</v>
      </c>
      <c r="D336" s="6">
        <f t="shared" si="88"/>
        <v>1</v>
      </c>
      <c r="E336" s="34">
        <v>10</v>
      </c>
      <c r="F336" s="212">
        <v>52700</v>
      </c>
      <c r="G336" s="195">
        <v>45820</v>
      </c>
      <c r="H336" s="8" t="s">
        <v>113</v>
      </c>
      <c r="I336" s="212">
        <v>24600</v>
      </c>
      <c r="J336" s="8">
        <v>46134</v>
      </c>
      <c r="K336" s="23">
        <f t="shared" si="81"/>
        <v>79.05</v>
      </c>
      <c r="L336" s="23">
        <f t="shared" si="82"/>
        <v>36.9</v>
      </c>
      <c r="M336" s="206">
        <f t="shared" si="89"/>
        <v>492</v>
      </c>
      <c r="N336" s="34"/>
      <c r="O336" s="209">
        <f t="shared" si="77"/>
        <v>315</v>
      </c>
      <c r="P336" s="34">
        <f t="shared" si="83"/>
        <v>527000</v>
      </c>
      <c r="Q336" s="34">
        <f t="shared" si="84"/>
        <v>246000</v>
      </c>
      <c r="R336" s="7">
        <f t="shared" si="85"/>
        <v>-607.95000000000005</v>
      </c>
      <c r="S336" s="227">
        <f t="shared" si="86"/>
        <v>-281607.95</v>
      </c>
      <c r="T336" s="249">
        <f t="shared" si="87"/>
        <v>-0.53436043643263764</v>
      </c>
      <c r="U336" s="36">
        <f t="shared" si="90"/>
        <v>22740.410958904111</v>
      </c>
    </row>
    <row r="337" spans="2:21" ht="15" customHeight="1" x14ac:dyDescent="0.4">
      <c r="B337" s="38" t="s">
        <v>112</v>
      </c>
      <c r="C337" s="6" t="s">
        <v>122</v>
      </c>
      <c r="D337" s="6">
        <f t="shared" si="88"/>
        <v>1</v>
      </c>
      <c r="E337" s="34">
        <v>6</v>
      </c>
      <c r="F337" s="212">
        <v>51000</v>
      </c>
      <c r="G337" s="195">
        <v>45820</v>
      </c>
      <c r="H337" s="8" t="s">
        <v>113</v>
      </c>
      <c r="I337" s="212">
        <v>24600</v>
      </c>
      <c r="J337" s="8">
        <v>46134</v>
      </c>
      <c r="K337" s="23">
        <f t="shared" ref="K337:K372" si="91">IF($C337="OTC",ROUNDDOWN($E337*$F337*0.000909187,-1),(IF($C337="신한",ROUNDDOWN($E337*$F337*0.000036396,-1),(IF($C337="토스",$E337*$F337*0.00015,(IF($C337="US",(IF($E337*$F337*0.0025&gt;0.01,$E337*$F337*0.0025,0.01)),IF($C337="JP",(IF($E337*$F337*0.0025&gt;1000,$E337*$F337*0.0025,1000)),(IF($C337="R토스",0,IF($C337="무상증자(신한)",0,"")))))))))))</f>
        <v>45.9</v>
      </c>
      <c r="L337" s="23">
        <f t="shared" ref="L337:L368" si="92">IF($C337="OTC",ROUNDDOWN($I337*$E337*0.000909187,-1),(IF($C337="신한",ROUNDDOWN($I337*$E337*0.000036396,-1),(IF($C337="토스",$I337*$E337*0.00015,(IF($C337="US",(IF($I337*$E337*0.0025&gt;0.01,$I337*$E337*0.0025,0.01)),(IF($C337="JP",(IF($I337*$E337*0.0025&gt;1000,$I337*$E337*0.0025,1000)),(IF($C337="R토스",$I337*$E337*0.00015,(IF($C337="무상증자(신한)",ROUNDDOWN($I337*$E337*0.000036396,-1),"")))))))))))))</f>
        <v>22.139999999999997</v>
      </c>
      <c r="M337" s="206">
        <f t="shared" si="89"/>
        <v>295.2</v>
      </c>
      <c r="N337" s="34"/>
      <c r="O337" s="209">
        <f t="shared" si="77"/>
        <v>315</v>
      </c>
      <c r="P337" s="34">
        <f t="shared" si="83"/>
        <v>306000</v>
      </c>
      <c r="Q337" s="34">
        <f t="shared" si="84"/>
        <v>147600</v>
      </c>
      <c r="R337" s="7">
        <f t="shared" si="85"/>
        <v>-363.24</v>
      </c>
      <c r="S337" s="227">
        <f t="shared" si="86"/>
        <v>-158763.24</v>
      </c>
      <c r="T337" s="249">
        <f t="shared" si="87"/>
        <v>-0.51883411764705878</v>
      </c>
      <c r="U337" s="36">
        <f t="shared" si="90"/>
        <v>13204.109589041096</v>
      </c>
    </row>
    <row r="338" spans="2:21" ht="15" customHeight="1" x14ac:dyDescent="0.4">
      <c r="B338" s="38" t="s">
        <v>112</v>
      </c>
      <c r="C338" s="6" t="s">
        <v>122</v>
      </c>
      <c r="D338" s="6">
        <f t="shared" si="88"/>
        <v>1</v>
      </c>
      <c r="E338" s="34">
        <v>10</v>
      </c>
      <c r="F338" s="212">
        <v>48100</v>
      </c>
      <c r="G338" s="195">
        <v>45825</v>
      </c>
      <c r="H338" s="8" t="s">
        <v>113</v>
      </c>
      <c r="I338" s="212">
        <v>24600</v>
      </c>
      <c r="J338" s="8">
        <v>46134</v>
      </c>
      <c r="K338" s="23">
        <f t="shared" si="91"/>
        <v>72.149999999999991</v>
      </c>
      <c r="L338" s="23">
        <f t="shared" si="92"/>
        <v>36.9</v>
      </c>
      <c r="M338" s="206">
        <f t="shared" si="89"/>
        <v>492</v>
      </c>
      <c r="N338" s="34"/>
      <c r="O338" s="209">
        <f t="shared" si="77"/>
        <v>310</v>
      </c>
      <c r="P338" s="34">
        <f t="shared" si="83"/>
        <v>481000</v>
      </c>
      <c r="Q338" s="34">
        <f t="shared" si="84"/>
        <v>246000</v>
      </c>
      <c r="R338" s="7">
        <f t="shared" si="85"/>
        <v>-601.04999999999995</v>
      </c>
      <c r="S338" s="227">
        <f t="shared" si="86"/>
        <v>-235601.05</v>
      </c>
      <c r="T338" s="249">
        <f t="shared" si="87"/>
        <v>-0.48981507276507275</v>
      </c>
      <c r="U338" s="36">
        <f t="shared" si="90"/>
        <v>20426.027397260274</v>
      </c>
    </row>
    <row r="339" spans="2:21" ht="15" customHeight="1" x14ac:dyDescent="0.4">
      <c r="B339" s="38" t="s">
        <v>112</v>
      </c>
      <c r="C339" s="6" t="s">
        <v>122</v>
      </c>
      <c r="D339" s="6">
        <f t="shared" si="88"/>
        <v>1</v>
      </c>
      <c r="E339" s="34">
        <v>31</v>
      </c>
      <c r="F339" s="212">
        <v>51000</v>
      </c>
      <c r="G339" s="195">
        <v>45826</v>
      </c>
      <c r="H339" s="8" t="s">
        <v>113</v>
      </c>
      <c r="I339" s="212">
        <v>24600</v>
      </c>
      <c r="J339" s="8">
        <v>46134</v>
      </c>
      <c r="K339" s="23">
        <f t="shared" si="91"/>
        <v>237.14999999999998</v>
      </c>
      <c r="L339" s="23">
        <f t="shared" si="92"/>
        <v>114.38999999999999</v>
      </c>
      <c r="M339" s="206">
        <f t="shared" si="89"/>
        <v>1525.2</v>
      </c>
      <c r="N339" s="34"/>
      <c r="O339" s="209">
        <f t="shared" si="77"/>
        <v>309</v>
      </c>
      <c r="P339" s="34">
        <f t="shared" si="83"/>
        <v>1581000</v>
      </c>
      <c r="Q339" s="34">
        <f t="shared" si="84"/>
        <v>762600</v>
      </c>
      <c r="R339" s="7">
        <f t="shared" si="85"/>
        <v>-1876.74</v>
      </c>
      <c r="S339" s="227">
        <f t="shared" si="86"/>
        <v>-820276.74</v>
      </c>
      <c r="T339" s="249">
        <f t="shared" si="87"/>
        <v>-0.51883411764705878</v>
      </c>
      <c r="U339" s="36">
        <f t="shared" si="90"/>
        <v>66921.780821917811</v>
      </c>
    </row>
    <row r="340" spans="2:21" ht="15" customHeight="1" x14ac:dyDescent="0.4">
      <c r="B340" s="38" t="s">
        <v>112</v>
      </c>
      <c r="C340" s="6" t="s">
        <v>122</v>
      </c>
      <c r="D340" s="6">
        <f t="shared" si="88"/>
        <v>1</v>
      </c>
      <c r="E340" s="34">
        <v>5</v>
      </c>
      <c r="F340" s="212">
        <v>49800</v>
      </c>
      <c r="G340" s="195">
        <v>45826</v>
      </c>
      <c r="H340" s="8" t="s">
        <v>113</v>
      </c>
      <c r="I340" s="212">
        <v>24600</v>
      </c>
      <c r="J340" s="8">
        <v>46134</v>
      </c>
      <c r="K340" s="23">
        <f t="shared" si="91"/>
        <v>37.349999999999994</v>
      </c>
      <c r="L340" s="23">
        <f t="shared" si="92"/>
        <v>18.45</v>
      </c>
      <c r="M340" s="206">
        <f t="shared" si="89"/>
        <v>246</v>
      </c>
      <c r="N340" s="34"/>
      <c r="O340" s="209">
        <f t="shared" si="77"/>
        <v>309</v>
      </c>
      <c r="P340" s="34">
        <f t="shared" si="83"/>
        <v>249000</v>
      </c>
      <c r="Q340" s="34">
        <f t="shared" si="84"/>
        <v>123000</v>
      </c>
      <c r="R340" s="7">
        <f t="shared" si="85"/>
        <v>-301.8</v>
      </c>
      <c r="S340" s="227">
        <f t="shared" si="86"/>
        <v>-126301.8</v>
      </c>
      <c r="T340" s="249">
        <f t="shared" si="87"/>
        <v>-0.50723614457831323</v>
      </c>
      <c r="U340" s="36">
        <f t="shared" si="90"/>
        <v>10539.86301369863</v>
      </c>
    </row>
    <row r="341" spans="2:21" ht="15" customHeight="1" x14ac:dyDescent="0.4">
      <c r="B341" s="38" t="s">
        <v>112</v>
      </c>
      <c r="C341" s="6" t="s">
        <v>122</v>
      </c>
      <c r="D341" s="6">
        <f t="shared" si="88"/>
        <v>1</v>
      </c>
      <c r="E341" s="34">
        <v>10</v>
      </c>
      <c r="F341" s="212">
        <v>52000</v>
      </c>
      <c r="G341" s="195">
        <v>45834</v>
      </c>
      <c r="H341" s="8"/>
      <c r="I341" s="212">
        <v>24600</v>
      </c>
      <c r="J341" s="8">
        <v>46134</v>
      </c>
      <c r="K341" s="23">
        <f t="shared" si="91"/>
        <v>78</v>
      </c>
      <c r="L341" s="23">
        <f t="shared" si="92"/>
        <v>36.9</v>
      </c>
      <c r="M341" s="206">
        <f t="shared" si="89"/>
        <v>492</v>
      </c>
      <c r="N341" s="34"/>
      <c r="O341" s="209">
        <f t="shared" si="77"/>
        <v>301</v>
      </c>
      <c r="P341" s="34">
        <f t="shared" si="83"/>
        <v>520000</v>
      </c>
      <c r="Q341" s="34">
        <f t="shared" si="84"/>
        <v>246000</v>
      </c>
      <c r="R341" s="7">
        <f t="shared" si="85"/>
        <v>-606.9</v>
      </c>
      <c r="S341" s="227">
        <f t="shared" si="86"/>
        <v>-274606.90000000002</v>
      </c>
      <c r="T341" s="249">
        <f t="shared" si="87"/>
        <v>-0.52809019230769239</v>
      </c>
      <c r="U341" s="36">
        <f t="shared" si="90"/>
        <v>21441.095890410958</v>
      </c>
    </row>
    <row r="342" spans="2:21" ht="15" customHeight="1" x14ac:dyDescent="0.4">
      <c r="B342" s="38" t="s">
        <v>312</v>
      </c>
      <c r="C342" s="6" t="s">
        <v>160</v>
      </c>
      <c r="D342" s="6">
        <f t="shared" si="88"/>
        <v>1</v>
      </c>
      <c r="E342" s="34">
        <v>2</v>
      </c>
      <c r="F342" s="212">
        <v>4890</v>
      </c>
      <c r="G342" s="195">
        <v>45973</v>
      </c>
      <c r="H342" s="8"/>
      <c r="I342" s="212"/>
      <c r="J342" s="8"/>
      <c r="K342" s="23">
        <f t="shared" si="91"/>
        <v>0</v>
      </c>
      <c r="L342" s="23">
        <f t="shared" si="92"/>
        <v>0</v>
      </c>
      <c r="M342" s="206">
        <f t="shared" si="89"/>
        <v>0</v>
      </c>
      <c r="N342" s="34"/>
      <c r="O342" s="209">
        <f t="shared" si="77"/>
        <v>-45972</v>
      </c>
      <c r="P342" s="34">
        <f t="shared" si="83"/>
        <v>9780</v>
      </c>
      <c r="Q342" s="34">
        <f t="shared" si="84"/>
        <v>0</v>
      </c>
      <c r="R342" s="7">
        <f t="shared" si="85"/>
        <v>0</v>
      </c>
      <c r="S342" s="227">
        <f t="shared" si="86"/>
        <v>0</v>
      </c>
      <c r="T342" s="249">
        <f t="shared" si="87"/>
        <v>0</v>
      </c>
    </row>
    <row r="343" spans="2:21" ht="15" customHeight="1" x14ac:dyDescent="0.4">
      <c r="B343" s="38" t="s">
        <v>312</v>
      </c>
      <c r="C343" s="6" t="s">
        <v>160</v>
      </c>
      <c r="D343" s="6">
        <f t="shared" si="88"/>
        <v>1</v>
      </c>
      <c r="E343" s="34">
        <v>2</v>
      </c>
      <c r="F343" s="212">
        <v>4895</v>
      </c>
      <c r="G343" s="195">
        <v>45980</v>
      </c>
      <c r="H343" s="8"/>
      <c r="I343" s="212"/>
      <c r="J343" s="8"/>
      <c r="K343" s="23">
        <f t="shared" si="91"/>
        <v>0</v>
      </c>
      <c r="L343" s="23">
        <f t="shared" si="92"/>
        <v>0</v>
      </c>
      <c r="M343" s="206">
        <f t="shared" si="89"/>
        <v>0</v>
      </c>
      <c r="N343" s="34"/>
      <c r="O343" s="209">
        <f t="shared" si="77"/>
        <v>-45979</v>
      </c>
      <c r="P343" s="34">
        <f t="shared" si="83"/>
        <v>9790</v>
      </c>
      <c r="Q343" s="34">
        <f t="shared" si="84"/>
        <v>0</v>
      </c>
      <c r="R343" s="7">
        <f t="shared" si="85"/>
        <v>0</v>
      </c>
      <c r="S343" s="227">
        <f t="shared" si="86"/>
        <v>0</v>
      </c>
      <c r="T343" s="249">
        <f t="shared" si="87"/>
        <v>0</v>
      </c>
    </row>
    <row r="344" spans="2:21" ht="15" customHeight="1" x14ac:dyDescent="0.4">
      <c r="B344" s="38" t="s">
        <v>312</v>
      </c>
      <c r="C344" s="6" t="s">
        <v>160</v>
      </c>
      <c r="D344" s="6">
        <f t="shared" si="88"/>
        <v>1</v>
      </c>
      <c r="E344" s="34">
        <v>2</v>
      </c>
      <c r="F344" s="212">
        <v>4860</v>
      </c>
      <c r="G344" s="195">
        <v>45987</v>
      </c>
      <c r="H344" s="8"/>
      <c r="I344" s="212"/>
      <c r="J344" s="8"/>
      <c r="K344" s="23">
        <f t="shared" si="91"/>
        <v>0</v>
      </c>
      <c r="L344" s="23">
        <f t="shared" si="92"/>
        <v>0</v>
      </c>
      <c r="M344" s="206">
        <f t="shared" si="89"/>
        <v>0</v>
      </c>
      <c r="N344" s="34"/>
      <c r="O344" s="209">
        <f t="shared" si="77"/>
        <v>-45986</v>
      </c>
      <c r="P344" s="34">
        <f t="shared" si="83"/>
        <v>9720</v>
      </c>
      <c r="Q344" s="34">
        <f t="shared" si="84"/>
        <v>0</v>
      </c>
      <c r="R344" s="7">
        <f t="shared" si="85"/>
        <v>0</v>
      </c>
      <c r="S344" s="227">
        <f t="shared" si="86"/>
        <v>0</v>
      </c>
      <c r="T344" s="249">
        <f t="shared" si="87"/>
        <v>0</v>
      </c>
    </row>
    <row r="345" spans="2:21" ht="15" customHeight="1" x14ac:dyDescent="0.4">
      <c r="B345" s="38" t="s">
        <v>312</v>
      </c>
      <c r="C345" s="6" t="s">
        <v>160</v>
      </c>
      <c r="D345" s="6">
        <f t="shared" si="88"/>
        <v>1</v>
      </c>
      <c r="E345" s="34">
        <v>2</v>
      </c>
      <c r="F345" s="212">
        <v>5250</v>
      </c>
      <c r="G345" s="195">
        <v>45994</v>
      </c>
      <c r="H345" s="8"/>
      <c r="I345" s="212"/>
      <c r="J345" s="8"/>
      <c r="K345" s="23">
        <f t="shared" si="91"/>
        <v>0</v>
      </c>
      <c r="L345" s="23">
        <f t="shared" si="92"/>
        <v>0</v>
      </c>
      <c r="M345" s="206">
        <f t="shared" si="89"/>
        <v>0</v>
      </c>
      <c r="N345" s="34"/>
      <c r="O345" s="209">
        <f t="shared" ref="O345:O408" si="93">J345-G345+1</f>
        <v>-45993</v>
      </c>
      <c r="P345" s="34">
        <f t="shared" si="83"/>
        <v>10500</v>
      </c>
      <c r="Q345" s="34">
        <f t="shared" si="84"/>
        <v>0</v>
      </c>
      <c r="R345" s="7">
        <f t="shared" si="85"/>
        <v>0</v>
      </c>
      <c r="S345" s="227">
        <f t="shared" si="86"/>
        <v>0</v>
      </c>
      <c r="T345" s="249">
        <f t="shared" si="87"/>
        <v>0</v>
      </c>
    </row>
    <row r="346" spans="2:21" ht="15" customHeight="1" x14ac:dyDescent="0.4">
      <c r="B346" s="38" t="s">
        <v>312</v>
      </c>
      <c r="C346" s="6" t="s">
        <v>160</v>
      </c>
      <c r="D346" s="6">
        <f t="shared" si="88"/>
        <v>1</v>
      </c>
      <c r="E346" s="34">
        <v>2</v>
      </c>
      <c r="F346" s="212">
        <v>5460</v>
      </c>
      <c r="G346" s="195">
        <v>46001</v>
      </c>
      <c r="H346" s="8"/>
      <c r="I346" s="212"/>
      <c r="J346" s="8"/>
      <c r="K346" s="23">
        <f t="shared" si="91"/>
        <v>0</v>
      </c>
      <c r="L346" s="23">
        <f t="shared" si="92"/>
        <v>0</v>
      </c>
      <c r="M346" s="206">
        <f t="shared" si="89"/>
        <v>0</v>
      </c>
      <c r="N346" s="34"/>
      <c r="O346" s="209">
        <f t="shared" si="93"/>
        <v>-46000</v>
      </c>
      <c r="P346" s="34">
        <f t="shared" si="83"/>
        <v>10920</v>
      </c>
      <c r="Q346" s="34">
        <f t="shared" si="84"/>
        <v>0</v>
      </c>
      <c r="R346" s="7">
        <f t="shared" si="85"/>
        <v>0</v>
      </c>
      <c r="S346" s="227">
        <f t="shared" si="86"/>
        <v>0</v>
      </c>
      <c r="T346" s="249">
        <f t="shared" si="87"/>
        <v>0</v>
      </c>
    </row>
    <row r="347" spans="2:21" ht="15" customHeight="1" x14ac:dyDescent="0.4">
      <c r="B347" s="38" t="s">
        <v>312</v>
      </c>
      <c r="C347" s="6" t="s">
        <v>160</v>
      </c>
      <c r="D347" s="6">
        <f t="shared" si="88"/>
        <v>1</v>
      </c>
      <c r="E347" s="34">
        <v>2</v>
      </c>
      <c r="F347" s="212">
        <v>6110</v>
      </c>
      <c r="G347" s="195">
        <v>46008</v>
      </c>
      <c r="H347" s="8"/>
      <c r="I347" s="212"/>
      <c r="J347" s="8"/>
      <c r="K347" s="23">
        <f t="shared" si="91"/>
        <v>0</v>
      </c>
      <c r="L347" s="23">
        <f t="shared" si="92"/>
        <v>0</v>
      </c>
      <c r="M347" s="206">
        <f t="shared" si="89"/>
        <v>0</v>
      </c>
      <c r="N347" s="34"/>
      <c r="O347" s="209">
        <f t="shared" si="93"/>
        <v>-46007</v>
      </c>
      <c r="P347" s="34">
        <f t="shared" si="83"/>
        <v>12220</v>
      </c>
      <c r="Q347" s="34">
        <f t="shared" si="84"/>
        <v>0</v>
      </c>
      <c r="R347" s="7">
        <f t="shared" si="85"/>
        <v>0</v>
      </c>
      <c r="S347" s="227">
        <f t="shared" si="86"/>
        <v>0</v>
      </c>
      <c r="T347" s="249">
        <f t="shared" si="87"/>
        <v>0</v>
      </c>
    </row>
    <row r="348" spans="2:21" ht="15" customHeight="1" x14ac:dyDescent="0.4">
      <c r="B348" s="38" t="s">
        <v>312</v>
      </c>
      <c r="C348" s="6" t="s">
        <v>160</v>
      </c>
      <c r="D348" s="6">
        <f t="shared" si="88"/>
        <v>1</v>
      </c>
      <c r="E348" s="34">
        <v>2</v>
      </c>
      <c r="F348" s="212">
        <v>6150</v>
      </c>
      <c r="G348" s="195">
        <v>46015</v>
      </c>
      <c r="H348" s="8"/>
      <c r="I348" s="212"/>
      <c r="J348" s="8"/>
      <c r="K348" s="23">
        <f t="shared" si="91"/>
        <v>0</v>
      </c>
      <c r="L348" s="23">
        <f t="shared" si="92"/>
        <v>0</v>
      </c>
      <c r="M348" s="206">
        <f t="shared" si="89"/>
        <v>0</v>
      </c>
      <c r="N348" s="34"/>
      <c r="O348" s="209">
        <f t="shared" si="93"/>
        <v>-46014</v>
      </c>
      <c r="P348" s="34">
        <f t="shared" si="83"/>
        <v>12300</v>
      </c>
      <c r="Q348" s="34">
        <f t="shared" si="84"/>
        <v>0</v>
      </c>
      <c r="R348" s="7">
        <f t="shared" si="85"/>
        <v>0</v>
      </c>
      <c r="S348" s="227">
        <f t="shared" si="86"/>
        <v>0</v>
      </c>
      <c r="T348" s="249">
        <f t="shared" si="87"/>
        <v>0</v>
      </c>
    </row>
    <row r="349" spans="2:21" ht="15" customHeight="1" x14ac:dyDescent="0.4">
      <c r="B349" s="38" t="s">
        <v>312</v>
      </c>
      <c r="C349" s="6" t="s">
        <v>160</v>
      </c>
      <c r="D349" s="6">
        <f t="shared" si="88"/>
        <v>1</v>
      </c>
      <c r="E349" s="34">
        <v>2</v>
      </c>
      <c r="F349" s="212">
        <v>5220</v>
      </c>
      <c r="G349" s="195">
        <v>46024</v>
      </c>
      <c r="H349" s="8"/>
      <c r="I349" s="212"/>
      <c r="J349" s="8"/>
      <c r="K349" s="23">
        <f t="shared" si="91"/>
        <v>0</v>
      </c>
      <c r="L349" s="23">
        <f t="shared" si="92"/>
        <v>0</v>
      </c>
      <c r="M349" s="206">
        <f t="shared" si="89"/>
        <v>0</v>
      </c>
      <c r="N349" s="34"/>
      <c r="O349" s="209">
        <f t="shared" si="93"/>
        <v>-46023</v>
      </c>
      <c r="P349" s="34">
        <f t="shared" si="83"/>
        <v>10440</v>
      </c>
      <c r="Q349" s="34">
        <f t="shared" si="84"/>
        <v>0</v>
      </c>
      <c r="R349" s="7">
        <f t="shared" si="85"/>
        <v>0</v>
      </c>
      <c r="S349" s="227">
        <f t="shared" si="86"/>
        <v>0</v>
      </c>
      <c r="T349" s="249">
        <f t="shared" si="87"/>
        <v>0</v>
      </c>
    </row>
    <row r="350" spans="2:21" ht="15" customHeight="1" x14ac:dyDescent="0.4">
      <c r="B350" s="38" t="s">
        <v>312</v>
      </c>
      <c r="C350" s="6" t="s">
        <v>160</v>
      </c>
      <c r="D350" s="6">
        <f t="shared" si="88"/>
        <v>1</v>
      </c>
      <c r="E350" s="34">
        <v>2</v>
      </c>
      <c r="F350" s="212">
        <v>5100</v>
      </c>
      <c r="G350" s="195">
        <v>46029</v>
      </c>
      <c r="H350" s="8"/>
      <c r="I350" s="212"/>
      <c r="J350" s="8"/>
      <c r="K350" s="23">
        <f t="shared" si="91"/>
        <v>0</v>
      </c>
      <c r="L350" s="23">
        <f t="shared" si="92"/>
        <v>0</v>
      </c>
      <c r="M350" s="206">
        <f t="shared" si="89"/>
        <v>0</v>
      </c>
      <c r="N350" s="34"/>
      <c r="O350" s="209">
        <f t="shared" si="93"/>
        <v>-46028</v>
      </c>
      <c r="P350" s="34">
        <f t="shared" si="83"/>
        <v>10200</v>
      </c>
      <c r="Q350" s="34">
        <f t="shared" si="84"/>
        <v>0</v>
      </c>
      <c r="R350" s="7">
        <f t="shared" si="85"/>
        <v>0</v>
      </c>
      <c r="S350" s="227">
        <f t="shared" si="86"/>
        <v>0</v>
      </c>
      <c r="T350" s="249">
        <f t="shared" si="87"/>
        <v>0</v>
      </c>
    </row>
    <row r="351" spans="2:21" ht="15" customHeight="1" x14ac:dyDescent="0.4">
      <c r="B351" s="38" t="s">
        <v>312</v>
      </c>
      <c r="C351" s="6" t="s">
        <v>160</v>
      </c>
      <c r="D351" s="6">
        <f t="shared" si="88"/>
        <v>1</v>
      </c>
      <c r="E351" s="34">
        <v>2</v>
      </c>
      <c r="F351" s="212">
        <v>4995</v>
      </c>
      <c r="G351" s="195">
        <v>46036</v>
      </c>
      <c r="H351" s="8"/>
      <c r="I351" s="212"/>
      <c r="J351" s="8"/>
      <c r="K351" s="23">
        <f t="shared" si="91"/>
        <v>0</v>
      </c>
      <c r="L351" s="23">
        <f t="shared" si="92"/>
        <v>0</v>
      </c>
      <c r="M351" s="206">
        <f t="shared" si="89"/>
        <v>0</v>
      </c>
      <c r="N351" s="34"/>
      <c r="O351" s="209">
        <f t="shared" si="93"/>
        <v>-46035</v>
      </c>
      <c r="P351" s="34">
        <f t="shared" si="83"/>
        <v>9990</v>
      </c>
      <c r="Q351" s="34">
        <f t="shared" si="84"/>
        <v>0</v>
      </c>
      <c r="R351" s="7">
        <f t="shared" si="85"/>
        <v>0</v>
      </c>
      <c r="S351" s="227">
        <f t="shared" si="86"/>
        <v>0</v>
      </c>
      <c r="T351" s="249">
        <f t="shared" si="87"/>
        <v>0</v>
      </c>
    </row>
    <row r="352" spans="2:21" ht="15" customHeight="1" x14ac:dyDescent="0.4">
      <c r="B352" s="38" t="s">
        <v>312</v>
      </c>
      <c r="C352" s="6" t="s">
        <v>160</v>
      </c>
      <c r="D352" s="6">
        <f t="shared" si="88"/>
        <v>1</v>
      </c>
      <c r="E352" s="34">
        <v>2</v>
      </c>
      <c r="F352" s="212">
        <v>5030</v>
      </c>
      <c r="G352" s="195">
        <v>46043</v>
      </c>
      <c r="H352" s="8"/>
      <c r="I352" s="212"/>
      <c r="J352" s="8"/>
      <c r="K352" s="23">
        <f t="shared" si="91"/>
        <v>0</v>
      </c>
      <c r="L352" s="23">
        <f t="shared" si="92"/>
        <v>0</v>
      </c>
      <c r="M352" s="206">
        <f t="shared" si="89"/>
        <v>0</v>
      </c>
      <c r="N352" s="34"/>
      <c r="O352" s="209">
        <f t="shared" si="93"/>
        <v>-46042</v>
      </c>
      <c r="P352" s="34">
        <f t="shared" si="83"/>
        <v>10060</v>
      </c>
      <c r="Q352" s="34">
        <f t="shared" si="84"/>
        <v>0</v>
      </c>
      <c r="R352" s="7">
        <f t="shared" si="85"/>
        <v>0</v>
      </c>
      <c r="S352" s="227">
        <f t="shared" si="86"/>
        <v>0</v>
      </c>
      <c r="T352" s="249">
        <f t="shared" si="87"/>
        <v>0</v>
      </c>
    </row>
    <row r="353" spans="2:20" ht="15" customHeight="1" x14ac:dyDescent="0.4">
      <c r="B353" s="38" t="s">
        <v>312</v>
      </c>
      <c r="C353" s="6" t="s">
        <v>160</v>
      </c>
      <c r="D353" s="6">
        <f t="shared" si="88"/>
        <v>1</v>
      </c>
      <c r="E353" s="34">
        <v>2</v>
      </c>
      <c r="F353" s="212">
        <v>5450</v>
      </c>
      <c r="G353" s="195">
        <v>46050</v>
      </c>
      <c r="H353" s="8"/>
      <c r="I353" s="212"/>
      <c r="J353" s="8"/>
      <c r="K353" s="23">
        <f t="shared" si="91"/>
        <v>0</v>
      </c>
      <c r="L353" s="23">
        <f t="shared" si="92"/>
        <v>0</v>
      </c>
      <c r="M353" s="206">
        <f t="shared" si="89"/>
        <v>0</v>
      </c>
      <c r="N353" s="34"/>
      <c r="O353" s="209">
        <f t="shared" si="93"/>
        <v>-46049</v>
      </c>
      <c r="P353" s="34">
        <f t="shared" si="83"/>
        <v>10900</v>
      </c>
      <c r="Q353" s="34">
        <f t="shared" si="84"/>
        <v>0</v>
      </c>
      <c r="R353" s="7">
        <f t="shared" si="85"/>
        <v>0</v>
      </c>
      <c r="S353" s="227">
        <f t="shared" si="86"/>
        <v>0</v>
      </c>
      <c r="T353" s="249">
        <f t="shared" si="87"/>
        <v>0</v>
      </c>
    </row>
    <row r="354" spans="2:20" ht="15" customHeight="1" x14ac:dyDescent="0.4">
      <c r="B354" s="38" t="s">
        <v>312</v>
      </c>
      <c r="C354" s="6" t="s">
        <v>160</v>
      </c>
      <c r="D354" s="6">
        <f t="shared" si="88"/>
        <v>1</v>
      </c>
      <c r="E354" s="34">
        <v>2</v>
      </c>
      <c r="F354" s="212">
        <v>5780</v>
      </c>
      <c r="G354" s="195">
        <v>46057</v>
      </c>
      <c r="H354" s="8"/>
      <c r="I354" s="212"/>
      <c r="J354" s="8"/>
      <c r="K354" s="23">
        <f t="shared" si="91"/>
        <v>0</v>
      </c>
      <c r="L354" s="23">
        <f t="shared" si="92"/>
        <v>0</v>
      </c>
      <c r="M354" s="206">
        <f t="shared" si="89"/>
        <v>0</v>
      </c>
      <c r="N354" s="34"/>
      <c r="O354" s="209">
        <f t="shared" si="93"/>
        <v>-46056</v>
      </c>
      <c r="P354" s="34">
        <f t="shared" si="83"/>
        <v>11560</v>
      </c>
      <c r="Q354" s="34">
        <f t="shared" si="84"/>
        <v>0</v>
      </c>
      <c r="R354" s="7">
        <f t="shared" si="85"/>
        <v>0</v>
      </c>
      <c r="S354" s="227">
        <f t="shared" si="86"/>
        <v>0</v>
      </c>
      <c r="T354" s="249">
        <f t="shared" si="87"/>
        <v>0</v>
      </c>
    </row>
    <row r="355" spans="2:20" ht="15" customHeight="1" x14ac:dyDescent="0.4">
      <c r="B355" s="38" t="s">
        <v>312</v>
      </c>
      <c r="C355" s="6" t="s">
        <v>160</v>
      </c>
      <c r="D355" s="6">
        <f t="shared" si="88"/>
        <v>1</v>
      </c>
      <c r="E355" s="34">
        <v>2</v>
      </c>
      <c r="F355" s="212">
        <v>6150</v>
      </c>
      <c r="G355" s="195">
        <v>46064</v>
      </c>
      <c r="H355" s="8"/>
      <c r="I355" s="212"/>
      <c r="J355" s="8"/>
      <c r="K355" s="23">
        <f t="shared" si="91"/>
        <v>0</v>
      </c>
      <c r="L355" s="23">
        <f t="shared" si="92"/>
        <v>0</v>
      </c>
      <c r="M355" s="206">
        <f t="shared" si="89"/>
        <v>0</v>
      </c>
      <c r="N355" s="34"/>
      <c r="O355" s="209">
        <f t="shared" si="93"/>
        <v>-46063</v>
      </c>
      <c r="P355" s="34">
        <f t="shared" si="83"/>
        <v>12300</v>
      </c>
      <c r="Q355" s="34">
        <f t="shared" si="84"/>
        <v>0</v>
      </c>
      <c r="R355" s="7">
        <f t="shared" si="85"/>
        <v>0</v>
      </c>
      <c r="S355" s="227">
        <f t="shared" si="86"/>
        <v>0</v>
      </c>
      <c r="T355" s="249">
        <f t="shared" si="87"/>
        <v>0</v>
      </c>
    </row>
    <row r="356" spans="2:20" ht="15" customHeight="1" x14ac:dyDescent="0.4">
      <c r="B356" s="38" t="s">
        <v>312</v>
      </c>
      <c r="C356" s="6" t="s">
        <v>160</v>
      </c>
      <c r="D356" s="6">
        <f t="shared" si="88"/>
        <v>1</v>
      </c>
      <c r="E356" s="34">
        <v>2</v>
      </c>
      <c r="F356" s="212">
        <v>6290</v>
      </c>
      <c r="G356" s="195">
        <v>46072</v>
      </c>
      <c r="H356" s="8"/>
      <c r="I356" s="212"/>
      <c r="J356" s="8"/>
      <c r="K356" s="23">
        <f t="shared" si="91"/>
        <v>0</v>
      </c>
      <c r="L356" s="23">
        <f t="shared" si="92"/>
        <v>0</v>
      </c>
      <c r="M356" s="206">
        <f t="shared" si="89"/>
        <v>0</v>
      </c>
      <c r="N356" s="34"/>
      <c r="O356" s="209">
        <f t="shared" si="93"/>
        <v>-46071</v>
      </c>
      <c r="P356" s="34">
        <f t="shared" si="83"/>
        <v>12580</v>
      </c>
      <c r="Q356" s="34">
        <f t="shared" si="84"/>
        <v>0</v>
      </c>
      <c r="R356" s="7">
        <f t="shared" si="85"/>
        <v>0</v>
      </c>
      <c r="S356" s="227">
        <f t="shared" si="86"/>
        <v>0</v>
      </c>
      <c r="T356" s="249">
        <f t="shared" si="87"/>
        <v>0</v>
      </c>
    </row>
    <row r="357" spans="2:20" ht="15" customHeight="1" x14ac:dyDescent="0.4">
      <c r="B357" s="38" t="s">
        <v>312</v>
      </c>
      <c r="C357" s="6" t="s">
        <v>160</v>
      </c>
      <c r="D357" s="6">
        <f t="shared" si="88"/>
        <v>1</v>
      </c>
      <c r="E357" s="34">
        <v>2</v>
      </c>
      <c r="F357" s="212">
        <v>6570</v>
      </c>
      <c r="G357" s="195">
        <v>46078</v>
      </c>
      <c r="H357" s="8"/>
      <c r="I357" s="212"/>
      <c r="J357" s="8"/>
      <c r="K357" s="23">
        <f t="shared" si="91"/>
        <v>0</v>
      </c>
      <c r="L357" s="23">
        <f t="shared" si="92"/>
        <v>0</v>
      </c>
      <c r="M357" s="206">
        <f t="shared" si="89"/>
        <v>0</v>
      </c>
      <c r="N357" s="34"/>
      <c r="O357" s="209">
        <f t="shared" si="93"/>
        <v>-46077</v>
      </c>
      <c r="P357" s="34">
        <f t="shared" si="83"/>
        <v>13140</v>
      </c>
      <c r="Q357" s="34">
        <f t="shared" si="84"/>
        <v>0</v>
      </c>
      <c r="R357" s="7">
        <f t="shared" si="85"/>
        <v>0</v>
      </c>
      <c r="S357" s="227">
        <f t="shared" si="86"/>
        <v>0</v>
      </c>
      <c r="T357" s="249">
        <f t="shared" si="87"/>
        <v>0</v>
      </c>
    </row>
    <row r="358" spans="2:20" ht="15" customHeight="1" x14ac:dyDescent="0.4">
      <c r="B358" s="38" t="s">
        <v>312</v>
      </c>
      <c r="C358" s="6" t="s">
        <v>160</v>
      </c>
      <c r="D358" s="6">
        <f t="shared" si="88"/>
        <v>1</v>
      </c>
      <c r="E358" s="34">
        <v>2</v>
      </c>
      <c r="F358" s="212">
        <v>5730</v>
      </c>
      <c r="G358" s="195">
        <v>46085</v>
      </c>
      <c r="H358" s="8"/>
      <c r="I358" s="212"/>
      <c r="J358" s="8"/>
      <c r="K358" s="23">
        <f t="shared" si="91"/>
        <v>0</v>
      </c>
      <c r="L358" s="23">
        <f t="shared" si="92"/>
        <v>0</v>
      </c>
      <c r="M358" s="206">
        <f t="shared" si="89"/>
        <v>0</v>
      </c>
      <c r="N358" s="34"/>
      <c r="O358" s="209">
        <f t="shared" si="93"/>
        <v>-46084</v>
      </c>
      <c r="P358" s="34">
        <f t="shared" si="83"/>
        <v>11460</v>
      </c>
      <c r="Q358" s="34">
        <f t="shared" si="84"/>
        <v>0</v>
      </c>
      <c r="R358" s="7">
        <f t="shared" si="85"/>
        <v>0</v>
      </c>
      <c r="S358" s="227">
        <f t="shared" si="86"/>
        <v>0</v>
      </c>
      <c r="T358" s="249">
        <f t="shared" si="87"/>
        <v>0</v>
      </c>
    </row>
    <row r="359" spans="2:20" ht="15" customHeight="1" x14ac:dyDescent="0.4">
      <c r="B359" s="38" t="s">
        <v>312</v>
      </c>
      <c r="C359" s="6" t="s">
        <v>160</v>
      </c>
      <c r="D359" s="6">
        <f t="shared" si="88"/>
        <v>1</v>
      </c>
      <c r="E359" s="34">
        <v>2</v>
      </c>
      <c r="F359" s="212">
        <v>5750</v>
      </c>
      <c r="G359" s="195">
        <v>46092</v>
      </c>
      <c r="H359" s="8"/>
      <c r="I359" s="212"/>
      <c r="J359" s="8"/>
      <c r="K359" s="23">
        <f t="shared" si="91"/>
        <v>0</v>
      </c>
      <c r="L359" s="23">
        <f t="shared" si="92"/>
        <v>0</v>
      </c>
      <c r="M359" s="206">
        <f t="shared" si="89"/>
        <v>0</v>
      </c>
      <c r="N359" s="34"/>
      <c r="O359" s="209">
        <f t="shared" si="93"/>
        <v>-46091</v>
      </c>
      <c r="P359" s="34">
        <f t="shared" si="83"/>
        <v>11500</v>
      </c>
      <c r="Q359" s="34">
        <f t="shared" si="84"/>
        <v>0</v>
      </c>
      <c r="R359" s="7">
        <f t="shared" si="85"/>
        <v>0</v>
      </c>
      <c r="S359" s="227">
        <f t="shared" si="86"/>
        <v>0</v>
      </c>
      <c r="T359" s="249">
        <f t="shared" si="87"/>
        <v>0</v>
      </c>
    </row>
    <row r="360" spans="2:20" ht="15" customHeight="1" x14ac:dyDescent="0.4">
      <c r="B360" s="38" t="s">
        <v>312</v>
      </c>
      <c r="C360" s="6" t="s">
        <v>160</v>
      </c>
      <c r="D360" s="6">
        <f t="shared" si="88"/>
        <v>1</v>
      </c>
      <c r="E360" s="34">
        <v>2</v>
      </c>
      <c r="F360" s="212">
        <v>5680</v>
      </c>
      <c r="G360" s="195">
        <v>46099</v>
      </c>
      <c r="H360" s="8"/>
      <c r="I360" s="212"/>
      <c r="J360" s="8"/>
      <c r="K360" s="23">
        <f t="shared" si="91"/>
        <v>0</v>
      </c>
      <c r="L360" s="23">
        <f t="shared" si="92"/>
        <v>0</v>
      </c>
      <c r="M360" s="206">
        <f t="shared" si="89"/>
        <v>0</v>
      </c>
      <c r="N360" s="34"/>
      <c r="O360" s="209">
        <f t="shared" si="93"/>
        <v>-46098</v>
      </c>
      <c r="P360" s="34">
        <f t="shared" si="83"/>
        <v>11360</v>
      </c>
      <c r="Q360" s="34">
        <f t="shared" si="84"/>
        <v>0</v>
      </c>
      <c r="R360" s="7">
        <f t="shared" si="85"/>
        <v>0</v>
      </c>
      <c r="S360" s="227">
        <f t="shared" si="86"/>
        <v>0</v>
      </c>
      <c r="T360" s="249">
        <f t="shared" si="87"/>
        <v>0</v>
      </c>
    </row>
    <row r="361" spans="2:20" ht="15" customHeight="1" x14ac:dyDescent="0.4">
      <c r="B361" s="38" t="s">
        <v>312</v>
      </c>
      <c r="C361" s="6" t="s">
        <v>160</v>
      </c>
      <c r="D361" s="6">
        <f t="shared" si="88"/>
        <v>1</v>
      </c>
      <c r="E361" s="34">
        <v>2</v>
      </c>
      <c r="F361" s="212">
        <v>5520</v>
      </c>
      <c r="G361" s="195">
        <v>46106</v>
      </c>
      <c r="H361" s="8"/>
      <c r="I361" s="212"/>
      <c r="J361" s="8"/>
      <c r="K361" s="23">
        <f t="shared" si="91"/>
        <v>0</v>
      </c>
      <c r="L361" s="23">
        <f t="shared" si="92"/>
        <v>0</v>
      </c>
      <c r="M361" s="206">
        <f t="shared" si="89"/>
        <v>0</v>
      </c>
      <c r="N361" s="34"/>
      <c r="O361" s="209">
        <f t="shared" si="93"/>
        <v>-46105</v>
      </c>
      <c r="P361" s="34">
        <f t="shared" si="83"/>
        <v>11040</v>
      </c>
      <c r="Q361" s="34">
        <f t="shared" si="84"/>
        <v>0</v>
      </c>
      <c r="R361" s="7">
        <f t="shared" si="85"/>
        <v>0</v>
      </c>
      <c r="S361" s="227">
        <f t="shared" si="86"/>
        <v>0</v>
      </c>
      <c r="T361" s="249">
        <f t="shared" si="87"/>
        <v>0</v>
      </c>
    </row>
    <row r="362" spans="2:20" ht="15" customHeight="1" x14ac:dyDescent="0.4">
      <c r="B362" s="38" t="s">
        <v>312</v>
      </c>
      <c r="C362" s="6" t="s">
        <v>160</v>
      </c>
      <c r="D362" s="6">
        <f t="shared" si="88"/>
        <v>1</v>
      </c>
      <c r="E362" s="34">
        <v>2</v>
      </c>
      <c r="F362" s="212">
        <v>5830</v>
      </c>
      <c r="G362" s="195">
        <v>46113</v>
      </c>
      <c r="H362" s="8"/>
      <c r="I362" s="212"/>
      <c r="J362" s="8"/>
      <c r="K362" s="23">
        <f t="shared" si="91"/>
        <v>0</v>
      </c>
      <c r="L362" s="23">
        <f t="shared" si="92"/>
        <v>0</v>
      </c>
      <c r="M362" s="206">
        <f t="shared" si="89"/>
        <v>0</v>
      </c>
      <c r="N362" s="34"/>
      <c r="O362" s="209">
        <f t="shared" si="93"/>
        <v>-46112</v>
      </c>
      <c r="P362" s="34">
        <f t="shared" si="83"/>
        <v>11660</v>
      </c>
      <c r="Q362" s="34">
        <f t="shared" si="84"/>
        <v>0</v>
      </c>
      <c r="R362" s="7">
        <f t="shared" si="85"/>
        <v>0</v>
      </c>
      <c r="S362" s="227">
        <f t="shared" si="86"/>
        <v>0</v>
      </c>
      <c r="T362" s="249">
        <f t="shared" si="87"/>
        <v>0</v>
      </c>
    </row>
    <row r="363" spans="2:20" ht="15" customHeight="1" x14ac:dyDescent="0.4">
      <c r="B363" s="38" t="s">
        <v>312</v>
      </c>
      <c r="C363" s="6" t="s">
        <v>160</v>
      </c>
      <c r="D363" s="6">
        <f t="shared" si="88"/>
        <v>1</v>
      </c>
      <c r="E363" s="34">
        <v>2</v>
      </c>
      <c r="F363" s="212">
        <v>5760</v>
      </c>
      <c r="G363" s="195">
        <v>46120</v>
      </c>
      <c r="H363" s="8"/>
      <c r="I363" s="212"/>
      <c r="J363" s="8"/>
      <c r="K363" s="23">
        <f t="shared" si="91"/>
        <v>0</v>
      </c>
      <c r="L363" s="23">
        <f t="shared" si="92"/>
        <v>0</v>
      </c>
      <c r="M363" s="206">
        <f t="shared" si="89"/>
        <v>0</v>
      </c>
      <c r="N363" s="34"/>
      <c r="O363" s="209">
        <f t="shared" si="93"/>
        <v>-46119</v>
      </c>
      <c r="P363" s="34">
        <f t="shared" si="83"/>
        <v>11520</v>
      </c>
      <c r="Q363" s="34">
        <f t="shared" si="84"/>
        <v>0</v>
      </c>
      <c r="R363" s="7">
        <f t="shared" si="85"/>
        <v>0</v>
      </c>
      <c r="S363" s="227">
        <f t="shared" si="86"/>
        <v>0</v>
      </c>
      <c r="T363" s="249">
        <f t="shared" si="87"/>
        <v>0</v>
      </c>
    </row>
    <row r="364" spans="2:20" ht="15" customHeight="1" x14ac:dyDescent="0.4">
      <c r="B364" s="38" t="s">
        <v>312</v>
      </c>
      <c r="C364" s="6" t="s">
        <v>160</v>
      </c>
      <c r="D364" s="6">
        <f t="shared" ref="D364:D395" si="94">IF(OR($C364="신한",$C364="OTC",$C364="무상증자(신한)",$C364="토스",$C364="R토스"),1,"확인")</f>
        <v>1</v>
      </c>
      <c r="E364" s="34">
        <v>2</v>
      </c>
      <c r="F364" s="212">
        <v>6170</v>
      </c>
      <c r="G364" s="195">
        <v>46127</v>
      </c>
      <c r="H364" s="8"/>
      <c r="I364" s="212"/>
      <c r="J364" s="8"/>
      <c r="K364" s="23">
        <f t="shared" si="91"/>
        <v>0</v>
      </c>
      <c r="L364" s="23">
        <f t="shared" si="92"/>
        <v>0</v>
      </c>
      <c r="M364" s="206">
        <f t="shared" ref="M364:M395" si="95">Q364*0.002</f>
        <v>0</v>
      </c>
      <c r="N364" s="34"/>
      <c r="O364" s="209">
        <f t="shared" si="93"/>
        <v>-46126</v>
      </c>
      <c r="P364" s="34">
        <f t="shared" si="83"/>
        <v>12340</v>
      </c>
      <c r="Q364" s="34">
        <f t="shared" si="84"/>
        <v>0</v>
      </c>
      <c r="R364" s="7">
        <f t="shared" si="85"/>
        <v>0</v>
      </c>
      <c r="S364" s="227">
        <f t="shared" si="86"/>
        <v>0</v>
      </c>
      <c r="T364" s="249">
        <f t="shared" si="87"/>
        <v>0</v>
      </c>
    </row>
    <row r="365" spans="2:20" ht="15" customHeight="1" x14ac:dyDescent="0.4">
      <c r="B365" s="38" t="s">
        <v>312</v>
      </c>
      <c r="C365" s="6" t="s">
        <v>160</v>
      </c>
      <c r="D365" s="6">
        <f t="shared" si="94"/>
        <v>1</v>
      </c>
      <c r="E365" s="34">
        <v>2</v>
      </c>
      <c r="F365" s="212">
        <v>6210</v>
      </c>
      <c r="G365" s="195">
        <v>46134</v>
      </c>
      <c r="H365" s="8"/>
      <c r="I365" s="212"/>
      <c r="J365" s="8"/>
      <c r="K365" s="23">
        <f t="shared" si="91"/>
        <v>0</v>
      </c>
      <c r="L365" s="23">
        <f t="shared" si="92"/>
        <v>0</v>
      </c>
      <c r="M365" s="206">
        <f t="shared" si="95"/>
        <v>0</v>
      </c>
      <c r="N365" s="34"/>
      <c r="O365" s="209">
        <f t="shared" si="93"/>
        <v>-46133</v>
      </c>
      <c r="P365" s="34">
        <f t="shared" si="83"/>
        <v>12420</v>
      </c>
      <c r="Q365" s="34">
        <f t="shared" si="84"/>
        <v>0</v>
      </c>
      <c r="R365" s="7">
        <f t="shared" si="85"/>
        <v>0</v>
      </c>
      <c r="S365" s="227">
        <f t="shared" si="86"/>
        <v>0</v>
      </c>
      <c r="T365" s="249">
        <f t="shared" si="87"/>
        <v>0</v>
      </c>
    </row>
    <row r="366" spans="2:20" ht="15" customHeight="1" x14ac:dyDescent="0.4">
      <c r="B366" s="38" t="s">
        <v>43</v>
      </c>
      <c r="C366" s="6" t="s">
        <v>122</v>
      </c>
      <c r="D366" s="6">
        <f t="shared" si="94"/>
        <v>1</v>
      </c>
      <c r="E366" s="34">
        <v>300</v>
      </c>
      <c r="F366" s="212">
        <v>7940</v>
      </c>
      <c r="G366" s="195">
        <v>45820</v>
      </c>
      <c r="H366" s="8" t="s">
        <v>113</v>
      </c>
      <c r="I366" s="212"/>
      <c r="J366" s="8"/>
      <c r="K366" s="23">
        <f t="shared" si="91"/>
        <v>357.29999999999995</v>
      </c>
      <c r="L366" s="23">
        <f t="shared" si="92"/>
        <v>0</v>
      </c>
      <c r="M366" s="206">
        <f t="shared" si="95"/>
        <v>0</v>
      </c>
      <c r="N366" s="34"/>
      <c r="O366" s="209">
        <f t="shared" si="93"/>
        <v>-45819</v>
      </c>
      <c r="P366" s="34">
        <f t="shared" si="83"/>
        <v>2382000</v>
      </c>
      <c r="Q366" s="34">
        <f t="shared" si="84"/>
        <v>0</v>
      </c>
      <c r="R366" s="7">
        <f t="shared" si="85"/>
        <v>-357.29999999999995</v>
      </c>
      <c r="S366" s="227">
        <f t="shared" si="86"/>
        <v>0</v>
      </c>
      <c r="T366" s="249">
        <f t="shared" si="87"/>
        <v>0</v>
      </c>
    </row>
    <row r="367" spans="2:20" ht="15" customHeight="1" x14ac:dyDescent="0.4">
      <c r="B367" s="38" t="s">
        <v>43</v>
      </c>
      <c r="C367" s="6" t="s">
        <v>122</v>
      </c>
      <c r="D367" s="6">
        <f t="shared" si="94"/>
        <v>1</v>
      </c>
      <c r="E367" s="34">
        <v>200</v>
      </c>
      <c r="F367" s="212">
        <v>7840</v>
      </c>
      <c r="G367" s="195">
        <v>45821</v>
      </c>
      <c r="H367" s="8"/>
      <c r="I367" s="212"/>
      <c r="J367" s="8"/>
      <c r="K367" s="23">
        <f t="shared" si="91"/>
        <v>235.2</v>
      </c>
      <c r="L367" s="23">
        <f t="shared" si="92"/>
        <v>0</v>
      </c>
      <c r="M367" s="206">
        <f t="shared" si="95"/>
        <v>0</v>
      </c>
      <c r="N367" s="34"/>
      <c r="O367" s="209">
        <f t="shared" si="93"/>
        <v>-45820</v>
      </c>
      <c r="P367" s="34">
        <f t="shared" si="83"/>
        <v>1568000</v>
      </c>
      <c r="Q367" s="34">
        <f t="shared" si="84"/>
        <v>0</v>
      </c>
      <c r="R367" s="7">
        <f t="shared" si="85"/>
        <v>-235.2</v>
      </c>
      <c r="S367" s="227">
        <f t="shared" si="86"/>
        <v>0</v>
      </c>
      <c r="T367" s="249">
        <f t="shared" si="87"/>
        <v>0</v>
      </c>
    </row>
    <row r="368" spans="2:20" ht="15" customHeight="1" x14ac:dyDescent="0.4">
      <c r="B368" s="38" t="s">
        <v>43</v>
      </c>
      <c r="C368" s="6" t="s">
        <v>122</v>
      </c>
      <c r="D368" s="6">
        <f t="shared" si="94"/>
        <v>1</v>
      </c>
      <c r="E368" s="34">
        <v>50</v>
      </c>
      <c r="F368" s="212">
        <v>7490</v>
      </c>
      <c r="G368" s="195">
        <v>45821</v>
      </c>
      <c r="H368" s="8"/>
      <c r="I368" s="212"/>
      <c r="J368" s="8"/>
      <c r="K368" s="23">
        <f t="shared" si="91"/>
        <v>56.174999999999997</v>
      </c>
      <c r="L368" s="23">
        <f t="shared" si="92"/>
        <v>0</v>
      </c>
      <c r="M368" s="206">
        <f t="shared" si="95"/>
        <v>0</v>
      </c>
      <c r="N368" s="34"/>
      <c r="O368" s="209">
        <f t="shared" si="93"/>
        <v>-45820</v>
      </c>
      <c r="P368" s="34">
        <f t="shared" si="83"/>
        <v>374500</v>
      </c>
      <c r="Q368" s="34">
        <f t="shared" si="84"/>
        <v>0</v>
      </c>
      <c r="R368" s="7">
        <f t="shared" si="85"/>
        <v>-56.174999999999997</v>
      </c>
      <c r="S368" s="227">
        <f t="shared" si="86"/>
        <v>0</v>
      </c>
      <c r="T368" s="249">
        <f t="shared" si="87"/>
        <v>0</v>
      </c>
    </row>
    <row r="369" spans="2:21" ht="15" customHeight="1" x14ac:dyDescent="0.4">
      <c r="B369" s="38" t="s">
        <v>43</v>
      </c>
      <c r="C369" s="6" t="s">
        <v>122</v>
      </c>
      <c r="D369" s="6">
        <f t="shared" si="94"/>
        <v>1</v>
      </c>
      <c r="E369" s="34">
        <v>65</v>
      </c>
      <c r="F369" s="212">
        <v>7450</v>
      </c>
      <c r="G369" s="195">
        <v>45824</v>
      </c>
      <c r="H369" s="8" t="s">
        <v>113</v>
      </c>
      <c r="I369" s="212"/>
      <c r="J369" s="8"/>
      <c r="K369" s="23">
        <f t="shared" si="91"/>
        <v>72.637499999999989</v>
      </c>
      <c r="L369" s="23">
        <f t="shared" ref="L369:L400" si="96">IF($C369="OTC",ROUNDDOWN($I369*$E369*0.000909187,-1),(IF($C369="신한",ROUNDDOWN($I369*$E369*0.000036396,-1),(IF($C369="토스",$I369*$E369*0.00015,(IF($C369="US",(IF($I369*$E369*0.0025&gt;0.01,$I369*$E369*0.0025,0.01)),(IF($C369="JP",(IF($I369*$E369*0.0025&gt;1000,$I369*$E369*0.0025,1000)),(IF($C369="R토스",$I369*$E369*0.00015,(IF($C369="무상증자(신한)",ROUNDDOWN($I369*$E369*0.000036396,-1),"")))))))))))))</f>
        <v>0</v>
      </c>
      <c r="M369" s="206">
        <f t="shared" si="95"/>
        <v>0</v>
      </c>
      <c r="N369" s="34"/>
      <c r="O369" s="209">
        <f t="shared" si="93"/>
        <v>-45823</v>
      </c>
      <c r="P369" s="34">
        <f t="shared" si="83"/>
        <v>484250</v>
      </c>
      <c r="Q369" s="34">
        <f t="shared" si="84"/>
        <v>0</v>
      </c>
      <c r="R369" s="7">
        <f t="shared" si="85"/>
        <v>-72.637499999999989</v>
      </c>
      <c r="S369" s="227">
        <f t="shared" si="86"/>
        <v>0</v>
      </c>
      <c r="T369" s="249">
        <f t="shared" si="87"/>
        <v>0</v>
      </c>
    </row>
    <row r="370" spans="2:21" ht="15" customHeight="1" x14ac:dyDescent="0.4">
      <c r="B370" s="38" t="s">
        <v>43</v>
      </c>
      <c r="C370" s="6" t="s">
        <v>122</v>
      </c>
      <c r="D370" s="6">
        <f t="shared" si="94"/>
        <v>1</v>
      </c>
      <c r="E370" s="34">
        <v>10</v>
      </c>
      <c r="F370" s="212">
        <v>6780</v>
      </c>
      <c r="G370" s="195">
        <v>45848</v>
      </c>
      <c r="H370" s="8" t="s">
        <v>113</v>
      </c>
      <c r="I370" s="212"/>
      <c r="J370" s="8"/>
      <c r="K370" s="23">
        <f t="shared" si="91"/>
        <v>10.17</v>
      </c>
      <c r="L370" s="23">
        <f t="shared" si="96"/>
        <v>0</v>
      </c>
      <c r="M370" s="206">
        <f t="shared" si="95"/>
        <v>0</v>
      </c>
      <c r="N370" s="34"/>
      <c r="O370" s="209">
        <f t="shared" si="93"/>
        <v>-45847</v>
      </c>
      <c r="P370" s="34">
        <f t="shared" si="83"/>
        <v>67800</v>
      </c>
      <c r="Q370" s="34">
        <f t="shared" si="84"/>
        <v>0</v>
      </c>
      <c r="R370" s="7">
        <f t="shared" si="85"/>
        <v>-10.17</v>
      </c>
      <c r="S370" s="227">
        <f t="shared" si="86"/>
        <v>0</v>
      </c>
      <c r="T370" s="249">
        <f t="shared" si="87"/>
        <v>0</v>
      </c>
    </row>
    <row r="371" spans="2:21" ht="15" customHeight="1" x14ac:dyDescent="0.4">
      <c r="B371" s="38" t="s">
        <v>43</v>
      </c>
      <c r="C371" s="6" t="s">
        <v>122</v>
      </c>
      <c r="D371" s="6">
        <f t="shared" si="94"/>
        <v>1</v>
      </c>
      <c r="E371" s="34">
        <v>22</v>
      </c>
      <c r="F371" s="212">
        <v>5750</v>
      </c>
      <c r="G371" s="195">
        <v>45894</v>
      </c>
      <c r="H371" s="8" t="s">
        <v>113</v>
      </c>
      <c r="I371" s="212"/>
      <c r="J371" s="8"/>
      <c r="K371" s="23">
        <f t="shared" si="91"/>
        <v>18.974999999999998</v>
      </c>
      <c r="L371" s="23">
        <f t="shared" si="96"/>
        <v>0</v>
      </c>
      <c r="M371" s="206">
        <f t="shared" si="95"/>
        <v>0</v>
      </c>
      <c r="N371" s="34"/>
      <c r="O371" s="209">
        <f t="shared" si="93"/>
        <v>-45893</v>
      </c>
      <c r="P371" s="34">
        <f t="shared" si="83"/>
        <v>126500</v>
      </c>
      <c r="Q371" s="34">
        <f t="shared" si="84"/>
        <v>0</v>
      </c>
      <c r="R371" s="7">
        <f t="shared" si="85"/>
        <v>-18.974999999999998</v>
      </c>
      <c r="S371" s="227">
        <f t="shared" si="86"/>
        <v>0</v>
      </c>
      <c r="T371" s="249">
        <f t="shared" si="87"/>
        <v>0</v>
      </c>
    </row>
    <row r="372" spans="2:21" ht="15" customHeight="1" x14ac:dyDescent="0.4">
      <c r="B372" s="38" t="s">
        <v>43</v>
      </c>
      <c r="C372" s="6" t="s">
        <v>122</v>
      </c>
      <c r="D372" s="6">
        <f t="shared" si="94"/>
        <v>1</v>
      </c>
      <c r="E372" s="34">
        <v>50</v>
      </c>
      <c r="F372" s="212">
        <v>4110</v>
      </c>
      <c r="G372" s="195">
        <v>45930</v>
      </c>
      <c r="H372" s="8" t="s">
        <v>113</v>
      </c>
      <c r="I372" s="212"/>
      <c r="J372" s="8"/>
      <c r="K372" s="23">
        <f t="shared" si="91"/>
        <v>30.824999999999996</v>
      </c>
      <c r="L372" s="23">
        <f t="shared" si="96"/>
        <v>0</v>
      </c>
      <c r="M372" s="206">
        <f t="shared" si="95"/>
        <v>0</v>
      </c>
      <c r="N372" s="34"/>
      <c r="O372" s="209">
        <f t="shared" si="93"/>
        <v>-45929</v>
      </c>
      <c r="P372" s="34">
        <f t="shared" si="83"/>
        <v>205500</v>
      </c>
      <c r="Q372" s="34">
        <f t="shared" si="84"/>
        <v>0</v>
      </c>
      <c r="R372" s="7">
        <f t="shared" si="85"/>
        <v>-30.824999999999996</v>
      </c>
      <c r="S372" s="227">
        <f t="shared" si="86"/>
        <v>0</v>
      </c>
      <c r="T372" s="249">
        <f t="shared" si="87"/>
        <v>0</v>
      </c>
      <c r="U372" s="36">
        <f>IF(O372&lt;0,0,P372*0.05*O372/365)</f>
        <v>0</v>
      </c>
    </row>
    <row r="373" spans="2:21" ht="15" customHeight="1" x14ac:dyDescent="0.4">
      <c r="B373" s="38" t="s">
        <v>43</v>
      </c>
      <c r="C373" s="6" t="s">
        <v>122</v>
      </c>
      <c r="D373" s="6">
        <f t="shared" si="94"/>
        <v>1</v>
      </c>
      <c r="E373" s="34">
        <v>493</v>
      </c>
      <c r="F373" s="212">
        <v>2700</v>
      </c>
      <c r="G373" s="195">
        <v>46029</v>
      </c>
      <c r="H373" s="8" t="s">
        <v>248</v>
      </c>
      <c r="I373" s="212"/>
      <c r="J373" s="8"/>
      <c r="K373" s="307">
        <v>0</v>
      </c>
      <c r="L373" s="23">
        <f t="shared" si="96"/>
        <v>0</v>
      </c>
      <c r="M373" s="206">
        <f t="shared" si="95"/>
        <v>0</v>
      </c>
      <c r="N373" s="34"/>
      <c r="O373" s="209">
        <f t="shared" si="93"/>
        <v>-46028</v>
      </c>
      <c r="P373" s="34">
        <f t="shared" si="83"/>
        <v>1331100</v>
      </c>
      <c r="Q373" s="34">
        <f t="shared" si="84"/>
        <v>0</v>
      </c>
      <c r="R373" s="7">
        <f t="shared" si="85"/>
        <v>0</v>
      </c>
      <c r="S373" s="227">
        <f t="shared" si="86"/>
        <v>0</v>
      </c>
      <c r="T373" s="249">
        <f t="shared" si="87"/>
        <v>0</v>
      </c>
    </row>
    <row r="374" spans="2:21" ht="15" customHeight="1" x14ac:dyDescent="0.4">
      <c r="B374" s="38" t="s">
        <v>43</v>
      </c>
      <c r="C374" s="6" t="s">
        <v>160</v>
      </c>
      <c r="D374" s="6">
        <f t="shared" si="94"/>
        <v>1</v>
      </c>
      <c r="E374" s="34">
        <v>70</v>
      </c>
      <c r="F374" s="212">
        <v>27500</v>
      </c>
      <c r="G374" s="195">
        <v>44201</v>
      </c>
      <c r="H374" s="8"/>
      <c r="I374" s="212"/>
      <c r="J374" s="6"/>
      <c r="K374" s="23">
        <f t="shared" ref="K374:K405" si="97">IF($C374="OTC",ROUNDDOWN($E374*$F374*0.000909187,-1),(IF($C374="신한",ROUNDDOWN($E374*$F374*0.000036396,-1),(IF($C374="토스",$E374*$F374*0.00015,(IF($C374="US",(IF($E374*$F374*0.0025&gt;0.01,$E374*$F374*0.0025,0.01)),IF($C374="JP",(IF($E374*$F374*0.0025&gt;1000,$E374*$F374*0.0025,1000)),(IF($C374="R토스",0,IF($C374="무상증자(신한)",0,"")))))))))))</f>
        <v>70</v>
      </c>
      <c r="L374" s="23">
        <f t="shared" si="96"/>
        <v>0</v>
      </c>
      <c r="M374" s="206">
        <f t="shared" si="95"/>
        <v>0</v>
      </c>
      <c r="N374" s="34"/>
      <c r="O374" s="209">
        <f t="shared" si="93"/>
        <v>-44200</v>
      </c>
      <c r="P374" s="34">
        <f t="shared" si="83"/>
        <v>1925000</v>
      </c>
      <c r="Q374" s="34">
        <f t="shared" si="84"/>
        <v>0</v>
      </c>
      <c r="R374" s="7">
        <f t="shared" si="85"/>
        <v>-70</v>
      </c>
      <c r="S374" s="227">
        <f t="shared" si="86"/>
        <v>0</v>
      </c>
      <c r="T374" s="249">
        <f t="shared" si="87"/>
        <v>0</v>
      </c>
    </row>
    <row r="375" spans="2:21" ht="15" customHeight="1" x14ac:dyDescent="0.4">
      <c r="B375" s="38" t="s">
        <v>43</v>
      </c>
      <c r="C375" s="6" t="s">
        <v>160</v>
      </c>
      <c r="D375" s="6">
        <f t="shared" si="94"/>
        <v>1</v>
      </c>
      <c r="E375" s="34">
        <v>17</v>
      </c>
      <c r="F375" s="212">
        <v>8550</v>
      </c>
      <c r="G375" s="195">
        <v>45098</v>
      </c>
      <c r="H375" s="8"/>
      <c r="I375" s="212"/>
      <c r="J375" s="8"/>
      <c r="K375" s="23">
        <f t="shared" si="97"/>
        <v>0</v>
      </c>
      <c r="L375" s="23">
        <f t="shared" si="96"/>
        <v>0</v>
      </c>
      <c r="M375" s="206">
        <f t="shared" si="95"/>
        <v>0</v>
      </c>
      <c r="N375" s="34"/>
      <c r="O375" s="209">
        <f t="shared" si="93"/>
        <v>-45097</v>
      </c>
      <c r="P375" s="34">
        <f t="shared" si="83"/>
        <v>145350</v>
      </c>
      <c r="Q375" s="34">
        <f t="shared" si="84"/>
        <v>0</v>
      </c>
      <c r="R375" s="7">
        <f t="shared" si="85"/>
        <v>0</v>
      </c>
      <c r="S375" s="227">
        <f t="shared" si="86"/>
        <v>0</v>
      </c>
      <c r="T375" s="249">
        <f t="shared" si="87"/>
        <v>0</v>
      </c>
    </row>
    <row r="376" spans="2:21" ht="15" customHeight="1" x14ac:dyDescent="0.4">
      <c r="B376" s="38" t="s">
        <v>43</v>
      </c>
      <c r="C376" s="6" t="s">
        <v>160</v>
      </c>
      <c r="D376" s="6">
        <f t="shared" si="94"/>
        <v>1</v>
      </c>
      <c r="E376" s="34">
        <v>1</v>
      </c>
      <c r="F376" s="212">
        <v>7550</v>
      </c>
      <c r="G376" s="195">
        <v>45812</v>
      </c>
      <c r="H376" s="8"/>
      <c r="I376" s="212"/>
      <c r="J376" s="8"/>
      <c r="K376" s="23">
        <f t="shared" si="97"/>
        <v>0</v>
      </c>
      <c r="L376" s="23">
        <f t="shared" si="96"/>
        <v>0</v>
      </c>
      <c r="M376" s="206">
        <f t="shared" si="95"/>
        <v>0</v>
      </c>
      <c r="N376" s="34"/>
      <c r="O376" s="209">
        <f t="shared" si="93"/>
        <v>-45811</v>
      </c>
      <c r="P376" s="34">
        <f t="shared" si="83"/>
        <v>7550</v>
      </c>
      <c r="Q376" s="34">
        <f t="shared" si="84"/>
        <v>0</v>
      </c>
      <c r="R376" s="7">
        <f t="shared" si="85"/>
        <v>0</v>
      </c>
      <c r="S376" s="227">
        <f t="shared" si="86"/>
        <v>0</v>
      </c>
      <c r="T376" s="249">
        <f t="shared" si="87"/>
        <v>0</v>
      </c>
    </row>
    <row r="377" spans="2:21" ht="15" customHeight="1" x14ac:dyDescent="0.4">
      <c r="B377" s="38" t="s">
        <v>43</v>
      </c>
      <c r="C377" s="6" t="s">
        <v>160</v>
      </c>
      <c r="D377" s="6">
        <f t="shared" si="94"/>
        <v>1</v>
      </c>
      <c r="E377" s="34">
        <v>1</v>
      </c>
      <c r="F377" s="212">
        <v>8470</v>
      </c>
      <c r="G377" s="195">
        <v>45818</v>
      </c>
      <c r="H377" s="8"/>
      <c r="I377" s="212"/>
      <c r="J377" s="8"/>
      <c r="K377" s="23">
        <f t="shared" si="97"/>
        <v>0</v>
      </c>
      <c r="L377" s="23">
        <f t="shared" si="96"/>
        <v>0</v>
      </c>
      <c r="M377" s="206">
        <f t="shared" si="95"/>
        <v>0</v>
      </c>
      <c r="N377" s="34"/>
      <c r="O377" s="209">
        <f t="shared" si="93"/>
        <v>-45817</v>
      </c>
      <c r="P377" s="34">
        <f t="shared" si="83"/>
        <v>8470</v>
      </c>
      <c r="Q377" s="34">
        <f t="shared" si="84"/>
        <v>0</v>
      </c>
      <c r="R377" s="7">
        <f t="shared" si="85"/>
        <v>0</v>
      </c>
      <c r="S377" s="227">
        <f t="shared" si="86"/>
        <v>0</v>
      </c>
      <c r="T377" s="249">
        <f t="shared" si="87"/>
        <v>0</v>
      </c>
    </row>
    <row r="378" spans="2:21" ht="15" customHeight="1" x14ac:dyDescent="0.4">
      <c r="B378" s="38" t="s">
        <v>43</v>
      </c>
      <c r="C378" s="6" t="s">
        <v>160</v>
      </c>
      <c r="D378" s="6">
        <f t="shared" si="94"/>
        <v>1</v>
      </c>
      <c r="E378" s="34">
        <v>1</v>
      </c>
      <c r="F378" s="212">
        <v>7850</v>
      </c>
      <c r="G378" s="195">
        <v>45825</v>
      </c>
      <c r="H378" s="8"/>
      <c r="I378" s="212"/>
      <c r="J378" s="8"/>
      <c r="K378" s="23">
        <f t="shared" si="97"/>
        <v>0</v>
      </c>
      <c r="L378" s="23">
        <f t="shared" si="96"/>
        <v>0</v>
      </c>
      <c r="M378" s="206">
        <f t="shared" si="95"/>
        <v>0</v>
      </c>
      <c r="N378" s="34"/>
      <c r="O378" s="209">
        <f t="shared" si="93"/>
        <v>-45824</v>
      </c>
      <c r="P378" s="34">
        <f t="shared" si="83"/>
        <v>7850</v>
      </c>
      <c r="Q378" s="34">
        <f t="shared" si="84"/>
        <v>0</v>
      </c>
      <c r="R378" s="7">
        <f t="shared" si="85"/>
        <v>0</v>
      </c>
      <c r="S378" s="227">
        <f t="shared" si="86"/>
        <v>0</v>
      </c>
      <c r="T378" s="249">
        <f t="shared" si="87"/>
        <v>0</v>
      </c>
    </row>
    <row r="379" spans="2:21" ht="15" customHeight="1" x14ac:dyDescent="0.4">
      <c r="B379" s="38" t="s">
        <v>43</v>
      </c>
      <c r="C379" s="6" t="s">
        <v>160</v>
      </c>
      <c r="D379" s="6">
        <f t="shared" si="94"/>
        <v>1</v>
      </c>
      <c r="E379" s="34">
        <v>1</v>
      </c>
      <c r="F379" s="212">
        <v>7840</v>
      </c>
      <c r="G379" s="195">
        <v>45832</v>
      </c>
      <c r="H379" s="8"/>
      <c r="I379" s="212"/>
      <c r="J379" s="8"/>
      <c r="K379" s="23">
        <f t="shared" si="97"/>
        <v>0</v>
      </c>
      <c r="L379" s="23">
        <f t="shared" si="96"/>
        <v>0</v>
      </c>
      <c r="M379" s="206">
        <f t="shared" si="95"/>
        <v>0</v>
      </c>
      <c r="N379" s="34"/>
      <c r="O379" s="209">
        <f t="shared" si="93"/>
        <v>-45831</v>
      </c>
      <c r="P379" s="34">
        <f t="shared" si="83"/>
        <v>7840</v>
      </c>
      <c r="Q379" s="34">
        <f t="shared" si="84"/>
        <v>0</v>
      </c>
      <c r="R379" s="7">
        <f t="shared" si="85"/>
        <v>0</v>
      </c>
      <c r="S379" s="227">
        <f t="shared" si="86"/>
        <v>0</v>
      </c>
      <c r="T379" s="249">
        <f t="shared" si="87"/>
        <v>0</v>
      </c>
    </row>
    <row r="380" spans="2:21" ht="15" customHeight="1" x14ac:dyDescent="0.4">
      <c r="B380" s="38" t="s">
        <v>43</v>
      </c>
      <c r="C380" s="6" t="s">
        <v>160</v>
      </c>
      <c r="D380" s="6">
        <f t="shared" si="94"/>
        <v>1</v>
      </c>
      <c r="E380" s="34">
        <v>1</v>
      </c>
      <c r="F380" s="212">
        <v>7680</v>
      </c>
      <c r="G380" s="195">
        <v>45839</v>
      </c>
      <c r="H380" s="8"/>
      <c r="I380" s="212"/>
      <c r="J380" s="8"/>
      <c r="K380" s="23">
        <f t="shared" si="97"/>
        <v>0</v>
      </c>
      <c r="L380" s="23">
        <f t="shared" si="96"/>
        <v>0</v>
      </c>
      <c r="M380" s="206">
        <f t="shared" si="95"/>
        <v>0</v>
      </c>
      <c r="N380" s="34"/>
      <c r="O380" s="209">
        <f t="shared" si="93"/>
        <v>-45838</v>
      </c>
      <c r="P380" s="34">
        <f t="shared" si="83"/>
        <v>7680</v>
      </c>
      <c r="Q380" s="34">
        <f t="shared" si="84"/>
        <v>0</v>
      </c>
      <c r="R380" s="7">
        <f t="shared" si="85"/>
        <v>0</v>
      </c>
      <c r="S380" s="227">
        <f t="shared" si="86"/>
        <v>0</v>
      </c>
      <c r="T380" s="249">
        <f t="shared" si="87"/>
        <v>0</v>
      </c>
    </row>
    <row r="381" spans="2:21" ht="15" customHeight="1" x14ac:dyDescent="0.4">
      <c r="B381" s="38" t="s">
        <v>43</v>
      </c>
      <c r="C381" s="6" t="s">
        <v>160</v>
      </c>
      <c r="D381" s="6">
        <f t="shared" si="94"/>
        <v>1</v>
      </c>
      <c r="E381" s="34">
        <v>1</v>
      </c>
      <c r="F381" s="212">
        <v>7090</v>
      </c>
      <c r="G381" s="195">
        <v>45846</v>
      </c>
      <c r="H381" s="8"/>
      <c r="I381" s="212"/>
      <c r="J381" s="8"/>
      <c r="K381" s="23">
        <f t="shared" si="97"/>
        <v>0</v>
      </c>
      <c r="L381" s="23">
        <f t="shared" si="96"/>
        <v>0</v>
      </c>
      <c r="M381" s="206">
        <f t="shared" si="95"/>
        <v>0</v>
      </c>
      <c r="N381" s="34"/>
      <c r="O381" s="209">
        <f t="shared" si="93"/>
        <v>-45845</v>
      </c>
      <c r="P381" s="34">
        <f t="shared" si="83"/>
        <v>7090</v>
      </c>
      <c r="Q381" s="34">
        <f t="shared" si="84"/>
        <v>0</v>
      </c>
      <c r="R381" s="7">
        <f t="shared" si="85"/>
        <v>0</v>
      </c>
      <c r="S381" s="227">
        <f t="shared" si="86"/>
        <v>0</v>
      </c>
      <c r="T381" s="249">
        <f t="shared" si="87"/>
        <v>0</v>
      </c>
    </row>
    <row r="382" spans="2:21" ht="15" customHeight="1" x14ac:dyDescent="0.4">
      <c r="B382" s="38" t="s">
        <v>43</v>
      </c>
      <c r="C382" s="6" t="s">
        <v>160</v>
      </c>
      <c r="D382" s="6">
        <f t="shared" si="94"/>
        <v>1</v>
      </c>
      <c r="E382" s="34">
        <v>1</v>
      </c>
      <c r="F382" s="212">
        <v>6730</v>
      </c>
      <c r="G382" s="195">
        <v>45853</v>
      </c>
      <c r="H382" s="8"/>
      <c r="I382" s="212"/>
      <c r="J382" s="8"/>
      <c r="K382" s="23">
        <f t="shared" si="97"/>
        <v>0</v>
      </c>
      <c r="L382" s="23">
        <f t="shared" si="96"/>
        <v>0</v>
      </c>
      <c r="M382" s="206">
        <f t="shared" si="95"/>
        <v>0</v>
      </c>
      <c r="N382" s="34"/>
      <c r="O382" s="209">
        <f t="shared" si="93"/>
        <v>-45852</v>
      </c>
      <c r="P382" s="34">
        <f t="shared" si="83"/>
        <v>6730</v>
      </c>
      <c r="Q382" s="34">
        <f t="shared" si="84"/>
        <v>0</v>
      </c>
      <c r="R382" s="7">
        <f t="shared" si="85"/>
        <v>0</v>
      </c>
      <c r="S382" s="227">
        <f t="shared" si="86"/>
        <v>0</v>
      </c>
      <c r="T382" s="249">
        <f t="shared" si="87"/>
        <v>0</v>
      </c>
    </row>
    <row r="383" spans="2:21" ht="15" customHeight="1" x14ac:dyDescent="0.4">
      <c r="B383" s="38" t="s">
        <v>43</v>
      </c>
      <c r="C383" s="6" t="s">
        <v>160</v>
      </c>
      <c r="D383" s="6">
        <f t="shared" si="94"/>
        <v>1</v>
      </c>
      <c r="E383" s="34">
        <v>1</v>
      </c>
      <c r="F383" s="212">
        <v>6950</v>
      </c>
      <c r="G383" s="195">
        <v>45860</v>
      </c>
      <c r="H383" s="8"/>
      <c r="I383" s="212"/>
      <c r="J383" s="8"/>
      <c r="K383" s="23">
        <f t="shared" si="97"/>
        <v>0</v>
      </c>
      <c r="L383" s="23">
        <f t="shared" si="96"/>
        <v>0</v>
      </c>
      <c r="M383" s="206">
        <f t="shared" si="95"/>
        <v>0</v>
      </c>
      <c r="N383" s="34"/>
      <c r="O383" s="209">
        <f t="shared" si="93"/>
        <v>-45859</v>
      </c>
      <c r="P383" s="34">
        <f t="shared" si="83"/>
        <v>6950</v>
      </c>
      <c r="Q383" s="34">
        <f t="shared" si="84"/>
        <v>0</v>
      </c>
      <c r="R383" s="7">
        <f t="shared" si="85"/>
        <v>0</v>
      </c>
      <c r="S383" s="227">
        <f t="shared" si="86"/>
        <v>0</v>
      </c>
      <c r="T383" s="249">
        <f t="shared" si="87"/>
        <v>0</v>
      </c>
    </row>
    <row r="384" spans="2:21" ht="15" customHeight="1" x14ac:dyDescent="0.4">
      <c r="B384" s="38" t="s">
        <v>43</v>
      </c>
      <c r="C384" s="6" t="s">
        <v>160</v>
      </c>
      <c r="D384" s="6">
        <f t="shared" si="94"/>
        <v>1</v>
      </c>
      <c r="E384" s="34">
        <v>1</v>
      </c>
      <c r="F384" s="212">
        <v>6330</v>
      </c>
      <c r="G384" s="195">
        <v>45868</v>
      </c>
      <c r="H384" s="8"/>
      <c r="I384" s="212"/>
      <c r="J384" s="8"/>
      <c r="K384" s="23">
        <f t="shared" si="97"/>
        <v>0</v>
      </c>
      <c r="L384" s="23">
        <f t="shared" si="96"/>
        <v>0</v>
      </c>
      <c r="M384" s="206">
        <f t="shared" si="95"/>
        <v>0</v>
      </c>
      <c r="N384" s="34"/>
      <c r="O384" s="209">
        <f t="shared" si="93"/>
        <v>-45867</v>
      </c>
      <c r="P384" s="34">
        <f t="shared" si="83"/>
        <v>6330</v>
      </c>
      <c r="Q384" s="34">
        <f t="shared" si="84"/>
        <v>0</v>
      </c>
      <c r="R384" s="7">
        <f t="shared" si="85"/>
        <v>0</v>
      </c>
      <c r="S384" s="227">
        <f t="shared" si="86"/>
        <v>0</v>
      </c>
      <c r="T384" s="249">
        <f t="shared" si="87"/>
        <v>0</v>
      </c>
    </row>
    <row r="385" spans="2:20" ht="15" customHeight="1" x14ac:dyDescent="0.4">
      <c r="B385" s="38" t="s">
        <v>43</v>
      </c>
      <c r="C385" s="6" t="s">
        <v>160</v>
      </c>
      <c r="D385" s="6">
        <f t="shared" si="94"/>
        <v>1</v>
      </c>
      <c r="E385" s="34">
        <v>1</v>
      </c>
      <c r="F385" s="212">
        <v>6310</v>
      </c>
      <c r="G385" s="195">
        <v>45874</v>
      </c>
      <c r="H385" s="8"/>
      <c r="I385" s="212"/>
      <c r="J385" s="8"/>
      <c r="K385" s="23">
        <f t="shared" si="97"/>
        <v>0</v>
      </c>
      <c r="L385" s="23">
        <f t="shared" si="96"/>
        <v>0</v>
      </c>
      <c r="M385" s="206">
        <f t="shared" si="95"/>
        <v>0</v>
      </c>
      <c r="N385" s="34"/>
      <c r="O385" s="209">
        <f t="shared" si="93"/>
        <v>-45873</v>
      </c>
      <c r="P385" s="34">
        <f t="shared" si="83"/>
        <v>6310</v>
      </c>
      <c r="Q385" s="34">
        <f t="shared" si="84"/>
        <v>0</v>
      </c>
      <c r="R385" s="7">
        <f t="shared" si="85"/>
        <v>0</v>
      </c>
      <c r="S385" s="227">
        <f t="shared" si="86"/>
        <v>0</v>
      </c>
      <c r="T385" s="249">
        <f t="shared" si="87"/>
        <v>0</v>
      </c>
    </row>
    <row r="386" spans="2:20" ht="15" customHeight="1" x14ac:dyDescent="0.4">
      <c r="B386" s="38" t="s">
        <v>43</v>
      </c>
      <c r="C386" s="6" t="s">
        <v>160</v>
      </c>
      <c r="D386" s="6">
        <f t="shared" si="94"/>
        <v>1</v>
      </c>
      <c r="E386" s="34">
        <v>1</v>
      </c>
      <c r="F386" s="212">
        <v>6270</v>
      </c>
      <c r="G386" s="195">
        <v>45881</v>
      </c>
      <c r="H386" s="8"/>
      <c r="I386" s="212"/>
      <c r="J386" s="8"/>
      <c r="K386" s="23">
        <f t="shared" si="97"/>
        <v>0</v>
      </c>
      <c r="L386" s="23">
        <f t="shared" si="96"/>
        <v>0</v>
      </c>
      <c r="M386" s="206">
        <f t="shared" si="95"/>
        <v>0</v>
      </c>
      <c r="N386" s="34"/>
      <c r="O386" s="209">
        <f t="shared" si="93"/>
        <v>-45880</v>
      </c>
      <c r="P386" s="34">
        <f t="shared" si="83"/>
        <v>6270</v>
      </c>
      <c r="Q386" s="34">
        <f t="shared" si="84"/>
        <v>0</v>
      </c>
      <c r="R386" s="7">
        <f t="shared" si="85"/>
        <v>0</v>
      </c>
      <c r="S386" s="227">
        <f t="shared" si="86"/>
        <v>0</v>
      </c>
      <c r="T386" s="249">
        <f t="shared" si="87"/>
        <v>0</v>
      </c>
    </row>
    <row r="387" spans="2:20" ht="15" customHeight="1" x14ac:dyDescent="0.4">
      <c r="B387" s="38" t="s">
        <v>43</v>
      </c>
      <c r="C387" s="6" t="s">
        <v>160</v>
      </c>
      <c r="D387" s="6">
        <f t="shared" si="94"/>
        <v>1</v>
      </c>
      <c r="E387" s="34">
        <v>1</v>
      </c>
      <c r="F387" s="212">
        <v>5980</v>
      </c>
      <c r="G387" s="195">
        <v>45888</v>
      </c>
      <c r="H387" s="8"/>
      <c r="I387" s="212"/>
      <c r="J387" s="8"/>
      <c r="K387" s="23">
        <f t="shared" si="97"/>
        <v>0</v>
      </c>
      <c r="L387" s="23">
        <f t="shared" si="96"/>
        <v>0</v>
      </c>
      <c r="M387" s="206">
        <f t="shared" si="95"/>
        <v>0</v>
      </c>
      <c r="N387" s="34"/>
      <c r="O387" s="209">
        <f t="shared" si="93"/>
        <v>-45887</v>
      </c>
      <c r="P387" s="34">
        <f t="shared" si="83"/>
        <v>5980</v>
      </c>
      <c r="Q387" s="34">
        <f t="shared" si="84"/>
        <v>0</v>
      </c>
      <c r="R387" s="7">
        <f t="shared" si="85"/>
        <v>0</v>
      </c>
      <c r="S387" s="227">
        <f t="shared" si="86"/>
        <v>0</v>
      </c>
      <c r="T387" s="249">
        <f t="shared" si="87"/>
        <v>0</v>
      </c>
    </row>
    <row r="388" spans="2:20" ht="15" customHeight="1" x14ac:dyDescent="0.4">
      <c r="B388" s="38" t="s">
        <v>43</v>
      </c>
      <c r="C388" s="6" t="s">
        <v>160</v>
      </c>
      <c r="D388" s="6">
        <f t="shared" si="94"/>
        <v>1</v>
      </c>
      <c r="E388" s="34">
        <v>1</v>
      </c>
      <c r="F388" s="212">
        <v>5780</v>
      </c>
      <c r="G388" s="195">
        <v>45895</v>
      </c>
      <c r="H388" s="8"/>
      <c r="I388" s="212"/>
      <c r="J388" s="8"/>
      <c r="K388" s="23">
        <f t="shared" si="97"/>
        <v>0</v>
      </c>
      <c r="L388" s="23">
        <f t="shared" si="96"/>
        <v>0</v>
      </c>
      <c r="M388" s="206">
        <f t="shared" si="95"/>
        <v>0</v>
      </c>
      <c r="N388" s="34"/>
      <c r="O388" s="209">
        <f t="shared" si="93"/>
        <v>-45894</v>
      </c>
      <c r="P388" s="34">
        <f t="shared" ref="P388:P451" si="98">$E388*$F388*$D388</f>
        <v>5780</v>
      </c>
      <c r="Q388" s="34">
        <f t="shared" ref="Q388:Q451" si="99">$E388*$I388*$D388</f>
        <v>0</v>
      </c>
      <c r="R388" s="7">
        <f t="shared" ref="R388:R451" si="100">($N388-$K388-$L388-$M388)*$D388</f>
        <v>0</v>
      </c>
      <c r="S388" s="227">
        <f t="shared" ref="S388:S451" si="101">IF(Q388=0,0,Q388-P388+R388)</f>
        <v>0</v>
      </c>
      <c r="T388" s="249">
        <f t="shared" ref="T388:T451" si="102">S388/P388</f>
        <v>0</v>
      </c>
    </row>
    <row r="389" spans="2:20" ht="15" customHeight="1" x14ac:dyDescent="0.4">
      <c r="B389" s="38" t="s">
        <v>43</v>
      </c>
      <c r="C389" s="6" t="s">
        <v>160</v>
      </c>
      <c r="D389" s="6">
        <f t="shared" si="94"/>
        <v>1</v>
      </c>
      <c r="E389" s="34">
        <v>1</v>
      </c>
      <c r="F389" s="212">
        <v>5450</v>
      </c>
      <c r="G389" s="195">
        <v>45902</v>
      </c>
      <c r="H389" s="8"/>
      <c r="I389" s="212"/>
      <c r="J389" s="8"/>
      <c r="K389" s="23">
        <f t="shared" si="97"/>
        <v>0</v>
      </c>
      <c r="L389" s="23">
        <f t="shared" si="96"/>
        <v>0</v>
      </c>
      <c r="M389" s="206">
        <f t="shared" si="95"/>
        <v>0</v>
      </c>
      <c r="N389" s="34"/>
      <c r="O389" s="209">
        <f t="shared" si="93"/>
        <v>-45901</v>
      </c>
      <c r="P389" s="34">
        <f t="shared" si="98"/>
        <v>5450</v>
      </c>
      <c r="Q389" s="34">
        <f t="shared" si="99"/>
        <v>0</v>
      </c>
      <c r="R389" s="7">
        <f t="shared" si="100"/>
        <v>0</v>
      </c>
      <c r="S389" s="227">
        <f t="shared" si="101"/>
        <v>0</v>
      </c>
      <c r="T389" s="249">
        <f t="shared" si="102"/>
        <v>0</v>
      </c>
    </row>
    <row r="390" spans="2:20" ht="15" customHeight="1" x14ac:dyDescent="0.4">
      <c r="B390" s="38" t="s">
        <v>43</v>
      </c>
      <c r="C390" s="6" t="s">
        <v>160</v>
      </c>
      <c r="D390" s="6">
        <f t="shared" si="94"/>
        <v>1</v>
      </c>
      <c r="E390" s="34">
        <v>1</v>
      </c>
      <c r="F390" s="212">
        <v>5610</v>
      </c>
      <c r="G390" s="195">
        <v>45909</v>
      </c>
      <c r="H390" s="8"/>
      <c r="I390" s="212"/>
      <c r="J390" s="8"/>
      <c r="K390" s="23">
        <f t="shared" si="97"/>
        <v>0</v>
      </c>
      <c r="L390" s="23">
        <f t="shared" si="96"/>
        <v>0</v>
      </c>
      <c r="M390" s="206">
        <f t="shared" si="95"/>
        <v>0</v>
      </c>
      <c r="N390" s="34"/>
      <c r="O390" s="209">
        <f t="shared" si="93"/>
        <v>-45908</v>
      </c>
      <c r="P390" s="34">
        <f t="shared" si="98"/>
        <v>5610</v>
      </c>
      <c r="Q390" s="34">
        <f t="shared" si="99"/>
        <v>0</v>
      </c>
      <c r="R390" s="7">
        <f t="shared" si="100"/>
        <v>0</v>
      </c>
      <c r="S390" s="227">
        <f t="shared" si="101"/>
        <v>0</v>
      </c>
      <c r="T390" s="249">
        <f t="shared" si="102"/>
        <v>0</v>
      </c>
    </row>
    <row r="391" spans="2:20" ht="15" customHeight="1" x14ac:dyDescent="0.4">
      <c r="B391" s="38" t="s">
        <v>43</v>
      </c>
      <c r="C391" s="6" t="s">
        <v>160</v>
      </c>
      <c r="D391" s="6">
        <f t="shared" si="94"/>
        <v>1</v>
      </c>
      <c r="E391" s="34">
        <v>1</v>
      </c>
      <c r="F391" s="212">
        <v>4365</v>
      </c>
      <c r="G391" s="195">
        <v>45916</v>
      </c>
      <c r="H391" s="8"/>
      <c r="I391" s="212"/>
      <c r="J391" s="8"/>
      <c r="K391" s="23">
        <f t="shared" si="97"/>
        <v>0</v>
      </c>
      <c r="L391" s="23">
        <f t="shared" si="96"/>
        <v>0</v>
      </c>
      <c r="M391" s="206">
        <f t="shared" si="95"/>
        <v>0</v>
      </c>
      <c r="N391" s="34"/>
      <c r="O391" s="209">
        <f t="shared" si="93"/>
        <v>-45915</v>
      </c>
      <c r="P391" s="34">
        <f t="shared" si="98"/>
        <v>4365</v>
      </c>
      <c r="Q391" s="34">
        <f t="shared" si="99"/>
        <v>0</v>
      </c>
      <c r="R391" s="7">
        <f t="shared" si="100"/>
        <v>0</v>
      </c>
      <c r="S391" s="227">
        <f t="shared" si="101"/>
        <v>0</v>
      </c>
      <c r="T391" s="249">
        <f t="shared" si="102"/>
        <v>0</v>
      </c>
    </row>
    <row r="392" spans="2:20" ht="15" customHeight="1" x14ac:dyDescent="0.4">
      <c r="B392" s="38" t="s">
        <v>43</v>
      </c>
      <c r="C392" s="6" t="s">
        <v>160</v>
      </c>
      <c r="D392" s="6">
        <f t="shared" si="94"/>
        <v>1</v>
      </c>
      <c r="E392" s="34">
        <v>1</v>
      </c>
      <c r="F392" s="212">
        <v>4320</v>
      </c>
      <c r="G392" s="195">
        <v>45923</v>
      </c>
      <c r="H392" s="8"/>
      <c r="I392" s="212"/>
      <c r="J392" s="8"/>
      <c r="K392" s="23">
        <f t="shared" si="97"/>
        <v>0</v>
      </c>
      <c r="L392" s="23">
        <f t="shared" si="96"/>
        <v>0</v>
      </c>
      <c r="M392" s="206">
        <f t="shared" si="95"/>
        <v>0</v>
      </c>
      <c r="N392" s="34"/>
      <c r="O392" s="209">
        <f t="shared" si="93"/>
        <v>-45922</v>
      </c>
      <c r="P392" s="34">
        <f t="shared" si="98"/>
        <v>4320</v>
      </c>
      <c r="Q392" s="34">
        <f t="shared" si="99"/>
        <v>0</v>
      </c>
      <c r="R392" s="7">
        <f t="shared" si="100"/>
        <v>0</v>
      </c>
      <c r="S392" s="227">
        <f t="shared" si="101"/>
        <v>0</v>
      </c>
      <c r="T392" s="249">
        <f t="shared" si="102"/>
        <v>0</v>
      </c>
    </row>
    <row r="393" spans="2:20" ht="15" customHeight="1" x14ac:dyDescent="0.4">
      <c r="B393" s="38" t="s">
        <v>43</v>
      </c>
      <c r="C393" s="6" t="s">
        <v>160</v>
      </c>
      <c r="D393" s="6">
        <f t="shared" si="94"/>
        <v>1</v>
      </c>
      <c r="E393" s="34">
        <v>1</v>
      </c>
      <c r="F393" s="212">
        <v>4140</v>
      </c>
      <c r="G393" s="195">
        <v>45930</v>
      </c>
      <c r="H393" s="8"/>
      <c r="I393" s="212"/>
      <c r="J393" s="8"/>
      <c r="K393" s="23">
        <f t="shared" si="97"/>
        <v>0</v>
      </c>
      <c r="L393" s="23">
        <f t="shared" si="96"/>
        <v>0</v>
      </c>
      <c r="M393" s="206">
        <f t="shared" si="95"/>
        <v>0</v>
      </c>
      <c r="N393" s="34"/>
      <c r="O393" s="209">
        <f t="shared" si="93"/>
        <v>-45929</v>
      </c>
      <c r="P393" s="34">
        <f t="shared" si="98"/>
        <v>4140</v>
      </c>
      <c r="Q393" s="34">
        <f t="shared" si="99"/>
        <v>0</v>
      </c>
      <c r="R393" s="7">
        <f t="shared" si="100"/>
        <v>0</v>
      </c>
      <c r="S393" s="227">
        <f t="shared" si="101"/>
        <v>0</v>
      </c>
      <c r="T393" s="249">
        <f t="shared" si="102"/>
        <v>0</v>
      </c>
    </row>
    <row r="394" spans="2:20" ht="15" customHeight="1" x14ac:dyDescent="0.4">
      <c r="B394" s="38" t="s">
        <v>43</v>
      </c>
      <c r="C394" s="6" t="s">
        <v>160</v>
      </c>
      <c r="D394" s="6">
        <f t="shared" si="94"/>
        <v>1</v>
      </c>
      <c r="E394" s="34">
        <v>1</v>
      </c>
      <c r="F394" s="212">
        <v>4130</v>
      </c>
      <c r="G394" s="195">
        <v>45940</v>
      </c>
      <c r="H394" s="8"/>
      <c r="I394" s="212"/>
      <c r="J394" s="8"/>
      <c r="K394" s="23">
        <f t="shared" si="97"/>
        <v>0</v>
      </c>
      <c r="L394" s="23">
        <f t="shared" si="96"/>
        <v>0</v>
      </c>
      <c r="M394" s="206">
        <f t="shared" si="95"/>
        <v>0</v>
      </c>
      <c r="N394" s="34"/>
      <c r="O394" s="209">
        <f t="shared" si="93"/>
        <v>-45939</v>
      </c>
      <c r="P394" s="34">
        <f t="shared" si="98"/>
        <v>4130</v>
      </c>
      <c r="Q394" s="34">
        <f t="shared" si="99"/>
        <v>0</v>
      </c>
      <c r="R394" s="7">
        <f t="shared" si="100"/>
        <v>0</v>
      </c>
      <c r="S394" s="227">
        <f t="shared" si="101"/>
        <v>0</v>
      </c>
      <c r="T394" s="249">
        <f t="shared" si="102"/>
        <v>0</v>
      </c>
    </row>
    <row r="395" spans="2:20" ht="15" customHeight="1" x14ac:dyDescent="0.4">
      <c r="B395" s="38" t="s">
        <v>43</v>
      </c>
      <c r="C395" s="6" t="s">
        <v>160</v>
      </c>
      <c r="D395" s="6">
        <f t="shared" si="94"/>
        <v>1</v>
      </c>
      <c r="E395" s="34">
        <v>1</v>
      </c>
      <c r="F395" s="212">
        <v>3985</v>
      </c>
      <c r="G395" s="195">
        <v>45944</v>
      </c>
      <c r="H395" s="8"/>
      <c r="I395" s="212"/>
      <c r="J395" s="8"/>
      <c r="K395" s="23">
        <f t="shared" si="97"/>
        <v>0</v>
      </c>
      <c r="L395" s="23">
        <f t="shared" si="96"/>
        <v>0</v>
      </c>
      <c r="M395" s="206">
        <f t="shared" si="95"/>
        <v>0</v>
      </c>
      <c r="N395" s="34"/>
      <c r="O395" s="209">
        <f t="shared" si="93"/>
        <v>-45943</v>
      </c>
      <c r="P395" s="34">
        <f t="shared" si="98"/>
        <v>3985</v>
      </c>
      <c r="Q395" s="34">
        <f t="shared" si="99"/>
        <v>0</v>
      </c>
      <c r="R395" s="7">
        <f t="shared" si="100"/>
        <v>0</v>
      </c>
      <c r="S395" s="227">
        <f t="shared" si="101"/>
        <v>0</v>
      </c>
      <c r="T395" s="249">
        <f t="shared" si="102"/>
        <v>0</v>
      </c>
    </row>
    <row r="396" spans="2:20" ht="15" customHeight="1" x14ac:dyDescent="0.4">
      <c r="B396" s="38" t="s">
        <v>43</v>
      </c>
      <c r="C396" s="6" t="s">
        <v>160</v>
      </c>
      <c r="D396" s="6">
        <f t="shared" ref="D396:D423" si="103">IF(OR($C396="신한",$C396="OTC",$C396="무상증자(신한)",$C396="토스",$C396="R토스"),1,"확인")</f>
        <v>1</v>
      </c>
      <c r="E396" s="34">
        <v>1</v>
      </c>
      <c r="F396" s="212">
        <v>4000</v>
      </c>
      <c r="G396" s="195">
        <v>45951</v>
      </c>
      <c r="H396" s="8"/>
      <c r="I396" s="212"/>
      <c r="J396" s="8"/>
      <c r="K396" s="23">
        <f t="shared" si="97"/>
        <v>0</v>
      </c>
      <c r="L396" s="23">
        <f t="shared" si="96"/>
        <v>0</v>
      </c>
      <c r="M396" s="206">
        <f t="shared" ref="M396:M427" si="104">Q396*0.002</f>
        <v>0</v>
      </c>
      <c r="N396" s="34"/>
      <c r="O396" s="209">
        <f t="shared" si="93"/>
        <v>-45950</v>
      </c>
      <c r="P396" s="34">
        <f t="shared" si="98"/>
        <v>4000</v>
      </c>
      <c r="Q396" s="34">
        <f t="shared" si="99"/>
        <v>0</v>
      </c>
      <c r="R396" s="7">
        <f t="shared" si="100"/>
        <v>0</v>
      </c>
      <c r="S396" s="227">
        <f t="shared" si="101"/>
        <v>0</v>
      </c>
      <c r="T396" s="249">
        <f t="shared" si="102"/>
        <v>0</v>
      </c>
    </row>
    <row r="397" spans="2:20" ht="15" customHeight="1" x14ac:dyDescent="0.4">
      <c r="B397" s="38" t="s">
        <v>43</v>
      </c>
      <c r="C397" s="6" t="s">
        <v>160</v>
      </c>
      <c r="D397" s="6">
        <f t="shared" si="103"/>
        <v>1</v>
      </c>
      <c r="E397" s="34">
        <v>1</v>
      </c>
      <c r="F397" s="212">
        <v>3990</v>
      </c>
      <c r="G397" s="195">
        <v>45958</v>
      </c>
      <c r="H397" s="8"/>
      <c r="I397" s="212"/>
      <c r="J397" s="8"/>
      <c r="K397" s="23">
        <f t="shared" si="97"/>
        <v>0</v>
      </c>
      <c r="L397" s="23">
        <f t="shared" si="96"/>
        <v>0</v>
      </c>
      <c r="M397" s="206">
        <f t="shared" si="104"/>
        <v>0</v>
      </c>
      <c r="N397" s="34"/>
      <c r="O397" s="209">
        <f t="shared" si="93"/>
        <v>-45957</v>
      </c>
      <c r="P397" s="34">
        <f t="shared" si="98"/>
        <v>3990</v>
      </c>
      <c r="Q397" s="34">
        <f t="shared" si="99"/>
        <v>0</v>
      </c>
      <c r="R397" s="7">
        <f t="shared" si="100"/>
        <v>0</v>
      </c>
      <c r="S397" s="227">
        <f t="shared" si="101"/>
        <v>0</v>
      </c>
      <c r="T397" s="249">
        <f t="shared" si="102"/>
        <v>0</v>
      </c>
    </row>
    <row r="398" spans="2:20" ht="15" customHeight="1" x14ac:dyDescent="0.4">
      <c r="B398" s="38" t="s">
        <v>43</v>
      </c>
      <c r="C398" s="6" t="s">
        <v>160</v>
      </c>
      <c r="D398" s="6">
        <f t="shared" si="103"/>
        <v>1</v>
      </c>
      <c r="E398" s="34">
        <v>1</v>
      </c>
      <c r="F398" s="212">
        <v>3995</v>
      </c>
      <c r="G398" s="195">
        <v>45965</v>
      </c>
      <c r="H398" s="8"/>
      <c r="I398" s="212"/>
      <c r="J398" s="8"/>
      <c r="K398" s="23">
        <f t="shared" si="97"/>
        <v>0</v>
      </c>
      <c r="L398" s="23">
        <f t="shared" si="96"/>
        <v>0</v>
      </c>
      <c r="M398" s="206">
        <f t="shared" si="104"/>
        <v>0</v>
      </c>
      <c r="N398" s="34"/>
      <c r="O398" s="209">
        <f t="shared" si="93"/>
        <v>-45964</v>
      </c>
      <c r="P398" s="34">
        <f t="shared" si="98"/>
        <v>3995</v>
      </c>
      <c r="Q398" s="34">
        <f t="shared" si="99"/>
        <v>0</v>
      </c>
      <c r="R398" s="7">
        <f t="shared" si="100"/>
        <v>0</v>
      </c>
      <c r="S398" s="227">
        <f t="shared" si="101"/>
        <v>0</v>
      </c>
      <c r="T398" s="249">
        <f t="shared" si="102"/>
        <v>0</v>
      </c>
    </row>
    <row r="399" spans="2:20" ht="15" customHeight="1" x14ac:dyDescent="0.4">
      <c r="B399" s="38" t="s">
        <v>43</v>
      </c>
      <c r="C399" s="6" t="s">
        <v>160</v>
      </c>
      <c r="D399" s="6">
        <f t="shared" si="103"/>
        <v>1</v>
      </c>
      <c r="E399" s="34">
        <v>1</v>
      </c>
      <c r="F399" s="212">
        <v>4350</v>
      </c>
      <c r="G399" s="195">
        <v>45972</v>
      </c>
      <c r="H399" s="8"/>
      <c r="I399" s="212"/>
      <c r="J399" s="8"/>
      <c r="K399" s="23">
        <f t="shared" si="97"/>
        <v>0</v>
      </c>
      <c r="L399" s="23">
        <f t="shared" si="96"/>
        <v>0</v>
      </c>
      <c r="M399" s="206">
        <f t="shared" si="104"/>
        <v>0</v>
      </c>
      <c r="N399" s="34"/>
      <c r="O399" s="209">
        <f t="shared" si="93"/>
        <v>-45971</v>
      </c>
      <c r="P399" s="34">
        <f t="shared" si="98"/>
        <v>4350</v>
      </c>
      <c r="Q399" s="34">
        <f t="shared" si="99"/>
        <v>0</v>
      </c>
      <c r="R399" s="7">
        <f t="shared" si="100"/>
        <v>0</v>
      </c>
      <c r="S399" s="227">
        <f t="shared" si="101"/>
        <v>0</v>
      </c>
      <c r="T399" s="249">
        <f t="shared" si="102"/>
        <v>0</v>
      </c>
    </row>
    <row r="400" spans="2:20" ht="15" customHeight="1" x14ac:dyDescent="0.4">
      <c r="B400" s="38" t="s">
        <v>43</v>
      </c>
      <c r="C400" s="6" t="s">
        <v>160</v>
      </c>
      <c r="D400" s="6">
        <f t="shared" si="103"/>
        <v>1</v>
      </c>
      <c r="E400" s="34">
        <v>1</v>
      </c>
      <c r="F400" s="212">
        <v>5420</v>
      </c>
      <c r="G400" s="195">
        <v>45979</v>
      </c>
      <c r="H400" s="8"/>
      <c r="I400" s="212"/>
      <c r="J400" s="8"/>
      <c r="K400" s="23">
        <f t="shared" si="97"/>
        <v>0</v>
      </c>
      <c r="L400" s="23">
        <f t="shared" si="96"/>
        <v>0</v>
      </c>
      <c r="M400" s="206">
        <f t="shared" si="104"/>
        <v>0</v>
      </c>
      <c r="N400" s="34"/>
      <c r="O400" s="209">
        <f t="shared" si="93"/>
        <v>-45978</v>
      </c>
      <c r="P400" s="34">
        <f t="shared" si="98"/>
        <v>5420</v>
      </c>
      <c r="Q400" s="34">
        <f t="shared" si="99"/>
        <v>0</v>
      </c>
      <c r="R400" s="7">
        <f t="shared" si="100"/>
        <v>0</v>
      </c>
      <c r="S400" s="227">
        <f t="shared" si="101"/>
        <v>0</v>
      </c>
      <c r="T400" s="249">
        <f t="shared" si="102"/>
        <v>0</v>
      </c>
    </row>
    <row r="401" spans="2:21" ht="15" customHeight="1" x14ac:dyDescent="0.4">
      <c r="B401" s="38" t="s">
        <v>43</v>
      </c>
      <c r="C401" s="6" t="s">
        <v>160</v>
      </c>
      <c r="D401" s="6">
        <f t="shared" si="103"/>
        <v>1</v>
      </c>
      <c r="E401" s="34">
        <v>1</v>
      </c>
      <c r="F401" s="212">
        <v>4570</v>
      </c>
      <c r="G401" s="195">
        <v>45986</v>
      </c>
      <c r="H401" s="8"/>
      <c r="I401" s="212"/>
      <c r="J401" s="8"/>
      <c r="K401" s="23">
        <f t="shared" si="97"/>
        <v>0</v>
      </c>
      <c r="L401" s="23">
        <f t="shared" ref="L401:L432" si="105">IF($C401="OTC",ROUNDDOWN($I401*$E401*0.000909187,-1),(IF($C401="신한",ROUNDDOWN($I401*$E401*0.000036396,-1),(IF($C401="토스",$I401*$E401*0.00015,(IF($C401="US",(IF($I401*$E401*0.0025&gt;0.01,$I401*$E401*0.0025,0.01)),(IF($C401="JP",(IF($I401*$E401*0.0025&gt;1000,$I401*$E401*0.0025,1000)),(IF($C401="R토스",$I401*$E401*0.00015,(IF($C401="무상증자(신한)",ROUNDDOWN($I401*$E401*0.000036396,-1),"")))))))))))))</f>
        <v>0</v>
      </c>
      <c r="M401" s="206">
        <f t="shared" si="104"/>
        <v>0</v>
      </c>
      <c r="N401" s="34"/>
      <c r="O401" s="209">
        <f t="shared" si="93"/>
        <v>-45985</v>
      </c>
      <c r="P401" s="34">
        <f t="shared" si="98"/>
        <v>4570</v>
      </c>
      <c r="Q401" s="34">
        <f t="shared" si="99"/>
        <v>0</v>
      </c>
      <c r="R401" s="7">
        <f t="shared" si="100"/>
        <v>0</v>
      </c>
      <c r="S401" s="227">
        <f t="shared" si="101"/>
        <v>0</v>
      </c>
      <c r="T401" s="249">
        <f t="shared" si="102"/>
        <v>0</v>
      </c>
    </row>
    <row r="402" spans="2:21" ht="15" customHeight="1" x14ac:dyDescent="0.4">
      <c r="B402" s="38" t="s">
        <v>43</v>
      </c>
      <c r="C402" s="6" t="s">
        <v>160</v>
      </c>
      <c r="D402" s="6">
        <f t="shared" si="103"/>
        <v>1</v>
      </c>
      <c r="E402" s="34">
        <v>1</v>
      </c>
      <c r="F402" s="212">
        <v>4630</v>
      </c>
      <c r="G402" s="195">
        <v>45993</v>
      </c>
      <c r="H402" s="8"/>
      <c r="I402" s="212"/>
      <c r="J402" s="8"/>
      <c r="K402" s="23">
        <f t="shared" si="97"/>
        <v>0</v>
      </c>
      <c r="L402" s="23">
        <f t="shared" si="105"/>
        <v>0</v>
      </c>
      <c r="M402" s="206">
        <f t="shared" si="104"/>
        <v>0</v>
      </c>
      <c r="N402" s="34"/>
      <c r="O402" s="209">
        <f t="shared" si="93"/>
        <v>-45992</v>
      </c>
      <c r="P402" s="34">
        <f t="shared" si="98"/>
        <v>4630</v>
      </c>
      <c r="Q402" s="34">
        <f t="shared" si="99"/>
        <v>0</v>
      </c>
      <c r="R402" s="7">
        <f t="shared" si="100"/>
        <v>0</v>
      </c>
      <c r="S402" s="227">
        <f t="shared" si="101"/>
        <v>0</v>
      </c>
      <c r="T402" s="249">
        <f t="shared" si="102"/>
        <v>0</v>
      </c>
    </row>
    <row r="403" spans="2:21" ht="15" customHeight="1" x14ac:dyDescent="0.4">
      <c r="B403" s="38" t="s">
        <v>43</v>
      </c>
      <c r="C403" s="6" t="s">
        <v>160</v>
      </c>
      <c r="D403" s="6">
        <f t="shared" si="103"/>
        <v>1</v>
      </c>
      <c r="E403" s="34">
        <v>1</v>
      </c>
      <c r="F403" s="212">
        <v>4345</v>
      </c>
      <c r="G403" s="195">
        <v>46000</v>
      </c>
      <c r="H403" s="8"/>
      <c r="I403" s="212"/>
      <c r="J403" s="8"/>
      <c r="K403" s="23">
        <f t="shared" si="97"/>
        <v>0</v>
      </c>
      <c r="L403" s="23">
        <f t="shared" si="105"/>
        <v>0</v>
      </c>
      <c r="M403" s="206">
        <f t="shared" si="104"/>
        <v>0</v>
      </c>
      <c r="N403" s="34"/>
      <c r="O403" s="209">
        <f t="shared" si="93"/>
        <v>-45999</v>
      </c>
      <c r="P403" s="34">
        <f t="shared" si="98"/>
        <v>4345</v>
      </c>
      <c r="Q403" s="34">
        <f t="shared" si="99"/>
        <v>0</v>
      </c>
      <c r="R403" s="7">
        <f t="shared" si="100"/>
        <v>0</v>
      </c>
      <c r="S403" s="227">
        <f t="shared" si="101"/>
        <v>0</v>
      </c>
      <c r="T403" s="249">
        <f t="shared" si="102"/>
        <v>0</v>
      </c>
    </row>
    <row r="404" spans="2:21" ht="15" customHeight="1" x14ac:dyDescent="0.4">
      <c r="B404" s="38" t="s">
        <v>43</v>
      </c>
      <c r="C404" s="6" t="s">
        <v>160</v>
      </c>
      <c r="D404" s="6">
        <f t="shared" si="103"/>
        <v>1</v>
      </c>
      <c r="E404" s="34">
        <v>1</v>
      </c>
      <c r="F404" s="212">
        <v>4050</v>
      </c>
      <c r="G404" s="195">
        <v>46007</v>
      </c>
      <c r="H404" s="8"/>
      <c r="I404" s="212"/>
      <c r="J404" s="8"/>
      <c r="K404" s="23">
        <f t="shared" si="97"/>
        <v>0</v>
      </c>
      <c r="L404" s="23">
        <f t="shared" si="105"/>
        <v>0</v>
      </c>
      <c r="M404" s="206">
        <f t="shared" si="104"/>
        <v>0</v>
      </c>
      <c r="N404" s="34"/>
      <c r="O404" s="209">
        <f t="shared" si="93"/>
        <v>-46006</v>
      </c>
      <c r="P404" s="34">
        <f t="shared" si="98"/>
        <v>4050</v>
      </c>
      <c r="Q404" s="34">
        <f t="shared" si="99"/>
        <v>0</v>
      </c>
      <c r="R404" s="7">
        <f t="shared" si="100"/>
        <v>0</v>
      </c>
      <c r="S404" s="227">
        <f t="shared" si="101"/>
        <v>0</v>
      </c>
      <c r="T404" s="249">
        <f t="shared" si="102"/>
        <v>0</v>
      </c>
    </row>
    <row r="405" spans="2:21" ht="15" customHeight="1" x14ac:dyDescent="0.4">
      <c r="B405" s="38" t="s">
        <v>43</v>
      </c>
      <c r="C405" s="6" t="s">
        <v>160</v>
      </c>
      <c r="D405" s="6">
        <f t="shared" si="103"/>
        <v>1</v>
      </c>
      <c r="E405" s="34">
        <v>1</v>
      </c>
      <c r="F405" s="212">
        <v>4225</v>
      </c>
      <c r="G405" s="195">
        <v>46014</v>
      </c>
      <c r="H405" s="8"/>
      <c r="I405" s="212"/>
      <c r="J405" s="8"/>
      <c r="K405" s="23">
        <f t="shared" si="97"/>
        <v>0</v>
      </c>
      <c r="L405" s="23">
        <f t="shared" si="105"/>
        <v>0</v>
      </c>
      <c r="M405" s="206">
        <f t="shared" si="104"/>
        <v>0</v>
      </c>
      <c r="N405" s="34"/>
      <c r="O405" s="209">
        <f t="shared" si="93"/>
        <v>-46013</v>
      </c>
      <c r="P405" s="34">
        <f t="shared" si="98"/>
        <v>4225</v>
      </c>
      <c r="Q405" s="34">
        <f t="shared" si="99"/>
        <v>0</v>
      </c>
      <c r="R405" s="7">
        <f t="shared" si="100"/>
        <v>0</v>
      </c>
      <c r="S405" s="227">
        <f t="shared" si="101"/>
        <v>0</v>
      </c>
      <c r="T405" s="249">
        <f t="shared" si="102"/>
        <v>0</v>
      </c>
    </row>
    <row r="406" spans="2:21" ht="15" customHeight="1" x14ac:dyDescent="0.4">
      <c r="B406" s="38" t="s">
        <v>43</v>
      </c>
      <c r="C406" s="6" t="s">
        <v>160</v>
      </c>
      <c r="D406" s="6">
        <f t="shared" si="103"/>
        <v>1</v>
      </c>
      <c r="E406" s="34">
        <v>1</v>
      </c>
      <c r="F406" s="212">
        <v>3980</v>
      </c>
      <c r="G406" s="195">
        <v>46021</v>
      </c>
      <c r="H406" s="8"/>
      <c r="I406" s="212"/>
      <c r="J406" s="8"/>
      <c r="K406" s="23">
        <f t="shared" ref="K406:K437" si="106">IF($C406="OTC",ROUNDDOWN($E406*$F406*0.000909187,-1),(IF($C406="신한",ROUNDDOWN($E406*$F406*0.000036396,-1),(IF($C406="토스",$E406*$F406*0.00015,(IF($C406="US",(IF($E406*$F406*0.0025&gt;0.01,$E406*$F406*0.0025,0.01)),IF($C406="JP",(IF($E406*$F406*0.0025&gt;1000,$E406*$F406*0.0025,1000)),(IF($C406="R토스",0,IF($C406="무상증자(신한)",0,"")))))))))))</f>
        <v>0</v>
      </c>
      <c r="L406" s="23">
        <f t="shared" si="105"/>
        <v>0</v>
      </c>
      <c r="M406" s="206">
        <f t="shared" si="104"/>
        <v>0</v>
      </c>
      <c r="N406" s="34"/>
      <c r="O406" s="209">
        <f t="shared" si="93"/>
        <v>-46020</v>
      </c>
      <c r="P406" s="34">
        <f t="shared" si="98"/>
        <v>3980</v>
      </c>
      <c r="Q406" s="34">
        <f t="shared" si="99"/>
        <v>0</v>
      </c>
      <c r="R406" s="7">
        <f t="shared" si="100"/>
        <v>0</v>
      </c>
      <c r="S406" s="227">
        <f t="shared" si="101"/>
        <v>0</v>
      </c>
      <c r="T406" s="249">
        <f t="shared" si="102"/>
        <v>0</v>
      </c>
    </row>
    <row r="407" spans="2:21" ht="15" customHeight="1" x14ac:dyDescent="0.4">
      <c r="B407" s="38" t="s">
        <v>43</v>
      </c>
      <c r="C407" s="6" t="s">
        <v>160</v>
      </c>
      <c r="D407" s="6">
        <f t="shared" si="103"/>
        <v>1</v>
      </c>
      <c r="E407" s="34">
        <v>1</v>
      </c>
      <c r="F407" s="212">
        <v>3645</v>
      </c>
      <c r="G407" s="195">
        <v>46028</v>
      </c>
      <c r="H407" s="8"/>
      <c r="I407" s="212"/>
      <c r="J407" s="8"/>
      <c r="K407" s="23">
        <f t="shared" si="106"/>
        <v>0</v>
      </c>
      <c r="L407" s="23">
        <f t="shared" si="105"/>
        <v>0</v>
      </c>
      <c r="M407" s="206">
        <f t="shared" si="104"/>
        <v>0</v>
      </c>
      <c r="N407" s="34"/>
      <c r="O407" s="209">
        <f t="shared" si="93"/>
        <v>-46027</v>
      </c>
      <c r="P407" s="34">
        <f t="shared" si="98"/>
        <v>3645</v>
      </c>
      <c r="Q407" s="34">
        <f t="shared" si="99"/>
        <v>0</v>
      </c>
      <c r="R407" s="7">
        <f t="shared" si="100"/>
        <v>0</v>
      </c>
      <c r="S407" s="227">
        <f t="shared" si="101"/>
        <v>0</v>
      </c>
      <c r="T407" s="249">
        <f t="shared" si="102"/>
        <v>0</v>
      </c>
    </row>
    <row r="408" spans="2:21" ht="15" customHeight="1" x14ac:dyDescent="0.4">
      <c r="B408" s="38" t="s">
        <v>43</v>
      </c>
      <c r="C408" s="6" t="s">
        <v>160</v>
      </c>
      <c r="D408" s="6">
        <f t="shared" si="103"/>
        <v>1</v>
      </c>
      <c r="E408" s="34">
        <v>76</v>
      </c>
      <c r="F408" s="212">
        <v>2700</v>
      </c>
      <c r="G408" s="195">
        <v>46029</v>
      </c>
      <c r="H408" s="8" t="s">
        <v>248</v>
      </c>
      <c r="I408" s="212"/>
      <c r="J408" s="8"/>
      <c r="K408" s="23">
        <f t="shared" si="106"/>
        <v>0</v>
      </c>
      <c r="L408" s="23">
        <f t="shared" si="105"/>
        <v>0</v>
      </c>
      <c r="M408" s="206">
        <f t="shared" si="104"/>
        <v>0</v>
      </c>
      <c r="N408" s="34"/>
      <c r="O408" s="209">
        <f t="shared" si="93"/>
        <v>-46028</v>
      </c>
      <c r="P408" s="34">
        <f t="shared" si="98"/>
        <v>205200</v>
      </c>
      <c r="Q408" s="34">
        <f t="shared" si="99"/>
        <v>0</v>
      </c>
      <c r="R408" s="7">
        <f t="shared" si="100"/>
        <v>0</v>
      </c>
      <c r="S408" s="227">
        <f t="shared" si="101"/>
        <v>0</v>
      </c>
      <c r="T408" s="249">
        <f t="shared" si="102"/>
        <v>0</v>
      </c>
    </row>
    <row r="409" spans="2:21" ht="15" customHeight="1" x14ac:dyDescent="0.4">
      <c r="B409" s="38" t="s">
        <v>43</v>
      </c>
      <c r="C409" s="6" t="s">
        <v>160</v>
      </c>
      <c r="D409" s="6">
        <f t="shared" si="103"/>
        <v>1</v>
      </c>
      <c r="E409" s="34">
        <v>1</v>
      </c>
      <c r="F409" s="212">
        <v>3915</v>
      </c>
      <c r="G409" s="195">
        <v>46035</v>
      </c>
      <c r="H409" s="8"/>
      <c r="I409" s="212"/>
      <c r="J409" s="8"/>
      <c r="K409" s="23">
        <f t="shared" si="106"/>
        <v>0</v>
      </c>
      <c r="L409" s="23">
        <f t="shared" si="105"/>
        <v>0</v>
      </c>
      <c r="M409" s="206">
        <f t="shared" si="104"/>
        <v>0</v>
      </c>
      <c r="N409" s="34"/>
      <c r="O409" s="209">
        <f t="shared" ref="O409:O472" si="107">J409-G409+1</f>
        <v>-46034</v>
      </c>
      <c r="P409" s="34">
        <f t="shared" si="98"/>
        <v>3915</v>
      </c>
      <c r="Q409" s="34">
        <f t="shared" si="99"/>
        <v>0</v>
      </c>
      <c r="R409" s="7">
        <f t="shared" si="100"/>
        <v>0</v>
      </c>
      <c r="S409" s="227">
        <f t="shared" si="101"/>
        <v>0</v>
      </c>
      <c r="T409" s="249">
        <f t="shared" si="102"/>
        <v>0</v>
      </c>
    </row>
    <row r="410" spans="2:21" ht="15" customHeight="1" x14ac:dyDescent="0.4">
      <c r="B410" s="38" t="s">
        <v>43</v>
      </c>
      <c r="C410" s="6" t="s">
        <v>160</v>
      </c>
      <c r="D410" s="6">
        <f t="shared" si="103"/>
        <v>1</v>
      </c>
      <c r="E410" s="34">
        <v>1</v>
      </c>
      <c r="F410" s="212">
        <v>3350</v>
      </c>
      <c r="G410" s="195">
        <v>46042</v>
      </c>
      <c r="H410" s="8"/>
      <c r="I410" s="212"/>
      <c r="J410" s="8"/>
      <c r="K410" s="23">
        <f t="shared" si="106"/>
        <v>0</v>
      </c>
      <c r="L410" s="23">
        <f t="shared" si="105"/>
        <v>0</v>
      </c>
      <c r="M410" s="206">
        <f t="shared" si="104"/>
        <v>0</v>
      </c>
      <c r="N410" s="34"/>
      <c r="O410" s="209">
        <f t="shared" si="107"/>
        <v>-46041</v>
      </c>
      <c r="P410" s="34">
        <f t="shared" si="98"/>
        <v>3350</v>
      </c>
      <c r="Q410" s="34">
        <f t="shared" si="99"/>
        <v>0</v>
      </c>
      <c r="R410" s="7">
        <f t="shared" si="100"/>
        <v>0</v>
      </c>
      <c r="S410" s="227">
        <f t="shared" si="101"/>
        <v>0</v>
      </c>
      <c r="T410" s="249">
        <f t="shared" si="102"/>
        <v>0</v>
      </c>
    </row>
    <row r="411" spans="2:21" ht="15" customHeight="1" x14ac:dyDescent="0.4">
      <c r="B411" s="38" t="s">
        <v>43</v>
      </c>
      <c r="C411" s="6" t="s">
        <v>160</v>
      </c>
      <c r="D411" s="6">
        <f t="shared" si="103"/>
        <v>1</v>
      </c>
      <c r="E411" s="34">
        <v>1</v>
      </c>
      <c r="F411" s="212">
        <v>3670</v>
      </c>
      <c r="G411" s="195">
        <v>46049</v>
      </c>
      <c r="H411" s="8"/>
      <c r="I411" s="212"/>
      <c r="J411" s="8"/>
      <c r="K411" s="23">
        <f t="shared" si="106"/>
        <v>0</v>
      </c>
      <c r="L411" s="23">
        <f t="shared" si="105"/>
        <v>0</v>
      </c>
      <c r="M411" s="206">
        <f t="shared" si="104"/>
        <v>0</v>
      </c>
      <c r="N411" s="34"/>
      <c r="O411" s="209">
        <f t="shared" si="107"/>
        <v>-46048</v>
      </c>
      <c r="P411" s="34">
        <f t="shared" si="98"/>
        <v>3670</v>
      </c>
      <c r="Q411" s="34">
        <f t="shared" si="99"/>
        <v>0</v>
      </c>
      <c r="R411" s="7">
        <f t="shared" si="100"/>
        <v>0</v>
      </c>
      <c r="S411" s="227">
        <f t="shared" si="101"/>
        <v>0</v>
      </c>
      <c r="T411" s="249">
        <f t="shared" si="102"/>
        <v>0</v>
      </c>
      <c r="U411" s="36">
        <f t="shared" ref="U411:U423" si="108">IF(O411&lt;0,0,P411*0.05*O411/365)</f>
        <v>0</v>
      </c>
    </row>
    <row r="412" spans="2:21" ht="15" customHeight="1" x14ac:dyDescent="0.4">
      <c r="B412" s="38" t="s">
        <v>43</v>
      </c>
      <c r="C412" s="6" t="s">
        <v>160</v>
      </c>
      <c r="D412" s="6">
        <f t="shared" si="103"/>
        <v>1</v>
      </c>
      <c r="E412" s="34">
        <v>1</v>
      </c>
      <c r="F412" s="212">
        <v>3550</v>
      </c>
      <c r="G412" s="195">
        <v>46056</v>
      </c>
      <c r="H412" s="8"/>
      <c r="I412" s="212"/>
      <c r="J412" s="8"/>
      <c r="K412" s="23">
        <f t="shared" si="106"/>
        <v>0</v>
      </c>
      <c r="L412" s="23">
        <f t="shared" si="105"/>
        <v>0</v>
      </c>
      <c r="M412" s="206">
        <f t="shared" si="104"/>
        <v>0</v>
      </c>
      <c r="N412" s="34"/>
      <c r="O412" s="209">
        <f t="shared" si="107"/>
        <v>-46055</v>
      </c>
      <c r="P412" s="34">
        <f t="shared" si="98"/>
        <v>3550</v>
      </c>
      <c r="Q412" s="34">
        <f t="shared" si="99"/>
        <v>0</v>
      </c>
      <c r="R412" s="7">
        <f t="shared" si="100"/>
        <v>0</v>
      </c>
      <c r="S412" s="227">
        <f t="shared" si="101"/>
        <v>0</v>
      </c>
      <c r="T412" s="249">
        <f t="shared" si="102"/>
        <v>0</v>
      </c>
      <c r="U412" s="36">
        <f t="shared" si="108"/>
        <v>0</v>
      </c>
    </row>
    <row r="413" spans="2:21" ht="15" customHeight="1" x14ac:dyDescent="0.4">
      <c r="B413" s="38" t="s">
        <v>43</v>
      </c>
      <c r="C413" s="6" t="s">
        <v>160</v>
      </c>
      <c r="D413" s="6">
        <f t="shared" si="103"/>
        <v>1</v>
      </c>
      <c r="E413" s="34">
        <v>1</v>
      </c>
      <c r="F413" s="212">
        <v>3680</v>
      </c>
      <c r="G413" s="195">
        <v>46063</v>
      </c>
      <c r="H413" s="8"/>
      <c r="I413" s="212"/>
      <c r="J413" s="8"/>
      <c r="K413" s="23">
        <f t="shared" si="106"/>
        <v>0</v>
      </c>
      <c r="L413" s="23">
        <f t="shared" si="105"/>
        <v>0</v>
      </c>
      <c r="M413" s="206">
        <f t="shared" si="104"/>
        <v>0</v>
      </c>
      <c r="N413" s="34"/>
      <c r="O413" s="209">
        <f t="shared" si="107"/>
        <v>-46062</v>
      </c>
      <c r="P413" s="34">
        <f t="shared" si="98"/>
        <v>3680</v>
      </c>
      <c r="Q413" s="34">
        <f t="shared" si="99"/>
        <v>0</v>
      </c>
      <c r="R413" s="7">
        <f t="shared" si="100"/>
        <v>0</v>
      </c>
      <c r="S413" s="227">
        <f t="shared" si="101"/>
        <v>0</v>
      </c>
      <c r="T413" s="249">
        <f t="shared" si="102"/>
        <v>0</v>
      </c>
      <c r="U413" s="36">
        <f t="shared" si="108"/>
        <v>0</v>
      </c>
    </row>
    <row r="414" spans="2:21" ht="15" customHeight="1" x14ac:dyDescent="0.4">
      <c r="B414" s="38" t="s">
        <v>43</v>
      </c>
      <c r="C414" s="6" t="s">
        <v>160</v>
      </c>
      <c r="D414" s="6">
        <f t="shared" si="103"/>
        <v>1</v>
      </c>
      <c r="E414" s="34">
        <v>1</v>
      </c>
      <c r="F414" s="212">
        <v>3670</v>
      </c>
      <c r="G414" s="195">
        <v>46072</v>
      </c>
      <c r="H414" s="8"/>
      <c r="I414" s="212"/>
      <c r="J414" s="8"/>
      <c r="K414" s="23">
        <f t="shared" si="106"/>
        <v>0</v>
      </c>
      <c r="L414" s="23">
        <f t="shared" si="105"/>
        <v>0</v>
      </c>
      <c r="M414" s="206">
        <f t="shared" si="104"/>
        <v>0</v>
      </c>
      <c r="N414" s="34"/>
      <c r="O414" s="209">
        <f t="shared" si="107"/>
        <v>-46071</v>
      </c>
      <c r="P414" s="34">
        <f t="shared" si="98"/>
        <v>3670</v>
      </c>
      <c r="Q414" s="34">
        <f t="shared" si="99"/>
        <v>0</v>
      </c>
      <c r="R414" s="7">
        <f t="shared" si="100"/>
        <v>0</v>
      </c>
      <c r="S414" s="227">
        <f t="shared" si="101"/>
        <v>0</v>
      </c>
      <c r="T414" s="249">
        <f t="shared" si="102"/>
        <v>0</v>
      </c>
      <c r="U414" s="36">
        <f t="shared" si="108"/>
        <v>0</v>
      </c>
    </row>
    <row r="415" spans="2:21" ht="15" customHeight="1" x14ac:dyDescent="0.4">
      <c r="B415" s="38" t="s">
        <v>43</v>
      </c>
      <c r="C415" s="6" t="s">
        <v>160</v>
      </c>
      <c r="D415" s="6">
        <f t="shared" si="103"/>
        <v>1</v>
      </c>
      <c r="E415" s="34">
        <v>1</v>
      </c>
      <c r="F415" s="212">
        <v>3565</v>
      </c>
      <c r="G415" s="195">
        <v>46077</v>
      </c>
      <c r="H415" s="8"/>
      <c r="I415" s="212"/>
      <c r="J415" s="8"/>
      <c r="K415" s="23">
        <f t="shared" si="106"/>
        <v>0</v>
      </c>
      <c r="L415" s="23">
        <f t="shared" si="105"/>
        <v>0</v>
      </c>
      <c r="M415" s="206">
        <f t="shared" si="104"/>
        <v>0</v>
      </c>
      <c r="N415" s="34"/>
      <c r="O415" s="209">
        <f t="shared" si="107"/>
        <v>-46076</v>
      </c>
      <c r="P415" s="34">
        <f t="shared" si="98"/>
        <v>3565</v>
      </c>
      <c r="Q415" s="34">
        <f t="shared" si="99"/>
        <v>0</v>
      </c>
      <c r="R415" s="7">
        <f t="shared" si="100"/>
        <v>0</v>
      </c>
      <c r="S415" s="227">
        <f t="shared" si="101"/>
        <v>0</v>
      </c>
      <c r="T415" s="249">
        <f t="shared" si="102"/>
        <v>0</v>
      </c>
      <c r="U415" s="36">
        <f t="shared" si="108"/>
        <v>0</v>
      </c>
    </row>
    <row r="416" spans="2:21" ht="15" customHeight="1" x14ac:dyDescent="0.4">
      <c r="B416" s="38" t="s">
        <v>43</v>
      </c>
      <c r="C416" s="6" t="s">
        <v>160</v>
      </c>
      <c r="D416" s="6">
        <f t="shared" si="103"/>
        <v>1</v>
      </c>
      <c r="E416" s="34">
        <v>1</v>
      </c>
      <c r="F416" s="212">
        <v>3525</v>
      </c>
      <c r="G416" s="195">
        <v>46084</v>
      </c>
      <c r="H416" s="8"/>
      <c r="I416" s="212"/>
      <c r="J416" s="8"/>
      <c r="K416" s="23">
        <f t="shared" si="106"/>
        <v>0</v>
      </c>
      <c r="L416" s="23">
        <f t="shared" si="105"/>
        <v>0</v>
      </c>
      <c r="M416" s="206">
        <f t="shared" si="104"/>
        <v>0</v>
      </c>
      <c r="N416" s="34"/>
      <c r="O416" s="209">
        <f t="shared" si="107"/>
        <v>-46083</v>
      </c>
      <c r="P416" s="34">
        <f t="shared" si="98"/>
        <v>3525</v>
      </c>
      <c r="Q416" s="34">
        <f t="shared" si="99"/>
        <v>0</v>
      </c>
      <c r="R416" s="7">
        <f t="shared" si="100"/>
        <v>0</v>
      </c>
      <c r="S416" s="227">
        <f t="shared" si="101"/>
        <v>0</v>
      </c>
      <c r="T416" s="249">
        <f t="shared" si="102"/>
        <v>0</v>
      </c>
      <c r="U416" s="36">
        <f t="shared" si="108"/>
        <v>0</v>
      </c>
    </row>
    <row r="417" spans="2:21" ht="15" customHeight="1" x14ac:dyDescent="0.4">
      <c r="B417" s="38" t="s">
        <v>43</v>
      </c>
      <c r="C417" s="6" t="s">
        <v>160</v>
      </c>
      <c r="D417" s="6">
        <f t="shared" si="103"/>
        <v>1</v>
      </c>
      <c r="E417" s="34">
        <v>1</v>
      </c>
      <c r="F417" s="212">
        <v>2970</v>
      </c>
      <c r="G417" s="195">
        <v>46091</v>
      </c>
      <c r="H417" s="8"/>
      <c r="I417" s="212"/>
      <c r="J417" s="8"/>
      <c r="K417" s="23">
        <f t="shared" si="106"/>
        <v>0</v>
      </c>
      <c r="L417" s="23">
        <f t="shared" si="105"/>
        <v>0</v>
      </c>
      <c r="M417" s="206">
        <f t="shared" si="104"/>
        <v>0</v>
      </c>
      <c r="N417" s="34"/>
      <c r="O417" s="209">
        <f t="shared" si="107"/>
        <v>-46090</v>
      </c>
      <c r="P417" s="34">
        <f t="shared" si="98"/>
        <v>2970</v>
      </c>
      <c r="Q417" s="34">
        <f t="shared" si="99"/>
        <v>0</v>
      </c>
      <c r="R417" s="7">
        <f t="shared" si="100"/>
        <v>0</v>
      </c>
      <c r="S417" s="227">
        <f t="shared" si="101"/>
        <v>0</v>
      </c>
      <c r="T417" s="249">
        <f t="shared" si="102"/>
        <v>0</v>
      </c>
      <c r="U417" s="36">
        <f t="shared" si="108"/>
        <v>0</v>
      </c>
    </row>
    <row r="418" spans="2:21" ht="15" customHeight="1" x14ac:dyDescent="0.4">
      <c r="B418" s="38" t="s">
        <v>43</v>
      </c>
      <c r="C418" s="6" t="s">
        <v>160</v>
      </c>
      <c r="D418" s="6">
        <f t="shared" si="103"/>
        <v>1</v>
      </c>
      <c r="E418" s="34">
        <v>1</v>
      </c>
      <c r="F418" s="212">
        <v>3295</v>
      </c>
      <c r="G418" s="195">
        <v>46098</v>
      </c>
      <c r="H418" s="8"/>
      <c r="I418" s="212"/>
      <c r="J418" s="8"/>
      <c r="K418" s="23">
        <f t="shared" si="106"/>
        <v>0</v>
      </c>
      <c r="L418" s="23">
        <f t="shared" si="105"/>
        <v>0</v>
      </c>
      <c r="M418" s="206">
        <f t="shared" si="104"/>
        <v>0</v>
      </c>
      <c r="N418" s="34"/>
      <c r="O418" s="209">
        <f t="shared" si="107"/>
        <v>-46097</v>
      </c>
      <c r="P418" s="34">
        <f t="shared" si="98"/>
        <v>3295</v>
      </c>
      <c r="Q418" s="34">
        <f t="shared" si="99"/>
        <v>0</v>
      </c>
      <c r="R418" s="7">
        <f t="shared" si="100"/>
        <v>0</v>
      </c>
      <c r="S418" s="227">
        <f t="shared" si="101"/>
        <v>0</v>
      </c>
      <c r="T418" s="249">
        <f t="shared" si="102"/>
        <v>0</v>
      </c>
      <c r="U418" s="36">
        <f t="shared" si="108"/>
        <v>0</v>
      </c>
    </row>
    <row r="419" spans="2:21" ht="15" customHeight="1" x14ac:dyDescent="0.4">
      <c r="B419" s="38" t="s">
        <v>43</v>
      </c>
      <c r="C419" s="6" t="s">
        <v>160</v>
      </c>
      <c r="D419" s="6">
        <f t="shared" si="103"/>
        <v>1</v>
      </c>
      <c r="E419" s="34">
        <v>1</v>
      </c>
      <c r="F419" s="212">
        <v>3315</v>
      </c>
      <c r="G419" s="195">
        <v>46105</v>
      </c>
      <c r="H419" s="8"/>
      <c r="I419" s="212"/>
      <c r="J419" s="8"/>
      <c r="K419" s="23">
        <f t="shared" si="106"/>
        <v>0</v>
      </c>
      <c r="L419" s="23">
        <f t="shared" si="105"/>
        <v>0</v>
      </c>
      <c r="M419" s="206">
        <f t="shared" si="104"/>
        <v>0</v>
      </c>
      <c r="N419" s="34"/>
      <c r="O419" s="209">
        <f t="shared" si="107"/>
        <v>-46104</v>
      </c>
      <c r="P419" s="34">
        <f t="shared" si="98"/>
        <v>3315</v>
      </c>
      <c r="Q419" s="34">
        <f t="shared" si="99"/>
        <v>0</v>
      </c>
      <c r="R419" s="7">
        <f t="shared" si="100"/>
        <v>0</v>
      </c>
      <c r="S419" s="227">
        <f t="shared" si="101"/>
        <v>0</v>
      </c>
      <c r="T419" s="249">
        <f t="shared" si="102"/>
        <v>0</v>
      </c>
      <c r="U419" s="36">
        <f t="shared" si="108"/>
        <v>0</v>
      </c>
    </row>
    <row r="420" spans="2:21" ht="15" customHeight="1" x14ac:dyDescent="0.4">
      <c r="B420" s="38" t="s">
        <v>43</v>
      </c>
      <c r="C420" s="6" t="s">
        <v>160</v>
      </c>
      <c r="D420" s="6">
        <f t="shared" si="103"/>
        <v>1</v>
      </c>
      <c r="E420" s="34">
        <v>1</v>
      </c>
      <c r="F420" s="212">
        <v>3310</v>
      </c>
      <c r="G420" s="195">
        <v>46112</v>
      </c>
      <c r="H420" s="8"/>
      <c r="I420" s="212"/>
      <c r="J420" s="8"/>
      <c r="K420" s="23">
        <f t="shared" si="106"/>
        <v>0</v>
      </c>
      <c r="L420" s="23">
        <f t="shared" si="105"/>
        <v>0</v>
      </c>
      <c r="M420" s="206">
        <f t="shared" si="104"/>
        <v>0</v>
      </c>
      <c r="N420" s="34"/>
      <c r="O420" s="209">
        <f t="shared" si="107"/>
        <v>-46111</v>
      </c>
      <c r="P420" s="34">
        <f t="shared" si="98"/>
        <v>3310</v>
      </c>
      <c r="Q420" s="34">
        <f t="shared" si="99"/>
        <v>0</v>
      </c>
      <c r="R420" s="7">
        <f t="shared" si="100"/>
        <v>0</v>
      </c>
      <c r="S420" s="227">
        <f t="shared" si="101"/>
        <v>0</v>
      </c>
      <c r="T420" s="249">
        <f t="shared" si="102"/>
        <v>0</v>
      </c>
      <c r="U420" s="36">
        <f t="shared" si="108"/>
        <v>0</v>
      </c>
    </row>
    <row r="421" spans="2:21" ht="15" customHeight="1" x14ac:dyDescent="0.4">
      <c r="B421" s="38" t="s">
        <v>43</v>
      </c>
      <c r="C421" s="6" t="s">
        <v>160</v>
      </c>
      <c r="D421" s="6">
        <f t="shared" si="103"/>
        <v>1</v>
      </c>
      <c r="E421" s="34">
        <v>1</v>
      </c>
      <c r="F421" s="212">
        <v>3135</v>
      </c>
      <c r="G421" s="195">
        <v>46119</v>
      </c>
      <c r="H421" s="8"/>
      <c r="I421" s="212"/>
      <c r="J421" s="8"/>
      <c r="K421" s="23">
        <f t="shared" si="106"/>
        <v>0</v>
      </c>
      <c r="L421" s="23">
        <f t="shared" si="105"/>
        <v>0</v>
      </c>
      <c r="M421" s="206">
        <f t="shared" si="104"/>
        <v>0</v>
      </c>
      <c r="N421" s="34"/>
      <c r="O421" s="209">
        <f t="shared" si="107"/>
        <v>-46118</v>
      </c>
      <c r="P421" s="34">
        <f t="shared" si="98"/>
        <v>3135</v>
      </c>
      <c r="Q421" s="34">
        <f t="shared" si="99"/>
        <v>0</v>
      </c>
      <c r="R421" s="7">
        <f t="shared" si="100"/>
        <v>0</v>
      </c>
      <c r="S421" s="227">
        <f t="shared" si="101"/>
        <v>0</v>
      </c>
      <c r="T421" s="249">
        <f t="shared" si="102"/>
        <v>0</v>
      </c>
      <c r="U421" s="36">
        <f t="shared" si="108"/>
        <v>0</v>
      </c>
    </row>
    <row r="422" spans="2:21" ht="15" customHeight="1" x14ac:dyDescent="0.4">
      <c r="B422" s="38" t="s">
        <v>43</v>
      </c>
      <c r="C422" s="6" t="s">
        <v>160</v>
      </c>
      <c r="D422" s="6">
        <f t="shared" si="103"/>
        <v>1</v>
      </c>
      <c r="E422" s="34">
        <v>1</v>
      </c>
      <c r="F422" s="212">
        <v>3230</v>
      </c>
      <c r="G422" s="195">
        <v>46126</v>
      </c>
      <c r="H422" s="8"/>
      <c r="I422" s="212"/>
      <c r="J422" s="8"/>
      <c r="K422" s="23">
        <f t="shared" si="106"/>
        <v>0</v>
      </c>
      <c r="L422" s="23">
        <f t="shared" si="105"/>
        <v>0</v>
      </c>
      <c r="M422" s="206">
        <f t="shared" si="104"/>
        <v>0</v>
      </c>
      <c r="N422" s="34"/>
      <c r="O422" s="209">
        <f t="shared" si="107"/>
        <v>-46125</v>
      </c>
      <c r="P422" s="34">
        <f t="shared" si="98"/>
        <v>3230</v>
      </c>
      <c r="Q422" s="34">
        <f t="shared" si="99"/>
        <v>0</v>
      </c>
      <c r="R422" s="7">
        <f t="shared" si="100"/>
        <v>0</v>
      </c>
      <c r="S422" s="227">
        <f t="shared" si="101"/>
        <v>0</v>
      </c>
      <c r="T422" s="249">
        <f t="shared" si="102"/>
        <v>0</v>
      </c>
      <c r="U422" s="36">
        <f t="shared" si="108"/>
        <v>0</v>
      </c>
    </row>
    <row r="423" spans="2:21" ht="15" customHeight="1" x14ac:dyDescent="0.4">
      <c r="B423" s="38" t="s">
        <v>43</v>
      </c>
      <c r="C423" s="6" t="s">
        <v>160</v>
      </c>
      <c r="D423" s="6">
        <f t="shared" si="103"/>
        <v>1</v>
      </c>
      <c r="E423" s="34">
        <v>1</v>
      </c>
      <c r="F423" s="212">
        <v>3360</v>
      </c>
      <c r="G423" s="195">
        <v>46133</v>
      </c>
      <c r="H423" s="8"/>
      <c r="I423" s="212"/>
      <c r="J423" s="8"/>
      <c r="K423" s="23">
        <f t="shared" si="106"/>
        <v>0</v>
      </c>
      <c r="L423" s="23">
        <f t="shared" si="105"/>
        <v>0</v>
      </c>
      <c r="M423" s="206">
        <f t="shared" si="104"/>
        <v>0</v>
      </c>
      <c r="N423" s="34"/>
      <c r="O423" s="209">
        <f t="shared" si="107"/>
        <v>-46132</v>
      </c>
      <c r="P423" s="34">
        <f t="shared" si="98"/>
        <v>3360</v>
      </c>
      <c r="Q423" s="34">
        <f t="shared" si="99"/>
        <v>0</v>
      </c>
      <c r="R423" s="7">
        <f t="shared" si="100"/>
        <v>0</v>
      </c>
      <c r="S423" s="227">
        <f t="shared" si="101"/>
        <v>0</v>
      </c>
      <c r="T423" s="249">
        <f t="shared" si="102"/>
        <v>0</v>
      </c>
      <c r="U423" s="36">
        <f t="shared" si="108"/>
        <v>0</v>
      </c>
    </row>
    <row r="424" spans="2:21" ht="15" customHeight="1" x14ac:dyDescent="0.4">
      <c r="B424" s="38" t="s">
        <v>326</v>
      </c>
      <c r="C424" s="6" t="s">
        <v>160</v>
      </c>
      <c r="D424" s="6">
        <v>1</v>
      </c>
      <c r="E424" s="34">
        <v>70</v>
      </c>
      <c r="F424" s="212">
        <v>18550</v>
      </c>
      <c r="G424" s="195">
        <v>45964</v>
      </c>
      <c r="H424" s="8"/>
      <c r="I424" s="212">
        <v>22950</v>
      </c>
      <c r="J424" s="8">
        <v>46127</v>
      </c>
      <c r="K424" s="23">
        <f t="shared" si="106"/>
        <v>40</v>
      </c>
      <c r="L424" s="23">
        <f t="shared" si="105"/>
        <v>50</v>
      </c>
      <c r="M424" s="206">
        <f t="shared" si="104"/>
        <v>3213</v>
      </c>
      <c r="N424" s="34"/>
      <c r="O424" s="209">
        <f t="shared" si="107"/>
        <v>164</v>
      </c>
      <c r="P424" s="34">
        <f t="shared" si="98"/>
        <v>1298500</v>
      </c>
      <c r="Q424" s="34">
        <f t="shared" si="99"/>
        <v>1606500</v>
      </c>
      <c r="R424" s="7">
        <f t="shared" si="100"/>
        <v>-3303</v>
      </c>
      <c r="S424" s="227">
        <f t="shared" si="101"/>
        <v>304697</v>
      </c>
      <c r="T424" s="249">
        <f t="shared" si="102"/>
        <v>0.23465306122448978</v>
      </c>
    </row>
    <row r="425" spans="2:21" ht="15" customHeight="1" x14ac:dyDescent="0.4">
      <c r="B425" s="38" t="s">
        <v>326</v>
      </c>
      <c r="C425" s="6" t="s">
        <v>160</v>
      </c>
      <c r="D425" s="6">
        <v>1</v>
      </c>
      <c r="E425" s="34">
        <v>25</v>
      </c>
      <c r="F425" s="212">
        <v>18320</v>
      </c>
      <c r="G425" s="195">
        <v>45965</v>
      </c>
      <c r="H425" s="8"/>
      <c r="I425" s="212">
        <v>28000</v>
      </c>
      <c r="J425" s="8">
        <v>46128</v>
      </c>
      <c r="K425" s="23">
        <f t="shared" si="106"/>
        <v>10</v>
      </c>
      <c r="L425" s="23">
        <f t="shared" si="105"/>
        <v>20</v>
      </c>
      <c r="M425" s="206">
        <f t="shared" si="104"/>
        <v>1400</v>
      </c>
      <c r="N425" s="34"/>
      <c r="O425" s="209">
        <f t="shared" si="107"/>
        <v>164</v>
      </c>
      <c r="P425" s="34">
        <f t="shared" si="98"/>
        <v>458000</v>
      </c>
      <c r="Q425" s="34">
        <f t="shared" si="99"/>
        <v>700000</v>
      </c>
      <c r="R425" s="7">
        <f t="shared" si="100"/>
        <v>-1430</v>
      </c>
      <c r="S425" s="227">
        <f t="shared" si="101"/>
        <v>240570</v>
      </c>
      <c r="T425" s="249">
        <f t="shared" si="102"/>
        <v>0.5252620087336245</v>
      </c>
    </row>
    <row r="426" spans="2:21" ht="15" customHeight="1" x14ac:dyDescent="0.4">
      <c r="B426" s="38" t="s">
        <v>326</v>
      </c>
      <c r="C426" s="6" t="s">
        <v>160</v>
      </c>
      <c r="D426" s="6">
        <v>1</v>
      </c>
      <c r="E426" s="34">
        <v>19</v>
      </c>
      <c r="F426" s="212">
        <v>15690</v>
      </c>
      <c r="G426" s="195">
        <v>46000</v>
      </c>
      <c r="H426" s="8"/>
      <c r="I426" s="212">
        <v>28000</v>
      </c>
      <c r="J426" s="8">
        <v>46128</v>
      </c>
      <c r="K426" s="23">
        <f t="shared" si="106"/>
        <v>10</v>
      </c>
      <c r="L426" s="23">
        <f t="shared" si="105"/>
        <v>10</v>
      </c>
      <c r="M426" s="206">
        <f t="shared" si="104"/>
        <v>1064</v>
      </c>
      <c r="N426" s="34"/>
      <c r="O426" s="209">
        <f t="shared" si="107"/>
        <v>129</v>
      </c>
      <c r="P426" s="34">
        <f t="shared" si="98"/>
        <v>298110</v>
      </c>
      <c r="Q426" s="34">
        <f t="shared" si="99"/>
        <v>532000</v>
      </c>
      <c r="R426" s="7">
        <f t="shared" si="100"/>
        <v>-1084</v>
      </c>
      <c r="S426" s="227">
        <f t="shared" si="101"/>
        <v>232806</v>
      </c>
      <c r="T426" s="249">
        <f t="shared" si="102"/>
        <v>0.78093992150548452</v>
      </c>
    </row>
    <row r="427" spans="2:21" ht="15" customHeight="1" x14ac:dyDescent="0.4">
      <c r="B427" s="38" t="s">
        <v>335</v>
      </c>
      <c r="C427" s="6" t="s">
        <v>160</v>
      </c>
      <c r="D427" s="6">
        <v>1</v>
      </c>
      <c r="E427" s="34">
        <v>15</v>
      </c>
      <c r="F427" s="212">
        <v>62000</v>
      </c>
      <c r="G427" s="195">
        <v>46065</v>
      </c>
      <c r="H427" s="8"/>
      <c r="I427" s="212">
        <v>89600</v>
      </c>
      <c r="J427" s="8">
        <v>46094</v>
      </c>
      <c r="K427" s="23">
        <f t="shared" si="106"/>
        <v>30</v>
      </c>
      <c r="L427" s="23">
        <f t="shared" si="105"/>
        <v>40</v>
      </c>
      <c r="M427" s="206">
        <f t="shared" si="104"/>
        <v>2688</v>
      </c>
      <c r="N427" s="34"/>
      <c r="O427" s="209">
        <f t="shared" si="107"/>
        <v>30</v>
      </c>
      <c r="P427" s="34">
        <f t="shared" si="98"/>
        <v>930000</v>
      </c>
      <c r="Q427" s="34">
        <f t="shared" si="99"/>
        <v>1344000</v>
      </c>
      <c r="R427" s="7">
        <f t="shared" si="100"/>
        <v>-2758</v>
      </c>
      <c r="S427" s="227">
        <f t="shared" si="101"/>
        <v>411242</v>
      </c>
      <c r="T427" s="249">
        <f t="shared" si="102"/>
        <v>0.44219569892473121</v>
      </c>
    </row>
    <row r="428" spans="2:21" ht="15" customHeight="1" x14ac:dyDescent="0.4">
      <c r="B428" s="38" t="s">
        <v>335</v>
      </c>
      <c r="C428" s="6" t="s">
        <v>160</v>
      </c>
      <c r="D428" s="6">
        <v>1</v>
      </c>
      <c r="E428" s="34">
        <v>5</v>
      </c>
      <c r="F428" s="212">
        <v>57700</v>
      </c>
      <c r="G428" s="195">
        <v>46066</v>
      </c>
      <c r="H428" s="8"/>
      <c r="I428" s="212">
        <v>89600</v>
      </c>
      <c r="J428" s="8">
        <v>46094</v>
      </c>
      <c r="K428" s="23">
        <f t="shared" si="106"/>
        <v>10</v>
      </c>
      <c r="L428" s="23">
        <f t="shared" si="105"/>
        <v>10</v>
      </c>
      <c r="M428" s="206">
        <f t="shared" ref="M428:M434" si="109">Q428*0.002</f>
        <v>896</v>
      </c>
      <c r="N428" s="34"/>
      <c r="O428" s="209">
        <f t="shared" si="107"/>
        <v>29</v>
      </c>
      <c r="P428" s="34">
        <f t="shared" si="98"/>
        <v>288500</v>
      </c>
      <c r="Q428" s="34">
        <f t="shared" si="99"/>
        <v>448000</v>
      </c>
      <c r="R428" s="7">
        <f t="shared" si="100"/>
        <v>-916</v>
      </c>
      <c r="S428" s="227">
        <f t="shared" si="101"/>
        <v>158584</v>
      </c>
      <c r="T428" s="249">
        <f t="shared" si="102"/>
        <v>0.54968457538994797</v>
      </c>
    </row>
    <row r="429" spans="2:21" ht="15" customHeight="1" x14ac:dyDescent="0.4">
      <c r="B429" s="38" t="s">
        <v>335</v>
      </c>
      <c r="C429" s="6" t="s">
        <v>160</v>
      </c>
      <c r="D429" s="6">
        <v>1</v>
      </c>
      <c r="E429" s="34">
        <v>1</v>
      </c>
      <c r="F429" s="212">
        <v>60600</v>
      </c>
      <c r="G429" s="195">
        <v>46090</v>
      </c>
      <c r="H429" s="8"/>
      <c r="I429" s="212">
        <v>89600</v>
      </c>
      <c r="J429" s="8">
        <v>46094</v>
      </c>
      <c r="K429" s="23">
        <f t="shared" si="106"/>
        <v>0</v>
      </c>
      <c r="L429" s="23">
        <f t="shared" si="105"/>
        <v>0</v>
      </c>
      <c r="M429" s="206">
        <f t="shared" si="109"/>
        <v>179.20000000000002</v>
      </c>
      <c r="N429" s="34"/>
      <c r="O429" s="209">
        <f t="shared" si="107"/>
        <v>5</v>
      </c>
      <c r="P429" s="34">
        <f t="shared" si="98"/>
        <v>60600</v>
      </c>
      <c r="Q429" s="34">
        <f t="shared" si="99"/>
        <v>89600</v>
      </c>
      <c r="R429" s="7">
        <f t="shared" si="100"/>
        <v>-179.20000000000002</v>
      </c>
      <c r="S429" s="227">
        <f t="shared" si="101"/>
        <v>28820.799999999999</v>
      </c>
      <c r="T429" s="249">
        <f t="shared" si="102"/>
        <v>0.47559075907590759</v>
      </c>
    </row>
    <row r="430" spans="2:21" ht="15" customHeight="1" x14ac:dyDescent="0.4">
      <c r="B430" s="38" t="s">
        <v>335</v>
      </c>
      <c r="C430" s="6" t="s">
        <v>160</v>
      </c>
      <c r="D430" s="6">
        <v>1</v>
      </c>
      <c r="E430" s="34">
        <v>1</v>
      </c>
      <c r="F430" s="212">
        <v>90000</v>
      </c>
      <c r="G430" s="195">
        <v>46097</v>
      </c>
      <c r="H430" s="8"/>
      <c r="I430" s="212"/>
      <c r="J430" s="8"/>
      <c r="K430" s="23">
        <f t="shared" si="106"/>
        <v>0</v>
      </c>
      <c r="L430" s="23">
        <f t="shared" si="105"/>
        <v>0</v>
      </c>
      <c r="M430" s="206">
        <f t="shared" si="109"/>
        <v>0</v>
      </c>
      <c r="N430" s="34"/>
      <c r="O430" s="209">
        <f t="shared" si="107"/>
        <v>-46096</v>
      </c>
      <c r="P430" s="34">
        <f t="shared" si="98"/>
        <v>90000</v>
      </c>
      <c r="Q430" s="34">
        <f t="shared" si="99"/>
        <v>0</v>
      </c>
      <c r="R430" s="7">
        <f t="shared" si="100"/>
        <v>0</v>
      </c>
      <c r="S430" s="227">
        <f t="shared" si="101"/>
        <v>0</v>
      </c>
      <c r="T430" s="249">
        <f t="shared" si="102"/>
        <v>0</v>
      </c>
    </row>
    <row r="431" spans="2:21" ht="15" customHeight="1" x14ac:dyDescent="0.4">
      <c r="B431" s="38" t="s">
        <v>335</v>
      </c>
      <c r="C431" s="6" t="s">
        <v>160</v>
      </c>
      <c r="D431" s="6">
        <v>1</v>
      </c>
      <c r="E431" s="34">
        <v>6</v>
      </c>
      <c r="F431" s="212">
        <v>83083</v>
      </c>
      <c r="G431" s="195">
        <v>46098</v>
      </c>
      <c r="H431" s="8"/>
      <c r="I431" s="212"/>
      <c r="J431" s="8"/>
      <c r="K431" s="23">
        <f t="shared" si="106"/>
        <v>10</v>
      </c>
      <c r="L431" s="23">
        <f t="shared" si="105"/>
        <v>0</v>
      </c>
      <c r="M431" s="206">
        <f t="shared" si="109"/>
        <v>0</v>
      </c>
      <c r="N431" s="34"/>
      <c r="O431" s="209">
        <f t="shared" si="107"/>
        <v>-46097</v>
      </c>
      <c r="P431" s="34">
        <f t="shared" si="98"/>
        <v>498498</v>
      </c>
      <c r="Q431" s="34">
        <f t="shared" si="99"/>
        <v>0</v>
      </c>
      <c r="R431" s="7">
        <f t="shared" si="100"/>
        <v>-10</v>
      </c>
      <c r="S431" s="227">
        <f t="shared" si="101"/>
        <v>0</v>
      </c>
      <c r="T431" s="249">
        <f t="shared" si="102"/>
        <v>0</v>
      </c>
    </row>
    <row r="432" spans="2:21" ht="15" customHeight="1" x14ac:dyDescent="0.4">
      <c r="B432" s="38" t="s">
        <v>335</v>
      </c>
      <c r="C432" s="6" t="s">
        <v>160</v>
      </c>
      <c r="D432" s="6">
        <v>1</v>
      </c>
      <c r="E432" s="34">
        <v>10</v>
      </c>
      <c r="F432" s="212">
        <v>79500</v>
      </c>
      <c r="G432" s="195">
        <v>46100</v>
      </c>
      <c r="H432" s="8"/>
      <c r="I432" s="212"/>
      <c r="J432" s="8"/>
      <c r="K432" s="23">
        <f t="shared" si="106"/>
        <v>20</v>
      </c>
      <c r="L432" s="23">
        <f t="shared" si="105"/>
        <v>0</v>
      </c>
      <c r="M432" s="206">
        <f t="shared" si="109"/>
        <v>0</v>
      </c>
      <c r="N432" s="34"/>
      <c r="O432" s="209">
        <f t="shared" si="107"/>
        <v>-46099</v>
      </c>
      <c r="P432" s="34">
        <f t="shared" si="98"/>
        <v>795000</v>
      </c>
      <c r="Q432" s="34">
        <f t="shared" si="99"/>
        <v>0</v>
      </c>
      <c r="R432" s="7">
        <f t="shared" si="100"/>
        <v>-20</v>
      </c>
      <c r="S432" s="227">
        <f t="shared" si="101"/>
        <v>0</v>
      </c>
      <c r="T432" s="249">
        <f t="shared" si="102"/>
        <v>0</v>
      </c>
    </row>
    <row r="433" spans="2:23" ht="15" customHeight="1" x14ac:dyDescent="0.4">
      <c r="B433" s="38" t="s">
        <v>335</v>
      </c>
      <c r="C433" s="6" t="s">
        <v>160</v>
      </c>
      <c r="D433" s="6">
        <v>1</v>
      </c>
      <c r="E433" s="34">
        <v>5</v>
      </c>
      <c r="F433" s="212">
        <v>78000</v>
      </c>
      <c r="G433" s="195">
        <v>46101</v>
      </c>
      <c r="H433" s="8"/>
      <c r="I433" s="212"/>
      <c r="J433" s="8"/>
      <c r="K433" s="23">
        <f t="shared" si="106"/>
        <v>10</v>
      </c>
      <c r="L433" s="23">
        <f t="shared" ref="L433:L440" si="110">IF($C433="OTC",ROUNDDOWN($I433*$E433*0.000909187,-1),(IF($C433="신한",ROUNDDOWN($I433*$E433*0.000036396,-1),(IF($C433="토스",$I433*$E433*0.00015,(IF($C433="US",(IF($I433*$E433*0.0025&gt;0.01,$I433*$E433*0.0025,0.01)),(IF($C433="JP",(IF($I433*$E433*0.0025&gt;1000,$I433*$E433*0.0025,1000)),(IF($C433="R토스",$I433*$E433*0.00015,(IF($C433="무상증자(신한)",ROUNDDOWN($I433*$E433*0.000036396,-1),"")))))))))))))</f>
        <v>0</v>
      </c>
      <c r="M433" s="206">
        <f t="shared" si="109"/>
        <v>0</v>
      </c>
      <c r="N433" s="34"/>
      <c r="O433" s="209">
        <f t="shared" si="107"/>
        <v>-46100</v>
      </c>
      <c r="P433" s="34">
        <f t="shared" si="98"/>
        <v>390000</v>
      </c>
      <c r="Q433" s="34">
        <f t="shared" si="99"/>
        <v>0</v>
      </c>
      <c r="R433" s="7">
        <f t="shared" si="100"/>
        <v>-10</v>
      </c>
      <c r="S433" s="227">
        <f t="shared" si="101"/>
        <v>0</v>
      </c>
      <c r="T433" s="249">
        <f t="shared" si="102"/>
        <v>0</v>
      </c>
    </row>
    <row r="434" spans="2:23" ht="15" customHeight="1" x14ac:dyDescent="0.4">
      <c r="B434" s="38" t="s">
        <v>335</v>
      </c>
      <c r="C434" s="6" t="s">
        <v>160</v>
      </c>
      <c r="D434" s="6">
        <v>1</v>
      </c>
      <c r="E434" s="34">
        <v>1</v>
      </c>
      <c r="F434" s="212">
        <v>75200</v>
      </c>
      <c r="G434" s="195">
        <v>46104</v>
      </c>
      <c r="H434" s="8"/>
      <c r="I434" s="212"/>
      <c r="J434" s="8"/>
      <c r="K434" s="23">
        <f t="shared" si="106"/>
        <v>0</v>
      </c>
      <c r="L434" s="23">
        <f t="shared" si="110"/>
        <v>0</v>
      </c>
      <c r="M434" s="206">
        <f t="shared" si="109"/>
        <v>0</v>
      </c>
      <c r="N434" s="34"/>
      <c r="O434" s="209">
        <f t="shared" si="107"/>
        <v>-46103</v>
      </c>
      <c r="P434" s="34">
        <f t="shared" si="98"/>
        <v>75200</v>
      </c>
      <c r="Q434" s="34">
        <f t="shared" si="99"/>
        <v>0</v>
      </c>
      <c r="R434" s="7">
        <f t="shared" si="100"/>
        <v>0</v>
      </c>
      <c r="S434" s="227">
        <f t="shared" si="101"/>
        <v>0</v>
      </c>
      <c r="T434" s="249">
        <f t="shared" si="102"/>
        <v>0</v>
      </c>
    </row>
    <row r="435" spans="2:23" ht="15" customHeight="1" x14ac:dyDescent="0.4">
      <c r="B435" s="38" t="s">
        <v>35</v>
      </c>
      <c r="C435" s="6" t="s">
        <v>160</v>
      </c>
      <c r="D435" s="6">
        <f t="shared" ref="D435:D466" si="111">IF(OR($C435="신한",$C435="OTC",$C435="무상증자(신한)",$C435="토스",$C435="R토스"),1,"확인")</f>
        <v>1</v>
      </c>
      <c r="E435" s="34">
        <v>20</v>
      </c>
      <c r="F435" s="212">
        <v>945000</v>
      </c>
      <c r="G435" s="195">
        <v>44026</v>
      </c>
      <c r="H435" s="8"/>
      <c r="I435" s="212">
        <v>791000</v>
      </c>
      <c r="J435" s="8">
        <v>44039</v>
      </c>
      <c r="K435" s="23">
        <f t="shared" si="106"/>
        <v>680</v>
      </c>
      <c r="L435" s="23">
        <f t="shared" si="110"/>
        <v>570</v>
      </c>
      <c r="M435" s="206">
        <f t="shared" ref="M435:M443" si="112">Q435*0.0025</f>
        <v>39550</v>
      </c>
      <c r="N435" s="34"/>
      <c r="O435" s="209">
        <f t="shared" si="107"/>
        <v>14</v>
      </c>
      <c r="P435" s="34">
        <f t="shared" si="98"/>
        <v>18900000</v>
      </c>
      <c r="Q435" s="34">
        <f t="shared" si="99"/>
        <v>15820000</v>
      </c>
      <c r="R435" s="7">
        <f t="shared" si="100"/>
        <v>-40800</v>
      </c>
      <c r="S435" s="227">
        <f t="shared" si="101"/>
        <v>-3120800</v>
      </c>
      <c r="T435" s="248">
        <f t="shared" si="102"/>
        <v>-0.16512169312169311</v>
      </c>
    </row>
    <row r="436" spans="2:23" ht="15" customHeight="1" x14ac:dyDescent="0.4">
      <c r="B436" s="38" t="s">
        <v>35</v>
      </c>
      <c r="C436" s="6" t="s">
        <v>160</v>
      </c>
      <c r="D436" s="6">
        <f t="shared" si="111"/>
        <v>1</v>
      </c>
      <c r="E436" s="34">
        <v>6</v>
      </c>
      <c r="F436" s="212">
        <v>888000</v>
      </c>
      <c r="G436" s="195">
        <v>44028</v>
      </c>
      <c r="H436" s="8"/>
      <c r="I436" s="212">
        <v>791000</v>
      </c>
      <c r="J436" s="8">
        <v>44039</v>
      </c>
      <c r="K436" s="23">
        <f t="shared" si="106"/>
        <v>190</v>
      </c>
      <c r="L436" s="23">
        <f t="shared" si="110"/>
        <v>170</v>
      </c>
      <c r="M436" s="206">
        <f t="shared" si="112"/>
        <v>11865</v>
      </c>
      <c r="N436" s="34"/>
      <c r="O436" s="209">
        <f t="shared" si="107"/>
        <v>12</v>
      </c>
      <c r="P436" s="34">
        <f t="shared" si="98"/>
        <v>5328000</v>
      </c>
      <c r="Q436" s="34">
        <f t="shared" si="99"/>
        <v>4746000</v>
      </c>
      <c r="R436" s="7">
        <f t="shared" si="100"/>
        <v>-12225</v>
      </c>
      <c r="S436" s="227">
        <f t="shared" si="101"/>
        <v>-594225</v>
      </c>
      <c r="T436" s="249">
        <f t="shared" si="102"/>
        <v>-0.11152871621621621</v>
      </c>
    </row>
    <row r="437" spans="2:23" ht="15" customHeight="1" x14ac:dyDescent="0.4">
      <c r="B437" s="38" t="s">
        <v>35</v>
      </c>
      <c r="C437" s="6" t="s">
        <v>160</v>
      </c>
      <c r="D437" s="6">
        <f t="shared" si="111"/>
        <v>1</v>
      </c>
      <c r="E437" s="34">
        <v>15</v>
      </c>
      <c r="F437" s="212">
        <v>844000</v>
      </c>
      <c r="G437" s="195">
        <v>44049</v>
      </c>
      <c r="H437" s="8"/>
      <c r="I437" s="212">
        <v>865000</v>
      </c>
      <c r="J437" s="8">
        <v>44070</v>
      </c>
      <c r="K437" s="23">
        <f t="shared" si="106"/>
        <v>460</v>
      </c>
      <c r="L437" s="23">
        <f t="shared" si="110"/>
        <v>470</v>
      </c>
      <c r="M437" s="206">
        <f t="shared" si="112"/>
        <v>32437.5</v>
      </c>
      <c r="N437" s="34"/>
      <c r="O437" s="209">
        <f t="shared" si="107"/>
        <v>22</v>
      </c>
      <c r="P437" s="34">
        <f t="shared" si="98"/>
        <v>12660000</v>
      </c>
      <c r="Q437" s="34">
        <f t="shared" si="99"/>
        <v>12975000</v>
      </c>
      <c r="R437" s="7">
        <f t="shared" si="100"/>
        <v>-33367.5</v>
      </c>
      <c r="S437" s="227">
        <f t="shared" si="101"/>
        <v>281632.5</v>
      </c>
      <c r="T437" s="249">
        <f t="shared" si="102"/>
        <v>2.2245853080568721E-2</v>
      </c>
    </row>
    <row r="438" spans="2:23" ht="15" customHeight="1" x14ac:dyDescent="0.4">
      <c r="B438" s="38" t="s">
        <v>35</v>
      </c>
      <c r="C438" s="6" t="s">
        <v>160</v>
      </c>
      <c r="D438" s="6">
        <f t="shared" si="111"/>
        <v>1</v>
      </c>
      <c r="E438" s="34">
        <v>2</v>
      </c>
      <c r="F438" s="212">
        <v>840000</v>
      </c>
      <c r="G438" s="195">
        <v>44054</v>
      </c>
      <c r="H438" s="8"/>
      <c r="I438" s="212">
        <v>865000</v>
      </c>
      <c r="J438" s="8">
        <v>44070</v>
      </c>
      <c r="K438" s="23">
        <f t="shared" ref="K438:K469" si="113">IF($C438="OTC",ROUNDDOWN($E438*$F438*0.000909187,-1),(IF($C438="신한",ROUNDDOWN($E438*$F438*0.000036396,-1),(IF($C438="토스",$E438*$F438*0.00015,(IF($C438="US",(IF($E438*$F438*0.0025&gt;0.01,$E438*$F438*0.0025,0.01)),IF($C438="JP",(IF($E438*$F438*0.0025&gt;1000,$E438*$F438*0.0025,1000)),(IF($C438="R토스",0,IF($C438="무상증자(신한)",0,"")))))))))))</f>
        <v>60</v>
      </c>
      <c r="L438" s="23">
        <f t="shared" si="110"/>
        <v>60</v>
      </c>
      <c r="M438" s="206">
        <f t="shared" si="112"/>
        <v>4325</v>
      </c>
      <c r="N438" s="34"/>
      <c r="O438" s="209">
        <f t="shared" si="107"/>
        <v>17</v>
      </c>
      <c r="P438" s="34">
        <f t="shared" si="98"/>
        <v>1680000</v>
      </c>
      <c r="Q438" s="34">
        <f t="shared" si="99"/>
        <v>1730000</v>
      </c>
      <c r="R438" s="7">
        <f t="shared" si="100"/>
        <v>-4445</v>
      </c>
      <c r="S438" s="227">
        <f t="shared" si="101"/>
        <v>45555</v>
      </c>
      <c r="T438" s="249">
        <f t="shared" si="102"/>
        <v>2.7116071428571427E-2</v>
      </c>
    </row>
    <row r="439" spans="2:23" ht="15" customHeight="1" x14ac:dyDescent="0.4">
      <c r="B439" s="38" t="s">
        <v>35</v>
      </c>
      <c r="C439" s="6" t="s">
        <v>160</v>
      </c>
      <c r="D439" s="6">
        <f t="shared" si="111"/>
        <v>1</v>
      </c>
      <c r="E439" s="34">
        <v>1</v>
      </c>
      <c r="F439" s="212">
        <v>834000</v>
      </c>
      <c r="G439" s="195">
        <v>44055</v>
      </c>
      <c r="H439" s="8"/>
      <c r="I439" s="212">
        <v>865000</v>
      </c>
      <c r="J439" s="8">
        <v>44070</v>
      </c>
      <c r="K439" s="23">
        <f t="shared" si="113"/>
        <v>30</v>
      </c>
      <c r="L439" s="23">
        <f t="shared" si="110"/>
        <v>30</v>
      </c>
      <c r="M439" s="206">
        <f t="shared" si="112"/>
        <v>2162.5</v>
      </c>
      <c r="N439" s="34"/>
      <c r="O439" s="209">
        <f t="shared" si="107"/>
        <v>16</v>
      </c>
      <c r="P439" s="34">
        <f t="shared" si="98"/>
        <v>834000</v>
      </c>
      <c r="Q439" s="34">
        <f t="shared" si="99"/>
        <v>865000</v>
      </c>
      <c r="R439" s="7">
        <f t="shared" si="100"/>
        <v>-2222.5</v>
      </c>
      <c r="S439" s="227">
        <f t="shared" si="101"/>
        <v>28777.5</v>
      </c>
      <c r="T439" s="249">
        <f t="shared" si="102"/>
        <v>3.450539568345324E-2</v>
      </c>
    </row>
    <row r="440" spans="2:23" ht="15" customHeight="1" x14ac:dyDescent="0.4">
      <c r="B440" s="38" t="s">
        <v>35</v>
      </c>
      <c r="C440" s="6" t="s">
        <v>160</v>
      </c>
      <c r="D440" s="6">
        <f t="shared" si="111"/>
        <v>1</v>
      </c>
      <c r="E440" s="34">
        <v>5</v>
      </c>
      <c r="F440" s="212">
        <v>793000</v>
      </c>
      <c r="G440" s="195">
        <v>44063</v>
      </c>
      <c r="H440" s="8"/>
      <c r="I440" s="212">
        <v>865000</v>
      </c>
      <c r="J440" s="8">
        <v>44070</v>
      </c>
      <c r="K440" s="23">
        <f t="shared" si="113"/>
        <v>140</v>
      </c>
      <c r="L440" s="23">
        <f t="shared" si="110"/>
        <v>150</v>
      </c>
      <c r="M440" s="206">
        <f t="shared" si="112"/>
        <v>10812.5</v>
      </c>
      <c r="N440" s="34"/>
      <c r="O440" s="209">
        <f t="shared" si="107"/>
        <v>8</v>
      </c>
      <c r="P440" s="34">
        <f t="shared" si="98"/>
        <v>3965000</v>
      </c>
      <c r="Q440" s="34">
        <f t="shared" si="99"/>
        <v>4325000</v>
      </c>
      <c r="R440" s="7">
        <f t="shared" si="100"/>
        <v>-11102.5</v>
      </c>
      <c r="S440" s="227">
        <f t="shared" si="101"/>
        <v>348897.5</v>
      </c>
      <c r="T440" s="249">
        <f t="shared" si="102"/>
        <v>8.7994325346784363E-2</v>
      </c>
    </row>
    <row r="441" spans="2:23" ht="15" customHeight="1" x14ac:dyDescent="0.4">
      <c r="B441" s="38" t="s">
        <v>35</v>
      </c>
      <c r="C441" s="6" t="s">
        <v>160</v>
      </c>
      <c r="D441" s="6">
        <f t="shared" si="111"/>
        <v>1</v>
      </c>
      <c r="E441" s="34">
        <v>5</v>
      </c>
      <c r="F441" s="212">
        <v>850000</v>
      </c>
      <c r="G441" s="195">
        <v>44071</v>
      </c>
      <c r="H441" s="8"/>
      <c r="I441" s="212">
        <v>872000</v>
      </c>
      <c r="J441" s="8">
        <v>44181</v>
      </c>
      <c r="K441" s="23">
        <f t="shared" si="113"/>
        <v>150</v>
      </c>
      <c r="L441" s="23">
        <v>0</v>
      </c>
      <c r="M441" s="206">
        <f t="shared" si="112"/>
        <v>10900</v>
      </c>
      <c r="N441" s="34"/>
      <c r="O441" s="209">
        <f t="shared" si="107"/>
        <v>111</v>
      </c>
      <c r="P441" s="34">
        <f t="shared" si="98"/>
        <v>4250000</v>
      </c>
      <c r="Q441" s="34">
        <f t="shared" si="99"/>
        <v>4360000</v>
      </c>
      <c r="R441" s="7">
        <f t="shared" si="100"/>
        <v>-11050</v>
      </c>
      <c r="S441" s="227">
        <f t="shared" si="101"/>
        <v>98950</v>
      </c>
      <c r="T441" s="249">
        <f t="shared" si="102"/>
        <v>2.3282352941176469E-2</v>
      </c>
    </row>
    <row r="442" spans="2:23" ht="15" customHeight="1" x14ac:dyDescent="0.4">
      <c r="B442" s="38" t="s">
        <v>35</v>
      </c>
      <c r="C442" s="6" t="s">
        <v>160</v>
      </c>
      <c r="D442" s="6">
        <f t="shared" si="111"/>
        <v>1</v>
      </c>
      <c r="E442" s="34">
        <v>5</v>
      </c>
      <c r="F442" s="212">
        <v>844000</v>
      </c>
      <c r="G442" s="195">
        <v>44074</v>
      </c>
      <c r="H442" s="8"/>
      <c r="I442" s="212">
        <v>872000</v>
      </c>
      <c r="J442" s="8">
        <v>44181</v>
      </c>
      <c r="K442" s="23">
        <f t="shared" si="113"/>
        <v>150</v>
      </c>
      <c r="L442" s="23">
        <v>0</v>
      </c>
      <c r="M442" s="206">
        <f t="shared" si="112"/>
        <v>10900</v>
      </c>
      <c r="N442" s="34"/>
      <c r="O442" s="209">
        <f t="shared" si="107"/>
        <v>108</v>
      </c>
      <c r="P442" s="34">
        <f t="shared" si="98"/>
        <v>4220000</v>
      </c>
      <c r="Q442" s="34">
        <f t="shared" si="99"/>
        <v>4360000</v>
      </c>
      <c r="R442" s="7">
        <f t="shared" si="100"/>
        <v>-11050</v>
      </c>
      <c r="S442" s="227">
        <f t="shared" si="101"/>
        <v>128950</v>
      </c>
      <c r="T442" s="249">
        <f t="shared" si="102"/>
        <v>3.0556872037914691E-2</v>
      </c>
    </row>
    <row r="443" spans="2:23" ht="15" customHeight="1" x14ac:dyDescent="0.4">
      <c r="B443" s="38" t="s">
        <v>35</v>
      </c>
      <c r="C443" s="6" t="s">
        <v>160</v>
      </c>
      <c r="D443" s="6">
        <f t="shared" si="111"/>
        <v>1</v>
      </c>
      <c r="E443" s="34">
        <v>5</v>
      </c>
      <c r="F443" s="212">
        <v>825000</v>
      </c>
      <c r="G443" s="195">
        <v>44074</v>
      </c>
      <c r="H443" s="8"/>
      <c r="I443" s="212">
        <v>872000</v>
      </c>
      <c r="J443" s="8">
        <v>44181</v>
      </c>
      <c r="K443" s="23">
        <f t="shared" si="113"/>
        <v>150</v>
      </c>
      <c r="L443" s="23">
        <v>0</v>
      </c>
      <c r="M443" s="206">
        <f t="shared" si="112"/>
        <v>10900</v>
      </c>
      <c r="N443" s="34"/>
      <c r="O443" s="209">
        <f t="shared" si="107"/>
        <v>108</v>
      </c>
      <c r="P443" s="34">
        <f t="shared" si="98"/>
        <v>4125000</v>
      </c>
      <c r="Q443" s="34">
        <f t="shared" si="99"/>
        <v>4360000</v>
      </c>
      <c r="R443" s="7">
        <f t="shared" si="100"/>
        <v>-11050</v>
      </c>
      <c r="S443" s="227">
        <f t="shared" si="101"/>
        <v>223950</v>
      </c>
      <c r="T443" s="249">
        <f t="shared" si="102"/>
        <v>5.4290909090909091E-2</v>
      </c>
      <c r="V443" s="34"/>
      <c r="W443" s="34"/>
    </row>
    <row r="444" spans="2:23" ht="15" customHeight="1" x14ac:dyDescent="0.4">
      <c r="B444" s="38" t="s">
        <v>35</v>
      </c>
      <c r="C444" s="6" t="s">
        <v>160</v>
      </c>
      <c r="D444" s="6">
        <f t="shared" si="111"/>
        <v>1</v>
      </c>
      <c r="E444" s="34">
        <v>2</v>
      </c>
      <c r="F444" s="212">
        <v>858000</v>
      </c>
      <c r="G444" s="195">
        <v>44186</v>
      </c>
      <c r="H444" s="8"/>
      <c r="I444" s="212">
        <v>266000</v>
      </c>
      <c r="J444" s="8">
        <v>46134</v>
      </c>
      <c r="K444" s="23">
        <f t="shared" si="113"/>
        <v>60</v>
      </c>
      <c r="L444" s="23">
        <f t="shared" ref="L444:L475" si="114">IF($C444="OTC",ROUNDDOWN($I444*$E444*0.000909187,-1),(IF($C444="신한",ROUNDDOWN($I444*$E444*0.000036396,-1),(IF($C444="토스",$I444*$E444*0.00015,(IF($C444="US",(IF($I444*$E444*0.0025&gt;0.01,$I444*$E444*0.0025,0.01)),(IF($C444="JP",(IF($I444*$E444*0.0025&gt;1000,$I444*$E444*0.0025,1000)),(IF($C444="R토스",$I444*$E444*0.00015,(IF($C444="무상증자(신한)",ROUNDDOWN($I444*$E444*0.000036396,-1),"")))))))))))))</f>
        <v>10</v>
      </c>
      <c r="M444" s="206">
        <f>Q444*0.002</f>
        <v>1064</v>
      </c>
      <c r="N444" s="34">
        <f>E444*8550*(1-0.154)+E444*5860*(1-0.154)+E444*6680*(1-0.154)+E444*3130*(1-0.154)+E444*1460*(1-0.154)</f>
        <v>43450.559999999998</v>
      </c>
      <c r="O444" s="209">
        <f t="shared" si="107"/>
        <v>1949</v>
      </c>
      <c r="P444" s="34">
        <f t="shared" si="98"/>
        <v>1716000</v>
      </c>
      <c r="Q444" s="34">
        <f t="shared" si="99"/>
        <v>532000</v>
      </c>
      <c r="R444" s="7">
        <f t="shared" si="100"/>
        <v>42316.56</v>
      </c>
      <c r="S444" s="227">
        <f t="shared" si="101"/>
        <v>-1141683.44</v>
      </c>
      <c r="T444" s="249">
        <f t="shared" si="102"/>
        <v>-0.66531668997668991</v>
      </c>
    </row>
    <row r="445" spans="2:23" ht="15" customHeight="1" x14ac:dyDescent="0.4">
      <c r="B445" s="38" t="s">
        <v>35</v>
      </c>
      <c r="C445" s="6" t="s">
        <v>160</v>
      </c>
      <c r="D445" s="6">
        <f t="shared" si="111"/>
        <v>1</v>
      </c>
      <c r="E445" s="34">
        <v>1</v>
      </c>
      <c r="F445" s="212">
        <v>970000</v>
      </c>
      <c r="G445" s="195">
        <v>44201</v>
      </c>
      <c r="H445" s="8"/>
      <c r="I445" s="212">
        <v>266000</v>
      </c>
      <c r="J445" s="8">
        <v>46134</v>
      </c>
      <c r="K445" s="23">
        <f t="shared" si="113"/>
        <v>30</v>
      </c>
      <c r="L445" s="23">
        <f t="shared" si="114"/>
        <v>0</v>
      </c>
      <c r="M445" s="206">
        <f>Q445*0.002</f>
        <v>532</v>
      </c>
      <c r="N445" s="34">
        <f>E445*5860*(1-0.154)+E445*6680*(1-0.154)+E445*3130*(1-0.154)+E444*1460*(1-0.154)</f>
        <v>15727.14</v>
      </c>
      <c r="O445" s="209">
        <f t="shared" si="107"/>
        <v>1934</v>
      </c>
      <c r="P445" s="34">
        <f t="shared" si="98"/>
        <v>970000</v>
      </c>
      <c r="Q445" s="34">
        <f t="shared" si="99"/>
        <v>266000</v>
      </c>
      <c r="R445" s="7">
        <f t="shared" si="100"/>
        <v>15165.14</v>
      </c>
      <c r="S445" s="227">
        <f t="shared" si="101"/>
        <v>-688834.86</v>
      </c>
      <c r="T445" s="249">
        <f t="shared" si="102"/>
        <v>-0.71013903092783504</v>
      </c>
    </row>
    <row r="446" spans="2:23" ht="15" customHeight="1" x14ac:dyDescent="0.4">
      <c r="B446" s="38" t="s">
        <v>35</v>
      </c>
      <c r="C446" s="6" t="s">
        <v>160</v>
      </c>
      <c r="D446" s="6">
        <f t="shared" si="111"/>
        <v>1</v>
      </c>
      <c r="E446" s="34">
        <v>2</v>
      </c>
      <c r="F446" s="212">
        <v>300000</v>
      </c>
      <c r="G446" s="195">
        <v>45098</v>
      </c>
      <c r="H446" s="8"/>
      <c r="I446" s="212">
        <v>266000</v>
      </c>
      <c r="J446" s="8">
        <v>46134</v>
      </c>
      <c r="K446" s="23">
        <f t="shared" si="113"/>
        <v>20</v>
      </c>
      <c r="L446" s="23">
        <f t="shared" si="114"/>
        <v>10</v>
      </c>
      <c r="M446" s="206">
        <f>Q446*0.002</f>
        <v>1064</v>
      </c>
      <c r="N446" s="34">
        <f>E446*3130*(1-0.154)+E444*1460*(1-0.154)</f>
        <v>7766.28</v>
      </c>
      <c r="O446" s="209">
        <f t="shared" si="107"/>
        <v>1037</v>
      </c>
      <c r="P446" s="34">
        <f t="shared" si="98"/>
        <v>600000</v>
      </c>
      <c r="Q446" s="34">
        <f t="shared" si="99"/>
        <v>532000</v>
      </c>
      <c r="R446" s="7">
        <f t="shared" si="100"/>
        <v>6672.28</v>
      </c>
      <c r="S446" s="227">
        <f t="shared" si="101"/>
        <v>-61327.72</v>
      </c>
      <c r="T446" s="249">
        <f t="shared" si="102"/>
        <v>-0.10221286666666667</v>
      </c>
    </row>
    <row r="447" spans="2:23" ht="15" customHeight="1" x14ac:dyDescent="0.4">
      <c r="B447" s="38" t="s">
        <v>48</v>
      </c>
      <c r="C447" s="6" t="s">
        <v>160</v>
      </c>
      <c r="D447" s="6">
        <f t="shared" si="111"/>
        <v>1</v>
      </c>
      <c r="E447" s="34">
        <v>27</v>
      </c>
      <c r="F447" s="212">
        <v>37000</v>
      </c>
      <c r="G447" s="195">
        <v>44176</v>
      </c>
      <c r="H447" s="8"/>
      <c r="I447" s="212">
        <v>49000</v>
      </c>
      <c r="J447" s="8">
        <v>44207</v>
      </c>
      <c r="K447" s="23">
        <f t="shared" si="113"/>
        <v>30</v>
      </c>
      <c r="L447" s="23">
        <f t="shared" si="114"/>
        <v>40</v>
      </c>
      <c r="M447" s="206">
        <f>Q447*0.0023</f>
        <v>3042.9</v>
      </c>
      <c r="N447" s="34">
        <f>E447*500*(1-0.154)</f>
        <v>11421</v>
      </c>
      <c r="O447" s="209">
        <f t="shared" si="107"/>
        <v>32</v>
      </c>
      <c r="P447" s="34">
        <f t="shared" si="98"/>
        <v>999000</v>
      </c>
      <c r="Q447" s="34">
        <f t="shared" si="99"/>
        <v>1323000</v>
      </c>
      <c r="R447" s="7">
        <f t="shared" si="100"/>
        <v>8308.1</v>
      </c>
      <c r="S447" s="227">
        <f t="shared" si="101"/>
        <v>332308.09999999998</v>
      </c>
      <c r="T447" s="249">
        <f t="shared" si="102"/>
        <v>0.33264074074074074</v>
      </c>
    </row>
    <row r="448" spans="2:23" ht="15" customHeight="1" x14ac:dyDescent="0.4">
      <c r="B448" s="38" t="s">
        <v>48</v>
      </c>
      <c r="C448" s="6" t="s">
        <v>160</v>
      </c>
      <c r="D448" s="6">
        <f t="shared" si="111"/>
        <v>1</v>
      </c>
      <c r="E448" s="34">
        <v>28</v>
      </c>
      <c r="F448" s="212">
        <v>36700</v>
      </c>
      <c r="G448" s="195">
        <v>44179</v>
      </c>
      <c r="H448" s="8"/>
      <c r="I448" s="212">
        <v>49000</v>
      </c>
      <c r="J448" s="8">
        <v>44207</v>
      </c>
      <c r="K448" s="23">
        <f t="shared" si="113"/>
        <v>30</v>
      </c>
      <c r="L448" s="23">
        <f t="shared" si="114"/>
        <v>40</v>
      </c>
      <c r="M448" s="206">
        <f>Q448*0.0023</f>
        <v>3155.6</v>
      </c>
      <c r="N448" s="34">
        <f>E448*500*(1-0.154)</f>
        <v>11844</v>
      </c>
      <c r="O448" s="209">
        <f t="shared" si="107"/>
        <v>29</v>
      </c>
      <c r="P448" s="34">
        <f t="shared" si="98"/>
        <v>1027600</v>
      </c>
      <c r="Q448" s="34">
        <f t="shared" si="99"/>
        <v>1372000</v>
      </c>
      <c r="R448" s="7">
        <f t="shared" si="100"/>
        <v>8618.4</v>
      </c>
      <c r="S448" s="227">
        <f t="shared" si="101"/>
        <v>353018.4</v>
      </c>
      <c r="T448" s="249">
        <f t="shared" si="102"/>
        <v>0.34353678474114446</v>
      </c>
    </row>
    <row r="449" spans="2:20" ht="15" customHeight="1" x14ac:dyDescent="0.4">
      <c r="B449" s="38" t="s">
        <v>48</v>
      </c>
      <c r="C449" s="6" t="s">
        <v>160</v>
      </c>
      <c r="D449" s="6">
        <f t="shared" si="111"/>
        <v>1</v>
      </c>
      <c r="E449" s="34">
        <v>15</v>
      </c>
      <c r="F449" s="212">
        <v>38000</v>
      </c>
      <c r="G449" s="195">
        <v>44182</v>
      </c>
      <c r="H449" s="8"/>
      <c r="I449" s="212">
        <v>49000</v>
      </c>
      <c r="J449" s="8">
        <v>44207</v>
      </c>
      <c r="K449" s="23">
        <f t="shared" si="113"/>
        <v>20</v>
      </c>
      <c r="L449" s="23">
        <f t="shared" si="114"/>
        <v>20</v>
      </c>
      <c r="M449" s="206">
        <f>Q449*0.0023</f>
        <v>1690.5</v>
      </c>
      <c r="N449" s="34">
        <f>E449*500*(1-0.154)</f>
        <v>6345</v>
      </c>
      <c r="O449" s="209">
        <f t="shared" si="107"/>
        <v>26</v>
      </c>
      <c r="P449" s="34">
        <f t="shared" si="98"/>
        <v>570000</v>
      </c>
      <c r="Q449" s="34">
        <f t="shared" si="99"/>
        <v>735000</v>
      </c>
      <c r="R449" s="7">
        <f t="shared" si="100"/>
        <v>4614.5</v>
      </c>
      <c r="S449" s="227">
        <f t="shared" si="101"/>
        <v>169614.5</v>
      </c>
      <c r="T449" s="249">
        <f t="shared" si="102"/>
        <v>0.29756929824561401</v>
      </c>
    </row>
    <row r="450" spans="2:20" ht="15" customHeight="1" x14ac:dyDescent="0.4">
      <c r="B450" s="38" t="s">
        <v>48</v>
      </c>
      <c r="C450" s="6" t="s">
        <v>160</v>
      </c>
      <c r="D450" s="6">
        <f t="shared" si="111"/>
        <v>1</v>
      </c>
      <c r="E450" s="34">
        <v>12</v>
      </c>
      <c r="F450" s="212">
        <v>37500</v>
      </c>
      <c r="G450" s="195">
        <v>44183</v>
      </c>
      <c r="H450" s="8"/>
      <c r="I450" s="212">
        <v>49000</v>
      </c>
      <c r="J450" s="8">
        <v>44207</v>
      </c>
      <c r="K450" s="23">
        <f t="shared" si="113"/>
        <v>10</v>
      </c>
      <c r="L450" s="23">
        <f t="shared" si="114"/>
        <v>20</v>
      </c>
      <c r="M450" s="206">
        <f>Q450*0.0023</f>
        <v>1352.3999999999999</v>
      </c>
      <c r="N450" s="34">
        <f>E450*500*(1-0.154)</f>
        <v>5076</v>
      </c>
      <c r="O450" s="209">
        <f t="shared" si="107"/>
        <v>25</v>
      </c>
      <c r="P450" s="34">
        <f t="shared" si="98"/>
        <v>450000</v>
      </c>
      <c r="Q450" s="34">
        <f t="shared" si="99"/>
        <v>588000</v>
      </c>
      <c r="R450" s="7">
        <f t="shared" si="100"/>
        <v>3693.6000000000004</v>
      </c>
      <c r="S450" s="227">
        <f t="shared" si="101"/>
        <v>141693.6</v>
      </c>
      <c r="T450" s="249">
        <f t="shared" si="102"/>
        <v>0.31487466666666669</v>
      </c>
    </row>
    <row r="451" spans="2:20" ht="15" customHeight="1" x14ac:dyDescent="0.4">
      <c r="B451" s="38" t="s">
        <v>48</v>
      </c>
      <c r="C451" s="6" t="s">
        <v>160</v>
      </c>
      <c r="D451" s="6">
        <f t="shared" si="111"/>
        <v>1</v>
      </c>
      <c r="E451" s="34">
        <v>27</v>
      </c>
      <c r="F451" s="212">
        <v>37500</v>
      </c>
      <c r="G451" s="195">
        <v>44187</v>
      </c>
      <c r="H451" s="8"/>
      <c r="I451" s="212">
        <v>49000</v>
      </c>
      <c r="J451" s="8">
        <v>44207</v>
      </c>
      <c r="K451" s="23">
        <f t="shared" si="113"/>
        <v>30</v>
      </c>
      <c r="L451" s="23">
        <f t="shared" si="114"/>
        <v>40</v>
      </c>
      <c r="M451" s="206">
        <f>Q451*0.0023</f>
        <v>3042.9</v>
      </c>
      <c r="N451" s="34">
        <f>E451*500*(1-0.154)</f>
        <v>11421</v>
      </c>
      <c r="O451" s="209">
        <f t="shared" si="107"/>
        <v>21</v>
      </c>
      <c r="P451" s="34">
        <f t="shared" si="98"/>
        <v>1012500</v>
      </c>
      <c r="Q451" s="34">
        <f t="shared" si="99"/>
        <v>1323000</v>
      </c>
      <c r="R451" s="7">
        <f t="shared" si="100"/>
        <v>8308.1</v>
      </c>
      <c r="S451" s="227">
        <f t="shared" si="101"/>
        <v>318808.09999999998</v>
      </c>
      <c r="T451" s="249">
        <f t="shared" si="102"/>
        <v>0.31487219753086415</v>
      </c>
    </row>
    <row r="452" spans="2:20" ht="15" customHeight="1" x14ac:dyDescent="0.4">
      <c r="B452" s="38" t="s">
        <v>48</v>
      </c>
      <c r="C452" s="6" t="s">
        <v>160</v>
      </c>
      <c r="D452" s="6">
        <f t="shared" si="111"/>
        <v>1</v>
      </c>
      <c r="E452" s="34">
        <v>48</v>
      </c>
      <c r="F452" s="212">
        <v>57600</v>
      </c>
      <c r="G452" s="195">
        <v>44216</v>
      </c>
      <c r="H452" s="8"/>
      <c r="I452" s="212">
        <v>23700</v>
      </c>
      <c r="J452" s="8">
        <v>46134</v>
      </c>
      <c r="K452" s="23">
        <f t="shared" si="113"/>
        <v>100</v>
      </c>
      <c r="L452" s="23">
        <f t="shared" si="114"/>
        <v>40</v>
      </c>
      <c r="M452" s="206">
        <f t="shared" ref="M452:M515" si="115">Q452*0.002</f>
        <v>2275.2000000000003</v>
      </c>
      <c r="N452" s="34">
        <f>E452*500*(1-0.154)+E452*500*(1-0.154)+E452*600*(1-0.154)+E452*800*(1-0.154)+E452*1000</f>
        <v>145459.20000000001</v>
      </c>
      <c r="O452" s="209">
        <f t="shared" si="107"/>
        <v>1919</v>
      </c>
      <c r="P452" s="34">
        <f t="shared" ref="P452:P507" si="116">$E452*$F452*$D452</f>
        <v>2764800</v>
      </c>
      <c r="Q452" s="34">
        <f t="shared" ref="Q452:Q507" si="117">$E452*$I452*$D452</f>
        <v>1137600</v>
      </c>
      <c r="R452" s="7">
        <f t="shared" ref="R452:R507" si="118">($N452-$K452-$L452-$M452)*$D452</f>
        <v>143044</v>
      </c>
      <c r="S452" s="227">
        <f t="shared" ref="S452:S515" si="119">IF(Q452=0,0,Q452-P452+R452)</f>
        <v>-1484156</v>
      </c>
      <c r="T452" s="249">
        <f t="shared" ref="T452:T515" si="120">S452/P452</f>
        <v>-0.53680410879629625</v>
      </c>
    </row>
    <row r="453" spans="2:20" ht="15" customHeight="1" x14ac:dyDescent="0.4">
      <c r="B453" s="38" t="s">
        <v>48</v>
      </c>
      <c r="C453" s="6" t="s">
        <v>160</v>
      </c>
      <c r="D453" s="6">
        <f t="shared" si="111"/>
        <v>1</v>
      </c>
      <c r="E453" s="34">
        <v>10</v>
      </c>
      <c r="F453" s="212">
        <v>54000</v>
      </c>
      <c r="G453" s="195">
        <v>44273</v>
      </c>
      <c r="H453" s="8"/>
      <c r="I453" s="212">
        <v>23700</v>
      </c>
      <c r="J453" s="8">
        <v>46134</v>
      </c>
      <c r="K453" s="23">
        <f t="shared" si="113"/>
        <v>10</v>
      </c>
      <c r="L453" s="23">
        <f t="shared" si="114"/>
        <v>0</v>
      </c>
      <c r="M453" s="206">
        <f t="shared" si="115"/>
        <v>474</v>
      </c>
      <c r="N453" s="34">
        <f>E453*500*(1-0.154)+E453*500*(1-0.154)+E453*600*(1-0.154)+E453*800*(1-0.154)+E453*1000</f>
        <v>30304</v>
      </c>
      <c r="O453" s="209">
        <f t="shared" si="107"/>
        <v>1862</v>
      </c>
      <c r="P453" s="34">
        <f t="shared" si="116"/>
        <v>540000</v>
      </c>
      <c r="Q453" s="34">
        <f t="shared" si="117"/>
        <v>237000</v>
      </c>
      <c r="R453" s="7">
        <f t="shared" si="118"/>
        <v>29820</v>
      </c>
      <c r="S453" s="227">
        <f t="shared" si="119"/>
        <v>-273180</v>
      </c>
      <c r="T453" s="249">
        <f t="shared" si="120"/>
        <v>-0.50588888888888894</v>
      </c>
    </row>
    <row r="454" spans="2:20" ht="15" customHeight="1" x14ac:dyDescent="0.4">
      <c r="B454" s="38" t="s">
        <v>48</v>
      </c>
      <c r="C454" s="6" t="s">
        <v>160</v>
      </c>
      <c r="D454" s="6">
        <f t="shared" si="111"/>
        <v>1</v>
      </c>
      <c r="E454" s="34">
        <v>10</v>
      </c>
      <c r="F454" s="212">
        <v>44800</v>
      </c>
      <c r="G454" s="195">
        <v>44432</v>
      </c>
      <c r="H454" s="8"/>
      <c r="I454" s="212">
        <v>23700</v>
      </c>
      <c r="J454" s="8">
        <v>46134</v>
      </c>
      <c r="K454" s="23">
        <f t="shared" si="113"/>
        <v>10</v>
      </c>
      <c r="L454" s="23">
        <f t="shared" si="114"/>
        <v>0</v>
      </c>
      <c r="M454" s="206">
        <f t="shared" si="115"/>
        <v>474</v>
      </c>
      <c r="N454" s="34">
        <f>E454*500*(1-0.154)+E454*500*(1-0.154)+E454*600*(1-0.154)+E454*800*(1-0.154)+E454*1000</f>
        <v>30304</v>
      </c>
      <c r="O454" s="209">
        <f t="shared" si="107"/>
        <v>1703</v>
      </c>
      <c r="P454" s="34">
        <f t="shared" si="116"/>
        <v>448000</v>
      </c>
      <c r="Q454" s="34">
        <f t="shared" si="117"/>
        <v>237000</v>
      </c>
      <c r="R454" s="7">
        <f t="shared" si="118"/>
        <v>29820</v>
      </c>
      <c r="S454" s="227">
        <f t="shared" si="119"/>
        <v>-181180</v>
      </c>
      <c r="T454" s="249">
        <f t="shared" si="120"/>
        <v>-0.40441964285714288</v>
      </c>
    </row>
    <row r="455" spans="2:20" ht="15" customHeight="1" x14ac:dyDescent="0.4">
      <c r="B455" s="38" t="s">
        <v>48</v>
      </c>
      <c r="C455" s="6" t="s">
        <v>160</v>
      </c>
      <c r="D455" s="6">
        <f t="shared" si="111"/>
        <v>1</v>
      </c>
      <c r="E455" s="34">
        <v>7</v>
      </c>
      <c r="F455" s="212">
        <v>24250</v>
      </c>
      <c r="G455" s="195">
        <v>45364</v>
      </c>
      <c r="H455" s="8"/>
      <c r="I455" s="212">
        <v>23700</v>
      </c>
      <c r="J455" s="8">
        <v>46134</v>
      </c>
      <c r="K455" s="23">
        <f t="shared" si="113"/>
        <v>0</v>
      </c>
      <c r="L455" s="23">
        <f t="shared" si="114"/>
        <v>0</v>
      </c>
      <c r="M455" s="206">
        <f t="shared" si="115"/>
        <v>331.8</v>
      </c>
      <c r="N455" s="34">
        <f>E455*800*(1-0.154)+E455*1000</f>
        <v>11737.599999999999</v>
      </c>
      <c r="O455" s="209">
        <f t="shared" si="107"/>
        <v>771</v>
      </c>
      <c r="P455" s="34">
        <f t="shared" si="116"/>
        <v>169750</v>
      </c>
      <c r="Q455" s="34">
        <f t="shared" si="117"/>
        <v>165900</v>
      </c>
      <c r="R455" s="7">
        <f t="shared" si="118"/>
        <v>11405.8</v>
      </c>
      <c r="S455" s="227">
        <f t="shared" si="119"/>
        <v>7555.7999999999993</v>
      </c>
      <c r="T455" s="249">
        <f t="shared" si="120"/>
        <v>4.4511340206185565E-2</v>
      </c>
    </row>
    <row r="456" spans="2:20" ht="15" customHeight="1" x14ac:dyDescent="0.4">
      <c r="B456" s="38" t="s">
        <v>48</v>
      </c>
      <c r="C456" s="6" t="s">
        <v>160</v>
      </c>
      <c r="D456" s="6">
        <f t="shared" si="111"/>
        <v>1</v>
      </c>
      <c r="E456" s="34">
        <v>1</v>
      </c>
      <c r="F456" s="212">
        <v>19000</v>
      </c>
      <c r="G456" s="195">
        <v>45659</v>
      </c>
      <c r="H456" s="8"/>
      <c r="I456" s="212">
        <v>23700</v>
      </c>
      <c r="J456" s="8">
        <v>46134</v>
      </c>
      <c r="K456" s="23">
        <f t="shared" si="113"/>
        <v>0</v>
      </c>
      <c r="L456" s="23">
        <f t="shared" si="114"/>
        <v>0</v>
      </c>
      <c r="M456" s="206">
        <f t="shared" si="115"/>
        <v>47.4</v>
      </c>
      <c r="N456" s="34">
        <f t="shared" ref="N456:N487" si="121">E456*1000</f>
        <v>1000</v>
      </c>
      <c r="O456" s="209">
        <f t="shared" si="107"/>
        <v>476</v>
      </c>
      <c r="P456" s="34">
        <f t="shared" si="116"/>
        <v>19000</v>
      </c>
      <c r="Q456" s="34">
        <f t="shared" si="117"/>
        <v>23700</v>
      </c>
      <c r="R456" s="7">
        <f t="shared" si="118"/>
        <v>952.6</v>
      </c>
      <c r="S456" s="227">
        <f t="shared" si="119"/>
        <v>5652.6</v>
      </c>
      <c r="T456" s="249">
        <f t="shared" si="120"/>
        <v>0.29750526315789477</v>
      </c>
    </row>
    <row r="457" spans="2:20" ht="15" customHeight="1" x14ac:dyDescent="0.4">
      <c r="B457" s="38" t="s">
        <v>48</v>
      </c>
      <c r="C457" s="6" t="s">
        <v>160</v>
      </c>
      <c r="D457" s="6">
        <f t="shared" si="111"/>
        <v>1</v>
      </c>
      <c r="E457" s="34">
        <v>1</v>
      </c>
      <c r="F457" s="212">
        <v>20100</v>
      </c>
      <c r="G457" s="195">
        <v>45666</v>
      </c>
      <c r="H457" s="8"/>
      <c r="I457" s="212">
        <v>23700</v>
      </c>
      <c r="J457" s="8">
        <v>46134</v>
      </c>
      <c r="K457" s="23">
        <f t="shared" si="113"/>
        <v>0</v>
      </c>
      <c r="L457" s="23">
        <f t="shared" si="114"/>
        <v>0</v>
      </c>
      <c r="M457" s="206">
        <f t="shared" si="115"/>
        <v>47.4</v>
      </c>
      <c r="N457" s="34">
        <f t="shared" si="121"/>
        <v>1000</v>
      </c>
      <c r="O457" s="209">
        <f t="shared" si="107"/>
        <v>469</v>
      </c>
      <c r="P457" s="34">
        <f t="shared" si="116"/>
        <v>20100</v>
      </c>
      <c r="Q457" s="34">
        <f t="shared" si="117"/>
        <v>23700</v>
      </c>
      <c r="R457" s="7">
        <f t="shared" si="118"/>
        <v>952.6</v>
      </c>
      <c r="S457" s="227">
        <f t="shared" si="119"/>
        <v>4552.6000000000004</v>
      </c>
      <c r="T457" s="249">
        <f t="shared" si="120"/>
        <v>0.22649751243781097</v>
      </c>
    </row>
    <row r="458" spans="2:20" ht="15" customHeight="1" x14ac:dyDescent="0.4">
      <c r="B458" s="38" t="s">
        <v>48</v>
      </c>
      <c r="C458" s="6" t="s">
        <v>160</v>
      </c>
      <c r="D458" s="6">
        <f t="shared" si="111"/>
        <v>1</v>
      </c>
      <c r="E458" s="34">
        <v>1</v>
      </c>
      <c r="F458" s="212">
        <v>21150</v>
      </c>
      <c r="G458" s="195">
        <v>45673</v>
      </c>
      <c r="H458" s="8"/>
      <c r="I458" s="212">
        <v>23700</v>
      </c>
      <c r="J458" s="8">
        <v>46134</v>
      </c>
      <c r="K458" s="23">
        <f t="shared" si="113"/>
        <v>0</v>
      </c>
      <c r="L458" s="23">
        <f t="shared" si="114"/>
        <v>0</v>
      </c>
      <c r="M458" s="206">
        <f t="shared" si="115"/>
        <v>47.4</v>
      </c>
      <c r="N458" s="34">
        <f t="shared" si="121"/>
        <v>1000</v>
      </c>
      <c r="O458" s="209">
        <f t="shared" si="107"/>
        <v>462</v>
      </c>
      <c r="P458" s="34">
        <f t="shared" si="116"/>
        <v>21150</v>
      </c>
      <c r="Q458" s="34">
        <f t="shared" si="117"/>
        <v>23700</v>
      </c>
      <c r="R458" s="7">
        <f t="shared" si="118"/>
        <v>952.6</v>
      </c>
      <c r="S458" s="227">
        <f t="shared" si="119"/>
        <v>3502.6</v>
      </c>
      <c r="T458" s="249">
        <f t="shared" si="120"/>
        <v>0.16560756501182033</v>
      </c>
    </row>
    <row r="459" spans="2:20" ht="15" customHeight="1" x14ac:dyDescent="0.4">
      <c r="B459" s="38" t="s">
        <v>48</v>
      </c>
      <c r="C459" s="6" t="s">
        <v>160</v>
      </c>
      <c r="D459" s="6">
        <f t="shared" si="111"/>
        <v>1</v>
      </c>
      <c r="E459" s="34">
        <v>1</v>
      </c>
      <c r="F459" s="212">
        <v>23050</v>
      </c>
      <c r="G459" s="195">
        <v>45680</v>
      </c>
      <c r="H459" s="8"/>
      <c r="I459" s="212">
        <v>23700</v>
      </c>
      <c r="J459" s="8">
        <v>46134</v>
      </c>
      <c r="K459" s="23">
        <f t="shared" si="113"/>
        <v>0</v>
      </c>
      <c r="L459" s="23">
        <f t="shared" si="114"/>
        <v>0</v>
      </c>
      <c r="M459" s="206">
        <f t="shared" si="115"/>
        <v>47.4</v>
      </c>
      <c r="N459" s="34">
        <f t="shared" si="121"/>
        <v>1000</v>
      </c>
      <c r="O459" s="209">
        <f t="shared" si="107"/>
        <v>455</v>
      </c>
      <c r="P459" s="34">
        <f t="shared" si="116"/>
        <v>23050</v>
      </c>
      <c r="Q459" s="34">
        <f t="shared" si="117"/>
        <v>23700</v>
      </c>
      <c r="R459" s="7">
        <f t="shared" si="118"/>
        <v>952.6</v>
      </c>
      <c r="S459" s="227">
        <f t="shared" si="119"/>
        <v>1602.6</v>
      </c>
      <c r="T459" s="249">
        <f t="shared" si="120"/>
        <v>6.9527114967462042E-2</v>
      </c>
    </row>
    <row r="460" spans="2:20" ht="15" customHeight="1" x14ac:dyDescent="0.4">
      <c r="B460" s="38" t="s">
        <v>48</v>
      </c>
      <c r="C460" s="6" t="s">
        <v>160</v>
      </c>
      <c r="D460" s="6">
        <f t="shared" si="111"/>
        <v>1</v>
      </c>
      <c r="E460" s="34">
        <v>1</v>
      </c>
      <c r="F460" s="212">
        <v>23200</v>
      </c>
      <c r="G460" s="195">
        <v>45688</v>
      </c>
      <c r="H460" s="8"/>
      <c r="I460" s="212">
        <v>23700</v>
      </c>
      <c r="J460" s="8">
        <v>46134</v>
      </c>
      <c r="K460" s="23">
        <f t="shared" si="113"/>
        <v>0</v>
      </c>
      <c r="L460" s="23">
        <f t="shared" si="114"/>
        <v>0</v>
      </c>
      <c r="M460" s="206">
        <f t="shared" si="115"/>
        <v>47.4</v>
      </c>
      <c r="N460" s="34">
        <f t="shared" si="121"/>
        <v>1000</v>
      </c>
      <c r="O460" s="209">
        <f t="shared" si="107"/>
        <v>447</v>
      </c>
      <c r="P460" s="34">
        <f t="shared" si="116"/>
        <v>23200</v>
      </c>
      <c r="Q460" s="34">
        <f t="shared" si="117"/>
        <v>23700</v>
      </c>
      <c r="R460" s="7">
        <f t="shared" si="118"/>
        <v>952.6</v>
      </c>
      <c r="S460" s="227">
        <f t="shared" si="119"/>
        <v>1452.6</v>
      </c>
      <c r="T460" s="249">
        <f t="shared" si="120"/>
        <v>6.2612068965517242E-2</v>
      </c>
    </row>
    <row r="461" spans="2:20" ht="15" customHeight="1" x14ac:dyDescent="0.4">
      <c r="B461" s="38" t="s">
        <v>48</v>
      </c>
      <c r="C461" s="6" t="s">
        <v>160</v>
      </c>
      <c r="D461" s="6">
        <f t="shared" si="111"/>
        <v>1</v>
      </c>
      <c r="E461" s="34">
        <v>1</v>
      </c>
      <c r="F461" s="212">
        <v>23000</v>
      </c>
      <c r="G461" s="195">
        <v>45694</v>
      </c>
      <c r="H461" s="8"/>
      <c r="I461" s="212">
        <v>23700</v>
      </c>
      <c r="J461" s="8">
        <v>46134</v>
      </c>
      <c r="K461" s="23">
        <f t="shared" si="113"/>
        <v>0</v>
      </c>
      <c r="L461" s="23">
        <f t="shared" si="114"/>
        <v>0</v>
      </c>
      <c r="M461" s="206">
        <f t="shared" si="115"/>
        <v>47.4</v>
      </c>
      <c r="N461" s="34">
        <f t="shared" si="121"/>
        <v>1000</v>
      </c>
      <c r="O461" s="209">
        <f t="shared" si="107"/>
        <v>441</v>
      </c>
      <c r="P461" s="34">
        <f t="shared" si="116"/>
        <v>23000</v>
      </c>
      <c r="Q461" s="34">
        <f t="shared" si="117"/>
        <v>23700</v>
      </c>
      <c r="R461" s="7">
        <f t="shared" si="118"/>
        <v>952.6</v>
      </c>
      <c r="S461" s="227">
        <f t="shared" si="119"/>
        <v>1652.6</v>
      </c>
      <c r="T461" s="249">
        <f t="shared" si="120"/>
        <v>7.1852173913043479E-2</v>
      </c>
    </row>
    <row r="462" spans="2:20" ht="15" customHeight="1" x14ac:dyDescent="0.4">
      <c r="B462" s="38" t="s">
        <v>48</v>
      </c>
      <c r="C462" s="6" t="s">
        <v>160</v>
      </c>
      <c r="D462" s="6">
        <f t="shared" si="111"/>
        <v>1</v>
      </c>
      <c r="E462" s="34">
        <v>1</v>
      </c>
      <c r="F462" s="212">
        <v>23950</v>
      </c>
      <c r="G462" s="195">
        <v>45701</v>
      </c>
      <c r="H462" s="8"/>
      <c r="I462" s="212">
        <v>23700</v>
      </c>
      <c r="J462" s="8">
        <v>46134</v>
      </c>
      <c r="K462" s="23">
        <f t="shared" si="113"/>
        <v>0</v>
      </c>
      <c r="L462" s="23">
        <f t="shared" si="114"/>
        <v>0</v>
      </c>
      <c r="M462" s="206">
        <f t="shared" si="115"/>
        <v>47.4</v>
      </c>
      <c r="N462" s="34">
        <f t="shared" si="121"/>
        <v>1000</v>
      </c>
      <c r="O462" s="209">
        <f t="shared" si="107"/>
        <v>434</v>
      </c>
      <c r="P462" s="34">
        <f t="shared" si="116"/>
        <v>23950</v>
      </c>
      <c r="Q462" s="34">
        <f t="shared" si="117"/>
        <v>23700</v>
      </c>
      <c r="R462" s="7">
        <f t="shared" si="118"/>
        <v>952.6</v>
      </c>
      <c r="S462" s="227">
        <f t="shared" si="119"/>
        <v>702.6</v>
      </c>
      <c r="T462" s="249">
        <f t="shared" si="120"/>
        <v>2.9336116910229647E-2</v>
      </c>
    </row>
    <row r="463" spans="2:20" ht="15" customHeight="1" x14ac:dyDescent="0.4">
      <c r="B463" s="38" t="s">
        <v>48</v>
      </c>
      <c r="C463" s="6" t="s">
        <v>160</v>
      </c>
      <c r="D463" s="6">
        <f t="shared" si="111"/>
        <v>1</v>
      </c>
      <c r="E463" s="34">
        <v>1</v>
      </c>
      <c r="F463" s="212">
        <v>24300</v>
      </c>
      <c r="G463" s="195">
        <v>45708</v>
      </c>
      <c r="H463" s="8"/>
      <c r="I463" s="212">
        <v>23700</v>
      </c>
      <c r="J463" s="8">
        <v>46134</v>
      </c>
      <c r="K463" s="23">
        <f t="shared" si="113"/>
        <v>0</v>
      </c>
      <c r="L463" s="23">
        <f t="shared" si="114"/>
        <v>0</v>
      </c>
      <c r="M463" s="206">
        <f t="shared" si="115"/>
        <v>47.4</v>
      </c>
      <c r="N463" s="34">
        <f t="shared" si="121"/>
        <v>1000</v>
      </c>
      <c r="O463" s="209">
        <f t="shared" si="107"/>
        <v>427</v>
      </c>
      <c r="P463" s="34">
        <f t="shared" si="116"/>
        <v>24300</v>
      </c>
      <c r="Q463" s="34">
        <f t="shared" si="117"/>
        <v>23700</v>
      </c>
      <c r="R463" s="7">
        <f t="shared" si="118"/>
        <v>952.6</v>
      </c>
      <c r="S463" s="227">
        <f t="shared" si="119"/>
        <v>352.6</v>
      </c>
      <c r="T463" s="249">
        <f t="shared" si="120"/>
        <v>1.4510288065843622E-2</v>
      </c>
    </row>
    <row r="464" spans="2:20" ht="15" customHeight="1" x14ac:dyDescent="0.4">
      <c r="B464" s="38" t="s">
        <v>48</v>
      </c>
      <c r="C464" s="6" t="s">
        <v>160</v>
      </c>
      <c r="D464" s="6">
        <f t="shared" si="111"/>
        <v>1</v>
      </c>
      <c r="E464" s="34">
        <v>1</v>
      </c>
      <c r="F464" s="212">
        <v>23950</v>
      </c>
      <c r="G464" s="195">
        <v>45715</v>
      </c>
      <c r="H464" s="8"/>
      <c r="I464" s="212">
        <v>23700</v>
      </c>
      <c r="J464" s="8">
        <v>46134</v>
      </c>
      <c r="K464" s="23">
        <f t="shared" si="113"/>
        <v>0</v>
      </c>
      <c r="L464" s="23">
        <f t="shared" si="114"/>
        <v>0</v>
      </c>
      <c r="M464" s="206">
        <f t="shared" si="115"/>
        <v>47.4</v>
      </c>
      <c r="N464" s="34">
        <f t="shared" si="121"/>
        <v>1000</v>
      </c>
      <c r="O464" s="209">
        <f t="shared" si="107"/>
        <v>420</v>
      </c>
      <c r="P464" s="34">
        <f t="shared" si="116"/>
        <v>23950</v>
      </c>
      <c r="Q464" s="34">
        <f t="shared" si="117"/>
        <v>23700</v>
      </c>
      <c r="R464" s="7">
        <f t="shared" si="118"/>
        <v>952.6</v>
      </c>
      <c r="S464" s="227">
        <f t="shared" si="119"/>
        <v>702.6</v>
      </c>
      <c r="T464" s="249">
        <f t="shared" si="120"/>
        <v>2.9336116910229647E-2</v>
      </c>
    </row>
    <row r="465" spans="2:20" ht="15" customHeight="1" x14ac:dyDescent="0.4">
      <c r="B465" s="38" t="s">
        <v>48</v>
      </c>
      <c r="C465" s="6" t="s">
        <v>160</v>
      </c>
      <c r="D465" s="6">
        <f t="shared" si="111"/>
        <v>1</v>
      </c>
      <c r="E465" s="34">
        <v>1</v>
      </c>
      <c r="F465" s="212">
        <v>23700</v>
      </c>
      <c r="G465" s="195">
        <v>45722</v>
      </c>
      <c r="H465" s="8"/>
      <c r="I465" s="212">
        <v>23700</v>
      </c>
      <c r="J465" s="8">
        <v>46134</v>
      </c>
      <c r="K465" s="23">
        <f t="shared" si="113"/>
        <v>0</v>
      </c>
      <c r="L465" s="23">
        <f t="shared" si="114"/>
        <v>0</v>
      </c>
      <c r="M465" s="206">
        <f t="shared" si="115"/>
        <v>47.4</v>
      </c>
      <c r="N465" s="34">
        <f t="shared" si="121"/>
        <v>1000</v>
      </c>
      <c r="O465" s="209">
        <f t="shared" si="107"/>
        <v>413</v>
      </c>
      <c r="P465" s="34">
        <f t="shared" si="116"/>
        <v>23700</v>
      </c>
      <c r="Q465" s="34">
        <f t="shared" si="117"/>
        <v>23700</v>
      </c>
      <c r="R465" s="7">
        <f t="shared" si="118"/>
        <v>952.6</v>
      </c>
      <c r="S465" s="227">
        <f t="shared" si="119"/>
        <v>952.6</v>
      </c>
      <c r="T465" s="249">
        <f t="shared" si="120"/>
        <v>4.0194092827004223E-2</v>
      </c>
    </row>
    <row r="466" spans="2:20" ht="15" customHeight="1" x14ac:dyDescent="0.4">
      <c r="B466" s="38" t="s">
        <v>48</v>
      </c>
      <c r="C466" s="6" t="s">
        <v>160</v>
      </c>
      <c r="D466" s="6">
        <f t="shared" si="111"/>
        <v>1</v>
      </c>
      <c r="E466" s="34">
        <v>1</v>
      </c>
      <c r="F466" s="212">
        <v>24450</v>
      </c>
      <c r="G466" s="195">
        <v>45729</v>
      </c>
      <c r="H466" s="8"/>
      <c r="I466" s="212">
        <v>23700</v>
      </c>
      <c r="J466" s="8">
        <v>46134</v>
      </c>
      <c r="K466" s="23">
        <f t="shared" si="113"/>
        <v>0</v>
      </c>
      <c r="L466" s="23">
        <f t="shared" si="114"/>
        <v>0</v>
      </c>
      <c r="M466" s="206">
        <f t="shared" si="115"/>
        <v>47.4</v>
      </c>
      <c r="N466" s="34">
        <f t="shared" si="121"/>
        <v>1000</v>
      </c>
      <c r="O466" s="209">
        <f t="shared" si="107"/>
        <v>406</v>
      </c>
      <c r="P466" s="34">
        <f t="shared" si="116"/>
        <v>24450</v>
      </c>
      <c r="Q466" s="34">
        <f t="shared" si="117"/>
        <v>23700</v>
      </c>
      <c r="R466" s="7">
        <f t="shared" si="118"/>
        <v>952.6</v>
      </c>
      <c r="S466" s="227">
        <f t="shared" si="119"/>
        <v>202.60000000000002</v>
      </c>
      <c r="T466" s="249">
        <f t="shared" si="120"/>
        <v>8.286298568507159E-3</v>
      </c>
    </row>
    <row r="467" spans="2:20" ht="15" customHeight="1" x14ac:dyDescent="0.4">
      <c r="B467" s="38" t="s">
        <v>48</v>
      </c>
      <c r="C467" s="6" t="s">
        <v>160</v>
      </c>
      <c r="D467" s="6">
        <f t="shared" ref="D467:D498" si="122">IF(OR($C467="신한",$C467="OTC",$C467="무상증자(신한)",$C467="토스",$C467="R토스"),1,"확인")</f>
        <v>1</v>
      </c>
      <c r="E467" s="34">
        <v>1</v>
      </c>
      <c r="F467" s="212">
        <v>24700</v>
      </c>
      <c r="G467" s="195">
        <v>45736</v>
      </c>
      <c r="H467" s="8"/>
      <c r="I467" s="212">
        <v>23700</v>
      </c>
      <c r="J467" s="8">
        <v>46134</v>
      </c>
      <c r="K467" s="23">
        <f t="shared" si="113"/>
        <v>0</v>
      </c>
      <c r="L467" s="23">
        <f t="shared" si="114"/>
        <v>0</v>
      </c>
      <c r="M467" s="206">
        <f t="shared" si="115"/>
        <v>47.4</v>
      </c>
      <c r="N467" s="34">
        <f t="shared" si="121"/>
        <v>1000</v>
      </c>
      <c r="O467" s="209">
        <f t="shared" si="107"/>
        <v>399</v>
      </c>
      <c r="P467" s="34">
        <f t="shared" si="116"/>
        <v>24700</v>
      </c>
      <c r="Q467" s="34">
        <f t="shared" si="117"/>
        <v>23700</v>
      </c>
      <c r="R467" s="7">
        <f t="shared" si="118"/>
        <v>952.6</v>
      </c>
      <c r="S467" s="227">
        <f t="shared" si="119"/>
        <v>-47.399999999999977</v>
      </c>
      <c r="T467" s="249">
        <f t="shared" si="120"/>
        <v>-1.9190283400809707E-3</v>
      </c>
    </row>
    <row r="468" spans="2:20" ht="15" customHeight="1" x14ac:dyDescent="0.4">
      <c r="B468" s="38" t="s">
        <v>48</v>
      </c>
      <c r="C468" s="6" t="s">
        <v>160</v>
      </c>
      <c r="D468" s="6">
        <f t="shared" si="122"/>
        <v>1</v>
      </c>
      <c r="E468" s="34">
        <v>1</v>
      </c>
      <c r="F468" s="212">
        <v>24550</v>
      </c>
      <c r="G468" s="195">
        <v>45743</v>
      </c>
      <c r="H468" s="8"/>
      <c r="I468" s="212">
        <v>23700</v>
      </c>
      <c r="J468" s="8">
        <v>46134</v>
      </c>
      <c r="K468" s="23">
        <f t="shared" si="113"/>
        <v>0</v>
      </c>
      <c r="L468" s="23">
        <f t="shared" si="114"/>
        <v>0</v>
      </c>
      <c r="M468" s="206">
        <f t="shared" si="115"/>
        <v>47.4</v>
      </c>
      <c r="N468" s="34">
        <f t="shared" si="121"/>
        <v>1000</v>
      </c>
      <c r="O468" s="209">
        <f t="shared" si="107"/>
        <v>392</v>
      </c>
      <c r="P468" s="34">
        <f t="shared" si="116"/>
        <v>24550</v>
      </c>
      <c r="Q468" s="34">
        <f t="shared" si="117"/>
        <v>23700</v>
      </c>
      <c r="R468" s="7">
        <f t="shared" si="118"/>
        <v>952.6</v>
      </c>
      <c r="S468" s="227">
        <f t="shared" si="119"/>
        <v>102.60000000000002</v>
      </c>
      <c r="T468" s="249">
        <f t="shared" si="120"/>
        <v>4.179226069246437E-3</v>
      </c>
    </row>
    <row r="469" spans="2:20" ht="15" customHeight="1" x14ac:dyDescent="0.4">
      <c r="B469" s="38" t="s">
        <v>48</v>
      </c>
      <c r="C469" s="6" t="s">
        <v>160</v>
      </c>
      <c r="D469" s="6">
        <f t="shared" si="122"/>
        <v>1</v>
      </c>
      <c r="E469" s="34">
        <v>1</v>
      </c>
      <c r="F469" s="212">
        <v>23700</v>
      </c>
      <c r="G469" s="195">
        <v>45750</v>
      </c>
      <c r="H469" s="8"/>
      <c r="I469" s="212">
        <v>23700</v>
      </c>
      <c r="J469" s="8">
        <v>46134</v>
      </c>
      <c r="K469" s="23">
        <f t="shared" si="113"/>
        <v>0</v>
      </c>
      <c r="L469" s="23">
        <f t="shared" si="114"/>
        <v>0</v>
      </c>
      <c r="M469" s="206">
        <f t="shared" si="115"/>
        <v>47.4</v>
      </c>
      <c r="N469" s="34">
        <f t="shared" si="121"/>
        <v>1000</v>
      </c>
      <c r="O469" s="209">
        <f t="shared" si="107"/>
        <v>385</v>
      </c>
      <c r="P469" s="34">
        <f t="shared" si="116"/>
        <v>23700</v>
      </c>
      <c r="Q469" s="34">
        <f t="shared" si="117"/>
        <v>23700</v>
      </c>
      <c r="R469" s="7">
        <f t="shared" si="118"/>
        <v>952.6</v>
      </c>
      <c r="S469" s="227">
        <f t="shared" si="119"/>
        <v>952.6</v>
      </c>
      <c r="T469" s="249">
        <f t="shared" si="120"/>
        <v>4.0194092827004223E-2</v>
      </c>
    </row>
    <row r="470" spans="2:20" ht="15" customHeight="1" x14ac:dyDescent="0.4">
      <c r="B470" s="38" t="s">
        <v>48</v>
      </c>
      <c r="C470" s="6" t="s">
        <v>160</v>
      </c>
      <c r="D470" s="6">
        <f t="shared" si="122"/>
        <v>1</v>
      </c>
      <c r="E470" s="34">
        <v>1</v>
      </c>
      <c r="F470" s="212">
        <v>23650</v>
      </c>
      <c r="G470" s="195">
        <v>45764</v>
      </c>
      <c r="H470" s="8"/>
      <c r="I470" s="212">
        <v>23700</v>
      </c>
      <c r="J470" s="8">
        <v>46134</v>
      </c>
      <c r="K470" s="23">
        <f t="shared" ref="K470:K501" si="123">IF($C470="OTC",ROUNDDOWN($E470*$F470*0.000909187,-1),(IF($C470="신한",ROUNDDOWN($E470*$F470*0.000036396,-1),(IF($C470="토스",$E470*$F470*0.00015,(IF($C470="US",(IF($E470*$F470*0.0025&gt;0.01,$E470*$F470*0.0025,0.01)),IF($C470="JP",(IF($E470*$F470*0.0025&gt;1000,$E470*$F470*0.0025,1000)),(IF($C470="R토스",0,IF($C470="무상증자(신한)",0,"")))))))))))</f>
        <v>0</v>
      </c>
      <c r="L470" s="23">
        <f t="shared" si="114"/>
        <v>0</v>
      </c>
      <c r="M470" s="206">
        <f t="shared" si="115"/>
        <v>47.4</v>
      </c>
      <c r="N470" s="34">
        <f t="shared" si="121"/>
        <v>1000</v>
      </c>
      <c r="O470" s="209">
        <f t="shared" si="107"/>
        <v>371</v>
      </c>
      <c r="P470" s="34">
        <f t="shared" si="116"/>
        <v>23650</v>
      </c>
      <c r="Q470" s="34">
        <f t="shared" si="117"/>
        <v>23700</v>
      </c>
      <c r="R470" s="7">
        <f t="shared" si="118"/>
        <v>952.6</v>
      </c>
      <c r="S470" s="227">
        <f t="shared" si="119"/>
        <v>1002.6</v>
      </c>
      <c r="T470" s="249">
        <f t="shared" si="120"/>
        <v>4.2393234672304443E-2</v>
      </c>
    </row>
    <row r="471" spans="2:20" ht="15" customHeight="1" x14ac:dyDescent="0.4">
      <c r="B471" s="38" t="s">
        <v>48</v>
      </c>
      <c r="C471" s="6" t="s">
        <v>160</v>
      </c>
      <c r="D471" s="6">
        <f t="shared" si="122"/>
        <v>1</v>
      </c>
      <c r="E471" s="34">
        <v>1</v>
      </c>
      <c r="F471" s="212">
        <v>23250</v>
      </c>
      <c r="G471" s="195">
        <v>45771</v>
      </c>
      <c r="H471" s="8"/>
      <c r="I471" s="212">
        <v>23700</v>
      </c>
      <c r="J471" s="8">
        <v>46134</v>
      </c>
      <c r="K471" s="23">
        <f t="shared" si="123"/>
        <v>0</v>
      </c>
      <c r="L471" s="23">
        <f t="shared" si="114"/>
        <v>0</v>
      </c>
      <c r="M471" s="206">
        <f t="shared" si="115"/>
        <v>47.4</v>
      </c>
      <c r="N471" s="34">
        <f t="shared" si="121"/>
        <v>1000</v>
      </c>
      <c r="O471" s="209">
        <f t="shared" si="107"/>
        <v>364</v>
      </c>
      <c r="P471" s="34">
        <f t="shared" si="116"/>
        <v>23250</v>
      </c>
      <c r="Q471" s="34">
        <f t="shared" si="117"/>
        <v>23700</v>
      </c>
      <c r="R471" s="7">
        <f t="shared" si="118"/>
        <v>952.6</v>
      </c>
      <c r="S471" s="227">
        <f t="shared" si="119"/>
        <v>1402.6</v>
      </c>
      <c r="T471" s="249">
        <f t="shared" si="120"/>
        <v>6.0326881720430103E-2</v>
      </c>
    </row>
    <row r="472" spans="2:20" ht="15" customHeight="1" x14ac:dyDescent="0.4">
      <c r="B472" s="38" t="s">
        <v>48</v>
      </c>
      <c r="C472" s="6" t="s">
        <v>160</v>
      </c>
      <c r="D472" s="6">
        <f t="shared" si="122"/>
        <v>1</v>
      </c>
      <c r="E472" s="34">
        <v>1</v>
      </c>
      <c r="F472" s="212">
        <v>23750</v>
      </c>
      <c r="G472" s="195">
        <v>45779</v>
      </c>
      <c r="H472" s="8"/>
      <c r="I472" s="212">
        <v>23700</v>
      </c>
      <c r="J472" s="8">
        <v>46134</v>
      </c>
      <c r="K472" s="23">
        <f t="shared" si="123"/>
        <v>0</v>
      </c>
      <c r="L472" s="23">
        <f t="shared" si="114"/>
        <v>0</v>
      </c>
      <c r="M472" s="206">
        <f t="shared" si="115"/>
        <v>47.4</v>
      </c>
      <c r="N472" s="34">
        <f t="shared" si="121"/>
        <v>1000</v>
      </c>
      <c r="O472" s="209">
        <f t="shared" si="107"/>
        <v>356</v>
      </c>
      <c r="P472" s="34">
        <f t="shared" si="116"/>
        <v>23750</v>
      </c>
      <c r="Q472" s="34">
        <f t="shared" si="117"/>
        <v>23700</v>
      </c>
      <c r="R472" s="7">
        <f t="shared" si="118"/>
        <v>952.6</v>
      </c>
      <c r="S472" s="227">
        <f t="shared" si="119"/>
        <v>902.6</v>
      </c>
      <c r="T472" s="249">
        <f t="shared" si="120"/>
        <v>3.8004210526315793E-2</v>
      </c>
    </row>
    <row r="473" spans="2:20" ht="15" customHeight="1" x14ac:dyDescent="0.4">
      <c r="B473" s="38" t="s">
        <v>48</v>
      </c>
      <c r="C473" s="6" t="s">
        <v>160</v>
      </c>
      <c r="D473" s="6">
        <f t="shared" si="122"/>
        <v>1</v>
      </c>
      <c r="E473" s="34">
        <v>1</v>
      </c>
      <c r="F473" s="212">
        <v>24850</v>
      </c>
      <c r="G473" s="195">
        <v>45785</v>
      </c>
      <c r="H473" s="8"/>
      <c r="I473" s="212">
        <v>23700</v>
      </c>
      <c r="J473" s="8">
        <v>46134</v>
      </c>
      <c r="K473" s="23">
        <f t="shared" si="123"/>
        <v>0</v>
      </c>
      <c r="L473" s="23">
        <f t="shared" si="114"/>
        <v>0</v>
      </c>
      <c r="M473" s="206">
        <f t="shared" si="115"/>
        <v>47.4</v>
      </c>
      <c r="N473" s="34">
        <f t="shared" si="121"/>
        <v>1000</v>
      </c>
      <c r="O473" s="209">
        <f t="shared" ref="O473:O536" si="124">J473-G473+1</f>
        <v>350</v>
      </c>
      <c r="P473" s="34">
        <f t="shared" si="116"/>
        <v>24850</v>
      </c>
      <c r="Q473" s="34">
        <f t="shared" si="117"/>
        <v>23700</v>
      </c>
      <c r="R473" s="7">
        <f t="shared" si="118"/>
        <v>952.6</v>
      </c>
      <c r="S473" s="227">
        <f t="shared" si="119"/>
        <v>-197.39999999999998</v>
      </c>
      <c r="T473" s="249">
        <f t="shared" si="120"/>
        <v>-7.9436619718309849E-3</v>
      </c>
    </row>
    <row r="474" spans="2:20" ht="15" customHeight="1" x14ac:dyDescent="0.4">
      <c r="B474" s="38" t="s">
        <v>48</v>
      </c>
      <c r="C474" s="6" t="s">
        <v>160</v>
      </c>
      <c r="D474" s="6">
        <f t="shared" si="122"/>
        <v>1</v>
      </c>
      <c r="E474" s="34">
        <v>1</v>
      </c>
      <c r="F474" s="212">
        <v>26750</v>
      </c>
      <c r="G474" s="195">
        <v>45792</v>
      </c>
      <c r="H474" s="8"/>
      <c r="I474" s="212">
        <v>23700</v>
      </c>
      <c r="J474" s="8">
        <v>46134</v>
      </c>
      <c r="K474" s="23">
        <f t="shared" si="123"/>
        <v>0</v>
      </c>
      <c r="L474" s="23">
        <f t="shared" si="114"/>
        <v>0</v>
      </c>
      <c r="M474" s="206">
        <f t="shared" si="115"/>
        <v>47.4</v>
      </c>
      <c r="N474" s="34">
        <f t="shared" si="121"/>
        <v>1000</v>
      </c>
      <c r="O474" s="209">
        <f t="shared" si="124"/>
        <v>343</v>
      </c>
      <c r="P474" s="34">
        <f t="shared" si="116"/>
        <v>26750</v>
      </c>
      <c r="Q474" s="34">
        <f t="shared" si="117"/>
        <v>23700</v>
      </c>
      <c r="R474" s="7">
        <f t="shared" si="118"/>
        <v>952.6</v>
      </c>
      <c r="S474" s="227">
        <f t="shared" si="119"/>
        <v>-2097.4</v>
      </c>
      <c r="T474" s="249">
        <f t="shared" si="120"/>
        <v>-7.840747663551402E-2</v>
      </c>
    </row>
    <row r="475" spans="2:20" ht="15" customHeight="1" x14ac:dyDescent="0.4">
      <c r="B475" s="38" t="s">
        <v>48</v>
      </c>
      <c r="C475" s="6" t="s">
        <v>160</v>
      </c>
      <c r="D475" s="6">
        <f t="shared" si="122"/>
        <v>1</v>
      </c>
      <c r="E475" s="34">
        <v>1</v>
      </c>
      <c r="F475" s="212">
        <v>28450</v>
      </c>
      <c r="G475" s="195">
        <v>45799</v>
      </c>
      <c r="H475" s="8"/>
      <c r="I475" s="212">
        <v>23700</v>
      </c>
      <c r="J475" s="8">
        <v>46134</v>
      </c>
      <c r="K475" s="23">
        <f t="shared" si="123"/>
        <v>0</v>
      </c>
      <c r="L475" s="23">
        <f t="shared" si="114"/>
        <v>0</v>
      </c>
      <c r="M475" s="206">
        <f t="shared" si="115"/>
        <v>47.4</v>
      </c>
      <c r="N475" s="34">
        <f t="shared" si="121"/>
        <v>1000</v>
      </c>
      <c r="O475" s="209">
        <f t="shared" si="124"/>
        <v>336</v>
      </c>
      <c r="P475" s="34">
        <f t="shared" si="116"/>
        <v>28450</v>
      </c>
      <c r="Q475" s="34">
        <f t="shared" si="117"/>
        <v>23700</v>
      </c>
      <c r="R475" s="7">
        <f t="shared" si="118"/>
        <v>952.6</v>
      </c>
      <c r="S475" s="227">
        <f t="shared" si="119"/>
        <v>-3797.4</v>
      </c>
      <c r="T475" s="249">
        <f t="shared" si="120"/>
        <v>-0.13347627416520211</v>
      </c>
    </row>
    <row r="476" spans="2:20" ht="15" customHeight="1" x14ac:dyDescent="0.4">
      <c r="B476" s="38" t="s">
        <v>48</v>
      </c>
      <c r="C476" s="6" t="s">
        <v>160</v>
      </c>
      <c r="D476" s="6">
        <f t="shared" si="122"/>
        <v>1</v>
      </c>
      <c r="E476" s="34">
        <v>1</v>
      </c>
      <c r="F476" s="212">
        <v>27500</v>
      </c>
      <c r="G476" s="195">
        <v>45806</v>
      </c>
      <c r="H476" s="8"/>
      <c r="I476" s="212">
        <v>23700</v>
      </c>
      <c r="J476" s="8">
        <v>46134</v>
      </c>
      <c r="K476" s="23">
        <f t="shared" si="123"/>
        <v>0</v>
      </c>
      <c r="L476" s="23">
        <f t="shared" ref="L476:L507" si="125">IF($C476="OTC",ROUNDDOWN($I476*$E476*0.000909187,-1),(IF($C476="신한",ROUNDDOWN($I476*$E476*0.000036396,-1),(IF($C476="토스",$I476*$E476*0.00015,(IF($C476="US",(IF($I476*$E476*0.0025&gt;0.01,$I476*$E476*0.0025,0.01)),(IF($C476="JP",(IF($I476*$E476*0.0025&gt;1000,$I476*$E476*0.0025,1000)),(IF($C476="R토스",$I476*$E476*0.00015,(IF($C476="무상증자(신한)",ROUNDDOWN($I476*$E476*0.000036396,-1),"")))))))))))))</f>
        <v>0</v>
      </c>
      <c r="M476" s="206">
        <f t="shared" si="115"/>
        <v>47.4</v>
      </c>
      <c r="N476" s="34">
        <f t="shared" si="121"/>
        <v>1000</v>
      </c>
      <c r="O476" s="209">
        <f t="shared" si="124"/>
        <v>329</v>
      </c>
      <c r="P476" s="34">
        <f t="shared" si="116"/>
        <v>27500</v>
      </c>
      <c r="Q476" s="34">
        <f t="shared" si="117"/>
        <v>23700</v>
      </c>
      <c r="R476" s="7">
        <f t="shared" si="118"/>
        <v>952.6</v>
      </c>
      <c r="S476" s="227">
        <f t="shared" si="119"/>
        <v>-2847.4</v>
      </c>
      <c r="T476" s="249">
        <f t="shared" si="120"/>
        <v>-0.10354181818181818</v>
      </c>
    </row>
    <row r="477" spans="2:20" ht="15" customHeight="1" x14ac:dyDescent="0.4">
      <c r="B477" s="38" t="s">
        <v>48</v>
      </c>
      <c r="C477" s="6" t="s">
        <v>160</v>
      </c>
      <c r="D477" s="6">
        <f t="shared" si="122"/>
        <v>1</v>
      </c>
      <c r="E477" s="34">
        <v>1</v>
      </c>
      <c r="F477" s="212">
        <v>26750</v>
      </c>
      <c r="G477" s="195">
        <v>45813</v>
      </c>
      <c r="H477" s="8"/>
      <c r="I477" s="212">
        <v>23700</v>
      </c>
      <c r="J477" s="8">
        <v>46134</v>
      </c>
      <c r="K477" s="23">
        <f t="shared" si="123"/>
        <v>0</v>
      </c>
      <c r="L477" s="23">
        <f t="shared" si="125"/>
        <v>0</v>
      </c>
      <c r="M477" s="206">
        <f t="shared" si="115"/>
        <v>47.4</v>
      </c>
      <c r="N477" s="34">
        <f t="shared" si="121"/>
        <v>1000</v>
      </c>
      <c r="O477" s="209">
        <f t="shared" si="124"/>
        <v>322</v>
      </c>
      <c r="P477" s="34">
        <f t="shared" si="116"/>
        <v>26750</v>
      </c>
      <c r="Q477" s="34">
        <f t="shared" si="117"/>
        <v>23700</v>
      </c>
      <c r="R477" s="7">
        <f t="shared" si="118"/>
        <v>952.6</v>
      </c>
      <c r="S477" s="227">
        <f t="shared" si="119"/>
        <v>-2097.4</v>
      </c>
      <c r="T477" s="249">
        <f t="shared" si="120"/>
        <v>-7.840747663551402E-2</v>
      </c>
    </row>
    <row r="478" spans="2:20" ht="15" customHeight="1" x14ac:dyDescent="0.4">
      <c r="B478" s="38" t="s">
        <v>48</v>
      </c>
      <c r="C478" s="6" t="s">
        <v>160</v>
      </c>
      <c r="D478" s="6">
        <f t="shared" si="122"/>
        <v>1</v>
      </c>
      <c r="E478" s="34">
        <v>1</v>
      </c>
      <c r="F478" s="212">
        <v>28500</v>
      </c>
      <c r="G478" s="195">
        <v>45820</v>
      </c>
      <c r="H478" s="8"/>
      <c r="I478" s="212">
        <v>23700</v>
      </c>
      <c r="J478" s="8">
        <v>46134</v>
      </c>
      <c r="K478" s="23">
        <f t="shared" si="123"/>
        <v>0</v>
      </c>
      <c r="L478" s="23">
        <f t="shared" si="125"/>
        <v>0</v>
      </c>
      <c r="M478" s="206">
        <f t="shared" si="115"/>
        <v>47.4</v>
      </c>
      <c r="N478" s="34">
        <f t="shared" si="121"/>
        <v>1000</v>
      </c>
      <c r="O478" s="209">
        <f t="shared" si="124"/>
        <v>315</v>
      </c>
      <c r="P478" s="34">
        <f t="shared" si="116"/>
        <v>28500</v>
      </c>
      <c r="Q478" s="34">
        <f t="shared" si="117"/>
        <v>23700</v>
      </c>
      <c r="R478" s="7">
        <f t="shared" si="118"/>
        <v>952.6</v>
      </c>
      <c r="S478" s="227">
        <f t="shared" si="119"/>
        <v>-3847.4</v>
      </c>
      <c r="T478" s="249">
        <f t="shared" si="120"/>
        <v>-0.13499649122807017</v>
      </c>
    </row>
    <row r="479" spans="2:20" ht="15" customHeight="1" x14ac:dyDescent="0.4">
      <c r="B479" s="38" t="s">
        <v>48</v>
      </c>
      <c r="C479" s="6" t="s">
        <v>160</v>
      </c>
      <c r="D479" s="6">
        <f t="shared" si="122"/>
        <v>1</v>
      </c>
      <c r="E479" s="34">
        <v>1</v>
      </c>
      <c r="F479" s="212">
        <v>28200</v>
      </c>
      <c r="G479" s="195">
        <v>45827</v>
      </c>
      <c r="H479" s="8"/>
      <c r="I479" s="212">
        <v>23700</v>
      </c>
      <c r="J479" s="8">
        <v>46134</v>
      </c>
      <c r="K479" s="23">
        <f t="shared" si="123"/>
        <v>0</v>
      </c>
      <c r="L479" s="23">
        <f t="shared" si="125"/>
        <v>0</v>
      </c>
      <c r="M479" s="206">
        <f t="shared" si="115"/>
        <v>47.4</v>
      </c>
      <c r="N479" s="34">
        <f t="shared" si="121"/>
        <v>1000</v>
      </c>
      <c r="O479" s="209">
        <f t="shared" si="124"/>
        <v>308</v>
      </c>
      <c r="P479" s="34">
        <f t="shared" si="116"/>
        <v>28200</v>
      </c>
      <c r="Q479" s="34">
        <f t="shared" si="117"/>
        <v>23700</v>
      </c>
      <c r="R479" s="7">
        <f t="shared" si="118"/>
        <v>952.6</v>
      </c>
      <c r="S479" s="227">
        <f t="shared" si="119"/>
        <v>-3547.4</v>
      </c>
      <c r="T479" s="249">
        <f t="shared" si="120"/>
        <v>-0.12579432624113476</v>
      </c>
    </row>
    <row r="480" spans="2:20" ht="15" customHeight="1" x14ac:dyDescent="0.4">
      <c r="B480" s="38" t="s">
        <v>48</v>
      </c>
      <c r="C480" s="6" t="s">
        <v>160</v>
      </c>
      <c r="D480" s="6">
        <f t="shared" si="122"/>
        <v>1</v>
      </c>
      <c r="E480" s="34">
        <v>1</v>
      </c>
      <c r="F480" s="212">
        <v>28200</v>
      </c>
      <c r="G480" s="195">
        <v>45834</v>
      </c>
      <c r="H480" s="8"/>
      <c r="I480" s="212">
        <v>23700</v>
      </c>
      <c r="J480" s="8">
        <v>46134</v>
      </c>
      <c r="K480" s="23">
        <f t="shared" si="123"/>
        <v>0</v>
      </c>
      <c r="L480" s="23">
        <f t="shared" si="125"/>
        <v>0</v>
      </c>
      <c r="M480" s="206">
        <f t="shared" si="115"/>
        <v>47.4</v>
      </c>
      <c r="N480" s="34">
        <f t="shared" si="121"/>
        <v>1000</v>
      </c>
      <c r="O480" s="209">
        <f t="shared" si="124"/>
        <v>301</v>
      </c>
      <c r="P480" s="34">
        <f t="shared" si="116"/>
        <v>28200</v>
      </c>
      <c r="Q480" s="34">
        <f t="shared" si="117"/>
        <v>23700</v>
      </c>
      <c r="R480" s="7">
        <f t="shared" si="118"/>
        <v>952.6</v>
      </c>
      <c r="S480" s="227">
        <f t="shared" si="119"/>
        <v>-3547.4</v>
      </c>
      <c r="T480" s="249">
        <f t="shared" si="120"/>
        <v>-0.12579432624113476</v>
      </c>
    </row>
    <row r="481" spans="2:20" ht="15" customHeight="1" x14ac:dyDescent="0.4">
      <c r="B481" s="38" t="s">
        <v>48</v>
      </c>
      <c r="C481" s="6" t="s">
        <v>160</v>
      </c>
      <c r="D481" s="6">
        <f t="shared" si="122"/>
        <v>1</v>
      </c>
      <c r="E481" s="34">
        <v>1</v>
      </c>
      <c r="F481" s="212">
        <v>27200</v>
      </c>
      <c r="G481" s="195">
        <v>45841</v>
      </c>
      <c r="H481" s="8"/>
      <c r="I481" s="212">
        <v>23700</v>
      </c>
      <c r="J481" s="8">
        <v>46134</v>
      </c>
      <c r="K481" s="23">
        <f t="shared" si="123"/>
        <v>0</v>
      </c>
      <c r="L481" s="23">
        <f t="shared" si="125"/>
        <v>0</v>
      </c>
      <c r="M481" s="206">
        <f t="shared" si="115"/>
        <v>47.4</v>
      </c>
      <c r="N481" s="34">
        <f t="shared" si="121"/>
        <v>1000</v>
      </c>
      <c r="O481" s="209">
        <f t="shared" si="124"/>
        <v>294</v>
      </c>
      <c r="P481" s="34">
        <f t="shared" si="116"/>
        <v>27200</v>
      </c>
      <c r="Q481" s="34">
        <f t="shared" si="117"/>
        <v>23700</v>
      </c>
      <c r="R481" s="7">
        <f t="shared" si="118"/>
        <v>952.6</v>
      </c>
      <c r="S481" s="227">
        <f t="shared" si="119"/>
        <v>-2547.4</v>
      </c>
      <c r="T481" s="249">
        <f t="shared" si="120"/>
        <v>-9.3654411764705889E-2</v>
      </c>
    </row>
    <row r="482" spans="2:20" ht="15" customHeight="1" x14ac:dyDescent="0.4">
      <c r="B482" s="38" t="s">
        <v>48</v>
      </c>
      <c r="C482" s="6" t="s">
        <v>160</v>
      </c>
      <c r="D482" s="6">
        <f t="shared" si="122"/>
        <v>1</v>
      </c>
      <c r="E482" s="34">
        <v>1</v>
      </c>
      <c r="F482" s="212">
        <v>26500</v>
      </c>
      <c r="G482" s="195">
        <v>45848</v>
      </c>
      <c r="H482" s="8"/>
      <c r="I482" s="212">
        <v>23700</v>
      </c>
      <c r="J482" s="8">
        <v>46134</v>
      </c>
      <c r="K482" s="23">
        <f t="shared" si="123"/>
        <v>0</v>
      </c>
      <c r="L482" s="23">
        <f t="shared" si="125"/>
        <v>0</v>
      </c>
      <c r="M482" s="206">
        <f t="shared" si="115"/>
        <v>47.4</v>
      </c>
      <c r="N482" s="34">
        <f t="shared" si="121"/>
        <v>1000</v>
      </c>
      <c r="O482" s="209">
        <f t="shared" si="124"/>
        <v>287</v>
      </c>
      <c r="P482" s="34">
        <f t="shared" si="116"/>
        <v>26500</v>
      </c>
      <c r="Q482" s="34">
        <f t="shared" si="117"/>
        <v>23700</v>
      </c>
      <c r="R482" s="7">
        <f t="shared" si="118"/>
        <v>952.6</v>
      </c>
      <c r="S482" s="227">
        <f t="shared" si="119"/>
        <v>-1847.4</v>
      </c>
      <c r="T482" s="249">
        <f t="shared" si="120"/>
        <v>-6.9713207547169809E-2</v>
      </c>
    </row>
    <row r="483" spans="2:20" ht="15" customHeight="1" x14ac:dyDescent="0.4">
      <c r="B483" s="38" t="s">
        <v>48</v>
      </c>
      <c r="C483" s="6" t="s">
        <v>160</v>
      </c>
      <c r="D483" s="6">
        <f t="shared" si="122"/>
        <v>1</v>
      </c>
      <c r="E483" s="34">
        <v>1</v>
      </c>
      <c r="F483" s="212">
        <v>27900</v>
      </c>
      <c r="G483" s="195">
        <v>45855</v>
      </c>
      <c r="H483" s="8"/>
      <c r="I483" s="212">
        <v>23700</v>
      </c>
      <c r="J483" s="8">
        <v>46134</v>
      </c>
      <c r="K483" s="23">
        <f t="shared" si="123"/>
        <v>0</v>
      </c>
      <c r="L483" s="23">
        <f t="shared" si="125"/>
        <v>0</v>
      </c>
      <c r="M483" s="206">
        <f t="shared" si="115"/>
        <v>47.4</v>
      </c>
      <c r="N483" s="34">
        <f t="shared" si="121"/>
        <v>1000</v>
      </c>
      <c r="O483" s="209">
        <f t="shared" si="124"/>
        <v>280</v>
      </c>
      <c r="P483" s="34">
        <f t="shared" si="116"/>
        <v>27900</v>
      </c>
      <c r="Q483" s="34">
        <f t="shared" si="117"/>
        <v>23700</v>
      </c>
      <c r="R483" s="7">
        <f t="shared" si="118"/>
        <v>952.6</v>
      </c>
      <c r="S483" s="227">
        <f t="shared" si="119"/>
        <v>-3247.4</v>
      </c>
      <c r="T483" s="249">
        <f t="shared" si="120"/>
        <v>-0.11639426523297491</v>
      </c>
    </row>
    <row r="484" spans="2:20" ht="15" customHeight="1" x14ac:dyDescent="0.4">
      <c r="B484" s="38" t="s">
        <v>48</v>
      </c>
      <c r="C484" s="6" t="s">
        <v>160</v>
      </c>
      <c r="D484" s="6">
        <f t="shared" si="122"/>
        <v>1</v>
      </c>
      <c r="E484" s="34">
        <v>1</v>
      </c>
      <c r="F484" s="212">
        <v>28600</v>
      </c>
      <c r="G484" s="195">
        <v>45862</v>
      </c>
      <c r="H484" s="8"/>
      <c r="I484" s="212">
        <v>23700</v>
      </c>
      <c r="J484" s="8">
        <v>46134</v>
      </c>
      <c r="K484" s="23">
        <f t="shared" si="123"/>
        <v>0</v>
      </c>
      <c r="L484" s="23">
        <f t="shared" si="125"/>
        <v>0</v>
      </c>
      <c r="M484" s="206">
        <f t="shared" si="115"/>
        <v>47.4</v>
      </c>
      <c r="N484" s="34">
        <f t="shared" si="121"/>
        <v>1000</v>
      </c>
      <c r="O484" s="209">
        <f t="shared" si="124"/>
        <v>273</v>
      </c>
      <c r="P484" s="34">
        <f t="shared" si="116"/>
        <v>28600</v>
      </c>
      <c r="Q484" s="34">
        <f t="shared" si="117"/>
        <v>23700</v>
      </c>
      <c r="R484" s="7">
        <f t="shared" si="118"/>
        <v>952.6</v>
      </c>
      <c r="S484" s="227">
        <f t="shared" si="119"/>
        <v>-3947.4</v>
      </c>
      <c r="T484" s="249">
        <f t="shared" si="120"/>
        <v>-0.13802097902097901</v>
      </c>
    </row>
    <row r="485" spans="2:20" ht="15" customHeight="1" x14ac:dyDescent="0.4">
      <c r="B485" s="38" t="s">
        <v>48</v>
      </c>
      <c r="C485" s="6" t="s">
        <v>160</v>
      </c>
      <c r="D485" s="6">
        <f t="shared" si="122"/>
        <v>1</v>
      </c>
      <c r="E485" s="34">
        <v>1</v>
      </c>
      <c r="F485" s="212">
        <v>29550</v>
      </c>
      <c r="G485" s="195">
        <v>45869</v>
      </c>
      <c r="H485" s="8"/>
      <c r="I485" s="212">
        <v>23700</v>
      </c>
      <c r="J485" s="8">
        <v>46134</v>
      </c>
      <c r="K485" s="23">
        <f t="shared" si="123"/>
        <v>0</v>
      </c>
      <c r="L485" s="23">
        <f t="shared" si="125"/>
        <v>0</v>
      </c>
      <c r="M485" s="206">
        <f t="shared" si="115"/>
        <v>47.4</v>
      </c>
      <c r="N485" s="34">
        <f t="shared" si="121"/>
        <v>1000</v>
      </c>
      <c r="O485" s="209">
        <f t="shared" si="124"/>
        <v>266</v>
      </c>
      <c r="P485" s="34">
        <f t="shared" si="116"/>
        <v>29550</v>
      </c>
      <c r="Q485" s="34">
        <f t="shared" si="117"/>
        <v>23700</v>
      </c>
      <c r="R485" s="7">
        <f t="shared" si="118"/>
        <v>952.6</v>
      </c>
      <c r="S485" s="227">
        <f t="shared" si="119"/>
        <v>-4897.3999999999996</v>
      </c>
      <c r="T485" s="249">
        <f t="shared" si="120"/>
        <v>-0.1657326565143824</v>
      </c>
    </row>
    <row r="486" spans="2:20" ht="15" customHeight="1" x14ac:dyDescent="0.4">
      <c r="B486" s="38" t="s">
        <v>48</v>
      </c>
      <c r="C486" s="6" t="s">
        <v>160</v>
      </c>
      <c r="D486" s="6">
        <f t="shared" si="122"/>
        <v>1</v>
      </c>
      <c r="E486" s="34">
        <v>1</v>
      </c>
      <c r="F486" s="212">
        <v>29750</v>
      </c>
      <c r="G486" s="195">
        <v>45876</v>
      </c>
      <c r="H486" s="8"/>
      <c r="I486" s="212">
        <v>23700</v>
      </c>
      <c r="J486" s="8">
        <v>46134</v>
      </c>
      <c r="K486" s="23">
        <f t="shared" si="123"/>
        <v>0</v>
      </c>
      <c r="L486" s="23">
        <f t="shared" si="125"/>
        <v>0</v>
      </c>
      <c r="M486" s="206">
        <f t="shared" si="115"/>
        <v>47.4</v>
      </c>
      <c r="N486" s="34">
        <f t="shared" si="121"/>
        <v>1000</v>
      </c>
      <c r="O486" s="209">
        <f t="shared" si="124"/>
        <v>259</v>
      </c>
      <c r="P486" s="34">
        <f t="shared" si="116"/>
        <v>29750</v>
      </c>
      <c r="Q486" s="34">
        <f t="shared" si="117"/>
        <v>23700</v>
      </c>
      <c r="R486" s="7">
        <f t="shared" si="118"/>
        <v>952.6</v>
      </c>
      <c r="S486" s="227">
        <f t="shared" si="119"/>
        <v>-5097.3999999999996</v>
      </c>
      <c r="T486" s="249">
        <f t="shared" si="120"/>
        <v>-0.17134117647058822</v>
      </c>
    </row>
    <row r="487" spans="2:20" ht="15" customHeight="1" x14ac:dyDescent="0.4">
      <c r="B487" s="38" t="s">
        <v>48</v>
      </c>
      <c r="C487" s="6" t="s">
        <v>160</v>
      </c>
      <c r="D487" s="6">
        <f t="shared" si="122"/>
        <v>1</v>
      </c>
      <c r="E487" s="34">
        <v>1</v>
      </c>
      <c r="F487" s="212">
        <v>29550</v>
      </c>
      <c r="G487" s="195">
        <v>45883</v>
      </c>
      <c r="H487" s="8"/>
      <c r="I487" s="212">
        <v>23700</v>
      </c>
      <c r="J487" s="8">
        <v>46134</v>
      </c>
      <c r="K487" s="23">
        <f t="shared" si="123"/>
        <v>0</v>
      </c>
      <c r="L487" s="23">
        <f t="shared" si="125"/>
        <v>0</v>
      </c>
      <c r="M487" s="206">
        <f t="shared" si="115"/>
        <v>47.4</v>
      </c>
      <c r="N487" s="34">
        <f t="shared" si="121"/>
        <v>1000</v>
      </c>
      <c r="O487" s="209">
        <f t="shared" si="124"/>
        <v>252</v>
      </c>
      <c r="P487" s="34">
        <f t="shared" si="116"/>
        <v>29550</v>
      </c>
      <c r="Q487" s="34">
        <f t="shared" si="117"/>
        <v>23700</v>
      </c>
      <c r="R487" s="7">
        <f t="shared" si="118"/>
        <v>952.6</v>
      </c>
      <c r="S487" s="227">
        <f t="shared" si="119"/>
        <v>-4897.3999999999996</v>
      </c>
      <c r="T487" s="249">
        <f t="shared" si="120"/>
        <v>-0.1657326565143824</v>
      </c>
    </row>
    <row r="488" spans="2:20" ht="15" customHeight="1" x14ac:dyDescent="0.4">
      <c r="B488" s="38" t="s">
        <v>48</v>
      </c>
      <c r="C488" s="6" t="s">
        <v>160</v>
      </c>
      <c r="D488" s="6">
        <f t="shared" si="122"/>
        <v>1</v>
      </c>
      <c r="E488" s="34">
        <v>1</v>
      </c>
      <c r="F488" s="212">
        <v>29450</v>
      </c>
      <c r="G488" s="195">
        <v>45890</v>
      </c>
      <c r="H488" s="8"/>
      <c r="I488" s="212">
        <v>23700</v>
      </c>
      <c r="J488" s="8">
        <v>46134</v>
      </c>
      <c r="K488" s="23">
        <f t="shared" si="123"/>
        <v>0</v>
      </c>
      <c r="L488" s="23">
        <f t="shared" si="125"/>
        <v>0</v>
      </c>
      <c r="M488" s="206">
        <f t="shared" si="115"/>
        <v>47.4</v>
      </c>
      <c r="N488" s="34">
        <f t="shared" ref="N488:N507" si="126">E488*1000</f>
        <v>1000</v>
      </c>
      <c r="O488" s="209">
        <f t="shared" si="124"/>
        <v>245</v>
      </c>
      <c r="P488" s="34">
        <f t="shared" si="116"/>
        <v>29450</v>
      </c>
      <c r="Q488" s="34">
        <f t="shared" si="117"/>
        <v>23700</v>
      </c>
      <c r="R488" s="7">
        <f t="shared" si="118"/>
        <v>952.6</v>
      </c>
      <c r="S488" s="227">
        <f t="shared" si="119"/>
        <v>-4797.3999999999996</v>
      </c>
      <c r="T488" s="249">
        <f t="shared" si="120"/>
        <v>-0.16289983022071305</v>
      </c>
    </row>
    <row r="489" spans="2:20" ht="15" customHeight="1" x14ac:dyDescent="0.4">
      <c r="B489" s="38" t="s">
        <v>48</v>
      </c>
      <c r="C489" s="6" t="s">
        <v>160</v>
      </c>
      <c r="D489" s="6">
        <f t="shared" si="122"/>
        <v>1</v>
      </c>
      <c r="E489" s="34">
        <v>1</v>
      </c>
      <c r="F489" s="212">
        <v>29250</v>
      </c>
      <c r="G489" s="195">
        <v>45897</v>
      </c>
      <c r="H489" s="8"/>
      <c r="I489" s="212">
        <v>23700</v>
      </c>
      <c r="J489" s="8">
        <v>46134</v>
      </c>
      <c r="K489" s="23">
        <f t="shared" si="123"/>
        <v>0</v>
      </c>
      <c r="L489" s="23">
        <f t="shared" si="125"/>
        <v>0</v>
      </c>
      <c r="M489" s="206">
        <f t="shared" si="115"/>
        <v>47.4</v>
      </c>
      <c r="N489" s="34">
        <f t="shared" si="126"/>
        <v>1000</v>
      </c>
      <c r="O489" s="209">
        <f t="shared" si="124"/>
        <v>238</v>
      </c>
      <c r="P489" s="34">
        <f t="shared" si="116"/>
        <v>29250</v>
      </c>
      <c r="Q489" s="34">
        <f t="shared" si="117"/>
        <v>23700</v>
      </c>
      <c r="R489" s="7">
        <f t="shared" si="118"/>
        <v>952.6</v>
      </c>
      <c r="S489" s="227">
        <f t="shared" si="119"/>
        <v>-4597.3999999999996</v>
      </c>
      <c r="T489" s="249">
        <f t="shared" si="120"/>
        <v>-0.15717606837606837</v>
      </c>
    </row>
    <row r="490" spans="2:20" ht="15" customHeight="1" x14ac:dyDescent="0.4">
      <c r="B490" s="38" t="s">
        <v>48</v>
      </c>
      <c r="C490" s="6" t="s">
        <v>160</v>
      </c>
      <c r="D490" s="6">
        <f t="shared" si="122"/>
        <v>1</v>
      </c>
      <c r="E490" s="34">
        <v>1</v>
      </c>
      <c r="F490" s="212">
        <v>29500</v>
      </c>
      <c r="G490" s="195">
        <v>45904</v>
      </c>
      <c r="H490" s="8"/>
      <c r="I490" s="212">
        <v>23700</v>
      </c>
      <c r="J490" s="8">
        <v>46134</v>
      </c>
      <c r="K490" s="23">
        <f t="shared" si="123"/>
        <v>0</v>
      </c>
      <c r="L490" s="23">
        <f t="shared" si="125"/>
        <v>0</v>
      </c>
      <c r="M490" s="206">
        <f t="shared" si="115"/>
        <v>47.4</v>
      </c>
      <c r="N490" s="34">
        <f t="shared" si="126"/>
        <v>1000</v>
      </c>
      <c r="O490" s="209">
        <f t="shared" si="124"/>
        <v>231</v>
      </c>
      <c r="P490" s="34">
        <f t="shared" si="116"/>
        <v>29500</v>
      </c>
      <c r="Q490" s="34">
        <f t="shared" si="117"/>
        <v>23700</v>
      </c>
      <c r="R490" s="7">
        <f t="shared" si="118"/>
        <v>952.6</v>
      </c>
      <c r="S490" s="227">
        <f t="shared" si="119"/>
        <v>-4847.3999999999996</v>
      </c>
      <c r="T490" s="249">
        <f t="shared" si="120"/>
        <v>-0.16431864406779659</v>
      </c>
    </row>
    <row r="491" spans="2:20" ht="15" customHeight="1" x14ac:dyDescent="0.4">
      <c r="B491" s="38" t="s">
        <v>48</v>
      </c>
      <c r="C491" s="6" t="s">
        <v>160</v>
      </c>
      <c r="D491" s="6">
        <f t="shared" si="122"/>
        <v>1</v>
      </c>
      <c r="E491" s="34">
        <v>1</v>
      </c>
      <c r="F491" s="212">
        <v>29950</v>
      </c>
      <c r="G491" s="195">
        <v>45911</v>
      </c>
      <c r="H491" s="8"/>
      <c r="I491" s="212">
        <v>23700</v>
      </c>
      <c r="J491" s="8">
        <v>46134</v>
      </c>
      <c r="K491" s="23">
        <f t="shared" si="123"/>
        <v>0</v>
      </c>
      <c r="L491" s="23">
        <f t="shared" si="125"/>
        <v>0</v>
      </c>
      <c r="M491" s="206">
        <f t="shared" si="115"/>
        <v>47.4</v>
      </c>
      <c r="N491" s="34">
        <f t="shared" si="126"/>
        <v>1000</v>
      </c>
      <c r="O491" s="209">
        <f t="shared" si="124"/>
        <v>224</v>
      </c>
      <c r="P491" s="34">
        <f t="shared" si="116"/>
        <v>29950</v>
      </c>
      <c r="Q491" s="34">
        <f t="shared" si="117"/>
        <v>23700</v>
      </c>
      <c r="R491" s="7">
        <f t="shared" si="118"/>
        <v>952.6</v>
      </c>
      <c r="S491" s="227">
        <f t="shared" si="119"/>
        <v>-5297.4</v>
      </c>
      <c r="T491" s="249">
        <f t="shared" si="120"/>
        <v>-0.17687479131886477</v>
      </c>
    </row>
    <row r="492" spans="2:20" ht="15" customHeight="1" x14ac:dyDescent="0.4">
      <c r="B492" s="38" t="s">
        <v>48</v>
      </c>
      <c r="C492" s="6" t="s">
        <v>160</v>
      </c>
      <c r="D492" s="6">
        <f t="shared" si="122"/>
        <v>1</v>
      </c>
      <c r="E492" s="34">
        <v>1</v>
      </c>
      <c r="F492" s="212">
        <v>30250</v>
      </c>
      <c r="G492" s="195">
        <v>45918</v>
      </c>
      <c r="H492" s="8"/>
      <c r="I492" s="212">
        <v>23700</v>
      </c>
      <c r="J492" s="8">
        <v>46134</v>
      </c>
      <c r="K492" s="23">
        <f t="shared" si="123"/>
        <v>0</v>
      </c>
      <c r="L492" s="23">
        <f t="shared" si="125"/>
        <v>0</v>
      </c>
      <c r="M492" s="206">
        <f t="shared" si="115"/>
        <v>47.4</v>
      </c>
      <c r="N492" s="34">
        <f t="shared" si="126"/>
        <v>1000</v>
      </c>
      <c r="O492" s="209">
        <f t="shared" si="124"/>
        <v>217</v>
      </c>
      <c r="P492" s="34">
        <f t="shared" si="116"/>
        <v>30250</v>
      </c>
      <c r="Q492" s="34">
        <f t="shared" si="117"/>
        <v>23700</v>
      </c>
      <c r="R492" s="7">
        <f t="shared" si="118"/>
        <v>952.6</v>
      </c>
      <c r="S492" s="227">
        <f t="shared" si="119"/>
        <v>-5597.4</v>
      </c>
      <c r="T492" s="249">
        <f t="shared" si="120"/>
        <v>-0.1850380165289256</v>
      </c>
    </row>
    <row r="493" spans="2:20" ht="15" customHeight="1" x14ac:dyDescent="0.4">
      <c r="B493" s="38" t="s">
        <v>48</v>
      </c>
      <c r="C493" s="6" t="s">
        <v>160</v>
      </c>
      <c r="D493" s="6">
        <f t="shared" si="122"/>
        <v>1</v>
      </c>
      <c r="E493" s="34">
        <v>1</v>
      </c>
      <c r="F493" s="212">
        <v>28900</v>
      </c>
      <c r="G493" s="195">
        <v>45925</v>
      </c>
      <c r="H493" s="8"/>
      <c r="I493" s="212">
        <v>23700</v>
      </c>
      <c r="J493" s="8">
        <v>46134</v>
      </c>
      <c r="K493" s="23">
        <f t="shared" si="123"/>
        <v>0</v>
      </c>
      <c r="L493" s="23">
        <f t="shared" si="125"/>
        <v>0</v>
      </c>
      <c r="M493" s="206">
        <f t="shared" si="115"/>
        <v>47.4</v>
      </c>
      <c r="N493" s="34">
        <f t="shared" si="126"/>
        <v>1000</v>
      </c>
      <c r="O493" s="209">
        <f t="shared" si="124"/>
        <v>210</v>
      </c>
      <c r="P493" s="34">
        <f t="shared" si="116"/>
        <v>28900</v>
      </c>
      <c r="Q493" s="34">
        <f t="shared" si="117"/>
        <v>23700</v>
      </c>
      <c r="R493" s="7">
        <f t="shared" si="118"/>
        <v>952.6</v>
      </c>
      <c r="S493" s="227">
        <f t="shared" si="119"/>
        <v>-4247.3999999999996</v>
      </c>
      <c r="T493" s="249">
        <f t="shared" si="120"/>
        <v>-0.14696885813148788</v>
      </c>
    </row>
    <row r="494" spans="2:20" ht="15" customHeight="1" x14ac:dyDescent="0.4">
      <c r="B494" s="38" t="s">
        <v>48</v>
      </c>
      <c r="C494" s="6" t="s">
        <v>160</v>
      </c>
      <c r="D494" s="6">
        <f t="shared" si="122"/>
        <v>1</v>
      </c>
      <c r="E494" s="34">
        <v>1</v>
      </c>
      <c r="F494" s="212">
        <v>30100</v>
      </c>
      <c r="G494" s="195">
        <v>45932</v>
      </c>
      <c r="H494" s="8"/>
      <c r="I494" s="212">
        <v>23700</v>
      </c>
      <c r="J494" s="8">
        <v>46134</v>
      </c>
      <c r="K494" s="23">
        <f t="shared" si="123"/>
        <v>0</v>
      </c>
      <c r="L494" s="23">
        <f t="shared" si="125"/>
        <v>0</v>
      </c>
      <c r="M494" s="206">
        <f t="shared" si="115"/>
        <v>47.4</v>
      </c>
      <c r="N494" s="34">
        <f t="shared" si="126"/>
        <v>1000</v>
      </c>
      <c r="O494" s="209">
        <f t="shared" si="124"/>
        <v>203</v>
      </c>
      <c r="P494" s="34">
        <f t="shared" si="116"/>
        <v>30100</v>
      </c>
      <c r="Q494" s="34">
        <f t="shared" si="117"/>
        <v>23700</v>
      </c>
      <c r="R494" s="7">
        <f t="shared" si="118"/>
        <v>952.6</v>
      </c>
      <c r="S494" s="227">
        <f t="shared" si="119"/>
        <v>-5447.4</v>
      </c>
      <c r="T494" s="249">
        <f t="shared" si="120"/>
        <v>-0.18097674418604651</v>
      </c>
    </row>
    <row r="495" spans="2:20" ht="15" customHeight="1" x14ac:dyDescent="0.4">
      <c r="B495" s="38" t="s">
        <v>48</v>
      </c>
      <c r="C495" s="6" t="s">
        <v>160</v>
      </c>
      <c r="D495" s="6">
        <f t="shared" si="122"/>
        <v>1</v>
      </c>
      <c r="E495" s="34">
        <v>1</v>
      </c>
      <c r="F495" s="212">
        <v>29900</v>
      </c>
      <c r="G495" s="195">
        <v>45940</v>
      </c>
      <c r="H495" s="8"/>
      <c r="I495" s="212">
        <v>23700</v>
      </c>
      <c r="J495" s="8">
        <v>46134</v>
      </c>
      <c r="K495" s="23">
        <f t="shared" si="123"/>
        <v>0</v>
      </c>
      <c r="L495" s="23">
        <f t="shared" si="125"/>
        <v>0</v>
      </c>
      <c r="M495" s="206">
        <f t="shared" si="115"/>
        <v>47.4</v>
      </c>
      <c r="N495" s="34">
        <f t="shared" si="126"/>
        <v>1000</v>
      </c>
      <c r="O495" s="209">
        <f t="shared" si="124"/>
        <v>195</v>
      </c>
      <c r="P495" s="34">
        <f t="shared" si="116"/>
        <v>29900</v>
      </c>
      <c r="Q495" s="34">
        <f t="shared" si="117"/>
        <v>23700</v>
      </c>
      <c r="R495" s="7">
        <f t="shared" si="118"/>
        <v>952.6</v>
      </c>
      <c r="S495" s="227">
        <f t="shared" si="119"/>
        <v>-5247.4</v>
      </c>
      <c r="T495" s="249">
        <f t="shared" si="120"/>
        <v>-0.17549832775919733</v>
      </c>
    </row>
    <row r="496" spans="2:20" ht="15" customHeight="1" x14ac:dyDescent="0.4">
      <c r="B496" s="38" t="s">
        <v>48</v>
      </c>
      <c r="C496" s="6" t="s">
        <v>160</v>
      </c>
      <c r="D496" s="6">
        <f t="shared" si="122"/>
        <v>1</v>
      </c>
      <c r="E496" s="34">
        <v>1</v>
      </c>
      <c r="F496" s="212">
        <v>31750</v>
      </c>
      <c r="G496" s="195">
        <v>45946</v>
      </c>
      <c r="H496" s="8"/>
      <c r="I496" s="212">
        <v>23700</v>
      </c>
      <c r="J496" s="8">
        <v>46134</v>
      </c>
      <c r="K496" s="23">
        <f t="shared" si="123"/>
        <v>0</v>
      </c>
      <c r="L496" s="23">
        <f t="shared" si="125"/>
        <v>0</v>
      </c>
      <c r="M496" s="206">
        <f t="shared" si="115"/>
        <v>47.4</v>
      </c>
      <c r="N496" s="34">
        <f t="shared" si="126"/>
        <v>1000</v>
      </c>
      <c r="O496" s="209">
        <f t="shared" si="124"/>
        <v>189</v>
      </c>
      <c r="P496" s="34">
        <f t="shared" si="116"/>
        <v>31750</v>
      </c>
      <c r="Q496" s="34">
        <f t="shared" si="117"/>
        <v>23700</v>
      </c>
      <c r="R496" s="7">
        <f t="shared" si="118"/>
        <v>952.6</v>
      </c>
      <c r="S496" s="227">
        <f t="shared" si="119"/>
        <v>-7097.4</v>
      </c>
      <c r="T496" s="249">
        <f t="shared" si="120"/>
        <v>-0.22354015748031494</v>
      </c>
    </row>
    <row r="497" spans="2:28" ht="15" customHeight="1" x14ac:dyDescent="0.4">
      <c r="B497" s="38" t="s">
        <v>48</v>
      </c>
      <c r="C497" s="6" t="s">
        <v>160</v>
      </c>
      <c r="D497" s="6">
        <f t="shared" si="122"/>
        <v>1</v>
      </c>
      <c r="E497" s="34">
        <v>1</v>
      </c>
      <c r="F497" s="212">
        <v>30950</v>
      </c>
      <c r="G497" s="195">
        <v>45953</v>
      </c>
      <c r="H497" s="8"/>
      <c r="I497" s="212">
        <v>23700</v>
      </c>
      <c r="J497" s="8">
        <v>46134</v>
      </c>
      <c r="K497" s="23">
        <f t="shared" si="123"/>
        <v>0</v>
      </c>
      <c r="L497" s="23">
        <f t="shared" si="125"/>
        <v>0</v>
      </c>
      <c r="M497" s="206">
        <f t="shared" si="115"/>
        <v>47.4</v>
      </c>
      <c r="N497" s="34">
        <f t="shared" si="126"/>
        <v>1000</v>
      </c>
      <c r="O497" s="209">
        <f t="shared" si="124"/>
        <v>182</v>
      </c>
      <c r="P497" s="34">
        <f t="shared" si="116"/>
        <v>30950</v>
      </c>
      <c r="Q497" s="34">
        <f t="shared" si="117"/>
        <v>23700</v>
      </c>
      <c r="R497" s="7">
        <f t="shared" si="118"/>
        <v>952.6</v>
      </c>
      <c r="S497" s="227">
        <f t="shared" si="119"/>
        <v>-6297.4</v>
      </c>
      <c r="T497" s="249">
        <f t="shared" si="120"/>
        <v>-0.20347011308562196</v>
      </c>
    </row>
    <row r="498" spans="2:28" ht="15" customHeight="1" x14ac:dyDescent="0.4">
      <c r="B498" s="38" t="s">
        <v>48</v>
      </c>
      <c r="C498" s="6" t="s">
        <v>160</v>
      </c>
      <c r="D498" s="6">
        <f t="shared" si="122"/>
        <v>1</v>
      </c>
      <c r="E498" s="34">
        <v>1</v>
      </c>
      <c r="F498" s="212">
        <v>32250</v>
      </c>
      <c r="G498" s="195">
        <v>45960</v>
      </c>
      <c r="H498" s="8"/>
      <c r="I498" s="212">
        <v>23700</v>
      </c>
      <c r="J498" s="8">
        <v>46134</v>
      </c>
      <c r="K498" s="23">
        <f t="shared" si="123"/>
        <v>0</v>
      </c>
      <c r="L498" s="23">
        <f t="shared" si="125"/>
        <v>0</v>
      </c>
      <c r="M498" s="206">
        <f t="shared" si="115"/>
        <v>47.4</v>
      </c>
      <c r="N498" s="34">
        <f t="shared" si="126"/>
        <v>1000</v>
      </c>
      <c r="O498" s="209">
        <f t="shared" si="124"/>
        <v>175</v>
      </c>
      <c r="P498" s="34">
        <f t="shared" si="116"/>
        <v>32250</v>
      </c>
      <c r="Q498" s="34">
        <f t="shared" si="117"/>
        <v>23700</v>
      </c>
      <c r="R498" s="7">
        <f t="shared" si="118"/>
        <v>952.6</v>
      </c>
      <c r="S498" s="227">
        <f t="shared" si="119"/>
        <v>-7597.4</v>
      </c>
      <c r="T498" s="249">
        <f t="shared" si="120"/>
        <v>-0.2355782945736434</v>
      </c>
    </row>
    <row r="499" spans="2:28" ht="15" customHeight="1" x14ac:dyDescent="0.4">
      <c r="B499" s="38" t="s">
        <v>48</v>
      </c>
      <c r="C499" s="6" t="s">
        <v>160</v>
      </c>
      <c r="D499" s="6">
        <f t="shared" ref="D499:D507" si="127">IF(OR($C499="신한",$C499="OTC",$C499="무상증자(신한)",$C499="토스",$C499="R토스"),1,"확인")</f>
        <v>1</v>
      </c>
      <c r="E499" s="34">
        <v>1</v>
      </c>
      <c r="F499" s="212">
        <v>30500</v>
      </c>
      <c r="G499" s="195">
        <v>45967</v>
      </c>
      <c r="H499" s="8"/>
      <c r="I499" s="212">
        <v>23700</v>
      </c>
      <c r="J499" s="8">
        <v>46134</v>
      </c>
      <c r="K499" s="23">
        <f t="shared" si="123"/>
        <v>0</v>
      </c>
      <c r="L499" s="23">
        <f t="shared" si="125"/>
        <v>0</v>
      </c>
      <c r="M499" s="206">
        <f t="shared" si="115"/>
        <v>47.4</v>
      </c>
      <c r="N499" s="34">
        <f t="shared" si="126"/>
        <v>1000</v>
      </c>
      <c r="O499" s="209">
        <f t="shared" si="124"/>
        <v>168</v>
      </c>
      <c r="P499" s="34">
        <f t="shared" si="116"/>
        <v>30500</v>
      </c>
      <c r="Q499" s="34">
        <f t="shared" si="117"/>
        <v>23700</v>
      </c>
      <c r="R499" s="7">
        <f t="shared" si="118"/>
        <v>952.6</v>
      </c>
      <c r="S499" s="227">
        <f t="shared" si="119"/>
        <v>-5847.4</v>
      </c>
      <c r="T499" s="249">
        <f t="shared" si="120"/>
        <v>-0.19171803278688523</v>
      </c>
    </row>
    <row r="500" spans="2:28" ht="15" customHeight="1" x14ac:dyDescent="0.4">
      <c r="B500" s="38" t="s">
        <v>48</v>
      </c>
      <c r="C500" s="6" t="s">
        <v>160</v>
      </c>
      <c r="D500" s="6">
        <f t="shared" si="127"/>
        <v>1</v>
      </c>
      <c r="E500" s="34">
        <v>1</v>
      </c>
      <c r="F500" s="212">
        <v>27200</v>
      </c>
      <c r="G500" s="195">
        <v>45974</v>
      </c>
      <c r="H500" s="8"/>
      <c r="I500" s="212">
        <v>23700</v>
      </c>
      <c r="J500" s="8">
        <v>46134</v>
      </c>
      <c r="K500" s="23">
        <f t="shared" si="123"/>
        <v>0</v>
      </c>
      <c r="L500" s="23">
        <f t="shared" si="125"/>
        <v>0</v>
      </c>
      <c r="M500" s="206">
        <f t="shared" si="115"/>
        <v>47.4</v>
      </c>
      <c r="N500" s="34">
        <f t="shared" si="126"/>
        <v>1000</v>
      </c>
      <c r="O500" s="209">
        <f t="shared" si="124"/>
        <v>161</v>
      </c>
      <c r="P500" s="34">
        <f t="shared" si="116"/>
        <v>27200</v>
      </c>
      <c r="Q500" s="34">
        <f t="shared" si="117"/>
        <v>23700</v>
      </c>
      <c r="R500" s="7">
        <f t="shared" si="118"/>
        <v>952.6</v>
      </c>
      <c r="S500" s="227">
        <f t="shared" si="119"/>
        <v>-2547.4</v>
      </c>
      <c r="T500" s="249">
        <f t="shared" si="120"/>
        <v>-9.3654411764705889E-2</v>
      </c>
    </row>
    <row r="501" spans="2:28" ht="15" customHeight="1" x14ac:dyDescent="0.4">
      <c r="B501" s="38" t="s">
        <v>48</v>
      </c>
      <c r="C501" s="6" t="s">
        <v>160</v>
      </c>
      <c r="D501" s="6">
        <f t="shared" si="127"/>
        <v>1</v>
      </c>
      <c r="E501" s="34">
        <v>1</v>
      </c>
      <c r="F501" s="212">
        <v>25600</v>
      </c>
      <c r="G501" s="195">
        <v>45981</v>
      </c>
      <c r="H501" s="8"/>
      <c r="I501" s="212">
        <v>23700</v>
      </c>
      <c r="J501" s="8">
        <v>46134</v>
      </c>
      <c r="K501" s="23">
        <f t="shared" si="123"/>
        <v>0</v>
      </c>
      <c r="L501" s="23">
        <f t="shared" si="125"/>
        <v>0</v>
      </c>
      <c r="M501" s="206">
        <f t="shared" si="115"/>
        <v>47.4</v>
      </c>
      <c r="N501" s="34">
        <f t="shared" si="126"/>
        <v>1000</v>
      </c>
      <c r="O501" s="209">
        <f t="shared" si="124"/>
        <v>154</v>
      </c>
      <c r="P501" s="34">
        <f t="shared" si="116"/>
        <v>25600</v>
      </c>
      <c r="Q501" s="34">
        <f t="shared" si="117"/>
        <v>23700</v>
      </c>
      <c r="R501" s="7">
        <f t="shared" si="118"/>
        <v>952.6</v>
      </c>
      <c r="S501" s="227">
        <f t="shared" si="119"/>
        <v>-947.4</v>
      </c>
      <c r="T501" s="249">
        <f t="shared" si="120"/>
        <v>-3.7007812500000001E-2</v>
      </c>
    </row>
    <row r="502" spans="2:28" ht="15" customHeight="1" x14ac:dyDescent="0.4">
      <c r="B502" s="38" t="s">
        <v>48</v>
      </c>
      <c r="C502" s="6" t="s">
        <v>160</v>
      </c>
      <c r="D502" s="6">
        <f t="shared" si="127"/>
        <v>1</v>
      </c>
      <c r="E502" s="34">
        <v>1</v>
      </c>
      <c r="F502" s="212">
        <v>26150</v>
      </c>
      <c r="G502" s="195">
        <v>45988</v>
      </c>
      <c r="H502" s="8"/>
      <c r="I502" s="212">
        <v>23700</v>
      </c>
      <c r="J502" s="8">
        <v>46134</v>
      </c>
      <c r="K502" s="23">
        <f t="shared" ref="K502:K507" si="128">IF($C502="OTC",ROUNDDOWN($E502*$F502*0.000909187,-1),(IF($C502="신한",ROUNDDOWN($E502*$F502*0.000036396,-1),(IF($C502="토스",$E502*$F502*0.00015,(IF($C502="US",(IF($E502*$F502*0.0025&gt;0.01,$E502*$F502*0.0025,0.01)),IF($C502="JP",(IF($E502*$F502*0.0025&gt;1000,$E502*$F502*0.0025,1000)),(IF($C502="R토스",0,IF($C502="무상증자(신한)",0,"")))))))))))</f>
        <v>0</v>
      </c>
      <c r="L502" s="23">
        <f t="shared" si="125"/>
        <v>0</v>
      </c>
      <c r="M502" s="206">
        <f t="shared" si="115"/>
        <v>47.4</v>
      </c>
      <c r="N502" s="34">
        <f t="shared" si="126"/>
        <v>1000</v>
      </c>
      <c r="O502" s="209">
        <f t="shared" si="124"/>
        <v>147</v>
      </c>
      <c r="P502" s="34">
        <f t="shared" si="116"/>
        <v>26150</v>
      </c>
      <c r="Q502" s="34">
        <f t="shared" si="117"/>
        <v>23700</v>
      </c>
      <c r="R502" s="7">
        <f t="shared" si="118"/>
        <v>952.6</v>
      </c>
      <c r="S502" s="227">
        <f t="shared" si="119"/>
        <v>-1497.4</v>
      </c>
      <c r="T502" s="249">
        <f t="shared" si="120"/>
        <v>-5.726195028680689E-2</v>
      </c>
    </row>
    <row r="503" spans="2:28" ht="15" customHeight="1" x14ac:dyDescent="0.4">
      <c r="B503" s="38" t="s">
        <v>48</v>
      </c>
      <c r="C503" s="6" t="s">
        <v>160</v>
      </c>
      <c r="D503" s="6">
        <f t="shared" si="127"/>
        <v>1</v>
      </c>
      <c r="E503" s="34">
        <v>1</v>
      </c>
      <c r="F503" s="212">
        <v>27150</v>
      </c>
      <c r="G503" s="195">
        <v>45995</v>
      </c>
      <c r="H503" s="8"/>
      <c r="I503" s="212">
        <v>23700</v>
      </c>
      <c r="J503" s="8">
        <v>46134</v>
      </c>
      <c r="K503" s="23">
        <f t="shared" si="128"/>
        <v>0</v>
      </c>
      <c r="L503" s="23">
        <f t="shared" si="125"/>
        <v>0</v>
      </c>
      <c r="M503" s="206">
        <f t="shared" si="115"/>
        <v>47.4</v>
      </c>
      <c r="N503" s="34">
        <f t="shared" si="126"/>
        <v>1000</v>
      </c>
      <c r="O503" s="209">
        <f t="shared" si="124"/>
        <v>140</v>
      </c>
      <c r="P503" s="34">
        <f t="shared" si="116"/>
        <v>27150</v>
      </c>
      <c r="Q503" s="34">
        <f t="shared" si="117"/>
        <v>23700</v>
      </c>
      <c r="R503" s="7">
        <f t="shared" si="118"/>
        <v>952.6</v>
      </c>
      <c r="S503" s="227">
        <f t="shared" si="119"/>
        <v>-2497.4</v>
      </c>
      <c r="T503" s="249">
        <f t="shared" si="120"/>
        <v>-9.1985267034990797E-2</v>
      </c>
    </row>
    <row r="504" spans="2:28" ht="15" customHeight="1" x14ac:dyDescent="0.4">
      <c r="B504" s="38" t="s">
        <v>48</v>
      </c>
      <c r="C504" s="6" t="s">
        <v>160</v>
      </c>
      <c r="D504" s="6">
        <f t="shared" si="127"/>
        <v>1</v>
      </c>
      <c r="E504" s="34">
        <v>10</v>
      </c>
      <c r="F504" s="212">
        <v>27600</v>
      </c>
      <c r="G504" s="195">
        <v>46000</v>
      </c>
      <c r="H504" s="8"/>
      <c r="I504" s="212">
        <v>23700</v>
      </c>
      <c r="J504" s="8">
        <v>46134</v>
      </c>
      <c r="K504" s="23">
        <f t="shared" si="128"/>
        <v>10</v>
      </c>
      <c r="L504" s="23">
        <f t="shared" si="125"/>
        <v>0</v>
      </c>
      <c r="M504" s="206">
        <f t="shared" si="115"/>
        <v>474</v>
      </c>
      <c r="N504" s="34">
        <f t="shared" si="126"/>
        <v>10000</v>
      </c>
      <c r="O504" s="209">
        <f t="shared" si="124"/>
        <v>135</v>
      </c>
      <c r="P504" s="34">
        <f t="shared" si="116"/>
        <v>276000</v>
      </c>
      <c r="Q504" s="34">
        <f t="shared" si="117"/>
        <v>237000</v>
      </c>
      <c r="R504" s="7">
        <f t="shared" si="118"/>
        <v>9516</v>
      </c>
      <c r="S504" s="227">
        <f t="shared" si="119"/>
        <v>-29484</v>
      </c>
      <c r="T504" s="249">
        <f t="shared" si="120"/>
        <v>-0.10682608695652174</v>
      </c>
    </row>
    <row r="505" spans="2:28" ht="15" customHeight="1" x14ac:dyDescent="0.4">
      <c r="B505" s="38" t="s">
        <v>48</v>
      </c>
      <c r="C505" s="6" t="s">
        <v>160</v>
      </c>
      <c r="D505" s="6">
        <f t="shared" si="127"/>
        <v>1</v>
      </c>
      <c r="E505" s="34">
        <v>1</v>
      </c>
      <c r="F505" s="212">
        <v>27800</v>
      </c>
      <c r="G505" s="195">
        <v>46002</v>
      </c>
      <c r="H505" s="8"/>
      <c r="I505" s="212">
        <v>23700</v>
      </c>
      <c r="J505" s="8">
        <v>46134</v>
      </c>
      <c r="K505" s="23">
        <f t="shared" si="128"/>
        <v>0</v>
      </c>
      <c r="L505" s="23">
        <f t="shared" si="125"/>
        <v>0</v>
      </c>
      <c r="M505" s="206">
        <f t="shared" si="115"/>
        <v>47.4</v>
      </c>
      <c r="N505" s="34">
        <f t="shared" si="126"/>
        <v>1000</v>
      </c>
      <c r="O505" s="209">
        <f t="shared" si="124"/>
        <v>133</v>
      </c>
      <c r="P505" s="34">
        <f t="shared" si="116"/>
        <v>27800</v>
      </c>
      <c r="Q505" s="34">
        <f t="shared" si="117"/>
        <v>23700</v>
      </c>
      <c r="R505" s="7">
        <f t="shared" si="118"/>
        <v>952.6</v>
      </c>
      <c r="S505" s="227">
        <f t="shared" si="119"/>
        <v>-3147.4</v>
      </c>
      <c r="T505" s="249">
        <f t="shared" si="120"/>
        <v>-0.1132158273381295</v>
      </c>
    </row>
    <row r="506" spans="2:28" ht="15" customHeight="1" x14ac:dyDescent="0.4">
      <c r="B506" s="38" t="s">
        <v>48</v>
      </c>
      <c r="C506" s="6" t="s">
        <v>160</v>
      </c>
      <c r="D506" s="6">
        <f t="shared" si="127"/>
        <v>1</v>
      </c>
      <c r="E506" s="34">
        <v>1</v>
      </c>
      <c r="F506" s="212">
        <v>27800</v>
      </c>
      <c r="G506" s="195">
        <v>46009</v>
      </c>
      <c r="H506" s="8"/>
      <c r="I506" s="212">
        <v>23700</v>
      </c>
      <c r="J506" s="8">
        <v>46134</v>
      </c>
      <c r="K506" s="23">
        <f t="shared" si="128"/>
        <v>0</v>
      </c>
      <c r="L506" s="23">
        <f t="shared" si="125"/>
        <v>0</v>
      </c>
      <c r="M506" s="206">
        <f t="shared" si="115"/>
        <v>47.4</v>
      </c>
      <c r="N506" s="34">
        <f t="shared" si="126"/>
        <v>1000</v>
      </c>
      <c r="O506" s="209">
        <f t="shared" si="124"/>
        <v>126</v>
      </c>
      <c r="P506" s="34">
        <f t="shared" si="116"/>
        <v>27800</v>
      </c>
      <c r="Q506" s="34">
        <f t="shared" si="117"/>
        <v>23700</v>
      </c>
      <c r="R506" s="7">
        <f t="shared" si="118"/>
        <v>952.6</v>
      </c>
      <c r="S506" s="227">
        <f t="shared" si="119"/>
        <v>-3147.4</v>
      </c>
      <c r="T506" s="249">
        <f t="shared" si="120"/>
        <v>-0.1132158273381295</v>
      </c>
    </row>
    <row r="507" spans="2:28" ht="15" customHeight="1" x14ac:dyDescent="0.4">
      <c r="B507" s="38" t="s">
        <v>48</v>
      </c>
      <c r="C507" s="6" t="s">
        <v>160</v>
      </c>
      <c r="D507" s="6">
        <f t="shared" si="127"/>
        <v>1</v>
      </c>
      <c r="E507" s="34">
        <v>1</v>
      </c>
      <c r="F507" s="212">
        <v>28800</v>
      </c>
      <c r="G507" s="195">
        <v>46024</v>
      </c>
      <c r="H507" s="8"/>
      <c r="I507" s="212">
        <v>23700</v>
      </c>
      <c r="J507" s="8">
        <v>46134</v>
      </c>
      <c r="K507" s="23">
        <f t="shared" si="128"/>
        <v>0</v>
      </c>
      <c r="L507" s="23">
        <f t="shared" si="125"/>
        <v>0</v>
      </c>
      <c r="M507" s="206">
        <f t="shared" si="115"/>
        <v>47.4</v>
      </c>
      <c r="N507" s="34">
        <f t="shared" si="126"/>
        <v>1000</v>
      </c>
      <c r="O507" s="209">
        <f t="shared" si="124"/>
        <v>111</v>
      </c>
      <c r="P507" s="34">
        <f t="shared" si="116"/>
        <v>28800</v>
      </c>
      <c r="Q507" s="34">
        <f t="shared" si="117"/>
        <v>23700</v>
      </c>
      <c r="R507" s="7">
        <f t="shared" si="118"/>
        <v>952.6</v>
      </c>
      <c r="S507" s="227">
        <f t="shared" si="119"/>
        <v>-4147.3999999999996</v>
      </c>
      <c r="T507" s="249">
        <f t="shared" si="120"/>
        <v>-0.14400694444444442</v>
      </c>
    </row>
    <row r="508" spans="2:28" ht="15" customHeight="1" x14ac:dyDescent="0.4">
      <c r="B508" s="198" t="s">
        <v>26</v>
      </c>
      <c r="C508" s="6" t="s">
        <v>162</v>
      </c>
      <c r="D508" s="15"/>
      <c r="E508" s="36">
        <v>200</v>
      </c>
      <c r="F508" s="255">
        <f>(4050*200)/19</f>
        <v>42631.57894736842</v>
      </c>
      <c r="G508" s="195">
        <v>43862</v>
      </c>
      <c r="H508" s="8" t="s">
        <v>501</v>
      </c>
      <c r="I508" s="212"/>
      <c r="J508" s="8"/>
      <c r="K508" s="7">
        <f>ROUNDDOWN(E508*F508*0.0015,-1)+2000</f>
        <v>14780</v>
      </c>
      <c r="L508" s="7">
        <f>ROUNDDOWN(I508*E508*0.0015,-1)</f>
        <v>0</v>
      </c>
      <c r="M508" s="206">
        <f t="shared" si="115"/>
        <v>0</v>
      </c>
      <c r="N508" s="36">
        <v>3560</v>
      </c>
      <c r="O508" s="191">
        <f t="shared" si="124"/>
        <v>-43861</v>
      </c>
      <c r="P508" s="36">
        <v>810000</v>
      </c>
      <c r="Q508" s="230">
        <f>I508*19</f>
        <v>0</v>
      </c>
      <c r="R508" s="7">
        <f>N508-K508-L508-M508</f>
        <v>-11220</v>
      </c>
      <c r="S508" s="227">
        <f t="shared" si="119"/>
        <v>0</v>
      </c>
      <c r="T508" s="248">
        <f t="shared" si="120"/>
        <v>0</v>
      </c>
    </row>
    <row r="509" spans="2:28" ht="15" customHeight="1" x14ac:dyDescent="0.4">
      <c r="B509" s="38" t="s">
        <v>26</v>
      </c>
      <c r="C509" s="6" t="s">
        <v>165</v>
      </c>
      <c r="D509" s="6">
        <f t="shared" ref="D509:D540" si="129">IF(OR($C509="신한",$C509="OTC",$C509="무상증자(신한)",$C509="토스",$C509="R토스"),1,"확인")</f>
        <v>1</v>
      </c>
      <c r="E509" s="34">
        <v>1</v>
      </c>
      <c r="F509" s="212">
        <v>2010</v>
      </c>
      <c r="G509" s="195">
        <v>45656</v>
      </c>
      <c r="H509" s="8"/>
      <c r="I509" s="212"/>
      <c r="J509" s="8"/>
      <c r="K509" s="23">
        <f t="shared" ref="K509:K540" si="130">IF($C509="OTC",ROUNDDOWN($E509*$F509*0.000909187,-1),(IF($C509="신한",ROUNDDOWN($E509*$F509*0.000036396,-1),(IF($C509="토스",$E509*$F509*0.00015,(IF($C509="US",(IF($E509*$F509*0.0025&gt;0.01,$E509*$F509*0.0025,0.01)),IF($C509="JP",(IF($E509*$F509*0.0025&gt;1000,$E509*$F509*0.0025,1000)),(IF($C509="R토스",0,IF($C509="무상증자(신한)",0,"")))))))))))</f>
        <v>0</v>
      </c>
      <c r="L509" s="23">
        <f t="shared" ref="L509:L540" si="131">IF($C509="OTC",ROUNDDOWN($I509*$E509*0.000909187,-1),(IF($C509="신한",ROUNDDOWN($I509*$E509*0.000036396,-1),(IF($C509="토스",$I509*$E509*0.00015,(IF($C509="US",(IF($I509*$E509*0.0025&gt;0.01,$I509*$E509*0.0025,0.01)),(IF($C509="JP",(IF($I509*$E509*0.0025&gt;1000,$I509*$E509*0.0025,1000)),(IF($C509="R토스",$I509*$E509*0.00015,(IF($C509="무상증자(신한)",ROUNDDOWN($I509*$E509*0.000036396,-1),"")))))))))))))</f>
        <v>0</v>
      </c>
      <c r="M509" s="206">
        <f t="shared" si="115"/>
        <v>0</v>
      </c>
      <c r="N509" s="34"/>
      <c r="O509" s="209">
        <f t="shared" si="124"/>
        <v>-45655</v>
      </c>
      <c r="P509" s="34">
        <f t="shared" ref="P509:P540" si="132">$E509*$F509*$D509</f>
        <v>2010</v>
      </c>
      <c r="Q509" s="34">
        <f t="shared" ref="Q509:Q540" si="133">$E509*$I509*$D509</f>
        <v>0</v>
      </c>
      <c r="R509" s="7">
        <f t="shared" ref="R509:R540" si="134">($N509-$K509-$L509-$M509)*$D509</f>
        <v>0</v>
      </c>
      <c r="S509" s="227">
        <f t="shared" si="119"/>
        <v>0</v>
      </c>
      <c r="T509" s="249">
        <f t="shared" si="120"/>
        <v>0</v>
      </c>
      <c r="U509" s="193">
        <f>T509*365/O509</f>
        <v>0</v>
      </c>
      <c r="V509" s="6"/>
      <c r="W509" s="6"/>
      <c r="X509" s="6"/>
      <c r="Y509" s="6"/>
      <c r="Z509" s="6"/>
      <c r="AA509" s="6"/>
      <c r="AB509" s="6"/>
    </row>
    <row r="510" spans="2:28" ht="15" customHeight="1" x14ac:dyDescent="0.4">
      <c r="B510" s="38" t="s">
        <v>26</v>
      </c>
      <c r="C510" s="6" t="s">
        <v>165</v>
      </c>
      <c r="D510" s="6">
        <f t="shared" si="129"/>
        <v>1</v>
      </c>
      <c r="E510" s="34">
        <v>1</v>
      </c>
      <c r="F510" s="212">
        <v>2030</v>
      </c>
      <c r="G510" s="195">
        <v>45663</v>
      </c>
      <c r="H510" s="8"/>
      <c r="I510" s="212"/>
      <c r="J510" s="8"/>
      <c r="K510" s="23">
        <f t="shared" si="130"/>
        <v>0</v>
      </c>
      <c r="L510" s="23">
        <f t="shared" si="131"/>
        <v>0</v>
      </c>
      <c r="M510" s="206">
        <f t="shared" si="115"/>
        <v>0</v>
      </c>
      <c r="N510" s="34"/>
      <c r="O510" s="209">
        <f t="shared" si="124"/>
        <v>-45662</v>
      </c>
      <c r="P510" s="34">
        <f t="shared" si="132"/>
        <v>2030</v>
      </c>
      <c r="Q510" s="34">
        <f t="shared" si="133"/>
        <v>0</v>
      </c>
      <c r="R510" s="7">
        <f t="shared" si="134"/>
        <v>0</v>
      </c>
      <c r="S510" s="227">
        <f t="shared" si="119"/>
        <v>0</v>
      </c>
      <c r="T510" s="249">
        <f t="shared" si="120"/>
        <v>0</v>
      </c>
    </row>
    <row r="511" spans="2:28" ht="15" customHeight="1" x14ac:dyDescent="0.4">
      <c r="B511" s="38" t="s">
        <v>26</v>
      </c>
      <c r="C511" s="6" t="s">
        <v>165</v>
      </c>
      <c r="D511" s="6">
        <f t="shared" si="129"/>
        <v>1</v>
      </c>
      <c r="E511" s="34">
        <v>1</v>
      </c>
      <c r="F511" s="212">
        <v>1954</v>
      </c>
      <c r="G511" s="195">
        <v>45670</v>
      </c>
      <c r="H511" s="8"/>
      <c r="I511" s="212"/>
      <c r="J511" s="8"/>
      <c r="K511" s="23">
        <f t="shared" si="130"/>
        <v>0</v>
      </c>
      <c r="L511" s="23">
        <f t="shared" si="131"/>
        <v>0</v>
      </c>
      <c r="M511" s="206">
        <f t="shared" si="115"/>
        <v>0</v>
      </c>
      <c r="N511" s="34"/>
      <c r="O511" s="209">
        <f t="shared" si="124"/>
        <v>-45669</v>
      </c>
      <c r="P511" s="34">
        <f t="shared" si="132"/>
        <v>1954</v>
      </c>
      <c r="Q511" s="34">
        <f t="shared" si="133"/>
        <v>0</v>
      </c>
      <c r="R511" s="7">
        <f t="shared" si="134"/>
        <v>0</v>
      </c>
      <c r="S511" s="227">
        <f t="shared" si="119"/>
        <v>0</v>
      </c>
      <c r="T511" s="249">
        <f t="shared" si="120"/>
        <v>0</v>
      </c>
    </row>
    <row r="512" spans="2:28" ht="15" customHeight="1" x14ac:dyDescent="0.4">
      <c r="B512" s="38" t="s">
        <v>26</v>
      </c>
      <c r="C512" s="6" t="s">
        <v>165</v>
      </c>
      <c r="D512" s="6">
        <f t="shared" si="129"/>
        <v>1</v>
      </c>
      <c r="E512" s="34">
        <v>1</v>
      </c>
      <c r="F512" s="212">
        <v>1982</v>
      </c>
      <c r="G512" s="195">
        <v>45677</v>
      </c>
      <c r="H512" s="8"/>
      <c r="I512" s="212"/>
      <c r="J512" s="8"/>
      <c r="K512" s="23">
        <f t="shared" si="130"/>
        <v>0</v>
      </c>
      <c r="L512" s="23">
        <f t="shared" si="131"/>
        <v>0</v>
      </c>
      <c r="M512" s="206">
        <f t="shared" si="115"/>
        <v>0</v>
      </c>
      <c r="N512" s="34"/>
      <c r="O512" s="209">
        <f t="shared" si="124"/>
        <v>-45676</v>
      </c>
      <c r="P512" s="34">
        <f t="shared" si="132"/>
        <v>1982</v>
      </c>
      <c r="Q512" s="34">
        <f t="shared" si="133"/>
        <v>0</v>
      </c>
      <c r="R512" s="7">
        <f t="shared" si="134"/>
        <v>0</v>
      </c>
      <c r="S512" s="227">
        <f t="shared" si="119"/>
        <v>0</v>
      </c>
      <c r="T512" s="249">
        <f t="shared" si="120"/>
        <v>0</v>
      </c>
    </row>
    <row r="513" spans="2:20" ht="15" customHeight="1" x14ac:dyDescent="0.4">
      <c r="B513" s="38" t="s">
        <v>26</v>
      </c>
      <c r="C513" s="6" t="s">
        <v>165</v>
      </c>
      <c r="D513" s="6">
        <f t="shared" si="129"/>
        <v>1</v>
      </c>
      <c r="E513" s="34">
        <v>1</v>
      </c>
      <c r="F513" s="212">
        <v>1916</v>
      </c>
      <c r="G513" s="195">
        <v>45688</v>
      </c>
      <c r="H513" s="8"/>
      <c r="I513" s="212"/>
      <c r="J513" s="8"/>
      <c r="K513" s="23">
        <f t="shared" si="130"/>
        <v>0</v>
      </c>
      <c r="L513" s="23">
        <f t="shared" si="131"/>
        <v>0</v>
      </c>
      <c r="M513" s="206">
        <f t="shared" si="115"/>
        <v>0</v>
      </c>
      <c r="N513" s="34"/>
      <c r="O513" s="209">
        <f t="shared" si="124"/>
        <v>-45687</v>
      </c>
      <c r="P513" s="34">
        <f t="shared" si="132"/>
        <v>1916</v>
      </c>
      <c r="Q513" s="34">
        <f t="shared" si="133"/>
        <v>0</v>
      </c>
      <c r="R513" s="7">
        <f t="shared" si="134"/>
        <v>0</v>
      </c>
      <c r="S513" s="227">
        <f t="shared" si="119"/>
        <v>0</v>
      </c>
      <c r="T513" s="249">
        <f t="shared" si="120"/>
        <v>0</v>
      </c>
    </row>
    <row r="514" spans="2:20" ht="15" customHeight="1" x14ac:dyDescent="0.4">
      <c r="B514" s="38" t="s">
        <v>26</v>
      </c>
      <c r="C514" s="6" t="s">
        <v>165</v>
      </c>
      <c r="D514" s="6">
        <f t="shared" si="129"/>
        <v>1</v>
      </c>
      <c r="E514" s="34">
        <v>1</v>
      </c>
      <c r="F514" s="212">
        <v>1835</v>
      </c>
      <c r="G514" s="195">
        <v>45691</v>
      </c>
      <c r="H514" s="8"/>
      <c r="I514" s="212"/>
      <c r="J514" s="8"/>
      <c r="K514" s="23">
        <f t="shared" si="130"/>
        <v>0</v>
      </c>
      <c r="L514" s="23">
        <f t="shared" si="131"/>
        <v>0</v>
      </c>
      <c r="M514" s="206">
        <f t="shared" si="115"/>
        <v>0</v>
      </c>
      <c r="N514" s="34"/>
      <c r="O514" s="209">
        <f t="shared" si="124"/>
        <v>-45690</v>
      </c>
      <c r="P514" s="34">
        <f t="shared" si="132"/>
        <v>1835</v>
      </c>
      <c r="Q514" s="34">
        <f t="shared" si="133"/>
        <v>0</v>
      </c>
      <c r="R514" s="7">
        <f t="shared" si="134"/>
        <v>0</v>
      </c>
      <c r="S514" s="227">
        <f t="shared" si="119"/>
        <v>0</v>
      </c>
      <c r="T514" s="249">
        <f t="shared" si="120"/>
        <v>0</v>
      </c>
    </row>
    <row r="515" spans="2:20" ht="15" customHeight="1" x14ac:dyDescent="0.4">
      <c r="B515" s="38" t="s">
        <v>26</v>
      </c>
      <c r="C515" s="6" t="s">
        <v>165</v>
      </c>
      <c r="D515" s="6">
        <f t="shared" si="129"/>
        <v>1</v>
      </c>
      <c r="E515" s="34">
        <v>1</v>
      </c>
      <c r="F515" s="212">
        <v>2045</v>
      </c>
      <c r="G515" s="195">
        <v>45698</v>
      </c>
      <c r="H515" s="8"/>
      <c r="I515" s="212"/>
      <c r="J515" s="8"/>
      <c r="K515" s="23">
        <f t="shared" si="130"/>
        <v>0</v>
      </c>
      <c r="L515" s="23">
        <f t="shared" si="131"/>
        <v>0</v>
      </c>
      <c r="M515" s="206">
        <f t="shared" si="115"/>
        <v>0</v>
      </c>
      <c r="N515" s="34"/>
      <c r="O515" s="209">
        <f t="shared" si="124"/>
        <v>-45697</v>
      </c>
      <c r="P515" s="34">
        <f t="shared" si="132"/>
        <v>2045</v>
      </c>
      <c r="Q515" s="34">
        <f t="shared" si="133"/>
        <v>0</v>
      </c>
      <c r="R515" s="7">
        <f t="shared" si="134"/>
        <v>0</v>
      </c>
      <c r="S515" s="227">
        <f t="shared" si="119"/>
        <v>0</v>
      </c>
      <c r="T515" s="249">
        <f t="shared" si="120"/>
        <v>0</v>
      </c>
    </row>
    <row r="516" spans="2:20" ht="15" customHeight="1" x14ac:dyDescent="0.4">
      <c r="B516" s="38" t="s">
        <v>26</v>
      </c>
      <c r="C516" s="6" t="s">
        <v>165</v>
      </c>
      <c r="D516" s="6">
        <f t="shared" si="129"/>
        <v>1</v>
      </c>
      <c r="E516" s="34">
        <v>1</v>
      </c>
      <c r="F516" s="212">
        <v>2150</v>
      </c>
      <c r="G516" s="195">
        <v>45705</v>
      </c>
      <c r="H516" s="8"/>
      <c r="I516" s="212"/>
      <c r="J516" s="8"/>
      <c r="K516" s="23">
        <f t="shared" si="130"/>
        <v>0</v>
      </c>
      <c r="L516" s="23">
        <f t="shared" si="131"/>
        <v>0</v>
      </c>
      <c r="M516" s="206">
        <f t="shared" ref="M516:M579" si="135">Q516*0.002</f>
        <v>0</v>
      </c>
      <c r="N516" s="34"/>
      <c r="O516" s="209">
        <f t="shared" si="124"/>
        <v>-45704</v>
      </c>
      <c r="P516" s="34">
        <f t="shared" si="132"/>
        <v>2150</v>
      </c>
      <c r="Q516" s="34">
        <f t="shared" si="133"/>
        <v>0</v>
      </c>
      <c r="R516" s="7">
        <f t="shared" si="134"/>
        <v>0</v>
      </c>
      <c r="S516" s="227">
        <f t="shared" ref="S516:S579" si="136">IF(Q516=0,0,Q516-P516+R516)</f>
        <v>0</v>
      </c>
      <c r="T516" s="249">
        <f t="shared" ref="T516:T579" si="137">S516/P516</f>
        <v>0</v>
      </c>
    </row>
    <row r="517" spans="2:20" ht="15" customHeight="1" x14ac:dyDescent="0.4">
      <c r="B517" s="38" t="s">
        <v>26</v>
      </c>
      <c r="C517" s="6" t="s">
        <v>165</v>
      </c>
      <c r="D517" s="6">
        <f t="shared" si="129"/>
        <v>1</v>
      </c>
      <c r="E517" s="34">
        <v>1</v>
      </c>
      <c r="F517" s="212">
        <v>2500</v>
      </c>
      <c r="G517" s="195">
        <v>45712</v>
      </c>
      <c r="H517" s="8"/>
      <c r="I517" s="212"/>
      <c r="J517" s="8"/>
      <c r="K517" s="23">
        <f t="shared" si="130"/>
        <v>0</v>
      </c>
      <c r="L517" s="23">
        <f t="shared" si="131"/>
        <v>0</v>
      </c>
      <c r="M517" s="206">
        <f t="shared" si="135"/>
        <v>0</v>
      </c>
      <c r="N517" s="34"/>
      <c r="O517" s="209">
        <f t="shared" si="124"/>
        <v>-45711</v>
      </c>
      <c r="P517" s="34">
        <f t="shared" si="132"/>
        <v>2500</v>
      </c>
      <c r="Q517" s="34">
        <f t="shared" si="133"/>
        <v>0</v>
      </c>
      <c r="R517" s="7">
        <f t="shared" si="134"/>
        <v>0</v>
      </c>
      <c r="S517" s="227">
        <f t="shared" si="136"/>
        <v>0</v>
      </c>
      <c r="T517" s="249">
        <f t="shared" si="137"/>
        <v>0</v>
      </c>
    </row>
    <row r="518" spans="2:20" ht="15" customHeight="1" x14ac:dyDescent="0.4">
      <c r="B518" s="38" t="s">
        <v>26</v>
      </c>
      <c r="C518" s="6" t="s">
        <v>165</v>
      </c>
      <c r="D518" s="6">
        <f t="shared" si="129"/>
        <v>1</v>
      </c>
      <c r="E518" s="34">
        <v>1</v>
      </c>
      <c r="F518" s="212">
        <v>2430</v>
      </c>
      <c r="G518" s="195">
        <v>45720</v>
      </c>
      <c r="H518" s="8"/>
      <c r="I518" s="212"/>
      <c r="J518" s="8"/>
      <c r="K518" s="23">
        <f t="shared" si="130"/>
        <v>0</v>
      </c>
      <c r="L518" s="23">
        <f t="shared" si="131"/>
        <v>0</v>
      </c>
      <c r="M518" s="206">
        <f t="shared" si="135"/>
        <v>0</v>
      </c>
      <c r="N518" s="34"/>
      <c r="O518" s="209">
        <f t="shared" si="124"/>
        <v>-45719</v>
      </c>
      <c r="P518" s="34">
        <f t="shared" si="132"/>
        <v>2430</v>
      </c>
      <c r="Q518" s="34">
        <f t="shared" si="133"/>
        <v>0</v>
      </c>
      <c r="R518" s="7">
        <f t="shared" si="134"/>
        <v>0</v>
      </c>
      <c r="S518" s="227">
        <f t="shared" si="136"/>
        <v>0</v>
      </c>
      <c r="T518" s="249">
        <f t="shared" si="137"/>
        <v>0</v>
      </c>
    </row>
    <row r="519" spans="2:20" ht="15" customHeight="1" x14ac:dyDescent="0.4">
      <c r="B519" s="38" t="s">
        <v>26</v>
      </c>
      <c r="C519" s="6" t="s">
        <v>165</v>
      </c>
      <c r="D519" s="6">
        <f t="shared" si="129"/>
        <v>1</v>
      </c>
      <c r="E519" s="34">
        <v>1</v>
      </c>
      <c r="F519" s="212">
        <v>2510</v>
      </c>
      <c r="G519" s="195">
        <v>45726</v>
      </c>
      <c r="H519" s="8"/>
      <c r="I519" s="212"/>
      <c r="J519" s="8"/>
      <c r="K519" s="23">
        <f t="shared" si="130"/>
        <v>0</v>
      </c>
      <c r="L519" s="23">
        <f t="shared" si="131"/>
        <v>0</v>
      </c>
      <c r="M519" s="206">
        <f t="shared" si="135"/>
        <v>0</v>
      </c>
      <c r="N519" s="34"/>
      <c r="O519" s="209">
        <f t="shared" si="124"/>
        <v>-45725</v>
      </c>
      <c r="P519" s="34">
        <f t="shared" si="132"/>
        <v>2510</v>
      </c>
      <c r="Q519" s="34">
        <f t="shared" si="133"/>
        <v>0</v>
      </c>
      <c r="R519" s="7">
        <f t="shared" si="134"/>
        <v>0</v>
      </c>
      <c r="S519" s="227">
        <f t="shared" si="136"/>
        <v>0</v>
      </c>
      <c r="T519" s="249">
        <f t="shared" si="137"/>
        <v>0</v>
      </c>
    </row>
    <row r="520" spans="2:20" ht="15" customHeight="1" x14ac:dyDescent="0.4">
      <c r="B520" s="38" t="s">
        <v>26</v>
      </c>
      <c r="C520" s="6" t="s">
        <v>165</v>
      </c>
      <c r="D520" s="6">
        <f t="shared" si="129"/>
        <v>1</v>
      </c>
      <c r="E520" s="34">
        <v>1</v>
      </c>
      <c r="F520" s="212">
        <v>2280</v>
      </c>
      <c r="G520" s="195">
        <v>45733</v>
      </c>
      <c r="H520" s="8"/>
      <c r="I520" s="212"/>
      <c r="J520" s="8"/>
      <c r="K520" s="23">
        <f t="shared" si="130"/>
        <v>0</v>
      </c>
      <c r="L520" s="23">
        <f t="shared" si="131"/>
        <v>0</v>
      </c>
      <c r="M520" s="206">
        <f t="shared" si="135"/>
        <v>0</v>
      </c>
      <c r="N520" s="34"/>
      <c r="O520" s="209">
        <f t="shared" si="124"/>
        <v>-45732</v>
      </c>
      <c r="P520" s="34">
        <f t="shared" si="132"/>
        <v>2280</v>
      </c>
      <c r="Q520" s="34">
        <f t="shared" si="133"/>
        <v>0</v>
      </c>
      <c r="R520" s="7">
        <f t="shared" si="134"/>
        <v>0</v>
      </c>
      <c r="S520" s="227">
        <f t="shared" si="136"/>
        <v>0</v>
      </c>
      <c r="T520" s="249">
        <f t="shared" si="137"/>
        <v>0</v>
      </c>
    </row>
    <row r="521" spans="2:20" ht="15" customHeight="1" x14ac:dyDescent="0.4">
      <c r="B521" s="38" t="s">
        <v>26</v>
      </c>
      <c r="C521" s="6" t="s">
        <v>165</v>
      </c>
      <c r="D521" s="6">
        <f t="shared" si="129"/>
        <v>1</v>
      </c>
      <c r="E521" s="34">
        <v>1</v>
      </c>
      <c r="F521" s="212">
        <v>2290</v>
      </c>
      <c r="G521" s="195">
        <v>45740</v>
      </c>
      <c r="H521" s="8"/>
      <c r="I521" s="212"/>
      <c r="J521" s="8"/>
      <c r="K521" s="23">
        <f t="shared" si="130"/>
        <v>0</v>
      </c>
      <c r="L521" s="23">
        <f t="shared" si="131"/>
        <v>0</v>
      </c>
      <c r="M521" s="206">
        <f t="shared" si="135"/>
        <v>0</v>
      </c>
      <c r="N521" s="34"/>
      <c r="O521" s="209">
        <f t="shared" si="124"/>
        <v>-45739</v>
      </c>
      <c r="P521" s="34">
        <f t="shared" si="132"/>
        <v>2290</v>
      </c>
      <c r="Q521" s="34">
        <f t="shared" si="133"/>
        <v>0</v>
      </c>
      <c r="R521" s="7">
        <f t="shared" si="134"/>
        <v>0</v>
      </c>
      <c r="S521" s="227">
        <f t="shared" si="136"/>
        <v>0</v>
      </c>
      <c r="T521" s="249">
        <f t="shared" si="137"/>
        <v>0</v>
      </c>
    </row>
    <row r="522" spans="2:20" ht="15" customHeight="1" x14ac:dyDescent="0.4">
      <c r="B522" s="38" t="s">
        <v>26</v>
      </c>
      <c r="C522" s="6" t="s">
        <v>165</v>
      </c>
      <c r="D522" s="6">
        <f t="shared" si="129"/>
        <v>1</v>
      </c>
      <c r="E522" s="34">
        <v>1</v>
      </c>
      <c r="F522" s="212">
        <v>2095</v>
      </c>
      <c r="G522" s="195">
        <v>45747</v>
      </c>
      <c r="H522" s="8"/>
      <c r="I522" s="212"/>
      <c r="J522" s="8"/>
      <c r="K522" s="23">
        <f t="shared" si="130"/>
        <v>0</v>
      </c>
      <c r="L522" s="23">
        <f t="shared" si="131"/>
        <v>0</v>
      </c>
      <c r="M522" s="206">
        <f t="shared" si="135"/>
        <v>0</v>
      </c>
      <c r="N522" s="34"/>
      <c r="O522" s="209">
        <f t="shared" si="124"/>
        <v>-45746</v>
      </c>
      <c r="P522" s="34">
        <f t="shared" si="132"/>
        <v>2095</v>
      </c>
      <c r="Q522" s="34">
        <f t="shared" si="133"/>
        <v>0</v>
      </c>
      <c r="R522" s="7">
        <f t="shared" si="134"/>
        <v>0</v>
      </c>
      <c r="S522" s="227">
        <f t="shared" si="136"/>
        <v>0</v>
      </c>
      <c r="T522" s="249">
        <f t="shared" si="137"/>
        <v>0</v>
      </c>
    </row>
    <row r="523" spans="2:20" ht="15" customHeight="1" x14ac:dyDescent="0.4">
      <c r="B523" s="38" t="s">
        <v>26</v>
      </c>
      <c r="C523" s="6" t="s">
        <v>165</v>
      </c>
      <c r="D523" s="6">
        <f t="shared" si="129"/>
        <v>1</v>
      </c>
      <c r="E523" s="34">
        <v>1</v>
      </c>
      <c r="F523" s="212">
        <v>1993</v>
      </c>
      <c r="G523" s="195">
        <v>45754</v>
      </c>
      <c r="H523" s="8"/>
      <c r="I523" s="212"/>
      <c r="J523" s="8"/>
      <c r="K523" s="23">
        <f t="shared" si="130"/>
        <v>0</v>
      </c>
      <c r="L523" s="23">
        <f t="shared" si="131"/>
        <v>0</v>
      </c>
      <c r="M523" s="206">
        <f t="shared" si="135"/>
        <v>0</v>
      </c>
      <c r="N523" s="34"/>
      <c r="O523" s="209">
        <f t="shared" si="124"/>
        <v>-45753</v>
      </c>
      <c r="P523" s="34">
        <f t="shared" si="132"/>
        <v>1993</v>
      </c>
      <c r="Q523" s="34">
        <f t="shared" si="133"/>
        <v>0</v>
      </c>
      <c r="R523" s="7">
        <f t="shared" si="134"/>
        <v>0</v>
      </c>
      <c r="S523" s="227">
        <f t="shared" si="136"/>
        <v>0</v>
      </c>
      <c r="T523" s="249">
        <f t="shared" si="137"/>
        <v>0</v>
      </c>
    </row>
    <row r="524" spans="2:20" ht="15" customHeight="1" x14ac:dyDescent="0.4">
      <c r="B524" s="38" t="s">
        <v>26</v>
      </c>
      <c r="C524" s="6" t="s">
        <v>165</v>
      </c>
      <c r="D524" s="6">
        <f t="shared" si="129"/>
        <v>1</v>
      </c>
      <c r="E524" s="34">
        <v>1</v>
      </c>
      <c r="F524" s="212">
        <v>2210</v>
      </c>
      <c r="G524" s="195">
        <v>45761</v>
      </c>
      <c r="H524" s="8"/>
      <c r="I524" s="212"/>
      <c r="J524" s="8"/>
      <c r="K524" s="23">
        <f t="shared" si="130"/>
        <v>0</v>
      </c>
      <c r="L524" s="23">
        <f t="shared" si="131"/>
        <v>0</v>
      </c>
      <c r="M524" s="206">
        <f t="shared" si="135"/>
        <v>0</v>
      </c>
      <c r="N524" s="34"/>
      <c r="O524" s="209">
        <f t="shared" si="124"/>
        <v>-45760</v>
      </c>
      <c r="P524" s="34">
        <f t="shared" si="132"/>
        <v>2210</v>
      </c>
      <c r="Q524" s="34">
        <f t="shared" si="133"/>
        <v>0</v>
      </c>
      <c r="R524" s="7">
        <f t="shared" si="134"/>
        <v>0</v>
      </c>
      <c r="S524" s="227">
        <f t="shared" si="136"/>
        <v>0</v>
      </c>
      <c r="T524" s="249">
        <f t="shared" si="137"/>
        <v>0</v>
      </c>
    </row>
    <row r="525" spans="2:20" ht="15" customHeight="1" x14ac:dyDescent="0.4">
      <c r="B525" s="38" t="s">
        <v>26</v>
      </c>
      <c r="C525" s="6" t="s">
        <v>165</v>
      </c>
      <c r="D525" s="6">
        <f t="shared" si="129"/>
        <v>1</v>
      </c>
      <c r="E525" s="34">
        <v>1</v>
      </c>
      <c r="F525" s="212">
        <v>2400</v>
      </c>
      <c r="G525" s="195">
        <v>45768</v>
      </c>
      <c r="H525" s="8"/>
      <c r="I525" s="212"/>
      <c r="J525" s="8"/>
      <c r="K525" s="23">
        <f t="shared" si="130"/>
        <v>0</v>
      </c>
      <c r="L525" s="23">
        <f t="shared" si="131"/>
        <v>0</v>
      </c>
      <c r="M525" s="206">
        <f t="shared" si="135"/>
        <v>0</v>
      </c>
      <c r="N525" s="34"/>
      <c r="O525" s="209">
        <f t="shared" si="124"/>
        <v>-45767</v>
      </c>
      <c r="P525" s="34">
        <f t="shared" si="132"/>
        <v>2400</v>
      </c>
      <c r="Q525" s="34">
        <f t="shared" si="133"/>
        <v>0</v>
      </c>
      <c r="R525" s="7">
        <f t="shared" si="134"/>
        <v>0</v>
      </c>
      <c r="S525" s="227">
        <f t="shared" si="136"/>
        <v>0</v>
      </c>
      <c r="T525" s="249">
        <f t="shared" si="137"/>
        <v>0</v>
      </c>
    </row>
    <row r="526" spans="2:20" ht="15" customHeight="1" x14ac:dyDescent="0.4">
      <c r="B526" s="38" t="s">
        <v>26</v>
      </c>
      <c r="C526" s="6" t="s">
        <v>165</v>
      </c>
      <c r="D526" s="6">
        <f t="shared" si="129"/>
        <v>1</v>
      </c>
      <c r="E526" s="34">
        <v>1</v>
      </c>
      <c r="F526" s="212">
        <v>2530</v>
      </c>
      <c r="G526" s="195">
        <v>45775</v>
      </c>
      <c r="H526" s="8"/>
      <c r="I526" s="212"/>
      <c r="J526" s="8"/>
      <c r="K526" s="23">
        <f t="shared" si="130"/>
        <v>0</v>
      </c>
      <c r="L526" s="23">
        <f t="shared" si="131"/>
        <v>0</v>
      </c>
      <c r="M526" s="206">
        <f t="shared" si="135"/>
        <v>0</v>
      </c>
      <c r="N526" s="34"/>
      <c r="O526" s="209">
        <f t="shared" si="124"/>
        <v>-45774</v>
      </c>
      <c r="P526" s="34">
        <f t="shared" si="132"/>
        <v>2530</v>
      </c>
      <c r="Q526" s="34">
        <f t="shared" si="133"/>
        <v>0</v>
      </c>
      <c r="R526" s="7">
        <f t="shared" si="134"/>
        <v>0</v>
      </c>
      <c r="S526" s="227">
        <f t="shared" si="136"/>
        <v>0</v>
      </c>
      <c r="T526" s="249">
        <f t="shared" si="137"/>
        <v>0</v>
      </c>
    </row>
    <row r="527" spans="2:20" ht="15" customHeight="1" x14ac:dyDescent="0.4">
      <c r="B527" s="38" t="s">
        <v>26</v>
      </c>
      <c r="C527" s="6" t="s">
        <v>165</v>
      </c>
      <c r="D527" s="6">
        <f t="shared" si="129"/>
        <v>1</v>
      </c>
      <c r="E527" s="34">
        <v>1</v>
      </c>
      <c r="F527" s="212">
        <v>3170</v>
      </c>
      <c r="G527" s="195">
        <v>45784</v>
      </c>
      <c r="H527" s="8"/>
      <c r="I527" s="212"/>
      <c r="J527" s="8"/>
      <c r="K527" s="23">
        <f t="shared" si="130"/>
        <v>0</v>
      </c>
      <c r="L527" s="23">
        <f t="shared" si="131"/>
        <v>0</v>
      </c>
      <c r="M527" s="206">
        <f t="shared" si="135"/>
        <v>0</v>
      </c>
      <c r="N527" s="34"/>
      <c r="O527" s="209">
        <f t="shared" si="124"/>
        <v>-45783</v>
      </c>
      <c r="P527" s="34">
        <f t="shared" si="132"/>
        <v>3170</v>
      </c>
      <c r="Q527" s="34">
        <f t="shared" si="133"/>
        <v>0</v>
      </c>
      <c r="R527" s="7">
        <f t="shared" si="134"/>
        <v>0</v>
      </c>
      <c r="S527" s="227">
        <f t="shared" si="136"/>
        <v>0</v>
      </c>
      <c r="T527" s="249">
        <f t="shared" si="137"/>
        <v>0</v>
      </c>
    </row>
    <row r="528" spans="2:20" ht="15" customHeight="1" x14ac:dyDescent="0.4">
      <c r="B528" s="38" t="s">
        <v>26</v>
      </c>
      <c r="C528" s="6" t="s">
        <v>165</v>
      </c>
      <c r="D528" s="6">
        <f t="shared" si="129"/>
        <v>1</v>
      </c>
      <c r="E528" s="34">
        <v>1</v>
      </c>
      <c r="F528" s="212">
        <v>2860</v>
      </c>
      <c r="G528" s="195">
        <v>45789</v>
      </c>
      <c r="H528" s="8"/>
      <c r="I528" s="212"/>
      <c r="J528" s="8"/>
      <c r="K528" s="23">
        <f t="shared" si="130"/>
        <v>0</v>
      </c>
      <c r="L528" s="23">
        <f t="shared" si="131"/>
        <v>0</v>
      </c>
      <c r="M528" s="206">
        <f t="shared" si="135"/>
        <v>0</v>
      </c>
      <c r="N528" s="34"/>
      <c r="O528" s="209">
        <f t="shared" si="124"/>
        <v>-45788</v>
      </c>
      <c r="P528" s="34">
        <f t="shared" si="132"/>
        <v>2860</v>
      </c>
      <c r="Q528" s="34">
        <f t="shared" si="133"/>
        <v>0</v>
      </c>
      <c r="R528" s="7">
        <f t="shared" si="134"/>
        <v>0</v>
      </c>
      <c r="S528" s="227">
        <f t="shared" si="136"/>
        <v>0</v>
      </c>
      <c r="T528" s="249">
        <f t="shared" si="137"/>
        <v>0</v>
      </c>
    </row>
    <row r="529" spans="2:20" ht="15" customHeight="1" x14ac:dyDescent="0.4">
      <c r="B529" s="38" t="s">
        <v>26</v>
      </c>
      <c r="C529" s="6" t="s">
        <v>165</v>
      </c>
      <c r="D529" s="6">
        <f t="shared" si="129"/>
        <v>1</v>
      </c>
      <c r="E529" s="34">
        <v>1</v>
      </c>
      <c r="F529" s="212">
        <v>2785</v>
      </c>
      <c r="G529" s="195">
        <v>45796</v>
      </c>
      <c r="H529" s="8"/>
      <c r="I529" s="212"/>
      <c r="J529" s="8"/>
      <c r="K529" s="23">
        <f t="shared" si="130"/>
        <v>0</v>
      </c>
      <c r="L529" s="23">
        <f t="shared" si="131"/>
        <v>0</v>
      </c>
      <c r="M529" s="206">
        <f t="shared" si="135"/>
        <v>0</v>
      </c>
      <c r="N529" s="34"/>
      <c r="O529" s="209">
        <f t="shared" si="124"/>
        <v>-45795</v>
      </c>
      <c r="P529" s="34">
        <f t="shared" si="132"/>
        <v>2785</v>
      </c>
      <c r="Q529" s="34">
        <f t="shared" si="133"/>
        <v>0</v>
      </c>
      <c r="R529" s="7">
        <f t="shared" si="134"/>
        <v>0</v>
      </c>
      <c r="S529" s="227">
        <f t="shared" si="136"/>
        <v>0</v>
      </c>
      <c r="T529" s="249">
        <f t="shared" si="137"/>
        <v>0</v>
      </c>
    </row>
    <row r="530" spans="2:20" ht="15" customHeight="1" x14ac:dyDescent="0.4">
      <c r="B530" s="38" t="s">
        <v>26</v>
      </c>
      <c r="C530" s="6" t="s">
        <v>165</v>
      </c>
      <c r="D530" s="6">
        <f t="shared" si="129"/>
        <v>1</v>
      </c>
      <c r="E530" s="34">
        <v>1</v>
      </c>
      <c r="F530" s="212">
        <v>3245</v>
      </c>
      <c r="G530" s="195">
        <v>45803</v>
      </c>
      <c r="H530" s="8"/>
      <c r="I530" s="212"/>
      <c r="J530" s="8"/>
      <c r="K530" s="23">
        <f t="shared" si="130"/>
        <v>0</v>
      </c>
      <c r="L530" s="23">
        <f t="shared" si="131"/>
        <v>0</v>
      </c>
      <c r="M530" s="206">
        <f t="shared" si="135"/>
        <v>0</v>
      </c>
      <c r="N530" s="34"/>
      <c r="O530" s="209">
        <f t="shared" si="124"/>
        <v>-45802</v>
      </c>
      <c r="P530" s="34">
        <f t="shared" si="132"/>
        <v>3245</v>
      </c>
      <c r="Q530" s="34">
        <f t="shared" si="133"/>
        <v>0</v>
      </c>
      <c r="R530" s="7">
        <f t="shared" si="134"/>
        <v>0</v>
      </c>
      <c r="S530" s="227">
        <f t="shared" si="136"/>
        <v>0</v>
      </c>
      <c r="T530" s="249">
        <f t="shared" si="137"/>
        <v>0</v>
      </c>
    </row>
    <row r="531" spans="2:20" ht="15" customHeight="1" x14ac:dyDescent="0.4">
      <c r="B531" s="38" t="s">
        <v>26</v>
      </c>
      <c r="C531" s="6" t="s">
        <v>165</v>
      </c>
      <c r="D531" s="6">
        <f t="shared" si="129"/>
        <v>1</v>
      </c>
      <c r="E531" s="34">
        <v>1</v>
      </c>
      <c r="F531" s="212">
        <v>3215</v>
      </c>
      <c r="G531" s="195">
        <v>45810</v>
      </c>
      <c r="H531" s="8"/>
      <c r="I531" s="212"/>
      <c r="J531" s="8"/>
      <c r="K531" s="23">
        <f t="shared" si="130"/>
        <v>0</v>
      </c>
      <c r="L531" s="23">
        <f t="shared" si="131"/>
        <v>0</v>
      </c>
      <c r="M531" s="206">
        <f t="shared" si="135"/>
        <v>0</v>
      </c>
      <c r="N531" s="34"/>
      <c r="O531" s="209">
        <f t="shared" si="124"/>
        <v>-45809</v>
      </c>
      <c r="P531" s="34">
        <f t="shared" si="132"/>
        <v>3215</v>
      </c>
      <c r="Q531" s="34">
        <f t="shared" si="133"/>
        <v>0</v>
      </c>
      <c r="R531" s="7">
        <f t="shared" si="134"/>
        <v>0</v>
      </c>
      <c r="S531" s="227">
        <f t="shared" si="136"/>
        <v>0</v>
      </c>
      <c r="T531" s="249">
        <f t="shared" si="137"/>
        <v>0</v>
      </c>
    </row>
    <row r="532" spans="2:20" ht="15" customHeight="1" x14ac:dyDescent="0.4">
      <c r="B532" s="38" t="s">
        <v>26</v>
      </c>
      <c r="C532" s="6" t="s">
        <v>165</v>
      </c>
      <c r="D532" s="6">
        <f t="shared" si="129"/>
        <v>1</v>
      </c>
      <c r="E532" s="34">
        <v>1</v>
      </c>
      <c r="F532" s="212">
        <v>3265</v>
      </c>
      <c r="G532" s="195">
        <v>45817</v>
      </c>
      <c r="H532" s="8"/>
      <c r="I532" s="212"/>
      <c r="J532" s="8"/>
      <c r="K532" s="23">
        <f t="shared" si="130"/>
        <v>0</v>
      </c>
      <c r="L532" s="23">
        <f t="shared" si="131"/>
        <v>0</v>
      </c>
      <c r="M532" s="206">
        <f t="shared" si="135"/>
        <v>0</v>
      </c>
      <c r="N532" s="34"/>
      <c r="O532" s="209">
        <f t="shared" si="124"/>
        <v>-45816</v>
      </c>
      <c r="P532" s="34">
        <f t="shared" si="132"/>
        <v>3265</v>
      </c>
      <c r="Q532" s="34">
        <f t="shared" si="133"/>
        <v>0</v>
      </c>
      <c r="R532" s="7">
        <f t="shared" si="134"/>
        <v>0</v>
      </c>
      <c r="S532" s="227">
        <f t="shared" si="136"/>
        <v>0</v>
      </c>
      <c r="T532" s="249">
        <f t="shared" si="137"/>
        <v>0</v>
      </c>
    </row>
    <row r="533" spans="2:20" ht="15" customHeight="1" x14ac:dyDescent="0.4">
      <c r="B533" s="38" t="s">
        <v>26</v>
      </c>
      <c r="C533" s="6" t="s">
        <v>165</v>
      </c>
      <c r="D533" s="6">
        <f t="shared" si="129"/>
        <v>1</v>
      </c>
      <c r="E533" s="34">
        <v>1</v>
      </c>
      <c r="F533" s="212">
        <v>3015</v>
      </c>
      <c r="G533" s="195">
        <v>45824</v>
      </c>
      <c r="H533" s="8"/>
      <c r="I533" s="212"/>
      <c r="J533" s="8"/>
      <c r="K533" s="23">
        <f t="shared" si="130"/>
        <v>0</v>
      </c>
      <c r="L533" s="23">
        <f t="shared" si="131"/>
        <v>0</v>
      </c>
      <c r="M533" s="206">
        <f t="shared" si="135"/>
        <v>0</v>
      </c>
      <c r="N533" s="34"/>
      <c r="O533" s="209">
        <f t="shared" si="124"/>
        <v>-45823</v>
      </c>
      <c r="P533" s="34">
        <f t="shared" si="132"/>
        <v>3015</v>
      </c>
      <c r="Q533" s="34">
        <f t="shared" si="133"/>
        <v>0</v>
      </c>
      <c r="R533" s="7">
        <f t="shared" si="134"/>
        <v>0</v>
      </c>
      <c r="S533" s="227">
        <f t="shared" si="136"/>
        <v>0</v>
      </c>
      <c r="T533" s="249">
        <f t="shared" si="137"/>
        <v>0</v>
      </c>
    </row>
    <row r="534" spans="2:20" ht="15" customHeight="1" x14ac:dyDescent="0.4">
      <c r="B534" s="38" t="s">
        <v>26</v>
      </c>
      <c r="C534" s="6" t="s">
        <v>165</v>
      </c>
      <c r="D534" s="6">
        <f t="shared" si="129"/>
        <v>1</v>
      </c>
      <c r="E534" s="34">
        <v>1</v>
      </c>
      <c r="F534" s="212">
        <v>3185</v>
      </c>
      <c r="G534" s="195">
        <v>45831</v>
      </c>
      <c r="H534" s="8"/>
      <c r="I534" s="212"/>
      <c r="J534" s="8"/>
      <c r="K534" s="23">
        <f t="shared" si="130"/>
        <v>0</v>
      </c>
      <c r="L534" s="23">
        <f t="shared" si="131"/>
        <v>0</v>
      </c>
      <c r="M534" s="206">
        <f t="shared" si="135"/>
        <v>0</v>
      </c>
      <c r="N534" s="34"/>
      <c r="O534" s="209">
        <f t="shared" si="124"/>
        <v>-45830</v>
      </c>
      <c r="P534" s="34">
        <f t="shared" si="132"/>
        <v>3185</v>
      </c>
      <c r="Q534" s="34">
        <f t="shared" si="133"/>
        <v>0</v>
      </c>
      <c r="R534" s="7">
        <f t="shared" si="134"/>
        <v>0</v>
      </c>
      <c r="S534" s="227">
        <f t="shared" si="136"/>
        <v>0</v>
      </c>
      <c r="T534" s="249">
        <f t="shared" si="137"/>
        <v>0</v>
      </c>
    </row>
    <row r="535" spans="2:20" ht="15" customHeight="1" x14ac:dyDescent="0.4">
      <c r="B535" s="38" t="s">
        <v>26</v>
      </c>
      <c r="C535" s="6" t="s">
        <v>165</v>
      </c>
      <c r="D535" s="6">
        <f t="shared" si="129"/>
        <v>1</v>
      </c>
      <c r="E535" s="34">
        <v>1</v>
      </c>
      <c r="F535" s="212">
        <v>3315</v>
      </c>
      <c r="G535" s="195">
        <v>45838</v>
      </c>
      <c r="H535" s="8"/>
      <c r="I535" s="212"/>
      <c r="J535" s="8"/>
      <c r="K535" s="23">
        <f t="shared" si="130"/>
        <v>0</v>
      </c>
      <c r="L535" s="23">
        <f t="shared" si="131"/>
        <v>0</v>
      </c>
      <c r="M535" s="206">
        <f t="shared" si="135"/>
        <v>0</v>
      </c>
      <c r="N535" s="34"/>
      <c r="O535" s="209">
        <f t="shared" si="124"/>
        <v>-45837</v>
      </c>
      <c r="P535" s="34">
        <f t="shared" si="132"/>
        <v>3315</v>
      </c>
      <c r="Q535" s="34">
        <f t="shared" si="133"/>
        <v>0</v>
      </c>
      <c r="R535" s="7">
        <f t="shared" si="134"/>
        <v>0</v>
      </c>
      <c r="S535" s="227">
        <f t="shared" si="136"/>
        <v>0</v>
      </c>
      <c r="T535" s="249">
        <f t="shared" si="137"/>
        <v>0</v>
      </c>
    </row>
    <row r="536" spans="2:20" ht="15" customHeight="1" x14ac:dyDescent="0.4">
      <c r="B536" s="38" t="s">
        <v>26</v>
      </c>
      <c r="C536" s="6" t="s">
        <v>165</v>
      </c>
      <c r="D536" s="6">
        <f t="shared" si="129"/>
        <v>1</v>
      </c>
      <c r="E536" s="34">
        <v>1</v>
      </c>
      <c r="F536" s="212">
        <v>3465</v>
      </c>
      <c r="G536" s="195">
        <v>45845</v>
      </c>
      <c r="H536" s="8"/>
      <c r="I536" s="212"/>
      <c r="J536" s="8"/>
      <c r="K536" s="23">
        <f t="shared" si="130"/>
        <v>0</v>
      </c>
      <c r="L536" s="23">
        <f t="shared" si="131"/>
        <v>0</v>
      </c>
      <c r="M536" s="206">
        <f t="shared" si="135"/>
        <v>0</v>
      </c>
      <c r="N536" s="34"/>
      <c r="O536" s="209">
        <f t="shared" si="124"/>
        <v>-45844</v>
      </c>
      <c r="P536" s="34">
        <f t="shared" si="132"/>
        <v>3465</v>
      </c>
      <c r="Q536" s="34">
        <f t="shared" si="133"/>
        <v>0</v>
      </c>
      <c r="R536" s="7">
        <f t="shared" si="134"/>
        <v>0</v>
      </c>
      <c r="S536" s="227">
        <f t="shared" si="136"/>
        <v>0</v>
      </c>
      <c r="T536" s="249">
        <f t="shared" si="137"/>
        <v>0</v>
      </c>
    </row>
    <row r="537" spans="2:20" ht="15" customHeight="1" x14ac:dyDescent="0.4">
      <c r="B537" s="38" t="s">
        <v>26</v>
      </c>
      <c r="C537" s="6" t="s">
        <v>165</v>
      </c>
      <c r="D537" s="6">
        <f t="shared" si="129"/>
        <v>1</v>
      </c>
      <c r="E537" s="34">
        <v>1</v>
      </c>
      <c r="F537" s="212">
        <v>3390</v>
      </c>
      <c r="G537" s="195">
        <v>45852</v>
      </c>
      <c r="H537" s="8"/>
      <c r="I537" s="212"/>
      <c r="J537" s="8"/>
      <c r="K537" s="23">
        <f t="shared" si="130"/>
        <v>0</v>
      </c>
      <c r="L537" s="23">
        <f t="shared" si="131"/>
        <v>0</v>
      </c>
      <c r="M537" s="206">
        <f t="shared" si="135"/>
        <v>0</v>
      </c>
      <c r="N537" s="34"/>
      <c r="O537" s="209">
        <f t="shared" ref="O537:O600" si="138">J537-G537+1</f>
        <v>-45851</v>
      </c>
      <c r="P537" s="34">
        <f t="shared" si="132"/>
        <v>3390</v>
      </c>
      <c r="Q537" s="34">
        <f t="shared" si="133"/>
        <v>0</v>
      </c>
      <c r="R537" s="7">
        <f t="shared" si="134"/>
        <v>0</v>
      </c>
      <c r="S537" s="227">
        <f t="shared" si="136"/>
        <v>0</v>
      </c>
      <c r="T537" s="249">
        <f t="shared" si="137"/>
        <v>0</v>
      </c>
    </row>
    <row r="538" spans="2:20" ht="15" customHeight="1" x14ac:dyDescent="0.4">
      <c r="B538" s="38" t="s">
        <v>26</v>
      </c>
      <c r="C538" s="6" t="s">
        <v>165</v>
      </c>
      <c r="D538" s="6">
        <f t="shared" si="129"/>
        <v>1</v>
      </c>
      <c r="E538" s="34">
        <v>1</v>
      </c>
      <c r="F538" s="212">
        <v>3545</v>
      </c>
      <c r="G538" s="195">
        <v>45859</v>
      </c>
      <c r="H538" s="8"/>
      <c r="I538" s="212"/>
      <c r="J538" s="8"/>
      <c r="K538" s="23">
        <f t="shared" si="130"/>
        <v>0</v>
      </c>
      <c r="L538" s="23">
        <f t="shared" si="131"/>
        <v>0</v>
      </c>
      <c r="M538" s="206">
        <f t="shared" si="135"/>
        <v>0</v>
      </c>
      <c r="N538" s="34"/>
      <c r="O538" s="209">
        <f t="shared" si="138"/>
        <v>-45858</v>
      </c>
      <c r="P538" s="34">
        <f t="shared" si="132"/>
        <v>3545</v>
      </c>
      <c r="Q538" s="34">
        <f t="shared" si="133"/>
        <v>0</v>
      </c>
      <c r="R538" s="7">
        <f t="shared" si="134"/>
        <v>0</v>
      </c>
      <c r="S538" s="227">
        <f t="shared" si="136"/>
        <v>0</v>
      </c>
      <c r="T538" s="249">
        <f t="shared" si="137"/>
        <v>0</v>
      </c>
    </row>
    <row r="539" spans="2:20" ht="15" customHeight="1" x14ac:dyDescent="0.4">
      <c r="B539" s="38" t="s">
        <v>26</v>
      </c>
      <c r="C539" s="6" t="s">
        <v>165</v>
      </c>
      <c r="D539" s="6">
        <f t="shared" si="129"/>
        <v>1</v>
      </c>
      <c r="E539" s="34">
        <v>1</v>
      </c>
      <c r="F539" s="212">
        <v>3320</v>
      </c>
      <c r="G539" s="195">
        <v>45866</v>
      </c>
      <c r="H539" s="8"/>
      <c r="I539" s="212"/>
      <c r="J539" s="8"/>
      <c r="K539" s="23">
        <f t="shared" si="130"/>
        <v>0</v>
      </c>
      <c r="L539" s="23">
        <f t="shared" si="131"/>
        <v>0</v>
      </c>
      <c r="M539" s="206">
        <f t="shared" si="135"/>
        <v>0</v>
      </c>
      <c r="N539" s="34"/>
      <c r="O539" s="209">
        <f t="shared" si="138"/>
        <v>-45865</v>
      </c>
      <c r="P539" s="34">
        <f t="shared" si="132"/>
        <v>3320</v>
      </c>
      <c r="Q539" s="34">
        <f t="shared" si="133"/>
        <v>0</v>
      </c>
      <c r="R539" s="7">
        <f t="shared" si="134"/>
        <v>0</v>
      </c>
      <c r="S539" s="227">
        <f t="shared" si="136"/>
        <v>0</v>
      </c>
      <c r="T539" s="249">
        <f t="shared" si="137"/>
        <v>0</v>
      </c>
    </row>
    <row r="540" spans="2:20" ht="15" customHeight="1" x14ac:dyDescent="0.4">
      <c r="B540" s="38" t="s">
        <v>26</v>
      </c>
      <c r="C540" s="6" t="s">
        <v>165</v>
      </c>
      <c r="D540" s="6">
        <f t="shared" si="129"/>
        <v>1</v>
      </c>
      <c r="E540" s="34">
        <v>1</v>
      </c>
      <c r="F540" s="212">
        <v>3260</v>
      </c>
      <c r="G540" s="195">
        <v>45873</v>
      </c>
      <c r="H540" s="8"/>
      <c r="I540" s="212"/>
      <c r="J540" s="8"/>
      <c r="K540" s="23">
        <f t="shared" si="130"/>
        <v>0</v>
      </c>
      <c r="L540" s="23">
        <f t="shared" si="131"/>
        <v>0</v>
      </c>
      <c r="M540" s="206">
        <f t="shared" si="135"/>
        <v>0</v>
      </c>
      <c r="N540" s="34"/>
      <c r="O540" s="209">
        <f t="shared" si="138"/>
        <v>-45872</v>
      </c>
      <c r="P540" s="34">
        <f t="shared" si="132"/>
        <v>3260</v>
      </c>
      <c r="Q540" s="34">
        <f t="shared" si="133"/>
        <v>0</v>
      </c>
      <c r="R540" s="7">
        <f t="shared" si="134"/>
        <v>0</v>
      </c>
      <c r="S540" s="227">
        <f t="shared" si="136"/>
        <v>0</v>
      </c>
      <c r="T540" s="249">
        <f t="shared" si="137"/>
        <v>0</v>
      </c>
    </row>
    <row r="541" spans="2:20" ht="15" customHeight="1" x14ac:dyDescent="0.4">
      <c r="B541" s="38" t="s">
        <v>26</v>
      </c>
      <c r="C541" s="6" t="s">
        <v>165</v>
      </c>
      <c r="D541" s="6">
        <f t="shared" ref="D541:D572" si="139">IF(OR($C541="신한",$C541="OTC",$C541="무상증자(신한)",$C541="토스",$C541="R토스"),1,"확인")</f>
        <v>1</v>
      </c>
      <c r="E541" s="34">
        <v>1</v>
      </c>
      <c r="F541" s="212">
        <v>3400</v>
      </c>
      <c r="G541" s="195">
        <v>45880</v>
      </c>
      <c r="H541" s="8"/>
      <c r="I541" s="212"/>
      <c r="J541" s="8"/>
      <c r="K541" s="23">
        <f t="shared" ref="K541:K572" si="140">IF($C541="OTC",ROUNDDOWN($E541*$F541*0.000909187,-1),(IF($C541="신한",ROUNDDOWN($E541*$F541*0.000036396,-1),(IF($C541="토스",$E541*$F541*0.00015,(IF($C541="US",(IF($E541*$F541*0.0025&gt;0.01,$E541*$F541*0.0025,0.01)),IF($C541="JP",(IF($E541*$F541*0.0025&gt;1000,$E541*$F541*0.0025,1000)),(IF($C541="R토스",0,IF($C541="무상증자(신한)",0,"")))))))))))</f>
        <v>0</v>
      </c>
      <c r="L541" s="23">
        <f t="shared" ref="L541:L572" si="141">IF($C541="OTC",ROUNDDOWN($I541*$E541*0.000909187,-1),(IF($C541="신한",ROUNDDOWN($I541*$E541*0.000036396,-1),(IF($C541="토스",$I541*$E541*0.00015,(IF($C541="US",(IF($I541*$E541*0.0025&gt;0.01,$I541*$E541*0.0025,0.01)),(IF($C541="JP",(IF($I541*$E541*0.0025&gt;1000,$I541*$E541*0.0025,1000)),(IF($C541="R토스",$I541*$E541*0.00015,(IF($C541="무상증자(신한)",ROUNDDOWN($I541*$E541*0.000036396,-1),"")))))))))))))</f>
        <v>0</v>
      </c>
      <c r="M541" s="206">
        <f t="shared" si="135"/>
        <v>0</v>
      </c>
      <c r="N541" s="34"/>
      <c r="O541" s="209">
        <f t="shared" si="138"/>
        <v>-45879</v>
      </c>
      <c r="P541" s="34">
        <f t="shared" ref="P541:P572" si="142">$E541*$F541*$D541</f>
        <v>3400</v>
      </c>
      <c r="Q541" s="34">
        <f t="shared" ref="Q541:Q572" si="143">$E541*$I541*$D541</f>
        <v>0</v>
      </c>
      <c r="R541" s="7">
        <f t="shared" ref="R541:R572" si="144">($N541-$K541-$L541-$M541)*$D541</f>
        <v>0</v>
      </c>
      <c r="S541" s="227">
        <f t="shared" si="136"/>
        <v>0</v>
      </c>
      <c r="T541" s="249">
        <f t="shared" si="137"/>
        <v>0</v>
      </c>
    </row>
    <row r="542" spans="2:20" ht="15" customHeight="1" x14ac:dyDescent="0.4">
      <c r="B542" s="38" t="s">
        <v>26</v>
      </c>
      <c r="C542" s="6" t="s">
        <v>165</v>
      </c>
      <c r="D542" s="6">
        <f t="shared" si="139"/>
        <v>1</v>
      </c>
      <c r="E542" s="34">
        <v>1</v>
      </c>
      <c r="F542" s="212">
        <v>3145</v>
      </c>
      <c r="G542" s="195">
        <v>45887</v>
      </c>
      <c r="H542" s="8"/>
      <c r="I542" s="212"/>
      <c r="J542" s="8"/>
      <c r="K542" s="23">
        <f t="shared" si="140"/>
        <v>0</v>
      </c>
      <c r="L542" s="23">
        <f t="shared" si="141"/>
        <v>0</v>
      </c>
      <c r="M542" s="206">
        <f t="shared" si="135"/>
        <v>0</v>
      </c>
      <c r="N542" s="34"/>
      <c r="O542" s="209">
        <f t="shared" si="138"/>
        <v>-45886</v>
      </c>
      <c r="P542" s="34">
        <f t="shared" si="142"/>
        <v>3145</v>
      </c>
      <c r="Q542" s="34">
        <f t="shared" si="143"/>
        <v>0</v>
      </c>
      <c r="R542" s="7">
        <f t="shared" si="144"/>
        <v>0</v>
      </c>
      <c r="S542" s="227">
        <f t="shared" si="136"/>
        <v>0</v>
      </c>
      <c r="T542" s="249">
        <f t="shared" si="137"/>
        <v>0</v>
      </c>
    </row>
    <row r="543" spans="2:20" ht="15" customHeight="1" x14ac:dyDescent="0.4">
      <c r="B543" s="38" t="s">
        <v>26</v>
      </c>
      <c r="C543" s="6" t="s">
        <v>165</v>
      </c>
      <c r="D543" s="6">
        <f t="shared" si="139"/>
        <v>1</v>
      </c>
      <c r="E543" s="34">
        <v>1</v>
      </c>
      <c r="F543" s="212">
        <v>3050</v>
      </c>
      <c r="G543" s="195">
        <v>45894</v>
      </c>
      <c r="H543" s="8"/>
      <c r="I543" s="212"/>
      <c r="J543" s="8"/>
      <c r="K543" s="23">
        <f t="shared" si="140"/>
        <v>0</v>
      </c>
      <c r="L543" s="23">
        <f t="shared" si="141"/>
        <v>0</v>
      </c>
      <c r="M543" s="206">
        <f t="shared" si="135"/>
        <v>0</v>
      </c>
      <c r="N543" s="34"/>
      <c r="O543" s="209">
        <f t="shared" si="138"/>
        <v>-45893</v>
      </c>
      <c r="P543" s="34">
        <f t="shared" si="142"/>
        <v>3050</v>
      </c>
      <c r="Q543" s="34">
        <f t="shared" si="143"/>
        <v>0</v>
      </c>
      <c r="R543" s="7">
        <f t="shared" si="144"/>
        <v>0</v>
      </c>
      <c r="S543" s="227">
        <f t="shared" si="136"/>
        <v>0</v>
      </c>
      <c r="T543" s="249">
        <f t="shared" si="137"/>
        <v>0</v>
      </c>
    </row>
    <row r="544" spans="2:20" ht="15" customHeight="1" x14ac:dyDescent="0.4">
      <c r="B544" s="38" t="s">
        <v>26</v>
      </c>
      <c r="C544" s="6" t="s">
        <v>165</v>
      </c>
      <c r="D544" s="6">
        <f t="shared" si="139"/>
        <v>1</v>
      </c>
      <c r="E544" s="34">
        <v>1</v>
      </c>
      <c r="F544" s="212">
        <v>3050</v>
      </c>
      <c r="G544" s="195">
        <v>45901</v>
      </c>
      <c r="H544" s="8"/>
      <c r="I544" s="212"/>
      <c r="J544" s="8"/>
      <c r="K544" s="23">
        <f t="shared" si="140"/>
        <v>0</v>
      </c>
      <c r="L544" s="23">
        <f t="shared" si="141"/>
        <v>0</v>
      </c>
      <c r="M544" s="206">
        <f t="shared" si="135"/>
        <v>0</v>
      </c>
      <c r="N544" s="34"/>
      <c r="O544" s="209">
        <f t="shared" si="138"/>
        <v>-45900</v>
      </c>
      <c r="P544" s="34">
        <f t="shared" si="142"/>
        <v>3050</v>
      </c>
      <c r="Q544" s="34">
        <f t="shared" si="143"/>
        <v>0</v>
      </c>
      <c r="R544" s="7">
        <f t="shared" si="144"/>
        <v>0</v>
      </c>
      <c r="S544" s="227">
        <f t="shared" si="136"/>
        <v>0</v>
      </c>
      <c r="T544" s="249">
        <f t="shared" si="137"/>
        <v>0</v>
      </c>
    </row>
    <row r="545" spans="2:20" ht="15" customHeight="1" x14ac:dyDescent="0.4">
      <c r="B545" s="38" t="s">
        <v>26</v>
      </c>
      <c r="C545" s="6" t="s">
        <v>165</v>
      </c>
      <c r="D545" s="6">
        <f t="shared" si="139"/>
        <v>1</v>
      </c>
      <c r="E545" s="34">
        <v>1</v>
      </c>
      <c r="F545" s="212">
        <v>3815</v>
      </c>
      <c r="G545" s="195">
        <v>45908</v>
      </c>
      <c r="H545" s="8"/>
      <c r="I545" s="212"/>
      <c r="J545" s="8"/>
      <c r="K545" s="23">
        <f t="shared" si="140"/>
        <v>0</v>
      </c>
      <c r="L545" s="23">
        <f t="shared" si="141"/>
        <v>0</v>
      </c>
      <c r="M545" s="206">
        <f t="shared" si="135"/>
        <v>0</v>
      </c>
      <c r="N545" s="34"/>
      <c r="O545" s="209">
        <f t="shared" si="138"/>
        <v>-45907</v>
      </c>
      <c r="P545" s="34">
        <f t="shared" si="142"/>
        <v>3815</v>
      </c>
      <c r="Q545" s="34">
        <f t="shared" si="143"/>
        <v>0</v>
      </c>
      <c r="R545" s="7">
        <f t="shared" si="144"/>
        <v>0</v>
      </c>
      <c r="S545" s="227">
        <f t="shared" si="136"/>
        <v>0</v>
      </c>
      <c r="T545" s="249">
        <f t="shared" si="137"/>
        <v>0</v>
      </c>
    </row>
    <row r="546" spans="2:20" ht="15" customHeight="1" x14ac:dyDescent="0.4">
      <c r="B546" s="38" t="s">
        <v>26</v>
      </c>
      <c r="C546" s="6" t="s">
        <v>165</v>
      </c>
      <c r="D546" s="6">
        <f t="shared" si="139"/>
        <v>1</v>
      </c>
      <c r="E546" s="34">
        <v>1</v>
      </c>
      <c r="F546" s="212">
        <v>3680</v>
      </c>
      <c r="G546" s="195">
        <v>45915</v>
      </c>
      <c r="H546" s="8"/>
      <c r="I546" s="212"/>
      <c r="J546" s="8"/>
      <c r="K546" s="23">
        <f t="shared" si="140"/>
        <v>0</v>
      </c>
      <c r="L546" s="23">
        <f t="shared" si="141"/>
        <v>0</v>
      </c>
      <c r="M546" s="206">
        <f t="shared" si="135"/>
        <v>0</v>
      </c>
      <c r="N546" s="34"/>
      <c r="O546" s="209">
        <f t="shared" si="138"/>
        <v>-45914</v>
      </c>
      <c r="P546" s="34">
        <f t="shared" si="142"/>
        <v>3680</v>
      </c>
      <c r="Q546" s="34">
        <f t="shared" si="143"/>
        <v>0</v>
      </c>
      <c r="R546" s="7">
        <f t="shared" si="144"/>
        <v>0</v>
      </c>
      <c r="S546" s="227">
        <f t="shared" si="136"/>
        <v>0</v>
      </c>
      <c r="T546" s="249">
        <f t="shared" si="137"/>
        <v>0</v>
      </c>
    </row>
    <row r="547" spans="2:20" ht="15" customHeight="1" x14ac:dyDescent="0.4">
      <c r="B547" s="38" t="s">
        <v>26</v>
      </c>
      <c r="C547" s="6" t="s">
        <v>165</v>
      </c>
      <c r="D547" s="6">
        <f t="shared" si="139"/>
        <v>1</v>
      </c>
      <c r="E547" s="34">
        <v>1</v>
      </c>
      <c r="F547" s="212">
        <v>3595</v>
      </c>
      <c r="G547" s="195">
        <v>45922</v>
      </c>
      <c r="H547" s="8"/>
      <c r="I547" s="212"/>
      <c r="J547" s="8"/>
      <c r="K547" s="23">
        <f t="shared" si="140"/>
        <v>0</v>
      </c>
      <c r="L547" s="23">
        <f t="shared" si="141"/>
        <v>0</v>
      </c>
      <c r="M547" s="206">
        <f t="shared" si="135"/>
        <v>0</v>
      </c>
      <c r="N547" s="34"/>
      <c r="O547" s="209">
        <f t="shared" si="138"/>
        <v>-45921</v>
      </c>
      <c r="P547" s="34">
        <f t="shared" si="142"/>
        <v>3595</v>
      </c>
      <c r="Q547" s="34">
        <f t="shared" si="143"/>
        <v>0</v>
      </c>
      <c r="R547" s="7">
        <f t="shared" si="144"/>
        <v>0</v>
      </c>
      <c r="S547" s="227">
        <f t="shared" si="136"/>
        <v>0</v>
      </c>
      <c r="T547" s="249">
        <f t="shared" si="137"/>
        <v>0</v>
      </c>
    </row>
    <row r="548" spans="2:20" ht="15" customHeight="1" x14ac:dyDescent="0.4">
      <c r="B548" s="38" t="s">
        <v>26</v>
      </c>
      <c r="C548" s="6" t="s">
        <v>165</v>
      </c>
      <c r="D548" s="6">
        <f t="shared" si="139"/>
        <v>1</v>
      </c>
      <c r="E548" s="34">
        <v>1</v>
      </c>
      <c r="F548" s="212">
        <v>3375</v>
      </c>
      <c r="G548" s="195">
        <v>45929</v>
      </c>
      <c r="H548" s="8"/>
      <c r="I548" s="212"/>
      <c r="J548" s="8"/>
      <c r="K548" s="23">
        <f t="shared" si="140"/>
        <v>0</v>
      </c>
      <c r="L548" s="23">
        <f t="shared" si="141"/>
        <v>0</v>
      </c>
      <c r="M548" s="206">
        <f t="shared" si="135"/>
        <v>0</v>
      </c>
      <c r="N548" s="34"/>
      <c r="O548" s="209">
        <f t="shared" si="138"/>
        <v>-45928</v>
      </c>
      <c r="P548" s="34">
        <f t="shared" si="142"/>
        <v>3375</v>
      </c>
      <c r="Q548" s="34">
        <f t="shared" si="143"/>
        <v>0</v>
      </c>
      <c r="R548" s="7">
        <f t="shared" si="144"/>
        <v>0</v>
      </c>
      <c r="S548" s="227">
        <f t="shared" si="136"/>
        <v>0</v>
      </c>
      <c r="T548" s="249">
        <f t="shared" si="137"/>
        <v>0</v>
      </c>
    </row>
    <row r="549" spans="2:20" ht="15" customHeight="1" x14ac:dyDescent="0.4">
      <c r="B549" s="38" t="s">
        <v>26</v>
      </c>
      <c r="C549" s="6" t="s">
        <v>165</v>
      </c>
      <c r="D549" s="6">
        <f t="shared" si="139"/>
        <v>1</v>
      </c>
      <c r="E549" s="34">
        <v>1</v>
      </c>
      <c r="F549" s="212">
        <v>3135</v>
      </c>
      <c r="G549" s="195">
        <v>45940</v>
      </c>
      <c r="H549" s="8"/>
      <c r="I549" s="212"/>
      <c r="J549" s="8"/>
      <c r="K549" s="23">
        <f t="shared" si="140"/>
        <v>0</v>
      </c>
      <c r="L549" s="23">
        <f t="shared" si="141"/>
        <v>0</v>
      </c>
      <c r="M549" s="206">
        <f t="shared" si="135"/>
        <v>0</v>
      </c>
      <c r="N549" s="34"/>
      <c r="O549" s="209">
        <f t="shared" si="138"/>
        <v>-45939</v>
      </c>
      <c r="P549" s="34">
        <f t="shared" si="142"/>
        <v>3135</v>
      </c>
      <c r="Q549" s="34">
        <f t="shared" si="143"/>
        <v>0</v>
      </c>
      <c r="R549" s="7">
        <f t="shared" si="144"/>
        <v>0</v>
      </c>
      <c r="S549" s="227">
        <f t="shared" si="136"/>
        <v>0</v>
      </c>
      <c r="T549" s="249">
        <f t="shared" si="137"/>
        <v>0</v>
      </c>
    </row>
    <row r="550" spans="2:20" ht="15" customHeight="1" x14ac:dyDescent="0.4">
      <c r="B550" s="38" t="s">
        <v>26</v>
      </c>
      <c r="C550" s="6" t="s">
        <v>165</v>
      </c>
      <c r="D550" s="6">
        <f t="shared" si="139"/>
        <v>1</v>
      </c>
      <c r="E550" s="34">
        <v>1</v>
      </c>
      <c r="F550" s="212">
        <v>3210</v>
      </c>
      <c r="G550" s="195">
        <v>45943</v>
      </c>
      <c r="H550" s="8"/>
      <c r="I550" s="212"/>
      <c r="J550" s="8"/>
      <c r="K550" s="23">
        <f t="shared" si="140"/>
        <v>0</v>
      </c>
      <c r="L550" s="23">
        <f t="shared" si="141"/>
        <v>0</v>
      </c>
      <c r="M550" s="206">
        <f t="shared" si="135"/>
        <v>0</v>
      </c>
      <c r="N550" s="34"/>
      <c r="O550" s="209">
        <f t="shared" si="138"/>
        <v>-45942</v>
      </c>
      <c r="P550" s="34">
        <f t="shared" si="142"/>
        <v>3210</v>
      </c>
      <c r="Q550" s="34">
        <f t="shared" si="143"/>
        <v>0</v>
      </c>
      <c r="R550" s="7">
        <f t="shared" si="144"/>
        <v>0</v>
      </c>
      <c r="S550" s="227">
        <f t="shared" si="136"/>
        <v>0</v>
      </c>
      <c r="T550" s="249">
        <f t="shared" si="137"/>
        <v>0</v>
      </c>
    </row>
    <row r="551" spans="2:20" ht="15" customHeight="1" x14ac:dyDescent="0.4">
      <c r="B551" s="38" t="s">
        <v>26</v>
      </c>
      <c r="C551" s="6" t="s">
        <v>165</v>
      </c>
      <c r="D551" s="6">
        <f t="shared" si="139"/>
        <v>1</v>
      </c>
      <c r="E551" s="34">
        <v>1</v>
      </c>
      <c r="F551" s="212">
        <v>3095</v>
      </c>
      <c r="G551" s="195">
        <v>45950</v>
      </c>
      <c r="H551" s="8"/>
      <c r="I551" s="212"/>
      <c r="J551" s="8"/>
      <c r="K551" s="23">
        <f t="shared" si="140"/>
        <v>0</v>
      </c>
      <c r="L551" s="23">
        <f t="shared" si="141"/>
        <v>0</v>
      </c>
      <c r="M551" s="206">
        <f t="shared" si="135"/>
        <v>0</v>
      </c>
      <c r="N551" s="34"/>
      <c r="O551" s="209">
        <f t="shared" si="138"/>
        <v>-45949</v>
      </c>
      <c r="P551" s="34">
        <f t="shared" si="142"/>
        <v>3095</v>
      </c>
      <c r="Q551" s="34">
        <f t="shared" si="143"/>
        <v>0</v>
      </c>
      <c r="R551" s="7">
        <f t="shared" si="144"/>
        <v>0</v>
      </c>
      <c r="S551" s="227">
        <f t="shared" si="136"/>
        <v>0</v>
      </c>
      <c r="T551" s="249">
        <f t="shared" si="137"/>
        <v>0</v>
      </c>
    </row>
    <row r="552" spans="2:20" ht="15" customHeight="1" x14ac:dyDescent="0.4">
      <c r="B552" s="38" t="s">
        <v>26</v>
      </c>
      <c r="C552" s="6" t="s">
        <v>165</v>
      </c>
      <c r="D552" s="6">
        <f t="shared" si="139"/>
        <v>1</v>
      </c>
      <c r="E552" s="34">
        <v>1</v>
      </c>
      <c r="F552" s="212">
        <v>3045</v>
      </c>
      <c r="G552" s="195">
        <v>45957</v>
      </c>
      <c r="H552" s="8"/>
      <c r="I552" s="212"/>
      <c r="J552" s="8"/>
      <c r="K552" s="23">
        <f t="shared" si="140"/>
        <v>0</v>
      </c>
      <c r="L552" s="23">
        <f t="shared" si="141"/>
        <v>0</v>
      </c>
      <c r="M552" s="206">
        <f t="shared" si="135"/>
        <v>0</v>
      </c>
      <c r="N552" s="34"/>
      <c r="O552" s="209">
        <f t="shared" si="138"/>
        <v>-45956</v>
      </c>
      <c r="P552" s="34">
        <f t="shared" si="142"/>
        <v>3045</v>
      </c>
      <c r="Q552" s="34">
        <f t="shared" si="143"/>
        <v>0</v>
      </c>
      <c r="R552" s="7">
        <f t="shared" si="144"/>
        <v>0</v>
      </c>
      <c r="S552" s="227">
        <f t="shared" si="136"/>
        <v>0</v>
      </c>
      <c r="T552" s="249">
        <f t="shared" si="137"/>
        <v>0</v>
      </c>
    </row>
    <row r="553" spans="2:20" ht="15" customHeight="1" x14ac:dyDescent="0.4">
      <c r="B553" s="38" t="s">
        <v>26</v>
      </c>
      <c r="C553" s="6" t="s">
        <v>165</v>
      </c>
      <c r="D553" s="6">
        <f t="shared" si="139"/>
        <v>1</v>
      </c>
      <c r="E553" s="34">
        <v>1</v>
      </c>
      <c r="F553" s="212">
        <v>3000</v>
      </c>
      <c r="G553" s="195">
        <v>45964</v>
      </c>
      <c r="H553" s="8"/>
      <c r="I553" s="212"/>
      <c r="J553" s="8"/>
      <c r="K553" s="23">
        <f t="shared" si="140"/>
        <v>0</v>
      </c>
      <c r="L553" s="23">
        <f t="shared" si="141"/>
        <v>0</v>
      </c>
      <c r="M553" s="206">
        <f t="shared" si="135"/>
        <v>0</v>
      </c>
      <c r="N553" s="34"/>
      <c r="O553" s="209">
        <f t="shared" si="138"/>
        <v>-45963</v>
      </c>
      <c r="P553" s="34">
        <f t="shared" si="142"/>
        <v>3000</v>
      </c>
      <c r="Q553" s="34">
        <f t="shared" si="143"/>
        <v>0</v>
      </c>
      <c r="R553" s="7">
        <f t="shared" si="144"/>
        <v>0</v>
      </c>
      <c r="S553" s="227">
        <f t="shared" si="136"/>
        <v>0</v>
      </c>
      <c r="T553" s="249">
        <f t="shared" si="137"/>
        <v>0</v>
      </c>
    </row>
    <row r="554" spans="2:20" ht="15" customHeight="1" x14ac:dyDescent="0.4">
      <c r="B554" s="38" t="s">
        <v>26</v>
      </c>
      <c r="C554" s="6" t="s">
        <v>165</v>
      </c>
      <c r="D554" s="6">
        <f t="shared" si="139"/>
        <v>1</v>
      </c>
      <c r="E554" s="34">
        <v>1</v>
      </c>
      <c r="F554" s="212">
        <v>2855</v>
      </c>
      <c r="G554" s="195">
        <v>45971</v>
      </c>
      <c r="H554" s="8"/>
      <c r="I554" s="212"/>
      <c r="J554" s="8"/>
      <c r="K554" s="23">
        <f t="shared" si="140"/>
        <v>0</v>
      </c>
      <c r="L554" s="23">
        <f t="shared" si="141"/>
        <v>0</v>
      </c>
      <c r="M554" s="206">
        <f t="shared" si="135"/>
        <v>0</v>
      </c>
      <c r="N554" s="34"/>
      <c r="O554" s="209">
        <f t="shared" si="138"/>
        <v>-45970</v>
      </c>
      <c r="P554" s="34">
        <f t="shared" si="142"/>
        <v>2855</v>
      </c>
      <c r="Q554" s="34">
        <f t="shared" si="143"/>
        <v>0</v>
      </c>
      <c r="R554" s="7">
        <f t="shared" si="144"/>
        <v>0</v>
      </c>
      <c r="S554" s="227">
        <f t="shared" si="136"/>
        <v>0</v>
      </c>
      <c r="T554" s="249">
        <f t="shared" si="137"/>
        <v>0</v>
      </c>
    </row>
    <row r="555" spans="2:20" ht="15" customHeight="1" x14ac:dyDescent="0.4">
      <c r="B555" s="38" t="s">
        <v>26</v>
      </c>
      <c r="C555" s="6" t="s">
        <v>165</v>
      </c>
      <c r="D555" s="6">
        <f t="shared" si="139"/>
        <v>1</v>
      </c>
      <c r="E555" s="34">
        <v>1</v>
      </c>
      <c r="F555" s="212">
        <v>2725</v>
      </c>
      <c r="G555" s="195">
        <v>45978</v>
      </c>
      <c r="H555" s="8"/>
      <c r="I555" s="212"/>
      <c r="J555" s="8"/>
      <c r="K555" s="23">
        <f t="shared" si="140"/>
        <v>0</v>
      </c>
      <c r="L555" s="23">
        <f t="shared" si="141"/>
        <v>0</v>
      </c>
      <c r="M555" s="206">
        <f t="shared" si="135"/>
        <v>0</v>
      </c>
      <c r="N555" s="34"/>
      <c r="O555" s="209">
        <f t="shared" si="138"/>
        <v>-45977</v>
      </c>
      <c r="P555" s="34">
        <f t="shared" si="142"/>
        <v>2725</v>
      </c>
      <c r="Q555" s="34">
        <f t="shared" si="143"/>
        <v>0</v>
      </c>
      <c r="R555" s="7">
        <f t="shared" si="144"/>
        <v>0</v>
      </c>
      <c r="S555" s="227">
        <f t="shared" si="136"/>
        <v>0</v>
      </c>
      <c r="T555" s="249">
        <f t="shared" si="137"/>
        <v>0</v>
      </c>
    </row>
    <row r="556" spans="2:20" ht="15" customHeight="1" x14ac:dyDescent="0.4">
      <c r="B556" s="38" t="s">
        <v>26</v>
      </c>
      <c r="C556" s="6" t="s">
        <v>165</v>
      </c>
      <c r="D556" s="6">
        <f t="shared" si="139"/>
        <v>1</v>
      </c>
      <c r="E556" s="34">
        <v>1</v>
      </c>
      <c r="F556" s="212">
        <v>2810</v>
      </c>
      <c r="G556" s="195">
        <v>45985</v>
      </c>
      <c r="H556" s="8"/>
      <c r="I556" s="212"/>
      <c r="J556" s="8"/>
      <c r="K556" s="23">
        <f t="shared" si="140"/>
        <v>0</v>
      </c>
      <c r="L556" s="23">
        <f t="shared" si="141"/>
        <v>0</v>
      </c>
      <c r="M556" s="206">
        <f t="shared" si="135"/>
        <v>0</v>
      </c>
      <c r="N556" s="34"/>
      <c r="O556" s="209">
        <f t="shared" si="138"/>
        <v>-45984</v>
      </c>
      <c r="P556" s="34">
        <f t="shared" si="142"/>
        <v>2810</v>
      </c>
      <c r="Q556" s="34">
        <f t="shared" si="143"/>
        <v>0</v>
      </c>
      <c r="R556" s="7">
        <f t="shared" si="144"/>
        <v>0</v>
      </c>
      <c r="S556" s="227">
        <f t="shared" si="136"/>
        <v>0</v>
      </c>
      <c r="T556" s="249">
        <f t="shared" si="137"/>
        <v>0</v>
      </c>
    </row>
    <row r="557" spans="2:20" ht="15" customHeight="1" x14ac:dyDescent="0.4">
      <c r="B557" s="38" t="s">
        <v>26</v>
      </c>
      <c r="C557" s="6" t="s">
        <v>165</v>
      </c>
      <c r="D557" s="6">
        <f t="shared" si="139"/>
        <v>1</v>
      </c>
      <c r="E557" s="34">
        <v>1</v>
      </c>
      <c r="F557" s="212">
        <v>3465</v>
      </c>
      <c r="G557" s="195">
        <v>45992</v>
      </c>
      <c r="H557" s="8"/>
      <c r="I557" s="212"/>
      <c r="J557" s="8"/>
      <c r="K557" s="23">
        <f t="shared" si="140"/>
        <v>0</v>
      </c>
      <c r="L557" s="23">
        <f t="shared" si="141"/>
        <v>0</v>
      </c>
      <c r="M557" s="206">
        <f t="shared" si="135"/>
        <v>0</v>
      </c>
      <c r="N557" s="34"/>
      <c r="O557" s="209">
        <f t="shared" si="138"/>
        <v>-45991</v>
      </c>
      <c r="P557" s="34">
        <f t="shared" si="142"/>
        <v>3465</v>
      </c>
      <c r="Q557" s="34">
        <f t="shared" si="143"/>
        <v>0</v>
      </c>
      <c r="R557" s="7">
        <f t="shared" si="144"/>
        <v>0</v>
      </c>
      <c r="S557" s="227">
        <f t="shared" si="136"/>
        <v>0</v>
      </c>
      <c r="T557" s="249">
        <f t="shared" si="137"/>
        <v>0</v>
      </c>
    </row>
    <row r="558" spans="2:20" ht="15" customHeight="1" x14ac:dyDescent="0.4">
      <c r="B558" s="38" t="s">
        <v>26</v>
      </c>
      <c r="C558" s="6" t="s">
        <v>165</v>
      </c>
      <c r="D558" s="6">
        <f t="shared" si="139"/>
        <v>1</v>
      </c>
      <c r="E558" s="34">
        <v>1</v>
      </c>
      <c r="F558" s="212">
        <v>4380</v>
      </c>
      <c r="G558" s="195">
        <v>45999</v>
      </c>
      <c r="H558" s="8"/>
      <c r="I558" s="212"/>
      <c r="J558" s="8"/>
      <c r="K558" s="23">
        <f t="shared" si="140"/>
        <v>0</v>
      </c>
      <c r="L558" s="23">
        <f t="shared" si="141"/>
        <v>0</v>
      </c>
      <c r="M558" s="206">
        <f t="shared" si="135"/>
        <v>0</v>
      </c>
      <c r="N558" s="34"/>
      <c r="O558" s="209">
        <f t="shared" si="138"/>
        <v>-45998</v>
      </c>
      <c r="P558" s="34">
        <f t="shared" si="142"/>
        <v>4380</v>
      </c>
      <c r="Q558" s="34">
        <f t="shared" si="143"/>
        <v>0</v>
      </c>
      <c r="R558" s="7">
        <f t="shared" si="144"/>
        <v>0</v>
      </c>
      <c r="S558" s="227">
        <f t="shared" si="136"/>
        <v>0</v>
      </c>
      <c r="T558" s="249">
        <f t="shared" si="137"/>
        <v>0</v>
      </c>
    </row>
    <row r="559" spans="2:20" ht="15" customHeight="1" x14ac:dyDescent="0.4">
      <c r="B559" s="38" t="s">
        <v>26</v>
      </c>
      <c r="C559" s="6" t="s">
        <v>165</v>
      </c>
      <c r="D559" s="6">
        <f t="shared" si="139"/>
        <v>1</v>
      </c>
      <c r="E559" s="34">
        <v>1</v>
      </c>
      <c r="F559" s="212">
        <v>3920</v>
      </c>
      <c r="G559" s="195">
        <v>46006</v>
      </c>
      <c r="H559" s="8"/>
      <c r="I559" s="212"/>
      <c r="J559" s="8"/>
      <c r="K559" s="23">
        <f t="shared" si="140"/>
        <v>0</v>
      </c>
      <c r="L559" s="23">
        <f t="shared" si="141"/>
        <v>0</v>
      </c>
      <c r="M559" s="206">
        <f t="shared" si="135"/>
        <v>0</v>
      </c>
      <c r="N559" s="34"/>
      <c r="O559" s="209">
        <f t="shared" si="138"/>
        <v>-46005</v>
      </c>
      <c r="P559" s="34">
        <f t="shared" si="142"/>
        <v>3920</v>
      </c>
      <c r="Q559" s="34">
        <f t="shared" si="143"/>
        <v>0</v>
      </c>
      <c r="R559" s="7">
        <f t="shared" si="144"/>
        <v>0</v>
      </c>
      <c r="S559" s="227">
        <f t="shared" si="136"/>
        <v>0</v>
      </c>
      <c r="T559" s="249">
        <f t="shared" si="137"/>
        <v>0</v>
      </c>
    </row>
    <row r="560" spans="2:20" ht="15" customHeight="1" x14ac:dyDescent="0.4">
      <c r="B560" s="38" t="s">
        <v>26</v>
      </c>
      <c r="C560" s="6" t="s">
        <v>165</v>
      </c>
      <c r="D560" s="6">
        <f t="shared" si="139"/>
        <v>1</v>
      </c>
      <c r="E560" s="34">
        <v>1</v>
      </c>
      <c r="F560" s="212">
        <v>4095</v>
      </c>
      <c r="G560" s="195">
        <v>46013</v>
      </c>
      <c r="H560" s="8"/>
      <c r="I560" s="212"/>
      <c r="J560" s="8"/>
      <c r="K560" s="23">
        <f t="shared" si="140"/>
        <v>0</v>
      </c>
      <c r="L560" s="23">
        <f t="shared" si="141"/>
        <v>0</v>
      </c>
      <c r="M560" s="206">
        <f t="shared" si="135"/>
        <v>0</v>
      </c>
      <c r="N560" s="34"/>
      <c r="O560" s="209">
        <f t="shared" si="138"/>
        <v>-46012</v>
      </c>
      <c r="P560" s="34">
        <f t="shared" si="142"/>
        <v>4095</v>
      </c>
      <c r="Q560" s="34">
        <f t="shared" si="143"/>
        <v>0</v>
      </c>
      <c r="R560" s="7">
        <f t="shared" si="144"/>
        <v>0</v>
      </c>
      <c r="S560" s="227">
        <f t="shared" si="136"/>
        <v>0</v>
      </c>
      <c r="T560" s="249">
        <f t="shared" si="137"/>
        <v>0</v>
      </c>
    </row>
    <row r="561" spans="2:20" ht="15" customHeight="1" x14ac:dyDescent="0.4">
      <c r="B561" s="38" t="s">
        <v>26</v>
      </c>
      <c r="C561" s="6" t="s">
        <v>165</v>
      </c>
      <c r="D561" s="6">
        <f t="shared" si="139"/>
        <v>1</v>
      </c>
      <c r="E561" s="34">
        <v>1</v>
      </c>
      <c r="F561" s="212">
        <v>4100</v>
      </c>
      <c r="G561" s="195">
        <v>46020</v>
      </c>
      <c r="H561" s="8"/>
      <c r="I561" s="212"/>
      <c r="J561" s="8"/>
      <c r="K561" s="23">
        <f t="shared" si="140"/>
        <v>0</v>
      </c>
      <c r="L561" s="23">
        <f t="shared" si="141"/>
        <v>0</v>
      </c>
      <c r="M561" s="206">
        <f t="shared" si="135"/>
        <v>0</v>
      </c>
      <c r="N561" s="34"/>
      <c r="O561" s="209">
        <f t="shared" si="138"/>
        <v>-46019</v>
      </c>
      <c r="P561" s="34">
        <f t="shared" si="142"/>
        <v>4100</v>
      </c>
      <c r="Q561" s="34">
        <f t="shared" si="143"/>
        <v>0</v>
      </c>
      <c r="R561" s="7">
        <f t="shared" si="144"/>
        <v>0</v>
      </c>
      <c r="S561" s="227">
        <f t="shared" si="136"/>
        <v>0</v>
      </c>
      <c r="T561" s="249">
        <f t="shared" si="137"/>
        <v>0</v>
      </c>
    </row>
    <row r="562" spans="2:20" ht="15" customHeight="1" x14ac:dyDescent="0.4">
      <c r="B562" s="38" t="s">
        <v>26</v>
      </c>
      <c r="C562" s="6" t="s">
        <v>165</v>
      </c>
      <c r="D562" s="6">
        <f t="shared" si="139"/>
        <v>1</v>
      </c>
      <c r="E562" s="34">
        <v>1</v>
      </c>
      <c r="F562" s="212">
        <v>4050</v>
      </c>
      <c r="G562" s="195">
        <v>46027</v>
      </c>
      <c r="H562" s="8"/>
      <c r="I562" s="212"/>
      <c r="J562" s="8"/>
      <c r="K562" s="23">
        <f t="shared" si="140"/>
        <v>0</v>
      </c>
      <c r="L562" s="23">
        <f t="shared" si="141"/>
        <v>0</v>
      </c>
      <c r="M562" s="206">
        <f t="shared" si="135"/>
        <v>0</v>
      </c>
      <c r="N562" s="34"/>
      <c r="O562" s="209">
        <f t="shared" si="138"/>
        <v>-46026</v>
      </c>
      <c r="P562" s="34">
        <f t="shared" si="142"/>
        <v>4050</v>
      </c>
      <c r="Q562" s="34">
        <f t="shared" si="143"/>
        <v>0</v>
      </c>
      <c r="R562" s="7">
        <f t="shared" si="144"/>
        <v>0</v>
      </c>
      <c r="S562" s="227">
        <f t="shared" si="136"/>
        <v>0</v>
      </c>
      <c r="T562" s="249">
        <f t="shared" si="137"/>
        <v>0</v>
      </c>
    </row>
    <row r="563" spans="2:20" ht="15" customHeight="1" x14ac:dyDescent="0.4">
      <c r="B563" s="38" t="s">
        <v>26</v>
      </c>
      <c r="C563" s="6" t="s">
        <v>165</v>
      </c>
      <c r="D563" s="6">
        <f t="shared" si="139"/>
        <v>1</v>
      </c>
      <c r="E563" s="34">
        <v>1</v>
      </c>
      <c r="F563" s="212">
        <v>4385</v>
      </c>
      <c r="G563" s="195">
        <v>46034</v>
      </c>
      <c r="H563" s="8"/>
      <c r="I563" s="212"/>
      <c r="J563" s="8"/>
      <c r="K563" s="23">
        <f t="shared" si="140"/>
        <v>0</v>
      </c>
      <c r="L563" s="23">
        <f t="shared" si="141"/>
        <v>0</v>
      </c>
      <c r="M563" s="206">
        <f t="shared" si="135"/>
        <v>0</v>
      </c>
      <c r="N563" s="34"/>
      <c r="O563" s="209">
        <f t="shared" si="138"/>
        <v>-46033</v>
      </c>
      <c r="P563" s="34">
        <f t="shared" si="142"/>
        <v>4385</v>
      </c>
      <c r="Q563" s="34">
        <f t="shared" si="143"/>
        <v>0</v>
      </c>
      <c r="R563" s="7">
        <f t="shared" si="144"/>
        <v>0</v>
      </c>
      <c r="S563" s="227">
        <f t="shared" si="136"/>
        <v>0</v>
      </c>
      <c r="T563" s="249">
        <f t="shared" si="137"/>
        <v>0</v>
      </c>
    </row>
    <row r="564" spans="2:20" ht="15" customHeight="1" x14ac:dyDescent="0.4">
      <c r="B564" s="38" t="s">
        <v>26</v>
      </c>
      <c r="C564" s="6" t="s">
        <v>165</v>
      </c>
      <c r="D564" s="6">
        <f t="shared" si="139"/>
        <v>1</v>
      </c>
      <c r="E564" s="34">
        <v>1</v>
      </c>
      <c r="F564" s="212">
        <v>4080</v>
      </c>
      <c r="G564" s="195">
        <v>46041</v>
      </c>
      <c r="H564" s="8"/>
      <c r="I564" s="212"/>
      <c r="J564" s="8"/>
      <c r="K564" s="23">
        <f t="shared" si="140"/>
        <v>0</v>
      </c>
      <c r="L564" s="23">
        <f t="shared" si="141"/>
        <v>0</v>
      </c>
      <c r="M564" s="206">
        <f t="shared" si="135"/>
        <v>0</v>
      </c>
      <c r="N564" s="34"/>
      <c r="O564" s="209">
        <f t="shared" si="138"/>
        <v>-46040</v>
      </c>
      <c r="P564" s="34">
        <f t="shared" si="142"/>
        <v>4080</v>
      </c>
      <c r="Q564" s="34">
        <f t="shared" si="143"/>
        <v>0</v>
      </c>
      <c r="R564" s="7">
        <f t="shared" si="144"/>
        <v>0</v>
      </c>
      <c r="S564" s="227">
        <f t="shared" si="136"/>
        <v>0</v>
      </c>
      <c r="T564" s="249">
        <f t="shared" si="137"/>
        <v>0</v>
      </c>
    </row>
    <row r="565" spans="2:20" ht="15" customHeight="1" x14ac:dyDescent="0.4">
      <c r="B565" s="38" t="s">
        <v>26</v>
      </c>
      <c r="C565" s="6" t="s">
        <v>165</v>
      </c>
      <c r="D565" s="6">
        <f t="shared" si="139"/>
        <v>1</v>
      </c>
      <c r="E565" s="34">
        <v>1</v>
      </c>
      <c r="F565" s="212">
        <v>4930</v>
      </c>
      <c r="G565" s="195">
        <v>46048</v>
      </c>
      <c r="H565" s="8"/>
      <c r="I565" s="212"/>
      <c r="J565" s="8"/>
      <c r="K565" s="23">
        <f t="shared" si="140"/>
        <v>0</v>
      </c>
      <c r="L565" s="23">
        <f t="shared" si="141"/>
        <v>0</v>
      </c>
      <c r="M565" s="206">
        <f t="shared" si="135"/>
        <v>0</v>
      </c>
      <c r="N565" s="34"/>
      <c r="O565" s="209">
        <f t="shared" si="138"/>
        <v>-46047</v>
      </c>
      <c r="P565" s="34">
        <f t="shared" si="142"/>
        <v>4930</v>
      </c>
      <c r="Q565" s="34">
        <f t="shared" si="143"/>
        <v>0</v>
      </c>
      <c r="R565" s="7">
        <f t="shared" si="144"/>
        <v>0</v>
      </c>
      <c r="S565" s="227">
        <f t="shared" si="136"/>
        <v>0</v>
      </c>
      <c r="T565" s="249">
        <f t="shared" si="137"/>
        <v>0</v>
      </c>
    </row>
    <row r="566" spans="2:20" ht="15" customHeight="1" x14ac:dyDescent="0.4">
      <c r="B566" s="38" t="s">
        <v>26</v>
      </c>
      <c r="C566" s="6" t="s">
        <v>165</v>
      </c>
      <c r="D566" s="6">
        <f t="shared" si="139"/>
        <v>1</v>
      </c>
      <c r="E566" s="34">
        <v>1</v>
      </c>
      <c r="F566" s="212">
        <v>5890</v>
      </c>
      <c r="G566" s="195">
        <v>46055</v>
      </c>
      <c r="H566" s="8"/>
      <c r="I566" s="212"/>
      <c r="J566" s="8"/>
      <c r="K566" s="23">
        <f t="shared" si="140"/>
        <v>0</v>
      </c>
      <c r="L566" s="23">
        <f t="shared" si="141"/>
        <v>0</v>
      </c>
      <c r="M566" s="206">
        <f t="shared" si="135"/>
        <v>0</v>
      </c>
      <c r="N566" s="34"/>
      <c r="O566" s="209">
        <f t="shared" si="138"/>
        <v>-46054</v>
      </c>
      <c r="P566" s="34">
        <f t="shared" si="142"/>
        <v>5890</v>
      </c>
      <c r="Q566" s="34">
        <f t="shared" si="143"/>
        <v>0</v>
      </c>
      <c r="R566" s="7">
        <f t="shared" si="144"/>
        <v>0</v>
      </c>
      <c r="S566" s="227">
        <f t="shared" si="136"/>
        <v>0</v>
      </c>
      <c r="T566" s="249">
        <f t="shared" si="137"/>
        <v>0</v>
      </c>
    </row>
    <row r="567" spans="2:20" ht="15" customHeight="1" x14ac:dyDescent="0.4">
      <c r="B567" s="38" t="s">
        <v>26</v>
      </c>
      <c r="C567" s="6" t="s">
        <v>165</v>
      </c>
      <c r="D567" s="6">
        <f t="shared" si="139"/>
        <v>1</v>
      </c>
      <c r="E567" s="34">
        <v>1</v>
      </c>
      <c r="F567" s="212">
        <v>7000</v>
      </c>
      <c r="G567" s="195">
        <v>46062</v>
      </c>
      <c r="H567" s="8"/>
      <c r="I567" s="212"/>
      <c r="J567" s="8"/>
      <c r="K567" s="23">
        <f t="shared" si="140"/>
        <v>0</v>
      </c>
      <c r="L567" s="23">
        <f t="shared" si="141"/>
        <v>0</v>
      </c>
      <c r="M567" s="206">
        <f t="shared" si="135"/>
        <v>0</v>
      </c>
      <c r="N567" s="34"/>
      <c r="O567" s="209">
        <f t="shared" si="138"/>
        <v>-46061</v>
      </c>
      <c r="P567" s="34">
        <f t="shared" si="142"/>
        <v>7000</v>
      </c>
      <c r="Q567" s="34">
        <f t="shared" si="143"/>
        <v>0</v>
      </c>
      <c r="R567" s="7">
        <f t="shared" si="144"/>
        <v>0</v>
      </c>
      <c r="S567" s="227">
        <f t="shared" si="136"/>
        <v>0</v>
      </c>
      <c r="T567" s="249">
        <f t="shared" si="137"/>
        <v>0</v>
      </c>
    </row>
    <row r="568" spans="2:20" ht="15" customHeight="1" x14ac:dyDescent="0.4">
      <c r="B568" s="38" t="s">
        <v>26</v>
      </c>
      <c r="C568" s="6" t="s">
        <v>165</v>
      </c>
      <c r="D568" s="6">
        <f t="shared" si="139"/>
        <v>1</v>
      </c>
      <c r="E568" s="34">
        <v>1</v>
      </c>
      <c r="F568" s="212">
        <v>7820</v>
      </c>
      <c r="G568" s="195">
        <v>46072</v>
      </c>
      <c r="H568" s="8"/>
      <c r="I568" s="212"/>
      <c r="J568" s="8"/>
      <c r="K568" s="23">
        <f t="shared" si="140"/>
        <v>0</v>
      </c>
      <c r="L568" s="23">
        <f t="shared" si="141"/>
        <v>0</v>
      </c>
      <c r="M568" s="206">
        <f t="shared" si="135"/>
        <v>0</v>
      </c>
      <c r="N568" s="34"/>
      <c r="O568" s="209">
        <f t="shared" si="138"/>
        <v>-46071</v>
      </c>
      <c r="P568" s="34">
        <f t="shared" si="142"/>
        <v>7820</v>
      </c>
      <c r="Q568" s="34">
        <f t="shared" si="143"/>
        <v>0</v>
      </c>
      <c r="R568" s="7">
        <f t="shared" si="144"/>
        <v>0</v>
      </c>
      <c r="S568" s="227">
        <f t="shared" si="136"/>
        <v>0</v>
      </c>
      <c r="T568" s="249">
        <f t="shared" si="137"/>
        <v>0</v>
      </c>
    </row>
    <row r="569" spans="2:20" ht="15" customHeight="1" x14ac:dyDescent="0.4">
      <c r="B569" s="38" t="s">
        <v>26</v>
      </c>
      <c r="C569" s="6" t="s">
        <v>165</v>
      </c>
      <c r="D569" s="6">
        <f t="shared" si="139"/>
        <v>1</v>
      </c>
      <c r="E569" s="34">
        <v>1</v>
      </c>
      <c r="F569" s="212">
        <v>9090</v>
      </c>
      <c r="G569" s="195">
        <v>46076</v>
      </c>
      <c r="H569" s="8"/>
      <c r="I569" s="212"/>
      <c r="J569" s="8"/>
      <c r="K569" s="23">
        <f t="shared" si="140"/>
        <v>0</v>
      </c>
      <c r="L569" s="23">
        <f t="shared" si="141"/>
        <v>0</v>
      </c>
      <c r="M569" s="206">
        <f t="shared" si="135"/>
        <v>0</v>
      </c>
      <c r="N569" s="34"/>
      <c r="O569" s="209">
        <f t="shared" si="138"/>
        <v>-46075</v>
      </c>
      <c r="P569" s="34">
        <f t="shared" si="142"/>
        <v>9090</v>
      </c>
      <c r="Q569" s="34">
        <f t="shared" si="143"/>
        <v>0</v>
      </c>
      <c r="R569" s="7">
        <f t="shared" si="144"/>
        <v>0</v>
      </c>
      <c r="S569" s="227">
        <f t="shared" si="136"/>
        <v>0</v>
      </c>
      <c r="T569" s="249">
        <f t="shared" si="137"/>
        <v>0</v>
      </c>
    </row>
    <row r="570" spans="2:20" ht="15" customHeight="1" x14ac:dyDescent="0.4">
      <c r="B570" s="38" t="s">
        <v>26</v>
      </c>
      <c r="C570" s="6" t="s">
        <v>165</v>
      </c>
      <c r="D570" s="6">
        <f t="shared" si="139"/>
        <v>1</v>
      </c>
      <c r="E570" s="34">
        <v>1</v>
      </c>
      <c r="F570" s="212">
        <v>7640</v>
      </c>
      <c r="G570" s="195">
        <v>46084</v>
      </c>
      <c r="H570" s="8"/>
      <c r="I570" s="212"/>
      <c r="J570" s="8"/>
      <c r="K570" s="23">
        <f t="shared" si="140"/>
        <v>0</v>
      </c>
      <c r="L570" s="23">
        <f t="shared" si="141"/>
        <v>0</v>
      </c>
      <c r="M570" s="206">
        <f t="shared" si="135"/>
        <v>0</v>
      </c>
      <c r="N570" s="34"/>
      <c r="O570" s="209">
        <f t="shared" si="138"/>
        <v>-46083</v>
      </c>
      <c r="P570" s="34">
        <f t="shared" si="142"/>
        <v>7640</v>
      </c>
      <c r="Q570" s="34">
        <f t="shared" si="143"/>
        <v>0</v>
      </c>
      <c r="R570" s="7">
        <f t="shared" si="144"/>
        <v>0</v>
      </c>
      <c r="S570" s="227">
        <f t="shared" si="136"/>
        <v>0</v>
      </c>
      <c r="T570" s="249">
        <f t="shared" si="137"/>
        <v>0</v>
      </c>
    </row>
    <row r="571" spans="2:20" ht="15" customHeight="1" x14ac:dyDescent="0.4">
      <c r="B571" s="38" t="s">
        <v>26</v>
      </c>
      <c r="C571" s="6" t="s">
        <v>165</v>
      </c>
      <c r="D571" s="6">
        <f t="shared" si="139"/>
        <v>1</v>
      </c>
      <c r="E571" s="34">
        <v>1</v>
      </c>
      <c r="F571" s="212">
        <v>6380</v>
      </c>
      <c r="G571" s="195">
        <v>46090</v>
      </c>
      <c r="H571" s="8"/>
      <c r="I571" s="212"/>
      <c r="J571" s="8"/>
      <c r="K571" s="23">
        <f t="shared" si="140"/>
        <v>0</v>
      </c>
      <c r="L571" s="23">
        <f t="shared" si="141"/>
        <v>0</v>
      </c>
      <c r="M571" s="206">
        <f t="shared" si="135"/>
        <v>0</v>
      </c>
      <c r="N571" s="34"/>
      <c r="O571" s="209">
        <f t="shared" si="138"/>
        <v>-46089</v>
      </c>
      <c r="P571" s="34">
        <f t="shared" si="142"/>
        <v>6380</v>
      </c>
      <c r="Q571" s="34">
        <f t="shared" si="143"/>
        <v>0</v>
      </c>
      <c r="R571" s="7">
        <f t="shared" si="144"/>
        <v>0</v>
      </c>
      <c r="S571" s="227">
        <f t="shared" si="136"/>
        <v>0</v>
      </c>
      <c r="T571" s="249">
        <f t="shared" si="137"/>
        <v>0</v>
      </c>
    </row>
    <row r="572" spans="2:20" ht="15" customHeight="1" x14ac:dyDescent="0.4">
      <c r="B572" s="38" t="s">
        <v>26</v>
      </c>
      <c r="C572" s="6" t="s">
        <v>165</v>
      </c>
      <c r="D572" s="6">
        <f t="shared" si="139"/>
        <v>1</v>
      </c>
      <c r="E572" s="34">
        <v>1</v>
      </c>
      <c r="F572" s="212">
        <v>6770</v>
      </c>
      <c r="G572" s="195">
        <v>46097</v>
      </c>
      <c r="H572" s="8"/>
      <c r="I572" s="212"/>
      <c r="J572" s="8"/>
      <c r="K572" s="23">
        <f t="shared" si="140"/>
        <v>0</v>
      </c>
      <c r="L572" s="23">
        <f t="shared" si="141"/>
        <v>0</v>
      </c>
      <c r="M572" s="206">
        <f t="shared" si="135"/>
        <v>0</v>
      </c>
      <c r="N572" s="34"/>
      <c r="O572" s="209">
        <f t="shared" si="138"/>
        <v>-46096</v>
      </c>
      <c r="P572" s="34">
        <f t="shared" si="142"/>
        <v>6770</v>
      </c>
      <c r="Q572" s="34">
        <f t="shared" si="143"/>
        <v>0</v>
      </c>
      <c r="R572" s="7">
        <f t="shared" si="144"/>
        <v>0</v>
      </c>
      <c r="S572" s="227">
        <f t="shared" si="136"/>
        <v>0</v>
      </c>
      <c r="T572" s="249">
        <f t="shared" si="137"/>
        <v>0</v>
      </c>
    </row>
    <row r="573" spans="2:20" ht="15" customHeight="1" x14ac:dyDescent="0.4">
      <c r="B573" s="38" t="s">
        <v>26</v>
      </c>
      <c r="C573" s="6" t="s">
        <v>165</v>
      </c>
      <c r="D573" s="6">
        <f t="shared" ref="D573:D604" si="145">IF(OR($C573="신한",$C573="OTC",$C573="무상증자(신한)",$C573="토스",$C573="R토스"),1,"확인")</f>
        <v>1</v>
      </c>
      <c r="E573" s="34">
        <v>1</v>
      </c>
      <c r="F573" s="212">
        <v>6080</v>
      </c>
      <c r="G573" s="195">
        <v>46104</v>
      </c>
      <c r="H573" s="8"/>
      <c r="I573" s="212"/>
      <c r="J573" s="8"/>
      <c r="K573" s="23">
        <f t="shared" ref="K573:K604" si="146">IF($C573="OTC",ROUNDDOWN($E573*$F573*0.000909187,-1),(IF($C573="신한",ROUNDDOWN($E573*$F573*0.000036396,-1),(IF($C573="토스",$E573*$F573*0.00015,(IF($C573="US",(IF($E573*$F573*0.0025&gt;0.01,$E573*$F573*0.0025,0.01)),IF($C573="JP",(IF($E573*$F573*0.0025&gt;1000,$E573*$F573*0.0025,1000)),(IF($C573="R토스",0,IF($C573="무상증자(신한)",0,"")))))))))))</f>
        <v>0</v>
      </c>
      <c r="L573" s="23">
        <f t="shared" ref="L573:L604" si="147">IF($C573="OTC",ROUNDDOWN($I573*$E573*0.000909187,-1),(IF($C573="신한",ROUNDDOWN($I573*$E573*0.000036396,-1),(IF($C573="토스",$I573*$E573*0.00015,(IF($C573="US",(IF($I573*$E573*0.0025&gt;0.01,$I573*$E573*0.0025,0.01)),(IF($C573="JP",(IF($I573*$E573*0.0025&gt;1000,$I573*$E573*0.0025,1000)),(IF($C573="R토스",$I573*$E573*0.00015,(IF($C573="무상증자(신한)",ROUNDDOWN($I573*$E573*0.000036396,-1),"")))))))))))))</f>
        <v>0</v>
      </c>
      <c r="M573" s="206">
        <f t="shared" si="135"/>
        <v>0</v>
      </c>
      <c r="N573" s="34"/>
      <c r="O573" s="209">
        <f t="shared" si="138"/>
        <v>-46103</v>
      </c>
      <c r="P573" s="34">
        <f t="shared" ref="P573:P604" si="148">$E573*$F573*$D573</f>
        <v>6080</v>
      </c>
      <c r="Q573" s="34">
        <f t="shared" ref="Q573:Q604" si="149">$E573*$I573*$D573</f>
        <v>0</v>
      </c>
      <c r="R573" s="7">
        <f t="shared" ref="R573:R604" si="150">($N573-$K573-$L573-$M573)*$D573</f>
        <v>0</v>
      </c>
      <c r="S573" s="227">
        <f t="shared" si="136"/>
        <v>0</v>
      </c>
      <c r="T573" s="249">
        <f t="shared" si="137"/>
        <v>0</v>
      </c>
    </row>
    <row r="574" spans="2:20" ht="15" customHeight="1" x14ac:dyDescent="0.4">
      <c r="B574" s="38" t="s">
        <v>26</v>
      </c>
      <c r="C574" s="6" t="s">
        <v>165</v>
      </c>
      <c r="D574" s="6">
        <f t="shared" si="145"/>
        <v>1</v>
      </c>
      <c r="E574" s="34">
        <v>1</v>
      </c>
      <c r="F574" s="212">
        <v>5590</v>
      </c>
      <c r="G574" s="195">
        <v>46111</v>
      </c>
      <c r="H574" s="8"/>
      <c r="I574" s="212"/>
      <c r="J574" s="8"/>
      <c r="K574" s="23">
        <f t="shared" si="146"/>
        <v>0</v>
      </c>
      <c r="L574" s="23">
        <f t="shared" si="147"/>
        <v>0</v>
      </c>
      <c r="M574" s="206">
        <f t="shared" si="135"/>
        <v>0</v>
      </c>
      <c r="N574" s="34"/>
      <c r="O574" s="209">
        <f t="shared" si="138"/>
        <v>-46110</v>
      </c>
      <c r="P574" s="34">
        <f t="shared" si="148"/>
        <v>5590</v>
      </c>
      <c r="Q574" s="34">
        <f t="shared" si="149"/>
        <v>0</v>
      </c>
      <c r="R574" s="7">
        <f t="shared" si="150"/>
        <v>0</v>
      </c>
      <c r="S574" s="227">
        <f t="shared" si="136"/>
        <v>0</v>
      </c>
      <c r="T574" s="249">
        <f t="shared" si="137"/>
        <v>0</v>
      </c>
    </row>
    <row r="575" spans="2:20" ht="15" customHeight="1" x14ac:dyDescent="0.4">
      <c r="B575" s="38" t="s">
        <v>26</v>
      </c>
      <c r="C575" s="6" t="s">
        <v>165</v>
      </c>
      <c r="D575" s="6">
        <f t="shared" si="145"/>
        <v>1</v>
      </c>
      <c r="E575" s="34">
        <v>1</v>
      </c>
      <c r="F575" s="212">
        <v>5450</v>
      </c>
      <c r="G575" s="195">
        <v>46118</v>
      </c>
      <c r="H575" s="8"/>
      <c r="I575" s="212"/>
      <c r="J575" s="8"/>
      <c r="K575" s="23">
        <f t="shared" si="146"/>
        <v>0</v>
      </c>
      <c r="L575" s="23">
        <f t="shared" si="147"/>
        <v>0</v>
      </c>
      <c r="M575" s="206">
        <f t="shared" si="135"/>
        <v>0</v>
      </c>
      <c r="N575" s="34"/>
      <c r="O575" s="209">
        <f t="shared" si="138"/>
        <v>-46117</v>
      </c>
      <c r="P575" s="34">
        <f t="shared" si="148"/>
        <v>5450</v>
      </c>
      <c r="Q575" s="34">
        <f t="shared" si="149"/>
        <v>0</v>
      </c>
      <c r="R575" s="7">
        <f t="shared" si="150"/>
        <v>0</v>
      </c>
      <c r="S575" s="227">
        <f t="shared" si="136"/>
        <v>0</v>
      </c>
      <c r="T575" s="249">
        <f t="shared" si="137"/>
        <v>0</v>
      </c>
    </row>
    <row r="576" spans="2:20" ht="15" customHeight="1" x14ac:dyDescent="0.4">
      <c r="B576" s="38" t="s">
        <v>26</v>
      </c>
      <c r="C576" s="6" t="s">
        <v>165</v>
      </c>
      <c r="D576" s="6">
        <f t="shared" si="145"/>
        <v>1</v>
      </c>
      <c r="E576" s="34">
        <v>1</v>
      </c>
      <c r="F576" s="212">
        <v>5570</v>
      </c>
      <c r="G576" s="195">
        <v>46125</v>
      </c>
      <c r="H576" s="8"/>
      <c r="I576" s="212"/>
      <c r="J576" s="8"/>
      <c r="K576" s="23">
        <f t="shared" si="146"/>
        <v>0</v>
      </c>
      <c r="L576" s="23">
        <f t="shared" si="147"/>
        <v>0</v>
      </c>
      <c r="M576" s="206">
        <f t="shared" si="135"/>
        <v>0</v>
      </c>
      <c r="N576" s="34"/>
      <c r="O576" s="209">
        <f t="shared" si="138"/>
        <v>-46124</v>
      </c>
      <c r="P576" s="34">
        <f t="shared" si="148"/>
        <v>5570</v>
      </c>
      <c r="Q576" s="34">
        <f t="shared" si="149"/>
        <v>0</v>
      </c>
      <c r="R576" s="7">
        <f t="shared" si="150"/>
        <v>0</v>
      </c>
      <c r="S576" s="227">
        <f t="shared" si="136"/>
        <v>0</v>
      </c>
      <c r="T576" s="249">
        <f t="shared" si="137"/>
        <v>0</v>
      </c>
    </row>
    <row r="577" spans="2:20" ht="15" customHeight="1" x14ac:dyDescent="0.4">
      <c r="B577" s="38" t="s">
        <v>26</v>
      </c>
      <c r="C577" s="6" t="s">
        <v>122</v>
      </c>
      <c r="D577" s="6">
        <f t="shared" si="145"/>
        <v>1</v>
      </c>
      <c r="E577" s="34">
        <v>30</v>
      </c>
      <c r="F577" s="212">
        <v>7003</v>
      </c>
      <c r="G577" s="195">
        <v>46127</v>
      </c>
      <c r="H577" s="8"/>
      <c r="I577" s="212"/>
      <c r="J577" s="8"/>
      <c r="K577" s="23">
        <f t="shared" si="146"/>
        <v>31.513499999999997</v>
      </c>
      <c r="L577" s="23">
        <f t="shared" si="147"/>
        <v>0</v>
      </c>
      <c r="M577" s="206">
        <f t="shared" si="135"/>
        <v>0</v>
      </c>
      <c r="N577" s="34"/>
      <c r="O577" s="209">
        <f t="shared" si="138"/>
        <v>-46126</v>
      </c>
      <c r="P577" s="34">
        <f t="shared" si="148"/>
        <v>210090</v>
      </c>
      <c r="Q577" s="34">
        <f t="shared" si="149"/>
        <v>0</v>
      </c>
      <c r="R577" s="7">
        <f t="shared" si="150"/>
        <v>-31.513499999999997</v>
      </c>
      <c r="S577" s="227">
        <f t="shared" si="136"/>
        <v>0</v>
      </c>
      <c r="T577" s="249">
        <f t="shared" si="137"/>
        <v>0</v>
      </c>
    </row>
    <row r="578" spans="2:20" ht="15" customHeight="1" x14ac:dyDescent="0.4">
      <c r="B578" s="38" t="s">
        <v>26</v>
      </c>
      <c r="C578" s="6" t="s">
        <v>165</v>
      </c>
      <c r="D578" s="6">
        <f t="shared" si="145"/>
        <v>1</v>
      </c>
      <c r="E578" s="34">
        <v>1</v>
      </c>
      <c r="F578" s="212">
        <v>7100</v>
      </c>
      <c r="G578" s="195">
        <v>46132</v>
      </c>
      <c r="H578" s="8"/>
      <c r="I578" s="212"/>
      <c r="J578" s="8"/>
      <c r="K578" s="23">
        <f t="shared" si="146"/>
        <v>0</v>
      </c>
      <c r="L578" s="23">
        <f t="shared" si="147"/>
        <v>0</v>
      </c>
      <c r="M578" s="206">
        <f t="shared" si="135"/>
        <v>0</v>
      </c>
      <c r="N578" s="34"/>
      <c r="O578" s="209">
        <f t="shared" si="138"/>
        <v>-46131</v>
      </c>
      <c r="P578" s="34">
        <f t="shared" si="148"/>
        <v>7100</v>
      </c>
      <c r="Q578" s="34">
        <f t="shared" si="149"/>
        <v>0</v>
      </c>
      <c r="R578" s="7">
        <f t="shared" si="150"/>
        <v>0</v>
      </c>
      <c r="S578" s="227">
        <f t="shared" si="136"/>
        <v>0</v>
      </c>
      <c r="T578" s="249">
        <f t="shared" si="137"/>
        <v>0</v>
      </c>
    </row>
    <row r="579" spans="2:20" ht="15" customHeight="1" x14ac:dyDescent="0.4">
      <c r="B579" s="38" t="s">
        <v>45</v>
      </c>
      <c r="C579" s="6" t="s">
        <v>160</v>
      </c>
      <c r="D579" s="6">
        <f t="shared" si="145"/>
        <v>1</v>
      </c>
      <c r="E579" s="34">
        <v>2</v>
      </c>
      <c r="F579" s="212">
        <v>42900</v>
      </c>
      <c r="G579" s="195">
        <v>45854</v>
      </c>
      <c r="H579" s="8"/>
      <c r="I579" s="212">
        <v>40300</v>
      </c>
      <c r="J579" s="8">
        <v>46139</v>
      </c>
      <c r="K579" s="23">
        <f t="shared" si="146"/>
        <v>0</v>
      </c>
      <c r="L579" s="23">
        <f t="shared" si="147"/>
        <v>0</v>
      </c>
      <c r="M579" s="206">
        <f t="shared" si="135"/>
        <v>161.20000000000002</v>
      </c>
      <c r="N579" s="34"/>
      <c r="O579" s="209">
        <f t="shared" si="138"/>
        <v>286</v>
      </c>
      <c r="P579" s="34">
        <f t="shared" si="148"/>
        <v>85800</v>
      </c>
      <c r="Q579" s="34">
        <f t="shared" si="149"/>
        <v>80600</v>
      </c>
      <c r="R579" s="7">
        <f t="shared" si="150"/>
        <v>-161.20000000000002</v>
      </c>
      <c r="S579" s="227">
        <f t="shared" si="136"/>
        <v>-5361.2</v>
      </c>
      <c r="T579" s="249">
        <f t="shared" si="137"/>
        <v>-6.2484848484848483E-2</v>
      </c>
    </row>
    <row r="580" spans="2:20" ht="15" customHeight="1" x14ac:dyDescent="0.4">
      <c r="B580" s="38" t="s">
        <v>45</v>
      </c>
      <c r="C580" s="6" t="s">
        <v>160</v>
      </c>
      <c r="D580" s="6">
        <f t="shared" si="145"/>
        <v>1</v>
      </c>
      <c r="E580" s="34">
        <v>1</v>
      </c>
      <c r="F580" s="212">
        <v>43950</v>
      </c>
      <c r="G580" s="195">
        <v>45861</v>
      </c>
      <c r="H580" s="8"/>
      <c r="I580" s="212">
        <v>40300</v>
      </c>
      <c r="J580" s="8">
        <v>46139</v>
      </c>
      <c r="K580" s="23">
        <f t="shared" si="146"/>
        <v>0</v>
      </c>
      <c r="L580" s="23">
        <f t="shared" si="147"/>
        <v>0</v>
      </c>
      <c r="M580" s="206">
        <f t="shared" ref="M580:M643" si="151">Q580*0.002</f>
        <v>80.600000000000009</v>
      </c>
      <c r="N580" s="34"/>
      <c r="O580" s="209">
        <f t="shared" si="138"/>
        <v>279</v>
      </c>
      <c r="P580" s="34">
        <f t="shared" si="148"/>
        <v>43950</v>
      </c>
      <c r="Q580" s="34">
        <f t="shared" si="149"/>
        <v>40300</v>
      </c>
      <c r="R580" s="7">
        <f t="shared" si="150"/>
        <v>-80.600000000000009</v>
      </c>
      <c r="S580" s="227">
        <f t="shared" ref="S580:S643" si="152">IF(Q580=0,0,Q580-P580+R580)</f>
        <v>-3730.6</v>
      </c>
      <c r="T580" s="249">
        <f t="shared" ref="T580:T643" si="153">S580/P580</f>
        <v>-8.4882821387940843E-2</v>
      </c>
    </row>
    <row r="581" spans="2:20" ht="15" customHeight="1" x14ac:dyDescent="0.4">
      <c r="B581" s="38" t="s">
        <v>45</v>
      </c>
      <c r="C581" s="6" t="s">
        <v>160</v>
      </c>
      <c r="D581" s="6">
        <f t="shared" si="145"/>
        <v>1</v>
      </c>
      <c r="E581" s="34">
        <v>4</v>
      </c>
      <c r="F581" s="212">
        <v>40500</v>
      </c>
      <c r="G581" s="195">
        <v>45862</v>
      </c>
      <c r="H581" s="8"/>
      <c r="I581" s="212">
        <v>40300</v>
      </c>
      <c r="J581" s="8">
        <v>46139</v>
      </c>
      <c r="K581" s="23">
        <f t="shared" si="146"/>
        <v>0</v>
      </c>
      <c r="L581" s="23">
        <f t="shared" si="147"/>
        <v>0</v>
      </c>
      <c r="M581" s="206">
        <f t="shared" si="151"/>
        <v>322.40000000000003</v>
      </c>
      <c r="N581" s="34"/>
      <c r="O581" s="209">
        <f t="shared" si="138"/>
        <v>278</v>
      </c>
      <c r="P581" s="34">
        <f t="shared" si="148"/>
        <v>162000</v>
      </c>
      <c r="Q581" s="34">
        <f t="shared" si="149"/>
        <v>161200</v>
      </c>
      <c r="R581" s="7">
        <f t="shared" si="150"/>
        <v>-322.40000000000003</v>
      </c>
      <c r="S581" s="227">
        <f t="shared" si="152"/>
        <v>-1122.4000000000001</v>
      </c>
      <c r="T581" s="249">
        <f t="shared" si="153"/>
        <v>-6.9283950617283954E-3</v>
      </c>
    </row>
    <row r="582" spans="2:20" ht="15" customHeight="1" x14ac:dyDescent="0.4">
      <c r="B582" s="38" t="s">
        <v>45</v>
      </c>
      <c r="C582" s="6" t="s">
        <v>160</v>
      </c>
      <c r="D582" s="6">
        <f t="shared" si="145"/>
        <v>1</v>
      </c>
      <c r="E582" s="34">
        <v>1</v>
      </c>
      <c r="F582" s="212">
        <v>43500</v>
      </c>
      <c r="G582" s="195">
        <v>45867</v>
      </c>
      <c r="H582" s="8"/>
      <c r="I582" s="212">
        <v>40300</v>
      </c>
      <c r="J582" s="8">
        <v>46139</v>
      </c>
      <c r="K582" s="23">
        <f t="shared" si="146"/>
        <v>0</v>
      </c>
      <c r="L582" s="23">
        <f t="shared" si="147"/>
        <v>0</v>
      </c>
      <c r="M582" s="206">
        <f t="shared" si="151"/>
        <v>80.600000000000009</v>
      </c>
      <c r="N582" s="34"/>
      <c r="O582" s="209">
        <f t="shared" si="138"/>
        <v>273</v>
      </c>
      <c r="P582" s="34">
        <f t="shared" si="148"/>
        <v>43500</v>
      </c>
      <c r="Q582" s="34">
        <f t="shared" si="149"/>
        <v>40300</v>
      </c>
      <c r="R582" s="7">
        <f t="shared" si="150"/>
        <v>-80.600000000000009</v>
      </c>
      <c r="S582" s="227">
        <f t="shared" si="152"/>
        <v>-3280.6</v>
      </c>
      <c r="T582" s="249">
        <f t="shared" si="153"/>
        <v>-7.541609195402299E-2</v>
      </c>
    </row>
    <row r="583" spans="2:20" ht="15" customHeight="1" x14ac:dyDescent="0.4">
      <c r="B583" s="38" t="s">
        <v>45</v>
      </c>
      <c r="C583" s="6" t="s">
        <v>160</v>
      </c>
      <c r="D583" s="6">
        <f t="shared" si="145"/>
        <v>1</v>
      </c>
      <c r="E583" s="34">
        <v>1</v>
      </c>
      <c r="F583" s="212">
        <v>42000</v>
      </c>
      <c r="G583" s="195">
        <v>45875</v>
      </c>
      <c r="H583" s="8"/>
      <c r="I583" s="212">
        <v>40300</v>
      </c>
      <c r="J583" s="8">
        <v>46139</v>
      </c>
      <c r="K583" s="23">
        <f t="shared" si="146"/>
        <v>0</v>
      </c>
      <c r="L583" s="23">
        <f t="shared" si="147"/>
        <v>0</v>
      </c>
      <c r="M583" s="206">
        <f t="shared" si="151"/>
        <v>80.600000000000009</v>
      </c>
      <c r="N583" s="34"/>
      <c r="O583" s="209">
        <f t="shared" si="138"/>
        <v>265</v>
      </c>
      <c r="P583" s="34">
        <f t="shared" si="148"/>
        <v>42000</v>
      </c>
      <c r="Q583" s="34">
        <f t="shared" si="149"/>
        <v>40300</v>
      </c>
      <c r="R583" s="7">
        <f t="shared" si="150"/>
        <v>-80.600000000000009</v>
      </c>
      <c r="S583" s="227">
        <f t="shared" si="152"/>
        <v>-1780.6</v>
      </c>
      <c r="T583" s="249">
        <f t="shared" si="153"/>
        <v>-4.239523809523809E-2</v>
      </c>
    </row>
    <row r="584" spans="2:20" ht="15" customHeight="1" x14ac:dyDescent="0.4">
      <c r="B584" s="38" t="s">
        <v>45</v>
      </c>
      <c r="C584" s="6" t="s">
        <v>160</v>
      </c>
      <c r="D584" s="6">
        <f t="shared" si="145"/>
        <v>1</v>
      </c>
      <c r="E584" s="34">
        <v>7</v>
      </c>
      <c r="F584" s="212">
        <v>40800</v>
      </c>
      <c r="G584" s="195">
        <v>45881</v>
      </c>
      <c r="H584" s="8"/>
      <c r="I584" s="212">
        <v>40300</v>
      </c>
      <c r="J584" s="8">
        <v>46139</v>
      </c>
      <c r="K584" s="23">
        <f t="shared" si="146"/>
        <v>10</v>
      </c>
      <c r="L584" s="23">
        <f t="shared" si="147"/>
        <v>10</v>
      </c>
      <c r="M584" s="206">
        <f t="shared" si="151"/>
        <v>564.20000000000005</v>
      </c>
      <c r="N584" s="34"/>
      <c r="O584" s="209">
        <f t="shared" si="138"/>
        <v>259</v>
      </c>
      <c r="P584" s="34">
        <f t="shared" si="148"/>
        <v>285600</v>
      </c>
      <c r="Q584" s="34">
        <f t="shared" si="149"/>
        <v>282100</v>
      </c>
      <c r="R584" s="7">
        <f t="shared" si="150"/>
        <v>-584.20000000000005</v>
      </c>
      <c r="S584" s="227">
        <f t="shared" si="152"/>
        <v>-4084.2</v>
      </c>
      <c r="T584" s="249">
        <f t="shared" si="153"/>
        <v>-1.4300420168067226E-2</v>
      </c>
    </row>
    <row r="585" spans="2:20" ht="15" customHeight="1" x14ac:dyDescent="0.4">
      <c r="B585" s="38" t="s">
        <v>45</v>
      </c>
      <c r="C585" s="6" t="s">
        <v>160</v>
      </c>
      <c r="D585" s="6">
        <f t="shared" si="145"/>
        <v>1</v>
      </c>
      <c r="E585" s="34">
        <v>1</v>
      </c>
      <c r="F585" s="212">
        <v>41250</v>
      </c>
      <c r="G585" s="195">
        <v>45882</v>
      </c>
      <c r="H585" s="8"/>
      <c r="I585" s="212">
        <v>40300</v>
      </c>
      <c r="J585" s="8">
        <v>46139</v>
      </c>
      <c r="K585" s="23">
        <f t="shared" si="146"/>
        <v>0</v>
      </c>
      <c r="L585" s="23">
        <f t="shared" si="147"/>
        <v>0</v>
      </c>
      <c r="M585" s="206">
        <f t="shared" si="151"/>
        <v>80.600000000000009</v>
      </c>
      <c r="N585" s="34"/>
      <c r="O585" s="209">
        <f t="shared" si="138"/>
        <v>258</v>
      </c>
      <c r="P585" s="34">
        <f t="shared" si="148"/>
        <v>41250</v>
      </c>
      <c r="Q585" s="34">
        <f t="shared" si="149"/>
        <v>40300</v>
      </c>
      <c r="R585" s="7">
        <f t="shared" si="150"/>
        <v>-80.600000000000009</v>
      </c>
      <c r="S585" s="227">
        <f t="shared" si="152"/>
        <v>-1030.5999999999999</v>
      </c>
      <c r="T585" s="249">
        <f t="shared" si="153"/>
        <v>-2.4984242424242423E-2</v>
      </c>
    </row>
    <row r="586" spans="2:20" ht="15" customHeight="1" x14ac:dyDescent="0.4">
      <c r="B586" s="38" t="s">
        <v>45</v>
      </c>
      <c r="C586" s="6" t="s">
        <v>160</v>
      </c>
      <c r="D586" s="6">
        <f t="shared" si="145"/>
        <v>1</v>
      </c>
      <c r="E586" s="34">
        <v>1</v>
      </c>
      <c r="F586" s="212">
        <v>40950</v>
      </c>
      <c r="G586" s="195">
        <v>45889</v>
      </c>
      <c r="H586" s="8"/>
      <c r="I586" s="212">
        <v>40300</v>
      </c>
      <c r="J586" s="8">
        <v>46139</v>
      </c>
      <c r="K586" s="23">
        <f t="shared" si="146"/>
        <v>0</v>
      </c>
      <c r="L586" s="23">
        <f t="shared" si="147"/>
        <v>0</v>
      </c>
      <c r="M586" s="206">
        <f t="shared" si="151"/>
        <v>80.600000000000009</v>
      </c>
      <c r="N586" s="34"/>
      <c r="O586" s="209">
        <f t="shared" si="138"/>
        <v>251</v>
      </c>
      <c r="P586" s="34">
        <f t="shared" si="148"/>
        <v>40950</v>
      </c>
      <c r="Q586" s="34">
        <f t="shared" si="149"/>
        <v>40300</v>
      </c>
      <c r="R586" s="7">
        <f t="shared" si="150"/>
        <v>-80.600000000000009</v>
      </c>
      <c r="S586" s="227">
        <f t="shared" si="152"/>
        <v>-730.6</v>
      </c>
      <c r="T586" s="249">
        <f t="shared" si="153"/>
        <v>-1.7841269841269842E-2</v>
      </c>
    </row>
    <row r="587" spans="2:20" ht="15" customHeight="1" x14ac:dyDescent="0.4">
      <c r="B587" s="38" t="s">
        <v>45</v>
      </c>
      <c r="C587" s="6" t="s">
        <v>160</v>
      </c>
      <c r="D587" s="6">
        <f t="shared" si="145"/>
        <v>1</v>
      </c>
      <c r="E587" s="34">
        <v>1</v>
      </c>
      <c r="F587" s="212">
        <v>38850</v>
      </c>
      <c r="G587" s="195">
        <v>45896</v>
      </c>
      <c r="H587" s="8"/>
      <c r="I587" s="212">
        <v>40300</v>
      </c>
      <c r="J587" s="8">
        <v>46139</v>
      </c>
      <c r="K587" s="23">
        <f t="shared" si="146"/>
        <v>0</v>
      </c>
      <c r="L587" s="23">
        <f t="shared" si="147"/>
        <v>0</v>
      </c>
      <c r="M587" s="206">
        <f t="shared" si="151"/>
        <v>80.600000000000009</v>
      </c>
      <c r="N587" s="34"/>
      <c r="O587" s="209">
        <f t="shared" si="138"/>
        <v>244</v>
      </c>
      <c r="P587" s="34">
        <f t="shared" si="148"/>
        <v>38850</v>
      </c>
      <c r="Q587" s="34">
        <f t="shared" si="149"/>
        <v>40300</v>
      </c>
      <c r="R587" s="7">
        <f t="shared" si="150"/>
        <v>-80.600000000000009</v>
      </c>
      <c r="S587" s="227">
        <f t="shared" si="152"/>
        <v>1369.4</v>
      </c>
      <c r="T587" s="249">
        <f t="shared" si="153"/>
        <v>3.5248391248391249E-2</v>
      </c>
    </row>
    <row r="588" spans="2:20" ht="15" customHeight="1" x14ac:dyDescent="0.4">
      <c r="B588" s="38" t="s">
        <v>45</v>
      </c>
      <c r="C588" s="6" t="s">
        <v>160</v>
      </c>
      <c r="D588" s="6">
        <f t="shared" si="145"/>
        <v>1</v>
      </c>
      <c r="E588" s="34">
        <v>1</v>
      </c>
      <c r="F588" s="212">
        <v>37000</v>
      </c>
      <c r="G588" s="195">
        <v>45903</v>
      </c>
      <c r="H588" s="8"/>
      <c r="I588" s="212">
        <v>40300</v>
      </c>
      <c r="J588" s="8">
        <v>46139</v>
      </c>
      <c r="K588" s="23">
        <f t="shared" si="146"/>
        <v>0</v>
      </c>
      <c r="L588" s="23">
        <f t="shared" si="147"/>
        <v>0</v>
      </c>
      <c r="M588" s="206">
        <f t="shared" si="151"/>
        <v>80.600000000000009</v>
      </c>
      <c r="N588" s="34"/>
      <c r="O588" s="209">
        <f t="shared" si="138"/>
        <v>237</v>
      </c>
      <c r="P588" s="34">
        <f t="shared" si="148"/>
        <v>37000</v>
      </c>
      <c r="Q588" s="34">
        <f t="shared" si="149"/>
        <v>40300</v>
      </c>
      <c r="R588" s="7">
        <f t="shared" si="150"/>
        <v>-80.600000000000009</v>
      </c>
      <c r="S588" s="227">
        <f t="shared" si="152"/>
        <v>3219.4</v>
      </c>
      <c r="T588" s="249">
        <f t="shared" si="153"/>
        <v>8.7010810810810815E-2</v>
      </c>
    </row>
    <row r="589" spans="2:20" ht="15" customHeight="1" x14ac:dyDescent="0.4">
      <c r="B589" s="38" t="s">
        <v>45</v>
      </c>
      <c r="C589" s="6" t="s">
        <v>160</v>
      </c>
      <c r="D589" s="6">
        <f t="shared" si="145"/>
        <v>1</v>
      </c>
      <c r="E589" s="34">
        <v>1</v>
      </c>
      <c r="F589" s="212">
        <v>37100</v>
      </c>
      <c r="G589" s="195">
        <v>45910</v>
      </c>
      <c r="H589" s="8"/>
      <c r="I589" s="212">
        <v>40300</v>
      </c>
      <c r="J589" s="8">
        <v>46139</v>
      </c>
      <c r="K589" s="23">
        <f t="shared" si="146"/>
        <v>0</v>
      </c>
      <c r="L589" s="23">
        <f t="shared" si="147"/>
        <v>0</v>
      </c>
      <c r="M589" s="206">
        <f t="shared" si="151"/>
        <v>80.600000000000009</v>
      </c>
      <c r="N589" s="34"/>
      <c r="O589" s="209">
        <f t="shared" si="138"/>
        <v>230</v>
      </c>
      <c r="P589" s="34">
        <f t="shared" si="148"/>
        <v>37100</v>
      </c>
      <c r="Q589" s="34">
        <f t="shared" si="149"/>
        <v>40300</v>
      </c>
      <c r="R589" s="7">
        <f t="shared" si="150"/>
        <v>-80.600000000000009</v>
      </c>
      <c r="S589" s="227">
        <f t="shared" si="152"/>
        <v>3119.4</v>
      </c>
      <c r="T589" s="249">
        <f t="shared" si="153"/>
        <v>8.4080862533692721E-2</v>
      </c>
    </row>
    <row r="590" spans="2:20" ht="15" customHeight="1" x14ac:dyDescent="0.4">
      <c r="B590" s="38" t="s">
        <v>45</v>
      </c>
      <c r="C590" s="6" t="s">
        <v>160</v>
      </c>
      <c r="D590" s="6">
        <f t="shared" si="145"/>
        <v>1</v>
      </c>
      <c r="E590" s="34">
        <v>1</v>
      </c>
      <c r="F590" s="212">
        <v>41650</v>
      </c>
      <c r="G590" s="195">
        <v>45917</v>
      </c>
      <c r="H590" s="8"/>
      <c r="I590" s="212">
        <v>40300</v>
      </c>
      <c r="J590" s="8">
        <v>46139</v>
      </c>
      <c r="K590" s="23">
        <f t="shared" si="146"/>
        <v>0</v>
      </c>
      <c r="L590" s="23">
        <f t="shared" si="147"/>
        <v>0</v>
      </c>
      <c r="M590" s="206">
        <f t="shared" si="151"/>
        <v>80.600000000000009</v>
      </c>
      <c r="N590" s="34"/>
      <c r="O590" s="209">
        <f t="shared" si="138"/>
        <v>223</v>
      </c>
      <c r="P590" s="34">
        <f t="shared" si="148"/>
        <v>41650</v>
      </c>
      <c r="Q590" s="34">
        <f t="shared" si="149"/>
        <v>40300</v>
      </c>
      <c r="R590" s="7">
        <f t="shared" si="150"/>
        <v>-80.600000000000009</v>
      </c>
      <c r="S590" s="227">
        <f t="shared" si="152"/>
        <v>-1430.6</v>
      </c>
      <c r="T590" s="249">
        <f t="shared" si="153"/>
        <v>-3.4348139255702279E-2</v>
      </c>
    </row>
    <row r="591" spans="2:20" ht="15" customHeight="1" x14ac:dyDescent="0.4">
      <c r="B591" s="38" t="s">
        <v>45</v>
      </c>
      <c r="C591" s="6" t="s">
        <v>160</v>
      </c>
      <c r="D591" s="6">
        <f t="shared" si="145"/>
        <v>1</v>
      </c>
      <c r="E591" s="34">
        <v>1</v>
      </c>
      <c r="F591" s="212">
        <v>42900</v>
      </c>
      <c r="G591" s="195">
        <v>45924</v>
      </c>
      <c r="H591" s="8"/>
      <c r="I591" s="212">
        <v>40300</v>
      </c>
      <c r="J591" s="8">
        <v>46139</v>
      </c>
      <c r="K591" s="23">
        <f t="shared" si="146"/>
        <v>0</v>
      </c>
      <c r="L591" s="23">
        <f t="shared" si="147"/>
        <v>0</v>
      </c>
      <c r="M591" s="206">
        <f t="shared" si="151"/>
        <v>80.600000000000009</v>
      </c>
      <c r="N591" s="34"/>
      <c r="O591" s="209">
        <f t="shared" si="138"/>
        <v>216</v>
      </c>
      <c r="P591" s="34">
        <f t="shared" si="148"/>
        <v>42900</v>
      </c>
      <c r="Q591" s="34">
        <f t="shared" si="149"/>
        <v>40300</v>
      </c>
      <c r="R591" s="7">
        <f t="shared" si="150"/>
        <v>-80.600000000000009</v>
      </c>
      <c r="S591" s="227">
        <f t="shared" si="152"/>
        <v>-2680.6</v>
      </c>
      <c r="T591" s="249">
        <f t="shared" si="153"/>
        <v>-6.2484848484848483E-2</v>
      </c>
    </row>
    <row r="592" spans="2:20" ht="15" customHeight="1" x14ac:dyDescent="0.4">
      <c r="B592" s="38" t="s">
        <v>45</v>
      </c>
      <c r="C592" s="6" t="s">
        <v>160</v>
      </c>
      <c r="D592" s="6">
        <f t="shared" si="145"/>
        <v>1</v>
      </c>
      <c r="E592" s="34">
        <v>7</v>
      </c>
      <c r="F592" s="212">
        <v>41100</v>
      </c>
      <c r="G592" s="195">
        <v>45924</v>
      </c>
      <c r="H592" s="8"/>
      <c r="I592" s="212">
        <v>40300</v>
      </c>
      <c r="J592" s="8">
        <v>46139</v>
      </c>
      <c r="K592" s="23">
        <f t="shared" si="146"/>
        <v>10</v>
      </c>
      <c r="L592" s="23">
        <f t="shared" si="147"/>
        <v>10</v>
      </c>
      <c r="M592" s="206">
        <f t="shared" si="151"/>
        <v>564.20000000000005</v>
      </c>
      <c r="N592" s="34"/>
      <c r="O592" s="209">
        <f t="shared" si="138"/>
        <v>216</v>
      </c>
      <c r="P592" s="34">
        <f t="shared" si="148"/>
        <v>287700</v>
      </c>
      <c r="Q592" s="34">
        <f t="shared" si="149"/>
        <v>282100</v>
      </c>
      <c r="R592" s="7">
        <f t="shared" si="150"/>
        <v>-584.20000000000005</v>
      </c>
      <c r="S592" s="227">
        <f t="shared" si="152"/>
        <v>-6184.2</v>
      </c>
      <c r="T592" s="249">
        <f t="shared" si="153"/>
        <v>-2.1495307612095931E-2</v>
      </c>
    </row>
    <row r="593" spans="2:20" ht="15" customHeight="1" x14ac:dyDescent="0.4">
      <c r="B593" s="38" t="s">
        <v>45</v>
      </c>
      <c r="C593" s="6" t="s">
        <v>160</v>
      </c>
      <c r="D593" s="6">
        <f t="shared" si="145"/>
        <v>1</v>
      </c>
      <c r="E593" s="34">
        <v>1</v>
      </c>
      <c r="F593" s="212">
        <v>37600</v>
      </c>
      <c r="G593" s="195">
        <v>45931</v>
      </c>
      <c r="H593" s="8"/>
      <c r="I593" s="212">
        <v>40300</v>
      </c>
      <c r="J593" s="8">
        <v>46139</v>
      </c>
      <c r="K593" s="23">
        <f t="shared" si="146"/>
        <v>0</v>
      </c>
      <c r="L593" s="23">
        <f t="shared" si="147"/>
        <v>0</v>
      </c>
      <c r="M593" s="206">
        <f t="shared" si="151"/>
        <v>80.600000000000009</v>
      </c>
      <c r="N593" s="34"/>
      <c r="O593" s="209">
        <f t="shared" si="138"/>
        <v>209</v>
      </c>
      <c r="P593" s="34">
        <f t="shared" si="148"/>
        <v>37600</v>
      </c>
      <c r="Q593" s="34">
        <f t="shared" si="149"/>
        <v>40300</v>
      </c>
      <c r="R593" s="7">
        <f t="shared" si="150"/>
        <v>-80.600000000000009</v>
      </c>
      <c r="S593" s="227">
        <f t="shared" si="152"/>
        <v>2619.4</v>
      </c>
      <c r="T593" s="249">
        <f t="shared" si="153"/>
        <v>6.9664893617021273E-2</v>
      </c>
    </row>
    <row r="594" spans="2:20" ht="15" customHeight="1" x14ac:dyDescent="0.4">
      <c r="B594" s="38" t="s">
        <v>45</v>
      </c>
      <c r="C594" s="6" t="s">
        <v>160</v>
      </c>
      <c r="D594" s="6">
        <f t="shared" si="145"/>
        <v>1</v>
      </c>
      <c r="E594" s="34">
        <v>10</v>
      </c>
      <c r="F594" s="212">
        <v>38000</v>
      </c>
      <c r="G594" s="195">
        <v>45932</v>
      </c>
      <c r="H594" s="8"/>
      <c r="I594" s="212">
        <v>40300</v>
      </c>
      <c r="J594" s="8">
        <v>46139</v>
      </c>
      <c r="K594" s="23">
        <f t="shared" si="146"/>
        <v>10</v>
      </c>
      <c r="L594" s="23">
        <f t="shared" si="147"/>
        <v>10</v>
      </c>
      <c r="M594" s="206">
        <f t="shared" si="151"/>
        <v>806</v>
      </c>
      <c r="N594" s="34"/>
      <c r="O594" s="209">
        <f t="shared" si="138"/>
        <v>208</v>
      </c>
      <c r="P594" s="34">
        <f t="shared" si="148"/>
        <v>380000</v>
      </c>
      <c r="Q594" s="34">
        <f t="shared" si="149"/>
        <v>403000</v>
      </c>
      <c r="R594" s="7">
        <f t="shared" si="150"/>
        <v>-826</v>
      </c>
      <c r="S594" s="227">
        <f t="shared" si="152"/>
        <v>22174</v>
      </c>
      <c r="T594" s="249">
        <f t="shared" si="153"/>
        <v>5.8352631578947371E-2</v>
      </c>
    </row>
    <row r="595" spans="2:20" ht="15" customHeight="1" x14ac:dyDescent="0.4">
      <c r="B595" s="38" t="s">
        <v>45</v>
      </c>
      <c r="C595" s="6" t="s">
        <v>160</v>
      </c>
      <c r="D595" s="6">
        <f t="shared" si="145"/>
        <v>1</v>
      </c>
      <c r="E595" s="34">
        <v>1</v>
      </c>
      <c r="F595" s="212">
        <v>38700</v>
      </c>
      <c r="G595" s="195">
        <v>45940</v>
      </c>
      <c r="H595" s="8"/>
      <c r="I595" s="212">
        <v>40300</v>
      </c>
      <c r="J595" s="8">
        <v>46139</v>
      </c>
      <c r="K595" s="23">
        <f t="shared" si="146"/>
        <v>0</v>
      </c>
      <c r="L595" s="23">
        <f t="shared" si="147"/>
        <v>0</v>
      </c>
      <c r="M595" s="206">
        <f t="shared" si="151"/>
        <v>80.600000000000009</v>
      </c>
      <c r="N595" s="34"/>
      <c r="O595" s="209">
        <f t="shared" si="138"/>
        <v>200</v>
      </c>
      <c r="P595" s="34">
        <f t="shared" si="148"/>
        <v>38700</v>
      </c>
      <c r="Q595" s="34">
        <f t="shared" si="149"/>
        <v>40300</v>
      </c>
      <c r="R595" s="7">
        <f t="shared" si="150"/>
        <v>-80.600000000000009</v>
      </c>
      <c r="S595" s="227">
        <f t="shared" si="152"/>
        <v>1519.4</v>
      </c>
      <c r="T595" s="249">
        <f t="shared" si="153"/>
        <v>3.9260981912144707E-2</v>
      </c>
    </row>
    <row r="596" spans="2:20" ht="15" customHeight="1" x14ac:dyDescent="0.4">
      <c r="B596" s="38" t="s">
        <v>45</v>
      </c>
      <c r="C596" s="6" t="s">
        <v>160</v>
      </c>
      <c r="D596" s="6">
        <f t="shared" si="145"/>
        <v>1</v>
      </c>
      <c r="E596" s="34">
        <v>10</v>
      </c>
      <c r="F596" s="212">
        <v>37500</v>
      </c>
      <c r="G596" s="195">
        <v>45940</v>
      </c>
      <c r="H596" s="8"/>
      <c r="I596" s="212">
        <v>40300</v>
      </c>
      <c r="J596" s="8">
        <v>46139</v>
      </c>
      <c r="K596" s="23">
        <f t="shared" si="146"/>
        <v>10</v>
      </c>
      <c r="L596" s="23">
        <f t="shared" si="147"/>
        <v>10</v>
      </c>
      <c r="M596" s="206">
        <f t="shared" si="151"/>
        <v>806</v>
      </c>
      <c r="N596" s="34"/>
      <c r="O596" s="209">
        <f t="shared" si="138"/>
        <v>200</v>
      </c>
      <c r="P596" s="34">
        <f t="shared" si="148"/>
        <v>375000</v>
      </c>
      <c r="Q596" s="34">
        <f t="shared" si="149"/>
        <v>403000</v>
      </c>
      <c r="R596" s="7">
        <f t="shared" si="150"/>
        <v>-826</v>
      </c>
      <c r="S596" s="227">
        <f t="shared" si="152"/>
        <v>27174</v>
      </c>
      <c r="T596" s="249">
        <f t="shared" si="153"/>
        <v>7.2464000000000001E-2</v>
      </c>
    </row>
    <row r="597" spans="2:20" ht="15" customHeight="1" x14ac:dyDescent="0.4">
      <c r="B597" s="38" t="s">
        <v>45</v>
      </c>
      <c r="C597" s="6" t="s">
        <v>160</v>
      </c>
      <c r="D597" s="6">
        <f t="shared" si="145"/>
        <v>1</v>
      </c>
      <c r="E597" s="34">
        <v>1</v>
      </c>
      <c r="F597" s="212">
        <v>37200</v>
      </c>
      <c r="G597" s="195">
        <v>45945</v>
      </c>
      <c r="H597" s="8"/>
      <c r="I597" s="212">
        <v>40300</v>
      </c>
      <c r="J597" s="8">
        <v>46139</v>
      </c>
      <c r="K597" s="23">
        <f t="shared" si="146"/>
        <v>0</v>
      </c>
      <c r="L597" s="23">
        <f t="shared" si="147"/>
        <v>0</v>
      </c>
      <c r="M597" s="206">
        <f t="shared" si="151"/>
        <v>80.600000000000009</v>
      </c>
      <c r="N597" s="34"/>
      <c r="O597" s="209">
        <f t="shared" si="138"/>
        <v>195</v>
      </c>
      <c r="P597" s="34">
        <f t="shared" si="148"/>
        <v>37200</v>
      </c>
      <c r="Q597" s="34">
        <f t="shared" si="149"/>
        <v>40300</v>
      </c>
      <c r="R597" s="7">
        <f t="shared" si="150"/>
        <v>-80.600000000000009</v>
      </c>
      <c r="S597" s="227">
        <f t="shared" si="152"/>
        <v>3019.4</v>
      </c>
      <c r="T597" s="249">
        <f t="shared" si="153"/>
        <v>8.1166666666666665E-2</v>
      </c>
    </row>
    <row r="598" spans="2:20" ht="15" customHeight="1" x14ac:dyDescent="0.4">
      <c r="B598" s="38" t="s">
        <v>45</v>
      </c>
      <c r="C598" s="6" t="s">
        <v>160</v>
      </c>
      <c r="D598" s="6">
        <f t="shared" si="145"/>
        <v>1</v>
      </c>
      <c r="E598" s="34">
        <v>1</v>
      </c>
      <c r="F598" s="212">
        <v>33900</v>
      </c>
      <c r="G598" s="195">
        <v>45952</v>
      </c>
      <c r="H598" s="8"/>
      <c r="I598" s="212">
        <v>40300</v>
      </c>
      <c r="J598" s="8">
        <v>46139</v>
      </c>
      <c r="K598" s="23">
        <f t="shared" si="146"/>
        <v>0</v>
      </c>
      <c r="L598" s="23">
        <f t="shared" si="147"/>
        <v>0</v>
      </c>
      <c r="M598" s="206">
        <f t="shared" si="151"/>
        <v>80.600000000000009</v>
      </c>
      <c r="N598" s="34"/>
      <c r="O598" s="209">
        <f t="shared" si="138"/>
        <v>188</v>
      </c>
      <c r="P598" s="34">
        <f t="shared" si="148"/>
        <v>33900</v>
      </c>
      <c r="Q598" s="34">
        <f t="shared" si="149"/>
        <v>40300</v>
      </c>
      <c r="R598" s="7">
        <f t="shared" si="150"/>
        <v>-80.600000000000009</v>
      </c>
      <c r="S598" s="227">
        <f t="shared" si="152"/>
        <v>6319.4</v>
      </c>
      <c r="T598" s="249">
        <f t="shared" si="153"/>
        <v>0.18641297935103243</v>
      </c>
    </row>
    <row r="599" spans="2:20" ht="15" customHeight="1" x14ac:dyDescent="0.4">
      <c r="B599" s="38" t="s">
        <v>45</v>
      </c>
      <c r="C599" s="6" t="s">
        <v>160</v>
      </c>
      <c r="D599" s="6">
        <f t="shared" si="145"/>
        <v>1</v>
      </c>
      <c r="E599" s="34">
        <v>1</v>
      </c>
      <c r="F599" s="212">
        <v>36000</v>
      </c>
      <c r="G599" s="195">
        <v>45959</v>
      </c>
      <c r="H599" s="8"/>
      <c r="I599" s="212">
        <v>40300</v>
      </c>
      <c r="J599" s="8">
        <v>46139</v>
      </c>
      <c r="K599" s="23">
        <f t="shared" si="146"/>
        <v>0</v>
      </c>
      <c r="L599" s="23">
        <f t="shared" si="147"/>
        <v>0</v>
      </c>
      <c r="M599" s="206">
        <f t="shared" si="151"/>
        <v>80.600000000000009</v>
      </c>
      <c r="N599" s="34"/>
      <c r="O599" s="209">
        <f t="shared" si="138"/>
        <v>181</v>
      </c>
      <c r="P599" s="34">
        <f t="shared" si="148"/>
        <v>36000</v>
      </c>
      <c r="Q599" s="34">
        <f t="shared" si="149"/>
        <v>40300</v>
      </c>
      <c r="R599" s="7">
        <f t="shared" si="150"/>
        <v>-80.600000000000009</v>
      </c>
      <c r="S599" s="227">
        <f t="shared" si="152"/>
        <v>4219.3999999999996</v>
      </c>
      <c r="T599" s="249">
        <f t="shared" si="153"/>
        <v>0.11720555555555555</v>
      </c>
    </row>
    <row r="600" spans="2:20" ht="15" customHeight="1" x14ac:dyDescent="0.4">
      <c r="B600" s="38" t="s">
        <v>45</v>
      </c>
      <c r="C600" s="6" t="s">
        <v>160</v>
      </c>
      <c r="D600" s="6">
        <f t="shared" si="145"/>
        <v>1</v>
      </c>
      <c r="E600" s="34">
        <v>1</v>
      </c>
      <c r="F600" s="212">
        <v>42000</v>
      </c>
      <c r="G600" s="195">
        <v>45966</v>
      </c>
      <c r="H600" s="8"/>
      <c r="I600" s="212">
        <v>40300</v>
      </c>
      <c r="J600" s="8">
        <v>46139</v>
      </c>
      <c r="K600" s="23">
        <f t="shared" si="146"/>
        <v>0</v>
      </c>
      <c r="L600" s="23">
        <f t="shared" si="147"/>
        <v>0</v>
      </c>
      <c r="M600" s="206">
        <f t="shared" si="151"/>
        <v>80.600000000000009</v>
      </c>
      <c r="N600" s="34"/>
      <c r="O600" s="209">
        <f t="shared" si="138"/>
        <v>174</v>
      </c>
      <c r="P600" s="34">
        <f t="shared" si="148"/>
        <v>42000</v>
      </c>
      <c r="Q600" s="34">
        <f t="shared" si="149"/>
        <v>40300</v>
      </c>
      <c r="R600" s="7">
        <f t="shared" si="150"/>
        <v>-80.600000000000009</v>
      </c>
      <c r="S600" s="227">
        <f t="shared" si="152"/>
        <v>-1780.6</v>
      </c>
      <c r="T600" s="249">
        <f t="shared" si="153"/>
        <v>-4.239523809523809E-2</v>
      </c>
    </row>
    <row r="601" spans="2:20" ht="15" customHeight="1" x14ac:dyDescent="0.4">
      <c r="B601" s="38" t="s">
        <v>45</v>
      </c>
      <c r="C601" s="6" t="s">
        <v>160</v>
      </c>
      <c r="D601" s="6">
        <f t="shared" si="145"/>
        <v>1</v>
      </c>
      <c r="E601" s="34">
        <v>1</v>
      </c>
      <c r="F601" s="212">
        <v>40600</v>
      </c>
      <c r="G601" s="195">
        <v>45973</v>
      </c>
      <c r="H601" s="8"/>
      <c r="I601" s="212">
        <v>40300</v>
      </c>
      <c r="J601" s="8">
        <v>46139</v>
      </c>
      <c r="K601" s="23">
        <f t="shared" si="146"/>
        <v>0</v>
      </c>
      <c r="L601" s="23">
        <f t="shared" si="147"/>
        <v>0</v>
      </c>
      <c r="M601" s="206">
        <f t="shared" si="151"/>
        <v>80.600000000000009</v>
      </c>
      <c r="N601" s="34"/>
      <c r="O601" s="209">
        <f t="shared" ref="O601:O664" si="154">J601-G601+1</f>
        <v>167</v>
      </c>
      <c r="P601" s="34">
        <f t="shared" si="148"/>
        <v>40600</v>
      </c>
      <c r="Q601" s="34">
        <f t="shared" si="149"/>
        <v>40300</v>
      </c>
      <c r="R601" s="7">
        <f t="shared" si="150"/>
        <v>-80.600000000000009</v>
      </c>
      <c r="S601" s="227">
        <f t="shared" si="152"/>
        <v>-380.6</v>
      </c>
      <c r="T601" s="249">
        <f t="shared" si="153"/>
        <v>-9.374384236453202E-3</v>
      </c>
    </row>
    <row r="602" spans="2:20" ht="15" customHeight="1" x14ac:dyDescent="0.4">
      <c r="B602" s="38" t="s">
        <v>45</v>
      </c>
      <c r="C602" s="6" t="s">
        <v>160</v>
      </c>
      <c r="D602" s="6">
        <f t="shared" si="145"/>
        <v>1</v>
      </c>
      <c r="E602" s="34">
        <v>1</v>
      </c>
      <c r="F602" s="212">
        <v>39550</v>
      </c>
      <c r="G602" s="195">
        <v>45980</v>
      </c>
      <c r="H602" s="8"/>
      <c r="I602" s="212">
        <v>40300</v>
      </c>
      <c r="J602" s="8">
        <v>46139</v>
      </c>
      <c r="K602" s="23">
        <f t="shared" si="146"/>
        <v>0</v>
      </c>
      <c r="L602" s="23">
        <f t="shared" si="147"/>
        <v>0</v>
      </c>
      <c r="M602" s="206">
        <f t="shared" si="151"/>
        <v>80.600000000000009</v>
      </c>
      <c r="N602" s="34"/>
      <c r="O602" s="209">
        <f t="shared" si="154"/>
        <v>160</v>
      </c>
      <c r="P602" s="34">
        <f t="shared" si="148"/>
        <v>39550</v>
      </c>
      <c r="Q602" s="34">
        <f t="shared" si="149"/>
        <v>40300</v>
      </c>
      <c r="R602" s="7">
        <f t="shared" si="150"/>
        <v>-80.600000000000009</v>
      </c>
      <c r="S602" s="227">
        <f t="shared" si="152"/>
        <v>669.4</v>
      </c>
      <c r="T602" s="249">
        <f t="shared" si="153"/>
        <v>1.6925410872313525E-2</v>
      </c>
    </row>
    <row r="603" spans="2:20" ht="15" customHeight="1" x14ac:dyDescent="0.4">
      <c r="B603" s="38" t="s">
        <v>45</v>
      </c>
      <c r="C603" s="6" t="s">
        <v>160</v>
      </c>
      <c r="D603" s="6">
        <f t="shared" si="145"/>
        <v>1</v>
      </c>
      <c r="E603" s="34">
        <v>1</v>
      </c>
      <c r="F603" s="212">
        <v>37400</v>
      </c>
      <c r="G603" s="195">
        <v>45987</v>
      </c>
      <c r="H603" s="8"/>
      <c r="I603" s="212">
        <v>40300</v>
      </c>
      <c r="J603" s="8">
        <v>46139</v>
      </c>
      <c r="K603" s="23">
        <f t="shared" si="146"/>
        <v>0</v>
      </c>
      <c r="L603" s="23">
        <f t="shared" si="147"/>
        <v>0</v>
      </c>
      <c r="M603" s="206">
        <f t="shared" si="151"/>
        <v>80.600000000000009</v>
      </c>
      <c r="N603" s="34"/>
      <c r="O603" s="209">
        <f t="shared" si="154"/>
        <v>153</v>
      </c>
      <c r="P603" s="34">
        <f t="shared" si="148"/>
        <v>37400</v>
      </c>
      <c r="Q603" s="34">
        <f t="shared" si="149"/>
        <v>40300</v>
      </c>
      <c r="R603" s="7">
        <f t="shared" si="150"/>
        <v>-80.600000000000009</v>
      </c>
      <c r="S603" s="227">
        <f t="shared" si="152"/>
        <v>2819.4</v>
      </c>
      <c r="T603" s="249">
        <f t="shared" si="153"/>
        <v>7.5385026737967917E-2</v>
      </c>
    </row>
    <row r="604" spans="2:20" ht="15" customHeight="1" x14ac:dyDescent="0.4">
      <c r="B604" s="38" t="s">
        <v>45</v>
      </c>
      <c r="C604" s="6" t="s">
        <v>160</v>
      </c>
      <c r="D604" s="6">
        <f t="shared" si="145"/>
        <v>1</v>
      </c>
      <c r="E604" s="34">
        <v>1</v>
      </c>
      <c r="F604" s="212">
        <v>38800</v>
      </c>
      <c r="G604" s="195">
        <v>45994</v>
      </c>
      <c r="H604" s="8"/>
      <c r="I604" s="212">
        <v>40300</v>
      </c>
      <c r="J604" s="8">
        <v>46139</v>
      </c>
      <c r="K604" s="23">
        <f t="shared" si="146"/>
        <v>0</v>
      </c>
      <c r="L604" s="23">
        <f t="shared" si="147"/>
        <v>0</v>
      </c>
      <c r="M604" s="206">
        <f t="shared" si="151"/>
        <v>80.600000000000009</v>
      </c>
      <c r="N604" s="34"/>
      <c r="O604" s="209">
        <f t="shared" si="154"/>
        <v>146</v>
      </c>
      <c r="P604" s="34">
        <f t="shared" si="148"/>
        <v>38800</v>
      </c>
      <c r="Q604" s="34">
        <f t="shared" si="149"/>
        <v>40300</v>
      </c>
      <c r="R604" s="7">
        <f t="shared" si="150"/>
        <v>-80.600000000000009</v>
      </c>
      <c r="S604" s="227">
        <f t="shared" si="152"/>
        <v>1419.4</v>
      </c>
      <c r="T604" s="249">
        <f t="shared" si="153"/>
        <v>3.6582474226804128E-2</v>
      </c>
    </row>
    <row r="605" spans="2:20" ht="15" customHeight="1" x14ac:dyDescent="0.4">
      <c r="B605" s="38" t="s">
        <v>45</v>
      </c>
      <c r="C605" s="6" t="s">
        <v>160</v>
      </c>
      <c r="D605" s="6">
        <f t="shared" ref="D605:D636" si="155">IF(OR($C605="신한",$C605="OTC",$C605="무상증자(신한)",$C605="토스",$C605="R토스"),1,"확인")</f>
        <v>1</v>
      </c>
      <c r="E605" s="34">
        <v>1</v>
      </c>
      <c r="F605" s="212">
        <v>37350</v>
      </c>
      <c r="G605" s="195">
        <v>46001</v>
      </c>
      <c r="H605" s="8"/>
      <c r="I605" s="212">
        <v>40300</v>
      </c>
      <c r="J605" s="8">
        <v>46139</v>
      </c>
      <c r="K605" s="23">
        <f t="shared" ref="K605:K636" si="156">IF($C605="OTC",ROUNDDOWN($E605*$F605*0.000909187,-1),(IF($C605="신한",ROUNDDOWN($E605*$F605*0.000036396,-1),(IF($C605="토스",$E605*$F605*0.00015,(IF($C605="US",(IF($E605*$F605*0.0025&gt;0.01,$E605*$F605*0.0025,0.01)),IF($C605="JP",(IF($E605*$F605*0.0025&gt;1000,$E605*$F605*0.0025,1000)),(IF($C605="R토스",0,IF($C605="무상증자(신한)",0,"")))))))))))</f>
        <v>0</v>
      </c>
      <c r="L605" s="23">
        <f t="shared" ref="L605:L636" si="157">IF($C605="OTC",ROUNDDOWN($I605*$E605*0.000909187,-1),(IF($C605="신한",ROUNDDOWN($I605*$E605*0.000036396,-1),(IF($C605="토스",$I605*$E605*0.00015,(IF($C605="US",(IF($I605*$E605*0.0025&gt;0.01,$I605*$E605*0.0025,0.01)),(IF($C605="JP",(IF($I605*$E605*0.0025&gt;1000,$I605*$E605*0.0025,1000)),(IF($C605="R토스",$I605*$E605*0.00015,(IF($C605="무상증자(신한)",ROUNDDOWN($I605*$E605*0.000036396,-1),"")))))))))))))</f>
        <v>0</v>
      </c>
      <c r="M605" s="206">
        <f t="shared" si="151"/>
        <v>80.600000000000009</v>
      </c>
      <c r="N605" s="34"/>
      <c r="O605" s="209">
        <f t="shared" si="154"/>
        <v>139</v>
      </c>
      <c r="P605" s="34">
        <f t="shared" ref="P605:P636" si="158">$E605*$F605*$D605</f>
        <v>37350</v>
      </c>
      <c r="Q605" s="34">
        <f t="shared" ref="Q605:Q636" si="159">$E605*$I605*$D605</f>
        <v>40300</v>
      </c>
      <c r="R605" s="7">
        <f t="shared" ref="R605:R636" si="160">($N605-$K605-$L605-$M605)*$D605</f>
        <v>-80.600000000000009</v>
      </c>
      <c r="S605" s="227">
        <f t="shared" si="152"/>
        <v>2869.4</v>
      </c>
      <c r="T605" s="249">
        <f t="shared" si="153"/>
        <v>7.6824631860776441E-2</v>
      </c>
    </row>
    <row r="606" spans="2:20" ht="15" customHeight="1" x14ac:dyDescent="0.4">
      <c r="B606" s="38" t="s">
        <v>45</v>
      </c>
      <c r="C606" s="6" t="s">
        <v>160</v>
      </c>
      <c r="D606" s="6">
        <f t="shared" si="155"/>
        <v>1</v>
      </c>
      <c r="E606" s="34">
        <v>1</v>
      </c>
      <c r="F606" s="212">
        <v>33700</v>
      </c>
      <c r="G606" s="195">
        <v>46008</v>
      </c>
      <c r="H606" s="8"/>
      <c r="I606" s="212">
        <v>40300</v>
      </c>
      <c r="J606" s="8">
        <v>46139</v>
      </c>
      <c r="K606" s="23">
        <f t="shared" si="156"/>
        <v>0</v>
      </c>
      <c r="L606" s="23">
        <f t="shared" si="157"/>
        <v>0</v>
      </c>
      <c r="M606" s="206">
        <f t="shared" si="151"/>
        <v>80.600000000000009</v>
      </c>
      <c r="N606" s="34"/>
      <c r="O606" s="209">
        <f t="shared" si="154"/>
        <v>132</v>
      </c>
      <c r="P606" s="34">
        <f t="shared" si="158"/>
        <v>33700</v>
      </c>
      <c r="Q606" s="34">
        <f t="shared" si="159"/>
        <v>40300</v>
      </c>
      <c r="R606" s="7">
        <f t="shared" si="160"/>
        <v>-80.600000000000009</v>
      </c>
      <c r="S606" s="227">
        <f t="shared" si="152"/>
        <v>6519.4</v>
      </c>
      <c r="T606" s="249">
        <f t="shared" si="153"/>
        <v>0.19345400593471809</v>
      </c>
    </row>
    <row r="607" spans="2:20" ht="15" customHeight="1" x14ac:dyDescent="0.4">
      <c r="B607" s="38" t="s">
        <v>45</v>
      </c>
      <c r="C607" s="6" t="s">
        <v>160</v>
      </c>
      <c r="D607" s="6">
        <f t="shared" si="155"/>
        <v>1</v>
      </c>
      <c r="E607" s="34">
        <v>1</v>
      </c>
      <c r="F607" s="212">
        <v>34700</v>
      </c>
      <c r="G607" s="195">
        <v>46015</v>
      </c>
      <c r="H607" s="8"/>
      <c r="I607" s="212">
        <v>40300</v>
      </c>
      <c r="J607" s="8">
        <v>46139</v>
      </c>
      <c r="K607" s="23">
        <f t="shared" si="156"/>
        <v>0</v>
      </c>
      <c r="L607" s="23">
        <f t="shared" si="157"/>
        <v>0</v>
      </c>
      <c r="M607" s="206">
        <f t="shared" si="151"/>
        <v>80.600000000000009</v>
      </c>
      <c r="N607" s="34"/>
      <c r="O607" s="209">
        <f t="shared" si="154"/>
        <v>125</v>
      </c>
      <c r="P607" s="34">
        <f t="shared" si="158"/>
        <v>34700</v>
      </c>
      <c r="Q607" s="34">
        <f t="shared" si="159"/>
        <v>40300</v>
      </c>
      <c r="R607" s="7">
        <f t="shared" si="160"/>
        <v>-80.600000000000009</v>
      </c>
      <c r="S607" s="227">
        <f t="shared" si="152"/>
        <v>5519.4</v>
      </c>
      <c r="T607" s="249">
        <f t="shared" si="153"/>
        <v>0.15906051873198845</v>
      </c>
    </row>
    <row r="608" spans="2:20" ht="15" customHeight="1" x14ac:dyDescent="0.4">
      <c r="B608" s="38" t="s">
        <v>45</v>
      </c>
      <c r="C608" s="6" t="s">
        <v>160</v>
      </c>
      <c r="D608" s="6">
        <f t="shared" si="155"/>
        <v>1</v>
      </c>
      <c r="E608" s="34">
        <v>1</v>
      </c>
      <c r="F608" s="212">
        <v>36150</v>
      </c>
      <c r="G608" s="195">
        <v>46024</v>
      </c>
      <c r="H608" s="8"/>
      <c r="I608" s="212">
        <v>40300</v>
      </c>
      <c r="J608" s="8">
        <v>46139</v>
      </c>
      <c r="K608" s="23">
        <f t="shared" si="156"/>
        <v>0</v>
      </c>
      <c r="L608" s="23">
        <f t="shared" si="157"/>
        <v>0</v>
      </c>
      <c r="M608" s="206">
        <f t="shared" si="151"/>
        <v>80.600000000000009</v>
      </c>
      <c r="N608" s="34"/>
      <c r="O608" s="209">
        <f t="shared" si="154"/>
        <v>116</v>
      </c>
      <c r="P608" s="34">
        <f t="shared" si="158"/>
        <v>36150</v>
      </c>
      <c r="Q608" s="34">
        <f t="shared" si="159"/>
        <v>40300</v>
      </c>
      <c r="R608" s="7">
        <f t="shared" si="160"/>
        <v>-80.600000000000009</v>
      </c>
      <c r="S608" s="227">
        <f t="shared" si="152"/>
        <v>4069.4</v>
      </c>
      <c r="T608" s="249">
        <f t="shared" si="153"/>
        <v>0.11256984785615491</v>
      </c>
    </row>
    <row r="609" spans="2:20" ht="15" customHeight="1" x14ac:dyDescent="0.4">
      <c r="B609" s="38" t="s">
        <v>45</v>
      </c>
      <c r="C609" s="6" t="s">
        <v>160</v>
      </c>
      <c r="D609" s="6">
        <f t="shared" si="155"/>
        <v>1</v>
      </c>
      <c r="E609" s="34">
        <v>1</v>
      </c>
      <c r="F609" s="212">
        <v>32800</v>
      </c>
      <c r="G609" s="195">
        <v>46058</v>
      </c>
      <c r="H609" s="8"/>
      <c r="I609" s="212">
        <v>40300</v>
      </c>
      <c r="J609" s="8">
        <v>46139</v>
      </c>
      <c r="K609" s="23">
        <f t="shared" si="156"/>
        <v>0</v>
      </c>
      <c r="L609" s="23">
        <f t="shared" si="157"/>
        <v>0</v>
      </c>
      <c r="M609" s="206">
        <f t="shared" si="151"/>
        <v>80.600000000000009</v>
      </c>
      <c r="N609" s="34"/>
      <c r="O609" s="209">
        <f t="shared" si="154"/>
        <v>82</v>
      </c>
      <c r="P609" s="34">
        <f t="shared" si="158"/>
        <v>32800</v>
      </c>
      <c r="Q609" s="34">
        <f t="shared" si="159"/>
        <v>40300</v>
      </c>
      <c r="R609" s="7">
        <f t="shared" si="160"/>
        <v>-80.600000000000009</v>
      </c>
      <c r="S609" s="227">
        <f t="shared" si="152"/>
        <v>7419.4</v>
      </c>
      <c r="T609" s="249">
        <f t="shared" si="153"/>
        <v>0.2262012195121951</v>
      </c>
    </row>
    <row r="610" spans="2:20" ht="15" customHeight="1" x14ac:dyDescent="0.4">
      <c r="B610" s="38" t="s">
        <v>45</v>
      </c>
      <c r="C610" s="6" t="s">
        <v>160</v>
      </c>
      <c r="D610" s="6">
        <f t="shared" si="155"/>
        <v>1</v>
      </c>
      <c r="E610" s="34">
        <v>1</v>
      </c>
      <c r="F610" s="212">
        <v>34150</v>
      </c>
      <c r="G610" s="195">
        <v>46065</v>
      </c>
      <c r="H610" s="8"/>
      <c r="I610" s="212">
        <v>40300</v>
      </c>
      <c r="J610" s="8">
        <v>46139</v>
      </c>
      <c r="K610" s="23">
        <f t="shared" si="156"/>
        <v>0</v>
      </c>
      <c r="L610" s="23">
        <f t="shared" si="157"/>
        <v>0</v>
      </c>
      <c r="M610" s="206">
        <f t="shared" si="151"/>
        <v>80.600000000000009</v>
      </c>
      <c r="N610" s="34"/>
      <c r="O610" s="209">
        <f t="shared" si="154"/>
        <v>75</v>
      </c>
      <c r="P610" s="34">
        <f t="shared" si="158"/>
        <v>34150</v>
      </c>
      <c r="Q610" s="34">
        <f t="shared" si="159"/>
        <v>40300</v>
      </c>
      <c r="R610" s="7">
        <f t="shared" si="160"/>
        <v>-80.600000000000009</v>
      </c>
      <c r="S610" s="227">
        <f t="shared" si="152"/>
        <v>6069.4</v>
      </c>
      <c r="T610" s="249">
        <f t="shared" si="153"/>
        <v>0.17772767203513909</v>
      </c>
    </row>
    <row r="611" spans="2:20" ht="15" customHeight="1" x14ac:dyDescent="0.4">
      <c r="B611" s="38" t="s">
        <v>45</v>
      </c>
      <c r="C611" s="6" t="s">
        <v>160</v>
      </c>
      <c r="D611" s="6">
        <f t="shared" si="155"/>
        <v>1</v>
      </c>
      <c r="E611" s="34">
        <v>1</v>
      </c>
      <c r="F611" s="212">
        <v>32700</v>
      </c>
      <c r="G611" s="195">
        <v>46072</v>
      </c>
      <c r="H611" s="8"/>
      <c r="I611" s="212">
        <v>40300</v>
      </c>
      <c r="J611" s="8">
        <v>46139</v>
      </c>
      <c r="K611" s="23">
        <f t="shared" si="156"/>
        <v>0</v>
      </c>
      <c r="L611" s="23">
        <f t="shared" si="157"/>
        <v>0</v>
      </c>
      <c r="M611" s="206">
        <f t="shared" si="151"/>
        <v>80.600000000000009</v>
      </c>
      <c r="N611" s="34"/>
      <c r="O611" s="209">
        <f t="shared" si="154"/>
        <v>68</v>
      </c>
      <c r="P611" s="34">
        <f t="shared" si="158"/>
        <v>32700</v>
      </c>
      <c r="Q611" s="34">
        <f t="shared" si="159"/>
        <v>40300</v>
      </c>
      <c r="R611" s="7">
        <f t="shared" si="160"/>
        <v>-80.600000000000009</v>
      </c>
      <c r="S611" s="227">
        <f t="shared" si="152"/>
        <v>7519.4</v>
      </c>
      <c r="T611" s="249">
        <f t="shared" si="153"/>
        <v>0.22995107033639142</v>
      </c>
    </row>
    <row r="612" spans="2:20" ht="15" customHeight="1" x14ac:dyDescent="0.4">
      <c r="B612" s="38" t="s">
        <v>45</v>
      </c>
      <c r="C612" s="6" t="s">
        <v>160</v>
      </c>
      <c r="D612" s="6">
        <f t="shared" si="155"/>
        <v>1</v>
      </c>
      <c r="E612" s="34">
        <v>1</v>
      </c>
      <c r="F612" s="212">
        <v>32300</v>
      </c>
      <c r="G612" s="195">
        <v>46079</v>
      </c>
      <c r="H612" s="8"/>
      <c r="I612" s="212">
        <v>40300</v>
      </c>
      <c r="J612" s="8">
        <v>46139</v>
      </c>
      <c r="K612" s="23">
        <f t="shared" si="156"/>
        <v>0</v>
      </c>
      <c r="L612" s="23">
        <f t="shared" si="157"/>
        <v>0</v>
      </c>
      <c r="M612" s="206">
        <f t="shared" si="151"/>
        <v>80.600000000000009</v>
      </c>
      <c r="N612" s="34"/>
      <c r="O612" s="209">
        <f t="shared" si="154"/>
        <v>61</v>
      </c>
      <c r="P612" s="34">
        <f t="shared" si="158"/>
        <v>32300</v>
      </c>
      <c r="Q612" s="34">
        <f t="shared" si="159"/>
        <v>40300</v>
      </c>
      <c r="R612" s="7">
        <f t="shared" si="160"/>
        <v>-80.600000000000009</v>
      </c>
      <c r="S612" s="227">
        <f t="shared" si="152"/>
        <v>7919.4</v>
      </c>
      <c r="T612" s="249">
        <f t="shared" si="153"/>
        <v>0.24518266253869969</v>
      </c>
    </row>
    <row r="613" spans="2:20" ht="15" customHeight="1" x14ac:dyDescent="0.4">
      <c r="B613" s="38" t="s">
        <v>45</v>
      </c>
      <c r="C613" s="6" t="s">
        <v>160</v>
      </c>
      <c r="D613" s="6">
        <f t="shared" si="155"/>
        <v>1</v>
      </c>
      <c r="E613" s="34">
        <v>1</v>
      </c>
      <c r="F613" s="212">
        <v>26400</v>
      </c>
      <c r="G613" s="195">
        <v>46086</v>
      </c>
      <c r="H613" s="8"/>
      <c r="I613" s="212">
        <v>40300</v>
      </c>
      <c r="J613" s="8">
        <v>46139</v>
      </c>
      <c r="K613" s="23">
        <f t="shared" si="156"/>
        <v>0</v>
      </c>
      <c r="L613" s="23">
        <f t="shared" si="157"/>
        <v>0</v>
      </c>
      <c r="M613" s="206">
        <f t="shared" si="151"/>
        <v>80.600000000000009</v>
      </c>
      <c r="N613" s="34"/>
      <c r="O613" s="209">
        <f t="shared" si="154"/>
        <v>54</v>
      </c>
      <c r="P613" s="34">
        <f t="shared" si="158"/>
        <v>26400</v>
      </c>
      <c r="Q613" s="34">
        <f t="shared" si="159"/>
        <v>40300</v>
      </c>
      <c r="R613" s="7">
        <f t="shared" si="160"/>
        <v>-80.600000000000009</v>
      </c>
      <c r="S613" s="227">
        <f t="shared" si="152"/>
        <v>13819.4</v>
      </c>
      <c r="T613" s="249">
        <f t="shared" si="153"/>
        <v>0.52346212121212121</v>
      </c>
    </row>
    <row r="614" spans="2:20" ht="15" customHeight="1" x14ac:dyDescent="0.4">
      <c r="B614" s="38" t="s">
        <v>45</v>
      </c>
      <c r="C614" s="6" t="s">
        <v>160</v>
      </c>
      <c r="D614" s="6">
        <f t="shared" si="155"/>
        <v>1</v>
      </c>
      <c r="E614" s="34">
        <v>1</v>
      </c>
      <c r="F614" s="212">
        <v>29650</v>
      </c>
      <c r="G614" s="195">
        <v>46093</v>
      </c>
      <c r="H614" s="8"/>
      <c r="I614" s="212">
        <v>40300</v>
      </c>
      <c r="J614" s="8">
        <v>46139</v>
      </c>
      <c r="K614" s="23">
        <f t="shared" si="156"/>
        <v>0</v>
      </c>
      <c r="L614" s="23">
        <f t="shared" si="157"/>
        <v>0</v>
      </c>
      <c r="M614" s="206">
        <f t="shared" si="151"/>
        <v>80.600000000000009</v>
      </c>
      <c r="N614" s="34"/>
      <c r="O614" s="209">
        <f t="shared" si="154"/>
        <v>47</v>
      </c>
      <c r="P614" s="34">
        <f t="shared" si="158"/>
        <v>29650</v>
      </c>
      <c r="Q614" s="34">
        <f t="shared" si="159"/>
        <v>40300</v>
      </c>
      <c r="R614" s="7">
        <f t="shared" si="160"/>
        <v>-80.600000000000009</v>
      </c>
      <c r="S614" s="227">
        <f t="shared" si="152"/>
        <v>10569.4</v>
      </c>
      <c r="T614" s="249">
        <f t="shared" si="153"/>
        <v>0.35647217537942666</v>
      </c>
    </row>
    <row r="615" spans="2:20" ht="15" customHeight="1" x14ac:dyDescent="0.4">
      <c r="B615" s="38" t="s">
        <v>45</v>
      </c>
      <c r="C615" s="6" t="s">
        <v>160</v>
      </c>
      <c r="D615" s="6">
        <f t="shared" si="155"/>
        <v>1</v>
      </c>
      <c r="E615" s="34">
        <v>1</v>
      </c>
      <c r="F615" s="212">
        <v>29700</v>
      </c>
      <c r="G615" s="195">
        <v>46100</v>
      </c>
      <c r="H615" s="8"/>
      <c r="I615" s="212">
        <v>40300</v>
      </c>
      <c r="J615" s="8">
        <v>46139</v>
      </c>
      <c r="K615" s="23">
        <f t="shared" si="156"/>
        <v>0</v>
      </c>
      <c r="L615" s="23">
        <f t="shared" si="157"/>
        <v>0</v>
      </c>
      <c r="M615" s="206">
        <f t="shared" si="151"/>
        <v>80.600000000000009</v>
      </c>
      <c r="N615" s="34"/>
      <c r="O615" s="209">
        <f t="shared" si="154"/>
        <v>40</v>
      </c>
      <c r="P615" s="34">
        <f t="shared" si="158"/>
        <v>29700</v>
      </c>
      <c r="Q615" s="34">
        <f t="shared" si="159"/>
        <v>40300</v>
      </c>
      <c r="R615" s="7">
        <f t="shared" si="160"/>
        <v>-80.600000000000009</v>
      </c>
      <c r="S615" s="227">
        <f t="shared" si="152"/>
        <v>10519.4</v>
      </c>
      <c r="T615" s="249">
        <f t="shared" si="153"/>
        <v>0.35418855218855216</v>
      </c>
    </row>
    <row r="616" spans="2:20" ht="15" customHeight="1" x14ac:dyDescent="0.4">
      <c r="B616" s="38" t="s">
        <v>45</v>
      </c>
      <c r="C616" s="6" t="s">
        <v>160</v>
      </c>
      <c r="D616" s="6">
        <f t="shared" si="155"/>
        <v>1</v>
      </c>
      <c r="E616" s="34">
        <v>1</v>
      </c>
      <c r="F616" s="212">
        <v>29900</v>
      </c>
      <c r="G616" s="195">
        <v>46107</v>
      </c>
      <c r="H616" s="8"/>
      <c r="I616" s="212">
        <v>40300</v>
      </c>
      <c r="J616" s="8">
        <v>46139</v>
      </c>
      <c r="K616" s="23">
        <f t="shared" si="156"/>
        <v>0</v>
      </c>
      <c r="L616" s="23">
        <f t="shared" si="157"/>
        <v>0</v>
      </c>
      <c r="M616" s="206">
        <f t="shared" si="151"/>
        <v>80.600000000000009</v>
      </c>
      <c r="N616" s="34"/>
      <c r="O616" s="209">
        <f t="shared" si="154"/>
        <v>33</v>
      </c>
      <c r="P616" s="34">
        <f t="shared" si="158"/>
        <v>29900</v>
      </c>
      <c r="Q616" s="34">
        <f t="shared" si="159"/>
        <v>40300</v>
      </c>
      <c r="R616" s="7">
        <f t="shared" si="160"/>
        <v>-80.600000000000009</v>
      </c>
      <c r="S616" s="227">
        <f t="shared" si="152"/>
        <v>10319.4</v>
      </c>
      <c r="T616" s="249">
        <f t="shared" si="153"/>
        <v>0.34513043478260869</v>
      </c>
    </row>
    <row r="617" spans="2:20" ht="15" customHeight="1" x14ac:dyDescent="0.4">
      <c r="B617" s="38" t="s">
        <v>45</v>
      </c>
      <c r="C617" s="6" t="s">
        <v>160</v>
      </c>
      <c r="D617" s="6">
        <f t="shared" si="155"/>
        <v>1</v>
      </c>
      <c r="E617" s="34">
        <v>1</v>
      </c>
      <c r="F617" s="212">
        <v>27300</v>
      </c>
      <c r="G617" s="195">
        <v>46114</v>
      </c>
      <c r="H617" s="8"/>
      <c r="I617" s="212">
        <v>40300</v>
      </c>
      <c r="J617" s="8">
        <v>46139</v>
      </c>
      <c r="K617" s="23">
        <f t="shared" si="156"/>
        <v>0</v>
      </c>
      <c r="L617" s="23">
        <f t="shared" si="157"/>
        <v>0</v>
      </c>
      <c r="M617" s="206">
        <f t="shared" si="151"/>
        <v>80.600000000000009</v>
      </c>
      <c r="N617" s="34"/>
      <c r="O617" s="209">
        <f t="shared" si="154"/>
        <v>26</v>
      </c>
      <c r="P617" s="34">
        <f t="shared" si="158"/>
        <v>27300</v>
      </c>
      <c r="Q617" s="34">
        <f t="shared" si="159"/>
        <v>40300</v>
      </c>
      <c r="R617" s="7">
        <f t="shared" si="160"/>
        <v>-80.600000000000009</v>
      </c>
      <c r="S617" s="227">
        <f t="shared" si="152"/>
        <v>12919.4</v>
      </c>
      <c r="T617" s="249">
        <f t="shared" si="153"/>
        <v>0.47323809523809524</v>
      </c>
    </row>
    <row r="618" spans="2:20" ht="15" customHeight="1" x14ac:dyDescent="0.4">
      <c r="B618" s="38" t="s">
        <v>45</v>
      </c>
      <c r="C618" s="6" t="s">
        <v>160</v>
      </c>
      <c r="D618" s="6">
        <f t="shared" si="155"/>
        <v>1</v>
      </c>
      <c r="E618" s="34">
        <v>1</v>
      </c>
      <c r="F618" s="212">
        <v>25950</v>
      </c>
      <c r="G618" s="195">
        <v>46121</v>
      </c>
      <c r="H618" s="8"/>
      <c r="I618" s="212">
        <v>40300</v>
      </c>
      <c r="J618" s="8">
        <v>46139</v>
      </c>
      <c r="K618" s="23">
        <f t="shared" si="156"/>
        <v>0</v>
      </c>
      <c r="L618" s="23">
        <f t="shared" si="157"/>
        <v>0</v>
      </c>
      <c r="M618" s="206">
        <f t="shared" si="151"/>
        <v>80.600000000000009</v>
      </c>
      <c r="N618" s="34"/>
      <c r="O618" s="209">
        <f t="shared" si="154"/>
        <v>19</v>
      </c>
      <c r="P618" s="34">
        <f t="shared" si="158"/>
        <v>25950</v>
      </c>
      <c r="Q618" s="34">
        <f t="shared" si="159"/>
        <v>40300</v>
      </c>
      <c r="R618" s="7">
        <f t="shared" si="160"/>
        <v>-80.600000000000009</v>
      </c>
      <c r="S618" s="227">
        <f t="shared" si="152"/>
        <v>14269.4</v>
      </c>
      <c r="T618" s="249">
        <f t="shared" si="153"/>
        <v>0.54988053949903659</v>
      </c>
    </row>
    <row r="619" spans="2:20" ht="15" customHeight="1" x14ac:dyDescent="0.4">
      <c r="B619" s="38" t="s">
        <v>45</v>
      </c>
      <c r="C619" s="6" t="s">
        <v>160</v>
      </c>
      <c r="D619" s="6">
        <f t="shared" si="155"/>
        <v>1</v>
      </c>
      <c r="E619" s="34">
        <v>1</v>
      </c>
      <c r="F619" s="212">
        <v>28700</v>
      </c>
      <c r="G619" s="195">
        <v>46128</v>
      </c>
      <c r="H619" s="8"/>
      <c r="I619" s="212">
        <v>40300</v>
      </c>
      <c r="J619" s="8">
        <v>46139</v>
      </c>
      <c r="K619" s="23">
        <f t="shared" si="156"/>
        <v>0</v>
      </c>
      <c r="L619" s="23">
        <f t="shared" si="157"/>
        <v>0</v>
      </c>
      <c r="M619" s="206">
        <f t="shared" si="151"/>
        <v>80.600000000000009</v>
      </c>
      <c r="N619" s="34"/>
      <c r="O619" s="209">
        <f t="shared" si="154"/>
        <v>12</v>
      </c>
      <c r="P619" s="34">
        <f t="shared" si="158"/>
        <v>28700</v>
      </c>
      <c r="Q619" s="34">
        <f t="shared" si="159"/>
        <v>40300</v>
      </c>
      <c r="R619" s="7">
        <f t="shared" si="160"/>
        <v>-80.600000000000009</v>
      </c>
      <c r="S619" s="227">
        <f t="shared" si="152"/>
        <v>11519.4</v>
      </c>
      <c r="T619" s="249">
        <f t="shared" si="153"/>
        <v>0.40137282229965154</v>
      </c>
    </row>
    <row r="620" spans="2:20" ht="15" customHeight="1" x14ac:dyDescent="0.4">
      <c r="B620" s="38" t="s">
        <v>45</v>
      </c>
      <c r="C620" s="6" t="s">
        <v>160</v>
      </c>
      <c r="D620" s="6">
        <f t="shared" si="155"/>
        <v>1</v>
      </c>
      <c r="E620" s="34">
        <v>1</v>
      </c>
      <c r="F620" s="212">
        <v>37650</v>
      </c>
      <c r="G620" s="195">
        <v>46135</v>
      </c>
      <c r="H620" s="8"/>
      <c r="I620" s="212">
        <v>40300</v>
      </c>
      <c r="J620" s="8">
        <v>46139</v>
      </c>
      <c r="K620" s="23">
        <f t="shared" si="156"/>
        <v>0</v>
      </c>
      <c r="L620" s="23">
        <f t="shared" si="157"/>
        <v>0</v>
      </c>
      <c r="M620" s="206">
        <f t="shared" si="151"/>
        <v>80.600000000000009</v>
      </c>
      <c r="N620" s="34"/>
      <c r="O620" s="209">
        <f t="shared" si="154"/>
        <v>5</v>
      </c>
      <c r="P620" s="34">
        <f t="shared" si="158"/>
        <v>37650</v>
      </c>
      <c r="Q620" s="34">
        <f t="shared" si="159"/>
        <v>40300</v>
      </c>
      <c r="R620" s="7">
        <f t="shared" si="160"/>
        <v>-80.600000000000009</v>
      </c>
      <c r="S620" s="227">
        <f t="shared" si="152"/>
        <v>2569.4</v>
      </c>
      <c r="T620" s="249">
        <f t="shared" si="153"/>
        <v>6.8244355909694562E-2</v>
      </c>
    </row>
    <row r="621" spans="2:20" ht="15" customHeight="1" x14ac:dyDescent="0.4">
      <c r="B621" s="38" t="s">
        <v>105</v>
      </c>
      <c r="C621" s="6" t="s">
        <v>160</v>
      </c>
      <c r="D621" s="6">
        <f t="shared" si="155"/>
        <v>1</v>
      </c>
      <c r="E621" s="34">
        <v>30</v>
      </c>
      <c r="F621" s="212">
        <v>16017</v>
      </c>
      <c r="G621" s="195">
        <v>45944</v>
      </c>
      <c r="H621" s="8"/>
      <c r="I621" s="212">
        <v>27300</v>
      </c>
      <c r="J621" s="8">
        <v>46134</v>
      </c>
      <c r="K621" s="23">
        <f t="shared" si="156"/>
        <v>10</v>
      </c>
      <c r="L621" s="23">
        <f t="shared" si="157"/>
        <v>20</v>
      </c>
      <c r="M621" s="206">
        <f t="shared" si="151"/>
        <v>1638</v>
      </c>
      <c r="N621" s="34"/>
      <c r="O621" s="209">
        <f t="shared" si="154"/>
        <v>191</v>
      </c>
      <c r="P621" s="34">
        <f t="shared" si="158"/>
        <v>480510</v>
      </c>
      <c r="Q621" s="34">
        <f t="shared" si="159"/>
        <v>819000</v>
      </c>
      <c r="R621" s="7">
        <f t="shared" si="160"/>
        <v>-1668</v>
      </c>
      <c r="S621" s="227">
        <f t="shared" si="152"/>
        <v>336822</v>
      </c>
      <c r="T621" s="249">
        <f t="shared" si="153"/>
        <v>0.70096772179559219</v>
      </c>
    </row>
    <row r="622" spans="2:20" ht="15" customHeight="1" x14ac:dyDescent="0.4">
      <c r="B622" s="38" t="s">
        <v>105</v>
      </c>
      <c r="C622" s="6" t="s">
        <v>160</v>
      </c>
      <c r="D622" s="6">
        <f t="shared" si="155"/>
        <v>1</v>
      </c>
      <c r="E622" s="34">
        <v>40</v>
      </c>
      <c r="F622" s="212">
        <v>17000</v>
      </c>
      <c r="G622" s="195">
        <v>45946</v>
      </c>
      <c r="H622" s="8"/>
      <c r="I622" s="212">
        <v>27300</v>
      </c>
      <c r="J622" s="8">
        <v>46134</v>
      </c>
      <c r="K622" s="23">
        <f t="shared" si="156"/>
        <v>20</v>
      </c>
      <c r="L622" s="23">
        <f t="shared" si="157"/>
        <v>30</v>
      </c>
      <c r="M622" s="206">
        <f t="shared" si="151"/>
        <v>2184</v>
      </c>
      <c r="N622" s="34"/>
      <c r="O622" s="209">
        <f t="shared" si="154"/>
        <v>189</v>
      </c>
      <c r="P622" s="34">
        <f t="shared" si="158"/>
        <v>680000</v>
      </c>
      <c r="Q622" s="34">
        <f t="shared" si="159"/>
        <v>1092000</v>
      </c>
      <c r="R622" s="7">
        <f t="shared" si="160"/>
        <v>-2234</v>
      </c>
      <c r="S622" s="227">
        <f t="shared" si="152"/>
        <v>409766</v>
      </c>
      <c r="T622" s="249">
        <f t="shared" si="153"/>
        <v>0.60259705882352943</v>
      </c>
    </row>
    <row r="623" spans="2:20" ht="15" customHeight="1" x14ac:dyDescent="0.4">
      <c r="B623" s="38" t="s">
        <v>105</v>
      </c>
      <c r="C623" s="6" t="s">
        <v>160</v>
      </c>
      <c r="D623" s="6">
        <f t="shared" si="155"/>
        <v>1</v>
      </c>
      <c r="E623" s="34">
        <v>60</v>
      </c>
      <c r="F623" s="212">
        <v>17100</v>
      </c>
      <c r="G623" s="195">
        <v>45959</v>
      </c>
      <c r="H623" s="8"/>
      <c r="I623" s="212">
        <v>31100</v>
      </c>
      <c r="J623" s="8">
        <v>46101</v>
      </c>
      <c r="K623" s="23">
        <f t="shared" si="156"/>
        <v>30</v>
      </c>
      <c r="L623" s="23">
        <f t="shared" si="157"/>
        <v>60</v>
      </c>
      <c r="M623" s="206">
        <f t="shared" si="151"/>
        <v>3732</v>
      </c>
      <c r="N623" s="34"/>
      <c r="O623" s="209">
        <f t="shared" si="154"/>
        <v>143</v>
      </c>
      <c r="P623" s="34">
        <f t="shared" si="158"/>
        <v>1026000</v>
      </c>
      <c r="Q623" s="34">
        <f t="shared" si="159"/>
        <v>1866000</v>
      </c>
      <c r="R623" s="7">
        <f t="shared" si="160"/>
        <v>-3822</v>
      </c>
      <c r="S623" s="227">
        <f t="shared" si="152"/>
        <v>836178</v>
      </c>
      <c r="T623" s="249">
        <f t="shared" si="153"/>
        <v>0.81498830409356726</v>
      </c>
    </row>
    <row r="624" spans="2:20" ht="15" customHeight="1" x14ac:dyDescent="0.4">
      <c r="B624" s="38" t="s">
        <v>105</v>
      </c>
      <c r="C624" s="6" t="s">
        <v>160</v>
      </c>
      <c r="D624" s="6">
        <f t="shared" si="155"/>
        <v>1</v>
      </c>
      <c r="E624" s="34">
        <v>60</v>
      </c>
      <c r="F624" s="212">
        <v>28100</v>
      </c>
      <c r="G624" s="195">
        <v>46104</v>
      </c>
      <c r="H624" s="8"/>
      <c r="I624" s="212">
        <v>27300</v>
      </c>
      <c r="J624" s="8">
        <v>46134</v>
      </c>
      <c r="K624" s="23">
        <f t="shared" si="156"/>
        <v>60</v>
      </c>
      <c r="L624" s="23">
        <f t="shared" si="157"/>
        <v>50</v>
      </c>
      <c r="M624" s="206">
        <f t="shared" si="151"/>
        <v>3276</v>
      </c>
      <c r="N624" s="34"/>
      <c r="O624" s="209">
        <f t="shared" si="154"/>
        <v>31</v>
      </c>
      <c r="P624" s="34">
        <f t="shared" si="158"/>
        <v>1686000</v>
      </c>
      <c r="Q624" s="34">
        <f t="shared" si="159"/>
        <v>1638000</v>
      </c>
      <c r="R624" s="7">
        <f t="shared" si="160"/>
        <v>-3386</v>
      </c>
      <c r="S624" s="227">
        <f t="shared" si="152"/>
        <v>-51386</v>
      </c>
      <c r="T624" s="249">
        <f t="shared" si="153"/>
        <v>-3.0478054567022538E-2</v>
      </c>
    </row>
    <row r="625" spans="2:20" ht="15" customHeight="1" x14ac:dyDescent="0.4">
      <c r="B625" s="38" t="s">
        <v>105</v>
      </c>
      <c r="C625" s="6" t="s">
        <v>160</v>
      </c>
      <c r="D625" s="6">
        <f t="shared" si="155"/>
        <v>1</v>
      </c>
      <c r="E625" s="34">
        <v>100</v>
      </c>
      <c r="F625" s="212">
        <v>22800</v>
      </c>
      <c r="G625" s="195">
        <v>46112</v>
      </c>
      <c r="H625" s="8"/>
      <c r="I625" s="212">
        <v>27300</v>
      </c>
      <c r="J625" s="8">
        <v>46134</v>
      </c>
      <c r="K625" s="23">
        <f t="shared" si="156"/>
        <v>80</v>
      </c>
      <c r="L625" s="23">
        <f t="shared" si="157"/>
        <v>90</v>
      </c>
      <c r="M625" s="206">
        <f t="shared" si="151"/>
        <v>5460</v>
      </c>
      <c r="N625" s="34"/>
      <c r="O625" s="209">
        <f t="shared" si="154"/>
        <v>23</v>
      </c>
      <c r="P625" s="34">
        <f t="shared" si="158"/>
        <v>2280000</v>
      </c>
      <c r="Q625" s="34">
        <f t="shared" si="159"/>
        <v>2730000</v>
      </c>
      <c r="R625" s="7">
        <f t="shared" si="160"/>
        <v>-5630</v>
      </c>
      <c r="S625" s="227">
        <f t="shared" si="152"/>
        <v>444370</v>
      </c>
      <c r="T625" s="249">
        <f t="shared" si="153"/>
        <v>0.19489912280701754</v>
      </c>
    </row>
    <row r="626" spans="2:20" ht="15" customHeight="1" x14ac:dyDescent="0.4">
      <c r="B626" s="38" t="s">
        <v>502</v>
      </c>
      <c r="C626" s="6" t="s">
        <v>160</v>
      </c>
      <c r="D626" s="6">
        <f t="shared" si="155"/>
        <v>1</v>
      </c>
      <c r="E626" s="34">
        <v>9</v>
      </c>
      <c r="F626" s="212">
        <v>123900</v>
      </c>
      <c r="G626" s="195">
        <v>45923</v>
      </c>
      <c r="H626" s="8"/>
      <c r="I626" s="212"/>
      <c r="J626" s="8"/>
      <c r="K626" s="23">
        <f t="shared" si="156"/>
        <v>40</v>
      </c>
      <c r="L626" s="23">
        <f t="shared" si="157"/>
        <v>0</v>
      </c>
      <c r="M626" s="206">
        <f t="shared" si="151"/>
        <v>0</v>
      </c>
      <c r="N626" s="34">
        <f t="shared" ref="N626:N631" si="161">600*E626*(1-0.154)</f>
        <v>4568.3999999999996</v>
      </c>
      <c r="O626" s="209">
        <f t="shared" si="154"/>
        <v>-45922</v>
      </c>
      <c r="P626" s="34">
        <f t="shared" si="158"/>
        <v>1115100</v>
      </c>
      <c r="Q626" s="34">
        <f t="shared" si="159"/>
        <v>0</v>
      </c>
      <c r="R626" s="7">
        <f t="shared" si="160"/>
        <v>4528.3999999999996</v>
      </c>
      <c r="S626" s="227">
        <f t="shared" si="152"/>
        <v>0</v>
      </c>
      <c r="T626" s="249">
        <f t="shared" si="153"/>
        <v>0</v>
      </c>
    </row>
    <row r="627" spans="2:20" ht="15" customHeight="1" x14ac:dyDescent="0.4">
      <c r="B627" s="38" t="s">
        <v>502</v>
      </c>
      <c r="C627" s="6" t="s">
        <v>160</v>
      </c>
      <c r="D627" s="6">
        <f t="shared" si="155"/>
        <v>1</v>
      </c>
      <c r="E627" s="34">
        <v>1</v>
      </c>
      <c r="F627" s="212">
        <v>119500</v>
      </c>
      <c r="G627" s="195">
        <v>45924</v>
      </c>
      <c r="H627" s="8"/>
      <c r="I627" s="212"/>
      <c r="J627" s="8"/>
      <c r="K627" s="23">
        <f t="shared" si="156"/>
        <v>0</v>
      </c>
      <c r="L627" s="23">
        <f t="shared" si="157"/>
        <v>0</v>
      </c>
      <c r="M627" s="206">
        <f t="shared" si="151"/>
        <v>0</v>
      </c>
      <c r="N627" s="34">
        <f t="shared" si="161"/>
        <v>507.59999999999997</v>
      </c>
      <c r="O627" s="209">
        <f t="shared" si="154"/>
        <v>-45923</v>
      </c>
      <c r="P627" s="34">
        <f t="shared" si="158"/>
        <v>119500</v>
      </c>
      <c r="Q627" s="34">
        <f t="shared" si="159"/>
        <v>0</v>
      </c>
      <c r="R627" s="7">
        <f t="shared" si="160"/>
        <v>507.59999999999997</v>
      </c>
      <c r="S627" s="227">
        <f t="shared" si="152"/>
        <v>0</v>
      </c>
      <c r="T627" s="249">
        <f t="shared" si="153"/>
        <v>0</v>
      </c>
    </row>
    <row r="628" spans="2:20" ht="15" customHeight="1" x14ac:dyDescent="0.4">
      <c r="B628" s="38" t="s">
        <v>502</v>
      </c>
      <c r="C628" s="6" t="s">
        <v>160</v>
      </c>
      <c r="D628" s="6">
        <f t="shared" si="155"/>
        <v>1</v>
      </c>
      <c r="E628" s="34">
        <v>3</v>
      </c>
      <c r="F628" s="212">
        <v>120500</v>
      </c>
      <c r="G628" s="195">
        <v>45932</v>
      </c>
      <c r="H628" s="8"/>
      <c r="I628" s="212"/>
      <c r="J628" s="8"/>
      <c r="K628" s="23">
        <f t="shared" si="156"/>
        <v>10</v>
      </c>
      <c r="L628" s="23">
        <f t="shared" si="157"/>
        <v>0</v>
      </c>
      <c r="M628" s="206">
        <f t="shared" si="151"/>
        <v>0</v>
      </c>
      <c r="N628" s="34">
        <f t="shared" si="161"/>
        <v>1522.8</v>
      </c>
      <c r="O628" s="209">
        <f t="shared" si="154"/>
        <v>-45931</v>
      </c>
      <c r="P628" s="34">
        <f t="shared" si="158"/>
        <v>361500</v>
      </c>
      <c r="Q628" s="34">
        <f t="shared" si="159"/>
        <v>0</v>
      </c>
      <c r="R628" s="7">
        <f t="shared" si="160"/>
        <v>1512.8</v>
      </c>
      <c r="S628" s="227">
        <f t="shared" si="152"/>
        <v>0</v>
      </c>
      <c r="T628" s="249">
        <f t="shared" si="153"/>
        <v>0</v>
      </c>
    </row>
    <row r="629" spans="2:20" ht="15" customHeight="1" x14ac:dyDescent="0.4">
      <c r="B629" s="38" t="s">
        <v>502</v>
      </c>
      <c r="C629" s="6" t="s">
        <v>160</v>
      </c>
      <c r="D629" s="6">
        <f t="shared" si="155"/>
        <v>1</v>
      </c>
      <c r="E629" s="34">
        <v>2</v>
      </c>
      <c r="F629" s="212">
        <v>120200</v>
      </c>
      <c r="G629" s="195">
        <v>45940</v>
      </c>
      <c r="H629" s="8"/>
      <c r="I629" s="212"/>
      <c r="J629" s="8"/>
      <c r="K629" s="23">
        <f t="shared" si="156"/>
        <v>0</v>
      </c>
      <c r="L629" s="23">
        <f t="shared" si="157"/>
        <v>0</v>
      </c>
      <c r="M629" s="206">
        <f t="shared" si="151"/>
        <v>0</v>
      </c>
      <c r="N629" s="34">
        <f t="shared" si="161"/>
        <v>1015.1999999999999</v>
      </c>
      <c r="O629" s="209">
        <f t="shared" si="154"/>
        <v>-45939</v>
      </c>
      <c r="P629" s="34">
        <f t="shared" si="158"/>
        <v>240400</v>
      </c>
      <c r="Q629" s="34">
        <f t="shared" si="159"/>
        <v>0</v>
      </c>
      <c r="R629" s="7">
        <f t="shared" si="160"/>
        <v>1015.1999999999999</v>
      </c>
      <c r="S629" s="227">
        <f t="shared" si="152"/>
        <v>0</v>
      </c>
      <c r="T629" s="249">
        <f t="shared" si="153"/>
        <v>0</v>
      </c>
    </row>
    <row r="630" spans="2:20" ht="15" customHeight="1" x14ac:dyDescent="0.4">
      <c r="B630" s="38" t="s">
        <v>502</v>
      </c>
      <c r="C630" s="6" t="s">
        <v>160</v>
      </c>
      <c r="D630" s="6">
        <f t="shared" si="155"/>
        <v>1</v>
      </c>
      <c r="E630" s="34">
        <v>5</v>
      </c>
      <c r="F630" s="212">
        <v>116400</v>
      </c>
      <c r="G630" s="195">
        <v>46000</v>
      </c>
      <c r="H630" s="8"/>
      <c r="I630" s="212"/>
      <c r="J630" s="8"/>
      <c r="K630" s="23">
        <f t="shared" si="156"/>
        <v>20</v>
      </c>
      <c r="L630" s="23">
        <f t="shared" si="157"/>
        <v>0</v>
      </c>
      <c r="M630" s="206">
        <f t="shared" si="151"/>
        <v>0</v>
      </c>
      <c r="N630" s="34">
        <f t="shared" si="161"/>
        <v>2538</v>
      </c>
      <c r="O630" s="209">
        <f t="shared" si="154"/>
        <v>-45999</v>
      </c>
      <c r="P630" s="34">
        <f t="shared" si="158"/>
        <v>582000</v>
      </c>
      <c r="Q630" s="34">
        <f t="shared" si="159"/>
        <v>0</v>
      </c>
      <c r="R630" s="7">
        <f t="shared" si="160"/>
        <v>2518</v>
      </c>
      <c r="S630" s="227">
        <f t="shared" si="152"/>
        <v>0</v>
      </c>
      <c r="T630" s="249">
        <f t="shared" si="153"/>
        <v>0</v>
      </c>
    </row>
    <row r="631" spans="2:20" ht="15" customHeight="1" x14ac:dyDescent="0.4">
      <c r="B631" s="38" t="s">
        <v>502</v>
      </c>
      <c r="C631" s="6" t="s">
        <v>160</v>
      </c>
      <c r="D631" s="6">
        <f t="shared" si="155"/>
        <v>1</v>
      </c>
      <c r="E631" s="34">
        <v>2</v>
      </c>
      <c r="F631" s="212">
        <v>112900</v>
      </c>
      <c r="G631" s="195">
        <v>46017</v>
      </c>
      <c r="H631" s="8"/>
      <c r="I631" s="212"/>
      <c r="J631" s="8"/>
      <c r="K631" s="23">
        <f t="shared" si="156"/>
        <v>0</v>
      </c>
      <c r="L631" s="23">
        <f t="shared" si="157"/>
        <v>0</v>
      </c>
      <c r="M631" s="206">
        <f t="shared" si="151"/>
        <v>0</v>
      </c>
      <c r="N631" s="34">
        <f t="shared" si="161"/>
        <v>1015.1999999999999</v>
      </c>
      <c r="O631" s="209">
        <f t="shared" si="154"/>
        <v>-46016</v>
      </c>
      <c r="P631" s="34">
        <f t="shared" si="158"/>
        <v>225800</v>
      </c>
      <c r="Q631" s="34">
        <f t="shared" si="159"/>
        <v>0</v>
      </c>
      <c r="R631" s="7">
        <f t="shared" si="160"/>
        <v>1015.1999999999999</v>
      </c>
      <c r="S631" s="227">
        <f t="shared" si="152"/>
        <v>0</v>
      </c>
      <c r="T631" s="249">
        <f t="shared" si="153"/>
        <v>0</v>
      </c>
    </row>
    <row r="632" spans="2:20" ht="15" customHeight="1" x14ac:dyDescent="0.4">
      <c r="B632" s="38" t="s">
        <v>38</v>
      </c>
      <c r="C632" s="6" t="s">
        <v>160</v>
      </c>
      <c r="D632" s="6">
        <f t="shared" si="155"/>
        <v>1</v>
      </c>
      <c r="E632" s="34">
        <v>25</v>
      </c>
      <c r="F632" s="212">
        <v>123500</v>
      </c>
      <c r="G632" s="195">
        <v>44202</v>
      </c>
      <c r="H632" s="8"/>
      <c r="I632" s="212">
        <v>5700</v>
      </c>
      <c r="J632" s="8">
        <v>46134</v>
      </c>
      <c r="K632" s="23">
        <f t="shared" si="156"/>
        <v>110</v>
      </c>
      <c r="L632" s="23">
        <f t="shared" si="157"/>
        <v>0</v>
      </c>
      <c r="M632" s="206">
        <f t="shared" si="151"/>
        <v>285</v>
      </c>
      <c r="N632" s="34"/>
      <c r="O632" s="209">
        <f t="shared" si="154"/>
        <v>1933</v>
      </c>
      <c r="P632" s="34">
        <f t="shared" si="158"/>
        <v>3087500</v>
      </c>
      <c r="Q632" s="34">
        <f t="shared" si="159"/>
        <v>142500</v>
      </c>
      <c r="R632" s="7">
        <f t="shared" si="160"/>
        <v>-395</v>
      </c>
      <c r="S632" s="227">
        <f t="shared" si="152"/>
        <v>-2945395</v>
      </c>
      <c r="T632" s="249">
        <f t="shared" si="153"/>
        <v>-0.95397408906882586</v>
      </c>
    </row>
    <row r="633" spans="2:20" ht="15" customHeight="1" x14ac:dyDescent="0.4">
      <c r="B633" s="38" t="s">
        <v>38</v>
      </c>
      <c r="C633" s="6" t="s">
        <v>160</v>
      </c>
      <c r="D633" s="6">
        <f t="shared" si="155"/>
        <v>1</v>
      </c>
      <c r="E633" s="34">
        <v>10</v>
      </c>
      <c r="F633" s="212">
        <v>112500</v>
      </c>
      <c r="G633" s="195">
        <v>44207</v>
      </c>
      <c r="H633" s="8"/>
      <c r="I633" s="212">
        <v>5700</v>
      </c>
      <c r="J633" s="8">
        <v>46134</v>
      </c>
      <c r="K633" s="23">
        <f t="shared" si="156"/>
        <v>40</v>
      </c>
      <c r="L633" s="23">
        <f t="shared" si="157"/>
        <v>0</v>
      </c>
      <c r="M633" s="206">
        <f t="shared" si="151"/>
        <v>114</v>
      </c>
      <c r="N633" s="34"/>
      <c r="O633" s="209">
        <f t="shared" si="154"/>
        <v>1928</v>
      </c>
      <c r="P633" s="34">
        <f t="shared" si="158"/>
        <v>1125000</v>
      </c>
      <c r="Q633" s="34">
        <f t="shared" si="159"/>
        <v>57000</v>
      </c>
      <c r="R633" s="7">
        <f t="shared" si="160"/>
        <v>-154</v>
      </c>
      <c r="S633" s="227">
        <f t="shared" si="152"/>
        <v>-1068154</v>
      </c>
      <c r="T633" s="249">
        <f t="shared" si="153"/>
        <v>-0.94947022222222222</v>
      </c>
    </row>
    <row r="634" spans="2:20" ht="15" customHeight="1" x14ac:dyDescent="0.4">
      <c r="B634" s="38" t="s">
        <v>38</v>
      </c>
      <c r="C634" s="6" t="s">
        <v>160</v>
      </c>
      <c r="D634" s="6">
        <f t="shared" si="155"/>
        <v>1</v>
      </c>
      <c r="E634" s="34">
        <v>4</v>
      </c>
      <c r="F634" s="212">
        <v>86400</v>
      </c>
      <c r="G634" s="195">
        <v>44403</v>
      </c>
      <c r="H634" s="8"/>
      <c r="I634" s="212">
        <v>5700</v>
      </c>
      <c r="J634" s="8">
        <v>46134</v>
      </c>
      <c r="K634" s="23">
        <f t="shared" si="156"/>
        <v>10</v>
      </c>
      <c r="L634" s="23">
        <f t="shared" si="157"/>
        <v>0</v>
      </c>
      <c r="M634" s="206">
        <f t="shared" si="151"/>
        <v>45.6</v>
      </c>
      <c r="N634" s="34"/>
      <c r="O634" s="209">
        <f t="shared" si="154"/>
        <v>1732</v>
      </c>
      <c r="P634" s="34">
        <f t="shared" si="158"/>
        <v>345600</v>
      </c>
      <c r="Q634" s="34">
        <f t="shared" si="159"/>
        <v>22800</v>
      </c>
      <c r="R634" s="7">
        <f t="shared" si="160"/>
        <v>-55.6</v>
      </c>
      <c r="S634" s="227">
        <f t="shared" si="152"/>
        <v>-322855.59999999998</v>
      </c>
      <c r="T634" s="249">
        <f t="shared" si="153"/>
        <v>-0.93418865740740731</v>
      </c>
    </row>
    <row r="635" spans="2:20" ht="15" customHeight="1" x14ac:dyDescent="0.4">
      <c r="B635" s="38" t="s">
        <v>38</v>
      </c>
      <c r="C635" s="6" t="s">
        <v>160</v>
      </c>
      <c r="D635" s="6">
        <f t="shared" si="155"/>
        <v>1</v>
      </c>
      <c r="E635" s="34">
        <v>4</v>
      </c>
      <c r="F635" s="212">
        <v>48650</v>
      </c>
      <c r="G635" s="195">
        <v>44600</v>
      </c>
      <c r="H635" s="8"/>
      <c r="I635" s="212">
        <v>5700</v>
      </c>
      <c r="J635" s="8">
        <v>46134</v>
      </c>
      <c r="K635" s="23">
        <f t="shared" si="156"/>
        <v>0</v>
      </c>
      <c r="L635" s="23">
        <f t="shared" si="157"/>
        <v>0</v>
      </c>
      <c r="M635" s="206">
        <f t="shared" si="151"/>
        <v>45.6</v>
      </c>
      <c r="N635" s="34"/>
      <c r="O635" s="209">
        <f t="shared" si="154"/>
        <v>1535</v>
      </c>
      <c r="P635" s="34">
        <f t="shared" si="158"/>
        <v>194600</v>
      </c>
      <c r="Q635" s="34">
        <f t="shared" si="159"/>
        <v>22800</v>
      </c>
      <c r="R635" s="7">
        <f t="shared" si="160"/>
        <v>-45.6</v>
      </c>
      <c r="S635" s="227">
        <f t="shared" si="152"/>
        <v>-171845.6</v>
      </c>
      <c r="T635" s="249">
        <f t="shared" si="153"/>
        <v>-0.88307091469681398</v>
      </c>
    </row>
    <row r="636" spans="2:20" ht="15" customHeight="1" x14ac:dyDescent="0.4">
      <c r="B636" s="38" t="s">
        <v>38</v>
      </c>
      <c r="C636" s="6" t="s">
        <v>160</v>
      </c>
      <c r="D636" s="6">
        <f t="shared" si="155"/>
        <v>1</v>
      </c>
      <c r="E636" s="34">
        <v>10</v>
      </c>
      <c r="F636" s="212">
        <v>14700</v>
      </c>
      <c r="G636" s="195">
        <v>44952</v>
      </c>
      <c r="H636" s="8" t="s">
        <v>248</v>
      </c>
      <c r="I636" s="212">
        <v>5700</v>
      </c>
      <c r="J636" s="8">
        <v>46134</v>
      </c>
      <c r="K636" s="23">
        <f t="shared" si="156"/>
        <v>0</v>
      </c>
      <c r="L636" s="23">
        <f t="shared" si="157"/>
        <v>0</v>
      </c>
      <c r="M636" s="206">
        <f t="shared" si="151"/>
        <v>114</v>
      </c>
      <c r="N636" s="34"/>
      <c r="O636" s="209">
        <f t="shared" si="154"/>
        <v>1183</v>
      </c>
      <c r="P636" s="34">
        <f t="shared" si="158"/>
        <v>147000</v>
      </c>
      <c r="Q636" s="34">
        <f t="shared" si="159"/>
        <v>57000</v>
      </c>
      <c r="R636" s="7">
        <f t="shared" si="160"/>
        <v>-114</v>
      </c>
      <c r="S636" s="227">
        <f t="shared" si="152"/>
        <v>-90114</v>
      </c>
      <c r="T636" s="249">
        <f t="shared" si="153"/>
        <v>-0.61302040816326531</v>
      </c>
    </row>
    <row r="637" spans="2:20" ht="15" customHeight="1" x14ac:dyDescent="0.4">
      <c r="B637" s="38" t="s">
        <v>38</v>
      </c>
      <c r="C637" s="6" t="s">
        <v>334</v>
      </c>
      <c r="D637" s="6">
        <f t="shared" ref="D637:D668" si="162">IF(OR($C637="신한",$C637="OTC",$C637="무상증자(신한)",$C637="토스",$C637="R토스"),1,"확인")</f>
        <v>1</v>
      </c>
      <c r="E637" s="34">
        <v>15</v>
      </c>
      <c r="F637" s="212">
        <v>0</v>
      </c>
      <c r="G637" s="195">
        <v>44959</v>
      </c>
      <c r="H637" s="8" t="s">
        <v>249</v>
      </c>
      <c r="I637" s="212">
        <v>5700</v>
      </c>
      <c r="J637" s="8">
        <v>46134</v>
      </c>
      <c r="K637" s="23">
        <f t="shared" ref="K637:K652" si="163">IF($C637="OTC",ROUNDDOWN($E637*$F637*0.000909187,-1),(IF($C637="신한",ROUNDDOWN($E637*$F637*0.000036396,-1),(IF($C637="토스",$E637*$F637*0.00015,(IF($C637="US",(IF($E637*$F637*0.0025&gt;0.01,$E637*$F637*0.0025,0.01)),IF($C637="JP",(IF($E637*$F637*0.0025&gt;1000,$E637*$F637*0.0025,1000)),(IF($C637="R토스",0,IF($C637="무상증자(신한)",0,"")))))))))))</f>
        <v>0</v>
      </c>
      <c r="L637" s="23">
        <f t="shared" ref="L637:L651" si="164">IF($C637="OTC",ROUNDDOWN($I637*$E637*0.000909187,-1),(IF($C637="신한",ROUNDDOWN($I637*$E637*0.000036396,-1),(IF($C637="토스",$I637*$E637*0.00015,(IF($C637="US",(IF($I637*$E637*0.0025&gt;0.01,$I637*$E637*0.0025,0.01)),(IF($C637="JP",(IF($I637*$E637*0.0025&gt;1000,$I637*$E637*0.0025,1000)),(IF($C637="R토스",$I637*$E637*0.00015,(IF($C637="무상증자(신한)",ROUNDDOWN($I637*$E637*0.000036396,-1),"")))))))))))))</f>
        <v>0</v>
      </c>
      <c r="M637" s="206">
        <f t="shared" si="151"/>
        <v>171</v>
      </c>
      <c r="N637" s="34">
        <f>13895</f>
        <v>13895</v>
      </c>
      <c r="O637" s="209">
        <f t="shared" si="154"/>
        <v>1176</v>
      </c>
      <c r="P637" s="34">
        <f t="shared" ref="P637:P668" si="165">$E637*$F637*$D637</f>
        <v>0</v>
      </c>
      <c r="Q637" s="34">
        <f t="shared" ref="Q637:Q668" si="166">$E637*$I637*$D637</f>
        <v>85500</v>
      </c>
      <c r="R637" s="7">
        <f t="shared" ref="R637:R668" si="167">($N637-$K637-$L637-$M637)*$D637</f>
        <v>13724</v>
      </c>
      <c r="S637" s="227">
        <f t="shared" si="152"/>
        <v>99224</v>
      </c>
      <c r="T637" s="249" t="e">
        <f t="shared" si="153"/>
        <v>#DIV/0!</v>
      </c>
    </row>
    <row r="638" spans="2:20" ht="15" customHeight="1" x14ac:dyDescent="0.4">
      <c r="B638" s="38" t="s">
        <v>38</v>
      </c>
      <c r="C638" s="6" t="s">
        <v>160</v>
      </c>
      <c r="D638" s="6">
        <f t="shared" si="162"/>
        <v>1</v>
      </c>
      <c r="E638" s="34">
        <v>19</v>
      </c>
      <c r="F638" s="212">
        <v>10350</v>
      </c>
      <c r="G638" s="195">
        <v>45098</v>
      </c>
      <c r="H638" s="8"/>
      <c r="I638" s="212">
        <v>5700</v>
      </c>
      <c r="J638" s="8">
        <v>46134</v>
      </c>
      <c r="K638" s="23">
        <f t="shared" si="163"/>
        <v>0</v>
      </c>
      <c r="L638" s="23">
        <f t="shared" si="164"/>
        <v>0</v>
      </c>
      <c r="M638" s="206">
        <f t="shared" si="151"/>
        <v>216.6</v>
      </c>
      <c r="N638" s="34"/>
      <c r="O638" s="209">
        <f t="shared" si="154"/>
        <v>1037</v>
      </c>
      <c r="P638" s="34">
        <f t="shared" si="165"/>
        <v>196650</v>
      </c>
      <c r="Q638" s="34">
        <f t="shared" si="166"/>
        <v>108300</v>
      </c>
      <c r="R638" s="7">
        <f t="shared" si="167"/>
        <v>-216.6</v>
      </c>
      <c r="S638" s="227">
        <f t="shared" si="152"/>
        <v>-88566.6</v>
      </c>
      <c r="T638" s="249">
        <f t="shared" si="153"/>
        <v>-0.45037681159420295</v>
      </c>
    </row>
    <row r="639" spans="2:20" ht="15" customHeight="1" x14ac:dyDescent="0.4">
      <c r="B639" s="38" t="s">
        <v>146</v>
      </c>
      <c r="C639" s="6" t="s">
        <v>160</v>
      </c>
      <c r="D639" s="6">
        <f t="shared" si="162"/>
        <v>1</v>
      </c>
      <c r="E639" s="34">
        <v>20</v>
      </c>
      <c r="F639" s="212">
        <v>13700</v>
      </c>
      <c r="G639" s="195">
        <v>45846</v>
      </c>
      <c r="H639" s="8"/>
      <c r="I639" s="212">
        <v>14150</v>
      </c>
      <c r="J639" s="8">
        <v>46058</v>
      </c>
      <c r="K639" s="23">
        <f t="shared" si="163"/>
        <v>0</v>
      </c>
      <c r="L639" s="23">
        <f t="shared" si="164"/>
        <v>10</v>
      </c>
      <c r="M639" s="206">
        <f t="shared" si="151"/>
        <v>566</v>
      </c>
      <c r="N639" s="34"/>
      <c r="O639" s="209">
        <f t="shared" si="154"/>
        <v>213</v>
      </c>
      <c r="P639" s="34">
        <f t="shared" si="165"/>
        <v>274000</v>
      </c>
      <c r="Q639" s="34">
        <f t="shared" si="166"/>
        <v>283000</v>
      </c>
      <c r="R639" s="7">
        <f t="shared" si="167"/>
        <v>-576</v>
      </c>
      <c r="S639" s="227">
        <f t="shared" si="152"/>
        <v>8424</v>
      </c>
      <c r="T639" s="249">
        <f t="shared" si="153"/>
        <v>3.0744525547445254E-2</v>
      </c>
    </row>
    <row r="640" spans="2:20" ht="15" customHeight="1" x14ac:dyDescent="0.4">
      <c r="B640" s="38" t="s">
        <v>146</v>
      </c>
      <c r="C640" s="6" t="s">
        <v>160</v>
      </c>
      <c r="D640" s="6">
        <f t="shared" si="162"/>
        <v>1</v>
      </c>
      <c r="E640" s="34">
        <v>30</v>
      </c>
      <c r="F640" s="212">
        <v>13850</v>
      </c>
      <c r="G640" s="195">
        <v>45846</v>
      </c>
      <c r="H640" s="8"/>
      <c r="I640" s="212">
        <v>14150</v>
      </c>
      <c r="J640" s="8">
        <v>46058</v>
      </c>
      <c r="K640" s="23">
        <f t="shared" si="163"/>
        <v>10</v>
      </c>
      <c r="L640" s="23">
        <f t="shared" si="164"/>
        <v>10</v>
      </c>
      <c r="M640" s="206">
        <f t="shared" si="151"/>
        <v>849</v>
      </c>
      <c r="N640" s="34"/>
      <c r="O640" s="209">
        <f t="shared" si="154"/>
        <v>213</v>
      </c>
      <c r="P640" s="34">
        <f t="shared" si="165"/>
        <v>415500</v>
      </c>
      <c r="Q640" s="34">
        <f t="shared" si="166"/>
        <v>424500</v>
      </c>
      <c r="R640" s="7">
        <f t="shared" si="167"/>
        <v>-869</v>
      </c>
      <c r="S640" s="227">
        <f t="shared" si="152"/>
        <v>8131</v>
      </c>
      <c r="T640" s="249">
        <f t="shared" si="153"/>
        <v>1.9569193742478942E-2</v>
      </c>
    </row>
    <row r="641" spans="2:21" ht="15" customHeight="1" x14ac:dyDescent="0.4">
      <c r="B641" s="38" t="s">
        <v>146</v>
      </c>
      <c r="C641" s="6" t="s">
        <v>160</v>
      </c>
      <c r="D641" s="6">
        <f t="shared" si="162"/>
        <v>1</v>
      </c>
      <c r="E641" s="34">
        <v>7</v>
      </c>
      <c r="F641" s="212">
        <v>14400</v>
      </c>
      <c r="G641" s="195">
        <v>45848</v>
      </c>
      <c r="H641" s="8"/>
      <c r="I641" s="212">
        <v>14150</v>
      </c>
      <c r="J641" s="8">
        <v>46058</v>
      </c>
      <c r="K641" s="23">
        <f t="shared" si="163"/>
        <v>0</v>
      </c>
      <c r="L641" s="23">
        <f t="shared" si="164"/>
        <v>0</v>
      </c>
      <c r="M641" s="206">
        <f t="shared" si="151"/>
        <v>198.1</v>
      </c>
      <c r="N641" s="34"/>
      <c r="O641" s="209">
        <f t="shared" si="154"/>
        <v>211</v>
      </c>
      <c r="P641" s="34">
        <f t="shared" si="165"/>
        <v>100800</v>
      </c>
      <c r="Q641" s="34">
        <f t="shared" si="166"/>
        <v>99050</v>
      </c>
      <c r="R641" s="7">
        <f t="shared" si="167"/>
        <v>-198.1</v>
      </c>
      <c r="S641" s="227">
        <f t="shared" si="152"/>
        <v>-1948.1</v>
      </c>
      <c r="T641" s="249">
        <f t="shared" si="153"/>
        <v>-1.9326388888888889E-2</v>
      </c>
    </row>
    <row r="642" spans="2:21" ht="15" customHeight="1" x14ac:dyDescent="0.4">
      <c r="B642" s="38" t="s">
        <v>146</v>
      </c>
      <c r="C642" s="6" t="s">
        <v>160</v>
      </c>
      <c r="D642" s="6">
        <f t="shared" si="162"/>
        <v>1</v>
      </c>
      <c r="E642" s="34">
        <v>20</v>
      </c>
      <c r="F642" s="212">
        <v>13050</v>
      </c>
      <c r="G642" s="195">
        <v>45854</v>
      </c>
      <c r="H642" s="8"/>
      <c r="I642" s="212">
        <v>14150</v>
      </c>
      <c r="J642" s="8">
        <v>46058</v>
      </c>
      <c r="K642" s="23">
        <f t="shared" si="163"/>
        <v>0</v>
      </c>
      <c r="L642" s="23">
        <f t="shared" si="164"/>
        <v>10</v>
      </c>
      <c r="M642" s="206">
        <f t="shared" si="151"/>
        <v>566</v>
      </c>
      <c r="N642" s="34"/>
      <c r="O642" s="209">
        <f t="shared" si="154"/>
        <v>205</v>
      </c>
      <c r="P642" s="34">
        <f t="shared" si="165"/>
        <v>261000</v>
      </c>
      <c r="Q642" s="34">
        <f t="shared" si="166"/>
        <v>283000</v>
      </c>
      <c r="R642" s="7">
        <f t="shared" si="167"/>
        <v>-576</v>
      </c>
      <c r="S642" s="227">
        <f t="shared" si="152"/>
        <v>21424</v>
      </c>
      <c r="T642" s="249">
        <f t="shared" si="153"/>
        <v>8.2084291187739467E-2</v>
      </c>
    </row>
    <row r="643" spans="2:21" ht="15" customHeight="1" x14ac:dyDescent="0.4">
      <c r="B643" s="38" t="s">
        <v>146</v>
      </c>
      <c r="C643" s="6" t="s">
        <v>160</v>
      </c>
      <c r="D643" s="6">
        <f t="shared" si="162"/>
        <v>1</v>
      </c>
      <c r="E643" s="34">
        <v>8</v>
      </c>
      <c r="F643" s="212">
        <v>11850</v>
      </c>
      <c r="G643" s="195">
        <v>45862</v>
      </c>
      <c r="H643" s="8"/>
      <c r="I643" s="212">
        <v>14150</v>
      </c>
      <c r="J643" s="8">
        <v>46058</v>
      </c>
      <c r="K643" s="23">
        <f t="shared" si="163"/>
        <v>0</v>
      </c>
      <c r="L643" s="23">
        <f t="shared" si="164"/>
        <v>0</v>
      </c>
      <c r="M643" s="206">
        <f t="shared" si="151"/>
        <v>226.4</v>
      </c>
      <c r="N643" s="34"/>
      <c r="O643" s="209">
        <f t="shared" si="154"/>
        <v>197</v>
      </c>
      <c r="P643" s="34">
        <f t="shared" si="165"/>
        <v>94800</v>
      </c>
      <c r="Q643" s="34">
        <f t="shared" si="166"/>
        <v>113200</v>
      </c>
      <c r="R643" s="7">
        <f t="shared" si="167"/>
        <v>-226.4</v>
      </c>
      <c r="S643" s="227">
        <f t="shared" si="152"/>
        <v>18173.599999999999</v>
      </c>
      <c r="T643" s="249">
        <f t="shared" si="153"/>
        <v>0.19170464135021095</v>
      </c>
    </row>
    <row r="644" spans="2:21" ht="15" customHeight="1" x14ac:dyDescent="0.4">
      <c r="B644" s="38" t="s">
        <v>146</v>
      </c>
      <c r="C644" s="6" t="s">
        <v>160</v>
      </c>
      <c r="D644" s="6">
        <f t="shared" si="162"/>
        <v>1</v>
      </c>
      <c r="E644" s="34">
        <v>10</v>
      </c>
      <c r="F644" s="212">
        <v>11320</v>
      </c>
      <c r="G644" s="195">
        <v>45868</v>
      </c>
      <c r="H644" s="8"/>
      <c r="I644" s="212">
        <v>14150</v>
      </c>
      <c r="J644" s="8">
        <v>46058</v>
      </c>
      <c r="K644" s="23">
        <f t="shared" si="163"/>
        <v>0</v>
      </c>
      <c r="L644" s="23">
        <f t="shared" si="164"/>
        <v>0</v>
      </c>
      <c r="M644" s="206">
        <f t="shared" ref="M644:M707" si="168">Q644*0.002</f>
        <v>283</v>
      </c>
      <c r="N644" s="34"/>
      <c r="O644" s="209">
        <f t="shared" si="154"/>
        <v>191</v>
      </c>
      <c r="P644" s="34">
        <f t="shared" si="165"/>
        <v>113200</v>
      </c>
      <c r="Q644" s="34">
        <f t="shared" si="166"/>
        <v>141500</v>
      </c>
      <c r="R644" s="7">
        <f t="shared" si="167"/>
        <v>-283</v>
      </c>
      <c r="S644" s="227">
        <f t="shared" ref="S644:S707" si="169">IF(Q644=0,0,Q644-P644+R644)</f>
        <v>28017</v>
      </c>
      <c r="T644" s="249">
        <f t="shared" ref="T644:T707" si="170">S644/P644</f>
        <v>0.2475</v>
      </c>
    </row>
    <row r="645" spans="2:21" ht="15" customHeight="1" x14ac:dyDescent="0.4">
      <c r="B645" s="38" t="s">
        <v>146</v>
      </c>
      <c r="C645" s="6" t="s">
        <v>160</v>
      </c>
      <c r="D645" s="6">
        <f t="shared" si="162"/>
        <v>1</v>
      </c>
      <c r="E645" s="34">
        <v>10</v>
      </c>
      <c r="F645" s="212">
        <v>11200</v>
      </c>
      <c r="G645" s="195">
        <v>45868</v>
      </c>
      <c r="H645" s="8"/>
      <c r="I645" s="212">
        <v>14150</v>
      </c>
      <c r="J645" s="8">
        <v>46058</v>
      </c>
      <c r="K645" s="23">
        <f t="shared" si="163"/>
        <v>0</v>
      </c>
      <c r="L645" s="23">
        <f t="shared" si="164"/>
        <v>0</v>
      </c>
      <c r="M645" s="206">
        <f t="shared" si="168"/>
        <v>283</v>
      </c>
      <c r="N645" s="34"/>
      <c r="O645" s="209">
        <f t="shared" si="154"/>
        <v>191</v>
      </c>
      <c r="P645" s="34">
        <f t="shared" si="165"/>
        <v>112000</v>
      </c>
      <c r="Q645" s="34">
        <f t="shared" si="166"/>
        <v>141500</v>
      </c>
      <c r="R645" s="7">
        <f t="shared" si="167"/>
        <v>-283</v>
      </c>
      <c r="S645" s="227">
        <f t="shared" si="169"/>
        <v>29217</v>
      </c>
      <c r="T645" s="249">
        <f t="shared" si="170"/>
        <v>0.26086607142857143</v>
      </c>
      <c r="U645" s="36"/>
    </row>
    <row r="646" spans="2:21" ht="15" customHeight="1" x14ac:dyDescent="0.4">
      <c r="B646" s="38" t="s">
        <v>146</v>
      </c>
      <c r="C646" s="6" t="s">
        <v>160</v>
      </c>
      <c r="D646" s="6">
        <f t="shared" si="162"/>
        <v>1</v>
      </c>
      <c r="E646" s="34">
        <v>19</v>
      </c>
      <c r="F646" s="212">
        <v>10360</v>
      </c>
      <c r="G646" s="195">
        <v>45881</v>
      </c>
      <c r="H646" s="8"/>
      <c r="I646" s="212">
        <v>14150</v>
      </c>
      <c r="J646" s="8">
        <v>46058</v>
      </c>
      <c r="K646" s="23">
        <f t="shared" si="163"/>
        <v>0</v>
      </c>
      <c r="L646" s="23">
        <f t="shared" si="164"/>
        <v>0</v>
      </c>
      <c r="M646" s="206">
        <f t="shared" si="168"/>
        <v>537.70000000000005</v>
      </c>
      <c r="N646" s="34"/>
      <c r="O646" s="209">
        <f t="shared" si="154"/>
        <v>178</v>
      </c>
      <c r="P646" s="34">
        <f t="shared" si="165"/>
        <v>196840</v>
      </c>
      <c r="Q646" s="34">
        <f t="shared" si="166"/>
        <v>268850</v>
      </c>
      <c r="R646" s="7">
        <f t="shared" si="167"/>
        <v>-537.70000000000005</v>
      </c>
      <c r="S646" s="227">
        <f t="shared" si="169"/>
        <v>71472.3</v>
      </c>
      <c r="T646" s="249">
        <f t="shared" si="170"/>
        <v>0.36309845559845561</v>
      </c>
      <c r="U646" s="36">
        <f>IF(O646&lt;0,0,P646*0.05*O646/365)</f>
        <v>4799.6602739726031</v>
      </c>
    </row>
    <row r="647" spans="2:21" ht="15" customHeight="1" x14ac:dyDescent="0.4">
      <c r="B647" s="38" t="s">
        <v>146</v>
      </c>
      <c r="C647" s="6" t="s">
        <v>160</v>
      </c>
      <c r="D647" s="6">
        <f t="shared" si="162"/>
        <v>1</v>
      </c>
      <c r="E647" s="34">
        <v>19</v>
      </c>
      <c r="F647" s="212">
        <v>10120</v>
      </c>
      <c r="G647" s="195">
        <v>45902</v>
      </c>
      <c r="H647" s="8"/>
      <c r="I647" s="212"/>
      <c r="J647" s="8"/>
      <c r="K647" s="23">
        <f t="shared" si="163"/>
        <v>0</v>
      </c>
      <c r="L647" s="23">
        <f t="shared" si="164"/>
        <v>0</v>
      </c>
      <c r="M647" s="206">
        <f t="shared" si="168"/>
        <v>0</v>
      </c>
      <c r="N647" s="34"/>
      <c r="O647" s="209">
        <f t="shared" si="154"/>
        <v>-45901</v>
      </c>
      <c r="P647" s="34">
        <f t="shared" si="165"/>
        <v>192280</v>
      </c>
      <c r="Q647" s="34">
        <f t="shared" si="166"/>
        <v>0</v>
      </c>
      <c r="R647" s="7">
        <f t="shared" si="167"/>
        <v>0</v>
      </c>
      <c r="S647" s="227">
        <f t="shared" si="169"/>
        <v>0</v>
      </c>
      <c r="T647" s="249">
        <f t="shared" si="170"/>
        <v>0</v>
      </c>
      <c r="U647" s="36"/>
    </row>
    <row r="648" spans="2:21" ht="15" customHeight="1" x14ac:dyDescent="0.4">
      <c r="B648" s="38" t="s">
        <v>146</v>
      </c>
      <c r="C648" s="6" t="s">
        <v>160</v>
      </c>
      <c r="D648" s="6">
        <f t="shared" si="162"/>
        <v>1</v>
      </c>
      <c r="E648" s="34">
        <v>40</v>
      </c>
      <c r="F648" s="212">
        <v>11050</v>
      </c>
      <c r="G648" s="195">
        <v>45916</v>
      </c>
      <c r="H648" s="8"/>
      <c r="I648" s="212">
        <v>14150</v>
      </c>
      <c r="J648" s="8">
        <v>46058</v>
      </c>
      <c r="K648" s="23">
        <f t="shared" si="163"/>
        <v>10</v>
      </c>
      <c r="L648" s="23">
        <f t="shared" si="164"/>
        <v>20</v>
      </c>
      <c r="M648" s="206">
        <f t="shared" si="168"/>
        <v>1132</v>
      </c>
      <c r="N648" s="34"/>
      <c r="O648" s="209">
        <f t="shared" si="154"/>
        <v>143</v>
      </c>
      <c r="P648" s="34">
        <f t="shared" si="165"/>
        <v>442000</v>
      </c>
      <c r="Q648" s="34">
        <f t="shared" si="166"/>
        <v>566000</v>
      </c>
      <c r="R648" s="7">
        <f t="shared" si="167"/>
        <v>-1162</v>
      </c>
      <c r="S648" s="227">
        <f t="shared" si="169"/>
        <v>122838</v>
      </c>
      <c r="T648" s="249">
        <f t="shared" si="170"/>
        <v>0.27791402714932129</v>
      </c>
      <c r="U648" s="36">
        <f>IF(O648&lt;0,0,P648*0.05*O648/365)</f>
        <v>8658.3561643835619</v>
      </c>
    </row>
    <row r="649" spans="2:21" ht="15" customHeight="1" x14ac:dyDescent="0.4">
      <c r="B649" s="38" t="s">
        <v>146</v>
      </c>
      <c r="C649" s="6" t="s">
        <v>160</v>
      </c>
      <c r="D649" s="6">
        <f t="shared" si="162"/>
        <v>1</v>
      </c>
      <c r="E649" s="34">
        <v>20</v>
      </c>
      <c r="F649" s="212">
        <v>11050</v>
      </c>
      <c r="G649" s="195">
        <v>45919</v>
      </c>
      <c r="H649" s="8"/>
      <c r="I649" s="212"/>
      <c r="J649" s="8"/>
      <c r="K649" s="23">
        <f t="shared" si="163"/>
        <v>0</v>
      </c>
      <c r="L649" s="23">
        <f t="shared" si="164"/>
        <v>0</v>
      </c>
      <c r="M649" s="206">
        <f t="shared" si="168"/>
        <v>0</v>
      </c>
      <c r="N649" s="34"/>
      <c r="O649" s="209">
        <f t="shared" si="154"/>
        <v>-45918</v>
      </c>
      <c r="P649" s="34">
        <f t="shared" si="165"/>
        <v>221000</v>
      </c>
      <c r="Q649" s="34">
        <f t="shared" si="166"/>
        <v>0</v>
      </c>
      <c r="R649" s="7">
        <f t="shared" si="167"/>
        <v>0</v>
      </c>
      <c r="S649" s="227">
        <f t="shared" si="169"/>
        <v>0</v>
      </c>
      <c r="T649" s="249">
        <f t="shared" si="170"/>
        <v>0</v>
      </c>
      <c r="U649" s="36">
        <f>IF(O649&lt;0,0,P649*0.05*O649/365)</f>
        <v>0</v>
      </c>
    </row>
    <row r="650" spans="2:21" ht="15" customHeight="1" x14ac:dyDescent="0.4">
      <c r="B650" s="38" t="s">
        <v>146</v>
      </c>
      <c r="C650" s="6" t="s">
        <v>160</v>
      </c>
      <c r="D650" s="6">
        <f t="shared" si="162"/>
        <v>1</v>
      </c>
      <c r="E650" s="34">
        <v>7</v>
      </c>
      <c r="F650" s="212">
        <v>10500</v>
      </c>
      <c r="G650" s="195">
        <v>45924</v>
      </c>
      <c r="H650" s="8"/>
      <c r="I650" s="212">
        <v>14150</v>
      </c>
      <c r="J650" s="8">
        <v>46058</v>
      </c>
      <c r="K650" s="23">
        <f t="shared" si="163"/>
        <v>0</v>
      </c>
      <c r="L650" s="23">
        <f t="shared" si="164"/>
        <v>0</v>
      </c>
      <c r="M650" s="206">
        <f t="shared" si="168"/>
        <v>198.1</v>
      </c>
      <c r="N650" s="34"/>
      <c r="O650" s="209">
        <f t="shared" si="154"/>
        <v>135</v>
      </c>
      <c r="P650" s="34">
        <f t="shared" si="165"/>
        <v>73500</v>
      </c>
      <c r="Q650" s="34">
        <f t="shared" si="166"/>
        <v>99050</v>
      </c>
      <c r="R650" s="7">
        <f t="shared" si="167"/>
        <v>-198.1</v>
      </c>
      <c r="S650" s="227">
        <f t="shared" si="169"/>
        <v>25351.9</v>
      </c>
      <c r="T650" s="249">
        <f t="shared" si="170"/>
        <v>0.34492380952380952</v>
      </c>
      <c r="U650" s="36">
        <f>IF(O650&lt;0,0,P650*0.05*O650/365)</f>
        <v>1359.2465753424658</v>
      </c>
    </row>
    <row r="651" spans="2:21" ht="15" customHeight="1" x14ac:dyDescent="0.4">
      <c r="B651" s="38" t="s">
        <v>146</v>
      </c>
      <c r="C651" s="6" t="s">
        <v>160</v>
      </c>
      <c r="D651" s="6">
        <f t="shared" si="162"/>
        <v>1</v>
      </c>
      <c r="E651" s="34">
        <v>170</v>
      </c>
      <c r="F651" s="212">
        <v>13450</v>
      </c>
      <c r="G651" s="195">
        <v>46059</v>
      </c>
      <c r="H651" s="8"/>
      <c r="I651" s="212"/>
      <c r="J651" s="8"/>
      <c r="K651" s="23">
        <f t="shared" si="163"/>
        <v>80</v>
      </c>
      <c r="L651" s="23">
        <f t="shared" si="164"/>
        <v>0</v>
      </c>
      <c r="M651" s="206">
        <f t="shared" si="168"/>
        <v>0</v>
      </c>
      <c r="N651" s="34"/>
      <c r="O651" s="209">
        <f t="shared" si="154"/>
        <v>-46058</v>
      </c>
      <c r="P651" s="34">
        <f t="shared" si="165"/>
        <v>2286500</v>
      </c>
      <c r="Q651" s="34">
        <f t="shared" si="166"/>
        <v>0</v>
      </c>
      <c r="R651" s="7">
        <f t="shared" si="167"/>
        <v>-80</v>
      </c>
      <c r="S651" s="227">
        <f t="shared" si="169"/>
        <v>0</v>
      </c>
      <c r="T651" s="249">
        <f t="shared" si="170"/>
        <v>0</v>
      </c>
      <c r="U651" s="36">
        <f>IF(O651&lt;0,0,P651*0.05*O651/365)</f>
        <v>0</v>
      </c>
    </row>
    <row r="652" spans="2:21" ht="15" customHeight="1" x14ac:dyDescent="0.4">
      <c r="B652" s="38" t="s">
        <v>146</v>
      </c>
      <c r="C652" s="6" t="s">
        <v>165</v>
      </c>
      <c r="D652" s="6">
        <f t="shared" si="162"/>
        <v>1</v>
      </c>
      <c r="E652" s="34">
        <v>10</v>
      </c>
      <c r="F652" s="212">
        <v>14350</v>
      </c>
      <c r="G652" s="195">
        <v>46010</v>
      </c>
      <c r="H652" s="8"/>
      <c r="I652" s="212">
        <v>14110</v>
      </c>
      <c r="J652" s="8">
        <v>46058</v>
      </c>
      <c r="K652" s="23">
        <f t="shared" si="163"/>
        <v>0</v>
      </c>
      <c r="L652" s="307">
        <v>0</v>
      </c>
      <c r="M652" s="206">
        <f t="shared" si="168"/>
        <v>282.2</v>
      </c>
      <c r="N652" s="34">
        <f t="shared" ref="N652:N659" si="171">E652*350</f>
        <v>3500</v>
      </c>
      <c r="O652" s="209">
        <f t="shared" si="154"/>
        <v>49</v>
      </c>
      <c r="P652" s="34">
        <f t="shared" si="165"/>
        <v>143500</v>
      </c>
      <c r="Q652" s="34">
        <f t="shared" si="166"/>
        <v>141100</v>
      </c>
      <c r="R652" s="7">
        <f t="shared" si="167"/>
        <v>3217.8</v>
      </c>
      <c r="S652" s="227">
        <f t="shared" si="169"/>
        <v>817.80000000000018</v>
      </c>
      <c r="T652" s="249">
        <f t="shared" si="170"/>
        <v>5.6989547038327542E-3</v>
      </c>
    </row>
    <row r="653" spans="2:21" ht="15" customHeight="1" x14ac:dyDescent="0.4">
      <c r="B653" s="38" t="s">
        <v>146</v>
      </c>
      <c r="C653" s="6" t="s">
        <v>122</v>
      </c>
      <c r="D653" s="6">
        <f t="shared" si="162"/>
        <v>1</v>
      </c>
      <c r="E653" s="34">
        <v>100</v>
      </c>
      <c r="F653" s="212">
        <v>14070</v>
      </c>
      <c r="G653" s="195">
        <v>46013</v>
      </c>
      <c r="H653" s="8"/>
      <c r="I653" s="212">
        <v>14110</v>
      </c>
      <c r="J653" s="8">
        <v>46058</v>
      </c>
      <c r="K653" s="307">
        <v>0</v>
      </c>
      <c r="L653" s="307">
        <v>0</v>
      </c>
      <c r="M653" s="206">
        <f t="shared" si="168"/>
        <v>2822</v>
      </c>
      <c r="N653" s="34">
        <f t="shared" si="171"/>
        <v>35000</v>
      </c>
      <c r="O653" s="209">
        <f t="shared" si="154"/>
        <v>46</v>
      </c>
      <c r="P653" s="34">
        <f t="shared" si="165"/>
        <v>1407000</v>
      </c>
      <c r="Q653" s="34">
        <f t="shared" si="166"/>
        <v>1411000</v>
      </c>
      <c r="R653" s="7">
        <f t="shared" si="167"/>
        <v>32178</v>
      </c>
      <c r="S653" s="227">
        <f t="shared" si="169"/>
        <v>36178</v>
      </c>
      <c r="T653" s="249">
        <f t="shared" si="170"/>
        <v>2.5712864250177683E-2</v>
      </c>
    </row>
    <row r="654" spans="2:21" ht="15" customHeight="1" x14ac:dyDescent="0.4">
      <c r="B654" s="38" t="s">
        <v>146</v>
      </c>
      <c r="C654" s="6" t="s">
        <v>122</v>
      </c>
      <c r="D654" s="6">
        <f t="shared" si="162"/>
        <v>1</v>
      </c>
      <c r="E654" s="34">
        <v>70</v>
      </c>
      <c r="F654" s="212">
        <v>14170</v>
      </c>
      <c r="G654" s="195">
        <v>46014</v>
      </c>
      <c r="H654" s="8"/>
      <c r="I654" s="212">
        <v>14110</v>
      </c>
      <c r="J654" s="8">
        <v>46058</v>
      </c>
      <c r="K654" s="307">
        <v>0</v>
      </c>
      <c r="L654" s="307">
        <v>0</v>
      </c>
      <c r="M654" s="206">
        <f t="shared" si="168"/>
        <v>1975.4</v>
      </c>
      <c r="N654" s="34">
        <f t="shared" si="171"/>
        <v>24500</v>
      </c>
      <c r="O654" s="209">
        <f t="shared" si="154"/>
        <v>45</v>
      </c>
      <c r="P654" s="34">
        <f t="shared" si="165"/>
        <v>991900</v>
      </c>
      <c r="Q654" s="34">
        <f t="shared" si="166"/>
        <v>987700</v>
      </c>
      <c r="R654" s="7">
        <f t="shared" si="167"/>
        <v>22524.6</v>
      </c>
      <c r="S654" s="227">
        <f t="shared" si="169"/>
        <v>18324.599999999999</v>
      </c>
      <c r="T654" s="249">
        <f t="shared" si="170"/>
        <v>1.8474241354975298E-2</v>
      </c>
    </row>
    <row r="655" spans="2:21" ht="15" customHeight="1" x14ac:dyDescent="0.4">
      <c r="B655" s="38" t="s">
        <v>146</v>
      </c>
      <c r="C655" s="6" t="s">
        <v>122</v>
      </c>
      <c r="D655" s="6">
        <f t="shared" si="162"/>
        <v>1</v>
      </c>
      <c r="E655" s="34">
        <v>50</v>
      </c>
      <c r="F655" s="212">
        <v>14020</v>
      </c>
      <c r="G655" s="195">
        <v>46014</v>
      </c>
      <c r="H655" s="8"/>
      <c r="I655" s="212">
        <v>14110</v>
      </c>
      <c r="J655" s="8">
        <v>46058</v>
      </c>
      <c r="K655" s="307">
        <v>0</v>
      </c>
      <c r="L655" s="307">
        <v>0</v>
      </c>
      <c r="M655" s="206">
        <f t="shared" si="168"/>
        <v>1411</v>
      </c>
      <c r="N655" s="34">
        <f t="shared" si="171"/>
        <v>17500</v>
      </c>
      <c r="O655" s="209">
        <f t="shared" si="154"/>
        <v>45</v>
      </c>
      <c r="P655" s="34">
        <f t="shared" si="165"/>
        <v>701000</v>
      </c>
      <c r="Q655" s="34">
        <f t="shared" si="166"/>
        <v>705500</v>
      </c>
      <c r="R655" s="7">
        <f t="shared" si="167"/>
        <v>16089</v>
      </c>
      <c r="S655" s="227">
        <f t="shared" si="169"/>
        <v>20589</v>
      </c>
      <c r="T655" s="249">
        <f t="shared" si="170"/>
        <v>2.937089871611983E-2</v>
      </c>
    </row>
    <row r="656" spans="2:21" ht="15" customHeight="1" x14ac:dyDescent="0.4">
      <c r="B656" s="38" t="s">
        <v>146</v>
      </c>
      <c r="C656" s="6" t="s">
        <v>122</v>
      </c>
      <c r="D656" s="6">
        <f t="shared" si="162"/>
        <v>1</v>
      </c>
      <c r="E656" s="34">
        <v>100</v>
      </c>
      <c r="F656" s="212">
        <v>13650</v>
      </c>
      <c r="G656" s="195">
        <v>46015</v>
      </c>
      <c r="H656" s="8"/>
      <c r="I656" s="212">
        <v>14110</v>
      </c>
      <c r="J656" s="8">
        <v>46058</v>
      </c>
      <c r="K656" s="307">
        <v>0</v>
      </c>
      <c r="L656" s="307">
        <v>0</v>
      </c>
      <c r="M656" s="206">
        <f t="shared" si="168"/>
        <v>2822</v>
      </c>
      <c r="N656" s="34">
        <f t="shared" si="171"/>
        <v>35000</v>
      </c>
      <c r="O656" s="209">
        <f t="shared" si="154"/>
        <v>44</v>
      </c>
      <c r="P656" s="34">
        <f t="shared" si="165"/>
        <v>1365000</v>
      </c>
      <c r="Q656" s="34">
        <f t="shared" si="166"/>
        <v>1411000</v>
      </c>
      <c r="R656" s="7">
        <f t="shared" si="167"/>
        <v>32178</v>
      </c>
      <c r="S656" s="227">
        <f t="shared" si="169"/>
        <v>78178</v>
      </c>
      <c r="T656" s="249">
        <f t="shared" si="170"/>
        <v>5.7273260073260071E-2</v>
      </c>
    </row>
    <row r="657" spans="2:21" ht="15" customHeight="1" x14ac:dyDescent="0.4">
      <c r="B657" s="38" t="s">
        <v>146</v>
      </c>
      <c r="C657" s="6" t="s">
        <v>122</v>
      </c>
      <c r="D657" s="6">
        <f t="shared" si="162"/>
        <v>1</v>
      </c>
      <c r="E657" s="34">
        <v>40</v>
      </c>
      <c r="F657" s="212">
        <v>13900</v>
      </c>
      <c r="G657" s="195">
        <v>46015</v>
      </c>
      <c r="H657" s="8"/>
      <c r="I657" s="212">
        <v>14110</v>
      </c>
      <c r="J657" s="8">
        <v>46058</v>
      </c>
      <c r="K657" s="307">
        <v>0</v>
      </c>
      <c r="L657" s="307">
        <v>0</v>
      </c>
      <c r="M657" s="206">
        <f t="shared" si="168"/>
        <v>1128.8</v>
      </c>
      <c r="N657" s="34">
        <f t="shared" si="171"/>
        <v>14000</v>
      </c>
      <c r="O657" s="209">
        <f t="shared" si="154"/>
        <v>44</v>
      </c>
      <c r="P657" s="34">
        <f t="shared" si="165"/>
        <v>556000</v>
      </c>
      <c r="Q657" s="34">
        <f t="shared" si="166"/>
        <v>564400</v>
      </c>
      <c r="R657" s="7">
        <f t="shared" si="167"/>
        <v>12871.2</v>
      </c>
      <c r="S657" s="227">
        <f t="shared" si="169"/>
        <v>21271.200000000001</v>
      </c>
      <c r="T657" s="249">
        <f t="shared" si="170"/>
        <v>3.8257553956834535E-2</v>
      </c>
    </row>
    <row r="658" spans="2:21" ht="15" customHeight="1" x14ac:dyDescent="0.4">
      <c r="B658" s="38" t="s">
        <v>146</v>
      </c>
      <c r="C658" s="6" t="s">
        <v>165</v>
      </c>
      <c r="D658" s="6">
        <f t="shared" si="162"/>
        <v>1</v>
      </c>
      <c r="E658" s="34">
        <v>10</v>
      </c>
      <c r="F658" s="212">
        <v>13700</v>
      </c>
      <c r="G658" s="195">
        <v>46017</v>
      </c>
      <c r="H658" s="8"/>
      <c r="I658" s="212">
        <v>14110</v>
      </c>
      <c r="J658" s="8">
        <v>46058</v>
      </c>
      <c r="K658" s="307">
        <v>0</v>
      </c>
      <c r="L658" s="307">
        <v>0</v>
      </c>
      <c r="M658" s="206">
        <f t="shared" si="168"/>
        <v>282.2</v>
      </c>
      <c r="N658" s="34">
        <f t="shared" si="171"/>
        <v>3500</v>
      </c>
      <c r="O658" s="209">
        <f t="shared" si="154"/>
        <v>42</v>
      </c>
      <c r="P658" s="34">
        <f t="shared" si="165"/>
        <v>137000</v>
      </c>
      <c r="Q658" s="34">
        <f t="shared" si="166"/>
        <v>141100</v>
      </c>
      <c r="R658" s="7">
        <f t="shared" si="167"/>
        <v>3217.8</v>
      </c>
      <c r="S658" s="227">
        <f t="shared" si="169"/>
        <v>7317.8</v>
      </c>
      <c r="T658" s="249">
        <f t="shared" si="170"/>
        <v>5.3414598540145984E-2</v>
      </c>
    </row>
    <row r="659" spans="2:21" ht="15" customHeight="1" x14ac:dyDescent="0.4">
      <c r="B659" s="38" t="s">
        <v>146</v>
      </c>
      <c r="C659" s="6" t="s">
        <v>122</v>
      </c>
      <c r="D659" s="6">
        <f t="shared" si="162"/>
        <v>1</v>
      </c>
      <c r="E659" s="34">
        <v>60</v>
      </c>
      <c r="F659" s="212">
        <v>13500</v>
      </c>
      <c r="G659" s="195">
        <v>46017</v>
      </c>
      <c r="H659" s="8"/>
      <c r="I659" s="212">
        <v>14110</v>
      </c>
      <c r="J659" s="8">
        <v>46058</v>
      </c>
      <c r="K659" s="307">
        <v>0</v>
      </c>
      <c r="L659" s="307">
        <v>0</v>
      </c>
      <c r="M659" s="206">
        <f t="shared" si="168"/>
        <v>1693.2</v>
      </c>
      <c r="N659" s="34">
        <f t="shared" si="171"/>
        <v>21000</v>
      </c>
      <c r="O659" s="209">
        <f t="shared" si="154"/>
        <v>42</v>
      </c>
      <c r="P659" s="34">
        <f t="shared" si="165"/>
        <v>810000</v>
      </c>
      <c r="Q659" s="34">
        <f t="shared" si="166"/>
        <v>846600</v>
      </c>
      <c r="R659" s="7">
        <f t="shared" si="167"/>
        <v>19306.8</v>
      </c>
      <c r="S659" s="227">
        <f t="shared" si="169"/>
        <v>55906.8</v>
      </c>
      <c r="T659" s="249">
        <f t="shared" si="170"/>
        <v>6.9020740740740744E-2</v>
      </c>
      <c r="U659" s="36">
        <f>IF(O659&lt;0,0,P659*0.05*O659/365)</f>
        <v>4660.2739726027394</v>
      </c>
    </row>
    <row r="660" spans="2:21" ht="15" customHeight="1" x14ac:dyDescent="0.4">
      <c r="B660" s="38" t="s">
        <v>146</v>
      </c>
      <c r="C660" s="6" t="s">
        <v>122</v>
      </c>
      <c r="D660" s="6">
        <f t="shared" si="162"/>
        <v>1</v>
      </c>
      <c r="E660" s="34">
        <v>60</v>
      </c>
      <c r="F660" s="212">
        <v>12900</v>
      </c>
      <c r="G660" s="195">
        <v>46020</v>
      </c>
      <c r="H660" s="8"/>
      <c r="I660" s="212">
        <v>14110</v>
      </c>
      <c r="J660" s="8">
        <v>46058</v>
      </c>
      <c r="K660" s="307">
        <v>0</v>
      </c>
      <c r="L660" s="307">
        <v>0</v>
      </c>
      <c r="M660" s="206">
        <f t="shared" si="168"/>
        <v>1693.2</v>
      </c>
      <c r="N660" s="34"/>
      <c r="O660" s="209">
        <f t="shared" si="154"/>
        <v>39</v>
      </c>
      <c r="P660" s="34">
        <f t="shared" si="165"/>
        <v>774000</v>
      </c>
      <c r="Q660" s="34">
        <f t="shared" si="166"/>
        <v>846600</v>
      </c>
      <c r="R660" s="7">
        <f t="shared" si="167"/>
        <v>-1693.2</v>
      </c>
      <c r="S660" s="227">
        <f t="shared" si="169"/>
        <v>70906.8</v>
      </c>
      <c r="T660" s="249">
        <f t="shared" si="170"/>
        <v>9.1610852713178301E-2</v>
      </c>
      <c r="U660" s="36">
        <f>IF(O660&lt;0,0,P660*0.05*O660/365)</f>
        <v>4135.0684931506848</v>
      </c>
    </row>
    <row r="661" spans="2:21" ht="15" customHeight="1" x14ac:dyDescent="0.4">
      <c r="B661" s="38" t="s">
        <v>146</v>
      </c>
      <c r="C661" s="6" t="s">
        <v>165</v>
      </c>
      <c r="D661" s="6">
        <f t="shared" si="162"/>
        <v>1</v>
      </c>
      <c r="E661" s="34">
        <v>10</v>
      </c>
      <c r="F661" s="212">
        <v>12400</v>
      </c>
      <c r="G661" s="195">
        <v>46024</v>
      </c>
      <c r="H661" s="8"/>
      <c r="I661" s="212">
        <v>14110</v>
      </c>
      <c r="J661" s="8">
        <v>46058</v>
      </c>
      <c r="K661" s="23">
        <f>IF($C661="OTC",ROUNDDOWN($E661*$F661*0.000909187,-1),(IF($C661="신한",ROUNDDOWN($E661*$F661*0.000036396,-1),(IF($C661="토스",$E661*$F661*0.00015,(IF($C661="US",(IF($E661*$F661*0.0025&gt;0.01,$E661*$F661*0.0025,0.01)),IF($C661="JP",(IF($E661*$F661*0.0025&gt;1000,$E661*$F661*0.0025,1000)),(IF($C661="R토스",0,IF($C661="무상증자(신한)",0,"")))))))))))</f>
        <v>0</v>
      </c>
      <c r="L661" s="307">
        <v>0</v>
      </c>
      <c r="M661" s="206">
        <f t="shared" si="168"/>
        <v>282.2</v>
      </c>
      <c r="N661" s="34"/>
      <c r="O661" s="209">
        <f t="shared" si="154"/>
        <v>35</v>
      </c>
      <c r="P661" s="34">
        <f t="shared" si="165"/>
        <v>124000</v>
      </c>
      <c r="Q661" s="34">
        <f t="shared" si="166"/>
        <v>141100</v>
      </c>
      <c r="R661" s="7">
        <f t="shared" si="167"/>
        <v>-282.2</v>
      </c>
      <c r="S661" s="227">
        <f t="shared" si="169"/>
        <v>16817.8</v>
      </c>
      <c r="T661" s="249">
        <f t="shared" si="170"/>
        <v>0.13562741935483871</v>
      </c>
      <c r="U661" s="36">
        <f>IF(O661&lt;0,0,P661*0.05*O661/365)</f>
        <v>594.52054794520552</v>
      </c>
    </row>
    <row r="662" spans="2:21" ht="15" customHeight="1" x14ac:dyDescent="0.4">
      <c r="B662" s="38" t="s">
        <v>146</v>
      </c>
      <c r="C662" s="6" t="s">
        <v>165</v>
      </c>
      <c r="D662" s="6">
        <f t="shared" si="162"/>
        <v>1</v>
      </c>
      <c r="E662" s="34">
        <v>10</v>
      </c>
      <c r="F662" s="212">
        <v>11748</v>
      </c>
      <c r="G662" s="195">
        <v>46031</v>
      </c>
      <c r="H662" s="8"/>
      <c r="I662" s="212">
        <v>14110</v>
      </c>
      <c r="J662" s="8">
        <v>46058</v>
      </c>
      <c r="K662" s="23">
        <f>IF($C662="OTC",ROUNDDOWN($E662*$F662*0.000909187,-1),(IF($C662="신한",ROUNDDOWN($E662*$F662*0.000036396,-1),(IF($C662="토스",$E662*$F662*0.00015,(IF($C662="US",(IF($E662*$F662*0.0025&gt;0.01,$E662*$F662*0.0025,0.01)),IF($C662="JP",(IF($E662*$F662*0.0025&gt;1000,$E662*$F662*0.0025,1000)),(IF($C662="R토스",0,IF($C662="무상증자(신한)",0,"")))))))))))</f>
        <v>0</v>
      </c>
      <c r="L662" s="307">
        <v>0</v>
      </c>
      <c r="M662" s="206">
        <f t="shared" si="168"/>
        <v>282.2</v>
      </c>
      <c r="N662" s="34"/>
      <c r="O662" s="209">
        <f t="shared" si="154"/>
        <v>28</v>
      </c>
      <c r="P662" s="34">
        <f t="shared" si="165"/>
        <v>117480</v>
      </c>
      <c r="Q662" s="34">
        <f t="shared" si="166"/>
        <v>141100</v>
      </c>
      <c r="R662" s="7">
        <f t="shared" si="167"/>
        <v>-282.2</v>
      </c>
      <c r="S662" s="227">
        <f t="shared" si="169"/>
        <v>23337.8</v>
      </c>
      <c r="T662" s="249">
        <f t="shared" si="170"/>
        <v>0.19865338781069117</v>
      </c>
      <c r="U662" s="36"/>
    </row>
    <row r="663" spans="2:21" ht="15" customHeight="1" x14ac:dyDescent="0.4">
      <c r="B663" s="38" t="s">
        <v>146</v>
      </c>
      <c r="C663" s="6" t="s">
        <v>165</v>
      </c>
      <c r="D663" s="6">
        <f t="shared" si="162"/>
        <v>1</v>
      </c>
      <c r="E663" s="34">
        <v>10</v>
      </c>
      <c r="F663" s="212">
        <v>11458</v>
      </c>
      <c r="G663" s="195">
        <v>46038</v>
      </c>
      <c r="H663" s="8"/>
      <c r="I663" s="212">
        <v>14110</v>
      </c>
      <c r="J663" s="8">
        <v>46058</v>
      </c>
      <c r="K663" s="23">
        <f>IF($C663="OTC",ROUNDDOWN($E663*$F663*0.000909187,-1),(IF($C663="신한",ROUNDDOWN($E663*$F663*0.000036396,-1),(IF($C663="토스",$E663*$F663*0.00015,(IF($C663="US",(IF($E663*$F663*0.0025&gt;0.01,$E663*$F663*0.0025,0.01)),IF($C663="JP",(IF($E663*$F663*0.0025&gt;1000,$E663*$F663*0.0025,1000)),(IF($C663="R토스",0,IF($C663="무상증자(신한)",0,"")))))))))))</f>
        <v>0</v>
      </c>
      <c r="L663" s="307">
        <v>0</v>
      </c>
      <c r="M663" s="206">
        <f t="shared" si="168"/>
        <v>282.2</v>
      </c>
      <c r="N663" s="34"/>
      <c r="O663" s="209">
        <f t="shared" si="154"/>
        <v>21</v>
      </c>
      <c r="P663" s="34">
        <f t="shared" si="165"/>
        <v>114580</v>
      </c>
      <c r="Q663" s="34">
        <f t="shared" si="166"/>
        <v>141100</v>
      </c>
      <c r="R663" s="7">
        <f t="shared" si="167"/>
        <v>-282.2</v>
      </c>
      <c r="S663" s="227">
        <f t="shared" si="169"/>
        <v>26237.8</v>
      </c>
      <c r="T663" s="249">
        <f t="shared" si="170"/>
        <v>0.22899109792284866</v>
      </c>
      <c r="U663" s="36">
        <f t="shared" ref="U663:U679" si="172">IF(O663&lt;0,0,P663*0.05*O663/365)</f>
        <v>329.61369863013698</v>
      </c>
    </row>
    <row r="664" spans="2:21" ht="15" customHeight="1" x14ac:dyDescent="0.4">
      <c r="B664" s="38" t="s">
        <v>146</v>
      </c>
      <c r="C664" s="6" t="s">
        <v>165</v>
      </c>
      <c r="D664" s="6">
        <f t="shared" si="162"/>
        <v>1</v>
      </c>
      <c r="E664" s="34">
        <v>10</v>
      </c>
      <c r="F664" s="212">
        <v>11347</v>
      </c>
      <c r="G664" s="195">
        <v>46045</v>
      </c>
      <c r="H664" s="8"/>
      <c r="I664" s="212">
        <v>14110</v>
      </c>
      <c r="J664" s="8">
        <v>46058</v>
      </c>
      <c r="K664" s="23">
        <f>IF($C664="OTC",ROUNDDOWN($E664*$F664*0.000909187,-1),(IF($C664="신한",ROUNDDOWN($E664*$F664*0.000036396,-1),(IF($C664="토스",$E664*$F664*0.00015,(IF($C664="US",(IF($E664*$F664*0.0025&gt;0.01,$E664*$F664*0.0025,0.01)),IF($C664="JP",(IF($E664*$F664*0.0025&gt;1000,$E664*$F664*0.0025,1000)),(IF($C664="R토스",0,IF($C664="무상증자(신한)",0,"")))))))))))</f>
        <v>0</v>
      </c>
      <c r="L664" s="307">
        <v>0</v>
      </c>
      <c r="M664" s="206">
        <f t="shared" si="168"/>
        <v>282.2</v>
      </c>
      <c r="N664" s="34"/>
      <c r="O664" s="209">
        <f t="shared" si="154"/>
        <v>14</v>
      </c>
      <c r="P664" s="34">
        <f t="shared" si="165"/>
        <v>113470</v>
      </c>
      <c r="Q664" s="34">
        <f t="shared" si="166"/>
        <v>141100</v>
      </c>
      <c r="R664" s="7">
        <f t="shared" si="167"/>
        <v>-282.2</v>
      </c>
      <c r="S664" s="227">
        <f t="shared" si="169"/>
        <v>27347.8</v>
      </c>
      <c r="T664" s="249">
        <f t="shared" si="170"/>
        <v>0.24101348374019563</v>
      </c>
      <c r="U664" s="36">
        <f t="shared" si="172"/>
        <v>217.61369863013698</v>
      </c>
    </row>
    <row r="665" spans="2:21" ht="15" customHeight="1" x14ac:dyDescent="0.4">
      <c r="B665" s="38" t="s">
        <v>146</v>
      </c>
      <c r="C665" s="6" t="s">
        <v>165</v>
      </c>
      <c r="D665" s="6">
        <f t="shared" si="162"/>
        <v>1</v>
      </c>
      <c r="E665" s="34">
        <v>10</v>
      </c>
      <c r="F665" s="212">
        <v>11970</v>
      </c>
      <c r="G665" s="195">
        <v>46052</v>
      </c>
      <c r="H665" s="8"/>
      <c r="I665" s="212">
        <v>14110</v>
      </c>
      <c r="J665" s="8">
        <v>46058</v>
      </c>
      <c r="K665" s="23">
        <f>IF($C665="OTC",ROUNDDOWN($E665*$F665*0.000909187,-1),(IF($C665="신한",ROUNDDOWN($E665*$F665*0.000036396,-1),(IF($C665="토스",$E665*$F665*0.00015,(IF($C665="US",(IF($E665*$F665*0.0025&gt;0.01,$E665*$F665*0.0025,0.01)),IF($C665="JP",(IF($E665*$F665*0.0025&gt;1000,$E665*$F665*0.0025,1000)),(IF($C665="R토스",0,IF($C665="무상증자(신한)",0,"")))))))))))</f>
        <v>0</v>
      </c>
      <c r="L665" s="307">
        <v>0</v>
      </c>
      <c r="M665" s="206">
        <f t="shared" si="168"/>
        <v>282.2</v>
      </c>
      <c r="N665" s="34"/>
      <c r="O665" s="209">
        <f t="shared" ref="O665:O728" si="173">J665-G665+1</f>
        <v>7</v>
      </c>
      <c r="P665" s="34">
        <f t="shared" si="165"/>
        <v>119700</v>
      </c>
      <c r="Q665" s="34">
        <f t="shared" si="166"/>
        <v>141100</v>
      </c>
      <c r="R665" s="7">
        <f t="shared" si="167"/>
        <v>-282.2</v>
      </c>
      <c r="S665" s="227">
        <f t="shared" si="169"/>
        <v>21117.8</v>
      </c>
      <c r="T665" s="249">
        <f t="shared" si="170"/>
        <v>0.17642272347535504</v>
      </c>
      <c r="U665" s="36">
        <f t="shared" si="172"/>
        <v>114.78082191780823</v>
      </c>
    </row>
    <row r="666" spans="2:21" ht="15" customHeight="1" x14ac:dyDescent="0.4">
      <c r="B666" s="38" t="s">
        <v>146</v>
      </c>
      <c r="C666" s="6" t="s">
        <v>122</v>
      </c>
      <c r="D666" s="6">
        <f t="shared" si="162"/>
        <v>1</v>
      </c>
      <c r="E666" s="34">
        <v>30</v>
      </c>
      <c r="F666" s="212">
        <v>12100</v>
      </c>
      <c r="G666" s="195">
        <v>46052</v>
      </c>
      <c r="H666" s="8"/>
      <c r="I666" s="212">
        <v>14110</v>
      </c>
      <c r="J666" s="8">
        <v>46058</v>
      </c>
      <c r="K666" s="307">
        <v>0</v>
      </c>
      <c r="L666" s="307">
        <v>0</v>
      </c>
      <c r="M666" s="206">
        <f t="shared" si="168"/>
        <v>846.6</v>
      </c>
      <c r="N666" s="34"/>
      <c r="O666" s="209">
        <f t="shared" si="173"/>
        <v>7</v>
      </c>
      <c r="P666" s="34">
        <f t="shared" si="165"/>
        <v>363000</v>
      </c>
      <c r="Q666" s="34">
        <f t="shared" si="166"/>
        <v>423300</v>
      </c>
      <c r="R666" s="7">
        <f t="shared" si="167"/>
        <v>-846.6</v>
      </c>
      <c r="S666" s="227">
        <f t="shared" si="169"/>
        <v>59453.4</v>
      </c>
      <c r="T666" s="249">
        <f t="shared" si="170"/>
        <v>0.16378347107438018</v>
      </c>
      <c r="U666" s="36">
        <f t="shared" si="172"/>
        <v>348.08219178082192</v>
      </c>
    </row>
    <row r="667" spans="2:21" ht="15" customHeight="1" x14ac:dyDescent="0.4">
      <c r="B667" s="38" t="s">
        <v>146</v>
      </c>
      <c r="C667" s="6" t="s">
        <v>165</v>
      </c>
      <c r="D667" s="6">
        <f t="shared" si="162"/>
        <v>1</v>
      </c>
      <c r="E667" s="34">
        <v>10</v>
      </c>
      <c r="F667" s="212">
        <v>13610</v>
      </c>
      <c r="G667" s="195">
        <v>46059</v>
      </c>
      <c r="H667" s="8"/>
      <c r="I667" s="212">
        <v>15080</v>
      </c>
      <c r="J667" s="8">
        <v>46076</v>
      </c>
      <c r="K667" s="23">
        <f>IF($C667="OTC",ROUNDDOWN($E667*$F667*0.000909187,-1),(IF($C667="신한",ROUNDDOWN($E667*$F667*0.000036396,-1),(IF($C667="토스",$E667*$F667*0.00015,(IF($C667="US",(IF($E667*$F667*0.0025&gt;0.01,$E667*$F667*0.0025,0.01)),IF($C667="JP",(IF($E667*$F667*0.0025&gt;1000,$E667*$F667*0.0025,1000)),(IF($C667="R토스",0,IF($C667="무상증자(신한)",0,"")))))))))))</f>
        <v>0</v>
      </c>
      <c r="L667" s="307">
        <v>0</v>
      </c>
      <c r="M667" s="206">
        <f t="shared" si="168"/>
        <v>301.60000000000002</v>
      </c>
      <c r="N667" s="34"/>
      <c r="O667" s="209">
        <f t="shared" si="173"/>
        <v>18</v>
      </c>
      <c r="P667" s="34">
        <f t="shared" si="165"/>
        <v>136100</v>
      </c>
      <c r="Q667" s="34">
        <f t="shared" si="166"/>
        <v>150800</v>
      </c>
      <c r="R667" s="7">
        <f t="shared" si="167"/>
        <v>-301.60000000000002</v>
      </c>
      <c r="S667" s="227">
        <f t="shared" si="169"/>
        <v>14398.4</v>
      </c>
      <c r="T667" s="249">
        <f t="shared" si="170"/>
        <v>0.10579279941219691</v>
      </c>
      <c r="U667" s="36">
        <f t="shared" si="172"/>
        <v>335.58904109589042</v>
      </c>
    </row>
    <row r="668" spans="2:21" ht="15" customHeight="1" x14ac:dyDescent="0.4">
      <c r="B668" s="38" t="s">
        <v>146</v>
      </c>
      <c r="C668" s="6" t="s">
        <v>122</v>
      </c>
      <c r="D668" s="6">
        <f t="shared" si="162"/>
        <v>1</v>
      </c>
      <c r="E668" s="34">
        <v>400</v>
      </c>
      <c r="F668" s="212">
        <v>13500</v>
      </c>
      <c r="G668" s="195">
        <v>46059</v>
      </c>
      <c r="H668" s="8"/>
      <c r="I668" s="212">
        <v>15080</v>
      </c>
      <c r="J668" s="8">
        <v>46076</v>
      </c>
      <c r="K668" s="307">
        <v>0</v>
      </c>
      <c r="L668" s="307">
        <v>0</v>
      </c>
      <c r="M668" s="206">
        <f t="shared" si="168"/>
        <v>12064</v>
      </c>
      <c r="N668" s="34"/>
      <c r="O668" s="209">
        <f t="shared" si="173"/>
        <v>18</v>
      </c>
      <c r="P668" s="34">
        <f t="shared" si="165"/>
        <v>5400000</v>
      </c>
      <c r="Q668" s="34">
        <f t="shared" si="166"/>
        <v>6032000</v>
      </c>
      <c r="R668" s="7">
        <f t="shared" si="167"/>
        <v>-12064</v>
      </c>
      <c r="S668" s="227">
        <f t="shared" si="169"/>
        <v>619936</v>
      </c>
      <c r="T668" s="249">
        <f t="shared" si="170"/>
        <v>0.11480296296296297</v>
      </c>
      <c r="U668" s="36">
        <f t="shared" si="172"/>
        <v>13315.068493150686</v>
      </c>
    </row>
    <row r="669" spans="2:21" ht="15" customHeight="1" x14ac:dyDescent="0.4">
      <c r="B669" s="38" t="s">
        <v>146</v>
      </c>
      <c r="C669" s="6" t="s">
        <v>165</v>
      </c>
      <c r="D669" s="6">
        <f t="shared" ref="D669:D692" si="174">IF(OR($C669="신한",$C669="OTC",$C669="무상증자(신한)",$C669="토스",$C669="R토스"),1,"확인")</f>
        <v>1</v>
      </c>
      <c r="E669" s="34">
        <v>10</v>
      </c>
      <c r="F669" s="212">
        <v>13000</v>
      </c>
      <c r="G669" s="195">
        <v>46066</v>
      </c>
      <c r="H669" s="8"/>
      <c r="I669" s="212">
        <v>15080</v>
      </c>
      <c r="J669" s="8">
        <v>46076</v>
      </c>
      <c r="K669" s="23">
        <f t="shared" ref="K669:K692" si="175">IF($C669="OTC",ROUNDDOWN($E669*$F669*0.000909187,-1),(IF($C669="신한",ROUNDDOWN($E669*$F669*0.000036396,-1),(IF($C669="토스",$E669*$F669*0.00015,(IF($C669="US",(IF($E669*$F669*0.0025&gt;0.01,$E669*$F669*0.0025,0.01)),IF($C669="JP",(IF($E669*$F669*0.0025&gt;1000,$E669*$F669*0.0025,1000)),(IF($C669="R토스",0,IF($C669="무상증자(신한)",0,"")))))))))))</f>
        <v>0</v>
      </c>
      <c r="L669" s="307">
        <v>0</v>
      </c>
      <c r="M669" s="206">
        <f t="shared" si="168"/>
        <v>301.60000000000002</v>
      </c>
      <c r="N669" s="34"/>
      <c r="O669" s="209">
        <f t="shared" si="173"/>
        <v>11</v>
      </c>
      <c r="P669" s="34">
        <f t="shared" ref="P669:P692" si="176">$E669*$F669*$D669</f>
        <v>130000</v>
      </c>
      <c r="Q669" s="34">
        <f t="shared" ref="Q669:Q692" si="177">$E669*$I669*$D669</f>
        <v>150800</v>
      </c>
      <c r="R669" s="7">
        <f t="shared" ref="R669:R692" si="178">($N669-$K669-$L669-$M669)*$D669</f>
        <v>-301.60000000000002</v>
      </c>
      <c r="S669" s="227">
        <f t="shared" si="169"/>
        <v>20498.400000000001</v>
      </c>
      <c r="T669" s="249">
        <f t="shared" si="170"/>
        <v>0.15768000000000001</v>
      </c>
      <c r="U669" s="36">
        <f t="shared" si="172"/>
        <v>195.89041095890411</v>
      </c>
    </row>
    <row r="670" spans="2:21" ht="15" customHeight="1" x14ac:dyDescent="0.4">
      <c r="B670" s="38" t="s">
        <v>146</v>
      </c>
      <c r="C670" s="6" t="s">
        <v>165</v>
      </c>
      <c r="D670" s="6">
        <f t="shared" si="174"/>
        <v>1</v>
      </c>
      <c r="E670" s="34">
        <v>10</v>
      </c>
      <c r="F670" s="212">
        <v>14310</v>
      </c>
      <c r="G670" s="195">
        <v>46073</v>
      </c>
      <c r="H670" s="8"/>
      <c r="I670" s="212">
        <v>15080</v>
      </c>
      <c r="J670" s="8">
        <v>46076</v>
      </c>
      <c r="K670" s="23">
        <f t="shared" si="175"/>
        <v>0</v>
      </c>
      <c r="L670" s="307">
        <v>0</v>
      </c>
      <c r="M670" s="206">
        <f t="shared" si="168"/>
        <v>301.60000000000002</v>
      </c>
      <c r="N670" s="34"/>
      <c r="O670" s="209">
        <f t="shared" si="173"/>
        <v>4</v>
      </c>
      <c r="P670" s="34">
        <f t="shared" si="176"/>
        <v>143100</v>
      </c>
      <c r="Q670" s="34">
        <f t="shared" si="177"/>
        <v>150800</v>
      </c>
      <c r="R670" s="7">
        <f t="shared" si="178"/>
        <v>-301.60000000000002</v>
      </c>
      <c r="S670" s="227">
        <f t="shared" si="169"/>
        <v>7398.4</v>
      </c>
      <c r="T670" s="249">
        <f t="shared" si="170"/>
        <v>5.1700908455625437E-2</v>
      </c>
      <c r="U670" s="36">
        <f t="shared" si="172"/>
        <v>78.410958904109592</v>
      </c>
    </row>
    <row r="671" spans="2:21" ht="15" customHeight="1" x14ac:dyDescent="0.4">
      <c r="B671" s="38" t="s">
        <v>146</v>
      </c>
      <c r="C671" s="6" t="s">
        <v>165</v>
      </c>
      <c r="D671" s="6">
        <f t="shared" si="174"/>
        <v>1</v>
      </c>
      <c r="E671" s="34">
        <v>10</v>
      </c>
      <c r="F671" s="212">
        <v>13930</v>
      </c>
      <c r="G671" s="195">
        <v>46080</v>
      </c>
      <c r="H671" s="8"/>
      <c r="I671" s="212">
        <v>13220</v>
      </c>
      <c r="J671" s="8">
        <v>46134</v>
      </c>
      <c r="K671" s="23">
        <f t="shared" si="175"/>
        <v>0</v>
      </c>
      <c r="L671" s="23">
        <f t="shared" ref="L671:L692" si="179">IF($C671="OTC",ROUNDDOWN($I671*$E671*0.000909187,-1),(IF($C671="신한",ROUNDDOWN($I671*$E671*0.000036396,-1),(IF($C671="토스",$I671*$E671*0.00015,(IF($C671="US",(IF($I671*$E671*0.0025&gt;0.01,$I671*$E671*0.0025,0.01)),(IF($C671="JP",(IF($I671*$E671*0.0025&gt;1000,$I671*$E671*0.0025,1000)),(IF($C671="R토스",$I671*$E671*0.00015,(IF($C671="무상증자(신한)",ROUNDDOWN($I671*$E671*0.000036396,-1),"")))))))))))))</f>
        <v>19.829999999999998</v>
      </c>
      <c r="M671" s="206">
        <f t="shared" si="168"/>
        <v>264.39999999999998</v>
      </c>
      <c r="N671" s="34"/>
      <c r="O671" s="209">
        <f t="shared" si="173"/>
        <v>55</v>
      </c>
      <c r="P671" s="34">
        <f t="shared" si="176"/>
        <v>139300</v>
      </c>
      <c r="Q671" s="34">
        <f t="shared" si="177"/>
        <v>132200</v>
      </c>
      <c r="R671" s="7">
        <f t="shared" si="178"/>
        <v>-284.22999999999996</v>
      </c>
      <c r="S671" s="227">
        <f t="shared" si="169"/>
        <v>-7384.23</v>
      </c>
      <c r="T671" s="249">
        <f t="shared" si="170"/>
        <v>-5.3009547738693465E-2</v>
      </c>
      <c r="U671" s="36">
        <f t="shared" si="172"/>
        <v>1049.5205479452054</v>
      </c>
    </row>
    <row r="672" spans="2:21" ht="15" customHeight="1" x14ac:dyDescent="0.4">
      <c r="B672" s="38" t="s">
        <v>146</v>
      </c>
      <c r="C672" s="6" t="s">
        <v>165</v>
      </c>
      <c r="D672" s="6">
        <f t="shared" si="174"/>
        <v>1</v>
      </c>
      <c r="E672" s="34">
        <v>10</v>
      </c>
      <c r="F672" s="212">
        <v>11630</v>
      </c>
      <c r="G672" s="195">
        <v>46087</v>
      </c>
      <c r="H672" s="8"/>
      <c r="I672" s="212">
        <v>13220</v>
      </c>
      <c r="J672" s="8">
        <v>46134</v>
      </c>
      <c r="K672" s="23">
        <f t="shared" si="175"/>
        <v>0</v>
      </c>
      <c r="L672" s="23">
        <f t="shared" si="179"/>
        <v>19.829999999999998</v>
      </c>
      <c r="M672" s="206">
        <f t="shared" si="168"/>
        <v>264.39999999999998</v>
      </c>
      <c r="N672" s="34"/>
      <c r="O672" s="209">
        <f t="shared" si="173"/>
        <v>48</v>
      </c>
      <c r="P672" s="34">
        <f t="shared" si="176"/>
        <v>116300</v>
      </c>
      <c r="Q672" s="34">
        <f t="shared" si="177"/>
        <v>132200</v>
      </c>
      <c r="R672" s="7">
        <f t="shared" si="178"/>
        <v>-284.22999999999996</v>
      </c>
      <c r="S672" s="227">
        <f t="shared" si="169"/>
        <v>15615.77</v>
      </c>
      <c r="T672" s="249">
        <f t="shared" si="170"/>
        <v>0.13427145313843508</v>
      </c>
      <c r="U672" s="36">
        <f t="shared" si="172"/>
        <v>764.71232876712327</v>
      </c>
    </row>
    <row r="673" spans="2:21" ht="15" customHeight="1" x14ac:dyDescent="0.4">
      <c r="B673" s="38" t="s">
        <v>146</v>
      </c>
      <c r="C673" s="6" t="s">
        <v>165</v>
      </c>
      <c r="D673" s="6">
        <f t="shared" si="174"/>
        <v>1</v>
      </c>
      <c r="E673" s="34">
        <v>10</v>
      </c>
      <c r="F673" s="212">
        <v>12186</v>
      </c>
      <c r="G673" s="195">
        <v>46094</v>
      </c>
      <c r="H673" s="8"/>
      <c r="I673" s="212">
        <v>13220</v>
      </c>
      <c r="J673" s="8">
        <v>46134</v>
      </c>
      <c r="K673" s="23">
        <f t="shared" si="175"/>
        <v>0</v>
      </c>
      <c r="L673" s="23">
        <f t="shared" si="179"/>
        <v>19.829999999999998</v>
      </c>
      <c r="M673" s="206">
        <f t="shared" si="168"/>
        <v>264.39999999999998</v>
      </c>
      <c r="N673" s="34"/>
      <c r="O673" s="209">
        <f t="shared" si="173"/>
        <v>41</v>
      </c>
      <c r="P673" s="34">
        <f t="shared" si="176"/>
        <v>121860</v>
      </c>
      <c r="Q673" s="34">
        <f t="shared" si="177"/>
        <v>132200</v>
      </c>
      <c r="R673" s="7">
        <f t="shared" si="178"/>
        <v>-284.22999999999996</v>
      </c>
      <c r="S673" s="227">
        <f t="shared" si="169"/>
        <v>10055.77</v>
      </c>
      <c r="T673" s="249">
        <f t="shared" si="170"/>
        <v>8.251903824060397E-2</v>
      </c>
      <c r="U673" s="36">
        <f t="shared" si="172"/>
        <v>684.41917808219182</v>
      </c>
    </row>
    <row r="674" spans="2:21" ht="15" customHeight="1" x14ac:dyDescent="0.4">
      <c r="B674" s="38" t="s">
        <v>146</v>
      </c>
      <c r="C674" s="6" t="s">
        <v>165</v>
      </c>
      <c r="D674" s="6">
        <f t="shared" si="174"/>
        <v>1</v>
      </c>
      <c r="E674" s="34">
        <v>10</v>
      </c>
      <c r="F674" s="212">
        <v>12040</v>
      </c>
      <c r="G674" s="195">
        <v>46101</v>
      </c>
      <c r="H674" s="8"/>
      <c r="I674" s="212">
        <v>13220</v>
      </c>
      <c r="J674" s="8">
        <v>46134</v>
      </c>
      <c r="K674" s="23">
        <f t="shared" si="175"/>
        <v>0</v>
      </c>
      <c r="L674" s="23">
        <f t="shared" si="179"/>
        <v>19.829999999999998</v>
      </c>
      <c r="M674" s="206">
        <f t="shared" si="168"/>
        <v>264.39999999999998</v>
      </c>
      <c r="N674" s="34"/>
      <c r="O674" s="209">
        <f t="shared" si="173"/>
        <v>34</v>
      </c>
      <c r="P674" s="34">
        <f t="shared" si="176"/>
        <v>120400</v>
      </c>
      <c r="Q674" s="34">
        <f t="shared" si="177"/>
        <v>132200</v>
      </c>
      <c r="R674" s="7">
        <f t="shared" si="178"/>
        <v>-284.22999999999996</v>
      </c>
      <c r="S674" s="227">
        <f t="shared" si="169"/>
        <v>11515.77</v>
      </c>
      <c r="T674" s="249">
        <f t="shared" si="170"/>
        <v>9.5645930232558143E-2</v>
      </c>
      <c r="U674" s="36">
        <f t="shared" si="172"/>
        <v>560.76712328767121</v>
      </c>
    </row>
    <row r="675" spans="2:21" ht="15" customHeight="1" x14ac:dyDescent="0.4">
      <c r="B675" s="38" t="s">
        <v>146</v>
      </c>
      <c r="C675" s="6" t="s">
        <v>165</v>
      </c>
      <c r="D675" s="6">
        <f t="shared" si="174"/>
        <v>1</v>
      </c>
      <c r="E675" s="34">
        <v>10</v>
      </c>
      <c r="F675" s="212">
        <v>11510</v>
      </c>
      <c r="G675" s="195">
        <v>46108</v>
      </c>
      <c r="H675" s="8"/>
      <c r="I675" s="212">
        <v>13220</v>
      </c>
      <c r="J675" s="8">
        <v>46134</v>
      </c>
      <c r="K675" s="23">
        <f t="shared" si="175"/>
        <v>0</v>
      </c>
      <c r="L675" s="23">
        <f t="shared" si="179"/>
        <v>19.829999999999998</v>
      </c>
      <c r="M675" s="206">
        <f t="shared" si="168"/>
        <v>264.39999999999998</v>
      </c>
      <c r="N675" s="34"/>
      <c r="O675" s="209">
        <f t="shared" si="173"/>
        <v>27</v>
      </c>
      <c r="P675" s="34">
        <f t="shared" si="176"/>
        <v>115100</v>
      </c>
      <c r="Q675" s="34">
        <f t="shared" si="177"/>
        <v>132200</v>
      </c>
      <c r="R675" s="7">
        <f t="shared" si="178"/>
        <v>-284.22999999999996</v>
      </c>
      <c r="S675" s="227">
        <f t="shared" si="169"/>
        <v>16815.77</v>
      </c>
      <c r="T675" s="249">
        <f t="shared" si="170"/>
        <v>0.14609704604691573</v>
      </c>
      <c r="U675" s="36">
        <f t="shared" si="172"/>
        <v>425.71232876712327</v>
      </c>
    </row>
    <row r="676" spans="2:21" ht="15" customHeight="1" x14ac:dyDescent="0.4">
      <c r="B676" s="38" t="s">
        <v>146</v>
      </c>
      <c r="C676" s="6" t="s">
        <v>165</v>
      </c>
      <c r="D676" s="6">
        <f t="shared" si="174"/>
        <v>1</v>
      </c>
      <c r="E676" s="34">
        <v>10</v>
      </c>
      <c r="F676" s="212">
        <v>11254</v>
      </c>
      <c r="G676" s="195">
        <v>46115</v>
      </c>
      <c r="H676" s="8"/>
      <c r="I676" s="212">
        <v>13220</v>
      </c>
      <c r="J676" s="8">
        <v>46134</v>
      </c>
      <c r="K676" s="23">
        <f t="shared" si="175"/>
        <v>0</v>
      </c>
      <c r="L676" s="23">
        <f t="shared" si="179"/>
        <v>19.829999999999998</v>
      </c>
      <c r="M676" s="206">
        <f t="shared" si="168"/>
        <v>264.39999999999998</v>
      </c>
      <c r="N676" s="34"/>
      <c r="O676" s="209">
        <f t="shared" si="173"/>
        <v>20</v>
      </c>
      <c r="P676" s="34">
        <f t="shared" si="176"/>
        <v>112540</v>
      </c>
      <c r="Q676" s="34">
        <f t="shared" si="177"/>
        <v>132200</v>
      </c>
      <c r="R676" s="7">
        <f t="shared" si="178"/>
        <v>-284.22999999999996</v>
      </c>
      <c r="S676" s="227">
        <f t="shared" si="169"/>
        <v>19375.77</v>
      </c>
      <c r="T676" s="249">
        <f t="shared" si="170"/>
        <v>0.17216785143060245</v>
      </c>
      <c r="U676" s="36">
        <f t="shared" si="172"/>
        <v>308.32876712328766</v>
      </c>
    </row>
    <row r="677" spans="2:21" ht="15" customHeight="1" x14ac:dyDescent="0.4">
      <c r="B677" s="38" t="s">
        <v>146</v>
      </c>
      <c r="C677" s="6" t="s">
        <v>165</v>
      </c>
      <c r="D677" s="6">
        <f t="shared" si="174"/>
        <v>1</v>
      </c>
      <c r="E677" s="34">
        <v>10</v>
      </c>
      <c r="F677" s="212">
        <v>12760</v>
      </c>
      <c r="G677" s="195">
        <v>46122</v>
      </c>
      <c r="H677" s="8"/>
      <c r="I677" s="212">
        <v>13220</v>
      </c>
      <c r="J677" s="8">
        <v>46134</v>
      </c>
      <c r="K677" s="23">
        <f t="shared" si="175"/>
        <v>0</v>
      </c>
      <c r="L677" s="23">
        <f t="shared" si="179"/>
        <v>19.829999999999998</v>
      </c>
      <c r="M677" s="206">
        <f t="shared" si="168"/>
        <v>264.39999999999998</v>
      </c>
      <c r="N677" s="34"/>
      <c r="O677" s="209">
        <f t="shared" si="173"/>
        <v>13</v>
      </c>
      <c r="P677" s="34">
        <f t="shared" si="176"/>
        <v>127600</v>
      </c>
      <c r="Q677" s="34">
        <f t="shared" si="177"/>
        <v>132200</v>
      </c>
      <c r="R677" s="7">
        <f t="shared" si="178"/>
        <v>-284.22999999999996</v>
      </c>
      <c r="S677" s="227">
        <f t="shared" si="169"/>
        <v>4315.7700000000004</v>
      </c>
      <c r="T677" s="249">
        <f t="shared" si="170"/>
        <v>3.3822648902821321E-2</v>
      </c>
      <c r="U677" s="36">
        <f t="shared" si="172"/>
        <v>227.23287671232876</v>
      </c>
    </row>
    <row r="678" spans="2:21" ht="15" customHeight="1" x14ac:dyDescent="0.4">
      <c r="B678" s="38" t="s">
        <v>146</v>
      </c>
      <c r="C678" s="6" t="s">
        <v>165</v>
      </c>
      <c r="D678" s="6">
        <f t="shared" si="174"/>
        <v>1</v>
      </c>
      <c r="E678" s="34">
        <v>10</v>
      </c>
      <c r="F678" s="212">
        <v>13260</v>
      </c>
      <c r="G678" s="195">
        <v>46129</v>
      </c>
      <c r="H678" s="8"/>
      <c r="I678" s="212">
        <v>13220</v>
      </c>
      <c r="J678" s="8">
        <v>46134</v>
      </c>
      <c r="K678" s="23">
        <f t="shared" si="175"/>
        <v>0</v>
      </c>
      <c r="L678" s="23">
        <f t="shared" si="179"/>
        <v>19.829999999999998</v>
      </c>
      <c r="M678" s="206">
        <f t="shared" si="168"/>
        <v>264.39999999999998</v>
      </c>
      <c r="N678" s="34"/>
      <c r="O678" s="209">
        <f t="shared" si="173"/>
        <v>6</v>
      </c>
      <c r="P678" s="34">
        <f t="shared" si="176"/>
        <v>132600</v>
      </c>
      <c r="Q678" s="34">
        <f t="shared" si="177"/>
        <v>132200</v>
      </c>
      <c r="R678" s="7">
        <f t="shared" si="178"/>
        <v>-284.22999999999996</v>
      </c>
      <c r="S678" s="227">
        <f t="shared" si="169"/>
        <v>-684.23</v>
      </c>
      <c r="T678" s="249">
        <f t="shared" si="170"/>
        <v>-5.1601055806938158E-3</v>
      </c>
      <c r="U678" s="36">
        <f t="shared" si="172"/>
        <v>108.98630136986301</v>
      </c>
    </row>
    <row r="679" spans="2:21" ht="15" customHeight="1" x14ac:dyDescent="0.4">
      <c r="B679" s="38" t="s">
        <v>146</v>
      </c>
      <c r="C679" s="6" t="s">
        <v>165</v>
      </c>
      <c r="D679" s="6">
        <f t="shared" si="174"/>
        <v>1</v>
      </c>
      <c r="E679" s="34">
        <v>10</v>
      </c>
      <c r="F679" s="212">
        <v>13780</v>
      </c>
      <c r="G679" s="195">
        <v>46136</v>
      </c>
      <c r="H679" s="8"/>
      <c r="I679" s="212"/>
      <c r="J679" s="8"/>
      <c r="K679" s="23">
        <f t="shared" si="175"/>
        <v>0</v>
      </c>
      <c r="L679" s="23">
        <f t="shared" si="179"/>
        <v>0</v>
      </c>
      <c r="M679" s="206">
        <f t="shared" si="168"/>
        <v>0</v>
      </c>
      <c r="N679" s="34"/>
      <c r="O679" s="209">
        <f t="shared" si="173"/>
        <v>-46135</v>
      </c>
      <c r="P679" s="34">
        <f t="shared" si="176"/>
        <v>137800</v>
      </c>
      <c r="Q679" s="34">
        <f t="shared" si="177"/>
        <v>0</v>
      </c>
      <c r="R679" s="7">
        <f t="shared" si="178"/>
        <v>0</v>
      </c>
      <c r="S679" s="227">
        <f t="shared" si="169"/>
        <v>0</v>
      </c>
      <c r="T679" s="249">
        <f t="shared" si="170"/>
        <v>0</v>
      </c>
      <c r="U679" s="36">
        <f t="shared" si="172"/>
        <v>0</v>
      </c>
    </row>
    <row r="680" spans="2:21" ht="15" customHeight="1" x14ac:dyDescent="0.4">
      <c r="B680" s="38" t="s">
        <v>60</v>
      </c>
      <c r="C680" s="6" t="s">
        <v>160</v>
      </c>
      <c r="D680" s="6">
        <f t="shared" si="174"/>
        <v>1</v>
      </c>
      <c r="E680" s="34">
        <v>6</v>
      </c>
      <c r="F680" s="212">
        <v>120000</v>
      </c>
      <c r="G680" s="195">
        <v>45526</v>
      </c>
      <c r="H680" s="8"/>
      <c r="I680" s="212"/>
      <c r="J680" s="8"/>
      <c r="K680" s="23">
        <f t="shared" si="175"/>
        <v>20</v>
      </c>
      <c r="L680" s="23">
        <f t="shared" si="179"/>
        <v>0</v>
      </c>
      <c r="M680" s="206">
        <f t="shared" si="168"/>
        <v>0</v>
      </c>
      <c r="N680" s="34">
        <f>26640+1100*E680+E680*500*(1-0.154)</f>
        <v>35778</v>
      </c>
      <c r="O680" s="209">
        <f t="shared" si="173"/>
        <v>-45525</v>
      </c>
      <c r="P680" s="34">
        <f t="shared" si="176"/>
        <v>720000</v>
      </c>
      <c r="Q680" s="34">
        <f t="shared" si="177"/>
        <v>0</v>
      </c>
      <c r="R680" s="7">
        <f t="shared" si="178"/>
        <v>35758</v>
      </c>
      <c r="S680" s="227">
        <f t="shared" si="169"/>
        <v>0</v>
      </c>
      <c r="T680" s="249">
        <f t="shared" si="170"/>
        <v>0</v>
      </c>
    </row>
    <row r="681" spans="2:21" ht="15" customHeight="1" x14ac:dyDescent="0.4">
      <c r="B681" s="38" t="s">
        <v>60</v>
      </c>
      <c r="C681" s="6" t="s">
        <v>160</v>
      </c>
      <c r="D681" s="6">
        <f t="shared" si="174"/>
        <v>1</v>
      </c>
      <c r="E681" s="34">
        <v>1</v>
      </c>
      <c r="F681" s="212">
        <v>93900</v>
      </c>
      <c r="G681" s="195">
        <v>45667</v>
      </c>
      <c r="H681" s="8"/>
      <c r="I681" s="212"/>
      <c r="J681" s="8"/>
      <c r="K681" s="23">
        <f t="shared" si="175"/>
        <v>0</v>
      </c>
      <c r="L681" s="23">
        <f t="shared" si="179"/>
        <v>0</v>
      </c>
      <c r="M681" s="206">
        <f t="shared" si="168"/>
        <v>0</v>
      </c>
      <c r="N681" s="34">
        <f t="shared" ref="N681:N692" si="180">E681*500*(1-0.154)</f>
        <v>423</v>
      </c>
      <c r="O681" s="209">
        <f t="shared" si="173"/>
        <v>-45666</v>
      </c>
      <c r="P681" s="34">
        <f t="shared" si="176"/>
        <v>93900</v>
      </c>
      <c r="Q681" s="34">
        <f t="shared" si="177"/>
        <v>0</v>
      </c>
      <c r="R681" s="7">
        <f t="shared" si="178"/>
        <v>423</v>
      </c>
      <c r="S681" s="227">
        <f t="shared" si="169"/>
        <v>0</v>
      </c>
      <c r="T681" s="249">
        <f t="shared" si="170"/>
        <v>0</v>
      </c>
    </row>
    <row r="682" spans="2:21" ht="15" customHeight="1" x14ac:dyDescent="0.4">
      <c r="B682" s="38" t="s">
        <v>60</v>
      </c>
      <c r="C682" s="6" t="s">
        <v>160</v>
      </c>
      <c r="D682" s="6">
        <f t="shared" si="174"/>
        <v>1</v>
      </c>
      <c r="E682" s="34">
        <v>1</v>
      </c>
      <c r="F682" s="212">
        <v>82700</v>
      </c>
      <c r="G682" s="195">
        <v>45698</v>
      </c>
      <c r="H682" s="8"/>
      <c r="I682" s="212"/>
      <c r="J682" s="8"/>
      <c r="K682" s="23">
        <f t="shared" si="175"/>
        <v>0</v>
      </c>
      <c r="L682" s="23">
        <f t="shared" si="179"/>
        <v>0</v>
      </c>
      <c r="M682" s="206">
        <f t="shared" si="168"/>
        <v>0</v>
      </c>
      <c r="N682" s="34">
        <f t="shared" si="180"/>
        <v>423</v>
      </c>
      <c r="O682" s="209">
        <f t="shared" si="173"/>
        <v>-45697</v>
      </c>
      <c r="P682" s="34">
        <f t="shared" si="176"/>
        <v>82700</v>
      </c>
      <c r="Q682" s="34">
        <f t="shared" si="177"/>
        <v>0</v>
      </c>
      <c r="R682" s="7">
        <f t="shared" si="178"/>
        <v>423</v>
      </c>
      <c r="S682" s="227">
        <f t="shared" si="169"/>
        <v>0</v>
      </c>
      <c r="T682" s="249">
        <f t="shared" si="170"/>
        <v>0</v>
      </c>
    </row>
    <row r="683" spans="2:21" ht="15" customHeight="1" x14ac:dyDescent="0.4">
      <c r="B683" s="38" t="s">
        <v>60</v>
      </c>
      <c r="C683" s="6" t="s">
        <v>160</v>
      </c>
      <c r="D683" s="6">
        <f t="shared" si="174"/>
        <v>1</v>
      </c>
      <c r="E683" s="34">
        <v>1</v>
      </c>
      <c r="F683" s="212">
        <v>79700</v>
      </c>
      <c r="G683" s="195">
        <v>45726</v>
      </c>
      <c r="H683" s="8"/>
      <c r="I683" s="212"/>
      <c r="J683" s="8"/>
      <c r="K683" s="23">
        <f t="shared" si="175"/>
        <v>0</v>
      </c>
      <c r="L683" s="23">
        <f t="shared" si="179"/>
        <v>0</v>
      </c>
      <c r="M683" s="206">
        <f t="shared" si="168"/>
        <v>0</v>
      </c>
      <c r="N683" s="34">
        <f t="shared" si="180"/>
        <v>423</v>
      </c>
      <c r="O683" s="209">
        <f t="shared" si="173"/>
        <v>-45725</v>
      </c>
      <c r="P683" s="34">
        <f t="shared" si="176"/>
        <v>79700</v>
      </c>
      <c r="Q683" s="34">
        <f t="shared" si="177"/>
        <v>0</v>
      </c>
      <c r="R683" s="7">
        <f t="shared" si="178"/>
        <v>423</v>
      </c>
      <c r="S683" s="227">
        <f t="shared" si="169"/>
        <v>0</v>
      </c>
      <c r="T683" s="249">
        <f t="shared" si="170"/>
        <v>0</v>
      </c>
    </row>
    <row r="684" spans="2:21" ht="15" customHeight="1" x14ac:dyDescent="0.4">
      <c r="B684" s="38" t="s">
        <v>60</v>
      </c>
      <c r="C684" s="6" t="s">
        <v>160</v>
      </c>
      <c r="D684" s="6">
        <f t="shared" si="174"/>
        <v>1</v>
      </c>
      <c r="E684" s="34">
        <v>1</v>
      </c>
      <c r="F684" s="212">
        <v>73000</v>
      </c>
      <c r="G684" s="195">
        <v>45757</v>
      </c>
      <c r="H684" s="8"/>
      <c r="I684" s="212"/>
      <c r="J684" s="8"/>
      <c r="K684" s="23">
        <f t="shared" si="175"/>
        <v>0</v>
      </c>
      <c r="L684" s="23">
        <f t="shared" si="179"/>
        <v>0</v>
      </c>
      <c r="M684" s="206">
        <f t="shared" si="168"/>
        <v>0</v>
      </c>
      <c r="N684" s="34">
        <f t="shared" si="180"/>
        <v>423</v>
      </c>
      <c r="O684" s="209">
        <f t="shared" si="173"/>
        <v>-45756</v>
      </c>
      <c r="P684" s="34">
        <f t="shared" si="176"/>
        <v>73000</v>
      </c>
      <c r="Q684" s="34">
        <f t="shared" si="177"/>
        <v>0</v>
      </c>
      <c r="R684" s="7">
        <f t="shared" si="178"/>
        <v>423</v>
      </c>
      <c r="S684" s="227">
        <f t="shared" si="169"/>
        <v>0</v>
      </c>
      <c r="T684" s="249">
        <f t="shared" si="170"/>
        <v>0</v>
      </c>
    </row>
    <row r="685" spans="2:21" ht="15" customHeight="1" x14ac:dyDescent="0.4">
      <c r="B685" s="38" t="s">
        <v>60</v>
      </c>
      <c r="C685" s="6" t="s">
        <v>160</v>
      </c>
      <c r="D685" s="6">
        <f t="shared" si="174"/>
        <v>1</v>
      </c>
      <c r="E685" s="34">
        <v>1</v>
      </c>
      <c r="F685" s="212">
        <v>79100</v>
      </c>
      <c r="G685" s="195">
        <v>45789</v>
      </c>
      <c r="H685" s="8"/>
      <c r="I685" s="212"/>
      <c r="J685" s="8"/>
      <c r="K685" s="23">
        <f t="shared" si="175"/>
        <v>0</v>
      </c>
      <c r="L685" s="23">
        <f t="shared" si="179"/>
        <v>0</v>
      </c>
      <c r="M685" s="206">
        <f t="shared" si="168"/>
        <v>0</v>
      </c>
      <c r="N685" s="34">
        <f t="shared" si="180"/>
        <v>423</v>
      </c>
      <c r="O685" s="209">
        <f t="shared" si="173"/>
        <v>-45788</v>
      </c>
      <c r="P685" s="34">
        <f t="shared" si="176"/>
        <v>79100</v>
      </c>
      <c r="Q685" s="34">
        <f t="shared" si="177"/>
        <v>0</v>
      </c>
      <c r="R685" s="7">
        <f t="shared" si="178"/>
        <v>423</v>
      </c>
      <c r="S685" s="227">
        <f t="shared" si="169"/>
        <v>0</v>
      </c>
      <c r="T685" s="249">
        <f t="shared" si="170"/>
        <v>0</v>
      </c>
    </row>
    <row r="686" spans="2:21" ht="15" customHeight="1" x14ac:dyDescent="0.4">
      <c r="B686" s="38" t="s">
        <v>60</v>
      </c>
      <c r="C686" s="6" t="s">
        <v>160</v>
      </c>
      <c r="D686" s="6">
        <f t="shared" si="174"/>
        <v>1</v>
      </c>
      <c r="E686" s="34">
        <v>1</v>
      </c>
      <c r="F686" s="212">
        <v>86200</v>
      </c>
      <c r="G686" s="195">
        <v>45818</v>
      </c>
      <c r="H686" s="8"/>
      <c r="I686" s="212"/>
      <c r="J686" s="8"/>
      <c r="K686" s="23">
        <f t="shared" si="175"/>
        <v>0</v>
      </c>
      <c r="L686" s="23">
        <f t="shared" si="179"/>
        <v>0</v>
      </c>
      <c r="M686" s="206">
        <f t="shared" si="168"/>
        <v>0</v>
      </c>
      <c r="N686" s="34">
        <f t="shared" si="180"/>
        <v>423</v>
      </c>
      <c r="O686" s="209">
        <f t="shared" si="173"/>
        <v>-45817</v>
      </c>
      <c r="P686" s="34">
        <f t="shared" si="176"/>
        <v>86200</v>
      </c>
      <c r="Q686" s="34">
        <f t="shared" si="177"/>
        <v>0</v>
      </c>
      <c r="R686" s="7">
        <f t="shared" si="178"/>
        <v>423</v>
      </c>
      <c r="S686" s="227">
        <f t="shared" si="169"/>
        <v>0</v>
      </c>
      <c r="T686" s="249">
        <f t="shared" si="170"/>
        <v>0</v>
      </c>
    </row>
    <row r="687" spans="2:21" ht="15" customHeight="1" x14ac:dyDescent="0.4">
      <c r="B687" s="38" t="s">
        <v>60</v>
      </c>
      <c r="C687" s="6" t="s">
        <v>160</v>
      </c>
      <c r="D687" s="6">
        <f t="shared" si="174"/>
        <v>1</v>
      </c>
      <c r="E687" s="34">
        <v>1</v>
      </c>
      <c r="F687" s="212">
        <v>84500</v>
      </c>
      <c r="G687" s="195">
        <v>45848</v>
      </c>
      <c r="H687" s="8"/>
      <c r="I687" s="212"/>
      <c r="J687" s="8"/>
      <c r="K687" s="23">
        <f t="shared" si="175"/>
        <v>0</v>
      </c>
      <c r="L687" s="23">
        <f t="shared" si="179"/>
        <v>0</v>
      </c>
      <c r="M687" s="206">
        <f t="shared" si="168"/>
        <v>0</v>
      </c>
      <c r="N687" s="34">
        <f t="shared" si="180"/>
        <v>423</v>
      </c>
      <c r="O687" s="209">
        <f t="shared" si="173"/>
        <v>-45847</v>
      </c>
      <c r="P687" s="34">
        <f t="shared" si="176"/>
        <v>84500</v>
      </c>
      <c r="Q687" s="34">
        <f t="shared" si="177"/>
        <v>0</v>
      </c>
      <c r="R687" s="7">
        <f t="shared" si="178"/>
        <v>423</v>
      </c>
      <c r="S687" s="227">
        <f t="shared" si="169"/>
        <v>0</v>
      </c>
      <c r="T687" s="249">
        <f t="shared" si="170"/>
        <v>0</v>
      </c>
    </row>
    <row r="688" spans="2:21" ht="15" customHeight="1" x14ac:dyDescent="0.4">
      <c r="B688" s="38" t="s">
        <v>60</v>
      </c>
      <c r="C688" s="6" t="s">
        <v>160</v>
      </c>
      <c r="D688" s="6">
        <f t="shared" si="174"/>
        <v>1</v>
      </c>
      <c r="E688" s="34">
        <v>1</v>
      </c>
      <c r="F688" s="212">
        <v>82700</v>
      </c>
      <c r="G688" s="195">
        <v>45880</v>
      </c>
      <c r="H688" s="8"/>
      <c r="I688" s="212"/>
      <c r="J688" s="8"/>
      <c r="K688" s="23">
        <f t="shared" si="175"/>
        <v>0</v>
      </c>
      <c r="L688" s="23">
        <f t="shared" si="179"/>
        <v>0</v>
      </c>
      <c r="M688" s="206">
        <f t="shared" si="168"/>
        <v>0</v>
      </c>
      <c r="N688" s="34">
        <f t="shared" si="180"/>
        <v>423</v>
      </c>
      <c r="O688" s="209">
        <f t="shared" si="173"/>
        <v>-45879</v>
      </c>
      <c r="P688" s="34">
        <f t="shared" si="176"/>
        <v>82700</v>
      </c>
      <c r="Q688" s="34">
        <f t="shared" si="177"/>
        <v>0</v>
      </c>
      <c r="R688" s="7">
        <f t="shared" si="178"/>
        <v>423</v>
      </c>
      <c r="S688" s="227">
        <f t="shared" si="169"/>
        <v>0</v>
      </c>
      <c r="T688" s="249">
        <f t="shared" si="170"/>
        <v>0</v>
      </c>
    </row>
    <row r="689" spans="2:28" ht="15" customHeight="1" x14ac:dyDescent="0.4">
      <c r="B689" s="38" t="s">
        <v>60</v>
      </c>
      <c r="C689" s="6" t="s">
        <v>160</v>
      </c>
      <c r="D689" s="6">
        <f t="shared" si="174"/>
        <v>1</v>
      </c>
      <c r="E689" s="34">
        <v>1</v>
      </c>
      <c r="F689" s="212">
        <v>81000</v>
      </c>
      <c r="G689" s="195">
        <v>45910</v>
      </c>
      <c r="H689" s="8"/>
      <c r="I689" s="212"/>
      <c r="J689" s="8"/>
      <c r="K689" s="23">
        <f t="shared" si="175"/>
        <v>0</v>
      </c>
      <c r="L689" s="23">
        <f t="shared" si="179"/>
        <v>0</v>
      </c>
      <c r="M689" s="206">
        <f t="shared" si="168"/>
        <v>0</v>
      </c>
      <c r="N689" s="34">
        <f t="shared" si="180"/>
        <v>423</v>
      </c>
      <c r="O689" s="209">
        <f t="shared" si="173"/>
        <v>-45909</v>
      </c>
      <c r="P689" s="34">
        <f t="shared" si="176"/>
        <v>81000</v>
      </c>
      <c r="Q689" s="34">
        <f t="shared" si="177"/>
        <v>0</v>
      </c>
      <c r="R689" s="7">
        <f t="shared" si="178"/>
        <v>423</v>
      </c>
      <c r="S689" s="227">
        <f t="shared" si="169"/>
        <v>0</v>
      </c>
      <c r="T689" s="249">
        <f t="shared" si="170"/>
        <v>0</v>
      </c>
    </row>
    <row r="690" spans="2:28" ht="15" customHeight="1" x14ac:dyDescent="0.4">
      <c r="B690" s="38" t="s">
        <v>60</v>
      </c>
      <c r="C690" s="6" t="s">
        <v>160</v>
      </c>
      <c r="D690" s="6">
        <f t="shared" si="174"/>
        <v>1</v>
      </c>
      <c r="E690" s="34">
        <v>1</v>
      </c>
      <c r="F690" s="212">
        <v>81500</v>
      </c>
      <c r="G690" s="195">
        <v>45940</v>
      </c>
      <c r="H690" s="8"/>
      <c r="I690" s="212"/>
      <c r="J690" s="8"/>
      <c r="K690" s="23">
        <f t="shared" si="175"/>
        <v>0</v>
      </c>
      <c r="L690" s="23">
        <f t="shared" si="179"/>
        <v>0</v>
      </c>
      <c r="M690" s="206">
        <f t="shared" si="168"/>
        <v>0</v>
      </c>
      <c r="N690" s="34">
        <f t="shared" si="180"/>
        <v>423</v>
      </c>
      <c r="O690" s="209">
        <f t="shared" si="173"/>
        <v>-45939</v>
      </c>
      <c r="P690" s="34">
        <f t="shared" si="176"/>
        <v>81500</v>
      </c>
      <c r="Q690" s="34">
        <f t="shared" si="177"/>
        <v>0</v>
      </c>
      <c r="R690" s="7">
        <f t="shared" si="178"/>
        <v>423</v>
      </c>
      <c r="S690" s="227">
        <f t="shared" si="169"/>
        <v>0</v>
      </c>
      <c r="T690" s="249">
        <f t="shared" si="170"/>
        <v>0</v>
      </c>
    </row>
    <row r="691" spans="2:28" ht="15" customHeight="1" x14ac:dyDescent="0.4">
      <c r="B691" s="38" t="s">
        <v>60</v>
      </c>
      <c r="C691" s="6" t="s">
        <v>160</v>
      </c>
      <c r="D691" s="6">
        <f t="shared" si="174"/>
        <v>1</v>
      </c>
      <c r="E691" s="34">
        <v>1</v>
      </c>
      <c r="F691" s="212">
        <v>83200</v>
      </c>
      <c r="G691" s="195">
        <v>45971</v>
      </c>
      <c r="H691" s="8"/>
      <c r="I691" s="212"/>
      <c r="J691" s="8"/>
      <c r="K691" s="23">
        <f t="shared" si="175"/>
        <v>0</v>
      </c>
      <c r="L691" s="23">
        <f t="shared" si="179"/>
        <v>0</v>
      </c>
      <c r="M691" s="206">
        <f t="shared" si="168"/>
        <v>0</v>
      </c>
      <c r="N691" s="34">
        <f t="shared" si="180"/>
        <v>423</v>
      </c>
      <c r="O691" s="209">
        <f t="shared" si="173"/>
        <v>-45970</v>
      </c>
      <c r="P691" s="34">
        <f t="shared" si="176"/>
        <v>83200</v>
      </c>
      <c r="Q691" s="34">
        <f t="shared" si="177"/>
        <v>0</v>
      </c>
      <c r="R691" s="7">
        <f t="shared" si="178"/>
        <v>423</v>
      </c>
      <c r="S691" s="227">
        <f t="shared" si="169"/>
        <v>0</v>
      </c>
      <c r="T691" s="249">
        <f t="shared" si="170"/>
        <v>0</v>
      </c>
    </row>
    <row r="692" spans="2:28" ht="15" customHeight="1" x14ac:dyDescent="0.4">
      <c r="B692" s="38" t="s">
        <v>60</v>
      </c>
      <c r="C692" s="6" t="s">
        <v>160</v>
      </c>
      <c r="D692" s="6">
        <f t="shared" si="174"/>
        <v>1</v>
      </c>
      <c r="E692" s="34">
        <v>1</v>
      </c>
      <c r="F692" s="212">
        <v>87200</v>
      </c>
      <c r="G692" s="195">
        <v>46001</v>
      </c>
      <c r="H692" s="8"/>
      <c r="I692" s="212"/>
      <c r="J692" s="8"/>
      <c r="K692" s="23">
        <f t="shared" si="175"/>
        <v>0</v>
      </c>
      <c r="L692" s="23">
        <f t="shared" si="179"/>
        <v>0</v>
      </c>
      <c r="M692" s="206">
        <f t="shared" si="168"/>
        <v>0</v>
      </c>
      <c r="N692" s="34">
        <f t="shared" si="180"/>
        <v>423</v>
      </c>
      <c r="O692" s="209">
        <f t="shared" si="173"/>
        <v>-46000</v>
      </c>
      <c r="P692" s="34">
        <f t="shared" si="176"/>
        <v>87200</v>
      </c>
      <c r="Q692" s="34">
        <f t="shared" si="177"/>
        <v>0</v>
      </c>
      <c r="R692" s="7">
        <f t="shared" si="178"/>
        <v>423</v>
      </c>
      <c r="S692" s="227">
        <f t="shared" si="169"/>
        <v>0</v>
      </c>
      <c r="T692" s="249">
        <f t="shared" si="170"/>
        <v>0</v>
      </c>
    </row>
    <row r="693" spans="2:28" ht="15" customHeight="1" x14ac:dyDescent="0.4">
      <c r="B693" s="198" t="s">
        <v>29</v>
      </c>
      <c r="C693" s="6" t="s">
        <v>162</v>
      </c>
      <c r="D693" s="15">
        <v>1</v>
      </c>
      <c r="E693" s="36">
        <v>100</v>
      </c>
      <c r="F693" s="212">
        <v>35100</v>
      </c>
      <c r="G693" s="195">
        <v>43594</v>
      </c>
      <c r="H693" s="8" t="s">
        <v>392</v>
      </c>
      <c r="I693" s="212">
        <v>17700</v>
      </c>
      <c r="J693" s="8">
        <v>46134</v>
      </c>
      <c r="K693" s="23">
        <v>0</v>
      </c>
      <c r="L693" s="7">
        <f>ROUNDDOWN(I693*E693*0.0015,-1)+2000</f>
        <v>4650</v>
      </c>
      <c r="M693" s="206">
        <f t="shared" si="168"/>
        <v>3540</v>
      </c>
      <c r="N693" s="36"/>
      <c r="O693" s="191">
        <f t="shared" si="173"/>
        <v>2541</v>
      </c>
      <c r="P693" s="36">
        <f>F693*E693</f>
        <v>3510000</v>
      </c>
      <c r="Q693" s="36">
        <f>I693*E693</f>
        <v>1770000</v>
      </c>
      <c r="R693" s="7">
        <f>N693-K693-L693-M693</f>
        <v>-8190</v>
      </c>
      <c r="S693" s="227">
        <f t="shared" si="169"/>
        <v>-1748190</v>
      </c>
      <c r="T693" s="248">
        <f t="shared" si="170"/>
        <v>-0.49805982905982904</v>
      </c>
    </row>
    <row r="694" spans="2:28" ht="15" customHeight="1" x14ac:dyDescent="0.4">
      <c r="B694" s="38" t="s">
        <v>29</v>
      </c>
      <c r="C694" s="6" t="s">
        <v>122</v>
      </c>
      <c r="D694" s="6">
        <f t="shared" ref="D694:D725" si="181">IF(OR($C694="신한",$C694="OTC",$C694="무상증자(신한)",$C694="토스",$C694="R토스"),1,"확인")</f>
        <v>1</v>
      </c>
      <c r="E694" s="34">
        <v>10</v>
      </c>
      <c r="F694" s="212">
        <v>23000</v>
      </c>
      <c r="G694" s="195">
        <v>45646</v>
      </c>
      <c r="H694" s="8"/>
      <c r="I694" s="212">
        <v>17700</v>
      </c>
      <c r="J694" s="8">
        <v>46134</v>
      </c>
      <c r="K694" s="23">
        <f>IF($C694="OTC",ROUNDDOWN($E694*$F694*0.000909187,-1),(IF($C694="신한",ROUNDDOWN($E694*$F694*0.000036396,-1),(IF($C694="토스",$E694*$F694*0.00015,(IF($C694="US",(IF($E694*$F694*0.0025&gt;0.01,$E694*$F694*0.0025,0.01)),IF($C694="JP",(IF($E694*$F694*0.0025&gt;1000,$E694*$F694*0.0025,1000)),(IF($C694="R토스",0,IF($C694="무상증자(신한)",0,"")))))))))))</f>
        <v>34.5</v>
      </c>
      <c r="L694" s="23">
        <f t="shared" ref="L694:L725" si="182">IF($C694="OTC",ROUNDDOWN($I694*$E694*0.000909187,-1),(IF($C694="신한",ROUNDDOWN($I694*$E694*0.000036396,-1),(IF($C694="토스",$I694*$E694*0.00015,(IF($C694="US",(IF($I694*$E694*0.0025&gt;0.01,$I694*$E694*0.0025,0.01)),(IF($C694="JP",(IF($I694*$E694*0.0025&gt;1000,$I694*$E694*0.0025,1000)),(IF($C694="R토스",$I694*$E694*0.00015,(IF($C694="무상증자(신한)",ROUNDDOWN($I694*$E694*0.000036396,-1),"")))))))))))))</f>
        <v>26.549999999999997</v>
      </c>
      <c r="M694" s="206">
        <f t="shared" si="168"/>
        <v>354</v>
      </c>
      <c r="N694" s="34"/>
      <c r="O694" s="209">
        <f t="shared" si="173"/>
        <v>489</v>
      </c>
      <c r="P694" s="34">
        <f t="shared" ref="P694:P725" si="183">$E694*$F694*$D694</f>
        <v>230000</v>
      </c>
      <c r="Q694" s="34">
        <f t="shared" ref="Q694:Q725" si="184">$E694*$I694*$D694</f>
        <v>177000</v>
      </c>
      <c r="R694" s="7">
        <f t="shared" ref="R694:R725" si="185">($N694-$K694-$L694-$M694)*$D694</f>
        <v>-415.05</v>
      </c>
      <c r="S694" s="227">
        <f t="shared" si="169"/>
        <v>-53415.05</v>
      </c>
      <c r="T694" s="249">
        <f t="shared" si="170"/>
        <v>-0.23223934782608696</v>
      </c>
      <c r="U694" s="193">
        <f>T694*365/O694</f>
        <v>-0.17334838845914466</v>
      </c>
      <c r="V694" s="6"/>
      <c r="W694" s="6"/>
      <c r="X694" s="6"/>
      <c r="Y694" s="6"/>
      <c r="Z694" s="6"/>
      <c r="AA694" s="6"/>
      <c r="AB694" s="6"/>
    </row>
    <row r="695" spans="2:28" ht="15" customHeight="1" x14ac:dyDescent="0.4">
      <c r="B695" s="38" t="s">
        <v>29</v>
      </c>
      <c r="C695" s="6" t="s">
        <v>122</v>
      </c>
      <c r="D695" s="6">
        <f t="shared" si="181"/>
        <v>1</v>
      </c>
      <c r="E695" s="34">
        <v>5</v>
      </c>
      <c r="F695" s="212">
        <v>20700</v>
      </c>
      <c r="G695" s="195">
        <v>45653</v>
      </c>
      <c r="H695" s="8"/>
      <c r="I695" s="212">
        <v>17700</v>
      </c>
      <c r="J695" s="8">
        <v>46134</v>
      </c>
      <c r="K695" s="23">
        <f>IF($C695="OTC",ROUNDDOWN($E695*$F695*0.000909187,-1),(IF($C695="신한",ROUNDDOWN($E695*$F695*0.000036396,-1),(IF($C695="토스",$E695*$F695*0.00015,(IF($C695="US",(IF($E695*$F695*0.0025&gt;0.01,$E695*$F695*0.0025,0.01)),IF($C695="JP",(IF($E695*$F695*0.0025&gt;1000,$E695*$F695*0.0025,1000)),(IF($C695="R토스",0,IF($C695="무상증자(신한)",0,"")))))))))))</f>
        <v>15.524999999999999</v>
      </c>
      <c r="L695" s="23">
        <f t="shared" si="182"/>
        <v>13.274999999999999</v>
      </c>
      <c r="M695" s="206">
        <f t="shared" si="168"/>
        <v>177</v>
      </c>
      <c r="N695" s="34"/>
      <c r="O695" s="209">
        <f t="shared" si="173"/>
        <v>482</v>
      </c>
      <c r="P695" s="34">
        <f t="shared" si="183"/>
        <v>103500</v>
      </c>
      <c r="Q695" s="34">
        <f t="shared" si="184"/>
        <v>88500</v>
      </c>
      <c r="R695" s="7">
        <f t="shared" si="185"/>
        <v>-205.8</v>
      </c>
      <c r="S695" s="227">
        <f t="shared" si="169"/>
        <v>-15205.8</v>
      </c>
      <c r="T695" s="249">
        <f t="shared" si="170"/>
        <v>-0.1469159420289855</v>
      </c>
    </row>
    <row r="696" spans="2:28" ht="15" customHeight="1" x14ac:dyDescent="0.4">
      <c r="B696" s="38" t="s">
        <v>29</v>
      </c>
      <c r="C696" s="6" t="s">
        <v>122</v>
      </c>
      <c r="D696" s="6">
        <f t="shared" si="181"/>
        <v>1</v>
      </c>
      <c r="E696" s="34">
        <v>30</v>
      </c>
      <c r="F696" s="212">
        <v>29750</v>
      </c>
      <c r="G696" s="195">
        <v>46014</v>
      </c>
      <c r="H696" s="8"/>
      <c r="I696" s="212">
        <v>17700</v>
      </c>
      <c r="J696" s="8">
        <v>46134</v>
      </c>
      <c r="K696" s="307">
        <v>0</v>
      </c>
      <c r="L696" s="23">
        <f t="shared" si="182"/>
        <v>79.649999999999991</v>
      </c>
      <c r="M696" s="206">
        <f t="shared" si="168"/>
        <v>1062</v>
      </c>
      <c r="N696" s="34"/>
      <c r="O696" s="209">
        <f t="shared" si="173"/>
        <v>121</v>
      </c>
      <c r="P696" s="34">
        <f t="shared" si="183"/>
        <v>892500</v>
      </c>
      <c r="Q696" s="34">
        <f t="shared" si="184"/>
        <v>531000</v>
      </c>
      <c r="R696" s="7">
        <f t="shared" si="185"/>
        <v>-1141.6500000000001</v>
      </c>
      <c r="S696" s="227">
        <f t="shared" si="169"/>
        <v>-362641.65</v>
      </c>
      <c r="T696" s="249">
        <f t="shared" si="170"/>
        <v>-0.40632117647058824</v>
      </c>
    </row>
    <row r="697" spans="2:28" ht="15" customHeight="1" x14ac:dyDescent="0.4">
      <c r="B697" s="38" t="s">
        <v>64</v>
      </c>
      <c r="C697" s="6" t="s">
        <v>160</v>
      </c>
      <c r="D697" s="6">
        <f t="shared" si="181"/>
        <v>1</v>
      </c>
      <c r="E697" s="34">
        <v>20</v>
      </c>
      <c r="F697" s="212">
        <v>20800</v>
      </c>
      <c r="G697" s="195">
        <v>45838</v>
      </c>
      <c r="H697" s="8"/>
      <c r="I697" s="212"/>
      <c r="J697" s="8"/>
      <c r="K697" s="23">
        <f t="shared" ref="K697:K725" si="186">IF($C697="OTC",ROUNDDOWN($E697*$F697*0.000909187,-1),(IF($C697="신한",ROUNDDOWN($E697*$F697*0.000036396,-1),(IF($C697="토스",$E697*$F697*0.00015,(IF($C697="US",(IF($E697*$F697*0.0025&gt;0.01,$E697*$F697*0.0025,0.01)),IF($C697="JP",(IF($E697*$F697*0.0025&gt;1000,$E697*$F697*0.0025,1000)),(IF($C697="R토스",0,IF($C697="무상증자(신한)",0,"")))))))))))</f>
        <v>10</v>
      </c>
      <c r="L697" s="23">
        <f t="shared" si="182"/>
        <v>0</v>
      </c>
      <c r="M697" s="206">
        <f t="shared" si="168"/>
        <v>0</v>
      </c>
      <c r="N697" s="34"/>
      <c r="O697" s="209">
        <f t="shared" si="173"/>
        <v>-45837</v>
      </c>
      <c r="P697" s="34">
        <f t="shared" si="183"/>
        <v>416000</v>
      </c>
      <c r="Q697" s="34">
        <f t="shared" si="184"/>
        <v>0</v>
      </c>
      <c r="R697" s="7">
        <f t="shared" si="185"/>
        <v>-10</v>
      </c>
      <c r="S697" s="227">
        <f t="shared" si="169"/>
        <v>0</v>
      </c>
      <c r="T697" s="249">
        <f t="shared" si="170"/>
        <v>0</v>
      </c>
    </row>
    <row r="698" spans="2:28" ht="15" customHeight="1" x14ac:dyDescent="0.4">
      <c r="B698" s="38" t="s">
        <v>64</v>
      </c>
      <c r="C698" s="6" t="s">
        <v>160</v>
      </c>
      <c r="D698" s="6">
        <f t="shared" si="181"/>
        <v>1</v>
      </c>
      <c r="E698" s="34">
        <v>40</v>
      </c>
      <c r="F698" s="212">
        <v>20000</v>
      </c>
      <c r="G698" s="195">
        <v>45839</v>
      </c>
      <c r="H698" s="8"/>
      <c r="I698" s="212"/>
      <c r="J698" s="8"/>
      <c r="K698" s="23">
        <f t="shared" si="186"/>
        <v>20</v>
      </c>
      <c r="L698" s="23">
        <f t="shared" si="182"/>
        <v>0</v>
      </c>
      <c r="M698" s="206">
        <f t="shared" si="168"/>
        <v>0</v>
      </c>
      <c r="N698" s="34"/>
      <c r="O698" s="209">
        <f t="shared" si="173"/>
        <v>-45838</v>
      </c>
      <c r="P698" s="34">
        <f t="shared" si="183"/>
        <v>800000</v>
      </c>
      <c r="Q698" s="34">
        <f t="shared" si="184"/>
        <v>0</v>
      </c>
      <c r="R698" s="7">
        <f t="shared" si="185"/>
        <v>-20</v>
      </c>
      <c r="S698" s="227">
        <f t="shared" si="169"/>
        <v>0</v>
      </c>
      <c r="T698" s="249">
        <f t="shared" si="170"/>
        <v>0</v>
      </c>
    </row>
    <row r="699" spans="2:28" ht="15" customHeight="1" x14ac:dyDescent="0.4">
      <c r="B699" s="38" t="s">
        <v>64</v>
      </c>
      <c r="C699" s="6" t="s">
        <v>160</v>
      </c>
      <c r="D699" s="6">
        <f t="shared" si="181"/>
        <v>1</v>
      </c>
      <c r="E699" s="34">
        <v>40</v>
      </c>
      <c r="F699" s="212">
        <v>20200</v>
      </c>
      <c r="G699" s="195">
        <v>45839</v>
      </c>
      <c r="H699" s="8"/>
      <c r="I699" s="212"/>
      <c r="J699" s="8"/>
      <c r="K699" s="23">
        <f t="shared" si="186"/>
        <v>20</v>
      </c>
      <c r="L699" s="23">
        <f t="shared" si="182"/>
        <v>0</v>
      </c>
      <c r="M699" s="206">
        <f t="shared" si="168"/>
        <v>0</v>
      </c>
      <c r="N699" s="34"/>
      <c r="O699" s="209">
        <f t="shared" si="173"/>
        <v>-45838</v>
      </c>
      <c r="P699" s="34">
        <f t="shared" si="183"/>
        <v>808000</v>
      </c>
      <c r="Q699" s="34">
        <f t="shared" si="184"/>
        <v>0</v>
      </c>
      <c r="R699" s="7">
        <f t="shared" si="185"/>
        <v>-20</v>
      </c>
      <c r="S699" s="227">
        <f t="shared" si="169"/>
        <v>0</v>
      </c>
      <c r="T699" s="249">
        <f t="shared" si="170"/>
        <v>0</v>
      </c>
    </row>
    <row r="700" spans="2:28" ht="15" customHeight="1" x14ac:dyDescent="0.4">
      <c r="B700" s="38" t="s">
        <v>64</v>
      </c>
      <c r="C700" s="6" t="s">
        <v>160</v>
      </c>
      <c r="D700" s="6">
        <f t="shared" si="181"/>
        <v>1</v>
      </c>
      <c r="E700" s="34">
        <v>40</v>
      </c>
      <c r="F700" s="212">
        <v>20350</v>
      </c>
      <c r="G700" s="195">
        <v>45839</v>
      </c>
      <c r="H700" s="8"/>
      <c r="I700" s="212"/>
      <c r="J700" s="8"/>
      <c r="K700" s="23">
        <f t="shared" si="186"/>
        <v>20</v>
      </c>
      <c r="L700" s="23">
        <f t="shared" si="182"/>
        <v>0</v>
      </c>
      <c r="M700" s="206">
        <f t="shared" si="168"/>
        <v>0</v>
      </c>
      <c r="N700" s="34"/>
      <c r="O700" s="209">
        <f t="shared" si="173"/>
        <v>-45838</v>
      </c>
      <c r="P700" s="34">
        <f t="shared" si="183"/>
        <v>814000</v>
      </c>
      <c r="Q700" s="34">
        <f t="shared" si="184"/>
        <v>0</v>
      </c>
      <c r="R700" s="7">
        <f t="shared" si="185"/>
        <v>-20</v>
      </c>
      <c r="S700" s="227">
        <f t="shared" si="169"/>
        <v>0</v>
      </c>
      <c r="T700" s="249">
        <f t="shared" si="170"/>
        <v>0</v>
      </c>
    </row>
    <row r="701" spans="2:28" ht="15" customHeight="1" x14ac:dyDescent="0.4">
      <c r="B701" s="38" t="s">
        <v>64</v>
      </c>
      <c r="C701" s="6" t="s">
        <v>160</v>
      </c>
      <c r="D701" s="6">
        <f t="shared" si="181"/>
        <v>1</v>
      </c>
      <c r="E701" s="34">
        <v>20</v>
      </c>
      <c r="F701" s="212">
        <v>19950</v>
      </c>
      <c r="G701" s="195">
        <v>45839</v>
      </c>
      <c r="H701" s="8"/>
      <c r="I701" s="212"/>
      <c r="J701" s="8"/>
      <c r="K701" s="23">
        <f t="shared" si="186"/>
        <v>10</v>
      </c>
      <c r="L701" s="23">
        <f t="shared" si="182"/>
        <v>0</v>
      </c>
      <c r="M701" s="206">
        <f t="shared" si="168"/>
        <v>0</v>
      </c>
      <c r="N701" s="34"/>
      <c r="O701" s="209">
        <f t="shared" si="173"/>
        <v>-45838</v>
      </c>
      <c r="P701" s="34">
        <f t="shared" si="183"/>
        <v>399000</v>
      </c>
      <c r="Q701" s="34">
        <f t="shared" si="184"/>
        <v>0</v>
      </c>
      <c r="R701" s="7">
        <f t="shared" si="185"/>
        <v>-10</v>
      </c>
      <c r="S701" s="227">
        <f t="shared" si="169"/>
        <v>0</v>
      </c>
      <c r="T701" s="249">
        <f t="shared" si="170"/>
        <v>0</v>
      </c>
    </row>
    <row r="702" spans="2:28" ht="15" customHeight="1" x14ac:dyDescent="0.4">
      <c r="B702" s="38" t="s">
        <v>64</v>
      </c>
      <c r="C702" s="6" t="s">
        <v>160</v>
      </c>
      <c r="D702" s="6">
        <f t="shared" si="181"/>
        <v>1</v>
      </c>
      <c r="E702" s="34">
        <v>20</v>
      </c>
      <c r="F702" s="212">
        <v>19850</v>
      </c>
      <c r="G702" s="195">
        <v>45839</v>
      </c>
      <c r="H702" s="8"/>
      <c r="I702" s="212"/>
      <c r="J702" s="8"/>
      <c r="K702" s="23">
        <f t="shared" si="186"/>
        <v>10</v>
      </c>
      <c r="L702" s="23">
        <f t="shared" si="182"/>
        <v>0</v>
      </c>
      <c r="M702" s="206">
        <f t="shared" si="168"/>
        <v>0</v>
      </c>
      <c r="N702" s="34"/>
      <c r="O702" s="209">
        <f t="shared" si="173"/>
        <v>-45838</v>
      </c>
      <c r="P702" s="34">
        <f t="shared" si="183"/>
        <v>397000</v>
      </c>
      <c r="Q702" s="34">
        <f t="shared" si="184"/>
        <v>0</v>
      </c>
      <c r="R702" s="7">
        <f t="shared" si="185"/>
        <v>-10</v>
      </c>
      <c r="S702" s="227">
        <f t="shared" si="169"/>
        <v>0</v>
      </c>
      <c r="T702" s="249">
        <f t="shared" si="170"/>
        <v>0</v>
      </c>
    </row>
    <row r="703" spans="2:28" ht="15" customHeight="1" x14ac:dyDescent="0.4">
      <c r="B703" s="38" t="s">
        <v>64</v>
      </c>
      <c r="C703" s="6" t="s">
        <v>160</v>
      </c>
      <c r="D703" s="6">
        <f t="shared" si="181"/>
        <v>1</v>
      </c>
      <c r="E703" s="34">
        <v>20</v>
      </c>
      <c r="F703" s="212">
        <v>19780</v>
      </c>
      <c r="G703" s="195">
        <v>45839</v>
      </c>
      <c r="H703" s="8"/>
      <c r="I703" s="212"/>
      <c r="J703" s="8"/>
      <c r="K703" s="23">
        <f t="shared" si="186"/>
        <v>10</v>
      </c>
      <c r="L703" s="23">
        <f t="shared" si="182"/>
        <v>0</v>
      </c>
      <c r="M703" s="206">
        <f t="shared" si="168"/>
        <v>0</v>
      </c>
      <c r="N703" s="34"/>
      <c r="O703" s="209">
        <f t="shared" si="173"/>
        <v>-45838</v>
      </c>
      <c r="P703" s="34">
        <f t="shared" si="183"/>
        <v>395600</v>
      </c>
      <c r="Q703" s="34">
        <f t="shared" si="184"/>
        <v>0</v>
      </c>
      <c r="R703" s="7">
        <f t="shared" si="185"/>
        <v>-10</v>
      </c>
      <c r="S703" s="227">
        <f t="shared" si="169"/>
        <v>0</v>
      </c>
      <c r="T703" s="249">
        <f t="shared" si="170"/>
        <v>0</v>
      </c>
    </row>
    <row r="704" spans="2:28" ht="15" customHeight="1" x14ac:dyDescent="0.4">
      <c r="B704" s="38" t="s">
        <v>64</v>
      </c>
      <c r="C704" s="6" t="s">
        <v>160</v>
      </c>
      <c r="D704" s="6">
        <f t="shared" si="181"/>
        <v>1</v>
      </c>
      <c r="E704" s="34">
        <v>10</v>
      </c>
      <c r="F704" s="212">
        <v>19850</v>
      </c>
      <c r="G704" s="195">
        <v>45847</v>
      </c>
      <c r="H704" s="8"/>
      <c r="I704" s="212"/>
      <c r="J704" s="8"/>
      <c r="K704" s="23">
        <f t="shared" si="186"/>
        <v>0</v>
      </c>
      <c r="L704" s="23">
        <f t="shared" si="182"/>
        <v>0</v>
      </c>
      <c r="M704" s="206">
        <f t="shared" si="168"/>
        <v>0</v>
      </c>
      <c r="N704" s="34"/>
      <c r="O704" s="209">
        <f t="shared" si="173"/>
        <v>-45846</v>
      </c>
      <c r="P704" s="34">
        <f t="shared" si="183"/>
        <v>198500</v>
      </c>
      <c r="Q704" s="34">
        <f t="shared" si="184"/>
        <v>0</v>
      </c>
      <c r="R704" s="7">
        <f t="shared" si="185"/>
        <v>0</v>
      </c>
      <c r="S704" s="227">
        <f t="shared" si="169"/>
        <v>0</v>
      </c>
      <c r="T704" s="249">
        <f t="shared" si="170"/>
        <v>0</v>
      </c>
    </row>
    <row r="705" spans="2:20" ht="15" customHeight="1" x14ac:dyDescent="0.4">
      <c r="B705" s="38" t="s">
        <v>64</v>
      </c>
      <c r="C705" s="6" t="s">
        <v>160</v>
      </c>
      <c r="D705" s="6">
        <f t="shared" si="181"/>
        <v>1</v>
      </c>
      <c r="E705" s="34">
        <v>10</v>
      </c>
      <c r="F705" s="212">
        <v>19300</v>
      </c>
      <c r="G705" s="195">
        <v>45848</v>
      </c>
      <c r="H705" s="8"/>
      <c r="I705" s="212"/>
      <c r="J705" s="8"/>
      <c r="K705" s="23">
        <f t="shared" si="186"/>
        <v>0</v>
      </c>
      <c r="L705" s="23">
        <f t="shared" si="182"/>
        <v>0</v>
      </c>
      <c r="M705" s="206">
        <f t="shared" si="168"/>
        <v>0</v>
      </c>
      <c r="N705" s="34"/>
      <c r="O705" s="209">
        <f t="shared" si="173"/>
        <v>-45847</v>
      </c>
      <c r="P705" s="34">
        <f t="shared" si="183"/>
        <v>193000</v>
      </c>
      <c r="Q705" s="34">
        <f t="shared" si="184"/>
        <v>0</v>
      </c>
      <c r="R705" s="7">
        <f t="shared" si="185"/>
        <v>0</v>
      </c>
      <c r="S705" s="227">
        <f t="shared" si="169"/>
        <v>0</v>
      </c>
      <c r="T705" s="249">
        <f t="shared" si="170"/>
        <v>0</v>
      </c>
    </row>
    <row r="706" spans="2:20" ht="15" customHeight="1" x14ac:dyDescent="0.4">
      <c r="B706" s="38" t="s">
        <v>64</v>
      </c>
      <c r="C706" s="6" t="s">
        <v>160</v>
      </c>
      <c r="D706" s="6">
        <f t="shared" si="181"/>
        <v>1</v>
      </c>
      <c r="E706" s="34">
        <v>10</v>
      </c>
      <c r="F706" s="212">
        <v>20100</v>
      </c>
      <c r="G706" s="195">
        <v>45854</v>
      </c>
      <c r="H706" s="8"/>
      <c r="I706" s="212"/>
      <c r="J706" s="8"/>
      <c r="K706" s="23">
        <f t="shared" si="186"/>
        <v>0</v>
      </c>
      <c r="L706" s="23">
        <f t="shared" si="182"/>
        <v>0</v>
      </c>
      <c r="M706" s="206">
        <f t="shared" si="168"/>
        <v>0</v>
      </c>
      <c r="N706" s="34"/>
      <c r="O706" s="209">
        <f t="shared" si="173"/>
        <v>-45853</v>
      </c>
      <c r="P706" s="34">
        <f t="shared" si="183"/>
        <v>201000</v>
      </c>
      <c r="Q706" s="34">
        <f t="shared" si="184"/>
        <v>0</v>
      </c>
      <c r="R706" s="7">
        <f t="shared" si="185"/>
        <v>0</v>
      </c>
      <c r="S706" s="227">
        <f t="shared" si="169"/>
        <v>0</v>
      </c>
      <c r="T706" s="249">
        <f t="shared" si="170"/>
        <v>0</v>
      </c>
    </row>
    <row r="707" spans="2:20" ht="15" customHeight="1" x14ac:dyDescent="0.4">
      <c r="B707" s="38" t="s">
        <v>64</v>
      </c>
      <c r="C707" s="6" t="s">
        <v>160</v>
      </c>
      <c r="D707" s="6">
        <f t="shared" si="181"/>
        <v>1</v>
      </c>
      <c r="E707" s="34">
        <v>10</v>
      </c>
      <c r="F707" s="212">
        <v>18600</v>
      </c>
      <c r="G707" s="195">
        <v>45868</v>
      </c>
      <c r="H707" s="8"/>
      <c r="I707" s="212"/>
      <c r="J707" s="8"/>
      <c r="K707" s="23">
        <f t="shared" si="186"/>
        <v>0</v>
      </c>
      <c r="L707" s="23">
        <f t="shared" si="182"/>
        <v>0</v>
      </c>
      <c r="M707" s="206">
        <f t="shared" si="168"/>
        <v>0</v>
      </c>
      <c r="N707" s="34"/>
      <c r="O707" s="209">
        <f t="shared" si="173"/>
        <v>-45867</v>
      </c>
      <c r="P707" s="34">
        <f t="shared" si="183"/>
        <v>186000</v>
      </c>
      <c r="Q707" s="34">
        <f t="shared" si="184"/>
        <v>0</v>
      </c>
      <c r="R707" s="7">
        <f t="shared" si="185"/>
        <v>0</v>
      </c>
      <c r="S707" s="227">
        <f t="shared" si="169"/>
        <v>0</v>
      </c>
      <c r="T707" s="249">
        <f t="shared" si="170"/>
        <v>0</v>
      </c>
    </row>
    <row r="708" spans="2:20" ht="15" customHeight="1" x14ac:dyDescent="0.4">
      <c r="B708" s="38" t="s">
        <v>64</v>
      </c>
      <c r="C708" s="6" t="s">
        <v>160</v>
      </c>
      <c r="D708" s="6">
        <f t="shared" si="181"/>
        <v>1</v>
      </c>
      <c r="E708" s="34">
        <v>20</v>
      </c>
      <c r="F708" s="212">
        <v>18280</v>
      </c>
      <c r="G708" s="195">
        <v>45904</v>
      </c>
      <c r="H708" s="8"/>
      <c r="I708" s="212"/>
      <c r="J708" s="8"/>
      <c r="K708" s="23">
        <f t="shared" si="186"/>
        <v>10</v>
      </c>
      <c r="L708" s="23">
        <f t="shared" si="182"/>
        <v>0</v>
      </c>
      <c r="M708" s="206">
        <f t="shared" ref="M708:M726" si="187">Q708*0.002</f>
        <v>0</v>
      </c>
      <c r="N708" s="34"/>
      <c r="O708" s="209">
        <f t="shared" si="173"/>
        <v>-45903</v>
      </c>
      <c r="P708" s="34">
        <f t="shared" si="183"/>
        <v>365600</v>
      </c>
      <c r="Q708" s="34">
        <f t="shared" si="184"/>
        <v>0</v>
      </c>
      <c r="R708" s="7">
        <f t="shared" si="185"/>
        <v>-10</v>
      </c>
      <c r="S708" s="227">
        <f t="shared" ref="S708:S771" si="188">IF(Q708=0,0,Q708-P708+R708)</f>
        <v>0</v>
      </c>
      <c r="T708" s="249">
        <f t="shared" ref="T708:T771" si="189">S708/P708</f>
        <v>0</v>
      </c>
    </row>
    <row r="709" spans="2:20" ht="15" customHeight="1" x14ac:dyDescent="0.4">
      <c r="B709" s="38" t="s">
        <v>64</v>
      </c>
      <c r="C709" s="6" t="s">
        <v>160</v>
      </c>
      <c r="D709" s="6">
        <f t="shared" si="181"/>
        <v>1</v>
      </c>
      <c r="E709" s="34">
        <v>10</v>
      </c>
      <c r="F709" s="212">
        <v>18300</v>
      </c>
      <c r="G709" s="195">
        <v>45904</v>
      </c>
      <c r="H709" s="8"/>
      <c r="I709" s="212"/>
      <c r="J709" s="8"/>
      <c r="K709" s="23">
        <f t="shared" si="186"/>
        <v>0</v>
      </c>
      <c r="L709" s="23">
        <f t="shared" si="182"/>
        <v>0</v>
      </c>
      <c r="M709" s="206">
        <f t="shared" si="187"/>
        <v>0</v>
      </c>
      <c r="N709" s="34"/>
      <c r="O709" s="209">
        <f t="shared" si="173"/>
        <v>-45903</v>
      </c>
      <c r="P709" s="34">
        <f t="shared" si="183"/>
        <v>183000</v>
      </c>
      <c r="Q709" s="34">
        <f t="shared" si="184"/>
        <v>0</v>
      </c>
      <c r="R709" s="7">
        <f t="shared" si="185"/>
        <v>0</v>
      </c>
      <c r="S709" s="227">
        <f t="shared" si="188"/>
        <v>0</v>
      </c>
      <c r="T709" s="249">
        <f t="shared" si="189"/>
        <v>0</v>
      </c>
    </row>
    <row r="710" spans="2:20" ht="15" customHeight="1" x14ac:dyDescent="0.4">
      <c r="B710" s="38" t="s">
        <v>64</v>
      </c>
      <c r="C710" s="6" t="s">
        <v>160</v>
      </c>
      <c r="D710" s="6">
        <f t="shared" si="181"/>
        <v>1</v>
      </c>
      <c r="E710" s="34">
        <v>5</v>
      </c>
      <c r="F710" s="212">
        <v>18680</v>
      </c>
      <c r="G710" s="195">
        <v>45918</v>
      </c>
      <c r="H710" s="8"/>
      <c r="I710" s="212"/>
      <c r="J710" s="8"/>
      <c r="K710" s="23">
        <f t="shared" si="186"/>
        <v>0</v>
      </c>
      <c r="L710" s="23">
        <f t="shared" si="182"/>
        <v>0</v>
      </c>
      <c r="M710" s="206">
        <f t="shared" si="187"/>
        <v>0</v>
      </c>
      <c r="N710" s="34"/>
      <c r="O710" s="209">
        <f t="shared" si="173"/>
        <v>-45917</v>
      </c>
      <c r="P710" s="34">
        <f t="shared" si="183"/>
        <v>93400</v>
      </c>
      <c r="Q710" s="34">
        <f t="shared" si="184"/>
        <v>0</v>
      </c>
      <c r="R710" s="7">
        <f t="shared" si="185"/>
        <v>0</v>
      </c>
      <c r="S710" s="227">
        <f t="shared" si="188"/>
        <v>0</v>
      </c>
      <c r="T710" s="249">
        <f t="shared" si="189"/>
        <v>0</v>
      </c>
    </row>
    <row r="711" spans="2:20" ht="15" customHeight="1" x14ac:dyDescent="0.4">
      <c r="B711" s="38" t="s">
        <v>64</v>
      </c>
      <c r="C711" s="6" t="s">
        <v>160</v>
      </c>
      <c r="D711" s="6">
        <f t="shared" si="181"/>
        <v>1</v>
      </c>
      <c r="E711" s="34">
        <v>10</v>
      </c>
      <c r="F711" s="212">
        <v>18900</v>
      </c>
      <c r="G711" s="195">
        <v>45924</v>
      </c>
      <c r="H711" s="8"/>
      <c r="I711" s="212"/>
      <c r="J711" s="8"/>
      <c r="K711" s="23">
        <f t="shared" si="186"/>
        <v>0</v>
      </c>
      <c r="L711" s="23">
        <f t="shared" si="182"/>
        <v>0</v>
      </c>
      <c r="M711" s="206">
        <f t="shared" si="187"/>
        <v>0</v>
      </c>
      <c r="N711" s="34"/>
      <c r="O711" s="209">
        <f t="shared" si="173"/>
        <v>-45923</v>
      </c>
      <c r="P711" s="34">
        <f t="shared" si="183"/>
        <v>189000</v>
      </c>
      <c r="Q711" s="34">
        <f t="shared" si="184"/>
        <v>0</v>
      </c>
      <c r="R711" s="7">
        <f t="shared" si="185"/>
        <v>0</v>
      </c>
      <c r="S711" s="227">
        <f t="shared" si="188"/>
        <v>0</v>
      </c>
      <c r="T711" s="249">
        <f t="shared" si="189"/>
        <v>0</v>
      </c>
    </row>
    <row r="712" spans="2:20" ht="15" customHeight="1" x14ac:dyDescent="0.4">
      <c r="B712" s="38" t="s">
        <v>64</v>
      </c>
      <c r="C712" s="6" t="s">
        <v>160</v>
      </c>
      <c r="D712" s="6">
        <f t="shared" si="181"/>
        <v>1</v>
      </c>
      <c r="E712" s="34">
        <v>20</v>
      </c>
      <c r="F712" s="212">
        <v>18850</v>
      </c>
      <c r="G712" s="195">
        <v>45932</v>
      </c>
      <c r="H712" s="8"/>
      <c r="I712" s="212"/>
      <c r="J712" s="8"/>
      <c r="K712" s="23">
        <f t="shared" si="186"/>
        <v>10</v>
      </c>
      <c r="L712" s="23">
        <f t="shared" si="182"/>
        <v>0</v>
      </c>
      <c r="M712" s="206">
        <f t="shared" si="187"/>
        <v>0</v>
      </c>
      <c r="N712" s="34"/>
      <c r="O712" s="209">
        <f t="shared" si="173"/>
        <v>-45931</v>
      </c>
      <c r="P712" s="34">
        <f t="shared" si="183"/>
        <v>377000</v>
      </c>
      <c r="Q712" s="34">
        <f t="shared" si="184"/>
        <v>0</v>
      </c>
      <c r="R712" s="7">
        <f t="shared" si="185"/>
        <v>-10</v>
      </c>
      <c r="S712" s="227">
        <f t="shared" si="188"/>
        <v>0</v>
      </c>
      <c r="T712" s="249">
        <f t="shared" si="189"/>
        <v>0</v>
      </c>
    </row>
    <row r="713" spans="2:20" ht="15" customHeight="1" x14ac:dyDescent="0.4">
      <c r="B713" s="38" t="s">
        <v>64</v>
      </c>
      <c r="C713" s="6" t="s">
        <v>160</v>
      </c>
      <c r="D713" s="6">
        <f t="shared" si="181"/>
        <v>1</v>
      </c>
      <c r="E713" s="34">
        <v>11</v>
      </c>
      <c r="F713" s="212">
        <v>17700</v>
      </c>
      <c r="G713" s="195">
        <v>45945</v>
      </c>
      <c r="H713" s="8"/>
      <c r="I713" s="212"/>
      <c r="J713" s="8"/>
      <c r="K713" s="23">
        <f t="shared" si="186"/>
        <v>0</v>
      </c>
      <c r="L713" s="23">
        <f t="shared" si="182"/>
        <v>0</v>
      </c>
      <c r="M713" s="206">
        <f t="shared" si="187"/>
        <v>0</v>
      </c>
      <c r="N713" s="34"/>
      <c r="O713" s="209">
        <f t="shared" si="173"/>
        <v>-45944</v>
      </c>
      <c r="P713" s="34">
        <f t="shared" si="183"/>
        <v>194700</v>
      </c>
      <c r="Q713" s="34">
        <f t="shared" si="184"/>
        <v>0</v>
      </c>
      <c r="R713" s="7">
        <f t="shared" si="185"/>
        <v>0</v>
      </c>
      <c r="S713" s="227">
        <f t="shared" si="188"/>
        <v>0</v>
      </c>
      <c r="T713" s="249">
        <f t="shared" si="189"/>
        <v>0</v>
      </c>
    </row>
    <row r="714" spans="2:20" ht="15" customHeight="1" x14ac:dyDescent="0.4">
      <c r="B714" s="38" t="s">
        <v>64</v>
      </c>
      <c r="C714" s="6" t="s">
        <v>160</v>
      </c>
      <c r="D714" s="6">
        <f t="shared" si="181"/>
        <v>1</v>
      </c>
      <c r="E714" s="34">
        <v>2</v>
      </c>
      <c r="F714" s="212">
        <v>13340</v>
      </c>
      <c r="G714" s="195">
        <v>46059</v>
      </c>
      <c r="H714" s="8"/>
      <c r="I714" s="212"/>
      <c r="J714" s="8"/>
      <c r="K714" s="23">
        <f t="shared" si="186"/>
        <v>0</v>
      </c>
      <c r="L714" s="23">
        <f t="shared" si="182"/>
        <v>0</v>
      </c>
      <c r="M714" s="206">
        <f t="shared" si="187"/>
        <v>0</v>
      </c>
      <c r="N714" s="34"/>
      <c r="O714" s="209">
        <f t="shared" si="173"/>
        <v>-46058</v>
      </c>
      <c r="P714" s="34">
        <f t="shared" si="183"/>
        <v>26680</v>
      </c>
      <c r="Q714" s="34">
        <f t="shared" si="184"/>
        <v>0</v>
      </c>
      <c r="R714" s="7">
        <f t="shared" si="185"/>
        <v>0</v>
      </c>
      <c r="S714" s="227">
        <f t="shared" si="188"/>
        <v>0</v>
      </c>
      <c r="T714" s="249">
        <f t="shared" si="189"/>
        <v>0</v>
      </c>
    </row>
    <row r="715" spans="2:20" ht="15" customHeight="1" x14ac:dyDescent="0.4">
      <c r="B715" s="38" t="s">
        <v>64</v>
      </c>
      <c r="C715" s="6" t="s">
        <v>160</v>
      </c>
      <c r="D715" s="6">
        <f t="shared" si="181"/>
        <v>1</v>
      </c>
      <c r="E715" s="34">
        <v>2</v>
      </c>
      <c r="F715" s="212">
        <v>14580</v>
      </c>
      <c r="G715" s="195">
        <v>46066</v>
      </c>
      <c r="H715" s="8"/>
      <c r="I715" s="212"/>
      <c r="J715" s="8"/>
      <c r="K715" s="23">
        <f t="shared" si="186"/>
        <v>0</v>
      </c>
      <c r="L715" s="23">
        <f t="shared" si="182"/>
        <v>0</v>
      </c>
      <c r="M715" s="206">
        <f t="shared" si="187"/>
        <v>0</v>
      </c>
      <c r="N715" s="34"/>
      <c r="O715" s="209">
        <f t="shared" si="173"/>
        <v>-46065</v>
      </c>
      <c r="P715" s="34">
        <f t="shared" si="183"/>
        <v>29160</v>
      </c>
      <c r="Q715" s="34">
        <f t="shared" si="184"/>
        <v>0</v>
      </c>
      <c r="R715" s="7">
        <f t="shared" si="185"/>
        <v>0</v>
      </c>
      <c r="S715" s="227">
        <f t="shared" si="188"/>
        <v>0</v>
      </c>
      <c r="T715" s="249">
        <f t="shared" si="189"/>
        <v>0</v>
      </c>
    </row>
    <row r="716" spans="2:20" ht="15" customHeight="1" x14ac:dyDescent="0.4">
      <c r="B716" s="38" t="s">
        <v>64</v>
      </c>
      <c r="C716" s="6" t="s">
        <v>160</v>
      </c>
      <c r="D716" s="6">
        <f t="shared" si="181"/>
        <v>1</v>
      </c>
      <c r="E716" s="34">
        <v>2</v>
      </c>
      <c r="F716" s="212">
        <v>14910</v>
      </c>
      <c r="G716" s="195">
        <v>46073</v>
      </c>
      <c r="H716" s="8"/>
      <c r="I716" s="212"/>
      <c r="J716" s="8"/>
      <c r="K716" s="23">
        <f t="shared" si="186"/>
        <v>0</v>
      </c>
      <c r="L716" s="23">
        <f t="shared" si="182"/>
        <v>0</v>
      </c>
      <c r="M716" s="206">
        <f t="shared" si="187"/>
        <v>0</v>
      </c>
      <c r="N716" s="34"/>
      <c r="O716" s="209">
        <f t="shared" si="173"/>
        <v>-46072</v>
      </c>
      <c r="P716" s="34">
        <f t="shared" si="183"/>
        <v>29820</v>
      </c>
      <c r="Q716" s="34">
        <f t="shared" si="184"/>
        <v>0</v>
      </c>
      <c r="R716" s="7">
        <f t="shared" si="185"/>
        <v>0</v>
      </c>
      <c r="S716" s="227">
        <f t="shared" si="188"/>
        <v>0</v>
      </c>
      <c r="T716" s="249">
        <f t="shared" si="189"/>
        <v>0</v>
      </c>
    </row>
    <row r="717" spans="2:20" ht="15" customHeight="1" x14ac:dyDescent="0.4">
      <c r="B717" s="38" t="s">
        <v>64</v>
      </c>
      <c r="C717" s="6" t="s">
        <v>160</v>
      </c>
      <c r="D717" s="6">
        <f t="shared" si="181"/>
        <v>1</v>
      </c>
      <c r="E717" s="34">
        <v>2</v>
      </c>
      <c r="F717" s="212">
        <v>15300</v>
      </c>
      <c r="G717" s="195">
        <v>46080</v>
      </c>
      <c r="H717" s="8"/>
      <c r="I717" s="212"/>
      <c r="J717" s="8"/>
      <c r="K717" s="23">
        <f t="shared" si="186"/>
        <v>0</v>
      </c>
      <c r="L717" s="23">
        <f t="shared" si="182"/>
        <v>0</v>
      </c>
      <c r="M717" s="206">
        <f t="shared" si="187"/>
        <v>0</v>
      </c>
      <c r="N717" s="34"/>
      <c r="O717" s="209">
        <f t="shared" si="173"/>
        <v>-46079</v>
      </c>
      <c r="P717" s="34">
        <f t="shared" si="183"/>
        <v>30600</v>
      </c>
      <c r="Q717" s="34">
        <f t="shared" si="184"/>
        <v>0</v>
      </c>
      <c r="R717" s="7">
        <f t="shared" si="185"/>
        <v>0</v>
      </c>
      <c r="S717" s="227">
        <f t="shared" si="188"/>
        <v>0</v>
      </c>
      <c r="T717" s="249">
        <f t="shared" si="189"/>
        <v>0</v>
      </c>
    </row>
    <row r="718" spans="2:20" ht="15" customHeight="1" x14ac:dyDescent="0.4">
      <c r="B718" s="38" t="s">
        <v>64</v>
      </c>
      <c r="C718" s="6" t="s">
        <v>160</v>
      </c>
      <c r="D718" s="6">
        <f t="shared" si="181"/>
        <v>1</v>
      </c>
      <c r="E718" s="34">
        <v>2</v>
      </c>
      <c r="F718" s="212">
        <v>14900</v>
      </c>
      <c r="G718" s="195">
        <v>46087</v>
      </c>
      <c r="H718" s="8"/>
      <c r="I718" s="212"/>
      <c r="J718" s="8"/>
      <c r="K718" s="23">
        <f t="shared" si="186"/>
        <v>0</v>
      </c>
      <c r="L718" s="23">
        <f t="shared" si="182"/>
        <v>0</v>
      </c>
      <c r="M718" s="206">
        <f t="shared" si="187"/>
        <v>0</v>
      </c>
      <c r="N718" s="34"/>
      <c r="O718" s="209">
        <f t="shared" si="173"/>
        <v>-46086</v>
      </c>
      <c r="P718" s="34">
        <f t="shared" si="183"/>
        <v>29800</v>
      </c>
      <c r="Q718" s="34">
        <f t="shared" si="184"/>
        <v>0</v>
      </c>
      <c r="R718" s="7">
        <f t="shared" si="185"/>
        <v>0</v>
      </c>
      <c r="S718" s="227">
        <f t="shared" si="188"/>
        <v>0</v>
      </c>
      <c r="T718" s="249">
        <f t="shared" si="189"/>
        <v>0</v>
      </c>
    </row>
    <row r="719" spans="2:20" ht="15" customHeight="1" x14ac:dyDescent="0.4">
      <c r="B719" s="38" t="s">
        <v>64</v>
      </c>
      <c r="C719" s="6" t="s">
        <v>160</v>
      </c>
      <c r="D719" s="6">
        <f t="shared" si="181"/>
        <v>1</v>
      </c>
      <c r="E719" s="34">
        <v>2</v>
      </c>
      <c r="F719" s="212">
        <v>12630</v>
      </c>
      <c r="G719" s="195">
        <v>46094</v>
      </c>
      <c r="H719" s="8"/>
      <c r="I719" s="212"/>
      <c r="J719" s="8"/>
      <c r="K719" s="23">
        <f t="shared" si="186"/>
        <v>0</v>
      </c>
      <c r="L719" s="23">
        <f t="shared" si="182"/>
        <v>0</v>
      </c>
      <c r="M719" s="206">
        <f t="shared" si="187"/>
        <v>0</v>
      </c>
      <c r="N719" s="34"/>
      <c r="O719" s="209">
        <f t="shared" si="173"/>
        <v>-46093</v>
      </c>
      <c r="P719" s="34">
        <f t="shared" si="183"/>
        <v>25260</v>
      </c>
      <c r="Q719" s="34">
        <f t="shared" si="184"/>
        <v>0</v>
      </c>
      <c r="R719" s="7">
        <f t="shared" si="185"/>
        <v>0</v>
      </c>
      <c r="S719" s="227">
        <f t="shared" si="188"/>
        <v>0</v>
      </c>
      <c r="T719" s="249">
        <f t="shared" si="189"/>
        <v>0</v>
      </c>
    </row>
    <row r="720" spans="2:20" ht="15" customHeight="1" x14ac:dyDescent="0.4">
      <c r="B720" s="38" t="s">
        <v>64</v>
      </c>
      <c r="C720" s="6" t="s">
        <v>160</v>
      </c>
      <c r="D720" s="6">
        <f t="shared" si="181"/>
        <v>1</v>
      </c>
      <c r="E720" s="34">
        <v>2</v>
      </c>
      <c r="F720" s="212">
        <v>14700</v>
      </c>
      <c r="G720" s="195">
        <v>46101</v>
      </c>
      <c r="H720" s="8"/>
      <c r="I720" s="212"/>
      <c r="J720" s="8"/>
      <c r="K720" s="23">
        <f t="shared" si="186"/>
        <v>0</v>
      </c>
      <c r="L720" s="23">
        <f t="shared" si="182"/>
        <v>0</v>
      </c>
      <c r="M720" s="206">
        <f t="shared" si="187"/>
        <v>0</v>
      </c>
      <c r="N720" s="34"/>
      <c r="O720" s="209">
        <f t="shared" si="173"/>
        <v>-46100</v>
      </c>
      <c r="P720" s="34">
        <f t="shared" si="183"/>
        <v>29400</v>
      </c>
      <c r="Q720" s="34">
        <f t="shared" si="184"/>
        <v>0</v>
      </c>
      <c r="R720" s="7">
        <f t="shared" si="185"/>
        <v>0</v>
      </c>
      <c r="S720" s="227">
        <f t="shared" si="188"/>
        <v>0</v>
      </c>
      <c r="T720" s="249">
        <f t="shared" si="189"/>
        <v>0</v>
      </c>
    </row>
    <row r="721" spans="2:21" ht="15" customHeight="1" x14ac:dyDescent="0.4">
      <c r="B721" s="38" t="s">
        <v>64</v>
      </c>
      <c r="C721" s="6" t="s">
        <v>160</v>
      </c>
      <c r="D721" s="6">
        <f t="shared" si="181"/>
        <v>1</v>
      </c>
      <c r="E721" s="34">
        <v>2</v>
      </c>
      <c r="F721" s="212">
        <v>14110</v>
      </c>
      <c r="G721" s="195">
        <v>46108</v>
      </c>
      <c r="H721" s="8"/>
      <c r="I721" s="212"/>
      <c r="J721" s="8"/>
      <c r="K721" s="23">
        <f t="shared" si="186"/>
        <v>0</v>
      </c>
      <c r="L721" s="23">
        <f t="shared" si="182"/>
        <v>0</v>
      </c>
      <c r="M721" s="206">
        <f t="shared" si="187"/>
        <v>0</v>
      </c>
      <c r="N721" s="34"/>
      <c r="O721" s="209">
        <f t="shared" si="173"/>
        <v>-46107</v>
      </c>
      <c r="P721" s="34">
        <f t="shared" si="183"/>
        <v>28220</v>
      </c>
      <c r="Q721" s="34">
        <f t="shared" si="184"/>
        <v>0</v>
      </c>
      <c r="R721" s="7">
        <f t="shared" si="185"/>
        <v>0</v>
      </c>
      <c r="S721" s="227">
        <f t="shared" si="188"/>
        <v>0</v>
      </c>
      <c r="T721" s="249">
        <f t="shared" si="189"/>
        <v>0</v>
      </c>
    </row>
    <row r="722" spans="2:21" ht="15" customHeight="1" x14ac:dyDescent="0.4">
      <c r="B722" s="38" t="s">
        <v>64</v>
      </c>
      <c r="C722" s="6" t="s">
        <v>160</v>
      </c>
      <c r="D722" s="6">
        <f t="shared" si="181"/>
        <v>1</v>
      </c>
      <c r="E722" s="34">
        <v>2</v>
      </c>
      <c r="F722" s="212">
        <v>11860</v>
      </c>
      <c r="G722" s="195">
        <v>46115</v>
      </c>
      <c r="H722" s="8"/>
      <c r="I722" s="212"/>
      <c r="J722" s="8"/>
      <c r="K722" s="23">
        <f t="shared" si="186"/>
        <v>0</v>
      </c>
      <c r="L722" s="23">
        <f t="shared" si="182"/>
        <v>0</v>
      </c>
      <c r="M722" s="206">
        <f t="shared" si="187"/>
        <v>0</v>
      </c>
      <c r="N722" s="34"/>
      <c r="O722" s="209">
        <f t="shared" si="173"/>
        <v>-46114</v>
      </c>
      <c r="P722" s="34">
        <f t="shared" si="183"/>
        <v>23720</v>
      </c>
      <c r="Q722" s="34">
        <f t="shared" si="184"/>
        <v>0</v>
      </c>
      <c r="R722" s="7">
        <f t="shared" si="185"/>
        <v>0</v>
      </c>
      <c r="S722" s="227">
        <f t="shared" si="188"/>
        <v>0</v>
      </c>
      <c r="T722" s="249">
        <f t="shared" si="189"/>
        <v>0</v>
      </c>
    </row>
    <row r="723" spans="2:21" ht="15" customHeight="1" x14ac:dyDescent="0.4">
      <c r="B723" s="38" t="s">
        <v>64</v>
      </c>
      <c r="C723" s="6" t="s">
        <v>160</v>
      </c>
      <c r="D723" s="6">
        <f t="shared" si="181"/>
        <v>1</v>
      </c>
      <c r="E723" s="34">
        <v>2</v>
      </c>
      <c r="F723" s="212">
        <v>13250</v>
      </c>
      <c r="G723" s="195">
        <v>46122</v>
      </c>
      <c r="H723" s="8"/>
      <c r="I723" s="212"/>
      <c r="J723" s="8"/>
      <c r="K723" s="23">
        <f t="shared" si="186"/>
        <v>0</v>
      </c>
      <c r="L723" s="23">
        <f t="shared" si="182"/>
        <v>0</v>
      </c>
      <c r="M723" s="206">
        <f t="shared" si="187"/>
        <v>0</v>
      </c>
      <c r="N723" s="34"/>
      <c r="O723" s="209">
        <f t="shared" si="173"/>
        <v>-46121</v>
      </c>
      <c r="P723" s="34">
        <f t="shared" si="183"/>
        <v>26500</v>
      </c>
      <c r="Q723" s="34">
        <f t="shared" si="184"/>
        <v>0</v>
      </c>
      <c r="R723" s="7">
        <f t="shared" si="185"/>
        <v>0</v>
      </c>
      <c r="S723" s="227">
        <f t="shared" si="188"/>
        <v>0</v>
      </c>
      <c r="T723" s="249">
        <f t="shared" si="189"/>
        <v>0</v>
      </c>
    </row>
    <row r="724" spans="2:21" ht="15" customHeight="1" x14ac:dyDescent="0.4">
      <c r="B724" s="38" t="s">
        <v>64</v>
      </c>
      <c r="C724" s="6" t="s">
        <v>160</v>
      </c>
      <c r="D724" s="6">
        <f t="shared" si="181"/>
        <v>1</v>
      </c>
      <c r="E724" s="34">
        <v>2</v>
      </c>
      <c r="F724" s="212">
        <v>15050</v>
      </c>
      <c r="G724" s="195">
        <v>46129</v>
      </c>
      <c r="H724" s="8"/>
      <c r="I724" s="212"/>
      <c r="J724" s="8"/>
      <c r="K724" s="23">
        <f t="shared" si="186"/>
        <v>0</v>
      </c>
      <c r="L724" s="23">
        <f t="shared" si="182"/>
        <v>0</v>
      </c>
      <c r="M724" s="206">
        <f t="shared" si="187"/>
        <v>0</v>
      </c>
      <c r="N724" s="34"/>
      <c r="O724" s="209">
        <f t="shared" si="173"/>
        <v>-46128</v>
      </c>
      <c r="P724" s="34">
        <f t="shared" si="183"/>
        <v>30100</v>
      </c>
      <c r="Q724" s="34">
        <f t="shared" si="184"/>
        <v>0</v>
      </c>
      <c r="R724" s="7">
        <f t="shared" si="185"/>
        <v>0</v>
      </c>
      <c r="S724" s="227">
        <f t="shared" si="188"/>
        <v>0</v>
      </c>
      <c r="T724" s="249">
        <f t="shared" si="189"/>
        <v>0</v>
      </c>
    </row>
    <row r="725" spans="2:21" ht="15" customHeight="1" x14ac:dyDescent="0.4">
      <c r="B725" s="38" t="s">
        <v>64</v>
      </c>
      <c r="C725" s="6" t="s">
        <v>160</v>
      </c>
      <c r="D725" s="6">
        <f t="shared" si="181"/>
        <v>1</v>
      </c>
      <c r="E725" s="34">
        <v>2</v>
      </c>
      <c r="F725" s="212">
        <v>15810</v>
      </c>
      <c r="G725" s="195">
        <v>46136</v>
      </c>
      <c r="H725" s="8"/>
      <c r="I725" s="212"/>
      <c r="J725" s="8"/>
      <c r="K725" s="23">
        <f t="shared" si="186"/>
        <v>0</v>
      </c>
      <c r="L725" s="23">
        <f t="shared" si="182"/>
        <v>0</v>
      </c>
      <c r="M725" s="206">
        <f t="shared" si="187"/>
        <v>0</v>
      </c>
      <c r="N725" s="34"/>
      <c r="O725" s="209">
        <f t="shared" si="173"/>
        <v>-46135</v>
      </c>
      <c r="P725" s="34">
        <f t="shared" si="183"/>
        <v>31620</v>
      </c>
      <c r="Q725" s="34">
        <f t="shared" si="184"/>
        <v>0</v>
      </c>
      <c r="R725" s="7">
        <f t="shared" si="185"/>
        <v>0</v>
      </c>
      <c r="S725" s="227">
        <f t="shared" si="188"/>
        <v>0</v>
      </c>
      <c r="T725" s="249">
        <f t="shared" si="189"/>
        <v>0</v>
      </c>
    </row>
    <row r="726" spans="2:21" ht="15" customHeight="1" x14ac:dyDescent="0.4">
      <c r="B726" s="38" t="s">
        <v>110</v>
      </c>
      <c r="C726" s="6" t="s">
        <v>122</v>
      </c>
      <c r="D726" s="6">
        <f t="shared" ref="D726:D757" si="190">IF(OR($C726="신한",$C726="OTC",$C726="무상증자(신한)",$C726="토스",$C726="R토스"),1,"확인")</f>
        <v>1</v>
      </c>
      <c r="E726" s="34">
        <v>400</v>
      </c>
      <c r="F726" s="212">
        <v>5600</v>
      </c>
      <c r="G726" s="195">
        <v>46085</v>
      </c>
      <c r="H726" s="8"/>
      <c r="I726" s="212">
        <v>5700</v>
      </c>
      <c r="J726" s="8">
        <v>46134</v>
      </c>
      <c r="K726" s="307">
        <v>0</v>
      </c>
      <c r="L726" s="307">
        <v>0</v>
      </c>
      <c r="M726" s="206">
        <f t="shared" si="187"/>
        <v>4560</v>
      </c>
      <c r="N726" s="34"/>
      <c r="O726" s="209">
        <f t="shared" si="173"/>
        <v>50</v>
      </c>
      <c r="P726" s="34">
        <f t="shared" ref="P726:P757" si="191">$E726*$F726*$D726</f>
        <v>2240000</v>
      </c>
      <c r="Q726" s="34">
        <f t="shared" ref="Q726:Q757" si="192">$E726*$I726*$D726</f>
        <v>2280000</v>
      </c>
      <c r="R726" s="7">
        <f t="shared" ref="R726:R757" si="193">($N726-$K726-$L726-$M726)*$D726</f>
        <v>-4560</v>
      </c>
      <c r="S726" s="227">
        <f t="shared" si="188"/>
        <v>35440</v>
      </c>
      <c r="T726" s="249">
        <f t="shared" si="189"/>
        <v>1.5821428571428573E-2</v>
      </c>
    </row>
    <row r="727" spans="2:21" ht="15" customHeight="1" x14ac:dyDescent="0.4">
      <c r="B727" s="38" t="s">
        <v>128</v>
      </c>
      <c r="C727" s="6" t="s">
        <v>122</v>
      </c>
      <c r="D727" s="6">
        <f t="shared" si="190"/>
        <v>1</v>
      </c>
      <c r="E727" s="34">
        <v>10</v>
      </c>
      <c r="F727" s="212">
        <v>70500</v>
      </c>
      <c r="G727" s="195">
        <v>45818</v>
      </c>
      <c r="H727" s="8" t="s">
        <v>113</v>
      </c>
      <c r="I727" s="212">
        <v>80500</v>
      </c>
      <c r="J727" s="8">
        <v>45826</v>
      </c>
      <c r="K727" s="23">
        <f t="shared" ref="K727:K758" si="194">IF($C727="OTC",ROUNDDOWN($E727*$F727*0.000909187,-1),(IF($C727="신한",ROUNDDOWN($E727*$F727*0.000036396,-1),(IF($C727="토스",$E727*$F727*0.00015,(IF($C727="US",(IF($E727*$F727*0.0025&gt;0.01,$E727*$F727*0.0025,0.01)),IF($C727="JP",(IF($E727*$F727*0.0025&gt;1000,$E727*$F727*0.0025,1000)),(IF($C727="R토스",0,IF($C727="무상증자(신한)",0,"")))))))))))</f>
        <v>105.74999999999999</v>
      </c>
      <c r="L727" s="23">
        <f t="shared" ref="L727:L758" si="195">IF($C727="OTC",ROUNDDOWN($I727*$E727*0.000909187,-1),(IF($C727="신한",ROUNDDOWN($I727*$E727*0.000036396,-1),(IF($C727="토스",$I727*$E727*0.00015,(IF($C727="US",(IF($I727*$E727*0.0025&gt;0.01,$I727*$E727*0.0025,0.01)),(IF($C727="JP",(IF($I727*$E727*0.0025&gt;1000,$I727*$E727*0.0025,1000)),(IF($C727="R토스",$I727*$E727*0.00015,(IF($C727="무상증자(신한)",ROUNDDOWN($I727*$E727*0.000036396,-1),"")))))))))))))</f>
        <v>120.74999999999999</v>
      </c>
      <c r="M727" s="206">
        <f>Q727*0.0015</f>
        <v>1207.5</v>
      </c>
      <c r="N727" s="34"/>
      <c r="O727" s="209">
        <f t="shared" si="173"/>
        <v>9</v>
      </c>
      <c r="P727" s="34">
        <f t="shared" si="191"/>
        <v>705000</v>
      </c>
      <c r="Q727" s="34">
        <f t="shared" si="192"/>
        <v>805000</v>
      </c>
      <c r="R727" s="7">
        <f t="shared" si="193"/>
        <v>-1434</v>
      </c>
      <c r="S727" s="227">
        <f t="shared" si="188"/>
        <v>98566</v>
      </c>
      <c r="T727" s="249">
        <f t="shared" si="189"/>
        <v>0.13980992907801418</v>
      </c>
      <c r="U727" s="36">
        <f>IF(O727&lt;0,0,P727*0.05*O727/365)</f>
        <v>869.17808219178085</v>
      </c>
    </row>
    <row r="728" spans="2:21" ht="15" customHeight="1" x14ac:dyDescent="0.4">
      <c r="B728" s="38" t="s">
        <v>128</v>
      </c>
      <c r="C728" s="6" t="s">
        <v>122</v>
      </c>
      <c r="D728" s="6">
        <f t="shared" si="190"/>
        <v>1</v>
      </c>
      <c r="E728" s="34">
        <v>10</v>
      </c>
      <c r="F728" s="212">
        <v>71100</v>
      </c>
      <c r="G728" s="195">
        <v>45819</v>
      </c>
      <c r="H728" s="8" t="s">
        <v>113</v>
      </c>
      <c r="I728" s="212">
        <v>80500</v>
      </c>
      <c r="J728" s="8">
        <v>45826</v>
      </c>
      <c r="K728" s="23">
        <f t="shared" si="194"/>
        <v>106.64999999999999</v>
      </c>
      <c r="L728" s="23">
        <f t="shared" si="195"/>
        <v>120.74999999999999</v>
      </c>
      <c r="M728" s="206">
        <f>Q728*0.0015</f>
        <v>1207.5</v>
      </c>
      <c r="N728" s="34"/>
      <c r="O728" s="209">
        <f t="shared" si="173"/>
        <v>8</v>
      </c>
      <c r="P728" s="34">
        <f t="shared" si="191"/>
        <v>711000</v>
      </c>
      <c r="Q728" s="34">
        <f t="shared" si="192"/>
        <v>805000</v>
      </c>
      <c r="R728" s="7">
        <f t="shared" si="193"/>
        <v>-1434.9</v>
      </c>
      <c r="S728" s="227">
        <f t="shared" si="188"/>
        <v>92565.1</v>
      </c>
      <c r="T728" s="249">
        <f t="shared" si="189"/>
        <v>0.13019001406469763</v>
      </c>
      <c r="U728" s="36">
        <f>IF(O728&lt;0,0,P728*0.05*O728/365)</f>
        <v>779.17808219178085</v>
      </c>
    </row>
    <row r="729" spans="2:21" ht="15" customHeight="1" x14ac:dyDescent="0.4">
      <c r="B729" s="38" t="s">
        <v>128</v>
      </c>
      <c r="C729" s="6" t="s">
        <v>122</v>
      </c>
      <c r="D729" s="6">
        <f t="shared" si="190"/>
        <v>1</v>
      </c>
      <c r="E729" s="34">
        <v>13</v>
      </c>
      <c r="F729" s="212">
        <v>71300</v>
      </c>
      <c r="G729" s="195">
        <v>45819</v>
      </c>
      <c r="H729" s="8" t="s">
        <v>113</v>
      </c>
      <c r="I729" s="212">
        <v>80500</v>
      </c>
      <c r="J729" s="8">
        <v>45826</v>
      </c>
      <c r="K729" s="23">
        <f t="shared" si="194"/>
        <v>139.035</v>
      </c>
      <c r="L729" s="23">
        <f t="shared" si="195"/>
        <v>156.97499999999999</v>
      </c>
      <c r="M729" s="206">
        <f>Q729*0.0015</f>
        <v>1569.75</v>
      </c>
      <c r="N729" s="34"/>
      <c r="O729" s="209">
        <f t="shared" ref="O729:O792" si="196">J729-G729+1</f>
        <v>8</v>
      </c>
      <c r="P729" s="34">
        <f t="shared" si="191"/>
        <v>926900</v>
      </c>
      <c r="Q729" s="34">
        <f t="shared" si="192"/>
        <v>1046500</v>
      </c>
      <c r="R729" s="7">
        <f t="shared" si="193"/>
        <v>-1865.76</v>
      </c>
      <c r="S729" s="227">
        <f t="shared" si="188"/>
        <v>117734.24</v>
      </c>
      <c r="T729" s="249">
        <f t="shared" si="189"/>
        <v>0.12701935483870969</v>
      </c>
      <c r="U729" s="36">
        <f>IF(O729&lt;0,0,P729*0.05*O729/365)</f>
        <v>1015.7808219178082</v>
      </c>
    </row>
    <row r="730" spans="2:21" ht="15" customHeight="1" x14ac:dyDescent="0.4">
      <c r="B730" s="38" t="s">
        <v>128</v>
      </c>
      <c r="C730" s="6" t="s">
        <v>122</v>
      </c>
      <c r="D730" s="6">
        <f t="shared" si="190"/>
        <v>1</v>
      </c>
      <c r="E730" s="34">
        <v>10</v>
      </c>
      <c r="F730" s="212">
        <v>69300</v>
      </c>
      <c r="G730" s="195">
        <v>45820</v>
      </c>
      <c r="H730" s="8" t="s">
        <v>113</v>
      </c>
      <c r="I730" s="212">
        <v>80500</v>
      </c>
      <c r="J730" s="8">
        <v>45826</v>
      </c>
      <c r="K730" s="23">
        <f t="shared" si="194"/>
        <v>103.94999999999999</v>
      </c>
      <c r="L730" s="23">
        <f t="shared" si="195"/>
        <v>120.74999999999999</v>
      </c>
      <c r="M730" s="206">
        <f>Q730*0.0015</f>
        <v>1207.5</v>
      </c>
      <c r="N730" s="34"/>
      <c r="O730" s="209">
        <f t="shared" si="196"/>
        <v>7</v>
      </c>
      <c r="P730" s="34">
        <f t="shared" si="191"/>
        <v>693000</v>
      </c>
      <c r="Q730" s="34">
        <f t="shared" si="192"/>
        <v>805000</v>
      </c>
      <c r="R730" s="7">
        <f t="shared" si="193"/>
        <v>-1432.2</v>
      </c>
      <c r="S730" s="227">
        <f t="shared" si="188"/>
        <v>110567.8</v>
      </c>
      <c r="T730" s="249">
        <f t="shared" si="189"/>
        <v>0.15954949494949494</v>
      </c>
      <c r="U730" s="36">
        <f>IF(O730&lt;0,0,P730*0.05*O730/365)</f>
        <v>664.52054794520552</v>
      </c>
    </row>
    <row r="731" spans="2:21" ht="15" customHeight="1" x14ac:dyDescent="0.4">
      <c r="B731" s="38" t="s">
        <v>128</v>
      </c>
      <c r="C731" s="6" t="s">
        <v>122</v>
      </c>
      <c r="D731" s="6">
        <f t="shared" si="190"/>
        <v>1</v>
      </c>
      <c r="E731" s="34">
        <v>9</v>
      </c>
      <c r="F731" s="212">
        <v>69400</v>
      </c>
      <c r="G731" s="195">
        <v>45820</v>
      </c>
      <c r="H731" s="8" t="s">
        <v>113</v>
      </c>
      <c r="I731" s="212">
        <v>80500</v>
      </c>
      <c r="J731" s="8">
        <v>45826</v>
      </c>
      <c r="K731" s="23">
        <f t="shared" si="194"/>
        <v>93.69</v>
      </c>
      <c r="L731" s="23">
        <f t="shared" si="195"/>
        <v>108.675</v>
      </c>
      <c r="M731" s="206">
        <f>Q731*0.0015</f>
        <v>1086.75</v>
      </c>
      <c r="N731" s="34"/>
      <c r="O731" s="209">
        <f t="shared" si="196"/>
        <v>7</v>
      </c>
      <c r="P731" s="34">
        <f t="shared" si="191"/>
        <v>624600</v>
      </c>
      <c r="Q731" s="34">
        <f t="shared" si="192"/>
        <v>724500</v>
      </c>
      <c r="R731" s="7">
        <f t="shared" si="193"/>
        <v>-1289.115</v>
      </c>
      <c r="S731" s="227">
        <f t="shared" si="188"/>
        <v>98610.884999999995</v>
      </c>
      <c r="T731" s="249">
        <f t="shared" si="189"/>
        <v>0.15787845821325647</v>
      </c>
      <c r="U731" s="36">
        <f>IF(O731&lt;0,0,P731*0.05*O731/365)</f>
        <v>598.93150684931504</v>
      </c>
    </row>
    <row r="732" spans="2:21" ht="15" customHeight="1" x14ac:dyDescent="0.4">
      <c r="B732" s="38" t="s">
        <v>128</v>
      </c>
      <c r="C732" s="6" t="s">
        <v>122</v>
      </c>
      <c r="D732" s="6">
        <f t="shared" si="190"/>
        <v>1</v>
      </c>
      <c r="E732" s="34">
        <v>15</v>
      </c>
      <c r="F732" s="212">
        <v>78000</v>
      </c>
      <c r="G732" s="195">
        <v>45826</v>
      </c>
      <c r="H732" s="8" t="s">
        <v>113</v>
      </c>
      <c r="I732" s="212"/>
      <c r="J732" s="8"/>
      <c r="K732" s="23">
        <f t="shared" si="194"/>
        <v>175.49999999999997</v>
      </c>
      <c r="L732" s="23">
        <f t="shared" si="195"/>
        <v>0</v>
      </c>
      <c r="M732" s="206">
        <f t="shared" ref="M732:M738" si="197">Q732*0.002</f>
        <v>0</v>
      </c>
      <c r="N732" s="34">
        <f t="shared" ref="N732:N738" si="198">E732*1200</f>
        <v>18000</v>
      </c>
      <c r="O732" s="209">
        <f t="shared" si="196"/>
        <v>-45825</v>
      </c>
      <c r="P732" s="34">
        <f t="shared" si="191"/>
        <v>1170000</v>
      </c>
      <c r="Q732" s="34">
        <f t="shared" si="192"/>
        <v>0</v>
      </c>
      <c r="R732" s="7">
        <f t="shared" si="193"/>
        <v>17824.5</v>
      </c>
      <c r="S732" s="227">
        <f t="shared" si="188"/>
        <v>0</v>
      </c>
      <c r="T732" s="249">
        <f t="shared" si="189"/>
        <v>0</v>
      </c>
      <c r="U732" s="36"/>
    </row>
    <row r="733" spans="2:21" ht="15" customHeight="1" x14ac:dyDescent="0.4">
      <c r="B733" s="38" t="s">
        <v>128</v>
      </c>
      <c r="C733" s="6" t="s">
        <v>122</v>
      </c>
      <c r="D733" s="6">
        <f t="shared" si="190"/>
        <v>1</v>
      </c>
      <c r="E733" s="34">
        <v>10</v>
      </c>
      <c r="F733" s="212">
        <v>78400</v>
      </c>
      <c r="G733" s="195">
        <v>45826</v>
      </c>
      <c r="H733" s="8" t="s">
        <v>113</v>
      </c>
      <c r="I733" s="212"/>
      <c r="J733" s="8"/>
      <c r="K733" s="23">
        <f t="shared" si="194"/>
        <v>117.6</v>
      </c>
      <c r="L733" s="23">
        <f t="shared" si="195"/>
        <v>0</v>
      </c>
      <c r="M733" s="206">
        <f t="shared" si="197"/>
        <v>0</v>
      </c>
      <c r="N733" s="34">
        <f t="shared" si="198"/>
        <v>12000</v>
      </c>
      <c r="O733" s="209">
        <f t="shared" si="196"/>
        <v>-45825</v>
      </c>
      <c r="P733" s="34">
        <f t="shared" si="191"/>
        <v>784000</v>
      </c>
      <c r="Q733" s="34">
        <f t="shared" si="192"/>
        <v>0</v>
      </c>
      <c r="R733" s="7">
        <f t="shared" si="193"/>
        <v>11882.4</v>
      </c>
      <c r="S733" s="227">
        <f t="shared" si="188"/>
        <v>0</v>
      </c>
      <c r="T733" s="249">
        <f t="shared" si="189"/>
        <v>0</v>
      </c>
      <c r="U733" s="36"/>
    </row>
    <row r="734" spans="2:21" ht="15" customHeight="1" x14ac:dyDescent="0.4">
      <c r="B734" s="38" t="s">
        <v>128</v>
      </c>
      <c r="C734" s="6" t="s">
        <v>122</v>
      </c>
      <c r="D734" s="6">
        <f t="shared" si="190"/>
        <v>1</v>
      </c>
      <c r="E734" s="34">
        <v>10</v>
      </c>
      <c r="F734" s="212">
        <v>79600</v>
      </c>
      <c r="G734" s="195">
        <v>45827</v>
      </c>
      <c r="H734" s="8"/>
      <c r="I734" s="212"/>
      <c r="J734" s="8"/>
      <c r="K734" s="23">
        <f t="shared" si="194"/>
        <v>119.39999999999999</v>
      </c>
      <c r="L734" s="23">
        <f t="shared" si="195"/>
        <v>0</v>
      </c>
      <c r="M734" s="206">
        <f t="shared" si="197"/>
        <v>0</v>
      </c>
      <c r="N734" s="34">
        <f t="shared" si="198"/>
        <v>12000</v>
      </c>
      <c r="O734" s="209">
        <f t="shared" si="196"/>
        <v>-45826</v>
      </c>
      <c r="P734" s="34">
        <f t="shared" si="191"/>
        <v>796000</v>
      </c>
      <c r="Q734" s="34">
        <f t="shared" si="192"/>
        <v>0</v>
      </c>
      <c r="R734" s="7">
        <f t="shared" si="193"/>
        <v>11880.6</v>
      </c>
      <c r="S734" s="227">
        <f t="shared" si="188"/>
        <v>0</v>
      </c>
      <c r="T734" s="249">
        <f t="shared" si="189"/>
        <v>0</v>
      </c>
      <c r="U734" s="36"/>
    </row>
    <row r="735" spans="2:21" ht="15" customHeight="1" x14ac:dyDescent="0.4">
      <c r="B735" s="38" t="s">
        <v>128</v>
      </c>
      <c r="C735" s="6" t="s">
        <v>122</v>
      </c>
      <c r="D735" s="6">
        <f t="shared" si="190"/>
        <v>1</v>
      </c>
      <c r="E735" s="34">
        <v>10</v>
      </c>
      <c r="F735" s="212">
        <v>67400</v>
      </c>
      <c r="G735" s="195">
        <v>45828</v>
      </c>
      <c r="H735" s="8"/>
      <c r="I735" s="212"/>
      <c r="J735" s="8"/>
      <c r="K735" s="23">
        <f t="shared" si="194"/>
        <v>101.1</v>
      </c>
      <c r="L735" s="23">
        <f t="shared" si="195"/>
        <v>0</v>
      </c>
      <c r="M735" s="206">
        <f t="shared" si="197"/>
        <v>0</v>
      </c>
      <c r="N735" s="34">
        <f t="shared" si="198"/>
        <v>12000</v>
      </c>
      <c r="O735" s="209">
        <f t="shared" si="196"/>
        <v>-45827</v>
      </c>
      <c r="P735" s="34">
        <f t="shared" si="191"/>
        <v>674000</v>
      </c>
      <c r="Q735" s="34">
        <f t="shared" si="192"/>
        <v>0</v>
      </c>
      <c r="R735" s="7">
        <f t="shared" si="193"/>
        <v>11898.9</v>
      </c>
      <c r="S735" s="227">
        <f t="shared" si="188"/>
        <v>0</v>
      </c>
      <c r="T735" s="249">
        <f t="shared" si="189"/>
        <v>0</v>
      </c>
      <c r="U735" s="36">
        <f>IF(O735&lt;0,0,P735*0.05*O735/365)</f>
        <v>0</v>
      </c>
    </row>
    <row r="736" spans="2:21" ht="15" customHeight="1" x14ac:dyDescent="0.4">
      <c r="B736" s="38" t="s">
        <v>128</v>
      </c>
      <c r="C736" s="6" t="s">
        <v>122</v>
      </c>
      <c r="D736" s="6">
        <f t="shared" si="190"/>
        <v>1</v>
      </c>
      <c r="E736" s="34">
        <v>10</v>
      </c>
      <c r="F736" s="212">
        <v>69800</v>
      </c>
      <c r="G736" s="195">
        <v>45833</v>
      </c>
      <c r="H736" s="8"/>
      <c r="I736" s="212"/>
      <c r="J736" s="8"/>
      <c r="K736" s="23">
        <f t="shared" si="194"/>
        <v>104.69999999999999</v>
      </c>
      <c r="L736" s="23">
        <f t="shared" si="195"/>
        <v>0</v>
      </c>
      <c r="M736" s="206">
        <f t="shared" si="197"/>
        <v>0</v>
      </c>
      <c r="N736" s="34">
        <f t="shared" si="198"/>
        <v>12000</v>
      </c>
      <c r="O736" s="209">
        <f t="shared" si="196"/>
        <v>-45832</v>
      </c>
      <c r="P736" s="34">
        <f t="shared" si="191"/>
        <v>698000</v>
      </c>
      <c r="Q736" s="34">
        <f t="shared" si="192"/>
        <v>0</v>
      </c>
      <c r="R736" s="7">
        <f t="shared" si="193"/>
        <v>11895.3</v>
      </c>
      <c r="S736" s="227">
        <f t="shared" si="188"/>
        <v>0</v>
      </c>
      <c r="T736" s="249">
        <f t="shared" si="189"/>
        <v>0</v>
      </c>
      <c r="U736" s="36">
        <f>IF(O736&lt;0,0,P736*0.05*O736/365)</f>
        <v>0</v>
      </c>
    </row>
    <row r="737" spans="2:21" ht="15" customHeight="1" x14ac:dyDescent="0.4">
      <c r="B737" s="38" t="s">
        <v>128</v>
      </c>
      <c r="C737" s="6" t="s">
        <v>122</v>
      </c>
      <c r="D737" s="6">
        <f t="shared" si="190"/>
        <v>1</v>
      </c>
      <c r="E737" s="34">
        <v>4</v>
      </c>
      <c r="F737" s="212">
        <v>59300</v>
      </c>
      <c r="G737" s="195">
        <v>45848</v>
      </c>
      <c r="H737" s="8" t="s">
        <v>113</v>
      </c>
      <c r="I737" s="212"/>
      <c r="J737" s="8"/>
      <c r="K737" s="23">
        <f t="shared" si="194"/>
        <v>35.58</v>
      </c>
      <c r="L737" s="23">
        <f t="shared" si="195"/>
        <v>0</v>
      </c>
      <c r="M737" s="206">
        <f t="shared" si="197"/>
        <v>0</v>
      </c>
      <c r="N737" s="34">
        <f t="shared" si="198"/>
        <v>4800</v>
      </c>
      <c r="O737" s="209">
        <f t="shared" si="196"/>
        <v>-45847</v>
      </c>
      <c r="P737" s="34">
        <f t="shared" si="191"/>
        <v>237200</v>
      </c>
      <c r="Q737" s="34">
        <f t="shared" si="192"/>
        <v>0</v>
      </c>
      <c r="R737" s="7">
        <f t="shared" si="193"/>
        <v>4764.42</v>
      </c>
      <c r="S737" s="227">
        <f t="shared" si="188"/>
        <v>0</v>
      </c>
      <c r="T737" s="249">
        <f t="shared" si="189"/>
        <v>0</v>
      </c>
      <c r="U737" s="36">
        <f>IF(O737&lt;0,0,P737*0.05*O737/365)</f>
        <v>0</v>
      </c>
    </row>
    <row r="738" spans="2:21" ht="15" customHeight="1" x14ac:dyDescent="0.4">
      <c r="B738" s="38" t="s">
        <v>128</v>
      </c>
      <c r="C738" s="6" t="s">
        <v>122</v>
      </c>
      <c r="D738" s="6">
        <f t="shared" si="190"/>
        <v>1</v>
      </c>
      <c r="E738" s="34">
        <v>7</v>
      </c>
      <c r="F738" s="212">
        <v>52800</v>
      </c>
      <c r="G738" s="195">
        <v>45894</v>
      </c>
      <c r="H738" s="8" t="s">
        <v>113</v>
      </c>
      <c r="I738" s="212"/>
      <c r="J738" s="8"/>
      <c r="K738" s="23">
        <f t="shared" si="194"/>
        <v>55.44</v>
      </c>
      <c r="L738" s="23">
        <f t="shared" si="195"/>
        <v>0</v>
      </c>
      <c r="M738" s="206">
        <f t="shared" si="197"/>
        <v>0</v>
      </c>
      <c r="N738" s="34">
        <f t="shared" si="198"/>
        <v>8400</v>
      </c>
      <c r="O738" s="209">
        <f t="shared" si="196"/>
        <v>-45893</v>
      </c>
      <c r="P738" s="34">
        <f t="shared" si="191"/>
        <v>369600</v>
      </c>
      <c r="Q738" s="34">
        <f t="shared" si="192"/>
        <v>0</v>
      </c>
      <c r="R738" s="7">
        <f t="shared" si="193"/>
        <v>8344.56</v>
      </c>
      <c r="S738" s="227">
        <f t="shared" si="188"/>
        <v>0</v>
      </c>
      <c r="T738" s="249">
        <f t="shared" si="189"/>
        <v>0</v>
      </c>
      <c r="U738" s="36">
        <f>IF(O738&lt;0,0,P738*0.05*O738/365)</f>
        <v>0</v>
      </c>
    </row>
    <row r="739" spans="2:21" ht="15" customHeight="1" x14ac:dyDescent="0.4">
      <c r="B739" s="38" t="s">
        <v>40</v>
      </c>
      <c r="C739" s="6" t="s">
        <v>160</v>
      </c>
      <c r="D739" s="6">
        <f t="shared" si="190"/>
        <v>1</v>
      </c>
      <c r="E739" s="34">
        <v>70</v>
      </c>
      <c r="F739" s="212">
        <v>64200</v>
      </c>
      <c r="G739" s="195">
        <v>44033</v>
      </c>
      <c r="H739" s="8"/>
      <c r="I739" s="212">
        <v>66500</v>
      </c>
      <c r="J739" s="8">
        <v>44061</v>
      </c>
      <c r="K739" s="23">
        <f t="shared" si="194"/>
        <v>160</v>
      </c>
      <c r="L739" s="23">
        <f t="shared" si="195"/>
        <v>160</v>
      </c>
      <c r="M739" s="206">
        <f>Q739*0.0025</f>
        <v>11637.5</v>
      </c>
      <c r="N739" s="34"/>
      <c r="O739" s="209">
        <f t="shared" si="196"/>
        <v>29</v>
      </c>
      <c r="P739" s="34">
        <f t="shared" si="191"/>
        <v>4494000</v>
      </c>
      <c r="Q739" s="34">
        <f t="shared" si="192"/>
        <v>4655000</v>
      </c>
      <c r="R739" s="7">
        <f t="shared" si="193"/>
        <v>-11957.5</v>
      </c>
      <c r="S739" s="227">
        <f t="shared" si="188"/>
        <v>149042.5</v>
      </c>
      <c r="T739" s="249">
        <f t="shared" si="189"/>
        <v>3.3164775255896749E-2</v>
      </c>
    </row>
    <row r="740" spans="2:21" ht="15" customHeight="1" x14ac:dyDescent="0.4">
      <c r="B740" s="38" t="s">
        <v>40</v>
      </c>
      <c r="C740" s="6" t="s">
        <v>160</v>
      </c>
      <c r="D740" s="6">
        <f t="shared" si="190"/>
        <v>1</v>
      </c>
      <c r="E740" s="34">
        <v>20</v>
      </c>
      <c r="F740" s="212">
        <v>67800</v>
      </c>
      <c r="G740" s="195">
        <v>44071</v>
      </c>
      <c r="H740" s="8"/>
      <c r="I740" s="212">
        <v>11600</v>
      </c>
      <c r="J740" s="8">
        <v>46134</v>
      </c>
      <c r="K740" s="23">
        <f t="shared" si="194"/>
        <v>40</v>
      </c>
      <c r="L740" s="23">
        <f t="shared" si="195"/>
        <v>0</v>
      </c>
      <c r="M740" s="206">
        <f t="shared" ref="M740:M771" si="199">Q740*0.002</f>
        <v>464</v>
      </c>
      <c r="N740" s="34">
        <f>E740*320*(1-0.154)+E740*385*(1-0.154)+E740*308*(1-0.154)+E740*308*(1-0.154)+E740*308+E740*75</f>
        <v>30011.32</v>
      </c>
      <c r="O740" s="209">
        <f t="shared" si="196"/>
        <v>2064</v>
      </c>
      <c r="P740" s="34">
        <f t="shared" si="191"/>
        <v>1356000</v>
      </c>
      <c r="Q740" s="34">
        <f t="shared" si="192"/>
        <v>232000</v>
      </c>
      <c r="R740" s="7">
        <f t="shared" si="193"/>
        <v>29507.32</v>
      </c>
      <c r="S740" s="227">
        <f t="shared" si="188"/>
        <v>-1094492.68</v>
      </c>
      <c r="T740" s="249">
        <f t="shared" si="189"/>
        <v>-0.80714799410029492</v>
      </c>
    </row>
    <row r="741" spans="2:21" ht="15" customHeight="1" x14ac:dyDescent="0.4">
      <c r="B741" s="38" t="s">
        <v>40</v>
      </c>
      <c r="C741" s="6" t="s">
        <v>160</v>
      </c>
      <c r="D741" s="6">
        <f t="shared" si="190"/>
        <v>1</v>
      </c>
      <c r="E741" s="34">
        <v>5</v>
      </c>
      <c r="F741" s="212">
        <v>63300</v>
      </c>
      <c r="G741" s="195">
        <v>44088</v>
      </c>
      <c r="H741" s="8"/>
      <c r="I741" s="212">
        <v>11600</v>
      </c>
      <c r="J741" s="8">
        <v>46134</v>
      </c>
      <c r="K741" s="23">
        <f t="shared" si="194"/>
        <v>10</v>
      </c>
      <c r="L741" s="23">
        <f t="shared" si="195"/>
        <v>0</v>
      </c>
      <c r="M741" s="206">
        <f t="shared" si="199"/>
        <v>116</v>
      </c>
      <c r="N741" s="34">
        <f>E741*320*(1-0.154)+E741*385*(1-0.154)+E741*308*(1-0.154)+E741*308*(1-0.154)+E741*308+E741*75</f>
        <v>7502.83</v>
      </c>
      <c r="O741" s="209">
        <f t="shared" si="196"/>
        <v>2047</v>
      </c>
      <c r="P741" s="34">
        <f t="shared" si="191"/>
        <v>316500</v>
      </c>
      <c r="Q741" s="34">
        <f t="shared" si="192"/>
        <v>58000</v>
      </c>
      <c r="R741" s="7">
        <f t="shared" si="193"/>
        <v>7376.83</v>
      </c>
      <c r="S741" s="227">
        <f t="shared" si="188"/>
        <v>-251123.17</v>
      </c>
      <c r="T741" s="249">
        <f t="shared" si="189"/>
        <v>-0.79343813586097955</v>
      </c>
    </row>
    <row r="742" spans="2:21" ht="15" customHeight="1" x14ac:dyDescent="0.4">
      <c r="B742" s="38" t="s">
        <v>40</v>
      </c>
      <c r="C742" s="6" t="s">
        <v>160</v>
      </c>
      <c r="D742" s="6">
        <f t="shared" si="190"/>
        <v>1</v>
      </c>
      <c r="E742" s="34">
        <v>5</v>
      </c>
      <c r="F742" s="212">
        <v>49800</v>
      </c>
      <c r="G742" s="195">
        <v>44167</v>
      </c>
      <c r="H742" s="8"/>
      <c r="I742" s="212">
        <v>11600</v>
      </c>
      <c r="J742" s="8">
        <v>46134</v>
      </c>
      <c r="K742" s="23">
        <f t="shared" si="194"/>
        <v>0</v>
      </c>
      <c r="L742" s="23">
        <f t="shared" si="195"/>
        <v>0</v>
      </c>
      <c r="M742" s="206">
        <f t="shared" si="199"/>
        <v>116</v>
      </c>
      <c r="N742" s="34">
        <f>E742*320*(1-0.154)+E742*385*(1-0.154)+E742*308*(1-0.154)+E742*308*(1-0.154)+E742*308+E742*75</f>
        <v>7502.83</v>
      </c>
      <c r="O742" s="209">
        <f t="shared" si="196"/>
        <v>1968</v>
      </c>
      <c r="P742" s="34">
        <f t="shared" si="191"/>
        <v>249000</v>
      </c>
      <c r="Q742" s="34">
        <f t="shared" si="192"/>
        <v>58000</v>
      </c>
      <c r="R742" s="7">
        <f t="shared" si="193"/>
        <v>7386.83</v>
      </c>
      <c r="S742" s="227">
        <f t="shared" si="188"/>
        <v>-183613.17</v>
      </c>
      <c r="T742" s="249">
        <f t="shared" si="189"/>
        <v>-0.73740228915662653</v>
      </c>
    </row>
    <row r="743" spans="2:21" ht="15" customHeight="1" x14ac:dyDescent="0.4">
      <c r="B743" s="38" t="s">
        <v>40</v>
      </c>
      <c r="C743" s="6" t="s">
        <v>160</v>
      </c>
      <c r="D743" s="6">
        <f t="shared" si="190"/>
        <v>1</v>
      </c>
      <c r="E743" s="34">
        <v>10</v>
      </c>
      <c r="F743" s="212">
        <v>48700</v>
      </c>
      <c r="G743" s="195">
        <v>44169</v>
      </c>
      <c r="H743" s="8"/>
      <c r="I743" s="212">
        <v>11600</v>
      </c>
      <c r="J743" s="8">
        <v>46134</v>
      </c>
      <c r="K743" s="23">
        <f t="shared" si="194"/>
        <v>10</v>
      </c>
      <c r="L743" s="23">
        <f t="shared" si="195"/>
        <v>0</v>
      </c>
      <c r="M743" s="206">
        <f t="shared" si="199"/>
        <v>232</v>
      </c>
      <c r="N743" s="34">
        <f>E743*320*(1-0.154)+E743*385*(1-0.154)+E743*308*(1-0.154)+E743*308*(1-0.154)+E743*308+E743*75</f>
        <v>15005.66</v>
      </c>
      <c r="O743" s="209">
        <f t="shared" si="196"/>
        <v>1966</v>
      </c>
      <c r="P743" s="34">
        <f t="shared" si="191"/>
        <v>487000</v>
      </c>
      <c r="Q743" s="34">
        <f t="shared" si="192"/>
        <v>116000</v>
      </c>
      <c r="R743" s="7">
        <f t="shared" si="193"/>
        <v>14763.66</v>
      </c>
      <c r="S743" s="227">
        <f t="shared" si="188"/>
        <v>-356236.34</v>
      </c>
      <c r="T743" s="249">
        <f t="shared" si="189"/>
        <v>-0.73149145790554415</v>
      </c>
    </row>
    <row r="744" spans="2:21" ht="15" customHeight="1" x14ac:dyDescent="0.4">
      <c r="B744" s="38" t="s">
        <v>40</v>
      </c>
      <c r="C744" s="6" t="s">
        <v>160</v>
      </c>
      <c r="D744" s="6">
        <f t="shared" si="190"/>
        <v>1</v>
      </c>
      <c r="E744" s="34">
        <v>20</v>
      </c>
      <c r="F744" s="212">
        <v>39700</v>
      </c>
      <c r="G744" s="195">
        <v>44432</v>
      </c>
      <c r="H744" s="8"/>
      <c r="I744" s="212">
        <v>11600</v>
      </c>
      <c r="J744" s="8">
        <v>46134</v>
      </c>
      <c r="K744" s="23">
        <f t="shared" si="194"/>
        <v>20</v>
      </c>
      <c r="L744" s="23">
        <f t="shared" si="195"/>
        <v>0</v>
      </c>
      <c r="M744" s="206">
        <f t="shared" si="199"/>
        <v>464</v>
      </c>
      <c r="N744" s="34">
        <f>E744*385*(1-0.154)+E744*308*(1-0.154)+E744*308*(1-0.154)+E744*308+E744*75</f>
        <v>24596.92</v>
      </c>
      <c r="O744" s="209">
        <f t="shared" si="196"/>
        <v>1703</v>
      </c>
      <c r="P744" s="34">
        <f t="shared" si="191"/>
        <v>794000</v>
      </c>
      <c r="Q744" s="34">
        <f t="shared" si="192"/>
        <v>232000</v>
      </c>
      <c r="R744" s="7">
        <f t="shared" si="193"/>
        <v>24112.92</v>
      </c>
      <c r="S744" s="227">
        <f t="shared" si="188"/>
        <v>-537887.07999999996</v>
      </c>
      <c r="T744" s="249">
        <f t="shared" si="189"/>
        <v>-0.67743964735516371</v>
      </c>
    </row>
    <row r="745" spans="2:21" ht="15" customHeight="1" x14ac:dyDescent="0.4">
      <c r="B745" s="38" t="s">
        <v>40</v>
      </c>
      <c r="C745" s="6" t="s">
        <v>160</v>
      </c>
      <c r="D745" s="6">
        <f t="shared" si="190"/>
        <v>1</v>
      </c>
      <c r="E745" s="34">
        <v>7</v>
      </c>
      <c r="F745" s="212">
        <v>36000</v>
      </c>
      <c r="G745" s="195">
        <v>44505</v>
      </c>
      <c r="H745" s="8"/>
      <c r="I745" s="212">
        <v>11600</v>
      </c>
      <c r="J745" s="8">
        <v>46134</v>
      </c>
      <c r="K745" s="23">
        <f t="shared" si="194"/>
        <v>0</v>
      </c>
      <c r="L745" s="23">
        <f t="shared" si="195"/>
        <v>0</v>
      </c>
      <c r="M745" s="206">
        <f t="shared" si="199"/>
        <v>162.4</v>
      </c>
      <c r="N745" s="34">
        <f>E745*385*(1-0.154)+E745*308*(1-0.154)+E745*308*(1-0.154)+E745*308+E745*75</f>
        <v>8608.9219999999987</v>
      </c>
      <c r="O745" s="209">
        <f t="shared" si="196"/>
        <v>1630</v>
      </c>
      <c r="P745" s="34">
        <f t="shared" si="191"/>
        <v>252000</v>
      </c>
      <c r="Q745" s="34">
        <f t="shared" si="192"/>
        <v>81200</v>
      </c>
      <c r="R745" s="7">
        <f t="shared" si="193"/>
        <v>8446.521999999999</v>
      </c>
      <c r="S745" s="227">
        <f t="shared" si="188"/>
        <v>-162353.478</v>
      </c>
      <c r="T745" s="249">
        <f t="shared" si="189"/>
        <v>-0.64425983333333336</v>
      </c>
    </row>
    <row r="746" spans="2:21" ht="15" customHeight="1" x14ac:dyDescent="0.4">
      <c r="B746" s="38" t="s">
        <v>40</v>
      </c>
      <c r="C746" s="6" t="s">
        <v>160</v>
      </c>
      <c r="D746" s="6">
        <f t="shared" si="190"/>
        <v>1</v>
      </c>
      <c r="E746" s="34">
        <v>4</v>
      </c>
      <c r="F746" s="212">
        <v>12650</v>
      </c>
      <c r="G746" s="195">
        <v>45706</v>
      </c>
      <c r="H746" s="8"/>
      <c r="I746" s="212">
        <v>11600</v>
      </c>
      <c r="J746" s="8">
        <v>46134</v>
      </c>
      <c r="K746" s="23">
        <f t="shared" si="194"/>
        <v>0</v>
      </c>
      <c r="L746" s="23">
        <f t="shared" si="195"/>
        <v>0</v>
      </c>
      <c r="M746" s="206">
        <f t="shared" si="199"/>
        <v>92.8</v>
      </c>
      <c r="N746" s="34">
        <f t="shared" ref="N746:N753" si="200">E746*308+E746*75</f>
        <v>1532</v>
      </c>
      <c r="O746" s="209">
        <f t="shared" si="196"/>
        <v>429</v>
      </c>
      <c r="P746" s="34">
        <f t="shared" si="191"/>
        <v>50600</v>
      </c>
      <c r="Q746" s="34">
        <f t="shared" si="192"/>
        <v>46400</v>
      </c>
      <c r="R746" s="7">
        <f t="shared" si="193"/>
        <v>1439.2</v>
      </c>
      <c r="S746" s="227">
        <f t="shared" si="188"/>
        <v>-2760.8</v>
      </c>
      <c r="T746" s="249">
        <f t="shared" si="189"/>
        <v>-5.4561264822134393E-2</v>
      </c>
    </row>
    <row r="747" spans="2:21" ht="15" customHeight="1" x14ac:dyDescent="0.4">
      <c r="B747" s="38" t="s">
        <v>40</v>
      </c>
      <c r="C747" s="6" t="s">
        <v>160</v>
      </c>
      <c r="D747" s="6">
        <f t="shared" si="190"/>
        <v>1</v>
      </c>
      <c r="E747" s="34">
        <v>1</v>
      </c>
      <c r="F747" s="212">
        <v>12800</v>
      </c>
      <c r="G747" s="195">
        <v>45720</v>
      </c>
      <c r="H747" s="8"/>
      <c r="I747" s="212">
        <v>11600</v>
      </c>
      <c r="J747" s="8">
        <v>46134</v>
      </c>
      <c r="K747" s="23">
        <f t="shared" si="194"/>
        <v>0</v>
      </c>
      <c r="L747" s="23">
        <f t="shared" si="195"/>
        <v>0</v>
      </c>
      <c r="M747" s="206">
        <f t="shared" si="199"/>
        <v>23.2</v>
      </c>
      <c r="N747" s="34">
        <f t="shared" si="200"/>
        <v>383</v>
      </c>
      <c r="O747" s="209">
        <f t="shared" si="196"/>
        <v>415</v>
      </c>
      <c r="P747" s="34">
        <f t="shared" si="191"/>
        <v>12800</v>
      </c>
      <c r="Q747" s="34">
        <f t="shared" si="192"/>
        <v>11600</v>
      </c>
      <c r="R747" s="7">
        <f t="shared" si="193"/>
        <v>359.8</v>
      </c>
      <c r="S747" s="227">
        <f t="shared" si="188"/>
        <v>-840.2</v>
      </c>
      <c r="T747" s="249">
        <f t="shared" si="189"/>
        <v>-6.5640625000000008E-2</v>
      </c>
    </row>
    <row r="748" spans="2:21" ht="15" customHeight="1" x14ac:dyDescent="0.4">
      <c r="B748" s="38" t="s">
        <v>40</v>
      </c>
      <c r="C748" s="6" t="s">
        <v>160</v>
      </c>
      <c r="D748" s="6">
        <f t="shared" si="190"/>
        <v>1</v>
      </c>
      <c r="E748" s="34">
        <v>1</v>
      </c>
      <c r="F748" s="212">
        <v>13070</v>
      </c>
      <c r="G748" s="195">
        <v>45726</v>
      </c>
      <c r="H748" s="8"/>
      <c r="I748" s="212">
        <v>11600</v>
      </c>
      <c r="J748" s="8">
        <v>46134</v>
      </c>
      <c r="K748" s="23">
        <f t="shared" si="194"/>
        <v>0</v>
      </c>
      <c r="L748" s="23">
        <f t="shared" si="195"/>
        <v>0</v>
      </c>
      <c r="M748" s="206">
        <f t="shared" si="199"/>
        <v>23.2</v>
      </c>
      <c r="N748" s="34">
        <f t="shared" si="200"/>
        <v>383</v>
      </c>
      <c r="O748" s="209">
        <f t="shared" si="196"/>
        <v>409</v>
      </c>
      <c r="P748" s="34">
        <f t="shared" si="191"/>
        <v>13070</v>
      </c>
      <c r="Q748" s="34">
        <f t="shared" si="192"/>
        <v>11600</v>
      </c>
      <c r="R748" s="7">
        <f t="shared" si="193"/>
        <v>359.8</v>
      </c>
      <c r="S748" s="227">
        <f t="shared" si="188"/>
        <v>-1110.2</v>
      </c>
      <c r="T748" s="249">
        <f t="shared" si="189"/>
        <v>-8.494261667941852E-2</v>
      </c>
    </row>
    <row r="749" spans="2:21" ht="15" customHeight="1" x14ac:dyDescent="0.4">
      <c r="B749" s="38" t="s">
        <v>40</v>
      </c>
      <c r="C749" s="6" t="s">
        <v>160</v>
      </c>
      <c r="D749" s="6">
        <f t="shared" si="190"/>
        <v>1</v>
      </c>
      <c r="E749" s="34">
        <v>1</v>
      </c>
      <c r="F749" s="212">
        <v>12650</v>
      </c>
      <c r="G749" s="195">
        <v>45733</v>
      </c>
      <c r="H749" s="8"/>
      <c r="I749" s="212">
        <v>11600</v>
      </c>
      <c r="J749" s="8">
        <v>46134</v>
      </c>
      <c r="K749" s="23">
        <f t="shared" si="194"/>
        <v>0</v>
      </c>
      <c r="L749" s="23">
        <f t="shared" si="195"/>
        <v>0</v>
      </c>
      <c r="M749" s="206">
        <f t="shared" si="199"/>
        <v>23.2</v>
      </c>
      <c r="N749" s="34">
        <f t="shared" si="200"/>
        <v>383</v>
      </c>
      <c r="O749" s="209">
        <f t="shared" si="196"/>
        <v>402</v>
      </c>
      <c r="P749" s="34">
        <f t="shared" si="191"/>
        <v>12650</v>
      </c>
      <c r="Q749" s="34">
        <f t="shared" si="192"/>
        <v>11600</v>
      </c>
      <c r="R749" s="7">
        <f t="shared" si="193"/>
        <v>359.8</v>
      </c>
      <c r="S749" s="227">
        <f t="shared" si="188"/>
        <v>-690.2</v>
      </c>
      <c r="T749" s="249">
        <f t="shared" si="189"/>
        <v>-5.4561264822134393E-2</v>
      </c>
    </row>
    <row r="750" spans="2:21" ht="15" customHeight="1" x14ac:dyDescent="0.4">
      <c r="B750" s="38" t="s">
        <v>40</v>
      </c>
      <c r="C750" s="6" t="s">
        <v>160</v>
      </c>
      <c r="D750" s="6">
        <f t="shared" si="190"/>
        <v>1</v>
      </c>
      <c r="E750" s="34">
        <v>1</v>
      </c>
      <c r="F750" s="212">
        <v>13510</v>
      </c>
      <c r="G750" s="195">
        <v>45740</v>
      </c>
      <c r="H750" s="8"/>
      <c r="I750" s="212">
        <v>11600</v>
      </c>
      <c r="J750" s="8">
        <v>46134</v>
      </c>
      <c r="K750" s="23">
        <f t="shared" si="194"/>
        <v>0</v>
      </c>
      <c r="L750" s="23">
        <f t="shared" si="195"/>
        <v>0</v>
      </c>
      <c r="M750" s="206">
        <f t="shared" si="199"/>
        <v>23.2</v>
      </c>
      <c r="N750" s="34">
        <f t="shared" si="200"/>
        <v>383</v>
      </c>
      <c r="O750" s="209">
        <f t="shared" si="196"/>
        <v>395</v>
      </c>
      <c r="P750" s="34">
        <f t="shared" si="191"/>
        <v>13510</v>
      </c>
      <c r="Q750" s="34">
        <f t="shared" si="192"/>
        <v>11600</v>
      </c>
      <c r="R750" s="7">
        <f t="shared" si="193"/>
        <v>359.8</v>
      </c>
      <c r="S750" s="227">
        <f t="shared" si="188"/>
        <v>-1550.2</v>
      </c>
      <c r="T750" s="249">
        <f t="shared" si="189"/>
        <v>-0.11474463360473723</v>
      </c>
    </row>
    <row r="751" spans="2:21" ht="15" customHeight="1" x14ac:dyDescent="0.4">
      <c r="B751" s="38" t="s">
        <v>40</v>
      </c>
      <c r="C751" s="6" t="s">
        <v>160</v>
      </c>
      <c r="D751" s="6">
        <f t="shared" si="190"/>
        <v>1</v>
      </c>
      <c r="E751" s="34">
        <v>1</v>
      </c>
      <c r="F751" s="212">
        <v>12600</v>
      </c>
      <c r="G751" s="195">
        <v>45747</v>
      </c>
      <c r="H751" s="8"/>
      <c r="I751" s="212">
        <v>11600</v>
      </c>
      <c r="J751" s="8">
        <v>46134</v>
      </c>
      <c r="K751" s="23">
        <f t="shared" si="194"/>
        <v>0</v>
      </c>
      <c r="L751" s="23">
        <f t="shared" si="195"/>
        <v>0</v>
      </c>
      <c r="M751" s="206">
        <f t="shared" si="199"/>
        <v>23.2</v>
      </c>
      <c r="N751" s="34">
        <f t="shared" si="200"/>
        <v>383</v>
      </c>
      <c r="O751" s="209">
        <f t="shared" si="196"/>
        <v>388</v>
      </c>
      <c r="P751" s="34">
        <f t="shared" si="191"/>
        <v>12600</v>
      </c>
      <c r="Q751" s="34">
        <f t="shared" si="192"/>
        <v>11600</v>
      </c>
      <c r="R751" s="7">
        <f t="shared" si="193"/>
        <v>359.8</v>
      </c>
      <c r="S751" s="227">
        <f t="shared" si="188"/>
        <v>-640.20000000000005</v>
      </c>
      <c r="T751" s="249">
        <f t="shared" si="189"/>
        <v>-5.0809523809523811E-2</v>
      </c>
    </row>
    <row r="752" spans="2:21" ht="15" customHeight="1" x14ac:dyDescent="0.4">
      <c r="B752" s="38" t="s">
        <v>40</v>
      </c>
      <c r="C752" s="6" t="s">
        <v>160</v>
      </c>
      <c r="D752" s="6">
        <f t="shared" si="190"/>
        <v>1</v>
      </c>
      <c r="E752" s="34">
        <v>1</v>
      </c>
      <c r="F752" s="212">
        <v>12450</v>
      </c>
      <c r="G752" s="195">
        <v>45754</v>
      </c>
      <c r="H752" s="8"/>
      <c r="I752" s="212">
        <v>11600</v>
      </c>
      <c r="J752" s="8">
        <v>46134</v>
      </c>
      <c r="K752" s="23">
        <f t="shared" si="194"/>
        <v>0</v>
      </c>
      <c r="L752" s="23">
        <f t="shared" si="195"/>
        <v>0</v>
      </c>
      <c r="M752" s="206">
        <f t="shared" si="199"/>
        <v>23.2</v>
      </c>
      <c r="N752" s="34">
        <f t="shared" si="200"/>
        <v>383</v>
      </c>
      <c r="O752" s="209">
        <f t="shared" si="196"/>
        <v>381</v>
      </c>
      <c r="P752" s="34">
        <f t="shared" si="191"/>
        <v>12450</v>
      </c>
      <c r="Q752" s="34">
        <f t="shared" si="192"/>
        <v>11600</v>
      </c>
      <c r="R752" s="7">
        <f t="shared" si="193"/>
        <v>359.8</v>
      </c>
      <c r="S752" s="227">
        <f t="shared" si="188"/>
        <v>-490.2</v>
      </c>
      <c r="T752" s="249">
        <f t="shared" si="189"/>
        <v>-3.937349397590361E-2</v>
      </c>
    </row>
    <row r="753" spans="2:20" ht="15" customHeight="1" x14ac:dyDescent="0.4">
      <c r="B753" s="38" t="s">
        <v>40</v>
      </c>
      <c r="C753" s="6" t="s">
        <v>160</v>
      </c>
      <c r="D753" s="6">
        <f t="shared" si="190"/>
        <v>1</v>
      </c>
      <c r="E753" s="34">
        <v>1</v>
      </c>
      <c r="F753" s="212">
        <v>12040</v>
      </c>
      <c r="G753" s="195">
        <v>45761</v>
      </c>
      <c r="H753" s="8"/>
      <c r="I753" s="212">
        <v>11600</v>
      </c>
      <c r="J753" s="8">
        <v>46134</v>
      </c>
      <c r="K753" s="23">
        <f t="shared" si="194"/>
        <v>0</v>
      </c>
      <c r="L753" s="23">
        <f t="shared" si="195"/>
        <v>0</v>
      </c>
      <c r="M753" s="206">
        <f t="shared" si="199"/>
        <v>23.2</v>
      </c>
      <c r="N753" s="34">
        <f t="shared" si="200"/>
        <v>383</v>
      </c>
      <c r="O753" s="209">
        <f t="shared" si="196"/>
        <v>374</v>
      </c>
      <c r="P753" s="34">
        <f t="shared" si="191"/>
        <v>12040</v>
      </c>
      <c r="Q753" s="34">
        <f t="shared" si="192"/>
        <v>11600</v>
      </c>
      <c r="R753" s="7">
        <f t="shared" si="193"/>
        <v>359.8</v>
      </c>
      <c r="S753" s="227">
        <f t="shared" si="188"/>
        <v>-80.199999999999989</v>
      </c>
      <c r="T753" s="249">
        <f t="shared" si="189"/>
        <v>-6.6611295681063111E-3</v>
      </c>
    </row>
    <row r="754" spans="2:20" ht="15" customHeight="1" x14ac:dyDescent="0.4">
      <c r="B754" s="38" t="s">
        <v>40</v>
      </c>
      <c r="C754" s="6" t="s">
        <v>160</v>
      </c>
      <c r="D754" s="6">
        <f t="shared" si="190"/>
        <v>1</v>
      </c>
      <c r="E754" s="34">
        <v>1</v>
      </c>
      <c r="F754" s="212">
        <v>12430</v>
      </c>
      <c r="G754" s="195">
        <v>45768</v>
      </c>
      <c r="H754" s="8"/>
      <c r="I754" s="212">
        <v>11600</v>
      </c>
      <c r="J754" s="8">
        <v>46134</v>
      </c>
      <c r="K754" s="23">
        <f t="shared" si="194"/>
        <v>0</v>
      </c>
      <c r="L754" s="23">
        <f t="shared" si="195"/>
        <v>0</v>
      </c>
      <c r="M754" s="206">
        <f t="shared" si="199"/>
        <v>23.2</v>
      </c>
      <c r="N754" s="34">
        <f t="shared" ref="N754:N772" si="201">E754*75</f>
        <v>75</v>
      </c>
      <c r="O754" s="209">
        <f t="shared" si="196"/>
        <v>367</v>
      </c>
      <c r="P754" s="34">
        <f t="shared" si="191"/>
        <v>12430</v>
      </c>
      <c r="Q754" s="34">
        <f t="shared" si="192"/>
        <v>11600</v>
      </c>
      <c r="R754" s="7">
        <f t="shared" si="193"/>
        <v>51.8</v>
      </c>
      <c r="S754" s="227">
        <f t="shared" si="188"/>
        <v>-778.2</v>
      </c>
      <c r="T754" s="249">
        <f t="shared" si="189"/>
        <v>-6.2606596942880136E-2</v>
      </c>
    </row>
    <row r="755" spans="2:20" ht="15" customHeight="1" x14ac:dyDescent="0.4">
      <c r="B755" s="38" t="s">
        <v>40</v>
      </c>
      <c r="C755" s="6" t="s">
        <v>160</v>
      </c>
      <c r="D755" s="6">
        <f t="shared" si="190"/>
        <v>1</v>
      </c>
      <c r="E755" s="34">
        <v>1</v>
      </c>
      <c r="F755" s="212">
        <v>13200</v>
      </c>
      <c r="G755" s="195">
        <v>45775</v>
      </c>
      <c r="H755" s="8"/>
      <c r="I755" s="212">
        <v>11600</v>
      </c>
      <c r="J755" s="8">
        <v>46134</v>
      </c>
      <c r="K755" s="23">
        <f t="shared" si="194"/>
        <v>0</v>
      </c>
      <c r="L755" s="23">
        <f t="shared" si="195"/>
        <v>0</v>
      </c>
      <c r="M755" s="206">
        <f t="shared" si="199"/>
        <v>23.2</v>
      </c>
      <c r="N755" s="34">
        <f t="shared" si="201"/>
        <v>75</v>
      </c>
      <c r="O755" s="209">
        <f t="shared" si="196"/>
        <v>360</v>
      </c>
      <c r="P755" s="34">
        <f t="shared" si="191"/>
        <v>13200</v>
      </c>
      <c r="Q755" s="34">
        <f t="shared" si="192"/>
        <v>11600</v>
      </c>
      <c r="R755" s="7">
        <f t="shared" si="193"/>
        <v>51.8</v>
      </c>
      <c r="S755" s="227">
        <f t="shared" si="188"/>
        <v>-1548.2</v>
      </c>
      <c r="T755" s="249">
        <f t="shared" si="189"/>
        <v>-0.11728787878787879</v>
      </c>
    </row>
    <row r="756" spans="2:20" ht="15" customHeight="1" x14ac:dyDescent="0.4">
      <c r="B756" s="38" t="s">
        <v>40</v>
      </c>
      <c r="C756" s="6" t="s">
        <v>160</v>
      </c>
      <c r="D756" s="6">
        <f t="shared" si="190"/>
        <v>1</v>
      </c>
      <c r="E756" s="34">
        <v>1</v>
      </c>
      <c r="F756" s="212">
        <v>13260</v>
      </c>
      <c r="G756" s="195">
        <v>45784</v>
      </c>
      <c r="H756" s="8"/>
      <c r="I756" s="212">
        <v>11600</v>
      </c>
      <c r="J756" s="8">
        <v>46134</v>
      </c>
      <c r="K756" s="23">
        <f t="shared" si="194"/>
        <v>0</v>
      </c>
      <c r="L756" s="23">
        <f t="shared" si="195"/>
        <v>0</v>
      </c>
      <c r="M756" s="206">
        <f t="shared" si="199"/>
        <v>23.2</v>
      </c>
      <c r="N756" s="34">
        <f t="shared" si="201"/>
        <v>75</v>
      </c>
      <c r="O756" s="209">
        <f t="shared" si="196"/>
        <v>351</v>
      </c>
      <c r="P756" s="34">
        <f t="shared" si="191"/>
        <v>13260</v>
      </c>
      <c r="Q756" s="34">
        <f t="shared" si="192"/>
        <v>11600</v>
      </c>
      <c r="R756" s="7">
        <f t="shared" si="193"/>
        <v>51.8</v>
      </c>
      <c r="S756" s="227">
        <f t="shared" si="188"/>
        <v>-1608.2</v>
      </c>
      <c r="T756" s="249">
        <f t="shared" si="189"/>
        <v>-0.12128205128205129</v>
      </c>
    </row>
    <row r="757" spans="2:20" ht="15" customHeight="1" x14ac:dyDescent="0.4">
      <c r="B757" s="38" t="s">
        <v>40</v>
      </c>
      <c r="C757" s="6" t="s">
        <v>160</v>
      </c>
      <c r="D757" s="6">
        <f t="shared" si="190"/>
        <v>1</v>
      </c>
      <c r="E757" s="34">
        <v>1</v>
      </c>
      <c r="F757" s="212">
        <v>14250</v>
      </c>
      <c r="G757" s="195">
        <v>45789</v>
      </c>
      <c r="H757" s="8"/>
      <c r="I757" s="212">
        <v>11600</v>
      </c>
      <c r="J757" s="8">
        <v>46134</v>
      </c>
      <c r="K757" s="23">
        <f t="shared" si="194"/>
        <v>0</v>
      </c>
      <c r="L757" s="23">
        <f t="shared" si="195"/>
        <v>0</v>
      </c>
      <c r="M757" s="206">
        <f t="shared" si="199"/>
        <v>23.2</v>
      </c>
      <c r="N757" s="34">
        <f t="shared" si="201"/>
        <v>75</v>
      </c>
      <c r="O757" s="209">
        <f t="shared" si="196"/>
        <v>346</v>
      </c>
      <c r="P757" s="34">
        <f t="shared" si="191"/>
        <v>14250</v>
      </c>
      <c r="Q757" s="34">
        <f t="shared" si="192"/>
        <v>11600</v>
      </c>
      <c r="R757" s="7">
        <f t="shared" si="193"/>
        <v>51.8</v>
      </c>
      <c r="S757" s="227">
        <f t="shared" si="188"/>
        <v>-2598.1999999999998</v>
      </c>
      <c r="T757" s="249">
        <f t="shared" si="189"/>
        <v>-0.18232982456140351</v>
      </c>
    </row>
    <row r="758" spans="2:20" ht="15" customHeight="1" x14ac:dyDescent="0.4">
      <c r="B758" s="38" t="s">
        <v>40</v>
      </c>
      <c r="C758" s="6" t="s">
        <v>160</v>
      </c>
      <c r="D758" s="6">
        <f t="shared" ref="D758:D789" si="202">IF(OR($C758="신한",$C758="OTC",$C758="무상증자(신한)",$C758="토스",$C758="R토스"),1,"확인")</f>
        <v>1</v>
      </c>
      <c r="E758" s="34">
        <v>1</v>
      </c>
      <c r="F758" s="212">
        <v>13930</v>
      </c>
      <c r="G758" s="195">
        <v>45796</v>
      </c>
      <c r="H758" s="8"/>
      <c r="I758" s="212">
        <v>11600</v>
      </c>
      <c r="J758" s="8">
        <v>46134</v>
      </c>
      <c r="K758" s="23">
        <f t="shared" si="194"/>
        <v>0</v>
      </c>
      <c r="L758" s="23">
        <f t="shared" si="195"/>
        <v>0</v>
      </c>
      <c r="M758" s="206">
        <f t="shared" si="199"/>
        <v>23.2</v>
      </c>
      <c r="N758" s="34">
        <f t="shared" si="201"/>
        <v>75</v>
      </c>
      <c r="O758" s="209">
        <f t="shared" si="196"/>
        <v>339</v>
      </c>
      <c r="P758" s="34">
        <f t="shared" ref="P758:P789" si="203">$E758*$F758*$D758</f>
        <v>13930</v>
      </c>
      <c r="Q758" s="34">
        <f t="shared" ref="Q758:Q789" si="204">$E758*$I758*$D758</f>
        <v>11600</v>
      </c>
      <c r="R758" s="7">
        <f t="shared" ref="R758:R789" si="205">($N758-$K758-$L758-$M758)*$D758</f>
        <v>51.8</v>
      </c>
      <c r="S758" s="227">
        <f t="shared" si="188"/>
        <v>-2278.1999999999998</v>
      </c>
      <c r="T758" s="249">
        <f t="shared" si="189"/>
        <v>-0.16354630294328784</v>
      </c>
    </row>
    <row r="759" spans="2:20" ht="15" customHeight="1" x14ac:dyDescent="0.4">
      <c r="B759" s="38" t="s">
        <v>40</v>
      </c>
      <c r="C759" s="6" t="s">
        <v>160</v>
      </c>
      <c r="D759" s="6">
        <f t="shared" si="202"/>
        <v>1</v>
      </c>
      <c r="E759" s="34">
        <v>1</v>
      </c>
      <c r="F759" s="212">
        <v>14080</v>
      </c>
      <c r="G759" s="195">
        <v>45803</v>
      </c>
      <c r="H759" s="8"/>
      <c r="I759" s="212">
        <v>11600</v>
      </c>
      <c r="J759" s="8">
        <v>46134</v>
      </c>
      <c r="K759" s="23">
        <f t="shared" ref="K759:K790" si="206">IF($C759="OTC",ROUNDDOWN($E759*$F759*0.000909187,-1),(IF($C759="신한",ROUNDDOWN($E759*$F759*0.000036396,-1),(IF($C759="토스",$E759*$F759*0.00015,(IF($C759="US",(IF($E759*$F759*0.0025&gt;0.01,$E759*$F759*0.0025,0.01)),IF($C759="JP",(IF($E759*$F759*0.0025&gt;1000,$E759*$F759*0.0025,1000)),(IF($C759="R토스",0,IF($C759="무상증자(신한)",0,"")))))))))))</f>
        <v>0</v>
      </c>
      <c r="L759" s="23">
        <f t="shared" ref="L759:L790" si="207">IF($C759="OTC",ROUNDDOWN($I759*$E759*0.000909187,-1),(IF($C759="신한",ROUNDDOWN($I759*$E759*0.000036396,-1),(IF($C759="토스",$I759*$E759*0.00015,(IF($C759="US",(IF($I759*$E759*0.0025&gt;0.01,$I759*$E759*0.0025,0.01)),(IF($C759="JP",(IF($I759*$E759*0.0025&gt;1000,$I759*$E759*0.0025,1000)),(IF($C759="R토스",$I759*$E759*0.00015,(IF($C759="무상증자(신한)",ROUNDDOWN($I759*$E759*0.000036396,-1),"")))))))))))))</f>
        <v>0</v>
      </c>
      <c r="M759" s="206">
        <f t="shared" si="199"/>
        <v>23.2</v>
      </c>
      <c r="N759" s="34">
        <f t="shared" si="201"/>
        <v>75</v>
      </c>
      <c r="O759" s="209">
        <f t="shared" si="196"/>
        <v>332</v>
      </c>
      <c r="P759" s="34">
        <f t="shared" si="203"/>
        <v>14080</v>
      </c>
      <c r="Q759" s="34">
        <f t="shared" si="204"/>
        <v>11600</v>
      </c>
      <c r="R759" s="7">
        <f t="shared" si="205"/>
        <v>51.8</v>
      </c>
      <c r="S759" s="227">
        <f t="shared" si="188"/>
        <v>-2428.1999999999998</v>
      </c>
      <c r="T759" s="249">
        <f t="shared" si="189"/>
        <v>-0.17245738636363636</v>
      </c>
    </row>
    <row r="760" spans="2:20" ht="15" customHeight="1" x14ac:dyDescent="0.4">
      <c r="B760" s="38" t="s">
        <v>40</v>
      </c>
      <c r="C760" s="6" t="s">
        <v>160</v>
      </c>
      <c r="D760" s="6">
        <f t="shared" si="202"/>
        <v>1</v>
      </c>
      <c r="E760" s="34">
        <v>1</v>
      </c>
      <c r="F760" s="212">
        <v>15040</v>
      </c>
      <c r="G760" s="195">
        <v>45810</v>
      </c>
      <c r="H760" s="8"/>
      <c r="I760" s="212">
        <v>11600</v>
      </c>
      <c r="J760" s="8">
        <v>46134</v>
      </c>
      <c r="K760" s="23">
        <f t="shared" si="206"/>
        <v>0</v>
      </c>
      <c r="L760" s="23">
        <f t="shared" si="207"/>
        <v>0</v>
      </c>
      <c r="M760" s="206">
        <f t="shared" si="199"/>
        <v>23.2</v>
      </c>
      <c r="N760" s="34">
        <f t="shared" si="201"/>
        <v>75</v>
      </c>
      <c r="O760" s="209">
        <f t="shared" si="196"/>
        <v>325</v>
      </c>
      <c r="P760" s="34">
        <f t="shared" si="203"/>
        <v>15040</v>
      </c>
      <c r="Q760" s="34">
        <f t="shared" si="204"/>
        <v>11600</v>
      </c>
      <c r="R760" s="7">
        <f t="shared" si="205"/>
        <v>51.8</v>
      </c>
      <c r="S760" s="227">
        <f t="shared" si="188"/>
        <v>-3388.2</v>
      </c>
      <c r="T760" s="249">
        <f t="shared" si="189"/>
        <v>-0.22527925531914891</v>
      </c>
    </row>
    <row r="761" spans="2:20" ht="15" customHeight="1" x14ac:dyDescent="0.4">
      <c r="B761" s="38" t="s">
        <v>40</v>
      </c>
      <c r="C761" s="6" t="s">
        <v>160</v>
      </c>
      <c r="D761" s="6">
        <f t="shared" si="202"/>
        <v>1</v>
      </c>
      <c r="E761" s="34">
        <v>1</v>
      </c>
      <c r="F761" s="212">
        <v>15390</v>
      </c>
      <c r="G761" s="195">
        <v>45817</v>
      </c>
      <c r="H761" s="8"/>
      <c r="I761" s="212">
        <v>11600</v>
      </c>
      <c r="J761" s="8">
        <v>46134</v>
      </c>
      <c r="K761" s="23">
        <f t="shared" si="206"/>
        <v>0</v>
      </c>
      <c r="L761" s="23">
        <f t="shared" si="207"/>
        <v>0</v>
      </c>
      <c r="M761" s="206">
        <f t="shared" si="199"/>
        <v>23.2</v>
      </c>
      <c r="N761" s="34">
        <f t="shared" si="201"/>
        <v>75</v>
      </c>
      <c r="O761" s="209">
        <f t="shared" si="196"/>
        <v>318</v>
      </c>
      <c r="P761" s="34">
        <f t="shared" si="203"/>
        <v>15390</v>
      </c>
      <c r="Q761" s="34">
        <f t="shared" si="204"/>
        <v>11600</v>
      </c>
      <c r="R761" s="7">
        <f t="shared" si="205"/>
        <v>51.8</v>
      </c>
      <c r="S761" s="227">
        <f t="shared" si="188"/>
        <v>-3738.2</v>
      </c>
      <c r="T761" s="249">
        <f t="shared" si="189"/>
        <v>-0.24289798570500323</v>
      </c>
    </row>
    <row r="762" spans="2:20" ht="15" customHeight="1" x14ac:dyDescent="0.4">
      <c r="B762" s="38" t="s">
        <v>40</v>
      </c>
      <c r="C762" s="6" t="s">
        <v>160</v>
      </c>
      <c r="D762" s="6">
        <f t="shared" si="202"/>
        <v>1</v>
      </c>
      <c r="E762" s="34">
        <v>1</v>
      </c>
      <c r="F762" s="212">
        <v>14700</v>
      </c>
      <c r="G762" s="195">
        <v>45824</v>
      </c>
      <c r="H762" s="8"/>
      <c r="I762" s="212">
        <v>11600</v>
      </c>
      <c r="J762" s="8">
        <v>46134</v>
      </c>
      <c r="K762" s="23">
        <f t="shared" si="206"/>
        <v>0</v>
      </c>
      <c r="L762" s="23">
        <f t="shared" si="207"/>
        <v>0</v>
      </c>
      <c r="M762" s="206">
        <f t="shared" si="199"/>
        <v>23.2</v>
      </c>
      <c r="N762" s="34">
        <f t="shared" si="201"/>
        <v>75</v>
      </c>
      <c r="O762" s="209">
        <f t="shared" si="196"/>
        <v>311</v>
      </c>
      <c r="P762" s="34">
        <f t="shared" si="203"/>
        <v>14700</v>
      </c>
      <c r="Q762" s="34">
        <f t="shared" si="204"/>
        <v>11600</v>
      </c>
      <c r="R762" s="7">
        <f t="shared" si="205"/>
        <v>51.8</v>
      </c>
      <c r="S762" s="227">
        <f t="shared" si="188"/>
        <v>-3048.2</v>
      </c>
      <c r="T762" s="249">
        <f t="shared" si="189"/>
        <v>-0.20736054421768707</v>
      </c>
    </row>
    <row r="763" spans="2:20" ht="15" customHeight="1" x14ac:dyDescent="0.4">
      <c r="B763" s="38" t="s">
        <v>40</v>
      </c>
      <c r="C763" s="6" t="s">
        <v>160</v>
      </c>
      <c r="D763" s="6">
        <f t="shared" si="202"/>
        <v>1</v>
      </c>
      <c r="E763" s="34">
        <v>1</v>
      </c>
      <c r="F763" s="212">
        <v>15650</v>
      </c>
      <c r="G763" s="195">
        <v>45831</v>
      </c>
      <c r="H763" s="8"/>
      <c r="I763" s="212">
        <v>11600</v>
      </c>
      <c r="J763" s="8">
        <v>46134</v>
      </c>
      <c r="K763" s="23">
        <f t="shared" si="206"/>
        <v>0</v>
      </c>
      <c r="L763" s="23">
        <f t="shared" si="207"/>
        <v>0</v>
      </c>
      <c r="M763" s="206">
        <f t="shared" si="199"/>
        <v>23.2</v>
      </c>
      <c r="N763" s="34">
        <f t="shared" si="201"/>
        <v>75</v>
      </c>
      <c r="O763" s="209">
        <f t="shared" si="196"/>
        <v>304</v>
      </c>
      <c r="P763" s="34">
        <f t="shared" si="203"/>
        <v>15650</v>
      </c>
      <c r="Q763" s="34">
        <f t="shared" si="204"/>
        <v>11600</v>
      </c>
      <c r="R763" s="7">
        <f t="shared" si="205"/>
        <v>51.8</v>
      </c>
      <c r="S763" s="227">
        <f t="shared" si="188"/>
        <v>-3998.2</v>
      </c>
      <c r="T763" s="249">
        <f t="shared" si="189"/>
        <v>-0.25547603833865812</v>
      </c>
    </row>
    <row r="764" spans="2:20" ht="15" customHeight="1" x14ac:dyDescent="0.4">
      <c r="B764" s="38" t="s">
        <v>40</v>
      </c>
      <c r="C764" s="6" t="s">
        <v>160</v>
      </c>
      <c r="D764" s="6">
        <f t="shared" si="202"/>
        <v>1</v>
      </c>
      <c r="E764" s="34">
        <v>1</v>
      </c>
      <c r="F764" s="212">
        <v>14830</v>
      </c>
      <c r="G764" s="195">
        <v>45838</v>
      </c>
      <c r="H764" s="8"/>
      <c r="I764" s="212">
        <v>11600</v>
      </c>
      <c r="J764" s="8">
        <v>46134</v>
      </c>
      <c r="K764" s="23">
        <f t="shared" si="206"/>
        <v>0</v>
      </c>
      <c r="L764" s="23">
        <f t="shared" si="207"/>
        <v>0</v>
      </c>
      <c r="M764" s="206">
        <f t="shared" si="199"/>
        <v>23.2</v>
      </c>
      <c r="N764" s="34">
        <f t="shared" si="201"/>
        <v>75</v>
      </c>
      <c r="O764" s="209">
        <f t="shared" si="196"/>
        <v>297</v>
      </c>
      <c r="P764" s="34">
        <f t="shared" si="203"/>
        <v>14830</v>
      </c>
      <c r="Q764" s="34">
        <f t="shared" si="204"/>
        <v>11600</v>
      </c>
      <c r="R764" s="7">
        <f t="shared" si="205"/>
        <v>51.8</v>
      </c>
      <c r="S764" s="227">
        <f t="shared" si="188"/>
        <v>-3178.2</v>
      </c>
      <c r="T764" s="249">
        <f t="shared" si="189"/>
        <v>-0.21430883344571813</v>
      </c>
    </row>
    <row r="765" spans="2:20" ht="15" customHeight="1" x14ac:dyDescent="0.4">
      <c r="B765" s="38" t="s">
        <v>40</v>
      </c>
      <c r="C765" s="6" t="s">
        <v>160</v>
      </c>
      <c r="D765" s="6">
        <f t="shared" si="202"/>
        <v>1</v>
      </c>
      <c r="E765" s="34">
        <v>1</v>
      </c>
      <c r="F765" s="212">
        <v>14930</v>
      </c>
      <c r="G765" s="195">
        <v>45845</v>
      </c>
      <c r="H765" s="8"/>
      <c r="I765" s="212">
        <v>11600</v>
      </c>
      <c r="J765" s="8">
        <v>46134</v>
      </c>
      <c r="K765" s="23">
        <f t="shared" si="206"/>
        <v>0</v>
      </c>
      <c r="L765" s="23">
        <f t="shared" si="207"/>
        <v>0</v>
      </c>
      <c r="M765" s="206">
        <f t="shared" si="199"/>
        <v>23.2</v>
      </c>
      <c r="N765" s="34">
        <f t="shared" si="201"/>
        <v>75</v>
      </c>
      <c r="O765" s="209">
        <f t="shared" si="196"/>
        <v>290</v>
      </c>
      <c r="P765" s="34">
        <f t="shared" si="203"/>
        <v>14930</v>
      </c>
      <c r="Q765" s="34">
        <f t="shared" si="204"/>
        <v>11600</v>
      </c>
      <c r="R765" s="7">
        <f t="shared" si="205"/>
        <v>51.8</v>
      </c>
      <c r="S765" s="227">
        <f t="shared" si="188"/>
        <v>-3278.2</v>
      </c>
      <c r="T765" s="249">
        <f t="shared" si="189"/>
        <v>-0.21957133288680508</v>
      </c>
    </row>
    <row r="766" spans="2:20" ht="15" customHeight="1" x14ac:dyDescent="0.4">
      <c r="B766" s="38" t="s">
        <v>40</v>
      </c>
      <c r="C766" s="6" t="s">
        <v>160</v>
      </c>
      <c r="D766" s="6">
        <f t="shared" si="202"/>
        <v>1</v>
      </c>
      <c r="E766" s="34">
        <v>1</v>
      </c>
      <c r="F766" s="212">
        <v>15150</v>
      </c>
      <c r="G766" s="195">
        <v>45852</v>
      </c>
      <c r="H766" s="8"/>
      <c r="I766" s="212">
        <v>11600</v>
      </c>
      <c r="J766" s="8">
        <v>46134</v>
      </c>
      <c r="K766" s="23">
        <f t="shared" si="206"/>
        <v>0</v>
      </c>
      <c r="L766" s="23">
        <f t="shared" si="207"/>
        <v>0</v>
      </c>
      <c r="M766" s="206">
        <f t="shared" si="199"/>
        <v>23.2</v>
      </c>
      <c r="N766" s="34">
        <f t="shared" si="201"/>
        <v>75</v>
      </c>
      <c r="O766" s="209">
        <f t="shared" si="196"/>
        <v>283</v>
      </c>
      <c r="P766" s="34">
        <f t="shared" si="203"/>
        <v>15150</v>
      </c>
      <c r="Q766" s="34">
        <f t="shared" si="204"/>
        <v>11600</v>
      </c>
      <c r="R766" s="7">
        <f t="shared" si="205"/>
        <v>51.8</v>
      </c>
      <c r="S766" s="227">
        <f t="shared" si="188"/>
        <v>-3498.2</v>
      </c>
      <c r="T766" s="249">
        <f t="shared" si="189"/>
        <v>-0.2309042904290429</v>
      </c>
    </row>
    <row r="767" spans="2:20" ht="15" customHeight="1" x14ac:dyDescent="0.4">
      <c r="B767" s="38" t="s">
        <v>40</v>
      </c>
      <c r="C767" s="6" t="s">
        <v>160</v>
      </c>
      <c r="D767" s="6">
        <f t="shared" si="202"/>
        <v>1</v>
      </c>
      <c r="E767" s="34">
        <v>1</v>
      </c>
      <c r="F767" s="212">
        <v>15000</v>
      </c>
      <c r="G767" s="195">
        <v>45859</v>
      </c>
      <c r="H767" s="8"/>
      <c r="I767" s="212">
        <v>11600</v>
      </c>
      <c r="J767" s="8">
        <v>46134</v>
      </c>
      <c r="K767" s="23">
        <f t="shared" si="206"/>
        <v>0</v>
      </c>
      <c r="L767" s="23">
        <f t="shared" si="207"/>
        <v>0</v>
      </c>
      <c r="M767" s="206">
        <f t="shared" si="199"/>
        <v>23.2</v>
      </c>
      <c r="N767" s="34">
        <f t="shared" si="201"/>
        <v>75</v>
      </c>
      <c r="O767" s="209">
        <f t="shared" si="196"/>
        <v>276</v>
      </c>
      <c r="P767" s="34">
        <f t="shared" si="203"/>
        <v>15000</v>
      </c>
      <c r="Q767" s="34">
        <f t="shared" si="204"/>
        <v>11600</v>
      </c>
      <c r="R767" s="7">
        <f t="shared" si="205"/>
        <v>51.8</v>
      </c>
      <c r="S767" s="227">
        <f t="shared" si="188"/>
        <v>-3348.2</v>
      </c>
      <c r="T767" s="249">
        <f t="shared" si="189"/>
        <v>-0.22321333333333332</v>
      </c>
    </row>
    <row r="768" spans="2:20" ht="15" customHeight="1" x14ac:dyDescent="0.4">
      <c r="B768" s="38" t="s">
        <v>40</v>
      </c>
      <c r="C768" s="6" t="s">
        <v>160</v>
      </c>
      <c r="D768" s="6">
        <f t="shared" si="202"/>
        <v>1</v>
      </c>
      <c r="E768" s="34">
        <v>1</v>
      </c>
      <c r="F768" s="212">
        <v>14790</v>
      </c>
      <c r="G768" s="195">
        <v>45866</v>
      </c>
      <c r="H768" s="8"/>
      <c r="I768" s="212">
        <v>11600</v>
      </c>
      <c r="J768" s="8">
        <v>46134</v>
      </c>
      <c r="K768" s="23">
        <f t="shared" si="206"/>
        <v>0</v>
      </c>
      <c r="L768" s="23">
        <f t="shared" si="207"/>
        <v>0</v>
      </c>
      <c r="M768" s="206">
        <f t="shared" si="199"/>
        <v>23.2</v>
      </c>
      <c r="N768" s="34">
        <f t="shared" si="201"/>
        <v>75</v>
      </c>
      <c r="O768" s="209">
        <f t="shared" si="196"/>
        <v>269</v>
      </c>
      <c r="P768" s="34">
        <f t="shared" si="203"/>
        <v>14790</v>
      </c>
      <c r="Q768" s="34">
        <f t="shared" si="204"/>
        <v>11600</v>
      </c>
      <c r="R768" s="7">
        <f t="shared" si="205"/>
        <v>51.8</v>
      </c>
      <c r="S768" s="227">
        <f t="shared" si="188"/>
        <v>-3138.2</v>
      </c>
      <c r="T768" s="249">
        <f t="shared" si="189"/>
        <v>-0.212183908045977</v>
      </c>
    </row>
    <row r="769" spans="2:20" ht="15" customHeight="1" x14ac:dyDescent="0.4">
      <c r="B769" s="38" t="s">
        <v>40</v>
      </c>
      <c r="C769" s="6" t="s">
        <v>160</v>
      </c>
      <c r="D769" s="6">
        <f t="shared" si="202"/>
        <v>1</v>
      </c>
      <c r="E769" s="34">
        <v>1</v>
      </c>
      <c r="F769" s="212">
        <v>14130</v>
      </c>
      <c r="G769" s="195">
        <v>45873</v>
      </c>
      <c r="H769" s="8"/>
      <c r="I769" s="212">
        <v>11600</v>
      </c>
      <c r="J769" s="8">
        <v>46134</v>
      </c>
      <c r="K769" s="23">
        <f t="shared" si="206"/>
        <v>0</v>
      </c>
      <c r="L769" s="23">
        <f t="shared" si="207"/>
        <v>0</v>
      </c>
      <c r="M769" s="206">
        <f t="shared" si="199"/>
        <v>23.2</v>
      </c>
      <c r="N769" s="34">
        <f t="shared" si="201"/>
        <v>75</v>
      </c>
      <c r="O769" s="209">
        <f t="shared" si="196"/>
        <v>262</v>
      </c>
      <c r="P769" s="34">
        <f t="shared" si="203"/>
        <v>14130</v>
      </c>
      <c r="Q769" s="34">
        <f t="shared" si="204"/>
        <v>11600</v>
      </c>
      <c r="R769" s="7">
        <f t="shared" si="205"/>
        <v>51.8</v>
      </c>
      <c r="S769" s="227">
        <f t="shared" si="188"/>
        <v>-2478.1999999999998</v>
      </c>
      <c r="T769" s="249">
        <f t="shared" si="189"/>
        <v>-0.17538570417551308</v>
      </c>
    </row>
    <row r="770" spans="2:20" ht="15" customHeight="1" x14ac:dyDescent="0.4">
      <c r="B770" s="38" t="s">
        <v>40</v>
      </c>
      <c r="C770" s="6" t="s">
        <v>160</v>
      </c>
      <c r="D770" s="6">
        <f t="shared" si="202"/>
        <v>1</v>
      </c>
      <c r="E770" s="34">
        <v>1</v>
      </c>
      <c r="F770" s="212">
        <v>14520</v>
      </c>
      <c r="G770" s="195">
        <v>45880</v>
      </c>
      <c r="H770" s="8"/>
      <c r="I770" s="212">
        <v>11600</v>
      </c>
      <c r="J770" s="8">
        <v>46134</v>
      </c>
      <c r="K770" s="23">
        <f t="shared" si="206"/>
        <v>0</v>
      </c>
      <c r="L770" s="23">
        <f t="shared" si="207"/>
        <v>0</v>
      </c>
      <c r="M770" s="206">
        <f t="shared" si="199"/>
        <v>23.2</v>
      </c>
      <c r="N770" s="34">
        <f t="shared" si="201"/>
        <v>75</v>
      </c>
      <c r="O770" s="209">
        <f t="shared" si="196"/>
        <v>255</v>
      </c>
      <c r="P770" s="34">
        <f t="shared" si="203"/>
        <v>14520</v>
      </c>
      <c r="Q770" s="34">
        <f t="shared" si="204"/>
        <v>11600</v>
      </c>
      <c r="R770" s="7">
        <f t="shared" si="205"/>
        <v>51.8</v>
      </c>
      <c r="S770" s="227">
        <f t="shared" si="188"/>
        <v>-2868.2</v>
      </c>
      <c r="T770" s="249">
        <f t="shared" si="189"/>
        <v>-0.19753443526170797</v>
      </c>
    </row>
    <row r="771" spans="2:20" ht="15" customHeight="1" x14ac:dyDescent="0.4">
      <c r="B771" s="38" t="s">
        <v>40</v>
      </c>
      <c r="C771" s="6" t="s">
        <v>160</v>
      </c>
      <c r="D771" s="6">
        <f t="shared" si="202"/>
        <v>1</v>
      </c>
      <c r="E771" s="34">
        <v>1</v>
      </c>
      <c r="F771" s="212">
        <v>13970</v>
      </c>
      <c r="G771" s="195">
        <v>45887</v>
      </c>
      <c r="H771" s="8"/>
      <c r="I771" s="212">
        <v>11600</v>
      </c>
      <c r="J771" s="8">
        <v>46134</v>
      </c>
      <c r="K771" s="23">
        <f t="shared" si="206"/>
        <v>0</v>
      </c>
      <c r="L771" s="23">
        <f t="shared" si="207"/>
        <v>0</v>
      </c>
      <c r="M771" s="206">
        <f t="shared" si="199"/>
        <v>23.2</v>
      </c>
      <c r="N771" s="34">
        <f t="shared" si="201"/>
        <v>75</v>
      </c>
      <c r="O771" s="209">
        <f t="shared" si="196"/>
        <v>248</v>
      </c>
      <c r="P771" s="34">
        <f t="shared" si="203"/>
        <v>13970</v>
      </c>
      <c r="Q771" s="34">
        <f t="shared" si="204"/>
        <v>11600</v>
      </c>
      <c r="R771" s="7">
        <f t="shared" si="205"/>
        <v>51.8</v>
      </c>
      <c r="S771" s="227">
        <f t="shared" si="188"/>
        <v>-2318.1999999999998</v>
      </c>
      <c r="T771" s="249">
        <f t="shared" si="189"/>
        <v>-0.16594130279169647</v>
      </c>
    </row>
    <row r="772" spans="2:20" ht="15" customHeight="1" x14ac:dyDescent="0.4">
      <c r="B772" s="38" t="s">
        <v>40</v>
      </c>
      <c r="C772" s="6" t="s">
        <v>160</v>
      </c>
      <c r="D772" s="6">
        <f t="shared" si="202"/>
        <v>1</v>
      </c>
      <c r="E772" s="34">
        <v>1</v>
      </c>
      <c r="F772" s="212">
        <v>16670</v>
      </c>
      <c r="G772" s="195">
        <v>45894</v>
      </c>
      <c r="H772" s="8"/>
      <c r="I772" s="212">
        <v>11600</v>
      </c>
      <c r="J772" s="8">
        <v>46134</v>
      </c>
      <c r="K772" s="23">
        <f t="shared" si="206"/>
        <v>0</v>
      </c>
      <c r="L772" s="23">
        <f t="shared" si="207"/>
        <v>0</v>
      </c>
      <c r="M772" s="206">
        <f t="shared" ref="M772:M803" si="208">Q772*0.002</f>
        <v>23.2</v>
      </c>
      <c r="N772" s="34">
        <f t="shared" si="201"/>
        <v>75</v>
      </c>
      <c r="O772" s="209">
        <f t="shared" si="196"/>
        <v>241</v>
      </c>
      <c r="P772" s="34">
        <f t="shared" si="203"/>
        <v>16670</v>
      </c>
      <c r="Q772" s="34">
        <f t="shared" si="204"/>
        <v>11600</v>
      </c>
      <c r="R772" s="7">
        <f t="shared" si="205"/>
        <v>51.8</v>
      </c>
      <c r="S772" s="227">
        <f t="shared" ref="S772:S835" si="209">IF(Q772=0,0,Q772-P772+R772)</f>
        <v>-5018.2</v>
      </c>
      <c r="T772" s="249">
        <f t="shared" ref="T772:T835" si="210">S772/P772</f>
        <v>-0.30103179364127175</v>
      </c>
    </row>
    <row r="773" spans="2:20" ht="15" customHeight="1" x14ac:dyDescent="0.4">
      <c r="B773" s="38" t="s">
        <v>40</v>
      </c>
      <c r="C773" s="6" t="s">
        <v>160</v>
      </c>
      <c r="D773" s="6">
        <f t="shared" si="202"/>
        <v>1</v>
      </c>
      <c r="E773" s="34">
        <v>1</v>
      </c>
      <c r="F773" s="212">
        <v>15820</v>
      </c>
      <c r="G773" s="195">
        <v>45901</v>
      </c>
      <c r="H773" s="8"/>
      <c r="I773" s="212">
        <v>11600</v>
      </c>
      <c r="J773" s="8">
        <v>46134</v>
      </c>
      <c r="K773" s="23">
        <f t="shared" si="206"/>
        <v>0</v>
      </c>
      <c r="L773" s="23">
        <f t="shared" si="207"/>
        <v>0</v>
      </c>
      <c r="M773" s="206">
        <f t="shared" si="208"/>
        <v>23.2</v>
      </c>
      <c r="N773" s="34"/>
      <c r="O773" s="209">
        <f t="shared" si="196"/>
        <v>234</v>
      </c>
      <c r="P773" s="34">
        <f t="shared" si="203"/>
        <v>15820</v>
      </c>
      <c r="Q773" s="34">
        <f t="shared" si="204"/>
        <v>11600</v>
      </c>
      <c r="R773" s="7">
        <f t="shared" si="205"/>
        <v>-23.2</v>
      </c>
      <c r="S773" s="227">
        <f t="shared" si="209"/>
        <v>-4243.2</v>
      </c>
      <c r="T773" s="249">
        <f t="shared" si="210"/>
        <v>-0.26821744627054361</v>
      </c>
    </row>
    <row r="774" spans="2:20" ht="15" customHeight="1" x14ac:dyDescent="0.4">
      <c r="B774" s="38" t="s">
        <v>40</v>
      </c>
      <c r="C774" s="6" t="s">
        <v>160</v>
      </c>
      <c r="D774" s="6">
        <f t="shared" si="202"/>
        <v>1</v>
      </c>
      <c r="E774" s="34">
        <v>1</v>
      </c>
      <c r="F774" s="212">
        <v>15650</v>
      </c>
      <c r="G774" s="195">
        <v>45908</v>
      </c>
      <c r="H774" s="8"/>
      <c r="I774" s="212">
        <v>11600</v>
      </c>
      <c r="J774" s="8">
        <v>46134</v>
      </c>
      <c r="K774" s="23">
        <f t="shared" si="206"/>
        <v>0</v>
      </c>
      <c r="L774" s="23">
        <f t="shared" si="207"/>
        <v>0</v>
      </c>
      <c r="M774" s="206">
        <f t="shared" si="208"/>
        <v>23.2</v>
      </c>
      <c r="N774" s="34"/>
      <c r="O774" s="209">
        <f t="shared" si="196"/>
        <v>227</v>
      </c>
      <c r="P774" s="34">
        <f t="shared" si="203"/>
        <v>15650</v>
      </c>
      <c r="Q774" s="34">
        <f t="shared" si="204"/>
        <v>11600</v>
      </c>
      <c r="R774" s="7">
        <f t="shared" si="205"/>
        <v>-23.2</v>
      </c>
      <c r="S774" s="227">
        <f t="shared" si="209"/>
        <v>-4073.2</v>
      </c>
      <c r="T774" s="249">
        <f t="shared" si="210"/>
        <v>-0.26026837060702873</v>
      </c>
    </row>
    <row r="775" spans="2:20" ht="15" customHeight="1" x14ac:dyDescent="0.4">
      <c r="B775" s="38" t="s">
        <v>40</v>
      </c>
      <c r="C775" s="6" t="s">
        <v>160</v>
      </c>
      <c r="D775" s="6">
        <f t="shared" si="202"/>
        <v>1</v>
      </c>
      <c r="E775" s="34">
        <v>1</v>
      </c>
      <c r="F775" s="212">
        <v>16310</v>
      </c>
      <c r="G775" s="195">
        <v>45915</v>
      </c>
      <c r="H775" s="8"/>
      <c r="I775" s="212">
        <v>11600</v>
      </c>
      <c r="J775" s="8">
        <v>46134</v>
      </c>
      <c r="K775" s="23">
        <f t="shared" si="206"/>
        <v>0</v>
      </c>
      <c r="L775" s="23">
        <f t="shared" si="207"/>
        <v>0</v>
      </c>
      <c r="M775" s="206">
        <f t="shared" si="208"/>
        <v>23.2</v>
      </c>
      <c r="N775" s="34"/>
      <c r="O775" s="209">
        <f t="shared" si="196"/>
        <v>220</v>
      </c>
      <c r="P775" s="34">
        <f t="shared" si="203"/>
        <v>16310</v>
      </c>
      <c r="Q775" s="34">
        <f t="shared" si="204"/>
        <v>11600</v>
      </c>
      <c r="R775" s="7">
        <f t="shared" si="205"/>
        <v>-23.2</v>
      </c>
      <c r="S775" s="227">
        <f t="shared" si="209"/>
        <v>-4733.2</v>
      </c>
      <c r="T775" s="249">
        <f t="shared" si="210"/>
        <v>-0.2902023298589822</v>
      </c>
    </row>
    <row r="776" spans="2:20" ht="15" customHeight="1" x14ac:dyDescent="0.4">
      <c r="B776" s="38" t="s">
        <v>40</v>
      </c>
      <c r="C776" s="6" t="s">
        <v>160</v>
      </c>
      <c r="D776" s="6">
        <f t="shared" si="202"/>
        <v>1</v>
      </c>
      <c r="E776" s="34">
        <v>1</v>
      </c>
      <c r="F776" s="212">
        <v>15500</v>
      </c>
      <c r="G776" s="195">
        <v>45922</v>
      </c>
      <c r="H776" s="8"/>
      <c r="I776" s="212">
        <v>11600</v>
      </c>
      <c r="J776" s="8">
        <v>46134</v>
      </c>
      <c r="K776" s="23">
        <f t="shared" si="206"/>
        <v>0</v>
      </c>
      <c r="L776" s="23">
        <f t="shared" si="207"/>
        <v>0</v>
      </c>
      <c r="M776" s="206">
        <f t="shared" si="208"/>
        <v>23.2</v>
      </c>
      <c r="N776" s="34"/>
      <c r="O776" s="209">
        <f t="shared" si="196"/>
        <v>213</v>
      </c>
      <c r="P776" s="34">
        <f t="shared" si="203"/>
        <v>15500</v>
      </c>
      <c r="Q776" s="34">
        <f t="shared" si="204"/>
        <v>11600</v>
      </c>
      <c r="R776" s="7">
        <f t="shared" si="205"/>
        <v>-23.2</v>
      </c>
      <c r="S776" s="227">
        <f t="shared" si="209"/>
        <v>-3923.2</v>
      </c>
      <c r="T776" s="249">
        <f t="shared" si="210"/>
        <v>-0.25310967741935481</v>
      </c>
    </row>
    <row r="777" spans="2:20" ht="15" customHeight="1" x14ac:dyDescent="0.4">
      <c r="B777" s="38" t="s">
        <v>40</v>
      </c>
      <c r="C777" s="6" t="s">
        <v>160</v>
      </c>
      <c r="D777" s="6">
        <f t="shared" si="202"/>
        <v>1</v>
      </c>
      <c r="E777" s="34">
        <v>1</v>
      </c>
      <c r="F777" s="212">
        <v>15300</v>
      </c>
      <c r="G777" s="195">
        <v>45929</v>
      </c>
      <c r="H777" s="8"/>
      <c r="I777" s="212">
        <v>11600</v>
      </c>
      <c r="J777" s="8">
        <v>46134</v>
      </c>
      <c r="K777" s="23">
        <f t="shared" si="206"/>
        <v>0</v>
      </c>
      <c r="L777" s="23">
        <f t="shared" si="207"/>
        <v>0</v>
      </c>
      <c r="M777" s="206">
        <f t="shared" si="208"/>
        <v>23.2</v>
      </c>
      <c r="N777" s="34"/>
      <c r="O777" s="209">
        <f t="shared" si="196"/>
        <v>206</v>
      </c>
      <c r="P777" s="34">
        <f t="shared" si="203"/>
        <v>15300</v>
      </c>
      <c r="Q777" s="34">
        <f t="shared" si="204"/>
        <v>11600</v>
      </c>
      <c r="R777" s="7">
        <f t="shared" si="205"/>
        <v>-23.2</v>
      </c>
      <c r="S777" s="227">
        <f t="shared" si="209"/>
        <v>-3723.2</v>
      </c>
      <c r="T777" s="249">
        <f t="shared" si="210"/>
        <v>-0.24334640522875817</v>
      </c>
    </row>
    <row r="778" spans="2:20" ht="15" customHeight="1" x14ac:dyDescent="0.4">
      <c r="B778" s="38" t="s">
        <v>40</v>
      </c>
      <c r="C778" s="6" t="s">
        <v>160</v>
      </c>
      <c r="D778" s="6">
        <f t="shared" si="202"/>
        <v>1</v>
      </c>
      <c r="E778" s="34">
        <v>1</v>
      </c>
      <c r="F778" s="212">
        <v>15040</v>
      </c>
      <c r="G778" s="195">
        <v>45940</v>
      </c>
      <c r="H778" s="8"/>
      <c r="I778" s="212">
        <v>11600</v>
      </c>
      <c r="J778" s="8">
        <v>46134</v>
      </c>
      <c r="K778" s="23">
        <f t="shared" si="206"/>
        <v>0</v>
      </c>
      <c r="L778" s="23">
        <f t="shared" si="207"/>
        <v>0</v>
      </c>
      <c r="M778" s="206">
        <f t="shared" si="208"/>
        <v>23.2</v>
      </c>
      <c r="N778" s="34"/>
      <c r="O778" s="209">
        <f t="shared" si="196"/>
        <v>195</v>
      </c>
      <c r="P778" s="34">
        <f t="shared" si="203"/>
        <v>15040</v>
      </c>
      <c r="Q778" s="34">
        <f t="shared" si="204"/>
        <v>11600</v>
      </c>
      <c r="R778" s="7">
        <f t="shared" si="205"/>
        <v>-23.2</v>
      </c>
      <c r="S778" s="227">
        <f t="shared" si="209"/>
        <v>-3463.2</v>
      </c>
      <c r="T778" s="249">
        <f t="shared" si="210"/>
        <v>-0.2302659574468085</v>
      </c>
    </row>
    <row r="779" spans="2:20" ht="15" customHeight="1" x14ac:dyDescent="0.4">
      <c r="B779" s="38" t="s">
        <v>40</v>
      </c>
      <c r="C779" s="6" t="s">
        <v>160</v>
      </c>
      <c r="D779" s="6">
        <f t="shared" si="202"/>
        <v>1</v>
      </c>
      <c r="E779" s="34">
        <v>1</v>
      </c>
      <c r="F779" s="212">
        <v>14650</v>
      </c>
      <c r="G779" s="195">
        <v>45943</v>
      </c>
      <c r="H779" s="8"/>
      <c r="I779" s="212">
        <v>11600</v>
      </c>
      <c r="J779" s="8">
        <v>46134</v>
      </c>
      <c r="K779" s="23">
        <f t="shared" si="206"/>
        <v>0</v>
      </c>
      <c r="L779" s="23">
        <f t="shared" si="207"/>
        <v>0</v>
      </c>
      <c r="M779" s="206">
        <f t="shared" si="208"/>
        <v>23.2</v>
      </c>
      <c r="N779" s="34"/>
      <c r="O779" s="209">
        <f t="shared" si="196"/>
        <v>192</v>
      </c>
      <c r="P779" s="34">
        <f t="shared" si="203"/>
        <v>14650</v>
      </c>
      <c r="Q779" s="34">
        <f t="shared" si="204"/>
        <v>11600</v>
      </c>
      <c r="R779" s="7">
        <f t="shared" si="205"/>
        <v>-23.2</v>
      </c>
      <c r="S779" s="227">
        <f t="shared" si="209"/>
        <v>-3073.2</v>
      </c>
      <c r="T779" s="249">
        <f t="shared" si="210"/>
        <v>-0.20977474402730376</v>
      </c>
    </row>
    <row r="780" spans="2:20" ht="15" customHeight="1" x14ac:dyDescent="0.4">
      <c r="B780" s="38" t="s">
        <v>40</v>
      </c>
      <c r="C780" s="6" t="s">
        <v>160</v>
      </c>
      <c r="D780" s="6">
        <f t="shared" si="202"/>
        <v>1</v>
      </c>
      <c r="E780" s="34">
        <v>1</v>
      </c>
      <c r="F780" s="212">
        <v>14300</v>
      </c>
      <c r="G780" s="195">
        <v>45950</v>
      </c>
      <c r="H780" s="8"/>
      <c r="I780" s="212">
        <v>11600</v>
      </c>
      <c r="J780" s="8">
        <v>46134</v>
      </c>
      <c r="K780" s="23">
        <f t="shared" si="206"/>
        <v>0</v>
      </c>
      <c r="L780" s="23">
        <f t="shared" si="207"/>
        <v>0</v>
      </c>
      <c r="M780" s="206">
        <f t="shared" si="208"/>
        <v>23.2</v>
      </c>
      <c r="N780" s="34"/>
      <c r="O780" s="209">
        <f t="shared" si="196"/>
        <v>185</v>
      </c>
      <c r="P780" s="34">
        <f t="shared" si="203"/>
        <v>14300</v>
      </c>
      <c r="Q780" s="34">
        <f t="shared" si="204"/>
        <v>11600</v>
      </c>
      <c r="R780" s="7">
        <f t="shared" si="205"/>
        <v>-23.2</v>
      </c>
      <c r="S780" s="227">
        <f t="shared" si="209"/>
        <v>-2723.2</v>
      </c>
      <c r="T780" s="249">
        <f t="shared" si="210"/>
        <v>-0.19043356643356643</v>
      </c>
    </row>
    <row r="781" spans="2:20" ht="15" customHeight="1" x14ac:dyDescent="0.4">
      <c r="B781" s="38" t="s">
        <v>40</v>
      </c>
      <c r="C781" s="6" t="s">
        <v>160</v>
      </c>
      <c r="D781" s="6">
        <f t="shared" si="202"/>
        <v>1</v>
      </c>
      <c r="E781" s="34">
        <v>1</v>
      </c>
      <c r="F781" s="212">
        <v>14110</v>
      </c>
      <c r="G781" s="195">
        <v>45957</v>
      </c>
      <c r="H781" s="8"/>
      <c r="I781" s="212">
        <v>11600</v>
      </c>
      <c r="J781" s="8">
        <v>46134</v>
      </c>
      <c r="K781" s="23">
        <f t="shared" si="206"/>
        <v>0</v>
      </c>
      <c r="L781" s="23">
        <f t="shared" si="207"/>
        <v>0</v>
      </c>
      <c r="M781" s="206">
        <f t="shared" si="208"/>
        <v>23.2</v>
      </c>
      <c r="N781" s="34"/>
      <c r="O781" s="209">
        <f t="shared" si="196"/>
        <v>178</v>
      </c>
      <c r="P781" s="34">
        <f t="shared" si="203"/>
        <v>14110</v>
      </c>
      <c r="Q781" s="34">
        <f t="shared" si="204"/>
        <v>11600</v>
      </c>
      <c r="R781" s="7">
        <f t="shared" si="205"/>
        <v>-23.2</v>
      </c>
      <c r="S781" s="227">
        <f t="shared" si="209"/>
        <v>-2533.1999999999998</v>
      </c>
      <c r="T781" s="249">
        <f t="shared" si="210"/>
        <v>-0.17953224663359318</v>
      </c>
    </row>
    <row r="782" spans="2:20" ht="15" customHeight="1" x14ac:dyDescent="0.4">
      <c r="B782" s="38" t="s">
        <v>40</v>
      </c>
      <c r="C782" s="6" t="s">
        <v>160</v>
      </c>
      <c r="D782" s="6">
        <f t="shared" si="202"/>
        <v>1</v>
      </c>
      <c r="E782" s="34">
        <v>1</v>
      </c>
      <c r="F782" s="212">
        <v>13930</v>
      </c>
      <c r="G782" s="195">
        <v>45964</v>
      </c>
      <c r="H782" s="8"/>
      <c r="I782" s="212">
        <v>11600</v>
      </c>
      <c r="J782" s="8">
        <v>46134</v>
      </c>
      <c r="K782" s="23">
        <f t="shared" si="206"/>
        <v>0</v>
      </c>
      <c r="L782" s="23">
        <f t="shared" si="207"/>
        <v>0</v>
      </c>
      <c r="M782" s="206">
        <f t="shared" si="208"/>
        <v>23.2</v>
      </c>
      <c r="N782" s="34"/>
      <c r="O782" s="209">
        <f t="shared" si="196"/>
        <v>171</v>
      </c>
      <c r="P782" s="34">
        <f t="shared" si="203"/>
        <v>13930</v>
      </c>
      <c r="Q782" s="34">
        <f t="shared" si="204"/>
        <v>11600</v>
      </c>
      <c r="R782" s="7">
        <f t="shared" si="205"/>
        <v>-23.2</v>
      </c>
      <c r="S782" s="227">
        <f t="shared" si="209"/>
        <v>-2353.1999999999998</v>
      </c>
      <c r="T782" s="249">
        <f t="shared" si="210"/>
        <v>-0.16893036611629575</v>
      </c>
    </row>
    <row r="783" spans="2:20" ht="15" customHeight="1" x14ac:dyDescent="0.4">
      <c r="B783" s="38" t="s">
        <v>40</v>
      </c>
      <c r="C783" s="6" t="s">
        <v>160</v>
      </c>
      <c r="D783" s="6">
        <f t="shared" si="202"/>
        <v>1</v>
      </c>
      <c r="E783" s="34">
        <v>1</v>
      </c>
      <c r="F783" s="212">
        <v>13290</v>
      </c>
      <c r="G783" s="195">
        <v>45971</v>
      </c>
      <c r="H783" s="8"/>
      <c r="I783" s="212">
        <v>11600</v>
      </c>
      <c r="J783" s="8">
        <v>46134</v>
      </c>
      <c r="K783" s="23">
        <f t="shared" si="206"/>
        <v>0</v>
      </c>
      <c r="L783" s="23">
        <f t="shared" si="207"/>
        <v>0</v>
      </c>
      <c r="M783" s="206">
        <f t="shared" si="208"/>
        <v>23.2</v>
      </c>
      <c r="N783" s="34"/>
      <c r="O783" s="209">
        <f t="shared" si="196"/>
        <v>164</v>
      </c>
      <c r="P783" s="34">
        <f t="shared" si="203"/>
        <v>13290</v>
      </c>
      <c r="Q783" s="34">
        <f t="shared" si="204"/>
        <v>11600</v>
      </c>
      <c r="R783" s="7">
        <f t="shared" si="205"/>
        <v>-23.2</v>
      </c>
      <c r="S783" s="227">
        <f t="shared" si="209"/>
        <v>-1713.2</v>
      </c>
      <c r="T783" s="249">
        <f t="shared" si="210"/>
        <v>-0.1289089541008277</v>
      </c>
    </row>
    <row r="784" spans="2:20" ht="15" customHeight="1" x14ac:dyDescent="0.4">
      <c r="B784" s="38" t="s">
        <v>40</v>
      </c>
      <c r="C784" s="6" t="s">
        <v>160</v>
      </c>
      <c r="D784" s="6">
        <f t="shared" si="202"/>
        <v>1</v>
      </c>
      <c r="E784" s="34">
        <v>1</v>
      </c>
      <c r="F784" s="212">
        <v>13240</v>
      </c>
      <c r="G784" s="195">
        <v>45978</v>
      </c>
      <c r="H784" s="8"/>
      <c r="I784" s="212">
        <v>11600</v>
      </c>
      <c r="J784" s="8">
        <v>46134</v>
      </c>
      <c r="K784" s="23">
        <f t="shared" si="206"/>
        <v>0</v>
      </c>
      <c r="L784" s="23">
        <f t="shared" si="207"/>
        <v>0</v>
      </c>
      <c r="M784" s="206">
        <f t="shared" si="208"/>
        <v>23.2</v>
      </c>
      <c r="N784" s="34"/>
      <c r="O784" s="209">
        <f t="shared" si="196"/>
        <v>157</v>
      </c>
      <c r="P784" s="34">
        <f t="shared" si="203"/>
        <v>13240</v>
      </c>
      <c r="Q784" s="34">
        <f t="shared" si="204"/>
        <v>11600</v>
      </c>
      <c r="R784" s="7">
        <f t="shared" si="205"/>
        <v>-23.2</v>
      </c>
      <c r="S784" s="227">
        <f t="shared" si="209"/>
        <v>-1663.2</v>
      </c>
      <c r="T784" s="249">
        <f t="shared" si="210"/>
        <v>-0.12561933534743203</v>
      </c>
    </row>
    <row r="785" spans="2:20" ht="15" customHeight="1" x14ac:dyDescent="0.4">
      <c r="B785" s="38" t="s">
        <v>40</v>
      </c>
      <c r="C785" s="6" t="s">
        <v>160</v>
      </c>
      <c r="D785" s="6">
        <f t="shared" si="202"/>
        <v>1</v>
      </c>
      <c r="E785" s="34">
        <v>1</v>
      </c>
      <c r="F785" s="212">
        <v>13130</v>
      </c>
      <c r="G785" s="195">
        <v>45985</v>
      </c>
      <c r="H785" s="8"/>
      <c r="I785" s="212">
        <v>11600</v>
      </c>
      <c r="J785" s="8">
        <v>46134</v>
      </c>
      <c r="K785" s="23">
        <f t="shared" si="206"/>
        <v>0</v>
      </c>
      <c r="L785" s="23">
        <f t="shared" si="207"/>
        <v>0</v>
      </c>
      <c r="M785" s="206">
        <f t="shared" si="208"/>
        <v>23.2</v>
      </c>
      <c r="N785" s="34"/>
      <c r="O785" s="209">
        <f t="shared" si="196"/>
        <v>150</v>
      </c>
      <c r="P785" s="34">
        <f t="shared" si="203"/>
        <v>13130</v>
      </c>
      <c r="Q785" s="34">
        <f t="shared" si="204"/>
        <v>11600</v>
      </c>
      <c r="R785" s="7">
        <f t="shared" si="205"/>
        <v>-23.2</v>
      </c>
      <c r="S785" s="227">
        <f t="shared" si="209"/>
        <v>-1553.2</v>
      </c>
      <c r="T785" s="249">
        <f t="shared" si="210"/>
        <v>-0.1182939832444783</v>
      </c>
    </row>
    <row r="786" spans="2:20" ht="15" customHeight="1" x14ac:dyDescent="0.4">
      <c r="B786" s="38" t="s">
        <v>40</v>
      </c>
      <c r="C786" s="6" t="s">
        <v>160</v>
      </c>
      <c r="D786" s="6">
        <f t="shared" si="202"/>
        <v>1</v>
      </c>
      <c r="E786" s="34">
        <v>1</v>
      </c>
      <c r="F786" s="212">
        <v>13190</v>
      </c>
      <c r="G786" s="195">
        <v>45992</v>
      </c>
      <c r="H786" s="8"/>
      <c r="I786" s="212">
        <v>11600</v>
      </c>
      <c r="J786" s="8">
        <v>46134</v>
      </c>
      <c r="K786" s="23">
        <f t="shared" si="206"/>
        <v>0</v>
      </c>
      <c r="L786" s="23">
        <f t="shared" si="207"/>
        <v>0</v>
      </c>
      <c r="M786" s="206">
        <f t="shared" si="208"/>
        <v>23.2</v>
      </c>
      <c r="N786" s="34"/>
      <c r="O786" s="209">
        <f t="shared" si="196"/>
        <v>143</v>
      </c>
      <c r="P786" s="34">
        <f t="shared" si="203"/>
        <v>13190</v>
      </c>
      <c r="Q786" s="34">
        <f t="shared" si="204"/>
        <v>11600</v>
      </c>
      <c r="R786" s="7">
        <f t="shared" si="205"/>
        <v>-23.2</v>
      </c>
      <c r="S786" s="227">
        <f t="shared" si="209"/>
        <v>-1613.2</v>
      </c>
      <c r="T786" s="249">
        <f t="shared" si="210"/>
        <v>-0.12230477634571646</v>
      </c>
    </row>
    <row r="787" spans="2:20" ht="15" customHeight="1" x14ac:dyDescent="0.4">
      <c r="B787" s="38" t="s">
        <v>40</v>
      </c>
      <c r="C787" s="6" t="s">
        <v>160</v>
      </c>
      <c r="D787" s="6">
        <f t="shared" si="202"/>
        <v>1</v>
      </c>
      <c r="E787" s="34">
        <v>1</v>
      </c>
      <c r="F787" s="212">
        <v>13270</v>
      </c>
      <c r="G787" s="195">
        <v>45999</v>
      </c>
      <c r="H787" s="8"/>
      <c r="I787" s="212">
        <v>11600</v>
      </c>
      <c r="J787" s="8">
        <v>46134</v>
      </c>
      <c r="K787" s="23">
        <f t="shared" si="206"/>
        <v>0</v>
      </c>
      <c r="L787" s="23">
        <f t="shared" si="207"/>
        <v>0</v>
      </c>
      <c r="M787" s="206">
        <f t="shared" si="208"/>
        <v>23.2</v>
      </c>
      <c r="N787" s="34"/>
      <c r="O787" s="209">
        <f t="shared" si="196"/>
        <v>136</v>
      </c>
      <c r="P787" s="34">
        <f t="shared" si="203"/>
        <v>13270</v>
      </c>
      <c r="Q787" s="34">
        <f t="shared" si="204"/>
        <v>11600</v>
      </c>
      <c r="R787" s="7">
        <f t="shared" si="205"/>
        <v>-23.2</v>
      </c>
      <c r="S787" s="227">
        <f t="shared" si="209"/>
        <v>-1693.2</v>
      </c>
      <c r="T787" s="249">
        <f t="shared" si="210"/>
        <v>-0.12759608138658629</v>
      </c>
    </row>
    <row r="788" spans="2:20" ht="15" customHeight="1" x14ac:dyDescent="0.4">
      <c r="B788" s="38" t="s">
        <v>40</v>
      </c>
      <c r="C788" s="6" t="s">
        <v>160</v>
      </c>
      <c r="D788" s="6">
        <f t="shared" si="202"/>
        <v>1</v>
      </c>
      <c r="E788" s="34">
        <v>1</v>
      </c>
      <c r="F788" s="212">
        <v>13150</v>
      </c>
      <c r="G788" s="195">
        <v>46006</v>
      </c>
      <c r="H788" s="8"/>
      <c r="I788" s="212">
        <v>11600</v>
      </c>
      <c r="J788" s="8">
        <v>46134</v>
      </c>
      <c r="K788" s="23">
        <f t="shared" si="206"/>
        <v>0</v>
      </c>
      <c r="L788" s="23">
        <f t="shared" si="207"/>
        <v>0</v>
      </c>
      <c r="M788" s="206">
        <f t="shared" si="208"/>
        <v>23.2</v>
      </c>
      <c r="N788" s="34"/>
      <c r="O788" s="209">
        <f t="shared" si="196"/>
        <v>129</v>
      </c>
      <c r="P788" s="34">
        <f t="shared" si="203"/>
        <v>13150</v>
      </c>
      <c r="Q788" s="34">
        <f t="shared" si="204"/>
        <v>11600</v>
      </c>
      <c r="R788" s="7">
        <f t="shared" si="205"/>
        <v>-23.2</v>
      </c>
      <c r="S788" s="227">
        <f t="shared" si="209"/>
        <v>-1573.2</v>
      </c>
      <c r="T788" s="249">
        <f t="shared" si="210"/>
        <v>-0.11963498098859315</v>
      </c>
    </row>
    <row r="789" spans="2:20" ht="15" customHeight="1" x14ac:dyDescent="0.4">
      <c r="B789" s="38" t="s">
        <v>40</v>
      </c>
      <c r="C789" s="6" t="s">
        <v>160</v>
      </c>
      <c r="D789" s="6">
        <f t="shared" si="202"/>
        <v>1</v>
      </c>
      <c r="E789" s="34">
        <v>1</v>
      </c>
      <c r="F789" s="212">
        <v>13200</v>
      </c>
      <c r="G789" s="195">
        <v>46013</v>
      </c>
      <c r="H789" s="8"/>
      <c r="I789" s="212">
        <v>11600</v>
      </c>
      <c r="J789" s="8">
        <v>46134</v>
      </c>
      <c r="K789" s="23">
        <f t="shared" si="206"/>
        <v>0</v>
      </c>
      <c r="L789" s="23">
        <f t="shared" si="207"/>
        <v>0</v>
      </c>
      <c r="M789" s="206">
        <f t="shared" si="208"/>
        <v>23.2</v>
      </c>
      <c r="N789" s="34"/>
      <c r="O789" s="209">
        <f t="shared" si="196"/>
        <v>122</v>
      </c>
      <c r="P789" s="34">
        <f t="shared" si="203"/>
        <v>13200</v>
      </c>
      <c r="Q789" s="34">
        <f t="shared" si="204"/>
        <v>11600</v>
      </c>
      <c r="R789" s="7">
        <f t="shared" si="205"/>
        <v>-23.2</v>
      </c>
      <c r="S789" s="227">
        <f t="shared" si="209"/>
        <v>-1623.2</v>
      </c>
      <c r="T789" s="249">
        <f t="shared" si="210"/>
        <v>-0.12296969696969698</v>
      </c>
    </row>
    <row r="790" spans="2:20" ht="15" customHeight="1" x14ac:dyDescent="0.4">
      <c r="B790" s="38" t="s">
        <v>40</v>
      </c>
      <c r="C790" s="6" t="s">
        <v>160</v>
      </c>
      <c r="D790" s="6">
        <f t="shared" ref="D790:D809" si="211">IF(OR($C790="신한",$C790="OTC",$C790="무상증자(신한)",$C790="토스",$C790="R토스"),1,"확인")</f>
        <v>1</v>
      </c>
      <c r="E790" s="34">
        <v>1</v>
      </c>
      <c r="F790" s="212">
        <v>12990</v>
      </c>
      <c r="G790" s="195">
        <v>46020</v>
      </c>
      <c r="H790" s="8"/>
      <c r="I790" s="212">
        <v>11600</v>
      </c>
      <c r="J790" s="8">
        <v>46134</v>
      </c>
      <c r="K790" s="23">
        <f t="shared" si="206"/>
        <v>0</v>
      </c>
      <c r="L790" s="23">
        <f t="shared" si="207"/>
        <v>0</v>
      </c>
      <c r="M790" s="206">
        <f t="shared" si="208"/>
        <v>23.2</v>
      </c>
      <c r="N790" s="34"/>
      <c r="O790" s="209">
        <f t="shared" si="196"/>
        <v>115</v>
      </c>
      <c r="P790" s="34">
        <f t="shared" ref="P790:P809" si="212">$E790*$F790*$D790</f>
        <v>12990</v>
      </c>
      <c r="Q790" s="34">
        <f t="shared" ref="Q790:Q809" si="213">$E790*$I790*$D790</f>
        <v>11600</v>
      </c>
      <c r="R790" s="7">
        <f t="shared" ref="R790:R821" si="214">($N790-$K790-$L790-$M790)*$D790</f>
        <v>-23.2</v>
      </c>
      <c r="S790" s="227">
        <f t="shared" si="209"/>
        <v>-1413.2</v>
      </c>
      <c r="T790" s="249">
        <f t="shared" si="210"/>
        <v>-0.1087913779830639</v>
      </c>
    </row>
    <row r="791" spans="2:20" ht="15" customHeight="1" x14ac:dyDescent="0.4">
      <c r="B791" s="38" t="s">
        <v>40</v>
      </c>
      <c r="C791" s="6" t="s">
        <v>160</v>
      </c>
      <c r="D791" s="6">
        <f t="shared" si="211"/>
        <v>1</v>
      </c>
      <c r="E791" s="34">
        <v>1</v>
      </c>
      <c r="F791" s="212">
        <v>13250</v>
      </c>
      <c r="G791" s="195">
        <v>46027</v>
      </c>
      <c r="H791" s="8"/>
      <c r="I791" s="212">
        <v>11600</v>
      </c>
      <c r="J791" s="8">
        <v>46134</v>
      </c>
      <c r="K791" s="23">
        <f t="shared" ref="K791:K822" si="215">IF($C791="OTC",ROUNDDOWN($E791*$F791*0.000909187,-1),(IF($C791="신한",ROUNDDOWN($E791*$F791*0.000036396,-1),(IF($C791="토스",$E791*$F791*0.00015,(IF($C791="US",(IF($E791*$F791*0.0025&gt;0.01,$E791*$F791*0.0025,0.01)),IF($C791="JP",(IF($E791*$F791*0.0025&gt;1000,$E791*$F791*0.0025,1000)),(IF($C791="R토스",0,IF($C791="무상증자(신한)",0,"")))))))))))</f>
        <v>0</v>
      </c>
      <c r="L791" s="23">
        <f t="shared" ref="L791:L815" si="216">IF($C791="OTC",ROUNDDOWN($I791*$E791*0.000909187,-1),(IF($C791="신한",ROUNDDOWN($I791*$E791*0.000036396,-1),(IF($C791="토스",$I791*$E791*0.00015,(IF($C791="US",(IF($I791*$E791*0.0025&gt;0.01,$I791*$E791*0.0025,0.01)),(IF($C791="JP",(IF($I791*$E791*0.0025&gt;1000,$I791*$E791*0.0025,1000)),(IF($C791="R토스",$I791*$E791*0.00015,(IF($C791="무상증자(신한)",ROUNDDOWN($I791*$E791*0.000036396,-1),"")))))))))))))</f>
        <v>0</v>
      </c>
      <c r="M791" s="206">
        <f t="shared" si="208"/>
        <v>23.2</v>
      </c>
      <c r="N791" s="34"/>
      <c r="O791" s="209">
        <f t="shared" si="196"/>
        <v>108</v>
      </c>
      <c r="P791" s="34">
        <f t="shared" si="212"/>
        <v>13250</v>
      </c>
      <c r="Q791" s="34">
        <f t="shared" si="213"/>
        <v>11600</v>
      </c>
      <c r="R791" s="7">
        <f t="shared" si="214"/>
        <v>-23.2</v>
      </c>
      <c r="S791" s="227">
        <f t="shared" si="209"/>
        <v>-1673.2</v>
      </c>
      <c r="T791" s="249">
        <f t="shared" si="210"/>
        <v>-0.12627924528301887</v>
      </c>
    </row>
    <row r="792" spans="2:20" ht="15" customHeight="1" x14ac:dyDescent="0.4">
      <c r="B792" s="38" t="s">
        <v>40</v>
      </c>
      <c r="C792" s="6" t="s">
        <v>160</v>
      </c>
      <c r="D792" s="6">
        <f t="shared" si="211"/>
        <v>1</v>
      </c>
      <c r="E792" s="34">
        <v>1</v>
      </c>
      <c r="F792" s="212">
        <v>12350</v>
      </c>
      <c r="G792" s="195">
        <v>46034</v>
      </c>
      <c r="H792" s="8"/>
      <c r="I792" s="212">
        <v>11600</v>
      </c>
      <c r="J792" s="8">
        <v>46134</v>
      </c>
      <c r="K792" s="23">
        <f t="shared" si="215"/>
        <v>0</v>
      </c>
      <c r="L792" s="23">
        <f t="shared" si="216"/>
        <v>0</v>
      </c>
      <c r="M792" s="206">
        <f t="shared" si="208"/>
        <v>23.2</v>
      </c>
      <c r="N792" s="34"/>
      <c r="O792" s="209">
        <f t="shared" si="196"/>
        <v>101</v>
      </c>
      <c r="P792" s="34">
        <f t="shared" si="212"/>
        <v>12350</v>
      </c>
      <c r="Q792" s="34">
        <f t="shared" si="213"/>
        <v>11600</v>
      </c>
      <c r="R792" s="7">
        <f t="shared" si="214"/>
        <v>-23.2</v>
      </c>
      <c r="S792" s="227">
        <f t="shared" si="209"/>
        <v>-773.2</v>
      </c>
      <c r="T792" s="249">
        <f t="shared" si="210"/>
        <v>-6.2607287449392715E-2</v>
      </c>
    </row>
    <row r="793" spans="2:20" ht="15" customHeight="1" x14ac:dyDescent="0.4">
      <c r="B793" s="38" t="s">
        <v>40</v>
      </c>
      <c r="C793" s="6" t="s">
        <v>160</v>
      </c>
      <c r="D793" s="6">
        <f t="shared" si="211"/>
        <v>1</v>
      </c>
      <c r="E793" s="34">
        <v>1</v>
      </c>
      <c r="F793" s="212">
        <v>12110</v>
      </c>
      <c r="G793" s="195">
        <v>46041</v>
      </c>
      <c r="H793" s="8"/>
      <c r="I793" s="212">
        <v>11600</v>
      </c>
      <c r="J793" s="8">
        <v>46134</v>
      </c>
      <c r="K793" s="23">
        <f t="shared" si="215"/>
        <v>0</v>
      </c>
      <c r="L793" s="23">
        <f t="shared" si="216"/>
        <v>0</v>
      </c>
      <c r="M793" s="206">
        <f t="shared" si="208"/>
        <v>23.2</v>
      </c>
      <c r="N793" s="34"/>
      <c r="O793" s="209">
        <f t="shared" ref="O793:O837" si="217">J793-G793+1</f>
        <v>94</v>
      </c>
      <c r="P793" s="34">
        <f t="shared" si="212"/>
        <v>12110</v>
      </c>
      <c r="Q793" s="34">
        <f t="shared" si="213"/>
        <v>11600</v>
      </c>
      <c r="R793" s="7">
        <f t="shared" si="214"/>
        <v>-23.2</v>
      </c>
      <c r="S793" s="227">
        <f t="shared" si="209"/>
        <v>-533.20000000000005</v>
      </c>
      <c r="T793" s="249">
        <f t="shared" si="210"/>
        <v>-4.4029727497935593E-2</v>
      </c>
    </row>
    <row r="794" spans="2:20" ht="15" customHeight="1" x14ac:dyDescent="0.4">
      <c r="B794" s="38" t="s">
        <v>40</v>
      </c>
      <c r="C794" s="6" t="s">
        <v>160</v>
      </c>
      <c r="D794" s="6">
        <f t="shared" si="211"/>
        <v>1</v>
      </c>
      <c r="E794" s="34">
        <v>1</v>
      </c>
      <c r="F794" s="212">
        <v>12920</v>
      </c>
      <c r="G794" s="195">
        <v>46048</v>
      </c>
      <c r="H794" s="8"/>
      <c r="I794" s="212">
        <v>11600</v>
      </c>
      <c r="J794" s="8">
        <v>46134</v>
      </c>
      <c r="K794" s="23">
        <f t="shared" si="215"/>
        <v>0</v>
      </c>
      <c r="L794" s="23">
        <f t="shared" si="216"/>
        <v>0</v>
      </c>
      <c r="M794" s="206">
        <f t="shared" si="208"/>
        <v>23.2</v>
      </c>
      <c r="N794" s="34"/>
      <c r="O794" s="209">
        <f t="shared" si="217"/>
        <v>87</v>
      </c>
      <c r="P794" s="34">
        <f t="shared" si="212"/>
        <v>12920</v>
      </c>
      <c r="Q794" s="34">
        <f t="shared" si="213"/>
        <v>11600</v>
      </c>
      <c r="R794" s="7">
        <f t="shared" si="214"/>
        <v>-23.2</v>
      </c>
      <c r="S794" s="227">
        <f t="shared" si="209"/>
        <v>-1343.2</v>
      </c>
      <c r="T794" s="249">
        <f t="shared" si="210"/>
        <v>-0.10396284829721363</v>
      </c>
    </row>
    <row r="795" spans="2:20" ht="15" customHeight="1" x14ac:dyDescent="0.4">
      <c r="B795" s="38" t="s">
        <v>40</v>
      </c>
      <c r="C795" s="6" t="s">
        <v>160</v>
      </c>
      <c r="D795" s="6">
        <f t="shared" si="211"/>
        <v>1</v>
      </c>
      <c r="E795" s="34">
        <v>1</v>
      </c>
      <c r="F795" s="212">
        <v>14600</v>
      </c>
      <c r="G795" s="195">
        <v>46055</v>
      </c>
      <c r="H795" s="8"/>
      <c r="I795" s="212">
        <v>11600</v>
      </c>
      <c r="J795" s="8">
        <v>46134</v>
      </c>
      <c r="K795" s="23">
        <f t="shared" si="215"/>
        <v>0</v>
      </c>
      <c r="L795" s="23">
        <f t="shared" si="216"/>
        <v>0</v>
      </c>
      <c r="M795" s="206">
        <f t="shared" si="208"/>
        <v>23.2</v>
      </c>
      <c r="N795" s="34"/>
      <c r="O795" s="209">
        <f t="shared" si="217"/>
        <v>80</v>
      </c>
      <c r="P795" s="34">
        <f t="shared" si="212"/>
        <v>14600</v>
      </c>
      <c r="Q795" s="34">
        <f t="shared" si="213"/>
        <v>11600</v>
      </c>
      <c r="R795" s="7">
        <f t="shared" si="214"/>
        <v>-23.2</v>
      </c>
      <c r="S795" s="227">
        <f t="shared" si="209"/>
        <v>-3023.2</v>
      </c>
      <c r="T795" s="249">
        <f t="shared" si="210"/>
        <v>-0.20706849315068493</v>
      </c>
    </row>
    <row r="796" spans="2:20" ht="15" customHeight="1" x14ac:dyDescent="0.4">
      <c r="B796" s="38" t="s">
        <v>40</v>
      </c>
      <c r="C796" s="6" t="s">
        <v>160</v>
      </c>
      <c r="D796" s="6">
        <f t="shared" si="211"/>
        <v>1</v>
      </c>
      <c r="E796" s="34">
        <v>1</v>
      </c>
      <c r="F796" s="212">
        <v>13920</v>
      </c>
      <c r="G796" s="195">
        <v>46062</v>
      </c>
      <c r="H796" s="8"/>
      <c r="I796" s="212">
        <v>11600</v>
      </c>
      <c r="J796" s="8">
        <v>46134</v>
      </c>
      <c r="K796" s="23">
        <f t="shared" si="215"/>
        <v>0</v>
      </c>
      <c r="L796" s="23">
        <f t="shared" si="216"/>
        <v>0</v>
      </c>
      <c r="M796" s="206">
        <f t="shared" si="208"/>
        <v>23.2</v>
      </c>
      <c r="N796" s="34"/>
      <c r="O796" s="209">
        <f t="shared" si="217"/>
        <v>73</v>
      </c>
      <c r="P796" s="34">
        <f t="shared" si="212"/>
        <v>13920</v>
      </c>
      <c r="Q796" s="34">
        <f t="shared" si="213"/>
        <v>11600</v>
      </c>
      <c r="R796" s="7">
        <f t="shared" si="214"/>
        <v>-23.2</v>
      </c>
      <c r="S796" s="227">
        <f t="shared" si="209"/>
        <v>-2343.1999999999998</v>
      </c>
      <c r="T796" s="249">
        <f t="shared" si="210"/>
        <v>-0.16833333333333331</v>
      </c>
    </row>
    <row r="797" spans="2:20" ht="15" customHeight="1" x14ac:dyDescent="0.4">
      <c r="B797" s="38" t="s">
        <v>40</v>
      </c>
      <c r="C797" s="6" t="s">
        <v>160</v>
      </c>
      <c r="D797" s="6">
        <f t="shared" si="211"/>
        <v>1</v>
      </c>
      <c r="E797" s="34">
        <v>1</v>
      </c>
      <c r="F797" s="212">
        <v>14240</v>
      </c>
      <c r="G797" s="195">
        <v>46072</v>
      </c>
      <c r="H797" s="8"/>
      <c r="I797" s="212">
        <v>11600</v>
      </c>
      <c r="J797" s="8">
        <v>46134</v>
      </c>
      <c r="K797" s="23">
        <f t="shared" si="215"/>
        <v>0</v>
      </c>
      <c r="L797" s="23">
        <f t="shared" si="216"/>
        <v>0</v>
      </c>
      <c r="M797" s="206">
        <f t="shared" si="208"/>
        <v>23.2</v>
      </c>
      <c r="N797" s="34"/>
      <c r="O797" s="209">
        <f t="shared" si="217"/>
        <v>63</v>
      </c>
      <c r="P797" s="34">
        <f t="shared" si="212"/>
        <v>14240</v>
      </c>
      <c r="Q797" s="34">
        <f t="shared" si="213"/>
        <v>11600</v>
      </c>
      <c r="R797" s="7">
        <f t="shared" si="214"/>
        <v>-23.2</v>
      </c>
      <c r="S797" s="227">
        <f t="shared" si="209"/>
        <v>-2663.2</v>
      </c>
      <c r="T797" s="249">
        <f t="shared" si="210"/>
        <v>-0.18702247191011234</v>
      </c>
    </row>
    <row r="798" spans="2:20" ht="15" customHeight="1" x14ac:dyDescent="0.4">
      <c r="B798" s="38" t="s">
        <v>40</v>
      </c>
      <c r="C798" s="6" t="s">
        <v>160</v>
      </c>
      <c r="D798" s="6">
        <f t="shared" si="211"/>
        <v>1</v>
      </c>
      <c r="E798" s="34">
        <v>1</v>
      </c>
      <c r="F798" s="212">
        <v>14690</v>
      </c>
      <c r="G798" s="195">
        <v>46076</v>
      </c>
      <c r="H798" s="8"/>
      <c r="I798" s="212">
        <v>11600</v>
      </c>
      <c r="J798" s="8">
        <v>46134</v>
      </c>
      <c r="K798" s="23">
        <f t="shared" si="215"/>
        <v>0</v>
      </c>
      <c r="L798" s="23">
        <f t="shared" si="216"/>
        <v>0</v>
      </c>
      <c r="M798" s="206">
        <f t="shared" si="208"/>
        <v>23.2</v>
      </c>
      <c r="N798" s="34"/>
      <c r="O798" s="209">
        <f t="shared" si="217"/>
        <v>59</v>
      </c>
      <c r="P798" s="34">
        <f t="shared" si="212"/>
        <v>14690</v>
      </c>
      <c r="Q798" s="34">
        <f t="shared" si="213"/>
        <v>11600</v>
      </c>
      <c r="R798" s="7">
        <f t="shared" si="214"/>
        <v>-23.2</v>
      </c>
      <c r="S798" s="227">
        <f t="shared" si="209"/>
        <v>-3113.2</v>
      </c>
      <c r="T798" s="249">
        <f t="shared" si="210"/>
        <v>-0.21192648059904695</v>
      </c>
    </row>
    <row r="799" spans="2:20" ht="15" customHeight="1" x14ac:dyDescent="0.4">
      <c r="B799" s="38" t="s">
        <v>503</v>
      </c>
      <c r="C799" s="6" t="s">
        <v>160</v>
      </c>
      <c r="D799" s="6">
        <f t="shared" si="211"/>
        <v>1</v>
      </c>
      <c r="E799" s="34">
        <v>10</v>
      </c>
      <c r="F799" s="212">
        <v>49800</v>
      </c>
      <c r="G799" s="195">
        <v>46129</v>
      </c>
      <c r="H799" s="8"/>
      <c r="I799" s="212">
        <v>50600</v>
      </c>
      <c r="J799" s="8">
        <v>46129</v>
      </c>
      <c r="K799" s="23">
        <f t="shared" si="215"/>
        <v>10</v>
      </c>
      <c r="L799" s="23">
        <f t="shared" si="216"/>
        <v>10</v>
      </c>
      <c r="M799" s="206">
        <f t="shared" si="208"/>
        <v>1012</v>
      </c>
      <c r="N799" s="34"/>
      <c r="O799" s="209">
        <f t="shared" si="217"/>
        <v>1</v>
      </c>
      <c r="P799" s="34">
        <f t="shared" si="212"/>
        <v>498000</v>
      </c>
      <c r="Q799" s="34">
        <f t="shared" si="213"/>
        <v>506000</v>
      </c>
      <c r="R799" s="7">
        <f t="shared" si="214"/>
        <v>-1032</v>
      </c>
      <c r="S799" s="227">
        <f t="shared" si="209"/>
        <v>6968</v>
      </c>
      <c r="T799" s="249">
        <f t="shared" si="210"/>
        <v>1.3991967871485943E-2</v>
      </c>
    </row>
    <row r="800" spans="2:20" ht="15" customHeight="1" x14ac:dyDescent="0.4">
      <c r="B800" s="38" t="s">
        <v>503</v>
      </c>
      <c r="C800" s="6" t="s">
        <v>160</v>
      </c>
      <c r="D800" s="6">
        <f t="shared" si="211"/>
        <v>1</v>
      </c>
      <c r="E800" s="34">
        <v>10</v>
      </c>
      <c r="F800" s="212">
        <v>49600</v>
      </c>
      <c r="G800" s="195">
        <v>46129</v>
      </c>
      <c r="H800" s="8"/>
      <c r="I800" s="212">
        <v>54500</v>
      </c>
      <c r="J800" s="8">
        <v>46139</v>
      </c>
      <c r="K800" s="23">
        <f t="shared" si="215"/>
        <v>10</v>
      </c>
      <c r="L800" s="23">
        <f t="shared" si="216"/>
        <v>10</v>
      </c>
      <c r="M800" s="206">
        <f t="shared" si="208"/>
        <v>1090</v>
      </c>
      <c r="N800" s="34"/>
      <c r="O800" s="209">
        <f t="shared" si="217"/>
        <v>11</v>
      </c>
      <c r="P800" s="34">
        <f t="shared" si="212"/>
        <v>496000</v>
      </c>
      <c r="Q800" s="34">
        <f t="shared" si="213"/>
        <v>545000</v>
      </c>
      <c r="R800" s="7">
        <f t="shared" si="214"/>
        <v>-1110</v>
      </c>
      <c r="S800" s="227">
        <f t="shared" si="209"/>
        <v>47890</v>
      </c>
      <c r="T800" s="249">
        <f t="shared" si="210"/>
        <v>9.6552419354838714E-2</v>
      </c>
    </row>
    <row r="801" spans="2:21" ht="15" customHeight="1" x14ac:dyDescent="0.4">
      <c r="B801" s="38" t="s">
        <v>503</v>
      </c>
      <c r="C801" s="6" t="s">
        <v>160</v>
      </c>
      <c r="D801" s="6">
        <f t="shared" si="211"/>
        <v>1</v>
      </c>
      <c r="E801" s="34">
        <v>10</v>
      </c>
      <c r="F801" s="212">
        <v>49500</v>
      </c>
      <c r="G801" s="195">
        <v>46129</v>
      </c>
      <c r="H801" s="8"/>
      <c r="I801" s="212">
        <v>54500</v>
      </c>
      <c r="J801" s="8">
        <v>46139</v>
      </c>
      <c r="K801" s="23">
        <f t="shared" si="215"/>
        <v>10</v>
      </c>
      <c r="L801" s="23">
        <f t="shared" si="216"/>
        <v>10</v>
      </c>
      <c r="M801" s="206">
        <f t="shared" si="208"/>
        <v>1090</v>
      </c>
      <c r="N801" s="34"/>
      <c r="O801" s="209">
        <f t="shared" si="217"/>
        <v>11</v>
      </c>
      <c r="P801" s="34">
        <f t="shared" si="212"/>
        <v>495000</v>
      </c>
      <c r="Q801" s="34">
        <f t="shared" si="213"/>
        <v>545000</v>
      </c>
      <c r="R801" s="7">
        <f t="shared" si="214"/>
        <v>-1110</v>
      </c>
      <c r="S801" s="227">
        <f t="shared" si="209"/>
        <v>48890</v>
      </c>
      <c r="T801" s="249">
        <f t="shared" si="210"/>
        <v>9.8767676767676768E-2</v>
      </c>
    </row>
    <row r="802" spans="2:21" ht="15" customHeight="1" x14ac:dyDescent="0.4">
      <c r="B802" s="38" t="s">
        <v>503</v>
      </c>
      <c r="C802" s="6" t="s">
        <v>160</v>
      </c>
      <c r="D802" s="6">
        <f t="shared" si="211"/>
        <v>1</v>
      </c>
      <c r="E802" s="34">
        <v>10</v>
      </c>
      <c r="F802" s="212">
        <v>49000</v>
      </c>
      <c r="G802" s="195">
        <v>46129</v>
      </c>
      <c r="H802" s="8"/>
      <c r="I802" s="212">
        <v>54500</v>
      </c>
      <c r="J802" s="8">
        <v>46139</v>
      </c>
      <c r="K802" s="23">
        <f t="shared" si="215"/>
        <v>10</v>
      </c>
      <c r="L802" s="23">
        <f t="shared" si="216"/>
        <v>10</v>
      </c>
      <c r="M802" s="206">
        <f t="shared" si="208"/>
        <v>1090</v>
      </c>
      <c r="N802" s="34"/>
      <c r="O802" s="209">
        <f t="shared" si="217"/>
        <v>11</v>
      </c>
      <c r="P802" s="34">
        <f t="shared" si="212"/>
        <v>490000</v>
      </c>
      <c r="Q802" s="34">
        <f t="shared" si="213"/>
        <v>545000</v>
      </c>
      <c r="R802" s="7">
        <f t="shared" si="214"/>
        <v>-1110</v>
      </c>
      <c r="S802" s="227">
        <f t="shared" si="209"/>
        <v>53890</v>
      </c>
      <c r="T802" s="249">
        <f t="shared" si="210"/>
        <v>0.1099795918367347</v>
      </c>
    </row>
    <row r="803" spans="2:21" ht="15" customHeight="1" x14ac:dyDescent="0.4">
      <c r="B803" s="38" t="s">
        <v>503</v>
      </c>
      <c r="C803" s="6" t="s">
        <v>160</v>
      </c>
      <c r="D803" s="6">
        <f t="shared" si="211"/>
        <v>1</v>
      </c>
      <c r="E803" s="34">
        <v>40</v>
      </c>
      <c r="F803" s="212">
        <v>49800</v>
      </c>
      <c r="G803" s="195">
        <v>46129</v>
      </c>
      <c r="H803" s="8"/>
      <c r="I803" s="212">
        <v>54500</v>
      </c>
      <c r="J803" s="8">
        <v>46139</v>
      </c>
      <c r="K803" s="23">
        <f t="shared" si="215"/>
        <v>70</v>
      </c>
      <c r="L803" s="23">
        <f t="shared" si="216"/>
        <v>70</v>
      </c>
      <c r="M803" s="206">
        <f t="shared" si="208"/>
        <v>4360</v>
      </c>
      <c r="N803" s="34"/>
      <c r="O803" s="209">
        <f t="shared" si="217"/>
        <v>11</v>
      </c>
      <c r="P803" s="34">
        <f t="shared" si="212"/>
        <v>1992000</v>
      </c>
      <c r="Q803" s="34">
        <f t="shared" si="213"/>
        <v>2180000</v>
      </c>
      <c r="R803" s="7">
        <f t="shared" si="214"/>
        <v>-4500</v>
      </c>
      <c r="S803" s="227">
        <f t="shared" si="209"/>
        <v>183500</v>
      </c>
      <c r="T803" s="249">
        <f t="shared" si="210"/>
        <v>9.2118473895582323E-2</v>
      </c>
    </row>
    <row r="804" spans="2:21" ht="15" customHeight="1" x14ac:dyDescent="0.4">
      <c r="B804" s="38" t="s">
        <v>108</v>
      </c>
      <c r="C804" s="6" t="s">
        <v>160</v>
      </c>
      <c r="D804" s="6">
        <f t="shared" si="211"/>
        <v>1</v>
      </c>
      <c r="E804" s="34">
        <v>10</v>
      </c>
      <c r="F804" s="212">
        <v>31700</v>
      </c>
      <c r="G804" s="195">
        <v>46129</v>
      </c>
      <c r="H804" s="8"/>
      <c r="I804" s="212">
        <v>32200</v>
      </c>
      <c r="J804" s="8">
        <v>46129</v>
      </c>
      <c r="K804" s="23">
        <f t="shared" si="215"/>
        <v>10</v>
      </c>
      <c r="L804" s="23">
        <f t="shared" si="216"/>
        <v>10</v>
      </c>
      <c r="M804" s="206">
        <f t="shared" ref="M804:M809" si="218">Q804*0.002</f>
        <v>644</v>
      </c>
      <c r="N804" s="34"/>
      <c r="O804" s="209">
        <f t="shared" si="217"/>
        <v>1</v>
      </c>
      <c r="P804" s="34">
        <f t="shared" si="212"/>
        <v>317000</v>
      </c>
      <c r="Q804" s="34">
        <f t="shared" si="213"/>
        <v>322000</v>
      </c>
      <c r="R804" s="7">
        <f t="shared" si="214"/>
        <v>-664</v>
      </c>
      <c r="S804" s="227">
        <f t="shared" si="209"/>
        <v>4336</v>
      </c>
      <c r="T804" s="249">
        <f t="shared" si="210"/>
        <v>1.3678233438485805E-2</v>
      </c>
    </row>
    <row r="805" spans="2:21" ht="15" customHeight="1" x14ac:dyDescent="0.4">
      <c r="B805" s="38" t="s">
        <v>108</v>
      </c>
      <c r="C805" s="6" t="s">
        <v>160</v>
      </c>
      <c r="D805" s="6">
        <f t="shared" si="211"/>
        <v>1</v>
      </c>
      <c r="E805" s="34">
        <v>10</v>
      </c>
      <c r="F805" s="212">
        <v>31500</v>
      </c>
      <c r="G805" s="195">
        <v>46129</v>
      </c>
      <c r="H805" s="8"/>
      <c r="I805" s="212">
        <v>29000</v>
      </c>
      <c r="J805" s="8">
        <v>46134</v>
      </c>
      <c r="K805" s="23">
        <f t="shared" si="215"/>
        <v>10</v>
      </c>
      <c r="L805" s="23">
        <f t="shared" si="216"/>
        <v>10</v>
      </c>
      <c r="M805" s="206">
        <f t="shared" si="218"/>
        <v>580</v>
      </c>
      <c r="N805" s="34"/>
      <c r="O805" s="209">
        <f t="shared" si="217"/>
        <v>6</v>
      </c>
      <c r="P805" s="34">
        <f t="shared" si="212"/>
        <v>315000</v>
      </c>
      <c r="Q805" s="34">
        <f t="shared" si="213"/>
        <v>290000</v>
      </c>
      <c r="R805" s="7">
        <f t="shared" si="214"/>
        <v>-600</v>
      </c>
      <c r="S805" s="227">
        <f t="shared" si="209"/>
        <v>-25600</v>
      </c>
      <c r="T805" s="249">
        <f t="shared" si="210"/>
        <v>-8.126984126984127E-2</v>
      </c>
    </row>
    <row r="806" spans="2:21" ht="15" customHeight="1" x14ac:dyDescent="0.4">
      <c r="B806" s="38" t="s">
        <v>108</v>
      </c>
      <c r="C806" s="6" t="s">
        <v>160</v>
      </c>
      <c r="D806" s="6">
        <f t="shared" si="211"/>
        <v>1</v>
      </c>
      <c r="E806" s="34">
        <v>10</v>
      </c>
      <c r="F806" s="212">
        <v>31400</v>
      </c>
      <c r="G806" s="195">
        <v>46129</v>
      </c>
      <c r="H806" s="8"/>
      <c r="I806" s="212">
        <v>29000</v>
      </c>
      <c r="J806" s="8">
        <v>46134</v>
      </c>
      <c r="K806" s="23">
        <f t="shared" si="215"/>
        <v>10</v>
      </c>
      <c r="L806" s="23">
        <f t="shared" si="216"/>
        <v>10</v>
      </c>
      <c r="M806" s="206">
        <f t="shared" si="218"/>
        <v>580</v>
      </c>
      <c r="N806" s="34"/>
      <c r="O806" s="209">
        <f t="shared" si="217"/>
        <v>6</v>
      </c>
      <c r="P806" s="34">
        <f t="shared" si="212"/>
        <v>314000</v>
      </c>
      <c r="Q806" s="34">
        <f t="shared" si="213"/>
        <v>290000</v>
      </c>
      <c r="R806" s="7">
        <f t="shared" si="214"/>
        <v>-600</v>
      </c>
      <c r="S806" s="227">
        <f t="shared" si="209"/>
        <v>-24600</v>
      </c>
      <c r="T806" s="249">
        <f t="shared" si="210"/>
        <v>-7.8343949044585984E-2</v>
      </c>
    </row>
    <row r="807" spans="2:21" ht="15" customHeight="1" x14ac:dyDescent="0.4">
      <c r="B807" s="38" t="s">
        <v>108</v>
      </c>
      <c r="C807" s="6" t="s">
        <v>160</v>
      </c>
      <c r="D807" s="6">
        <f t="shared" si="211"/>
        <v>1</v>
      </c>
      <c r="E807" s="34">
        <v>20</v>
      </c>
      <c r="F807" s="212">
        <v>31100</v>
      </c>
      <c r="G807" s="195">
        <v>46129</v>
      </c>
      <c r="H807" s="8"/>
      <c r="I807" s="212">
        <v>29000</v>
      </c>
      <c r="J807" s="8">
        <v>46134</v>
      </c>
      <c r="K807" s="23">
        <f t="shared" si="215"/>
        <v>20</v>
      </c>
      <c r="L807" s="23">
        <f t="shared" si="216"/>
        <v>20</v>
      </c>
      <c r="M807" s="206">
        <f t="shared" si="218"/>
        <v>1160</v>
      </c>
      <c r="N807" s="34"/>
      <c r="O807" s="209">
        <f t="shared" si="217"/>
        <v>6</v>
      </c>
      <c r="P807" s="34">
        <f t="shared" si="212"/>
        <v>622000</v>
      </c>
      <c r="Q807" s="34">
        <f t="shared" si="213"/>
        <v>580000</v>
      </c>
      <c r="R807" s="7">
        <f t="shared" si="214"/>
        <v>-1200</v>
      </c>
      <c r="S807" s="227">
        <f t="shared" si="209"/>
        <v>-43200</v>
      </c>
      <c r="T807" s="249">
        <f t="shared" si="210"/>
        <v>-6.9453376205787787E-2</v>
      </c>
    </row>
    <row r="808" spans="2:21" ht="15" customHeight="1" x14ac:dyDescent="0.4">
      <c r="B808" s="38" t="s">
        <v>108</v>
      </c>
      <c r="C808" s="6" t="s">
        <v>160</v>
      </c>
      <c r="D808" s="6">
        <f t="shared" si="211"/>
        <v>1</v>
      </c>
      <c r="E808" s="34">
        <v>10</v>
      </c>
      <c r="F808" s="212">
        <v>31200</v>
      </c>
      <c r="G808" s="195">
        <v>46129</v>
      </c>
      <c r="H808" s="8"/>
      <c r="I808" s="212">
        <v>29000</v>
      </c>
      <c r="J808" s="8">
        <v>46134</v>
      </c>
      <c r="K808" s="23">
        <f t="shared" si="215"/>
        <v>10</v>
      </c>
      <c r="L808" s="23">
        <f t="shared" si="216"/>
        <v>10</v>
      </c>
      <c r="M808" s="206">
        <f t="shared" si="218"/>
        <v>580</v>
      </c>
      <c r="N808" s="34"/>
      <c r="O808" s="209">
        <f t="shared" si="217"/>
        <v>6</v>
      </c>
      <c r="P808" s="34">
        <f t="shared" si="212"/>
        <v>312000</v>
      </c>
      <c r="Q808" s="34">
        <f t="shared" si="213"/>
        <v>290000</v>
      </c>
      <c r="R808" s="7">
        <f t="shared" si="214"/>
        <v>-600</v>
      </c>
      <c r="S808" s="227">
        <f t="shared" si="209"/>
        <v>-22600</v>
      </c>
      <c r="T808" s="249">
        <f t="shared" si="210"/>
        <v>-7.2435897435897442E-2</v>
      </c>
    </row>
    <row r="809" spans="2:21" ht="15" customHeight="1" x14ac:dyDescent="0.4">
      <c r="B809" s="38" t="s">
        <v>108</v>
      </c>
      <c r="C809" s="6" t="s">
        <v>160</v>
      </c>
      <c r="D809" s="6">
        <f t="shared" si="211"/>
        <v>1</v>
      </c>
      <c r="E809" s="34">
        <v>300</v>
      </c>
      <c r="F809" s="212">
        <v>31050</v>
      </c>
      <c r="G809" s="195">
        <v>46129</v>
      </c>
      <c r="H809" s="8"/>
      <c r="I809" s="212">
        <v>29000</v>
      </c>
      <c r="J809" s="8">
        <v>46134</v>
      </c>
      <c r="K809" s="23">
        <f t="shared" si="215"/>
        <v>330</v>
      </c>
      <c r="L809" s="23">
        <f t="shared" si="216"/>
        <v>310</v>
      </c>
      <c r="M809" s="206">
        <f t="shared" si="218"/>
        <v>17400</v>
      </c>
      <c r="N809" s="34"/>
      <c r="O809" s="209">
        <f t="shared" si="217"/>
        <v>6</v>
      </c>
      <c r="P809" s="34">
        <f t="shared" si="212"/>
        <v>9315000</v>
      </c>
      <c r="Q809" s="34">
        <f t="shared" si="213"/>
        <v>8700000</v>
      </c>
      <c r="R809" s="7">
        <f t="shared" si="214"/>
        <v>-18040</v>
      </c>
      <c r="S809" s="227">
        <f t="shared" si="209"/>
        <v>-633040</v>
      </c>
      <c r="T809" s="249">
        <f t="shared" si="210"/>
        <v>-6.7959205582393989E-2</v>
      </c>
    </row>
    <row r="810" spans="2:21" ht="15" customHeight="1" x14ac:dyDescent="0.4">
      <c r="B810" s="90" t="s">
        <v>504</v>
      </c>
      <c r="C810" s="201" t="s">
        <v>167</v>
      </c>
      <c r="D810" s="201">
        <v>1129.2</v>
      </c>
      <c r="E810" s="91">
        <v>80</v>
      </c>
      <c r="F810" s="223">
        <v>47.558</v>
      </c>
      <c r="G810" s="203">
        <v>44291</v>
      </c>
      <c r="H810" s="204"/>
      <c r="I810" s="223"/>
      <c r="J810" s="204">
        <v>45914</v>
      </c>
      <c r="K810" s="251">
        <f t="shared" si="215"/>
        <v>9.5115999999999996</v>
      </c>
      <c r="L810" s="251">
        <f t="shared" si="216"/>
        <v>0.01</v>
      </c>
      <c r="M810" s="205">
        <f>E810*I810*0.0000051</f>
        <v>0</v>
      </c>
      <c r="N810" s="94">
        <f>(19.2-2.88)+(19.2-2.88)+(19.2-2.88)+(19.2-2.88)+(19.2-2.88)+(19.2-2.88)+(19.2-2.88)+(19.2-2.88)+(4-0.6)+(4-0.6)+(4-0.6)+(4-0.6)+(4-0.6)+(4-0.6)+(4-0.6)+(4-0.6)+7.79</f>
        <v>165.55</v>
      </c>
      <c r="O810" s="208">
        <f t="shared" si="217"/>
        <v>1624</v>
      </c>
      <c r="P810" s="34">
        <f>80*$F810*$D810</f>
        <v>4296199.4879999999</v>
      </c>
      <c r="Q810" s="34">
        <f>$E810*$I810*122</f>
        <v>0</v>
      </c>
      <c r="R810" s="7">
        <f t="shared" si="214"/>
        <v>176187.26928000004</v>
      </c>
      <c r="S810" s="227">
        <f t="shared" si="209"/>
        <v>0</v>
      </c>
      <c r="T810" s="249">
        <f t="shared" si="210"/>
        <v>0</v>
      </c>
    </row>
    <row r="811" spans="2:21" ht="15" customHeight="1" x14ac:dyDescent="0.4">
      <c r="B811" s="90" t="s">
        <v>504</v>
      </c>
      <c r="C811" s="201" t="s">
        <v>167</v>
      </c>
      <c r="D811" s="201">
        <v>1129.2</v>
      </c>
      <c r="E811" s="91">
        <v>122</v>
      </c>
      <c r="F811" s="223">
        <v>47.558</v>
      </c>
      <c r="G811" s="203">
        <v>45914</v>
      </c>
      <c r="H811" s="204" t="s">
        <v>505</v>
      </c>
      <c r="I811" s="223"/>
      <c r="J811" s="201"/>
      <c r="K811" s="251">
        <f t="shared" si="215"/>
        <v>14.505190000000001</v>
      </c>
      <c r="L811" s="251">
        <f t="shared" si="216"/>
        <v>0.01</v>
      </c>
      <c r="M811" s="205">
        <f>E811*I811*0.0000051</f>
        <v>0</v>
      </c>
      <c r="N811" s="94">
        <f>+(6.1-0.92)+(6.1-0.92)+(6.1-0.92)</f>
        <v>15.54</v>
      </c>
      <c r="O811" s="208">
        <f t="shared" si="217"/>
        <v>-45913</v>
      </c>
      <c r="P811" s="34">
        <f>80*$F811*$D811</f>
        <v>4296199.4879999999</v>
      </c>
      <c r="Q811" s="34">
        <f>$E811*$I811*122</f>
        <v>0</v>
      </c>
      <c r="R811" s="7">
        <f t="shared" si="214"/>
        <v>1157.2154519999983</v>
      </c>
      <c r="S811" s="227">
        <f t="shared" si="209"/>
        <v>0</v>
      </c>
      <c r="T811" s="249">
        <f t="shared" si="210"/>
        <v>0</v>
      </c>
    </row>
    <row r="812" spans="2:21" ht="15" customHeight="1" x14ac:dyDescent="0.4">
      <c r="B812" s="38" t="s">
        <v>506</v>
      </c>
      <c r="C812" s="6" t="s">
        <v>160</v>
      </c>
      <c r="D812" s="6">
        <f t="shared" ref="D812:D837" si="219">IF(OR($C812="신한",$C812="OTC",$C812="무상증자(신한)",$C812="토스",$C812="R토스"),1,"확인")</f>
        <v>1</v>
      </c>
      <c r="E812" s="34">
        <v>6</v>
      </c>
      <c r="F812" s="212">
        <v>551000</v>
      </c>
      <c r="G812" s="195">
        <v>46101</v>
      </c>
      <c r="H812" s="8"/>
      <c r="I812" s="212"/>
      <c r="J812" s="8"/>
      <c r="K812" s="23">
        <f t="shared" si="215"/>
        <v>120</v>
      </c>
      <c r="L812" s="23">
        <f t="shared" si="216"/>
        <v>0</v>
      </c>
      <c r="M812" s="206">
        <f t="shared" ref="M812:M837" si="220">Q812*0.002</f>
        <v>0</v>
      </c>
      <c r="N812" s="34"/>
      <c r="O812" s="209">
        <f t="shared" si="217"/>
        <v>-46100</v>
      </c>
      <c r="P812" s="34">
        <f t="shared" ref="P812:P837" si="221">$E812*$F812*$D812</f>
        <v>3306000</v>
      </c>
      <c r="Q812" s="34">
        <f t="shared" ref="Q812:Q837" si="222">$E812*$I812*$D812</f>
        <v>0</v>
      </c>
      <c r="R812" s="7">
        <f t="shared" si="214"/>
        <v>-120</v>
      </c>
      <c r="S812" s="227">
        <f t="shared" si="209"/>
        <v>0</v>
      </c>
      <c r="T812" s="249">
        <f t="shared" si="210"/>
        <v>0</v>
      </c>
      <c r="U812" s="36"/>
    </row>
    <row r="813" spans="2:21" ht="15" customHeight="1" x14ac:dyDescent="0.4">
      <c r="B813" s="38" t="s">
        <v>506</v>
      </c>
      <c r="C813" s="6" t="s">
        <v>160</v>
      </c>
      <c r="D813" s="6">
        <f t="shared" si="219"/>
        <v>1</v>
      </c>
      <c r="E813" s="34">
        <v>1</v>
      </c>
      <c r="F813" s="212">
        <v>515000</v>
      </c>
      <c r="G813" s="195">
        <v>46104</v>
      </c>
      <c r="H813" s="8"/>
      <c r="I813" s="212"/>
      <c r="J813" s="8"/>
      <c r="K813" s="23">
        <f t="shared" si="215"/>
        <v>10</v>
      </c>
      <c r="L813" s="23">
        <f t="shared" si="216"/>
        <v>0</v>
      </c>
      <c r="M813" s="206">
        <f t="shared" si="220"/>
        <v>0</v>
      </c>
      <c r="N813" s="34"/>
      <c r="O813" s="209">
        <f t="shared" si="217"/>
        <v>-46103</v>
      </c>
      <c r="P813" s="34">
        <f t="shared" si="221"/>
        <v>515000</v>
      </c>
      <c r="Q813" s="34">
        <f t="shared" si="222"/>
        <v>0</v>
      </c>
      <c r="R813" s="7">
        <f t="shared" si="214"/>
        <v>-10</v>
      </c>
      <c r="S813" s="227">
        <f t="shared" si="209"/>
        <v>0</v>
      </c>
      <c r="T813" s="249">
        <f t="shared" si="210"/>
        <v>0</v>
      </c>
      <c r="U813" s="36"/>
    </row>
    <row r="814" spans="2:21" ht="15" customHeight="1" x14ac:dyDescent="0.4">
      <c r="B814" s="38" t="s">
        <v>506</v>
      </c>
      <c r="C814" s="6" t="s">
        <v>160</v>
      </c>
      <c r="D814" s="6">
        <f t="shared" si="219"/>
        <v>1</v>
      </c>
      <c r="E814" s="34">
        <v>1</v>
      </c>
      <c r="F814" s="212">
        <v>545000</v>
      </c>
      <c r="G814" s="195">
        <v>46108</v>
      </c>
      <c r="H814" s="8"/>
      <c r="I814" s="212"/>
      <c r="J814" s="8"/>
      <c r="K814" s="23">
        <f t="shared" si="215"/>
        <v>10</v>
      </c>
      <c r="L814" s="23">
        <f t="shared" si="216"/>
        <v>0</v>
      </c>
      <c r="M814" s="206">
        <f t="shared" si="220"/>
        <v>0</v>
      </c>
      <c r="N814" s="34"/>
      <c r="O814" s="209">
        <f t="shared" si="217"/>
        <v>-46107</v>
      </c>
      <c r="P814" s="34">
        <f t="shared" si="221"/>
        <v>545000</v>
      </c>
      <c r="Q814" s="34">
        <f t="shared" si="222"/>
        <v>0</v>
      </c>
      <c r="R814" s="7">
        <f t="shared" si="214"/>
        <v>-10</v>
      </c>
      <c r="S814" s="227">
        <f t="shared" si="209"/>
        <v>0</v>
      </c>
      <c r="T814" s="249">
        <f t="shared" si="210"/>
        <v>0</v>
      </c>
      <c r="U814" s="36"/>
    </row>
    <row r="815" spans="2:21" ht="15" customHeight="1" x14ac:dyDescent="0.4">
      <c r="B815" s="38" t="s">
        <v>506</v>
      </c>
      <c r="C815" s="6" t="s">
        <v>160</v>
      </c>
      <c r="D815" s="6">
        <f t="shared" si="219"/>
        <v>1</v>
      </c>
      <c r="E815" s="34">
        <v>6</v>
      </c>
      <c r="F815" s="212">
        <v>518000</v>
      </c>
      <c r="G815" s="195">
        <v>46112</v>
      </c>
      <c r="H815" s="8"/>
      <c r="I815" s="212"/>
      <c r="J815" s="8"/>
      <c r="K815" s="23">
        <f t="shared" si="215"/>
        <v>110</v>
      </c>
      <c r="L815" s="23">
        <f t="shared" si="216"/>
        <v>0</v>
      </c>
      <c r="M815" s="206">
        <f t="shared" si="220"/>
        <v>0</v>
      </c>
      <c r="N815" s="34"/>
      <c r="O815" s="209">
        <f t="shared" si="217"/>
        <v>-46111</v>
      </c>
      <c r="P815" s="34">
        <f t="shared" si="221"/>
        <v>3108000</v>
      </c>
      <c r="Q815" s="34">
        <f t="shared" si="222"/>
        <v>0</v>
      </c>
      <c r="R815" s="7">
        <f t="shared" si="214"/>
        <v>-110</v>
      </c>
      <c r="S815" s="227">
        <f t="shared" si="209"/>
        <v>0</v>
      </c>
      <c r="T815" s="249">
        <f t="shared" si="210"/>
        <v>0</v>
      </c>
      <c r="U815" s="36"/>
    </row>
    <row r="816" spans="2:21" ht="15" customHeight="1" x14ac:dyDescent="0.4">
      <c r="B816" s="38" t="s">
        <v>131</v>
      </c>
      <c r="C816" s="6" t="s">
        <v>122</v>
      </c>
      <c r="D816" s="6">
        <f t="shared" si="219"/>
        <v>1</v>
      </c>
      <c r="E816" s="34">
        <v>10</v>
      </c>
      <c r="F816" s="212">
        <v>6800</v>
      </c>
      <c r="G816" s="195">
        <v>45929</v>
      </c>
      <c r="H816" s="8" t="s">
        <v>113</v>
      </c>
      <c r="I816" s="212">
        <v>7200</v>
      </c>
      <c r="J816" s="8">
        <v>46127</v>
      </c>
      <c r="K816" s="23">
        <f t="shared" si="215"/>
        <v>10.199999999999999</v>
      </c>
      <c r="L816" s="307">
        <v>0</v>
      </c>
      <c r="M816" s="206">
        <f t="shared" si="220"/>
        <v>144</v>
      </c>
      <c r="N816" s="34">
        <f t="shared" ref="N816:N829" si="223">100*E816*(1-0.154)</f>
        <v>846</v>
      </c>
      <c r="O816" s="209">
        <f t="shared" si="217"/>
        <v>199</v>
      </c>
      <c r="P816" s="34">
        <f t="shared" si="221"/>
        <v>68000</v>
      </c>
      <c r="Q816" s="34">
        <f t="shared" si="222"/>
        <v>72000</v>
      </c>
      <c r="R816" s="7">
        <f t="shared" si="214"/>
        <v>691.8</v>
      </c>
      <c r="S816" s="227">
        <f t="shared" si="209"/>
        <v>4691.8</v>
      </c>
      <c r="T816" s="249">
        <f t="shared" si="210"/>
        <v>6.8997058823529411E-2</v>
      </c>
      <c r="U816" s="36"/>
    </row>
    <row r="817" spans="2:21" ht="15" customHeight="1" x14ac:dyDescent="0.4">
      <c r="B817" s="38" t="s">
        <v>131</v>
      </c>
      <c r="C817" s="6" t="s">
        <v>122</v>
      </c>
      <c r="D817" s="6">
        <f t="shared" si="219"/>
        <v>1</v>
      </c>
      <c r="E817" s="34">
        <v>10</v>
      </c>
      <c r="F817" s="212">
        <v>6300</v>
      </c>
      <c r="G817" s="195">
        <v>45929</v>
      </c>
      <c r="H817" s="8" t="s">
        <v>113</v>
      </c>
      <c r="I817" s="212">
        <v>7200</v>
      </c>
      <c r="J817" s="8">
        <v>46127</v>
      </c>
      <c r="K817" s="23">
        <f t="shared" si="215"/>
        <v>9.4499999999999993</v>
      </c>
      <c r="L817" s="307">
        <v>0</v>
      </c>
      <c r="M817" s="206">
        <f t="shared" si="220"/>
        <v>144</v>
      </c>
      <c r="N817" s="34">
        <f t="shared" si="223"/>
        <v>846</v>
      </c>
      <c r="O817" s="209">
        <f t="shared" si="217"/>
        <v>199</v>
      </c>
      <c r="P817" s="34">
        <f t="shared" si="221"/>
        <v>63000</v>
      </c>
      <c r="Q817" s="34">
        <f t="shared" si="222"/>
        <v>72000</v>
      </c>
      <c r="R817" s="7">
        <f t="shared" si="214"/>
        <v>692.55</v>
      </c>
      <c r="S817" s="227">
        <f t="shared" si="209"/>
        <v>9692.5499999999993</v>
      </c>
      <c r="T817" s="249">
        <f t="shared" si="210"/>
        <v>0.15384999999999999</v>
      </c>
      <c r="U817" s="36">
        <f>IF(O817&lt;0,0,P817*0.05*O817/365)</f>
        <v>1717.3972602739725</v>
      </c>
    </row>
    <row r="818" spans="2:21" ht="15" customHeight="1" x14ac:dyDescent="0.4">
      <c r="B818" s="38" t="s">
        <v>131</v>
      </c>
      <c r="C818" s="6" t="s">
        <v>122</v>
      </c>
      <c r="D818" s="6">
        <f t="shared" si="219"/>
        <v>1</v>
      </c>
      <c r="E818" s="34">
        <v>20</v>
      </c>
      <c r="F818" s="212">
        <v>7050</v>
      </c>
      <c r="G818" s="195">
        <v>45930</v>
      </c>
      <c r="H818" s="8" t="s">
        <v>113</v>
      </c>
      <c r="I818" s="212">
        <v>7200</v>
      </c>
      <c r="J818" s="8">
        <v>46127</v>
      </c>
      <c r="K818" s="23">
        <f t="shared" si="215"/>
        <v>21.15</v>
      </c>
      <c r="L818" s="307">
        <v>0</v>
      </c>
      <c r="M818" s="206">
        <f t="shared" si="220"/>
        <v>288</v>
      </c>
      <c r="N818" s="34">
        <f t="shared" si="223"/>
        <v>1692</v>
      </c>
      <c r="O818" s="209">
        <f t="shared" si="217"/>
        <v>198</v>
      </c>
      <c r="P818" s="34">
        <f t="shared" si="221"/>
        <v>141000</v>
      </c>
      <c r="Q818" s="34">
        <f t="shared" si="222"/>
        <v>144000</v>
      </c>
      <c r="R818" s="7">
        <f t="shared" si="214"/>
        <v>1382.85</v>
      </c>
      <c r="S818" s="227">
        <f t="shared" si="209"/>
        <v>4382.8500000000004</v>
      </c>
      <c r="T818" s="249">
        <f t="shared" si="210"/>
        <v>3.1084042553191492E-2</v>
      </c>
      <c r="U818" s="36"/>
    </row>
    <row r="819" spans="2:21" ht="15" customHeight="1" x14ac:dyDescent="0.4">
      <c r="B819" s="38" t="s">
        <v>131</v>
      </c>
      <c r="C819" s="6" t="s">
        <v>122</v>
      </c>
      <c r="D819" s="6">
        <f t="shared" si="219"/>
        <v>1</v>
      </c>
      <c r="E819" s="34">
        <v>30</v>
      </c>
      <c r="F819" s="212">
        <v>6700</v>
      </c>
      <c r="G819" s="195">
        <v>45930</v>
      </c>
      <c r="H819" s="8" t="s">
        <v>113</v>
      </c>
      <c r="I819" s="212">
        <v>7200</v>
      </c>
      <c r="J819" s="8">
        <v>46127</v>
      </c>
      <c r="K819" s="23">
        <f t="shared" si="215"/>
        <v>30.15</v>
      </c>
      <c r="L819" s="307">
        <v>0</v>
      </c>
      <c r="M819" s="206">
        <f t="shared" si="220"/>
        <v>432</v>
      </c>
      <c r="N819" s="34">
        <f t="shared" si="223"/>
        <v>2538</v>
      </c>
      <c r="O819" s="209">
        <f t="shared" si="217"/>
        <v>198</v>
      </c>
      <c r="P819" s="34">
        <f t="shared" si="221"/>
        <v>201000</v>
      </c>
      <c r="Q819" s="34">
        <f t="shared" si="222"/>
        <v>216000</v>
      </c>
      <c r="R819" s="7">
        <f t="shared" si="214"/>
        <v>2075.85</v>
      </c>
      <c r="S819" s="227">
        <f t="shared" si="209"/>
        <v>17075.849999999999</v>
      </c>
      <c r="T819" s="249">
        <f t="shared" si="210"/>
        <v>8.4954477611940291E-2</v>
      </c>
      <c r="U819" s="36">
        <f>IF(O819&lt;0,0,P819*0.05*O819/365)</f>
        <v>5451.7808219178078</v>
      </c>
    </row>
    <row r="820" spans="2:21" ht="15" customHeight="1" x14ac:dyDescent="0.4">
      <c r="B820" s="38" t="s">
        <v>131</v>
      </c>
      <c r="C820" s="6" t="s">
        <v>122</v>
      </c>
      <c r="D820" s="6">
        <f t="shared" si="219"/>
        <v>1</v>
      </c>
      <c r="E820" s="34">
        <v>100</v>
      </c>
      <c r="F820" s="212">
        <v>6600</v>
      </c>
      <c r="G820" s="195">
        <v>45930</v>
      </c>
      <c r="H820" s="8" t="s">
        <v>113</v>
      </c>
      <c r="I820" s="212">
        <v>7200</v>
      </c>
      <c r="J820" s="8">
        <v>46127</v>
      </c>
      <c r="K820" s="23">
        <f t="shared" si="215"/>
        <v>98.999999999999986</v>
      </c>
      <c r="L820" s="307">
        <v>0</v>
      </c>
      <c r="M820" s="206">
        <f t="shared" si="220"/>
        <v>1440</v>
      </c>
      <c r="N820" s="34">
        <f t="shared" si="223"/>
        <v>8460</v>
      </c>
      <c r="O820" s="209">
        <f t="shared" si="217"/>
        <v>198</v>
      </c>
      <c r="P820" s="34">
        <f t="shared" si="221"/>
        <v>660000</v>
      </c>
      <c r="Q820" s="34">
        <f t="shared" si="222"/>
        <v>720000</v>
      </c>
      <c r="R820" s="7">
        <f t="shared" si="214"/>
        <v>6921</v>
      </c>
      <c r="S820" s="227">
        <f t="shared" si="209"/>
        <v>66921</v>
      </c>
      <c r="T820" s="249">
        <f t="shared" si="210"/>
        <v>0.10139545454545454</v>
      </c>
      <c r="U820" s="36">
        <f>IF(O820&lt;0,0,P820*0.05*O820/365)</f>
        <v>17901.369863013697</v>
      </c>
    </row>
    <row r="821" spans="2:21" ht="15" customHeight="1" x14ac:dyDescent="0.4">
      <c r="B821" s="38" t="s">
        <v>131</v>
      </c>
      <c r="C821" s="6" t="s">
        <v>122</v>
      </c>
      <c r="D821" s="6">
        <f t="shared" si="219"/>
        <v>1</v>
      </c>
      <c r="E821" s="34">
        <v>30</v>
      </c>
      <c r="F821" s="212">
        <v>6450</v>
      </c>
      <c r="G821" s="195">
        <v>45930</v>
      </c>
      <c r="H821" s="8" t="s">
        <v>113</v>
      </c>
      <c r="I821" s="212">
        <v>7200</v>
      </c>
      <c r="J821" s="8">
        <v>46127</v>
      </c>
      <c r="K821" s="23">
        <f t="shared" si="215"/>
        <v>29.024999999999999</v>
      </c>
      <c r="L821" s="307">
        <v>0</v>
      </c>
      <c r="M821" s="206">
        <f t="shared" si="220"/>
        <v>432</v>
      </c>
      <c r="N821" s="34">
        <f t="shared" si="223"/>
        <v>2538</v>
      </c>
      <c r="O821" s="209">
        <f t="shared" si="217"/>
        <v>198</v>
      </c>
      <c r="P821" s="34">
        <f t="shared" si="221"/>
        <v>193500</v>
      </c>
      <c r="Q821" s="34">
        <f t="shared" si="222"/>
        <v>216000</v>
      </c>
      <c r="R821" s="7">
        <f t="shared" si="214"/>
        <v>2076.9749999999999</v>
      </c>
      <c r="S821" s="227">
        <f t="shared" si="209"/>
        <v>24576.974999999999</v>
      </c>
      <c r="T821" s="249">
        <f t="shared" si="210"/>
        <v>0.1270127906976744</v>
      </c>
      <c r="U821" s="36">
        <f>IF(O821&lt;0,0,P821*0.05*O821/365)</f>
        <v>5248.3561643835619</v>
      </c>
    </row>
    <row r="822" spans="2:21" ht="15" customHeight="1" x14ac:dyDescent="0.4">
      <c r="B822" s="38" t="s">
        <v>131</v>
      </c>
      <c r="C822" s="6" t="s">
        <v>122</v>
      </c>
      <c r="D822" s="6">
        <f t="shared" si="219"/>
        <v>1</v>
      </c>
      <c r="E822" s="34">
        <v>30</v>
      </c>
      <c r="F822" s="212">
        <v>6600</v>
      </c>
      <c r="G822" s="195">
        <v>45931</v>
      </c>
      <c r="H822" s="8" t="s">
        <v>113</v>
      </c>
      <c r="I822" s="212">
        <v>7200</v>
      </c>
      <c r="J822" s="8">
        <v>46127</v>
      </c>
      <c r="K822" s="23">
        <f t="shared" si="215"/>
        <v>29.699999999999996</v>
      </c>
      <c r="L822" s="307">
        <v>0</v>
      </c>
      <c r="M822" s="206">
        <f t="shared" si="220"/>
        <v>432</v>
      </c>
      <c r="N822" s="34">
        <f t="shared" si="223"/>
        <v>2538</v>
      </c>
      <c r="O822" s="209">
        <f t="shared" si="217"/>
        <v>197</v>
      </c>
      <c r="P822" s="34">
        <f t="shared" si="221"/>
        <v>198000</v>
      </c>
      <c r="Q822" s="34">
        <f t="shared" si="222"/>
        <v>216000</v>
      </c>
      <c r="R822" s="7">
        <f t="shared" ref="R822:R837" si="224">($N822-$K822-$L822-$M822)*$D822</f>
        <v>2076.3000000000002</v>
      </c>
      <c r="S822" s="227">
        <f t="shared" si="209"/>
        <v>20076.3</v>
      </c>
      <c r="T822" s="249">
        <f t="shared" si="210"/>
        <v>0.10139545454545454</v>
      </c>
      <c r="U822" s="36"/>
    </row>
    <row r="823" spans="2:21" ht="15" customHeight="1" x14ac:dyDescent="0.4">
      <c r="B823" s="38" t="s">
        <v>131</v>
      </c>
      <c r="C823" s="6" t="s">
        <v>122</v>
      </c>
      <c r="D823" s="6">
        <f t="shared" si="219"/>
        <v>1</v>
      </c>
      <c r="E823" s="34">
        <v>30</v>
      </c>
      <c r="F823" s="212">
        <v>6500</v>
      </c>
      <c r="G823" s="195">
        <v>45932</v>
      </c>
      <c r="H823" s="8" t="s">
        <v>113</v>
      </c>
      <c r="I823" s="212">
        <v>7200</v>
      </c>
      <c r="J823" s="8">
        <v>46127</v>
      </c>
      <c r="K823" s="23">
        <f t="shared" ref="K823:K829" si="225">IF($C823="OTC",ROUNDDOWN($E823*$F823*0.000909187,-1),(IF($C823="신한",ROUNDDOWN($E823*$F823*0.000036396,-1),(IF($C823="토스",$E823*$F823*0.00015,(IF($C823="US",(IF($E823*$F823*0.0025&gt;0.01,$E823*$F823*0.0025,0.01)),IF($C823="JP",(IF($E823*$F823*0.0025&gt;1000,$E823*$F823*0.0025,1000)),(IF($C823="R토스",0,IF($C823="무상증자(신한)",0,"")))))))))))</f>
        <v>29.249999999999996</v>
      </c>
      <c r="L823" s="307">
        <v>0</v>
      </c>
      <c r="M823" s="206">
        <f t="shared" si="220"/>
        <v>432</v>
      </c>
      <c r="N823" s="34">
        <f t="shared" si="223"/>
        <v>2538</v>
      </c>
      <c r="O823" s="209">
        <f t="shared" si="217"/>
        <v>196</v>
      </c>
      <c r="P823" s="34">
        <f t="shared" si="221"/>
        <v>195000</v>
      </c>
      <c r="Q823" s="34">
        <f t="shared" si="222"/>
        <v>216000</v>
      </c>
      <c r="R823" s="7">
        <f t="shared" si="224"/>
        <v>2076.75</v>
      </c>
      <c r="S823" s="227">
        <f t="shared" si="209"/>
        <v>23076.75</v>
      </c>
      <c r="T823" s="249">
        <f t="shared" si="210"/>
        <v>0.11834230769230769</v>
      </c>
      <c r="U823" s="36"/>
    </row>
    <row r="824" spans="2:21" ht="15" customHeight="1" x14ac:dyDescent="0.4">
      <c r="B824" s="38" t="s">
        <v>131</v>
      </c>
      <c r="C824" s="6" t="s">
        <v>122</v>
      </c>
      <c r="D824" s="6">
        <f t="shared" si="219"/>
        <v>1</v>
      </c>
      <c r="E824" s="34">
        <v>26</v>
      </c>
      <c r="F824" s="212">
        <v>6400</v>
      </c>
      <c r="G824" s="195">
        <v>45943</v>
      </c>
      <c r="H824" s="8"/>
      <c r="I824" s="212">
        <v>7200</v>
      </c>
      <c r="J824" s="8">
        <v>46127</v>
      </c>
      <c r="K824" s="23">
        <f t="shared" si="225"/>
        <v>24.959999999999997</v>
      </c>
      <c r="L824" s="307">
        <v>0</v>
      </c>
      <c r="M824" s="206">
        <f t="shared" si="220"/>
        <v>374.40000000000003</v>
      </c>
      <c r="N824" s="34">
        <f t="shared" si="223"/>
        <v>2199.6</v>
      </c>
      <c r="O824" s="209">
        <f t="shared" si="217"/>
        <v>185</v>
      </c>
      <c r="P824" s="34">
        <f t="shared" si="221"/>
        <v>166400</v>
      </c>
      <c r="Q824" s="34">
        <f t="shared" si="222"/>
        <v>187200</v>
      </c>
      <c r="R824" s="7">
        <f t="shared" si="224"/>
        <v>1800.2399999999998</v>
      </c>
      <c r="S824" s="227">
        <f t="shared" si="209"/>
        <v>22600.239999999998</v>
      </c>
      <c r="T824" s="249">
        <f t="shared" si="210"/>
        <v>0.13581874999999999</v>
      </c>
      <c r="U824" s="36">
        <f>IF(O824&lt;0,0,P824*0.05*O824/365)</f>
        <v>4216.9863013698632</v>
      </c>
    </row>
    <row r="825" spans="2:21" ht="15" customHeight="1" x14ac:dyDescent="0.4">
      <c r="B825" s="38" t="s">
        <v>131</v>
      </c>
      <c r="C825" s="6" t="s">
        <v>122</v>
      </c>
      <c r="D825" s="6">
        <f t="shared" si="219"/>
        <v>1</v>
      </c>
      <c r="E825" s="34">
        <v>100</v>
      </c>
      <c r="F825" s="212">
        <v>6600</v>
      </c>
      <c r="G825" s="195">
        <v>45951</v>
      </c>
      <c r="H825" s="8"/>
      <c r="I825" s="212">
        <v>7200</v>
      </c>
      <c r="J825" s="8">
        <v>46127</v>
      </c>
      <c r="K825" s="23">
        <f t="shared" si="225"/>
        <v>98.999999999999986</v>
      </c>
      <c r="L825" s="307">
        <v>0</v>
      </c>
      <c r="M825" s="206">
        <f t="shared" si="220"/>
        <v>1440</v>
      </c>
      <c r="N825" s="34">
        <f t="shared" si="223"/>
        <v>8460</v>
      </c>
      <c r="O825" s="209">
        <f t="shared" si="217"/>
        <v>177</v>
      </c>
      <c r="P825" s="34">
        <f t="shared" si="221"/>
        <v>660000</v>
      </c>
      <c r="Q825" s="34">
        <f t="shared" si="222"/>
        <v>720000</v>
      </c>
      <c r="R825" s="7">
        <f t="shared" si="224"/>
        <v>6921</v>
      </c>
      <c r="S825" s="227">
        <f t="shared" si="209"/>
        <v>66921</v>
      </c>
      <c r="T825" s="249">
        <f t="shared" si="210"/>
        <v>0.10139545454545454</v>
      </c>
      <c r="U825" s="36"/>
    </row>
    <row r="826" spans="2:21" ht="15" customHeight="1" x14ac:dyDescent="0.4">
      <c r="B826" s="38" t="s">
        <v>131</v>
      </c>
      <c r="C826" s="6" t="s">
        <v>122</v>
      </c>
      <c r="D826" s="6">
        <f t="shared" si="219"/>
        <v>1</v>
      </c>
      <c r="E826" s="34">
        <v>100</v>
      </c>
      <c r="F826" s="212">
        <v>7120</v>
      </c>
      <c r="G826" s="195">
        <v>45959</v>
      </c>
      <c r="H826" s="8"/>
      <c r="I826" s="212">
        <v>7200</v>
      </c>
      <c r="J826" s="8">
        <v>46127</v>
      </c>
      <c r="K826" s="23">
        <f t="shared" si="225"/>
        <v>106.8</v>
      </c>
      <c r="L826" s="307">
        <v>0</v>
      </c>
      <c r="M826" s="206">
        <f t="shared" si="220"/>
        <v>1440</v>
      </c>
      <c r="N826" s="34">
        <f t="shared" si="223"/>
        <v>8460</v>
      </c>
      <c r="O826" s="209">
        <f t="shared" si="217"/>
        <v>169</v>
      </c>
      <c r="P826" s="34">
        <f t="shared" si="221"/>
        <v>712000</v>
      </c>
      <c r="Q826" s="34">
        <f t="shared" si="222"/>
        <v>720000</v>
      </c>
      <c r="R826" s="7">
        <f t="shared" si="224"/>
        <v>6913.2000000000007</v>
      </c>
      <c r="S826" s="227">
        <f t="shared" si="209"/>
        <v>14913.2</v>
      </c>
      <c r="T826" s="249">
        <f t="shared" si="210"/>
        <v>2.094550561797753E-2</v>
      </c>
      <c r="U826" s="36">
        <f>IF(O826&lt;0,0,P826*0.05*O826/365)</f>
        <v>16483.287671232876</v>
      </c>
    </row>
    <row r="827" spans="2:21" ht="15" customHeight="1" x14ac:dyDescent="0.4">
      <c r="B827" s="38" t="s">
        <v>131</v>
      </c>
      <c r="C827" s="6" t="s">
        <v>122</v>
      </c>
      <c r="D827" s="6">
        <f t="shared" si="219"/>
        <v>1</v>
      </c>
      <c r="E827" s="34">
        <v>50</v>
      </c>
      <c r="F827" s="212">
        <v>6500</v>
      </c>
      <c r="G827" s="195">
        <v>45961</v>
      </c>
      <c r="H827" s="8"/>
      <c r="I827" s="212">
        <v>7200</v>
      </c>
      <c r="J827" s="8">
        <v>46127</v>
      </c>
      <c r="K827" s="23">
        <f t="shared" si="225"/>
        <v>48.749999999999993</v>
      </c>
      <c r="L827" s="307">
        <v>0</v>
      </c>
      <c r="M827" s="206">
        <f t="shared" si="220"/>
        <v>720</v>
      </c>
      <c r="N827" s="34">
        <f t="shared" si="223"/>
        <v>4230</v>
      </c>
      <c r="O827" s="209">
        <f t="shared" si="217"/>
        <v>167</v>
      </c>
      <c r="P827" s="34">
        <f t="shared" si="221"/>
        <v>325000</v>
      </c>
      <c r="Q827" s="34">
        <f t="shared" si="222"/>
        <v>360000</v>
      </c>
      <c r="R827" s="7">
        <f t="shared" si="224"/>
        <v>3461.25</v>
      </c>
      <c r="S827" s="227">
        <f t="shared" si="209"/>
        <v>38461.25</v>
      </c>
      <c r="T827" s="249">
        <f t="shared" si="210"/>
        <v>0.11834230769230769</v>
      </c>
      <c r="U827" s="36"/>
    </row>
    <row r="828" spans="2:21" ht="15" customHeight="1" x14ac:dyDescent="0.4">
      <c r="B828" s="38" t="s">
        <v>131</v>
      </c>
      <c r="C828" s="6" t="s">
        <v>122</v>
      </c>
      <c r="D828" s="6">
        <f t="shared" si="219"/>
        <v>1</v>
      </c>
      <c r="E828" s="34">
        <v>50</v>
      </c>
      <c r="F828" s="212">
        <v>6550</v>
      </c>
      <c r="G828" s="195">
        <v>45973</v>
      </c>
      <c r="H828" s="8"/>
      <c r="I828" s="212">
        <v>7200</v>
      </c>
      <c r="J828" s="8">
        <v>46127</v>
      </c>
      <c r="K828" s="23">
        <f t="shared" si="225"/>
        <v>49.124999999999993</v>
      </c>
      <c r="L828" s="307">
        <v>0</v>
      </c>
      <c r="M828" s="206">
        <f t="shared" si="220"/>
        <v>720</v>
      </c>
      <c r="N828" s="34">
        <f t="shared" si="223"/>
        <v>4230</v>
      </c>
      <c r="O828" s="209">
        <f t="shared" si="217"/>
        <v>155</v>
      </c>
      <c r="P828" s="34">
        <f t="shared" si="221"/>
        <v>327500</v>
      </c>
      <c r="Q828" s="34">
        <f t="shared" si="222"/>
        <v>360000</v>
      </c>
      <c r="R828" s="7">
        <f t="shared" si="224"/>
        <v>3460.875</v>
      </c>
      <c r="S828" s="227">
        <f t="shared" si="209"/>
        <v>35960.875</v>
      </c>
      <c r="T828" s="249">
        <f t="shared" si="210"/>
        <v>0.10980419847328245</v>
      </c>
      <c r="U828" s="36">
        <f>IF(O828&lt;0,0,P828*0.05*O828/365)</f>
        <v>6953.767123287671</v>
      </c>
    </row>
    <row r="829" spans="2:21" ht="15" customHeight="1" x14ac:dyDescent="0.4">
      <c r="B829" s="38" t="s">
        <v>131</v>
      </c>
      <c r="C829" s="6" t="s">
        <v>122</v>
      </c>
      <c r="D829" s="6">
        <f t="shared" si="219"/>
        <v>1</v>
      </c>
      <c r="E829" s="34">
        <v>30</v>
      </c>
      <c r="F829" s="212">
        <v>5940</v>
      </c>
      <c r="G829" s="195">
        <v>45993</v>
      </c>
      <c r="H829" s="8"/>
      <c r="I829" s="212">
        <v>7200</v>
      </c>
      <c r="J829" s="8">
        <v>46127</v>
      </c>
      <c r="K829" s="23">
        <f t="shared" si="225"/>
        <v>26.729999999999997</v>
      </c>
      <c r="L829" s="307">
        <v>0</v>
      </c>
      <c r="M829" s="206">
        <f t="shared" si="220"/>
        <v>432</v>
      </c>
      <c r="N829" s="34">
        <f t="shared" si="223"/>
        <v>2538</v>
      </c>
      <c r="O829" s="209">
        <f t="shared" si="217"/>
        <v>135</v>
      </c>
      <c r="P829" s="34">
        <f t="shared" si="221"/>
        <v>178200</v>
      </c>
      <c r="Q829" s="34">
        <f t="shared" si="222"/>
        <v>216000</v>
      </c>
      <c r="R829" s="7">
        <f t="shared" si="224"/>
        <v>2079.27</v>
      </c>
      <c r="S829" s="227">
        <f t="shared" si="209"/>
        <v>39879.269999999997</v>
      </c>
      <c r="T829" s="249">
        <f t="shared" si="210"/>
        <v>0.22378939393939393</v>
      </c>
      <c r="U829" s="36">
        <f>IF(O829&lt;0,0,P829*0.05*O829/365)</f>
        <v>3295.4794520547944</v>
      </c>
    </row>
    <row r="830" spans="2:21" ht="15" customHeight="1" x14ac:dyDescent="0.4">
      <c r="B830" s="38" t="s">
        <v>131</v>
      </c>
      <c r="C830" s="6" t="s">
        <v>122</v>
      </c>
      <c r="D830" s="6">
        <f t="shared" si="219"/>
        <v>1</v>
      </c>
      <c r="E830" s="34">
        <v>500</v>
      </c>
      <c r="F830" s="212">
        <v>7700</v>
      </c>
      <c r="G830" s="195">
        <v>46132</v>
      </c>
      <c r="H830" s="8"/>
      <c r="I830" s="212">
        <v>7920</v>
      </c>
      <c r="J830" s="8">
        <v>46132</v>
      </c>
      <c r="K830" s="307">
        <v>0</v>
      </c>
      <c r="L830" s="307">
        <v>0</v>
      </c>
      <c r="M830" s="206">
        <f t="shared" si="220"/>
        <v>7920</v>
      </c>
      <c r="N830" s="34"/>
      <c r="O830" s="209">
        <f t="shared" si="217"/>
        <v>1</v>
      </c>
      <c r="P830" s="34">
        <f t="shared" si="221"/>
        <v>3850000</v>
      </c>
      <c r="Q830" s="34">
        <f t="shared" si="222"/>
        <v>3960000</v>
      </c>
      <c r="R830" s="7">
        <f t="shared" si="224"/>
        <v>-7920</v>
      </c>
      <c r="S830" s="227">
        <f t="shared" si="209"/>
        <v>102080</v>
      </c>
      <c r="T830" s="249">
        <f t="shared" si="210"/>
        <v>2.6514285714285716E-2</v>
      </c>
      <c r="U830" s="36">
        <f>IF(O830&lt;0,0,P830*0.05*O830/365)</f>
        <v>527.39726027397262</v>
      </c>
    </row>
    <row r="831" spans="2:21" ht="15" customHeight="1" x14ac:dyDescent="0.4">
      <c r="B831" s="33" t="s">
        <v>139</v>
      </c>
      <c r="C831" s="6" t="s">
        <v>122</v>
      </c>
      <c r="D831" s="6">
        <f t="shared" si="219"/>
        <v>1</v>
      </c>
      <c r="E831" s="34">
        <v>5</v>
      </c>
      <c r="F831" s="212">
        <v>465500</v>
      </c>
      <c r="G831" s="8">
        <v>46111</v>
      </c>
      <c r="H831" s="8"/>
      <c r="I831" s="212">
        <v>519000</v>
      </c>
      <c r="J831" s="8">
        <v>46127</v>
      </c>
      <c r="K831" s="307">
        <v>0</v>
      </c>
      <c r="L831" s="307">
        <v>0</v>
      </c>
      <c r="M831" s="23">
        <f t="shared" si="220"/>
        <v>5190</v>
      </c>
      <c r="N831" s="34"/>
      <c r="O831" s="23">
        <f t="shared" si="217"/>
        <v>17</v>
      </c>
      <c r="P831" s="34">
        <f t="shared" si="221"/>
        <v>2327500</v>
      </c>
      <c r="Q831" s="34">
        <f t="shared" si="222"/>
        <v>2595000</v>
      </c>
      <c r="R831" s="7">
        <f t="shared" si="224"/>
        <v>-5190</v>
      </c>
      <c r="S831" s="227">
        <f t="shared" si="209"/>
        <v>262310</v>
      </c>
      <c r="T831" s="313">
        <f t="shared" si="210"/>
        <v>0.11270032223415682</v>
      </c>
    </row>
    <row r="832" spans="2:21" ht="15" customHeight="1" x14ac:dyDescent="0.4">
      <c r="B832" s="33" t="s">
        <v>136</v>
      </c>
      <c r="C832" s="6" t="s">
        <v>160</v>
      </c>
      <c r="D832" s="6">
        <f t="shared" si="219"/>
        <v>1</v>
      </c>
      <c r="E832" s="34">
        <v>2</v>
      </c>
      <c r="F832" s="212">
        <v>1838000</v>
      </c>
      <c r="G832" s="8">
        <v>46030</v>
      </c>
      <c r="H832" s="8"/>
      <c r="I832" s="212">
        <v>2912000</v>
      </c>
      <c r="J832" s="8">
        <v>46106</v>
      </c>
      <c r="K832" s="23">
        <f>IF($C832="OTC",ROUNDDOWN($E832*$F832*0.000909187,-1),(IF($C832="신한",ROUNDDOWN($E832*$F832*0.000036396,-1),(IF($C832="토스",$E832*$F832*0.00015,(IF($C832="US",(IF($E832*$F832*0.0025&gt;0.01,$E832*$F832*0.0025,0.01)),IF($C832="JP",(IF($E832*$F832*0.0025&gt;1000,$E832*$F832*0.0025,1000)),(IF($C832="R토스",0,IF($C832="무상증자(신한)",0,"")))))))))))</f>
        <v>130</v>
      </c>
      <c r="L832" s="23">
        <f>IF($C832="OTC",ROUNDDOWN($I832*$E832*0.000909187,-1),(IF($C832="신한",ROUNDDOWN($I832*$E832*0.000036396,-1),(IF($C832="토스",$I832*$E832*0.00015,(IF($C832="US",(IF($I832*$E832*0.0025&gt;0.01,$I832*$E832*0.0025,0.01)),(IF($C832="JP",(IF($I832*$E832*0.0025&gt;1000,$I832*$E832*0.0025,1000)),(IF($C832="R토스",$I832*$E832*0.00015,(IF($C832="무상증자(신한)",ROUNDDOWN($I832*$E832*0.000036396,-1),"")))))))))))))</f>
        <v>210</v>
      </c>
      <c r="M832" s="23">
        <f t="shared" si="220"/>
        <v>11648</v>
      </c>
      <c r="N832" s="34"/>
      <c r="O832" s="23">
        <f t="shared" si="217"/>
        <v>77</v>
      </c>
      <c r="P832" s="34">
        <f t="shared" si="221"/>
        <v>3676000</v>
      </c>
      <c r="Q832" s="34">
        <f t="shared" si="222"/>
        <v>5824000</v>
      </c>
      <c r="R832" s="7">
        <f t="shared" si="224"/>
        <v>-11988</v>
      </c>
      <c r="S832" s="227">
        <f t="shared" si="209"/>
        <v>2136012</v>
      </c>
      <c r="T832" s="313">
        <f t="shared" si="210"/>
        <v>0.58106964091403701</v>
      </c>
    </row>
    <row r="833" spans="2:20" ht="15" customHeight="1" x14ac:dyDescent="0.4">
      <c r="B833" s="33" t="s">
        <v>136</v>
      </c>
      <c r="C833" s="6" t="s">
        <v>160</v>
      </c>
      <c r="D833" s="6">
        <f t="shared" si="219"/>
        <v>1</v>
      </c>
      <c r="E833" s="34">
        <v>1</v>
      </c>
      <c r="F833" s="212">
        <v>2680000</v>
      </c>
      <c r="G833" s="8">
        <v>46108</v>
      </c>
      <c r="H833" s="8"/>
      <c r="I833" s="212">
        <v>2912000</v>
      </c>
      <c r="J833" s="8">
        <v>46121</v>
      </c>
      <c r="K833" s="23">
        <f>IF($C833="OTC",ROUNDDOWN($E833*$F833*0.000909187,-1),(IF($C833="신한",ROUNDDOWN($E833*$F833*0.000036396,-1),(IF($C833="토스",$E833*$F833*0.00015,(IF($C833="US",(IF($E833*$F833*0.0025&gt;0.01,$E833*$F833*0.0025,0.01)),IF($C833="JP",(IF($E833*$F833*0.0025&gt;1000,$E833*$F833*0.0025,1000)),(IF($C833="R토스",0,IF($C833="무상증자(신한)",0,"")))))))))))</f>
        <v>90</v>
      </c>
      <c r="L833" s="23">
        <f>IF($C833="OTC",ROUNDDOWN($I833*$E833*0.000909187,-1),(IF($C833="신한",ROUNDDOWN($I833*$E833*0.000036396,-1),(IF($C833="토스",$I833*$E833*0.00015,(IF($C833="US",(IF($I833*$E833*0.0025&gt;0.01,$I833*$E833*0.0025,0.01)),(IF($C833="JP",(IF($I833*$E833*0.0025&gt;1000,$I833*$E833*0.0025,1000)),(IF($C833="R토스",$I833*$E833*0.00015,(IF($C833="무상증자(신한)",ROUNDDOWN($I833*$E833*0.000036396,-1),"")))))))))))))</f>
        <v>100</v>
      </c>
      <c r="M833" s="23">
        <f t="shared" si="220"/>
        <v>5824</v>
      </c>
      <c r="N833" s="34"/>
      <c r="O833" s="23">
        <f t="shared" si="217"/>
        <v>14</v>
      </c>
      <c r="P833" s="34">
        <f t="shared" si="221"/>
        <v>2680000</v>
      </c>
      <c r="Q833" s="34">
        <f t="shared" si="222"/>
        <v>2912000</v>
      </c>
      <c r="R833" s="7">
        <f t="shared" si="224"/>
        <v>-6014</v>
      </c>
      <c r="S833" s="227">
        <f t="shared" si="209"/>
        <v>225986</v>
      </c>
      <c r="T833" s="313">
        <f t="shared" si="210"/>
        <v>8.432313432835821E-2</v>
      </c>
    </row>
    <row r="834" spans="2:20" ht="15" customHeight="1" x14ac:dyDescent="0.4">
      <c r="B834" s="33" t="s">
        <v>136</v>
      </c>
      <c r="C834" s="6" t="s">
        <v>160</v>
      </c>
      <c r="D834" s="6">
        <f t="shared" si="219"/>
        <v>1</v>
      </c>
      <c r="E834" s="34">
        <v>1</v>
      </c>
      <c r="F834" s="212">
        <v>2415000</v>
      </c>
      <c r="G834" s="8">
        <v>46112</v>
      </c>
      <c r="H834" s="8"/>
      <c r="I834" s="212">
        <v>2912000</v>
      </c>
      <c r="J834" s="8">
        <v>46121</v>
      </c>
      <c r="K834" s="23">
        <f>IF($C834="OTC",ROUNDDOWN($E834*$F834*0.000909187,-1),(IF($C834="신한",ROUNDDOWN($E834*$F834*0.000036396,-1),(IF($C834="토스",$E834*$F834*0.00015,(IF($C834="US",(IF($E834*$F834*0.0025&gt;0.01,$E834*$F834*0.0025,0.01)),IF($C834="JP",(IF($E834*$F834*0.0025&gt;1000,$E834*$F834*0.0025,1000)),(IF($C834="R토스",0,IF($C834="무상증자(신한)",0,"")))))))))))</f>
        <v>80</v>
      </c>
      <c r="L834" s="23">
        <f>IF($C834="OTC",ROUNDDOWN($I834*$E834*0.000909187,-1),(IF($C834="신한",ROUNDDOWN($I834*$E834*0.000036396,-1),(IF($C834="토스",$I834*$E834*0.00015,(IF($C834="US",(IF($I834*$E834*0.0025&gt;0.01,$I834*$E834*0.0025,0.01)),(IF($C834="JP",(IF($I834*$E834*0.0025&gt;1000,$I834*$E834*0.0025,1000)),(IF($C834="R토스",$I834*$E834*0.00015,(IF($C834="무상증자(신한)",ROUNDDOWN($I834*$E834*0.000036396,-1),"")))))))))))))</f>
        <v>100</v>
      </c>
      <c r="M834" s="23">
        <f t="shared" si="220"/>
        <v>5824</v>
      </c>
      <c r="N834" s="34"/>
      <c r="O834" s="23">
        <f t="shared" si="217"/>
        <v>10</v>
      </c>
      <c r="P834" s="34">
        <f t="shared" si="221"/>
        <v>2415000</v>
      </c>
      <c r="Q834" s="34">
        <f t="shared" si="222"/>
        <v>2912000</v>
      </c>
      <c r="R834" s="7">
        <f t="shared" si="224"/>
        <v>-6004</v>
      </c>
      <c r="S834" s="227">
        <f t="shared" si="209"/>
        <v>490996</v>
      </c>
      <c r="T834" s="313">
        <f t="shared" si="210"/>
        <v>0.20331097308488613</v>
      </c>
    </row>
    <row r="835" spans="2:20" ht="15" customHeight="1" x14ac:dyDescent="0.4">
      <c r="B835" s="33" t="s">
        <v>136</v>
      </c>
      <c r="C835" s="6" t="s">
        <v>122</v>
      </c>
      <c r="D835" s="6">
        <f t="shared" si="219"/>
        <v>1</v>
      </c>
      <c r="E835" s="34">
        <v>1</v>
      </c>
      <c r="F835" s="212">
        <v>3920000</v>
      </c>
      <c r="G835" s="8">
        <v>46139</v>
      </c>
      <c r="H835" s="8"/>
      <c r="I835" s="212">
        <v>3950000</v>
      </c>
      <c r="J835" s="8">
        <v>46139</v>
      </c>
      <c r="K835" s="307">
        <v>0</v>
      </c>
      <c r="L835" s="307">
        <v>0</v>
      </c>
      <c r="M835" s="23">
        <f t="shared" si="220"/>
        <v>7900</v>
      </c>
      <c r="N835" s="34"/>
      <c r="O835" s="23">
        <f t="shared" si="217"/>
        <v>1</v>
      </c>
      <c r="P835" s="34">
        <f t="shared" si="221"/>
        <v>3920000</v>
      </c>
      <c r="Q835" s="34">
        <f t="shared" si="222"/>
        <v>3950000</v>
      </c>
      <c r="R835" s="7">
        <f t="shared" si="224"/>
        <v>-7900</v>
      </c>
      <c r="S835" s="227">
        <f t="shared" si="209"/>
        <v>22100</v>
      </c>
      <c r="T835" s="313">
        <f t="shared" si="210"/>
        <v>5.6377551020408163E-3</v>
      </c>
    </row>
    <row r="836" spans="2:20" ht="15" customHeight="1" x14ac:dyDescent="0.4">
      <c r="B836" s="33" t="s">
        <v>136</v>
      </c>
      <c r="C836" s="6" t="s">
        <v>122</v>
      </c>
      <c r="D836" s="6">
        <f t="shared" si="219"/>
        <v>1</v>
      </c>
      <c r="E836" s="34">
        <v>1</v>
      </c>
      <c r="F836" s="212">
        <v>3910000</v>
      </c>
      <c r="G836" s="8">
        <v>46139</v>
      </c>
      <c r="H836" s="8"/>
      <c r="I836" s="212">
        <v>3950000</v>
      </c>
      <c r="J836" s="8">
        <v>46139</v>
      </c>
      <c r="K836" s="307">
        <v>0</v>
      </c>
      <c r="L836" s="307">
        <v>0</v>
      </c>
      <c r="M836" s="23">
        <f t="shared" si="220"/>
        <v>7900</v>
      </c>
      <c r="N836" s="34"/>
      <c r="O836" s="23">
        <f t="shared" si="217"/>
        <v>1</v>
      </c>
      <c r="P836" s="34">
        <f t="shared" si="221"/>
        <v>3910000</v>
      </c>
      <c r="Q836" s="34">
        <f t="shared" si="222"/>
        <v>3950000</v>
      </c>
      <c r="R836" s="7">
        <f t="shared" si="224"/>
        <v>-7900</v>
      </c>
      <c r="S836" s="227">
        <f t="shared" ref="S836:S899" si="226">IF(Q836=0,0,Q836-P836+R836)</f>
        <v>32100</v>
      </c>
      <c r="T836" s="313">
        <f t="shared" ref="T836:T899" si="227">S836/P836</f>
        <v>8.2097186700767263E-3</v>
      </c>
    </row>
    <row r="837" spans="2:20" ht="15" customHeight="1" x14ac:dyDescent="0.4">
      <c r="B837" s="33" t="s">
        <v>136</v>
      </c>
      <c r="C837" s="6" t="s">
        <v>122</v>
      </c>
      <c r="D837" s="6">
        <f t="shared" si="219"/>
        <v>1</v>
      </c>
      <c r="E837" s="34">
        <v>2</v>
      </c>
      <c r="F837" s="212">
        <v>3900000</v>
      </c>
      <c r="G837" s="8">
        <v>46139</v>
      </c>
      <c r="H837" s="8"/>
      <c r="I837" s="212">
        <v>3950000</v>
      </c>
      <c r="J837" s="8">
        <v>46139</v>
      </c>
      <c r="K837" s="307">
        <v>0</v>
      </c>
      <c r="L837" s="307">
        <v>0</v>
      </c>
      <c r="M837" s="23">
        <f t="shared" si="220"/>
        <v>15800</v>
      </c>
      <c r="N837" s="34"/>
      <c r="O837" s="23">
        <f t="shared" si="217"/>
        <v>1</v>
      </c>
      <c r="P837" s="34">
        <f t="shared" si="221"/>
        <v>7800000</v>
      </c>
      <c r="Q837" s="34">
        <f t="shared" si="222"/>
        <v>7900000</v>
      </c>
      <c r="R837" s="7">
        <f t="shared" si="224"/>
        <v>-15800</v>
      </c>
      <c r="S837" s="227">
        <f t="shared" si="226"/>
        <v>84200</v>
      </c>
      <c r="T837" s="313">
        <f t="shared" si="227"/>
        <v>1.0794871794871794E-2</v>
      </c>
    </row>
    <row r="843" spans="2:20" x14ac:dyDescent="0.4">
      <c r="K843" s="34"/>
      <c r="L843" s="34"/>
      <c r="M843" s="34"/>
      <c r="N843" s="34"/>
      <c r="O843" s="34"/>
      <c r="P843" s="34"/>
      <c r="Q843" s="34"/>
      <c r="R843" s="34"/>
      <c r="S843" s="34"/>
    </row>
    <row r="844" spans="2:20" ht="15" customHeight="1" x14ac:dyDescent="0.4">
      <c r="B844" s="38" t="s">
        <v>507</v>
      </c>
      <c r="C844" s="63" t="s">
        <v>162</v>
      </c>
      <c r="D844" s="63"/>
      <c r="E844" s="64">
        <v>1000</v>
      </c>
      <c r="F844" s="67">
        <v>1147.5</v>
      </c>
      <c r="G844" s="309">
        <v>43559</v>
      </c>
      <c r="H844" s="66"/>
      <c r="I844" s="68">
        <v>1265.7</v>
      </c>
      <c r="J844" s="65">
        <v>43913</v>
      </c>
      <c r="M844" s="310"/>
      <c r="O844" s="311"/>
      <c r="P844" s="91">
        <f t="shared" ref="P844:P866" si="228">E844*F844</f>
        <v>1147500</v>
      </c>
      <c r="Q844" s="91">
        <f t="shared" ref="Q844:Q866" si="229">E844*I844</f>
        <v>1265700</v>
      </c>
      <c r="R844" s="92">
        <f t="shared" ref="R844:R866" si="230">(N844-K844-L844-M844)</f>
        <v>0</v>
      </c>
      <c r="S844" s="41">
        <f t="shared" ref="S844:S866" si="231">IF(Q844=0,0,Q844-P844+R844)</f>
        <v>118200</v>
      </c>
      <c r="T844" s="310"/>
    </row>
    <row r="845" spans="2:20" x14ac:dyDescent="0.4">
      <c r="B845" s="33" t="s">
        <v>507</v>
      </c>
      <c r="C845" s="63" t="s">
        <v>162</v>
      </c>
      <c r="D845" s="63"/>
      <c r="E845" s="64">
        <v>600</v>
      </c>
      <c r="F845" s="67">
        <v>1180.0999999999999</v>
      </c>
      <c r="G845" s="65">
        <v>43768</v>
      </c>
      <c r="H845" s="66"/>
      <c r="I845" s="68">
        <v>1265.7</v>
      </c>
      <c r="J845" s="65">
        <v>43913</v>
      </c>
      <c r="P845" s="91">
        <f t="shared" si="228"/>
        <v>708060</v>
      </c>
      <c r="Q845" s="91">
        <f t="shared" si="229"/>
        <v>759420</v>
      </c>
      <c r="R845" s="92">
        <f t="shared" si="230"/>
        <v>0</v>
      </c>
      <c r="S845" s="41">
        <f t="shared" si="231"/>
        <v>51360</v>
      </c>
    </row>
    <row r="846" spans="2:20" x14ac:dyDescent="0.4">
      <c r="B846" s="33" t="s">
        <v>507</v>
      </c>
      <c r="C846" s="63" t="s">
        <v>162</v>
      </c>
      <c r="D846" s="63"/>
      <c r="E846" s="64">
        <v>699.88000000000011</v>
      </c>
      <c r="F846" s="67">
        <v>1180.0999999999999</v>
      </c>
      <c r="G846" s="65">
        <v>43768</v>
      </c>
      <c r="H846" s="66"/>
      <c r="I846" s="67">
        <v>1214.4000000000001</v>
      </c>
      <c r="J846" s="65">
        <v>43971</v>
      </c>
      <c r="P846" s="91">
        <f t="shared" si="228"/>
        <v>825928.38800000004</v>
      </c>
      <c r="Q846" s="91">
        <f t="shared" si="229"/>
        <v>849934.27200000023</v>
      </c>
      <c r="R846" s="92">
        <f t="shared" si="230"/>
        <v>0</v>
      </c>
      <c r="S846" s="41">
        <f t="shared" si="231"/>
        <v>24005.884000000195</v>
      </c>
    </row>
    <row r="847" spans="2:20" x14ac:dyDescent="0.4">
      <c r="B847" s="33" t="s">
        <v>507</v>
      </c>
      <c r="C847" s="63" t="s">
        <v>162</v>
      </c>
      <c r="D847" s="63"/>
      <c r="E847" s="64">
        <v>690.21999999999991</v>
      </c>
      <c r="F847" s="67">
        <v>1182.5999999999999</v>
      </c>
      <c r="G847" s="65">
        <v>43812</v>
      </c>
      <c r="H847" s="66"/>
      <c r="I847" s="67">
        <v>1214.4000000000001</v>
      </c>
      <c r="J847" s="65">
        <v>43971</v>
      </c>
      <c r="P847" s="91">
        <f t="shared" si="228"/>
        <v>816254.17199999979</v>
      </c>
      <c r="Q847" s="91">
        <f t="shared" si="229"/>
        <v>838203.16799999995</v>
      </c>
      <c r="R847" s="92">
        <f t="shared" si="230"/>
        <v>0</v>
      </c>
      <c r="S847" s="41">
        <f t="shared" si="231"/>
        <v>21948.996000000159</v>
      </c>
    </row>
    <row r="848" spans="2:20" x14ac:dyDescent="0.4">
      <c r="B848" s="33" t="s">
        <v>507</v>
      </c>
      <c r="C848" s="63" t="s">
        <v>162</v>
      </c>
      <c r="D848" s="63"/>
      <c r="E848" s="64">
        <v>1418.8</v>
      </c>
      <c r="F848" s="67">
        <v>1182.5999999999999</v>
      </c>
      <c r="G848" s="65">
        <v>43812</v>
      </c>
      <c r="H848" s="66"/>
      <c r="I848" s="67">
        <v>1193.4000000000001</v>
      </c>
      <c r="J848" s="65">
        <v>44026</v>
      </c>
      <c r="P848" s="91">
        <f t="shared" si="228"/>
        <v>1677872.88</v>
      </c>
      <c r="Q848" s="91">
        <f t="shared" si="229"/>
        <v>1693195.9200000002</v>
      </c>
      <c r="R848" s="92">
        <f t="shared" si="230"/>
        <v>0</v>
      </c>
      <c r="S848" s="41">
        <f t="shared" si="231"/>
        <v>15323.04000000027</v>
      </c>
    </row>
    <row r="849" spans="2:20" x14ac:dyDescent="0.4">
      <c r="B849" s="33" t="s">
        <v>507</v>
      </c>
      <c r="C849" s="63" t="s">
        <v>162</v>
      </c>
      <c r="D849" s="63"/>
      <c r="E849" s="64">
        <v>90.980000000000018</v>
      </c>
      <c r="F849" s="67">
        <v>1182.5999999999999</v>
      </c>
      <c r="G849" s="65">
        <v>43812</v>
      </c>
      <c r="H849" s="66"/>
      <c r="I849" s="67">
        <v>1183</v>
      </c>
      <c r="J849" s="65">
        <v>44034</v>
      </c>
      <c r="P849" s="91">
        <f t="shared" si="228"/>
        <v>107592.94800000002</v>
      </c>
      <c r="Q849" s="91">
        <f t="shared" si="229"/>
        <v>107629.34000000003</v>
      </c>
      <c r="R849" s="92">
        <f t="shared" si="230"/>
        <v>0</v>
      </c>
      <c r="S849" s="41">
        <f t="shared" si="231"/>
        <v>36.392000000007101</v>
      </c>
    </row>
    <row r="850" spans="2:20" x14ac:dyDescent="0.4">
      <c r="B850" s="33" t="s">
        <v>507</v>
      </c>
      <c r="C850" s="63" t="s">
        <v>162</v>
      </c>
      <c r="D850" s="63"/>
      <c r="E850" s="64">
        <v>1000</v>
      </c>
      <c r="F850" s="67">
        <v>1181.8</v>
      </c>
      <c r="G850" s="65">
        <v>43838</v>
      </c>
      <c r="H850" s="66"/>
      <c r="I850" s="67">
        <v>1183</v>
      </c>
      <c r="J850" s="65">
        <v>44034</v>
      </c>
      <c r="P850" s="91">
        <f t="shared" si="228"/>
        <v>1181800</v>
      </c>
      <c r="Q850" s="91">
        <f t="shared" si="229"/>
        <v>1183000</v>
      </c>
      <c r="R850" s="92">
        <f t="shared" si="230"/>
        <v>0</v>
      </c>
      <c r="S850" s="41">
        <f t="shared" si="231"/>
        <v>1200</v>
      </c>
    </row>
    <row r="851" spans="2:20" x14ac:dyDescent="0.4">
      <c r="B851" s="33" t="s">
        <v>507</v>
      </c>
      <c r="C851" s="63" t="s">
        <v>162</v>
      </c>
      <c r="D851" s="63"/>
      <c r="E851" s="64">
        <v>483.41</v>
      </c>
      <c r="F851" s="67">
        <v>1230.9000000000001</v>
      </c>
      <c r="G851" s="65">
        <v>43922</v>
      </c>
      <c r="H851" s="30"/>
      <c r="I851" s="68">
        <v>1183</v>
      </c>
      <c r="J851" s="65">
        <v>44034</v>
      </c>
      <c r="P851" s="91">
        <f t="shared" si="228"/>
        <v>595029.36900000006</v>
      </c>
      <c r="Q851" s="91">
        <f t="shared" si="229"/>
        <v>571874.03</v>
      </c>
      <c r="R851" s="92">
        <f t="shared" si="230"/>
        <v>0</v>
      </c>
      <c r="S851" s="41">
        <f t="shared" si="231"/>
        <v>-23155.339000000036</v>
      </c>
    </row>
    <row r="852" spans="2:20" x14ac:dyDescent="0.4">
      <c r="B852" s="33" t="s">
        <v>507</v>
      </c>
      <c r="C852" s="63" t="s">
        <v>162</v>
      </c>
      <c r="D852" s="63"/>
      <c r="E852" s="64">
        <v>1138.71</v>
      </c>
      <c r="F852" s="67">
        <v>1230.9000000000001</v>
      </c>
      <c r="G852" s="65">
        <v>43922</v>
      </c>
      <c r="H852" s="30"/>
      <c r="I852" s="68">
        <v>1152.5999999999999</v>
      </c>
      <c r="J852" s="65">
        <v>44109</v>
      </c>
      <c r="P852" s="91">
        <f t="shared" si="228"/>
        <v>1401638.1390000002</v>
      </c>
      <c r="Q852" s="91">
        <f t="shared" si="229"/>
        <v>1312477.1459999999</v>
      </c>
      <c r="R852" s="92">
        <f t="shared" si="230"/>
        <v>0</v>
      </c>
      <c r="S852" s="41">
        <f t="shared" si="231"/>
        <v>-89160.99300000025</v>
      </c>
    </row>
    <row r="853" spans="2:20" x14ac:dyDescent="0.4">
      <c r="B853" s="33" t="s">
        <v>507</v>
      </c>
      <c r="C853" s="63" t="s">
        <v>162</v>
      </c>
      <c r="D853" s="63"/>
      <c r="E853" s="64">
        <v>2.7</v>
      </c>
      <c r="F853" s="67">
        <v>1230.9000000000001</v>
      </c>
      <c r="G853" s="65">
        <v>43922</v>
      </c>
      <c r="H853" s="30"/>
      <c r="I853" s="68">
        <v>1181.3</v>
      </c>
      <c r="J853" s="65">
        <v>44526</v>
      </c>
      <c r="P853" s="91">
        <f t="shared" si="228"/>
        <v>3323.4300000000003</v>
      </c>
      <c r="Q853" s="91">
        <f t="shared" si="229"/>
        <v>3189.51</v>
      </c>
      <c r="R853" s="92">
        <f t="shared" si="230"/>
        <v>0</v>
      </c>
      <c r="S853" s="41">
        <f t="shared" si="231"/>
        <v>-133.92000000000007</v>
      </c>
    </row>
    <row r="854" spans="2:20" x14ac:dyDescent="0.4">
      <c r="B854" s="33" t="s">
        <v>507</v>
      </c>
      <c r="C854" s="63" t="s">
        <v>162</v>
      </c>
      <c r="D854" s="63"/>
      <c r="E854" s="64">
        <f>68.91</f>
        <v>68.91</v>
      </c>
      <c r="F854" s="67">
        <v>1231.3</v>
      </c>
      <c r="G854" s="65">
        <v>43930</v>
      </c>
      <c r="H854" s="30"/>
      <c r="I854" s="68">
        <v>1181.3</v>
      </c>
      <c r="J854" s="65">
        <v>44526</v>
      </c>
      <c r="P854" s="91">
        <f t="shared" si="228"/>
        <v>84848.882999999987</v>
      </c>
      <c r="Q854" s="91">
        <f t="shared" si="229"/>
        <v>81403.382999999987</v>
      </c>
      <c r="R854" s="92">
        <f t="shared" si="230"/>
        <v>0</v>
      </c>
      <c r="S854" s="41">
        <f t="shared" si="231"/>
        <v>-3445.5</v>
      </c>
    </row>
    <row r="855" spans="2:20" x14ac:dyDescent="0.4">
      <c r="B855" s="33" t="s">
        <v>507</v>
      </c>
      <c r="C855" s="63" t="s">
        <v>162</v>
      </c>
      <c r="D855" s="63"/>
      <c r="E855" s="64">
        <v>938.04</v>
      </c>
      <c r="F855" s="67">
        <v>1231.3</v>
      </c>
      <c r="G855" s="65">
        <v>43930</v>
      </c>
      <c r="H855" s="30"/>
      <c r="I855" s="67">
        <v>1419.9</v>
      </c>
      <c r="J855" s="65">
        <v>44830</v>
      </c>
      <c r="P855" s="91">
        <f t="shared" si="228"/>
        <v>1155008.652</v>
      </c>
      <c r="Q855" s="91">
        <f t="shared" si="229"/>
        <v>1331922.996</v>
      </c>
      <c r="R855" s="92">
        <f t="shared" si="230"/>
        <v>0</v>
      </c>
      <c r="S855" s="41">
        <f t="shared" si="231"/>
        <v>176914.34400000004</v>
      </c>
    </row>
    <row r="856" spans="2:20" x14ac:dyDescent="0.4">
      <c r="B856" s="33" t="s">
        <v>507</v>
      </c>
      <c r="C856" s="63" t="s">
        <v>162</v>
      </c>
      <c r="D856" s="63"/>
      <c r="E856" s="64">
        <v>1023.42</v>
      </c>
      <c r="F856" s="67">
        <v>1231.3</v>
      </c>
      <c r="G856" s="65">
        <v>43930</v>
      </c>
      <c r="H856" s="30"/>
      <c r="I856" s="67"/>
      <c r="J856" s="65"/>
      <c r="K856" s="6"/>
      <c r="L856" s="6"/>
      <c r="M856" s="6"/>
      <c r="O856" s="6"/>
      <c r="P856" s="91">
        <f t="shared" si="228"/>
        <v>1260137.0459999999</v>
      </c>
      <c r="Q856" s="91">
        <f t="shared" si="229"/>
        <v>0</v>
      </c>
      <c r="R856" s="92">
        <f t="shared" si="230"/>
        <v>0</v>
      </c>
      <c r="S856" s="41">
        <f t="shared" si="231"/>
        <v>0</v>
      </c>
    </row>
    <row r="857" spans="2:20" x14ac:dyDescent="0.4">
      <c r="B857" s="33" t="s">
        <v>507</v>
      </c>
      <c r="C857" s="63" t="s">
        <v>162</v>
      </c>
      <c r="D857" s="63"/>
      <c r="E857" s="64">
        <v>1813</v>
      </c>
      <c r="F857" s="67">
        <v>1102.9000000000001</v>
      </c>
      <c r="G857" s="65">
        <v>44181</v>
      </c>
      <c r="H857" s="30"/>
      <c r="I857" s="67"/>
      <c r="J857" s="65"/>
      <c r="K857" s="23"/>
      <c r="L857" s="23"/>
      <c r="M857" s="23"/>
      <c r="N857" s="34"/>
      <c r="O857" s="23"/>
      <c r="P857" s="91">
        <f t="shared" si="228"/>
        <v>1999557.7000000002</v>
      </c>
      <c r="Q857" s="91">
        <f t="shared" si="229"/>
        <v>0</v>
      </c>
      <c r="R857" s="92">
        <f t="shared" si="230"/>
        <v>0</v>
      </c>
      <c r="S857" s="41">
        <f t="shared" si="231"/>
        <v>0</v>
      </c>
      <c r="T857" s="312"/>
    </row>
    <row r="858" spans="2:20" x14ac:dyDescent="0.4">
      <c r="B858" s="33" t="s">
        <v>507</v>
      </c>
      <c r="C858" s="63" t="s">
        <v>162</v>
      </c>
      <c r="D858" s="63"/>
      <c r="E858" s="64">
        <v>1</v>
      </c>
      <c r="F858" s="67">
        <v>1302.7</v>
      </c>
      <c r="G858" s="65">
        <v>44750</v>
      </c>
      <c r="H858" s="30"/>
      <c r="I858" s="67"/>
      <c r="J858" s="65"/>
      <c r="K858" s="23"/>
      <c r="L858" s="23"/>
      <c r="M858" s="23"/>
      <c r="N858" s="34"/>
      <c r="O858" s="23"/>
      <c r="P858" s="91">
        <f t="shared" si="228"/>
        <v>1302.7</v>
      </c>
      <c r="Q858" s="91">
        <f t="shared" si="229"/>
        <v>0</v>
      </c>
      <c r="R858" s="92">
        <f t="shared" si="230"/>
        <v>0</v>
      </c>
      <c r="S858" s="41">
        <f t="shared" si="231"/>
        <v>0</v>
      </c>
      <c r="T858" s="312"/>
    </row>
    <row r="859" spans="2:20" x14ac:dyDescent="0.4">
      <c r="B859" s="33" t="s">
        <v>507</v>
      </c>
      <c r="C859" s="63" t="s">
        <v>162</v>
      </c>
      <c r="D859" s="63"/>
      <c r="E859" s="64">
        <v>0.98</v>
      </c>
      <c r="F859" s="67">
        <v>1280</v>
      </c>
      <c r="G859" s="65">
        <v>45138</v>
      </c>
      <c r="H859" s="30"/>
      <c r="I859" s="67"/>
      <c r="J859" s="65"/>
      <c r="K859" s="23"/>
      <c r="L859" s="23"/>
      <c r="M859" s="23"/>
      <c r="N859" s="34"/>
      <c r="O859" s="23"/>
      <c r="P859" s="91">
        <f t="shared" si="228"/>
        <v>1254.4000000000001</v>
      </c>
      <c r="Q859" s="91">
        <f t="shared" si="229"/>
        <v>0</v>
      </c>
      <c r="R859" s="92">
        <f t="shared" si="230"/>
        <v>0</v>
      </c>
      <c r="S859" s="41">
        <f t="shared" si="231"/>
        <v>0</v>
      </c>
      <c r="T859" s="312">
        <f>S859/P859</f>
        <v>0</v>
      </c>
    </row>
    <row r="860" spans="2:20" x14ac:dyDescent="0.4">
      <c r="B860" s="33" t="s">
        <v>507</v>
      </c>
      <c r="C860" s="63" t="s">
        <v>162</v>
      </c>
      <c r="D860" s="63"/>
      <c r="E860" s="64">
        <v>4</v>
      </c>
      <c r="F860" s="67">
        <v>1400.3</v>
      </c>
      <c r="G860" s="65">
        <v>45492</v>
      </c>
      <c r="H860" s="30"/>
      <c r="I860" s="67"/>
      <c r="J860" s="65"/>
      <c r="K860" s="6"/>
      <c r="L860" s="6"/>
      <c r="M860" s="23"/>
      <c r="N860" s="34"/>
      <c r="O860" s="23"/>
      <c r="P860" s="91">
        <f t="shared" si="228"/>
        <v>5601.2</v>
      </c>
      <c r="Q860" s="91">
        <f t="shared" si="229"/>
        <v>0</v>
      </c>
      <c r="R860" s="92">
        <f t="shared" si="230"/>
        <v>0</v>
      </c>
      <c r="S860" s="41">
        <f t="shared" si="231"/>
        <v>0</v>
      </c>
    </row>
    <row r="861" spans="2:20" ht="15" customHeight="1" x14ac:dyDescent="0.4">
      <c r="B861" s="33" t="s">
        <v>507</v>
      </c>
      <c r="C861" s="33" t="s">
        <v>160</v>
      </c>
      <c r="E861" s="95">
        <v>1963.06</v>
      </c>
      <c r="F861" s="33">
        <v>1129.2</v>
      </c>
      <c r="G861" s="35">
        <v>44293</v>
      </c>
      <c r="H861" s="35"/>
      <c r="I861" s="33">
        <v>1171.9000000000001</v>
      </c>
      <c r="J861" s="35">
        <v>44536</v>
      </c>
      <c r="K861" s="34"/>
      <c r="L861" s="34"/>
      <c r="M861" s="34"/>
      <c r="N861" s="34"/>
      <c r="O861" s="34"/>
      <c r="P861" s="91">
        <f t="shared" si="228"/>
        <v>2216687.352</v>
      </c>
      <c r="Q861" s="91">
        <f t="shared" si="229"/>
        <v>2300510.014</v>
      </c>
      <c r="R861" s="92">
        <f t="shared" si="230"/>
        <v>0</v>
      </c>
      <c r="S861" s="41">
        <f t="shared" si="231"/>
        <v>83822.662000000011</v>
      </c>
    </row>
    <row r="862" spans="2:20" ht="15" customHeight="1" x14ac:dyDescent="0.4">
      <c r="B862" s="33" t="s">
        <v>507</v>
      </c>
      <c r="C862" s="33" t="s">
        <v>160</v>
      </c>
      <c r="E862" s="95">
        <f>7212.22-1963.06</f>
        <v>5249.16</v>
      </c>
      <c r="F862" s="33">
        <v>1129.2</v>
      </c>
      <c r="G862" s="35">
        <v>44293</v>
      </c>
      <c r="H862" s="35"/>
      <c r="K862" s="34"/>
      <c r="L862" s="34"/>
      <c r="M862" s="34"/>
      <c r="N862" s="34"/>
      <c r="O862" s="34"/>
      <c r="P862" s="91">
        <f t="shared" si="228"/>
        <v>5927351.4720000001</v>
      </c>
      <c r="Q862" s="91">
        <f t="shared" si="229"/>
        <v>0</v>
      </c>
      <c r="R862" s="92">
        <f t="shared" si="230"/>
        <v>0</v>
      </c>
      <c r="S862" s="41">
        <f t="shared" si="231"/>
        <v>0</v>
      </c>
    </row>
    <row r="863" spans="2:20" ht="15" customHeight="1" x14ac:dyDescent="0.4">
      <c r="B863" s="33" t="s">
        <v>507</v>
      </c>
      <c r="C863" s="33" t="s">
        <v>160</v>
      </c>
      <c r="E863" s="95">
        <v>2923.88</v>
      </c>
      <c r="F863" s="33">
        <v>1196.2</v>
      </c>
      <c r="G863" s="35">
        <v>44505</v>
      </c>
      <c r="H863" s="35"/>
      <c r="K863" s="34"/>
      <c r="L863" s="34"/>
      <c r="M863" s="39"/>
      <c r="N863" s="34"/>
      <c r="O863" s="40"/>
      <c r="P863" s="91">
        <f t="shared" si="228"/>
        <v>3497545.2560000001</v>
      </c>
      <c r="Q863" s="91">
        <f t="shared" si="229"/>
        <v>0</v>
      </c>
      <c r="R863" s="92">
        <f t="shared" si="230"/>
        <v>0</v>
      </c>
      <c r="S863" s="41">
        <f t="shared" si="231"/>
        <v>0</v>
      </c>
      <c r="T863" s="310"/>
    </row>
    <row r="864" spans="2:20" ht="15" customHeight="1" x14ac:dyDescent="0.4">
      <c r="B864" s="33" t="s">
        <v>508</v>
      </c>
      <c r="C864" s="33" t="s">
        <v>160</v>
      </c>
      <c r="E864" s="34">
        <v>296386</v>
      </c>
      <c r="F864" s="33">
        <v>11.357100000000001</v>
      </c>
      <c r="G864" s="35">
        <v>44047</v>
      </c>
      <c r="H864" s="35"/>
      <c r="I864" s="33">
        <v>10.722200000000001</v>
      </c>
      <c r="J864" s="35">
        <v>44134</v>
      </c>
      <c r="K864" s="34">
        <f>2100*E864/842100</f>
        <v>739.11720698254362</v>
      </c>
      <c r="L864" s="34">
        <v>0</v>
      </c>
      <c r="M864" s="39"/>
      <c r="N864" s="34"/>
      <c r="O864" s="40"/>
      <c r="P864" s="91">
        <f t="shared" si="228"/>
        <v>3366085.4406000003</v>
      </c>
      <c r="Q864" s="91">
        <f t="shared" si="229"/>
        <v>3177909.9692000002</v>
      </c>
      <c r="R864" s="92">
        <f t="shared" si="230"/>
        <v>-739.11720698254362</v>
      </c>
      <c r="S864" s="41">
        <f t="shared" si="231"/>
        <v>-188914.5886069827</v>
      </c>
      <c r="T864" s="310"/>
    </row>
    <row r="865" spans="2:20" ht="15" customHeight="1" x14ac:dyDescent="0.4">
      <c r="B865" s="33" t="s">
        <v>508</v>
      </c>
      <c r="C865" s="33" t="s">
        <v>160</v>
      </c>
      <c r="E865" s="34">
        <f>842100-296386</f>
        <v>545714</v>
      </c>
      <c r="F865" s="33">
        <v>11.357100000000001</v>
      </c>
      <c r="G865" s="35">
        <v>44047</v>
      </c>
      <c r="H865" s="35"/>
      <c r="J865" s="35"/>
      <c r="K865" s="34">
        <f>2100*E865/842100</f>
        <v>1360.8827930174564</v>
      </c>
      <c r="L865" s="34">
        <v>0</v>
      </c>
      <c r="M865" s="39"/>
      <c r="N865" s="34"/>
      <c r="O865" s="40"/>
      <c r="P865" s="91">
        <f t="shared" si="228"/>
        <v>6197728.4694000008</v>
      </c>
      <c r="Q865" s="91">
        <f t="shared" si="229"/>
        <v>0</v>
      </c>
      <c r="R865" s="92">
        <f t="shared" si="230"/>
        <v>-1360.8827930174564</v>
      </c>
      <c r="S865" s="41">
        <f t="shared" si="231"/>
        <v>0</v>
      </c>
      <c r="T865" s="310"/>
    </row>
    <row r="866" spans="2:20" ht="15" customHeight="1" x14ac:dyDescent="0.4">
      <c r="B866" s="33" t="s">
        <v>508</v>
      </c>
      <c r="C866" s="33" t="s">
        <v>160</v>
      </c>
      <c r="E866" s="34">
        <v>78833</v>
      </c>
      <c r="F866" s="33">
        <v>10.3698</v>
      </c>
      <c r="G866" s="35">
        <v>44000</v>
      </c>
      <c r="H866" s="35"/>
      <c r="J866" s="35"/>
      <c r="K866" s="34"/>
      <c r="L866" s="34">
        <v>0</v>
      </c>
      <c r="M866" s="34"/>
      <c r="N866" s="34"/>
      <c r="O866" s="34"/>
      <c r="P866" s="91">
        <f t="shared" si="228"/>
        <v>817482.44339999999</v>
      </c>
      <c r="Q866" s="91">
        <f t="shared" si="229"/>
        <v>0</v>
      </c>
      <c r="R866" s="92">
        <f t="shared" si="230"/>
        <v>0</v>
      </c>
      <c r="S866" s="41">
        <f t="shared" si="231"/>
        <v>0</v>
      </c>
    </row>
    <row r="867" spans="2:20" x14ac:dyDescent="0.4">
      <c r="M867" s="34"/>
      <c r="N867" s="34"/>
      <c r="O867" s="34"/>
      <c r="P867" s="34"/>
      <c r="Q867" s="34"/>
      <c r="R867" s="34"/>
      <c r="S867" s="34"/>
    </row>
    <row r="868" spans="2:20" x14ac:dyDescent="0.4">
      <c r="E868" s="34"/>
    </row>
    <row r="872" spans="2:20" x14ac:dyDescent="0.4">
      <c r="Q872" s="33">
        <f>4900000/68</f>
        <v>72058.823529411762</v>
      </c>
    </row>
    <row r="873" spans="2:20" x14ac:dyDescent="0.4">
      <c r="J873" s="33">
        <f>661*300</f>
        <v>198300</v>
      </c>
    </row>
    <row r="877" spans="2:20" ht="15.6" customHeight="1" x14ac:dyDescent="0.4">
      <c r="B877" s="182" t="s">
        <v>98</v>
      </c>
      <c r="C877" s="183" t="s">
        <v>509</v>
      </c>
      <c r="D877" s="183" t="s">
        <v>510</v>
      </c>
      <c r="F877" s="183" t="s">
        <v>511</v>
      </c>
      <c r="G877" s="183" t="s">
        <v>512</v>
      </c>
      <c r="H877" s="183"/>
      <c r="I877" s="183" t="s">
        <v>513</v>
      </c>
      <c r="J877" s="183" t="s">
        <v>514</v>
      </c>
    </row>
    <row r="878" spans="2:20" ht="15.6" customHeight="1" x14ac:dyDescent="0.4">
      <c r="B878" s="179" t="s">
        <v>515</v>
      </c>
      <c r="C878" s="180" t="s">
        <v>516</v>
      </c>
      <c r="D878" s="181">
        <v>8144039</v>
      </c>
      <c r="F878" s="181">
        <v>0</v>
      </c>
      <c r="G878" s="179">
        <v>0</v>
      </c>
      <c r="H878" s="179"/>
      <c r="I878" s="179">
        <v>0</v>
      </c>
      <c r="J878" s="179" t="s">
        <v>517</v>
      </c>
    </row>
    <row r="879" spans="2:20" ht="15.6" customHeight="1" x14ac:dyDescent="0.4">
      <c r="B879" s="179" t="s">
        <v>515</v>
      </c>
      <c r="C879" s="180" t="s">
        <v>518</v>
      </c>
      <c r="D879" s="181">
        <v>7212.22</v>
      </c>
      <c r="F879" s="181">
        <v>7212.22</v>
      </c>
      <c r="G879" s="179">
        <v>1129.2</v>
      </c>
      <c r="H879" s="179"/>
      <c r="I879" s="179">
        <v>0</v>
      </c>
      <c r="J879" s="179" t="s">
        <v>519</v>
      </c>
    </row>
    <row r="880" spans="2:20" ht="15.6" customHeight="1" x14ac:dyDescent="0.4">
      <c r="B880" s="179" t="s">
        <v>520</v>
      </c>
      <c r="C880" s="180" t="s">
        <v>516</v>
      </c>
      <c r="D880" s="181">
        <v>817483</v>
      </c>
      <c r="F880" s="181">
        <v>0</v>
      </c>
      <c r="G880" s="179">
        <v>0</v>
      </c>
      <c r="H880" s="179"/>
      <c r="I880" s="179">
        <v>0</v>
      </c>
      <c r="J880" s="179" t="s">
        <v>517</v>
      </c>
    </row>
    <row r="881" spans="2:24" ht="15.6" customHeight="1" x14ac:dyDescent="0.4">
      <c r="B881" s="179" t="s">
        <v>520</v>
      </c>
      <c r="C881" s="180" t="s">
        <v>518</v>
      </c>
      <c r="D881" s="181">
        <v>78833</v>
      </c>
      <c r="F881" s="181">
        <v>78833</v>
      </c>
      <c r="G881" s="179">
        <v>1036.98</v>
      </c>
      <c r="H881" s="179"/>
      <c r="I881" s="179">
        <v>0</v>
      </c>
      <c r="J881" s="179" t="s">
        <v>521</v>
      </c>
    </row>
    <row r="882" spans="2:24" ht="15.6" customHeight="1" x14ac:dyDescent="0.4">
      <c r="B882" s="179" t="s">
        <v>522</v>
      </c>
      <c r="C882" s="180" t="s">
        <v>516</v>
      </c>
      <c r="D882" s="181">
        <v>3497546</v>
      </c>
      <c r="F882" s="181">
        <v>0</v>
      </c>
      <c r="G882" s="179">
        <v>0</v>
      </c>
      <c r="H882" s="179"/>
      <c r="I882" s="179">
        <v>0</v>
      </c>
      <c r="J882" s="179" t="s">
        <v>517</v>
      </c>
    </row>
    <row r="883" spans="2:24" ht="15.6" customHeight="1" x14ac:dyDescent="0.4">
      <c r="B883" s="179" t="s">
        <v>522</v>
      </c>
      <c r="C883" s="180" t="s">
        <v>518</v>
      </c>
      <c r="D883" s="181">
        <v>2923.88</v>
      </c>
      <c r="F883" s="181">
        <v>2923.88</v>
      </c>
      <c r="G883" s="179">
        <v>1196.2</v>
      </c>
      <c r="H883" s="179"/>
      <c r="I883" s="179">
        <v>0</v>
      </c>
      <c r="J883" s="179" t="s">
        <v>519</v>
      </c>
    </row>
    <row r="884" spans="2:24" ht="15.6" customHeight="1" x14ac:dyDescent="0.4">
      <c r="B884" s="179" t="s">
        <v>523</v>
      </c>
      <c r="C884" s="180" t="s">
        <v>516</v>
      </c>
      <c r="D884" s="181">
        <v>1963.06</v>
      </c>
      <c r="F884" s="181">
        <v>0</v>
      </c>
      <c r="G884" s="179">
        <v>1171.9000000000001</v>
      </c>
      <c r="H884" s="179"/>
      <c r="I884" s="179">
        <v>0</v>
      </c>
      <c r="J884" s="179" t="s">
        <v>519</v>
      </c>
    </row>
    <row r="885" spans="2:24" ht="15.6" customHeight="1" x14ac:dyDescent="0.4">
      <c r="B885" s="179" t="s">
        <v>523</v>
      </c>
      <c r="C885" s="180" t="s">
        <v>518</v>
      </c>
      <c r="D885" s="181">
        <v>2300510</v>
      </c>
      <c r="F885" s="181">
        <v>0</v>
      </c>
      <c r="G885" s="179">
        <v>0</v>
      </c>
      <c r="H885" s="179"/>
      <c r="I885" s="179">
        <v>0</v>
      </c>
      <c r="J885" s="179" t="s">
        <v>517</v>
      </c>
    </row>
    <row r="886" spans="2:24" x14ac:dyDescent="0.4">
      <c r="M886" s="283">
        <f>($D895+$E895)-($G895-$H895-$I895-$J895-$K895-$L895-$M895-$N895-$O895-$T895)</f>
        <v>2080386</v>
      </c>
    </row>
    <row r="888" spans="2:24" ht="13.8" customHeight="1" thickBot="1" x14ac:dyDescent="0.45"/>
    <row r="889" spans="2:24" ht="17.399999999999999" customHeight="1" x14ac:dyDescent="0.4">
      <c r="B889" s="233"/>
      <c r="C889" s="234"/>
      <c r="D889" s="235"/>
      <c r="E889" s="234"/>
      <c r="F889" s="235"/>
      <c r="G889" s="234" t="s">
        <v>524</v>
      </c>
      <c r="H889" s="234" t="s">
        <v>525</v>
      </c>
      <c r="I889" s="234" t="s">
        <v>526</v>
      </c>
      <c r="J889" s="234" t="s">
        <v>527</v>
      </c>
      <c r="K889" s="234" t="s">
        <v>528</v>
      </c>
      <c r="L889" s="234" t="s">
        <v>529</v>
      </c>
      <c r="M889" s="234" t="s">
        <v>530</v>
      </c>
      <c r="N889" s="234" t="s">
        <v>531</v>
      </c>
      <c r="O889" s="234" t="s">
        <v>532</v>
      </c>
      <c r="P889" s="293" t="s">
        <v>533</v>
      </c>
      <c r="Q889" s="294" t="s">
        <v>534</v>
      </c>
      <c r="R889" s="294" t="s">
        <v>535</v>
      </c>
      <c r="S889" s="294" t="s">
        <v>536</v>
      </c>
      <c r="T889" s="295" t="s">
        <v>537</v>
      </c>
      <c r="U889" s="253" t="s">
        <v>538</v>
      </c>
      <c r="V889"/>
    </row>
    <row r="890" spans="2:24" ht="18" customHeight="1" thickBot="1" x14ac:dyDescent="0.45">
      <c r="B890" s="236" t="s">
        <v>0</v>
      </c>
      <c r="C890" s="237" t="s">
        <v>121</v>
      </c>
      <c r="D890" s="238" t="s">
        <v>539</v>
      </c>
      <c r="E890" s="237" t="s">
        <v>540</v>
      </c>
      <c r="F890" s="238"/>
      <c r="G890" s="237" t="s">
        <v>541</v>
      </c>
      <c r="H890" s="237" t="s">
        <v>542</v>
      </c>
      <c r="I890" s="237" t="s">
        <v>543</v>
      </c>
      <c r="J890" s="237" t="s">
        <v>544</v>
      </c>
      <c r="K890" s="237" t="s">
        <v>545</v>
      </c>
      <c r="L890" s="237" t="s">
        <v>546</v>
      </c>
      <c r="M890" s="237" t="s">
        <v>547</v>
      </c>
      <c r="N890" s="237" t="s">
        <v>546</v>
      </c>
      <c r="O890" s="237" t="s">
        <v>548</v>
      </c>
      <c r="P890" s="296" t="s">
        <v>549</v>
      </c>
      <c r="Q890" s="297" t="s">
        <v>549</v>
      </c>
      <c r="R890" s="297" t="s">
        <v>550</v>
      </c>
      <c r="S890" s="297" t="s">
        <v>549</v>
      </c>
      <c r="T890" s="298" t="s">
        <v>551</v>
      </c>
      <c r="U890"/>
      <c r="V890"/>
    </row>
    <row r="891" spans="2:24" ht="17.399999999999999" customHeight="1" x14ac:dyDescent="0.4">
      <c r="B891" s="239" t="s">
        <v>136</v>
      </c>
      <c r="C891" s="232">
        <v>46121</v>
      </c>
      <c r="D891" s="252">
        <f t="shared" ref="D891:D907" si="232">SUMIFS($P$3:$P$863,$B$3:$B$863,$B891,$J$3:$J$863,$C891)</f>
        <v>5095000</v>
      </c>
      <c r="E891" s="99">
        <f t="shared" ref="E891:E907" si="233">SUMIFS($S$3:$S$863,$B$3:$B$863,$B891,$J$3:$J$863,$C891)</f>
        <v>716982</v>
      </c>
      <c r="F891" s="105">
        <f t="shared" ref="F891:F907" si="234">E891/D891</f>
        <v>0.14072266928361138</v>
      </c>
      <c r="G891" s="284">
        <f t="shared" ref="G891:G907" si="235">IF($D891=$I891,0,ROUNDDOWN($E891*0.2,-2))</f>
        <v>143300</v>
      </c>
      <c r="H891" s="373">
        <f t="shared" ref="H891:H907" si="236">IF($D891=$I891,0,ROUNDDOWN($E891*0.23,-2))</f>
        <v>164900</v>
      </c>
      <c r="I891" s="287">
        <f t="shared" ref="I891:I907" si="237">IF($F891&lt;0.098,$D891,ROUNDDOWN($D891*0.2+$E891*0.5,-2))</f>
        <v>1377400</v>
      </c>
      <c r="J891" s="285">
        <f t="shared" ref="J891:J907" si="238">IF($D891=$I891,0,ROUNDDOWN($D891*0.15+$E891*0.05,-2))</f>
        <v>800000</v>
      </c>
      <c r="K891" s="287">
        <f t="shared" ref="K891:K907" si="239">IF($D891=$I891,0,ROUNDDOWN($D891*0.2,-2))</f>
        <v>1019000</v>
      </c>
      <c r="L891" s="286">
        <f t="shared" ref="L891:L907" si="240">IF($D891=$I891,0,ROUNDDOWN($D891*0.05,-2))</f>
        <v>254700</v>
      </c>
      <c r="M891" s="286">
        <f t="shared" ref="M891:M907" si="241">IF($D891=$I891,0,ROUNDDOWN($D891*0.1,-2))</f>
        <v>509500</v>
      </c>
      <c r="N891" s="286">
        <f t="shared" ref="N891:N907" si="242">IF($D891=$I891,0,ROUNDDOWN($D891*0.05,-2))</f>
        <v>254700</v>
      </c>
      <c r="O891" s="373">
        <f t="shared" ref="O891:O907" si="243">IF($D891=$I891,0,ROUNDDOWN($E891*0.02,-2))</f>
        <v>14300</v>
      </c>
      <c r="P891" s="300">
        <f t="shared" ref="P891:Q893" si="244">ROUNDDOWN((($D891+$E891)-($G891+$H891+$I891+$J891+$K891+$L891+$M891+$N891+$O891+$T891))*0.2,-3)</f>
        <v>0</v>
      </c>
      <c r="Q891" s="301">
        <f t="shared" si="244"/>
        <v>0</v>
      </c>
      <c r="R891" s="302">
        <f>ROUNDDOWN((($D891+$E891)-($G891+$H891+$I891+$J891+$K891+$L891+$M891+$N891+$O891+$T891))*0.4,-3)</f>
        <v>0</v>
      </c>
      <c r="S891" s="299">
        <f>ROUNDDOWN((($D891+$E891)-($G891+$H891+$I891+$J891+$K891+$L891+$M891+$N891+$O891+$T891))*0.2,-3)</f>
        <v>0</v>
      </c>
      <c r="T891" s="303">
        <f>IF($U891=2700000,2700000,$U891)</f>
        <v>1273700</v>
      </c>
      <c r="U891" s="33">
        <f>IF(($K891+$L891)&gt;=2700000,2700000,ROUNDDOWN($K891+$L891,-2))</f>
        <v>1273700</v>
      </c>
      <c r="V891" s="2">
        <f t="shared" ref="V891:V906" si="245">($D891+$E891)-($G891+$H891+$I891+$J891+$K891+$L891+$M891+$N891+$O891+$T891+$P891+$Q891+$R891+$S891)</f>
        <v>482</v>
      </c>
      <c r="W891" s="2"/>
      <c r="X891"/>
    </row>
    <row r="892" spans="2:24" ht="17.399999999999999" customHeight="1" x14ac:dyDescent="0.4">
      <c r="B892" s="239" t="s">
        <v>219</v>
      </c>
      <c r="C892" s="232">
        <v>46122</v>
      </c>
      <c r="D892" s="252">
        <f t="shared" si="232"/>
        <v>4830000</v>
      </c>
      <c r="E892" s="99">
        <f t="shared" si="233"/>
        <v>1307310</v>
      </c>
      <c r="F892" s="105">
        <f t="shared" si="234"/>
        <v>0.27066459627329192</v>
      </c>
      <c r="G892" s="284">
        <f t="shared" si="235"/>
        <v>261400</v>
      </c>
      <c r="H892" s="373">
        <f t="shared" si="236"/>
        <v>300600</v>
      </c>
      <c r="I892" s="287">
        <f t="shared" si="237"/>
        <v>1619600</v>
      </c>
      <c r="J892" s="285">
        <f t="shared" si="238"/>
        <v>789800</v>
      </c>
      <c r="K892" s="287">
        <f t="shared" si="239"/>
        <v>966000</v>
      </c>
      <c r="L892" s="286">
        <f t="shared" si="240"/>
        <v>241500</v>
      </c>
      <c r="M892" s="286">
        <f t="shared" si="241"/>
        <v>483000</v>
      </c>
      <c r="N892" s="286">
        <f t="shared" si="242"/>
        <v>241500</v>
      </c>
      <c r="O892" s="373">
        <f t="shared" si="243"/>
        <v>26100</v>
      </c>
      <c r="P892" s="300">
        <f t="shared" si="244"/>
        <v>0</v>
      </c>
      <c r="Q892" s="301">
        <f t="shared" si="244"/>
        <v>0</v>
      </c>
      <c r="R892" s="302">
        <f>ROUNDDOWN((($D892+$E892)-($G892+$H892+$I892+$J892+$K892+$L892+$M892+$N892+$O892+$T892))*0.4,-3)</f>
        <v>0</v>
      </c>
      <c r="S892" s="299">
        <f>ROUNDDOWN((($D892+$E892)-($G892+$H892+$I892+$J892+$K892+$L892+$M892+$N892+$O892+$T892))*0.2,-3)</f>
        <v>0</v>
      </c>
      <c r="T892" s="303">
        <f t="shared" ref="T892:T907" si="246">$U892-$U891</f>
        <v>1207500</v>
      </c>
      <c r="U892" s="33">
        <f t="shared" ref="U892:U906" si="247">IF(($U891+($K892+$L892))&gt;=2700000,2700000,ROUNDDOWN($U891+($K892+$L892),-2))</f>
        <v>2481200</v>
      </c>
      <c r="V892" s="2">
        <f t="shared" si="245"/>
        <v>310</v>
      </c>
      <c r="W892" s="2"/>
      <c r="X892"/>
    </row>
    <row r="893" spans="2:24" ht="17.399999999999999" customHeight="1" x14ac:dyDescent="0.4">
      <c r="B893" s="239" t="s">
        <v>486</v>
      </c>
      <c r="C893" s="232">
        <v>46126</v>
      </c>
      <c r="D893" s="36">
        <f t="shared" si="232"/>
        <v>3044589</v>
      </c>
      <c r="E893" s="99">
        <f t="shared" si="233"/>
        <v>368361</v>
      </c>
      <c r="F893" s="105">
        <f t="shared" si="234"/>
        <v>0.12098874429356475</v>
      </c>
      <c r="G893" s="284">
        <f t="shared" si="235"/>
        <v>73600</v>
      </c>
      <c r="H893" s="373">
        <f t="shared" si="236"/>
        <v>84700</v>
      </c>
      <c r="I893" s="287">
        <f t="shared" si="237"/>
        <v>793000</v>
      </c>
      <c r="J893" s="285">
        <f t="shared" si="238"/>
        <v>475100</v>
      </c>
      <c r="K893" s="287">
        <f t="shared" si="239"/>
        <v>608900</v>
      </c>
      <c r="L893" s="286">
        <f t="shared" si="240"/>
        <v>152200</v>
      </c>
      <c r="M893" s="286">
        <f t="shared" si="241"/>
        <v>304400</v>
      </c>
      <c r="N893" s="286">
        <f t="shared" si="242"/>
        <v>152200</v>
      </c>
      <c r="O893" s="373">
        <f t="shared" si="243"/>
        <v>7300</v>
      </c>
      <c r="P893" s="300">
        <f t="shared" si="244"/>
        <v>108000</v>
      </c>
      <c r="Q893" s="301">
        <f t="shared" si="244"/>
        <v>108000</v>
      </c>
      <c r="R893" s="302">
        <f>ROUNDDOWN((($D893+$E893)-($G893+$H893+$I893+$J893+$K893+$L893+$M893+$N893+$O893+$T893))*0.4,-3)</f>
        <v>217000</v>
      </c>
      <c r="S893" s="299">
        <f>ROUNDDOWN((($D893+$E893)-($G893+$H893+$I893+$J893+$K893+$L893+$M893+$N893+$O893+$T893))*0.2,-3)</f>
        <v>108000</v>
      </c>
      <c r="T893" s="303">
        <f t="shared" si="246"/>
        <v>218800</v>
      </c>
      <c r="U893" s="33">
        <f t="shared" si="247"/>
        <v>2700000</v>
      </c>
      <c r="V893" s="2">
        <f t="shared" si="245"/>
        <v>1750</v>
      </c>
      <c r="W893" s="2"/>
      <c r="X893"/>
    </row>
    <row r="894" spans="2:24" ht="17.399999999999999" customHeight="1" x14ac:dyDescent="0.4">
      <c r="B894" s="239" t="s">
        <v>326</v>
      </c>
      <c r="C894" s="232">
        <v>46127</v>
      </c>
      <c r="D894" s="252">
        <f t="shared" si="232"/>
        <v>1298500</v>
      </c>
      <c r="E894" s="99">
        <f t="shared" si="233"/>
        <v>304697</v>
      </c>
      <c r="F894" s="105">
        <f t="shared" si="234"/>
        <v>0.23465306122448978</v>
      </c>
      <c r="G894" s="284">
        <f t="shared" si="235"/>
        <v>60900</v>
      </c>
      <c r="H894" s="373">
        <f t="shared" si="236"/>
        <v>70000</v>
      </c>
      <c r="I894" s="287">
        <f t="shared" si="237"/>
        <v>412000</v>
      </c>
      <c r="J894" s="285">
        <f t="shared" si="238"/>
        <v>210000</v>
      </c>
      <c r="K894" s="287">
        <f t="shared" si="239"/>
        <v>259700</v>
      </c>
      <c r="L894" s="286">
        <f t="shared" si="240"/>
        <v>64900</v>
      </c>
      <c r="M894" s="286">
        <f t="shared" si="241"/>
        <v>129800</v>
      </c>
      <c r="N894" s="286">
        <f t="shared" si="242"/>
        <v>64900</v>
      </c>
      <c r="O894" s="373">
        <f t="shared" si="243"/>
        <v>6000</v>
      </c>
      <c r="P894" s="300">
        <f>IF($F894&lt;0.098,0,ROUNDDOWN((($D894+$E894)-($G894+$H894+$I894+$J894+$K894+$L894+$M894+$N894+$O894+$T894))*0.2,-3))</f>
        <v>64000</v>
      </c>
      <c r="Q894" s="301">
        <f>IF($F894&lt;0.098,0,ROUNDDOWN((($D894+$E894)-($G894+$H894+$I894+$J894+$K894+$L894+$M894+$N894+$O894+$T894))*0.2,-3))</f>
        <v>64000</v>
      </c>
      <c r="R894" s="302">
        <f>IF($F894&lt;0.098,0,ROUNDDOWN((($D894+$E894)-($G894+$H894+$I894+$J894+$K894+$L894+$M894+$N894+$O894+$T894))*0.4,-3))</f>
        <v>129000</v>
      </c>
      <c r="S894" s="299">
        <f>IF($F894&lt;0.098,0,ROUNDDOWN((($D894+$E894)-($G894+$H894+$I894+$J894+$K894+$L894+$M894+$N894+$O894+$T894))*0.2,-3))</f>
        <v>64000</v>
      </c>
      <c r="T894" s="303">
        <f t="shared" si="246"/>
        <v>0</v>
      </c>
      <c r="U894" s="33">
        <f t="shared" si="247"/>
        <v>2700000</v>
      </c>
      <c r="V894" s="2">
        <f t="shared" si="245"/>
        <v>3997</v>
      </c>
      <c r="W894" s="2"/>
      <c r="X894"/>
    </row>
    <row r="895" spans="2:24" ht="17.399999999999999" customHeight="1" x14ac:dyDescent="0.4">
      <c r="B895" s="239" t="s">
        <v>326</v>
      </c>
      <c r="C895" s="232">
        <v>46128</v>
      </c>
      <c r="D895" s="36">
        <f t="shared" si="232"/>
        <v>756110</v>
      </c>
      <c r="E895" s="99">
        <f t="shared" si="233"/>
        <v>473376</v>
      </c>
      <c r="F895" s="105">
        <f t="shared" si="234"/>
        <v>0.62606763566147783</v>
      </c>
      <c r="G895" s="284">
        <f t="shared" si="235"/>
        <v>94600</v>
      </c>
      <c r="H895" s="373">
        <f t="shared" si="236"/>
        <v>108800</v>
      </c>
      <c r="I895" s="287">
        <f t="shared" si="237"/>
        <v>387900</v>
      </c>
      <c r="J895" s="285">
        <f t="shared" si="238"/>
        <v>137000</v>
      </c>
      <c r="K895" s="287">
        <f t="shared" si="239"/>
        <v>151200</v>
      </c>
      <c r="L895" s="286">
        <f t="shared" si="240"/>
        <v>37800</v>
      </c>
      <c r="M895" s="286">
        <f t="shared" si="241"/>
        <v>75600</v>
      </c>
      <c r="N895" s="286">
        <f t="shared" si="242"/>
        <v>37800</v>
      </c>
      <c r="O895" s="373">
        <f t="shared" si="243"/>
        <v>9400</v>
      </c>
      <c r="P895" s="300">
        <f t="shared" ref="P895:Q907" si="248">ROUNDDOWN((($D895+$E895)-($G895+$H895+$I895+$J895+$K895+$L895+$M895+$N895+$O895+$T895))*0.2,-3)</f>
        <v>37000</v>
      </c>
      <c r="Q895" s="301">
        <f t="shared" si="248"/>
        <v>37000</v>
      </c>
      <c r="R895" s="302">
        <f t="shared" ref="R895:R907" si="249">ROUNDDOWN((($D895+$E895)-($G895+$H895+$I895+$J895+$K895+$L895+$M895+$N895+$O895+$T895))*0.4,-3)</f>
        <v>75000</v>
      </c>
      <c r="S895" s="299">
        <f t="shared" ref="S895:S907" si="250">ROUNDDOWN((($D895+$E895)-($G895+$H895+$I895+$J895+$K895+$L895+$M895+$N895+$O895+$T895))*0.2,-3)</f>
        <v>37000</v>
      </c>
      <c r="T895" s="303">
        <f t="shared" si="246"/>
        <v>0</v>
      </c>
      <c r="U895" s="33">
        <f t="shared" si="247"/>
        <v>2700000</v>
      </c>
      <c r="V895" s="2">
        <f t="shared" si="245"/>
        <v>3386</v>
      </c>
      <c r="W895" s="2"/>
      <c r="X895"/>
    </row>
    <row r="896" spans="2:24" ht="17.399999999999999" customHeight="1" x14ac:dyDescent="0.4">
      <c r="B896" s="239"/>
      <c r="C896" s="232"/>
      <c r="D896" s="36">
        <f t="shared" si="232"/>
        <v>0</v>
      </c>
      <c r="E896" s="99">
        <f t="shared" si="233"/>
        <v>0</v>
      </c>
      <c r="F896" s="105" t="e">
        <f t="shared" si="234"/>
        <v>#DIV/0!</v>
      </c>
      <c r="G896" s="284" t="e">
        <f t="shared" si="235"/>
        <v>#DIV/0!</v>
      </c>
      <c r="H896" s="373" t="e">
        <f t="shared" si="236"/>
        <v>#DIV/0!</v>
      </c>
      <c r="I896" s="287" t="e">
        <f t="shared" si="237"/>
        <v>#DIV/0!</v>
      </c>
      <c r="J896" s="285" t="e">
        <f t="shared" si="238"/>
        <v>#DIV/0!</v>
      </c>
      <c r="K896" s="287" t="e">
        <f t="shared" si="239"/>
        <v>#DIV/0!</v>
      </c>
      <c r="L896" s="286" t="e">
        <f t="shared" si="240"/>
        <v>#DIV/0!</v>
      </c>
      <c r="M896" s="286" t="e">
        <f t="shared" si="241"/>
        <v>#DIV/0!</v>
      </c>
      <c r="N896" s="286" t="e">
        <f t="shared" si="242"/>
        <v>#DIV/0!</v>
      </c>
      <c r="O896" s="373" t="e">
        <f t="shared" si="243"/>
        <v>#DIV/0!</v>
      </c>
      <c r="P896" s="300" t="e">
        <f t="shared" si="248"/>
        <v>#DIV/0!</v>
      </c>
      <c r="Q896" s="301" t="e">
        <f t="shared" si="248"/>
        <v>#DIV/0!</v>
      </c>
      <c r="R896" s="302" t="e">
        <f t="shared" si="249"/>
        <v>#DIV/0!</v>
      </c>
      <c r="S896" s="299" t="e">
        <f t="shared" si="250"/>
        <v>#DIV/0!</v>
      </c>
      <c r="T896" s="303" t="e">
        <f t="shared" si="246"/>
        <v>#DIV/0!</v>
      </c>
      <c r="U896" s="33" t="e">
        <f t="shared" si="247"/>
        <v>#DIV/0!</v>
      </c>
      <c r="V896" s="2" t="e">
        <f t="shared" si="245"/>
        <v>#DIV/0!</v>
      </c>
      <c r="W896" s="2"/>
      <c r="X896"/>
    </row>
    <row r="897" spans="2:24" ht="17.399999999999999" customHeight="1" x14ac:dyDescent="0.4">
      <c r="B897" s="239"/>
      <c r="C897" s="232"/>
      <c r="D897" s="36">
        <f t="shared" si="232"/>
        <v>0</v>
      </c>
      <c r="E897" s="99">
        <f t="shared" si="233"/>
        <v>0</v>
      </c>
      <c r="F897" s="105" t="e">
        <f t="shared" si="234"/>
        <v>#DIV/0!</v>
      </c>
      <c r="G897" s="284" t="e">
        <f t="shared" si="235"/>
        <v>#DIV/0!</v>
      </c>
      <c r="H897" s="373" t="e">
        <f t="shared" si="236"/>
        <v>#DIV/0!</v>
      </c>
      <c r="I897" s="287" t="e">
        <f t="shared" si="237"/>
        <v>#DIV/0!</v>
      </c>
      <c r="J897" s="285" t="e">
        <f t="shared" si="238"/>
        <v>#DIV/0!</v>
      </c>
      <c r="K897" s="287" t="e">
        <f t="shared" si="239"/>
        <v>#DIV/0!</v>
      </c>
      <c r="L897" s="286" t="e">
        <f t="shared" si="240"/>
        <v>#DIV/0!</v>
      </c>
      <c r="M897" s="286" t="e">
        <f t="shared" si="241"/>
        <v>#DIV/0!</v>
      </c>
      <c r="N897" s="286" t="e">
        <f t="shared" si="242"/>
        <v>#DIV/0!</v>
      </c>
      <c r="O897" s="373" t="e">
        <f t="shared" si="243"/>
        <v>#DIV/0!</v>
      </c>
      <c r="P897" s="300" t="e">
        <f t="shared" si="248"/>
        <v>#DIV/0!</v>
      </c>
      <c r="Q897" s="301" t="e">
        <f t="shared" si="248"/>
        <v>#DIV/0!</v>
      </c>
      <c r="R897" s="302" t="e">
        <f t="shared" si="249"/>
        <v>#DIV/0!</v>
      </c>
      <c r="S897" s="299" t="e">
        <f t="shared" si="250"/>
        <v>#DIV/0!</v>
      </c>
      <c r="T897" s="303" t="e">
        <f t="shared" si="246"/>
        <v>#DIV/0!</v>
      </c>
      <c r="U897" s="33" t="e">
        <f t="shared" si="247"/>
        <v>#DIV/0!</v>
      </c>
      <c r="V897" s="2" t="e">
        <f t="shared" si="245"/>
        <v>#DIV/0!</v>
      </c>
      <c r="W897" s="2"/>
      <c r="X897"/>
    </row>
    <row r="898" spans="2:24" ht="17.399999999999999" customHeight="1" x14ac:dyDescent="0.4">
      <c r="B898" s="239"/>
      <c r="C898" s="232"/>
      <c r="D898" s="36">
        <f t="shared" si="232"/>
        <v>0</v>
      </c>
      <c r="E898" s="99">
        <f t="shared" si="233"/>
        <v>0</v>
      </c>
      <c r="F898" s="105" t="e">
        <f t="shared" si="234"/>
        <v>#DIV/0!</v>
      </c>
      <c r="G898" s="284" t="e">
        <f t="shared" si="235"/>
        <v>#DIV/0!</v>
      </c>
      <c r="H898" s="373" t="e">
        <f t="shared" si="236"/>
        <v>#DIV/0!</v>
      </c>
      <c r="I898" s="287" t="e">
        <f t="shared" si="237"/>
        <v>#DIV/0!</v>
      </c>
      <c r="J898" s="285" t="e">
        <f t="shared" si="238"/>
        <v>#DIV/0!</v>
      </c>
      <c r="K898" s="287" t="e">
        <f t="shared" si="239"/>
        <v>#DIV/0!</v>
      </c>
      <c r="L898" s="286" t="e">
        <f t="shared" si="240"/>
        <v>#DIV/0!</v>
      </c>
      <c r="M898" s="286" t="e">
        <f t="shared" si="241"/>
        <v>#DIV/0!</v>
      </c>
      <c r="N898" s="286" t="e">
        <f t="shared" si="242"/>
        <v>#DIV/0!</v>
      </c>
      <c r="O898" s="373" t="e">
        <f t="shared" si="243"/>
        <v>#DIV/0!</v>
      </c>
      <c r="P898" s="300" t="e">
        <f t="shared" si="248"/>
        <v>#DIV/0!</v>
      </c>
      <c r="Q898" s="301" t="e">
        <f t="shared" si="248"/>
        <v>#DIV/0!</v>
      </c>
      <c r="R898" s="302" t="e">
        <f t="shared" si="249"/>
        <v>#DIV/0!</v>
      </c>
      <c r="S898" s="299" t="e">
        <f t="shared" si="250"/>
        <v>#DIV/0!</v>
      </c>
      <c r="T898" s="303" t="e">
        <f t="shared" si="246"/>
        <v>#DIV/0!</v>
      </c>
      <c r="U898" s="33" t="e">
        <f t="shared" si="247"/>
        <v>#DIV/0!</v>
      </c>
      <c r="V898" s="2" t="e">
        <f t="shared" si="245"/>
        <v>#DIV/0!</v>
      </c>
      <c r="W898" s="2"/>
      <c r="X898"/>
    </row>
    <row r="899" spans="2:24" ht="17.399999999999999" customHeight="1" x14ac:dyDescent="0.4">
      <c r="B899" s="239"/>
      <c r="C899" s="232"/>
      <c r="D899" s="36">
        <f t="shared" si="232"/>
        <v>0</v>
      </c>
      <c r="E899" s="99">
        <f t="shared" si="233"/>
        <v>0</v>
      </c>
      <c r="F899" s="105" t="e">
        <f t="shared" si="234"/>
        <v>#DIV/0!</v>
      </c>
      <c r="G899" s="284" t="e">
        <f t="shared" si="235"/>
        <v>#DIV/0!</v>
      </c>
      <c r="H899" s="373" t="e">
        <f t="shared" si="236"/>
        <v>#DIV/0!</v>
      </c>
      <c r="I899" s="287" t="e">
        <f t="shared" si="237"/>
        <v>#DIV/0!</v>
      </c>
      <c r="J899" s="285" t="e">
        <f t="shared" si="238"/>
        <v>#DIV/0!</v>
      </c>
      <c r="K899" s="287" t="e">
        <f t="shared" si="239"/>
        <v>#DIV/0!</v>
      </c>
      <c r="L899" s="286" t="e">
        <f t="shared" si="240"/>
        <v>#DIV/0!</v>
      </c>
      <c r="M899" s="286" t="e">
        <f t="shared" si="241"/>
        <v>#DIV/0!</v>
      </c>
      <c r="N899" s="286" t="e">
        <f t="shared" si="242"/>
        <v>#DIV/0!</v>
      </c>
      <c r="O899" s="373" t="e">
        <f t="shared" si="243"/>
        <v>#DIV/0!</v>
      </c>
      <c r="P899" s="300" t="e">
        <f t="shared" si="248"/>
        <v>#DIV/0!</v>
      </c>
      <c r="Q899" s="301" t="e">
        <f t="shared" si="248"/>
        <v>#DIV/0!</v>
      </c>
      <c r="R899" s="302" t="e">
        <f t="shared" si="249"/>
        <v>#DIV/0!</v>
      </c>
      <c r="S899" s="299" t="e">
        <f t="shared" si="250"/>
        <v>#DIV/0!</v>
      </c>
      <c r="T899" s="303" t="e">
        <f t="shared" si="246"/>
        <v>#DIV/0!</v>
      </c>
      <c r="U899" s="33" t="e">
        <f t="shared" si="247"/>
        <v>#DIV/0!</v>
      </c>
      <c r="V899" s="2" t="e">
        <f t="shared" si="245"/>
        <v>#DIV/0!</v>
      </c>
      <c r="W899" s="2"/>
      <c r="X899"/>
    </row>
    <row r="900" spans="2:24" ht="17.399999999999999" customHeight="1" x14ac:dyDescent="0.4">
      <c r="B900" s="239"/>
      <c r="C900" s="232"/>
      <c r="D900" s="36">
        <f t="shared" si="232"/>
        <v>0</v>
      </c>
      <c r="E900" s="99">
        <f t="shared" si="233"/>
        <v>0</v>
      </c>
      <c r="F900" s="105" t="e">
        <f t="shared" si="234"/>
        <v>#DIV/0!</v>
      </c>
      <c r="G900" s="284" t="e">
        <f t="shared" si="235"/>
        <v>#DIV/0!</v>
      </c>
      <c r="H900" s="373" t="e">
        <f t="shared" si="236"/>
        <v>#DIV/0!</v>
      </c>
      <c r="I900" s="287" t="e">
        <f t="shared" si="237"/>
        <v>#DIV/0!</v>
      </c>
      <c r="J900" s="285" t="e">
        <f t="shared" si="238"/>
        <v>#DIV/0!</v>
      </c>
      <c r="K900" s="287" t="e">
        <f t="shared" si="239"/>
        <v>#DIV/0!</v>
      </c>
      <c r="L900" s="286" t="e">
        <f t="shared" si="240"/>
        <v>#DIV/0!</v>
      </c>
      <c r="M900" s="286" t="e">
        <f t="shared" si="241"/>
        <v>#DIV/0!</v>
      </c>
      <c r="N900" s="286" t="e">
        <f t="shared" si="242"/>
        <v>#DIV/0!</v>
      </c>
      <c r="O900" s="373" t="e">
        <f t="shared" si="243"/>
        <v>#DIV/0!</v>
      </c>
      <c r="P900" s="300" t="e">
        <f t="shared" si="248"/>
        <v>#DIV/0!</v>
      </c>
      <c r="Q900" s="301" t="e">
        <f t="shared" si="248"/>
        <v>#DIV/0!</v>
      </c>
      <c r="R900" s="302" t="e">
        <f t="shared" si="249"/>
        <v>#DIV/0!</v>
      </c>
      <c r="S900" s="299" t="e">
        <f t="shared" si="250"/>
        <v>#DIV/0!</v>
      </c>
      <c r="T900" s="303" t="e">
        <f t="shared" si="246"/>
        <v>#DIV/0!</v>
      </c>
      <c r="U900" s="33" t="e">
        <f t="shared" si="247"/>
        <v>#DIV/0!</v>
      </c>
      <c r="V900" s="2" t="e">
        <f t="shared" si="245"/>
        <v>#DIV/0!</v>
      </c>
      <c r="W900" s="2"/>
      <c r="X900"/>
    </row>
    <row r="901" spans="2:24" ht="17.399999999999999" customHeight="1" x14ac:dyDescent="0.4">
      <c r="B901" s="239"/>
      <c r="C901" s="232"/>
      <c r="D901" s="36">
        <f t="shared" si="232"/>
        <v>0</v>
      </c>
      <c r="E901" s="99">
        <f t="shared" si="233"/>
        <v>0</v>
      </c>
      <c r="F901" s="105" t="e">
        <f t="shared" si="234"/>
        <v>#DIV/0!</v>
      </c>
      <c r="G901" s="284" t="e">
        <f t="shared" si="235"/>
        <v>#DIV/0!</v>
      </c>
      <c r="H901" s="373" t="e">
        <f t="shared" si="236"/>
        <v>#DIV/0!</v>
      </c>
      <c r="I901" s="287" t="e">
        <f t="shared" si="237"/>
        <v>#DIV/0!</v>
      </c>
      <c r="J901" s="285" t="e">
        <f t="shared" si="238"/>
        <v>#DIV/0!</v>
      </c>
      <c r="K901" s="287" t="e">
        <f t="shared" si="239"/>
        <v>#DIV/0!</v>
      </c>
      <c r="L901" s="286" t="e">
        <f t="shared" si="240"/>
        <v>#DIV/0!</v>
      </c>
      <c r="M901" s="286" t="e">
        <f t="shared" si="241"/>
        <v>#DIV/0!</v>
      </c>
      <c r="N901" s="286" t="e">
        <f t="shared" si="242"/>
        <v>#DIV/0!</v>
      </c>
      <c r="O901" s="373" t="e">
        <f t="shared" si="243"/>
        <v>#DIV/0!</v>
      </c>
      <c r="P901" s="300" t="e">
        <f t="shared" si="248"/>
        <v>#DIV/0!</v>
      </c>
      <c r="Q901" s="301" t="e">
        <f t="shared" si="248"/>
        <v>#DIV/0!</v>
      </c>
      <c r="R901" s="302" t="e">
        <f t="shared" si="249"/>
        <v>#DIV/0!</v>
      </c>
      <c r="S901" s="299" t="e">
        <f t="shared" si="250"/>
        <v>#DIV/0!</v>
      </c>
      <c r="T901" s="303" t="e">
        <f t="shared" si="246"/>
        <v>#DIV/0!</v>
      </c>
      <c r="U901" s="33" t="e">
        <f t="shared" si="247"/>
        <v>#DIV/0!</v>
      </c>
      <c r="V901" s="2" t="e">
        <f t="shared" si="245"/>
        <v>#DIV/0!</v>
      </c>
      <c r="W901" s="2"/>
      <c r="X901"/>
    </row>
    <row r="902" spans="2:24" ht="15.75" customHeight="1" x14ac:dyDescent="0.4">
      <c r="B902" s="239"/>
      <c r="C902" s="232"/>
      <c r="D902" s="36">
        <f t="shared" si="232"/>
        <v>0</v>
      </c>
      <c r="E902" s="99">
        <f t="shared" si="233"/>
        <v>0</v>
      </c>
      <c r="F902" s="105" t="e">
        <f t="shared" si="234"/>
        <v>#DIV/0!</v>
      </c>
      <c r="G902" s="284" t="e">
        <f t="shared" si="235"/>
        <v>#DIV/0!</v>
      </c>
      <c r="H902" s="373" t="e">
        <f t="shared" si="236"/>
        <v>#DIV/0!</v>
      </c>
      <c r="I902" s="287" t="e">
        <f t="shared" si="237"/>
        <v>#DIV/0!</v>
      </c>
      <c r="J902" s="285" t="e">
        <f t="shared" si="238"/>
        <v>#DIV/0!</v>
      </c>
      <c r="K902" s="287" t="e">
        <f t="shared" si="239"/>
        <v>#DIV/0!</v>
      </c>
      <c r="L902" s="286" t="e">
        <f t="shared" si="240"/>
        <v>#DIV/0!</v>
      </c>
      <c r="M902" s="286" t="e">
        <f t="shared" si="241"/>
        <v>#DIV/0!</v>
      </c>
      <c r="N902" s="286" t="e">
        <f t="shared" si="242"/>
        <v>#DIV/0!</v>
      </c>
      <c r="O902" s="373" t="e">
        <f t="shared" si="243"/>
        <v>#DIV/0!</v>
      </c>
      <c r="P902" s="300" t="e">
        <f t="shared" si="248"/>
        <v>#DIV/0!</v>
      </c>
      <c r="Q902" s="301" t="e">
        <f t="shared" si="248"/>
        <v>#DIV/0!</v>
      </c>
      <c r="R902" s="302" t="e">
        <f t="shared" si="249"/>
        <v>#DIV/0!</v>
      </c>
      <c r="S902" s="299" t="e">
        <f t="shared" si="250"/>
        <v>#DIV/0!</v>
      </c>
      <c r="T902" s="303" t="e">
        <f t="shared" si="246"/>
        <v>#DIV/0!</v>
      </c>
      <c r="U902" s="33" t="e">
        <f t="shared" si="247"/>
        <v>#DIV/0!</v>
      </c>
      <c r="V902" s="2" t="e">
        <f t="shared" si="245"/>
        <v>#DIV/0!</v>
      </c>
      <c r="W902" s="2"/>
      <c r="X902"/>
    </row>
    <row r="903" spans="2:24" ht="17.399999999999999" customHeight="1" x14ac:dyDescent="0.4">
      <c r="B903" s="239"/>
      <c r="C903" s="232"/>
      <c r="D903" s="36">
        <f t="shared" si="232"/>
        <v>0</v>
      </c>
      <c r="E903" s="99">
        <f t="shared" si="233"/>
        <v>0</v>
      </c>
      <c r="F903" s="105" t="e">
        <f t="shared" si="234"/>
        <v>#DIV/0!</v>
      </c>
      <c r="G903" s="284" t="e">
        <f t="shared" si="235"/>
        <v>#DIV/0!</v>
      </c>
      <c r="H903" s="373" t="e">
        <f t="shared" si="236"/>
        <v>#DIV/0!</v>
      </c>
      <c r="I903" s="287" t="e">
        <f t="shared" si="237"/>
        <v>#DIV/0!</v>
      </c>
      <c r="J903" s="285" t="e">
        <f t="shared" si="238"/>
        <v>#DIV/0!</v>
      </c>
      <c r="K903" s="287" t="e">
        <f t="shared" si="239"/>
        <v>#DIV/0!</v>
      </c>
      <c r="L903" s="286" t="e">
        <f t="shared" si="240"/>
        <v>#DIV/0!</v>
      </c>
      <c r="M903" s="286" t="e">
        <f t="shared" si="241"/>
        <v>#DIV/0!</v>
      </c>
      <c r="N903" s="286" t="e">
        <f t="shared" si="242"/>
        <v>#DIV/0!</v>
      </c>
      <c r="O903" s="373" t="e">
        <f t="shared" si="243"/>
        <v>#DIV/0!</v>
      </c>
      <c r="P903" s="300" t="e">
        <f t="shared" si="248"/>
        <v>#DIV/0!</v>
      </c>
      <c r="Q903" s="301" t="e">
        <f t="shared" si="248"/>
        <v>#DIV/0!</v>
      </c>
      <c r="R903" s="302" t="e">
        <f t="shared" si="249"/>
        <v>#DIV/0!</v>
      </c>
      <c r="S903" s="299" t="e">
        <f t="shared" si="250"/>
        <v>#DIV/0!</v>
      </c>
      <c r="T903" s="303" t="e">
        <f t="shared" si="246"/>
        <v>#DIV/0!</v>
      </c>
      <c r="U903" s="33" t="e">
        <f t="shared" si="247"/>
        <v>#DIV/0!</v>
      </c>
      <c r="V903" s="2" t="e">
        <f t="shared" si="245"/>
        <v>#DIV/0!</v>
      </c>
      <c r="W903" s="2"/>
      <c r="X903"/>
    </row>
    <row r="904" spans="2:24" ht="17.399999999999999" customHeight="1" x14ac:dyDescent="0.4">
      <c r="B904" s="239"/>
      <c r="C904" s="232"/>
      <c r="D904" s="36">
        <f t="shared" si="232"/>
        <v>0</v>
      </c>
      <c r="E904" s="99">
        <f t="shared" si="233"/>
        <v>0</v>
      </c>
      <c r="F904" s="105" t="e">
        <f t="shared" si="234"/>
        <v>#DIV/0!</v>
      </c>
      <c r="G904" s="284" t="e">
        <f t="shared" si="235"/>
        <v>#DIV/0!</v>
      </c>
      <c r="H904" s="373" t="e">
        <f t="shared" si="236"/>
        <v>#DIV/0!</v>
      </c>
      <c r="I904" s="287" t="e">
        <f t="shared" si="237"/>
        <v>#DIV/0!</v>
      </c>
      <c r="J904" s="285" t="e">
        <f t="shared" si="238"/>
        <v>#DIV/0!</v>
      </c>
      <c r="K904" s="287" t="e">
        <f t="shared" si="239"/>
        <v>#DIV/0!</v>
      </c>
      <c r="L904" s="286" t="e">
        <f t="shared" si="240"/>
        <v>#DIV/0!</v>
      </c>
      <c r="M904" s="286" t="e">
        <f t="shared" si="241"/>
        <v>#DIV/0!</v>
      </c>
      <c r="N904" s="286" t="e">
        <f t="shared" si="242"/>
        <v>#DIV/0!</v>
      </c>
      <c r="O904" s="373" t="e">
        <f t="shared" si="243"/>
        <v>#DIV/0!</v>
      </c>
      <c r="P904" s="300" t="e">
        <f t="shared" si="248"/>
        <v>#DIV/0!</v>
      </c>
      <c r="Q904" s="301" t="e">
        <f t="shared" si="248"/>
        <v>#DIV/0!</v>
      </c>
      <c r="R904" s="302" t="e">
        <f t="shared" si="249"/>
        <v>#DIV/0!</v>
      </c>
      <c r="S904" s="299" t="e">
        <f t="shared" si="250"/>
        <v>#DIV/0!</v>
      </c>
      <c r="T904" s="303" t="e">
        <f t="shared" si="246"/>
        <v>#DIV/0!</v>
      </c>
      <c r="U904" s="33" t="e">
        <f t="shared" si="247"/>
        <v>#DIV/0!</v>
      </c>
      <c r="V904" s="2" t="e">
        <f t="shared" si="245"/>
        <v>#DIV/0!</v>
      </c>
      <c r="W904" s="2"/>
      <c r="X904"/>
    </row>
    <row r="905" spans="2:24" ht="17.399999999999999" customHeight="1" x14ac:dyDescent="0.4">
      <c r="B905" s="239"/>
      <c r="C905" s="232"/>
      <c r="D905" s="36">
        <f t="shared" si="232"/>
        <v>0</v>
      </c>
      <c r="E905" s="99">
        <f t="shared" si="233"/>
        <v>0</v>
      </c>
      <c r="F905" s="105" t="e">
        <f t="shared" si="234"/>
        <v>#DIV/0!</v>
      </c>
      <c r="G905" s="284" t="e">
        <f t="shared" si="235"/>
        <v>#DIV/0!</v>
      </c>
      <c r="H905" s="373" t="e">
        <f t="shared" si="236"/>
        <v>#DIV/0!</v>
      </c>
      <c r="I905" s="287" t="e">
        <f t="shared" si="237"/>
        <v>#DIV/0!</v>
      </c>
      <c r="J905" s="285" t="e">
        <f t="shared" si="238"/>
        <v>#DIV/0!</v>
      </c>
      <c r="K905" s="287" t="e">
        <f t="shared" si="239"/>
        <v>#DIV/0!</v>
      </c>
      <c r="L905" s="286" t="e">
        <f t="shared" si="240"/>
        <v>#DIV/0!</v>
      </c>
      <c r="M905" s="286" t="e">
        <f t="shared" si="241"/>
        <v>#DIV/0!</v>
      </c>
      <c r="N905" s="286" t="e">
        <f t="shared" si="242"/>
        <v>#DIV/0!</v>
      </c>
      <c r="O905" s="373" t="e">
        <f t="shared" si="243"/>
        <v>#DIV/0!</v>
      </c>
      <c r="P905" s="300" t="e">
        <f t="shared" si="248"/>
        <v>#DIV/0!</v>
      </c>
      <c r="Q905" s="301" t="e">
        <f t="shared" si="248"/>
        <v>#DIV/0!</v>
      </c>
      <c r="R905" s="302" t="e">
        <f t="shared" si="249"/>
        <v>#DIV/0!</v>
      </c>
      <c r="S905" s="299" t="e">
        <f t="shared" si="250"/>
        <v>#DIV/0!</v>
      </c>
      <c r="T905" s="303" t="e">
        <f t="shared" si="246"/>
        <v>#DIV/0!</v>
      </c>
      <c r="U905" s="33" t="e">
        <f t="shared" si="247"/>
        <v>#DIV/0!</v>
      </c>
      <c r="V905" s="2" t="e">
        <f t="shared" si="245"/>
        <v>#DIV/0!</v>
      </c>
      <c r="W905" s="2"/>
      <c r="X905"/>
    </row>
    <row r="906" spans="2:24" ht="17.399999999999999" customHeight="1" x14ac:dyDescent="0.4">
      <c r="B906" s="239"/>
      <c r="C906" s="232"/>
      <c r="D906" s="36">
        <f t="shared" si="232"/>
        <v>0</v>
      </c>
      <c r="E906" s="99">
        <f t="shared" si="233"/>
        <v>0</v>
      </c>
      <c r="F906" s="105" t="e">
        <f t="shared" si="234"/>
        <v>#DIV/0!</v>
      </c>
      <c r="G906" s="284" t="e">
        <f t="shared" si="235"/>
        <v>#DIV/0!</v>
      </c>
      <c r="H906" s="373" t="e">
        <f t="shared" si="236"/>
        <v>#DIV/0!</v>
      </c>
      <c r="I906" s="287" t="e">
        <f t="shared" si="237"/>
        <v>#DIV/0!</v>
      </c>
      <c r="J906" s="285" t="e">
        <f t="shared" si="238"/>
        <v>#DIV/0!</v>
      </c>
      <c r="K906" s="287" t="e">
        <f t="shared" si="239"/>
        <v>#DIV/0!</v>
      </c>
      <c r="L906" s="286" t="e">
        <f t="shared" si="240"/>
        <v>#DIV/0!</v>
      </c>
      <c r="M906" s="286" t="e">
        <f t="shared" si="241"/>
        <v>#DIV/0!</v>
      </c>
      <c r="N906" s="286" t="e">
        <f t="shared" si="242"/>
        <v>#DIV/0!</v>
      </c>
      <c r="O906" s="373" t="e">
        <f t="shared" si="243"/>
        <v>#DIV/0!</v>
      </c>
      <c r="P906" s="300" t="e">
        <f t="shared" si="248"/>
        <v>#DIV/0!</v>
      </c>
      <c r="Q906" s="301" t="e">
        <f t="shared" si="248"/>
        <v>#DIV/0!</v>
      </c>
      <c r="R906" s="302" t="e">
        <f t="shared" si="249"/>
        <v>#DIV/0!</v>
      </c>
      <c r="S906" s="299" t="e">
        <f t="shared" si="250"/>
        <v>#DIV/0!</v>
      </c>
      <c r="T906" s="303" t="e">
        <f t="shared" si="246"/>
        <v>#DIV/0!</v>
      </c>
      <c r="U906" s="33" t="e">
        <f t="shared" si="247"/>
        <v>#DIV/0!</v>
      </c>
      <c r="V906" s="2" t="e">
        <f t="shared" si="245"/>
        <v>#DIV/0!</v>
      </c>
      <c r="W906" s="2"/>
      <c r="X906"/>
    </row>
    <row r="907" spans="2:24" ht="17.399999999999999" customHeight="1" x14ac:dyDescent="0.4">
      <c r="B907" s="239"/>
      <c r="C907" s="232"/>
      <c r="D907" s="36">
        <f t="shared" si="232"/>
        <v>0</v>
      </c>
      <c r="E907" s="99">
        <f t="shared" si="233"/>
        <v>0</v>
      </c>
      <c r="F907" s="105" t="e">
        <f t="shared" si="234"/>
        <v>#DIV/0!</v>
      </c>
      <c r="G907" s="284" t="e">
        <f t="shared" si="235"/>
        <v>#DIV/0!</v>
      </c>
      <c r="H907" s="373" t="e">
        <f t="shared" si="236"/>
        <v>#DIV/0!</v>
      </c>
      <c r="I907" s="287" t="e">
        <f t="shared" si="237"/>
        <v>#DIV/0!</v>
      </c>
      <c r="J907" s="285" t="e">
        <f t="shared" si="238"/>
        <v>#DIV/0!</v>
      </c>
      <c r="K907" s="287" t="e">
        <f t="shared" si="239"/>
        <v>#DIV/0!</v>
      </c>
      <c r="L907" s="286" t="e">
        <f t="shared" si="240"/>
        <v>#DIV/0!</v>
      </c>
      <c r="M907" s="286" t="e">
        <f t="shared" si="241"/>
        <v>#DIV/0!</v>
      </c>
      <c r="N907" s="286" t="e">
        <f t="shared" si="242"/>
        <v>#DIV/0!</v>
      </c>
      <c r="O907" s="373" t="e">
        <f t="shared" si="243"/>
        <v>#DIV/0!</v>
      </c>
      <c r="P907" s="300" t="e">
        <f t="shared" si="248"/>
        <v>#DIV/0!</v>
      </c>
      <c r="Q907" s="301" t="e">
        <f t="shared" si="248"/>
        <v>#DIV/0!</v>
      </c>
      <c r="R907" s="302" t="e">
        <f t="shared" si="249"/>
        <v>#DIV/0!</v>
      </c>
      <c r="S907" s="299" t="e">
        <f t="shared" si="250"/>
        <v>#DIV/0!</v>
      </c>
      <c r="T907" s="303" t="e">
        <f t="shared" si="246"/>
        <v>#DIV/0!</v>
      </c>
      <c r="V907" s="2"/>
      <c r="W907" s="2"/>
      <c r="X907"/>
    </row>
    <row r="908" spans="2:24" ht="18" customHeight="1" thickBot="1" x14ac:dyDescent="0.45">
      <c r="B908" s="288"/>
      <c r="C908" s="289"/>
      <c r="D908" s="290"/>
      <c r="E908" s="291"/>
      <c r="F908" s="290"/>
      <c r="G908" s="292"/>
      <c r="H908" s="292"/>
      <c r="I908" s="292"/>
      <c r="J908" s="292"/>
      <c r="K908" s="292"/>
      <c r="L908" s="292"/>
      <c r="M908" s="292"/>
      <c r="N908" s="292"/>
      <c r="O908" s="292"/>
      <c r="P908" s="304"/>
      <c r="Q908" s="305"/>
      <c r="R908" s="305"/>
      <c r="S908" s="305"/>
      <c r="T908" s="306"/>
      <c r="V908"/>
      <c r="W908"/>
      <c r="X908"/>
    </row>
    <row r="909" spans="2:24" ht="17.399999999999999" customHeight="1" x14ac:dyDescent="0.4">
      <c r="M909"/>
      <c r="N909"/>
      <c r="O909"/>
      <c r="P909"/>
      <c r="Q909" s="22"/>
      <c r="R909" s="22"/>
      <c r="S909" s="2"/>
      <c r="T909" s="2"/>
      <c r="V909"/>
      <c r="W909"/>
      <c r="X909"/>
    </row>
    <row r="910" spans="2:24" x14ac:dyDescent="0.4">
      <c r="F910" s="277" t="e">
        <f>SUM(G891:G907)-SUM(H911:H930)</f>
        <v>#DIV/0!</v>
      </c>
      <c r="H910" s="33" t="s">
        <v>552</v>
      </c>
    </row>
    <row r="911" spans="2:24" x14ac:dyDescent="0.4">
      <c r="F911" s="36"/>
      <c r="G911" s="36"/>
      <c r="H911" s="36"/>
    </row>
    <row r="912" spans="2:24" x14ac:dyDescent="0.4">
      <c r="F912" s="36"/>
      <c r="G912" s="36"/>
      <c r="H912" s="36"/>
    </row>
    <row r="913" spans="6:8" x14ac:dyDescent="0.4">
      <c r="F913" s="36"/>
      <c r="G913" s="36"/>
      <c r="H913" s="36"/>
    </row>
    <row r="914" spans="6:8" x14ac:dyDescent="0.4">
      <c r="F914" s="36"/>
      <c r="G914" s="36"/>
      <c r="H914" s="36">
        <f t="shared" ref="H914:H921" si="251">F914*G914</f>
        <v>0</v>
      </c>
    </row>
    <row r="915" spans="6:8" x14ac:dyDescent="0.4">
      <c r="F915" s="36"/>
      <c r="G915" s="36"/>
      <c r="H915" s="36">
        <f t="shared" si="251"/>
        <v>0</v>
      </c>
    </row>
    <row r="916" spans="6:8" x14ac:dyDescent="0.4">
      <c r="F916" s="36"/>
      <c r="G916" s="36"/>
      <c r="H916" s="36">
        <f t="shared" si="251"/>
        <v>0</v>
      </c>
    </row>
    <row r="917" spans="6:8" x14ac:dyDescent="0.4">
      <c r="F917" s="36"/>
      <c r="G917" s="36"/>
      <c r="H917" s="36">
        <f t="shared" si="251"/>
        <v>0</v>
      </c>
    </row>
    <row r="918" spans="6:8" x14ac:dyDescent="0.4">
      <c r="F918" s="36"/>
      <c r="G918" s="36"/>
      <c r="H918" s="36">
        <f t="shared" si="251"/>
        <v>0</v>
      </c>
    </row>
    <row r="919" spans="6:8" x14ac:dyDescent="0.4">
      <c r="F919" s="36"/>
      <c r="G919" s="36"/>
      <c r="H919" s="36">
        <f t="shared" si="251"/>
        <v>0</v>
      </c>
    </row>
    <row r="920" spans="6:8" x14ac:dyDescent="0.4">
      <c r="F920" s="36"/>
      <c r="G920" s="36"/>
      <c r="H920" s="36">
        <f t="shared" si="251"/>
        <v>0</v>
      </c>
    </row>
    <row r="921" spans="6:8" x14ac:dyDescent="0.4">
      <c r="F921" s="36"/>
      <c r="G921" s="36"/>
      <c r="H921" s="36">
        <f t="shared" si="251"/>
        <v>0</v>
      </c>
    </row>
    <row r="922" spans="6:8" x14ac:dyDescent="0.4">
      <c r="F922" s="36"/>
      <c r="G922" s="36"/>
      <c r="H922" s="36"/>
    </row>
    <row r="923" spans="6:8" x14ac:dyDescent="0.4">
      <c r="F923" s="36"/>
      <c r="G923" s="36"/>
      <c r="H923" s="36"/>
    </row>
    <row r="924" spans="6:8" x14ac:dyDescent="0.4">
      <c r="F924" s="36"/>
      <c r="G924" s="36"/>
      <c r="H924" s="36"/>
    </row>
    <row r="925" spans="6:8" x14ac:dyDescent="0.4">
      <c r="F925" s="36"/>
      <c r="G925" s="36"/>
      <c r="H925" s="36"/>
    </row>
    <row r="926" spans="6:8" x14ac:dyDescent="0.4">
      <c r="F926" s="36"/>
      <c r="G926" s="36"/>
      <c r="H926" s="36"/>
    </row>
    <row r="927" spans="6:8" x14ac:dyDescent="0.4">
      <c r="F927" s="36"/>
      <c r="G927" s="36"/>
      <c r="H927" s="36"/>
    </row>
    <row r="928" spans="6:8" x14ac:dyDescent="0.4">
      <c r="F928" s="36"/>
      <c r="G928" s="36"/>
      <c r="H928" s="36"/>
    </row>
    <row r="929" spans="6:8" x14ac:dyDescent="0.4">
      <c r="F929" s="36"/>
      <c r="G929" s="36"/>
      <c r="H929" s="36"/>
    </row>
    <row r="930" spans="6:8" x14ac:dyDescent="0.4">
      <c r="F930" s="36"/>
      <c r="G930" s="36"/>
      <c r="H930" s="36"/>
    </row>
    <row r="931" spans="6:8" x14ac:dyDescent="0.4">
      <c r="F931" s="36"/>
      <c r="G931" s="36"/>
      <c r="H931" s="36"/>
    </row>
    <row r="932" spans="6:8" x14ac:dyDescent="0.4">
      <c r="F932" s="36"/>
      <c r="G932" s="36"/>
      <c r="H932" s="36"/>
    </row>
    <row r="933" spans="6:8" x14ac:dyDescent="0.4">
      <c r="F933" s="36"/>
      <c r="G933" s="36"/>
      <c r="H933" s="36"/>
    </row>
    <row r="934" spans="6:8" x14ac:dyDescent="0.4">
      <c r="F934" s="36"/>
      <c r="G934" s="36"/>
      <c r="H934" s="36"/>
    </row>
    <row r="935" spans="6:8" x14ac:dyDescent="0.4">
      <c r="F935" s="36"/>
      <c r="G935" s="36"/>
      <c r="H935" s="36"/>
    </row>
    <row r="936" spans="6:8" x14ac:dyDescent="0.4">
      <c r="F936" s="36"/>
      <c r="G936" s="36"/>
      <c r="H936" s="36"/>
    </row>
    <row r="937" spans="6:8" x14ac:dyDescent="0.4">
      <c r="F937" s="36"/>
      <c r="G937" s="36"/>
      <c r="H937" s="36"/>
    </row>
    <row r="938" spans="6:8" x14ac:dyDescent="0.4">
      <c r="F938" s="36"/>
      <c r="G938" s="36"/>
      <c r="H938" s="36"/>
    </row>
    <row r="939" spans="6:8" x14ac:dyDescent="0.4">
      <c r="F939" s="36"/>
      <c r="G939" s="36"/>
      <c r="H939" s="36"/>
    </row>
    <row r="940" spans="6:8" x14ac:dyDescent="0.4">
      <c r="F940" s="36"/>
      <c r="G940" s="36"/>
      <c r="H940" s="36"/>
    </row>
    <row r="941" spans="6:8" x14ac:dyDescent="0.4">
      <c r="F941" s="36"/>
      <c r="G941" s="36"/>
      <c r="H941" s="36"/>
    </row>
    <row r="942" spans="6:8" x14ac:dyDescent="0.4">
      <c r="F942" s="36"/>
      <c r="G942" s="36"/>
      <c r="H942" s="36"/>
    </row>
    <row r="943" spans="6:8" x14ac:dyDescent="0.4">
      <c r="F943" s="36"/>
      <c r="G943" s="36"/>
      <c r="H943" s="36"/>
    </row>
    <row r="944" spans="6:8" x14ac:dyDescent="0.4">
      <c r="F944" s="36"/>
      <c r="G944" s="36"/>
      <c r="H944" s="36"/>
    </row>
    <row r="945" spans="6:8" x14ac:dyDescent="0.4">
      <c r="F945" s="36"/>
      <c r="G945" s="36"/>
      <c r="H945" s="36"/>
    </row>
    <row r="946" spans="6:8" x14ac:dyDescent="0.4">
      <c r="F946" s="36"/>
      <c r="G946" s="36"/>
      <c r="H946" s="36"/>
    </row>
  </sheetData>
  <autoFilter ref="B3:T842" xr:uid="{00000000-0009-0000-0000-000002000000}">
    <sortState xmlns:xlrd2="http://schemas.microsoft.com/office/spreadsheetml/2017/richdata2" ref="B4:T842">
      <sortCondition ref="B3:B842"/>
    </sortState>
  </autoFilter>
  <phoneticPr fontId="9" type="noConversion"/>
  <pageMargins left="0.7" right="0.7" top="0.75" bottom="0.75" header="0.3" footer="0.3"/>
  <pageSetup orientation="portrait"/>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U100"/>
  <sheetViews>
    <sheetView workbookViewId="0">
      <selection activeCell="F83" sqref="F83"/>
    </sheetView>
  </sheetViews>
  <sheetFormatPr defaultRowHeight="17.399999999999999" x14ac:dyDescent="0.4"/>
  <cols>
    <col min="2" max="2" width="16.09765625" style="405" customWidth="1"/>
    <col min="3" max="3" width="11.69921875" style="405" bestFit="1" customWidth="1"/>
    <col min="4" max="4" width="18.3984375" style="405" customWidth="1"/>
    <col min="6" max="6" width="12.59765625" style="405" customWidth="1"/>
    <col min="7" max="7" width="27.19921875" style="405" customWidth="1"/>
    <col min="8" max="8" width="26.19921875" style="405" customWidth="1"/>
    <col min="9" max="9" width="20.19921875" style="405" customWidth="1"/>
    <col min="10" max="10" width="13.8984375" style="405" customWidth="1"/>
    <col min="18" max="18" width="9.8984375" style="405" bestFit="1" customWidth="1"/>
    <col min="21" max="21" width="11" style="405" bestFit="1" customWidth="1"/>
  </cols>
  <sheetData>
    <row r="2" spans="2:14" x14ac:dyDescent="0.4">
      <c r="B2" t="s">
        <v>0</v>
      </c>
      <c r="C2" t="s">
        <v>1</v>
      </c>
      <c r="D2" t="s">
        <v>2</v>
      </c>
      <c r="E2" t="s">
        <v>3</v>
      </c>
      <c r="F2" t="s">
        <v>4</v>
      </c>
      <c r="G2" t="s">
        <v>5</v>
      </c>
      <c r="H2" t="s">
        <v>6</v>
      </c>
      <c r="I2" t="s">
        <v>7</v>
      </c>
    </row>
    <row r="3" spans="2:14" ht="191.4" customHeight="1" x14ac:dyDescent="0.4">
      <c r="B3" t="s">
        <v>8</v>
      </c>
      <c r="C3" t="s">
        <v>9</v>
      </c>
      <c r="D3" s="244" t="s">
        <v>10</v>
      </c>
      <c r="E3" t="s">
        <v>11</v>
      </c>
      <c r="F3" s="244" t="s">
        <v>12</v>
      </c>
      <c r="G3" t="s">
        <v>13</v>
      </c>
      <c r="H3" s="244" t="s">
        <v>14</v>
      </c>
      <c r="I3" s="244" t="s">
        <v>15</v>
      </c>
    </row>
    <row r="6" spans="2:14" ht="18" customHeight="1" thickBot="1" x14ac:dyDescent="0.45"/>
    <row r="7" spans="2:14" x14ac:dyDescent="0.4">
      <c r="H7" s="441" t="s">
        <v>16</v>
      </c>
      <c r="I7" s="442"/>
      <c r="J7" s="442"/>
      <c r="K7" s="443"/>
    </row>
    <row r="8" spans="2:14" x14ac:dyDescent="0.4">
      <c r="B8" s="168" t="s">
        <v>0</v>
      </c>
      <c r="C8" s="168" t="s">
        <v>17</v>
      </c>
      <c r="D8" s="168" t="s">
        <v>18</v>
      </c>
      <c r="E8" s="168"/>
      <c r="F8" s="168"/>
      <c r="G8" s="168"/>
      <c r="H8" s="171" t="s">
        <v>18</v>
      </c>
      <c r="I8" s="169" t="s">
        <v>19</v>
      </c>
      <c r="J8" s="169" t="s">
        <v>20</v>
      </c>
      <c r="K8" s="172" t="s">
        <v>21</v>
      </c>
      <c r="L8" s="168"/>
      <c r="M8" s="168"/>
      <c r="N8" s="168"/>
    </row>
    <row r="9" spans="2:14" x14ac:dyDescent="0.4">
      <c r="B9" t="s">
        <v>22</v>
      </c>
      <c r="C9" t="s">
        <v>23</v>
      </c>
      <c r="D9" s="2">
        <v>850</v>
      </c>
      <c r="E9" s="2"/>
      <c r="F9" s="2"/>
      <c r="G9" s="2"/>
      <c r="H9" s="173">
        <v>850</v>
      </c>
      <c r="I9" s="170">
        <v>6560</v>
      </c>
      <c r="J9" s="170">
        <v>5420</v>
      </c>
      <c r="K9" s="174">
        <f>(J9-I9)/I9</f>
        <v>-0.17378048780487804</v>
      </c>
    </row>
    <row r="10" spans="2:14" x14ac:dyDescent="0.4">
      <c r="B10" t="s">
        <v>24</v>
      </c>
      <c r="C10" t="s">
        <v>25</v>
      </c>
      <c r="D10" s="2">
        <v>215</v>
      </c>
      <c r="E10" s="2"/>
      <c r="F10" s="2"/>
      <c r="G10" s="2"/>
      <c r="H10" s="173">
        <v>215</v>
      </c>
      <c r="I10" s="170">
        <v>9013</v>
      </c>
      <c r="J10" s="170">
        <v>7800</v>
      </c>
      <c r="K10" s="174">
        <f>(J10-I10)/I10</f>
        <v>-0.13458337956285366</v>
      </c>
    </row>
    <row r="11" spans="2:14" x14ac:dyDescent="0.4">
      <c r="B11" t="s">
        <v>26</v>
      </c>
      <c r="C11" t="s">
        <v>27</v>
      </c>
      <c r="D11" s="2">
        <v>19</v>
      </c>
      <c r="E11" s="2"/>
      <c r="F11" s="2"/>
      <c r="G11" s="2"/>
      <c r="H11" s="173">
        <v>19</v>
      </c>
      <c r="I11" s="170">
        <v>42843</v>
      </c>
      <c r="J11" s="170">
        <v>2000</v>
      </c>
      <c r="K11" s="174">
        <f>(J11-I11)/I11</f>
        <v>-0.95331792824965567</v>
      </c>
      <c r="M11" t="s">
        <v>28</v>
      </c>
    </row>
    <row r="12" spans="2:14" x14ac:dyDescent="0.4">
      <c r="D12" s="2"/>
      <c r="E12" s="2"/>
      <c r="F12" s="2"/>
      <c r="G12" s="2"/>
      <c r="H12" s="173"/>
      <c r="I12" s="170"/>
      <c r="J12" s="170"/>
      <c r="K12" s="174"/>
    </row>
    <row r="13" spans="2:14" x14ac:dyDescent="0.4">
      <c r="B13" t="s">
        <v>29</v>
      </c>
      <c r="C13" t="s">
        <v>30</v>
      </c>
      <c r="D13" s="2">
        <v>110</v>
      </c>
      <c r="E13" s="2"/>
      <c r="F13" s="2"/>
      <c r="G13" s="2"/>
      <c r="H13" s="173">
        <v>110</v>
      </c>
      <c r="I13" s="170">
        <v>34047</v>
      </c>
      <c r="J13" s="170">
        <v>21800</v>
      </c>
      <c r="K13" s="174">
        <f>(J13-I13)/I13</f>
        <v>-0.35970863805915354</v>
      </c>
    </row>
    <row r="14" spans="2:14" x14ac:dyDescent="0.4">
      <c r="B14" t="s">
        <v>31</v>
      </c>
      <c r="C14" t="s">
        <v>32</v>
      </c>
      <c r="D14" s="2">
        <v>5</v>
      </c>
      <c r="E14" s="2"/>
      <c r="F14" s="2"/>
      <c r="G14" s="2"/>
      <c r="H14" s="173">
        <v>5</v>
      </c>
      <c r="I14" s="170">
        <v>29644</v>
      </c>
      <c r="J14" s="170">
        <v>16710</v>
      </c>
      <c r="K14" s="174">
        <f>(J14-I14)/I14</f>
        <v>-0.4363108892187289</v>
      </c>
    </row>
    <row r="15" spans="2:14" x14ac:dyDescent="0.4">
      <c r="B15" t="s">
        <v>33</v>
      </c>
      <c r="C15" t="s">
        <v>34</v>
      </c>
      <c r="D15" s="2">
        <v>407</v>
      </c>
      <c r="E15" s="2"/>
      <c r="F15" s="2"/>
      <c r="G15" s="2"/>
      <c r="H15" s="173">
        <v>407</v>
      </c>
      <c r="I15" s="170">
        <v>15547</v>
      </c>
      <c r="J15" s="170">
        <v>12120</v>
      </c>
      <c r="K15" s="174">
        <f>(J15-I15)/I15</f>
        <v>-0.22042837846529878</v>
      </c>
    </row>
    <row r="16" spans="2:14" x14ac:dyDescent="0.4">
      <c r="B16" t="s">
        <v>35</v>
      </c>
      <c r="C16" t="s">
        <v>36</v>
      </c>
      <c r="D16" s="2">
        <v>5</v>
      </c>
      <c r="E16" s="2"/>
      <c r="F16" s="2"/>
      <c r="G16" s="2"/>
      <c r="H16" s="173">
        <v>5</v>
      </c>
      <c r="I16" s="170">
        <v>657200</v>
      </c>
      <c r="J16" s="170">
        <v>204000</v>
      </c>
      <c r="K16" s="174">
        <f>(J16-I16)/I16</f>
        <v>-0.68959220937309795</v>
      </c>
      <c r="M16" t="s">
        <v>37</v>
      </c>
    </row>
    <row r="17" spans="2:21" x14ac:dyDescent="0.4">
      <c r="B17" t="s">
        <v>38</v>
      </c>
      <c r="C17" t="s">
        <v>39</v>
      </c>
      <c r="D17" s="2">
        <v>87</v>
      </c>
      <c r="E17" s="2"/>
      <c r="F17" s="2"/>
      <c r="G17" s="2"/>
      <c r="H17" s="173">
        <v>87</v>
      </c>
      <c r="I17" s="170">
        <v>58579</v>
      </c>
      <c r="J17" s="170">
        <v>5280</v>
      </c>
      <c r="K17" s="174">
        <f>(J17-I17)/I17</f>
        <v>-0.90986531009406102</v>
      </c>
      <c r="M17" t="s">
        <v>37</v>
      </c>
    </row>
    <row r="18" spans="2:21" x14ac:dyDescent="0.4">
      <c r="D18" s="2"/>
      <c r="E18" s="2"/>
      <c r="F18" s="2"/>
      <c r="G18" s="2"/>
      <c r="H18" s="173"/>
      <c r="I18" s="170"/>
      <c r="J18" s="170"/>
      <c r="K18" s="174"/>
    </row>
    <row r="19" spans="2:21" x14ac:dyDescent="0.4">
      <c r="B19" t="s">
        <v>40</v>
      </c>
      <c r="C19" t="s">
        <v>41</v>
      </c>
      <c r="D19" s="2">
        <v>67</v>
      </c>
      <c r="E19" s="2"/>
      <c r="F19" s="2"/>
      <c r="G19" s="2"/>
      <c r="H19" s="173">
        <v>67</v>
      </c>
      <c r="I19" s="170">
        <v>51560</v>
      </c>
      <c r="J19" s="170">
        <v>11570</v>
      </c>
      <c r="K19" s="174">
        <f t="shared" ref="K19:K29" si="0">(J19-I19)/I19</f>
        <v>-0.77560124127230412</v>
      </c>
      <c r="M19" t="s">
        <v>42</v>
      </c>
    </row>
    <row r="20" spans="2:21" x14ac:dyDescent="0.4">
      <c r="B20" t="s">
        <v>43</v>
      </c>
      <c r="C20" t="s">
        <v>39</v>
      </c>
      <c r="D20" s="2">
        <v>87</v>
      </c>
      <c r="E20" s="2"/>
      <c r="F20" s="2"/>
      <c r="G20" s="2"/>
      <c r="H20" s="173">
        <v>87</v>
      </c>
      <c r="I20" s="170">
        <v>23797</v>
      </c>
      <c r="J20" s="170">
        <v>5440</v>
      </c>
      <c r="K20" s="174">
        <f t="shared" si="0"/>
        <v>-0.77139975627179902</v>
      </c>
      <c r="M20" t="s">
        <v>44</v>
      </c>
    </row>
    <row r="21" spans="2:21" x14ac:dyDescent="0.4">
      <c r="B21" t="s">
        <v>45</v>
      </c>
      <c r="C21" t="s">
        <v>46</v>
      </c>
      <c r="D21" s="2">
        <v>80</v>
      </c>
      <c r="E21" s="2"/>
      <c r="F21" s="2"/>
      <c r="G21" s="2"/>
      <c r="H21" s="173">
        <v>80</v>
      </c>
      <c r="I21" s="170">
        <v>32569</v>
      </c>
      <c r="J21" s="170">
        <v>15270</v>
      </c>
      <c r="K21" s="174">
        <f t="shared" si="0"/>
        <v>-0.53114925235653532</v>
      </c>
      <c r="M21" t="s">
        <v>47</v>
      </c>
    </row>
    <row r="22" spans="2:21" x14ac:dyDescent="0.4">
      <c r="B22" t="s">
        <v>48</v>
      </c>
      <c r="C22" t="s">
        <v>49</v>
      </c>
      <c r="D22" s="2">
        <v>75</v>
      </c>
      <c r="E22" s="2"/>
      <c r="F22" s="2"/>
      <c r="G22" s="2"/>
      <c r="H22" s="173">
        <v>75</v>
      </c>
      <c r="I22" s="170">
        <v>52301</v>
      </c>
      <c r="J22" s="170">
        <v>20150</v>
      </c>
      <c r="K22" s="174">
        <f t="shared" si="0"/>
        <v>-0.61473011988298498</v>
      </c>
      <c r="M22" t="s">
        <v>50</v>
      </c>
      <c r="O22" t="s">
        <v>51</v>
      </c>
    </row>
    <row r="23" spans="2:21" x14ac:dyDescent="0.4">
      <c r="B23" t="s">
        <v>52</v>
      </c>
      <c r="C23" t="s">
        <v>53</v>
      </c>
      <c r="D23" s="2">
        <v>86</v>
      </c>
      <c r="E23" s="2"/>
      <c r="F23" s="2"/>
      <c r="G23" s="2"/>
      <c r="H23" s="173">
        <v>86</v>
      </c>
      <c r="I23" s="170">
        <v>11575</v>
      </c>
      <c r="J23" s="170">
        <v>5870</v>
      </c>
      <c r="K23" s="174">
        <f t="shared" si="0"/>
        <v>-0.49287257019438446</v>
      </c>
      <c r="O23" t="s">
        <v>54</v>
      </c>
    </row>
    <row r="24" spans="2:21" x14ac:dyDescent="0.4">
      <c r="B24" t="s">
        <v>55</v>
      </c>
      <c r="C24" t="s">
        <v>56</v>
      </c>
      <c r="D24" s="2">
        <v>33</v>
      </c>
      <c r="E24" s="2"/>
      <c r="F24" s="2"/>
      <c r="G24" s="2"/>
      <c r="H24" s="173">
        <v>33</v>
      </c>
      <c r="I24" s="170">
        <v>326403</v>
      </c>
      <c r="J24" s="170">
        <v>193500</v>
      </c>
      <c r="K24" s="174">
        <f t="shared" si="0"/>
        <v>-0.40717456641023519</v>
      </c>
      <c r="M24" t="s">
        <v>57</v>
      </c>
    </row>
    <row r="25" spans="2:21" x14ac:dyDescent="0.4">
      <c r="B25" t="s">
        <v>58</v>
      </c>
      <c r="C25" t="s">
        <v>59</v>
      </c>
      <c r="D25" s="2">
        <v>200</v>
      </c>
      <c r="E25" s="2"/>
      <c r="F25" s="2"/>
      <c r="G25" s="2"/>
      <c r="H25" s="173">
        <v>200</v>
      </c>
      <c r="I25" s="170">
        <v>7500</v>
      </c>
      <c r="J25" s="170">
        <v>3365</v>
      </c>
      <c r="K25" s="174">
        <f t="shared" si="0"/>
        <v>-0.55133333333333334</v>
      </c>
    </row>
    <row r="26" spans="2:21" x14ac:dyDescent="0.4">
      <c r="B26" t="s">
        <v>60</v>
      </c>
      <c r="C26" t="s">
        <v>61</v>
      </c>
      <c r="D26" s="2">
        <v>6</v>
      </c>
      <c r="E26" s="2"/>
      <c r="F26" s="2"/>
      <c r="G26" s="2"/>
      <c r="H26" s="173">
        <v>6</v>
      </c>
      <c r="I26" s="170">
        <v>120000</v>
      </c>
      <c r="J26" s="170">
        <v>94000</v>
      </c>
      <c r="K26" s="174">
        <f t="shared" si="0"/>
        <v>-0.21666666666666667</v>
      </c>
    </row>
    <row r="27" spans="2:21" ht="18" customHeight="1" thickBot="1" x14ac:dyDescent="0.45">
      <c r="B27" t="s">
        <v>62</v>
      </c>
      <c r="C27" t="s">
        <v>63</v>
      </c>
      <c r="D27" s="2">
        <v>5</v>
      </c>
      <c r="E27" s="2"/>
      <c r="F27" s="2"/>
      <c r="G27" s="2"/>
      <c r="H27" s="175">
        <v>5</v>
      </c>
      <c r="I27" s="176">
        <v>250000</v>
      </c>
      <c r="J27" s="176">
        <v>124400</v>
      </c>
      <c r="K27" s="177">
        <f t="shared" si="0"/>
        <v>-0.50239999999999996</v>
      </c>
      <c r="M27" t="s">
        <v>57</v>
      </c>
      <c r="U27">
        <v>200000000</v>
      </c>
    </row>
    <row r="28" spans="2:21" x14ac:dyDescent="0.4">
      <c r="B28" t="s">
        <v>64</v>
      </c>
      <c r="C28" t="s">
        <v>53</v>
      </c>
      <c r="D28" s="2">
        <v>201</v>
      </c>
      <c r="E28" s="2"/>
      <c r="F28" t="s">
        <v>65</v>
      </c>
      <c r="G28" s="2"/>
      <c r="H28" s="173">
        <v>201</v>
      </c>
      <c r="I28" s="170">
        <v>10594</v>
      </c>
      <c r="J28" s="170">
        <v>8130</v>
      </c>
      <c r="K28" s="174">
        <f t="shared" si="0"/>
        <v>-0.23258448178214083</v>
      </c>
    </row>
    <row r="29" spans="2:21" x14ac:dyDescent="0.4">
      <c r="D29" s="2"/>
      <c r="E29" s="2"/>
      <c r="F29" s="2"/>
      <c r="G29" s="2"/>
      <c r="H29" s="2"/>
      <c r="I29" s="2"/>
      <c r="J29" s="2"/>
      <c r="K29" s="71" t="e">
        <f t="shared" si="0"/>
        <v>#DIV/0!</v>
      </c>
      <c r="U29">
        <f>U27*0.00025</f>
        <v>50000</v>
      </c>
    </row>
    <row r="30" spans="2:21" x14ac:dyDescent="0.4">
      <c r="C30" s="2"/>
      <c r="D30" s="2"/>
      <c r="E30" s="2"/>
      <c r="F30" s="2"/>
      <c r="G30" s="2"/>
      <c r="H30" s="2"/>
      <c r="I30" s="2"/>
      <c r="J30" s="71" t="e">
        <f t="shared" ref="J30:J36" si="1">(I30-D30)/D30</f>
        <v>#DIV/0!</v>
      </c>
      <c r="O30" t="s">
        <v>66</v>
      </c>
      <c r="U30" s="16">
        <f>2000/0.00015</f>
        <v>13333333.333333334</v>
      </c>
    </row>
    <row r="31" spans="2:21" x14ac:dyDescent="0.4">
      <c r="C31" s="2"/>
      <c r="D31" s="2"/>
      <c r="E31" s="2"/>
      <c r="F31" s="2"/>
      <c r="G31" s="2"/>
      <c r="H31" s="2"/>
      <c r="I31" s="2"/>
      <c r="J31" s="71" t="e">
        <f t="shared" si="1"/>
        <v>#DIV/0!</v>
      </c>
      <c r="N31" t="s">
        <v>67</v>
      </c>
    </row>
    <row r="32" spans="2:21" x14ac:dyDescent="0.4">
      <c r="C32" s="2"/>
      <c r="D32" s="2"/>
      <c r="E32" s="2"/>
      <c r="F32" s="2"/>
      <c r="G32" s="2"/>
      <c r="H32" s="2"/>
      <c r="I32" s="2"/>
      <c r="J32" s="71" t="e">
        <f t="shared" si="1"/>
        <v>#DIV/0!</v>
      </c>
      <c r="N32" t="s">
        <v>68</v>
      </c>
    </row>
    <row r="33" spans="2:13" x14ac:dyDescent="0.4">
      <c r="C33" s="2"/>
      <c r="D33" s="2"/>
      <c r="E33" s="2"/>
      <c r="F33" s="2"/>
      <c r="G33" s="2"/>
      <c r="H33" s="2"/>
      <c r="I33" s="2"/>
      <c r="J33" s="71" t="e">
        <f t="shared" si="1"/>
        <v>#DIV/0!</v>
      </c>
    </row>
    <row r="34" spans="2:13" x14ac:dyDescent="0.4">
      <c r="C34" s="2"/>
      <c r="D34" s="2"/>
      <c r="E34" s="2"/>
      <c r="F34" s="2"/>
      <c r="G34" s="2"/>
      <c r="H34" s="2"/>
      <c r="I34" s="2"/>
      <c r="J34" s="71" t="e">
        <f t="shared" si="1"/>
        <v>#DIV/0!</v>
      </c>
    </row>
    <row r="35" spans="2:13" x14ac:dyDescent="0.4">
      <c r="C35" s="2"/>
      <c r="D35" s="2"/>
      <c r="E35" s="2"/>
      <c r="F35" s="2"/>
      <c r="G35" s="2"/>
      <c r="H35" s="2"/>
      <c r="I35" s="2"/>
      <c r="J35" s="71" t="e">
        <f t="shared" si="1"/>
        <v>#DIV/0!</v>
      </c>
    </row>
    <row r="36" spans="2:13" x14ac:dyDescent="0.4">
      <c r="C36" s="2"/>
      <c r="D36" s="2"/>
      <c r="E36" s="2"/>
      <c r="F36" s="2"/>
      <c r="G36" s="2"/>
      <c r="H36" s="2"/>
      <c r="I36" s="2"/>
      <c r="J36" s="71" t="e">
        <f t="shared" si="1"/>
        <v>#DIV/0!</v>
      </c>
    </row>
    <row r="37" spans="2:13" x14ac:dyDescent="0.4">
      <c r="C37" s="2"/>
      <c r="D37" s="2"/>
      <c r="E37" s="2"/>
      <c r="F37" s="2"/>
    </row>
    <row r="38" spans="2:13" x14ac:dyDescent="0.4">
      <c r="C38" s="2"/>
      <c r="D38" s="2"/>
      <c r="E38" s="2"/>
      <c r="F38" s="2"/>
    </row>
    <row r="39" spans="2:13" x14ac:dyDescent="0.4">
      <c r="C39" s="2"/>
      <c r="D39" s="2"/>
      <c r="E39" s="2"/>
      <c r="F39" s="2"/>
    </row>
    <row r="40" spans="2:13" x14ac:dyDescent="0.4">
      <c r="B40" t="s">
        <v>69</v>
      </c>
      <c r="C40" s="2"/>
      <c r="D40" s="2"/>
      <c r="E40" s="2"/>
      <c r="F40" s="2"/>
    </row>
    <row r="41" spans="2:13" x14ac:dyDescent="0.4">
      <c r="C41" t="s">
        <v>70</v>
      </c>
      <c r="D41" t="s">
        <v>71</v>
      </c>
      <c r="F41" t="s">
        <v>72</v>
      </c>
      <c r="J41" t="s">
        <v>73</v>
      </c>
      <c r="L41" t="s">
        <v>74</v>
      </c>
      <c r="M41" t="s">
        <v>75</v>
      </c>
    </row>
    <row r="42" spans="2:13" x14ac:dyDescent="0.4">
      <c r="B42" t="s">
        <v>76</v>
      </c>
      <c r="C42">
        <v>11</v>
      </c>
      <c r="D42">
        <v>108</v>
      </c>
      <c r="F42">
        <f>C42*D42</f>
        <v>1188</v>
      </c>
      <c r="G42">
        <f>F42/15</f>
        <v>79.2</v>
      </c>
      <c r="I42">
        <f>C42*0.7</f>
        <v>7.6999999999999993</v>
      </c>
      <c r="J42">
        <v>84</v>
      </c>
    </row>
    <row r="43" spans="2:13" x14ac:dyDescent="0.4">
      <c r="B43" t="s">
        <v>77</v>
      </c>
      <c r="C43">
        <v>3.7</v>
      </c>
      <c r="D43">
        <v>13</v>
      </c>
      <c r="F43">
        <f>C43*D43</f>
        <v>48.1</v>
      </c>
      <c r="G43">
        <f>F43/15</f>
        <v>3.2066666666666666</v>
      </c>
      <c r="I43">
        <f>C43*0.7</f>
        <v>2.59</v>
      </c>
      <c r="J43">
        <v>1190</v>
      </c>
    </row>
    <row r="44" spans="2:13" x14ac:dyDescent="0.4">
      <c r="B44" t="s">
        <v>78</v>
      </c>
      <c r="C44">
        <v>3.5</v>
      </c>
      <c r="D44">
        <v>33</v>
      </c>
      <c r="F44">
        <f>C44*D44</f>
        <v>115.5</v>
      </c>
      <c r="G44">
        <f>F44/15</f>
        <v>7.7</v>
      </c>
      <c r="I44">
        <f>C44*0.7</f>
        <v>2.4499999999999997</v>
      </c>
      <c r="J44">
        <v>810</v>
      </c>
    </row>
    <row r="45" spans="2:13" x14ac:dyDescent="0.4">
      <c r="B45" t="s">
        <v>79</v>
      </c>
      <c r="C45">
        <v>18.8</v>
      </c>
      <c r="D45">
        <v>10</v>
      </c>
      <c r="F45">
        <f>C45*D45</f>
        <v>188</v>
      </c>
      <c r="G45">
        <f>F45/15</f>
        <v>12.533333333333333</v>
      </c>
      <c r="I45">
        <f>C45*0.7</f>
        <v>13.16</v>
      </c>
      <c r="J45">
        <v>1170</v>
      </c>
    </row>
    <row r="46" spans="2:13" x14ac:dyDescent="0.4">
      <c r="B46" t="s">
        <v>80</v>
      </c>
      <c r="C46">
        <v>103.5</v>
      </c>
      <c r="D46">
        <v>9</v>
      </c>
      <c r="F46">
        <f>C46*D46</f>
        <v>931.5</v>
      </c>
      <c r="G46">
        <f>F46/15</f>
        <v>62.1</v>
      </c>
      <c r="I46">
        <f>C46*0.7</f>
        <v>72.449999999999989</v>
      </c>
      <c r="J46">
        <v>500</v>
      </c>
    </row>
    <row r="49" spans="2:5" x14ac:dyDescent="0.4">
      <c r="B49" t="s">
        <v>81</v>
      </c>
      <c r="D49" t="s">
        <v>82</v>
      </c>
    </row>
    <row r="50" spans="2:5" x14ac:dyDescent="0.4">
      <c r="B50" t="s">
        <v>83</v>
      </c>
      <c r="D50" s="2">
        <v>28885</v>
      </c>
      <c r="E50" t="s">
        <v>84</v>
      </c>
    </row>
    <row r="51" spans="2:5" x14ac:dyDescent="0.4">
      <c r="B51" t="s">
        <v>85</v>
      </c>
      <c r="D51" s="2">
        <v>7975</v>
      </c>
      <c r="E51" t="s">
        <v>84</v>
      </c>
    </row>
    <row r="52" spans="2:5" x14ac:dyDescent="0.4">
      <c r="B52" t="s">
        <v>86</v>
      </c>
      <c r="D52" s="2">
        <v>25625</v>
      </c>
      <c r="E52" t="s">
        <v>87</v>
      </c>
    </row>
    <row r="53" spans="2:5" x14ac:dyDescent="0.4">
      <c r="B53" t="s">
        <v>88</v>
      </c>
      <c r="D53" s="2">
        <v>10645</v>
      </c>
      <c r="E53" t="s">
        <v>87</v>
      </c>
    </row>
    <row r="54" spans="2:5" x14ac:dyDescent="0.4">
      <c r="B54" t="s">
        <v>89</v>
      </c>
      <c r="D54" s="2">
        <v>22955</v>
      </c>
      <c r="E54" t="s">
        <v>90</v>
      </c>
    </row>
    <row r="55" spans="2:5" x14ac:dyDescent="0.4">
      <c r="B55" t="s">
        <v>91</v>
      </c>
      <c r="D55" s="2">
        <v>11650</v>
      </c>
      <c r="E55" t="s">
        <v>90</v>
      </c>
    </row>
    <row r="56" spans="2:5" x14ac:dyDescent="0.4">
      <c r="B56" t="s">
        <v>92</v>
      </c>
      <c r="D56" s="2">
        <v>21890</v>
      </c>
      <c r="E56" t="s">
        <v>93</v>
      </c>
    </row>
    <row r="57" spans="2:5" x14ac:dyDescent="0.4">
      <c r="B57" t="s">
        <v>94</v>
      </c>
      <c r="D57" s="2">
        <v>11985</v>
      </c>
      <c r="E57" t="s">
        <v>93</v>
      </c>
    </row>
    <row r="58" spans="2:5" x14ac:dyDescent="0.4">
      <c r="B58" t="s">
        <v>95</v>
      </c>
      <c r="D58" s="2">
        <v>20400</v>
      </c>
      <c r="E58" t="s">
        <v>96</v>
      </c>
    </row>
    <row r="59" spans="2:5" x14ac:dyDescent="0.4">
      <c r="B59" t="s">
        <v>97</v>
      </c>
      <c r="D59" s="2">
        <v>12285</v>
      </c>
      <c r="E59" t="s">
        <v>96</v>
      </c>
    </row>
    <row r="60" spans="2:5" x14ac:dyDescent="0.4">
      <c r="D60" s="2">
        <f>SUM(D50:D59)*52</f>
        <v>9063340</v>
      </c>
    </row>
    <row r="67" spans="2:7" x14ac:dyDescent="0.4">
      <c r="D67">
        <f>19500/0.0398</f>
        <v>489949.74874371855</v>
      </c>
    </row>
    <row r="72" spans="2:7" x14ac:dyDescent="0.4">
      <c r="B72" t="s">
        <v>0</v>
      </c>
      <c r="C72" t="s">
        <v>98</v>
      </c>
      <c r="D72" t="s">
        <v>99</v>
      </c>
      <c r="E72" t="s">
        <v>71</v>
      </c>
      <c r="F72" t="s">
        <v>100</v>
      </c>
      <c r="G72" t="s">
        <v>101</v>
      </c>
    </row>
    <row r="73" spans="2:7" x14ac:dyDescent="0.4">
      <c r="B73" t="s">
        <v>102</v>
      </c>
      <c r="C73" s="1">
        <v>46134</v>
      </c>
      <c r="D73" s="2">
        <v>67500</v>
      </c>
      <c r="E73" s="2">
        <v>17</v>
      </c>
      <c r="F73" s="2" t="s">
        <v>103</v>
      </c>
      <c r="G73" t="s">
        <v>104</v>
      </c>
    </row>
    <row r="74" spans="2:7" x14ac:dyDescent="0.4">
      <c r="B74" t="s">
        <v>105</v>
      </c>
      <c r="C74" s="1">
        <v>46134</v>
      </c>
      <c r="D74" s="2">
        <v>27300</v>
      </c>
      <c r="E74" s="2">
        <v>230</v>
      </c>
      <c r="F74" s="2" t="s">
        <v>103</v>
      </c>
      <c r="G74" t="s">
        <v>104</v>
      </c>
    </row>
    <row r="75" spans="2:7" x14ac:dyDescent="0.4">
      <c r="B75" t="s">
        <v>106</v>
      </c>
      <c r="C75" s="1">
        <v>46134</v>
      </c>
      <c r="D75" s="2">
        <v>266000</v>
      </c>
      <c r="E75" s="2">
        <v>5</v>
      </c>
      <c r="F75" s="2">
        <v>1900000</v>
      </c>
      <c r="G75" t="s">
        <v>104</v>
      </c>
    </row>
    <row r="76" spans="2:7" x14ac:dyDescent="0.4">
      <c r="B76" t="s">
        <v>40</v>
      </c>
      <c r="C76" s="1">
        <v>46134</v>
      </c>
      <c r="D76" s="2">
        <v>11600</v>
      </c>
      <c r="E76" s="2">
        <v>123</v>
      </c>
      <c r="F76" s="2">
        <v>2700000</v>
      </c>
      <c r="G76" t="s">
        <v>104</v>
      </c>
    </row>
    <row r="77" spans="2:7" x14ac:dyDescent="0.4">
      <c r="B77" t="s">
        <v>107</v>
      </c>
      <c r="C77" s="1">
        <v>46134</v>
      </c>
      <c r="D77" s="2">
        <v>17800</v>
      </c>
      <c r="E77" s="2">
        <v>128</v>
      </c>
      <c r="F77" s="2">
        <v>260000</v>
      </c>
      <c r="G77" t="s">
        <v>104</v>
      </c>
    </row>
    <row r="78" spans="2:7" x14ac:dyDescent="0.4">
      <c r="B78" t="s">
        <v>108</v>
      </c>
      <c r="C78" s="1">
        <v>46134</v>
      </c>
      <c r="D78" s="2">
        <v>29000</v>
      </c>
      <c r="E78" s="2">
        <v>440</v>
      </c>
      <c r="F78" s="2">
        <v>750000</v>
      </c>
      <c r="G78" t="s">
        <v>104</v>
      </c>
    </row>
    <row r="79" spans="2:7" x14ac:dyDescent="0.4">
      <c r="B79" t="s">
        <v>48</v>
      </c>
      <c r="C79" s="1">
        <v>46134</v>
      </c>
      <c r="D79" s="2">
        <v>23700</v>
      </c>
      <c r="E79" s="2">
        <v>136</v>
      </c>
      <c r="F79" s="2">
        <v>2100000</v>
      </c>
      <c r="G79" t="s">
        <v>104</v>
      </c>
    </row>
    <row r="80" spans="2:7" x14ac:dyDescent="0.4">
      <c r="B80" t="s">
        <v>58</v>
      </c>
      <c r="C80" s="1">
        <v>46134</v>
      </c>
      <c r="D80" s="2">
        <v>4230</v>
      </c>
      <c r="E80" s="2">
        <v>212</v>
      </c>
      <c r="F80" s="2">
        <v>500000</v>
      </c>
      <c r="G80" t="s">
        <v>104</v>
      </c>
    </row>
    <row r="81" spans="2:7" x14ac:dyDescent="0.4">
      <c r="B81" t="s">
        <v>38</v>
      </c>
      <c r="C81" s="1">
        <v>46134</v>
      </c>
      <c r="D81" s="2">
        <v>5700</v>
      </c>
      <c r="E81" s="2">
        <v>87</v>
      </c>
      <c r="F81" s="2">
        <v>4600000</v>
      </c>
      <c r="G81" t="s">
        <v>104</v>
      </c>
    </row>
    <row r="82" spans="2:7" x14ac:dyDescent="0.4">
      <c r="B82" t="s">
        <v>109</v>
      </c>
      <c r="C82" s="1">
        <v>46134</v>
      </c>
      <c r="D82" s="2">
        <v>6250</v>
      </c>
      <c r="E82" s="2">
        <v>1000</v>
      </c>
      <c r="F82" s="2">
        <v>40000</v>
      </c>
      <c r="G82" t="s">
        <v>104</v>
      </c>
    </row>
    <row r="83" spans="2:7" x14ac:dyDescent="0.4">
      <c r="B83" t="s">
        <v>55</v>
      </c>
      <c r="C83" s="1">
        <v>46134</v>
      </c>
      <c r="D83" s="2">
        <v>204500</v>
      </c>
      <c r="E83" s="2">
        <v>56</v>
      </c>
      <c r="F83" s="2">
        <v>2800000</v>
      </c>
      <c r="G83" t="s">
        <v>104</v>
      </c>
    </row>
    <row r="84" spans="2:7" x14ac:dyDescent="0.4">
      <c r="B84" t="s">
        <v>110</v>
      </c>
      <c r="C84" s="1">
        <v>46134</v>
      </c>
      <c r="D84" s="2">
        <v>5700</v>
      </c>
      <c r="E84" s="2">
        <v>400</v>
      </c>
      <c r="F84" s="2" t="s">
        <v>103</v>
      </c>
      <c r="G84" t="s">
        <v>104</v>
      </c>
    </row>
    <row r="85" spans="2:7" x14ac:dyDescent="0.4">
      <c r="B85" t="s">
        <v>111</v>
      </c>
      <c r="C85" s="1">
        <v>46134</v>
      </c>
      <c r="D85" s="2">
        <v>35800</v>
      </c>
      <c r="E85" s="2">
        <v>3</v>
      </c>
      <c r="F85" s="2" t="s">
        <v>103</v>
      </c>
      <c r="G85" t="s">
        <v>104</v>
      </c>
    </row>
    <row r="86" spans="2:7" x14ac:dyDescent="0.4">
      <c r="B86" t="s">
        <v>29</v>
      </c>
      <c r="C86" s="1">
        <v>46134</v>
      </c>
      <c r="D86" s="2">
        <v>17700</v>
      </c>
      <c r="E86" s="2">
        <v>145</v>
      </c>
      <c r="F86" s="2">
        <v>2200000</v>
      </c>
      <c r="G86" t="s">
        <v>104</v>
      </c>
    </row>
    <row r="87" spans="2:7" x14ac:dyDescent="0.4">
      <c r="B87" t="s">
        <v>112</v>
      </c>
      <c r="C87" s="1">
        <v>46134</v>
      </c>
      <c r="D87" s="2">
        <v>24600</v>
      </c>
      <c r="E87" s="2">
        <v>239</v>
      </c>
      <c r="F87" s="2">
        <v>7200000</v>
      </c>
      <c r="G87" t="s">
        <v>104</v>
      </c>
    </row>
    <row r="88" spans="2:7" x14ac:dyDescent="0.4">
      <c r="D88" s="2"/>
      <c r="E88" s="2"/>
      <c r="F88" s="2"/>
    </row>
    <row r="89" spans="2:7" x14ac:dyDescent="0.4">
      <c r="D89" s="2"/>
      <c r="E89" s="2"/>
      <c r="F89" s="2"/>
    </row>
    <row r="90" spans="2:7" x14ac:dyDescent="0.4">
      <c r="D90" s="2"/>
      <c r="E90" s="2"/>
      <c r="F90" s="2"/>
    </row>
    <row r="91" spans="2:7" x14ac:dyDescent="0.4">
      <c r="D91" s="2"/>
      <c r="E91" s="2"/>
      <c r="F91" s="2"/>
    </row>
    <row r="92" spans="2:7" x14ac:dyDescent="0.4">
      <c r="D92" s="2"/>
      <c r="E92" s="2"/>
    </row>
    <row r="93" spans="2:7" x14ac:dyDescent="0.4">
      <c r="D93" s="2"/>
      <c r="E93" s="2"/>
    </row>
    <row r="94" spans="2:7" x14ac:dyDescent="0.4">
      <c r="D94" s="2"/>
      <c r="E94" s="2"/>
    </row>
    <row r="95" spans="2:7" x14ac:dyDescent="0.4">
      <c r="D95" s="2"/>
      <c r="E95" s="2"/>
    </row>
    <row r="96" spans="2:7" x14ac:dyDescent="0.4">
      <c r="D96" s="2"/>
      <c r="E96" s="2"/>
    </row>
    <row r="97" spans="4:5" x14ac:dyDescent="0.4">
      <c r="D97" s="2"/>
      <c r="E97" s="2"/>
    </row>
    <row r="98" spans="4:5" x14ac:dyDescent="0.4">
      <c r="D98" s="2"/>
      <c r="E98" s="2"/>
    </row>
    <row r="99" spans="4:5" x14ac:dyDescent="0.4">
      <c r="D99" s="2"/>
      <c r="E99" s="2"/>
    </row>
    <row r="100" spans="4:5" x14ac:dyDescent="0.4">
      <c r="D100" s="2"/>
      <c r="E100" s="2"/>
    </row>
  </sheetData>
  <mergeCells count="1">
    <mergeCell ref="H7:K7"/>
  </mergeCells>
  <phoneticPr fontId="9" type="noConversion"/>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AH2480"/>
  <sheetViews>
    <sheetView tabSelected="1" topLeftCell="A2165" workbookViewId="0">
      <selection activeCell="B2209" sqref="B2209:Q2480"/>
    </sheetView>
  </sheetViews>
  <sheetFormatPr defaultRowHeight="17.399999999999999" x14ac:dyDescent="0.4"/>
  <cols>
    <col min="1" max="1" width="10.19921875" style="405" customWidth="1"/>
    <col min="2" max="2" width="16.19921875" style="405" customWidth="1"/>
    <col min="3" max="3" width="10.3984375" style="405" customWidth="1"/>
    <col min="5" max="5" width="9.69921875" style="405" bestFit="1" customWidth="1"/>
    <col min="6" max="6" width="10.59765625" style="405" customWidth="1"/>
    <col min="7" max="7" width="11.09765625" style="405" customWidth="1"/>
    <col min="8" max="8" width="9" style="405" customWidth="1"/>
    <col min="9" max="9" width="11.09765625" style="405" customWidth="1"/>
    <col min="10" max="10" width="9" style="405" customWidth="1"/>
    <col min="11" max="11" width="10.5" style="405" customWidth="1"/>
    <col min="12" max="12" width="9.69921875" style="405" customWidth="1"/>
    <col min="13" max="13" width="9" style="405" customWidth="1"/>
    <col min="14" max="14" width="10.5" style="405" customWidth="1"/>
    <col min="15" max="16" width="9" style="405" customWidth="1"/>
    <col min="17" max="17" width="11" style="405" customWidth="1"/>
    <col min="18" max="18" width="3.8984375" style="405" customWidth="1"/>
    <col min="19" max="19" width="9.69921875" style="405" customWidth="1"/>
    <col min="20" max="20" width="9" style="405" customWidth="1"/>
    <col min="22" max="22" width="9.69921875" style="405" bestFit="1" customWidth="1"/>
  </cols>
  <sheetData>
    <row r="3" spans="2:34" ht="21" customHeight="1" x14ac:dyDescent="0.4">
      <c r="B3" s="98" t="s">
        <v>553</v>
      </c>
      <c r="F3" t="s">
        <v>554</v>
      </c>
      <c r="G3" s="1">
        <v>44595</v>
      </c>
    </row>
    <row r="4" spans="2:34" ht="18" customHeight="1" thickBot="1" x14ac:dyDescent="0.45">
      <c r="B4" s="33" t="s">
        <v>555</v>
      </c>
      <c r="C4" s="33" t="s">
        <v>556</v>
      </c>
      <c r="D4" s="33"/>
      <c r="E4" s="33"/>
      <c r="F4" s="33"/>
      <c r="G4" s="33"/>
      <c r="H4" s="33"/>
      <c r="I4" s="33"/>
      <c r="J4" s="33"/>
      <c r="K4" s="33"/>
      <c r="L4" s="33"/>
      <c r="M4" s="33"/>
      <c r="N4" s="33"/>
      <c r="O4" s="33"/>
      <c r="P4" s="33"/>
      <c r="Q4" s="33"/>
      <c r="S4" s="33" t="s">
        <v>557</v>
      </c>
      <c r="T4" s="33" t="s">
        <v>558</v>
      </c>
      <c r="U4" s="33"/>
      <c r="V4" s="33"/>
      <c r="W4" s="33"/>
      <c r="X4" s="33"/>
      <c r="Y4" s="33"/>
      <c r="Z4" s="33"/>
      <c r="AA4" s="33"/>
      <c r="AB4" s="33"/>
      <c r="AC4" s="33"/>
      <c r="AD4" s="33"/>
      <c r="AE4" s="33"/>
      <c r="AF4" s="33"/>
      <c r="AG4" s="33"/>
      <c r="AH4" s="33"/>
    </row>
    <row r="5" spans="2:34" ht="18" customHeight="1" thickBot="1" x14ac:dyDescent="0.45">
      <c r="B5" s="42" t="s">
        <v>559</v>
      </c>
      <c r="C5" s="43" t="s">
        <v>560</v>
      </c>
      <c r="D5" s="43" t="s">
        <v>561</v>
      </c>
      <c r="E5" s="44" t="s">
        <v>562</v>
      </c>
      <c r="F5" s="43" t="s">
        <v>563</v>
      </c>
      <c r="G5" s="43" t="s">
        <v>564</v>
      </c>
      <c r="H5" s="43" t="s">
        <v>119</v>
      </c>
      <c r="I5" s="43" t="s">
        <v>565</v>
      </c>
      <c r="J5" s="101" t="s">
        <v>566</v>
      </c>
      <c r="K5" s="43" t="s">
        <v>567</v>
      </c>
      <c r="L5" s="45" t="s">
        <v>568</v>
      </c>
      <c r="M5" s="106" t="s">
        <v>569</v>
      </c>
      <c r="N5" s="103"/>
      <c r="O5" s="103"/>
      <c r="P5" s="103"/>
      <c r="Q5" s="103"/>
      <c r="S5" s="42" t="s">
        <v>559</v>
      </c>
      <c r="T5" s="43" t="s">
        <v>560</v>
      </c>
      <c r="U5" s="43" t="s">
        <v>561</v>
      </c>
      <c r="V5" s="44" t="s">
        <v>562</v>
      </c>
      <c r="W5" s="43" t="s">
        <v>563</v>
      </c>
      <c r="X5" s="43" t="s">
        <v>564</v>
      </c>
      <c r="Y5" s="43" t="s">
        <v>119</v>
      </c>
      <c r="Z5" s="43" t="s">
        <v>565</v>
      </c>
      <c r="AA5" s="101" t="s">
        <v>566</v>
      </c>
      <c r="AB5" s="43" t="s">
        <v>567</v>
      </c>
      <c r="AC5" s="45" t="s">
        <v>568</v>
      </c>
      <c r="AD5" s="106" t="s">
        <v>569</v>
      </c>
      <c r="AE5" s="103"/>
      <c r="AF5" s="103"/>
      <c r="AG5" s="103"/>
      <c r="AH5" s="103"/>
    </row>
    <row r="6" spans="2:34" x14ac:dyDescent="0.4">
      <c r="B6" s="109">
        <v>44315</v>
      </c>
      <c r="C6" s="34" t="s">
        <v>556</v>
      </c>
      <c r="D6" s="34">
        <v>500000</v>
      </c>
      <c r="E6" s="99"/>
      <c r="F6" s="34" t="s">
        <v>570</v>
      </c>
      <c r="G6" s="34" t="s">
        <v>571</v>
      </c>
      <c r="H6" s="34"/>
      <c r="I6" s="34"/>
      <c r="J6" s="102" t="s">
        <v>572</v>
      </c>
      <c r="K6" s="34" t="s">
        <v>573</v>
      </c>
      <c r="L6" s="100">
        <f>DATE(YEAR(B6)+10,MONTH(B6),DAY(B6))</f>
        <v>47967</v>
      </c>
      <c r="M6" s="107">
        <f>D6</f>
        <v>500000</v>
      </c>
      <c r="N6" s="34"/>
      <c r="O6" s="36"/>
      <c r="P6" s="104"/>
      <c r="Q6" s="105"/>
      <c r="S6" s="109">
        <v>44315</v>
      </c>
      <c r="T6" s="33" t="s">
        <v>558</v>
      </c>
      <c r="U6" s="34">
        <v>500000</v>
      </c>
      <c r="V6" s="99"/>
      <c r="W6" s="34" t="s">
        <v>570</v>
      </c>
      <c r="X6" s="34" t="s">
        <v>571</v>
      </c>
      <c r="Y6" s="34"/>
      <c r="Z6" s="34"/>
      <c r="AA6" s="102" t="s">
        <v>572</v>
      </c>
      <c r="AB6" s="34" t="s">
        <v>573</v>
      </c>
      <c r="AC6" s="100">
        <f>DATE(YEAR(S6)+10,MONTH(S6),DAY(S6))</f>
        <v>47967</v>
      </c>
      <c r="AD6" s="107">
        <f>U6</f>
        <v>500000</v>
      </c>
      <c r="AE6" s="34"/>
      <c r="AF6" s="36"/>
      <c r="AG6" s="104"/>
      <c r="AH6" s="105"/>
    </row>
    <row r="7" spans="2:34" x14ac:dyDescent="0.4">
      <c r="B7" s="109">
        <v>44351</v>
      </c>
      <c r="C7" s="34" t="s">
        <v>556</v>
      </c>
      <c r="D7" s="34">
        <v>100000</v>
      </c>
      <c r="E7" s="99"/>
      <c r="F7" s="34" t="s">
        <v>570</v>
      </c>
      <c r="G7" s="34" t="s">
        <v>574</v>
      </c>
      <c r="H7" s="34"/>
      <c r="I7" s="34"/>
      <c r="J7" s="102" t="s">
        <v>572</v>
      </c>
      <c r="K7" s="34" t="s">
        <v>573</v>
      </c>
      <c r="L7" s="100">
        <f>DATE(YEAR(B7)+10,MONTH(B7),DAY(B7))</f>
        <v>48003</v>
      </c>
      <c r="M7" s="107">
        <f t="shared" ref="M7:M38" si="0">M6+D7</f>
        <v>600000</v>
      </c>
      <c r="N7" s="34"/>
      <c r="O7" s="36"/>
      <c r="P7" s="104"/>
      <c r="Q7" s="105"/>
      <c r="S7" s="109">
        <v>44351</v>
      </c>
      <c r="T7" s="33" t="s">
        <v>558</v>
      </c>
      <c r="U7" s="34">
        <v>100000</v>
      </c>
      <c r="V7" s="99"/>
      <c r="W7" s="34" t="s">
        <v>570</v>
      </c>
      <c r="X7" s="34" t="s">
        <v>574</v>
      </c>
      <c r="Y7" s="34"/>
      <c r="Z7" s="34"/>
      <c r="AA7" s="102" t="s">
        <v>572</v>
      </c>
      <c r="AB7" s="34" t="s">
        <v>573</v>
      </c>
      <c r="AC7" s="100">
        <f>DATE(YEAR(S7)+10,MONTH(S7),DAY(S7))</f>
        <v>48003</v>
      </c>
      <c r="AD7" s="107">
        <f t="shared" ref="AD7:AD38" si="1">AD6+U7</f>
        <v>600000</v>
      </c>
      <c r="AE7" s="34"/>
      <c r="AF7" s="36"/>
      <c r="AG7" s="104"/>
      <c r="AH7" s="105"/>
    </row>
    <row r="8" spans="2:34" x14ac:dyDescent="0.4">
      <c r="B8" s="109">
        <v>44354</v>
      </c>
      <c r="C8" s="34" t="s">
        <v>556</v>
      </c>
      <c r="D8" s="34"/>
      <c r="E8" s="99">
        <v>16</v>
      </c>
      <c r="G8" s="34"/>
      <c r="H8" s="34" t="s">
        <v>513</v>
      </c>
      <c r="J8" s="53"/>
      <c r="K8" s="34"/>
      <c r="L8" s="40"/>
      <c r="M8" s="107">
        <f t="shared" si="0"/>
        <v>600000</v>
      </c>
      <c r="N8" s="34"/>
      <c r="O8" s="36"/>
      <c r="P8" s="104"/>
      <c r="Q8" s="105"/>
      <c r="S8" s="109">
        <v>44354</v>
      </c>
      <c r="T8" s="33" t="s">
        <v>558</v>
      </c>
      <c r="U8" s="34"/>
      <c r="V8" s="99">
        <v>16</v>
      </c>
      <c r="X8" s="34"/>
      <c r="Y8" s="34" t="s">
        <v>513</v>
      </c>
      <c r="AA8" s="53"/>
      <c r="AB8" s="34"/>
      <c r="AC8" s="40"/>
      <c r="AD8" s="107">
        <f t="shared" si="1"/>
        <v>600000</v>
      </c>
      <c r="AE8" s="34"/>
      <c r="AF8" s="36"/>
      <c r="AG8" s="104"/>
      <c r="AH8" s="105"/>
    </row>
    <row r="9" spans="2:34" x14ac:dyDescent="0.4">
      <c r="B9" s="109">
        <v>44400</v>
      </c>
      <c r="C9" s="34" t="s">
        <v>556</v>
      </c>
      <c r="D9" s="34">
        <v>100000</v>
      </c>
      <c r="E9" s="99"/>
      <c r="F9" s="34" t="s">
        <v>570</v>
      </c>
      <c r="G9" s="34" t="s">
        <v>574</v>
      </c>
      <c r="H9" s="34"/>
      <c r="I9" s="34"/>
      <c r="J9" s="102" t="s">
        <v>572</v>
      </c>
      <c r="K9" s="34" t="s">
        <v>573</v>
      </c>
      <c r="L9" s="100">
        <f>DATE(YEAR(B9)+10,MONTH(B9),DAY(B9))</f>
        <v>48052</v>
      </c>
      <c r="M9" s="107">
        <f t="shared" si="0"/>
        <v>700000</v>
      </c>
      <c r="N9" s="34"/>
      <c r="O9" s="36"/>
      <c r="P9" s="104"/>
      <c r="Q9" s="105"/>
      <c r="S9" s="109">
        <v>44400</v>
      </c>
      <c r="T9" s="33" t="s">
        <v>558</v>
      </c>
      <c r="U9" s="34">
        <v>100000</v>
      </c>
      <c r="V9" s="99"/>
      <c r="W9" s="34" t="s">
        <v>570</v>
      </c>
      <c r="X9" s="34" t="s">
        <v>574</v>
      </c>
      <c r="Y9" s="34"/>
      <c r="Z9" s="34"/>
      <c r="AA9" s="102" t="s">
        <v>572</v>
      </c>
      <c r="AB9" s="34" t="s">
        <v>573</v>
      </c>
      <c r="AC9" s="100">
        <f>DATE(YEAR(S9)+10,MONTH(S9),DAY(S9))</f>
        <v>48052</v>
      </c>
      <c r="AD9" s="107">
        <f t="shared" si="1"/>
        <v>700000</v>
      </c>
      <c r="AE9" s="34"/>
      <c r="AF9" s="36"/>
      <c r="AG9" s="104"/>
      <c r="AH9" s="105"/>
    </row>
    <row r="10" spans="2:34" x14ac:dyDescent="0.4">
      <c r="B10" s="109">
        <v>44411</v>
      </c>
      <c r="C10" s="34" t="s">
        <v>556</v>
      </c>
      <c r="D10" s="34">
        <v>100000</v>
      </c>
      <c r="E10" s="99"/>
      <c r="F10" s="34" t="s">
        <v>570</v>
      </c>
      <c r="G10" s="34" t="s">
        <v>574</v>
      </c>
      <c r="H10" s="34"/>
      <c r="I10" s="34"/>
      <c r="J10" s="102" t="s">
        <v>572</v>
      </c>
      <c r="K10" s="34" t="s">
        <v>573</v>
      </c>
      <c r="L10" s="100">
        <f>DATE(YEAR(B10)+10,MONTH(B10),DAY(B10))</f>
        <v>48063</v>
      </c>
      <c r="M10" s="107">
        <f t="shared" si="0"/>
        <v>800000</v>
      </c>
      <c r="N10" s="34"/>
      <c r="O10" s="36"/>
      <c r="P10" s="104"/>
      <c r="Q10" s="105"/>
      <c r="S10" s="109">
        <v>44411</v>
      </c>
      <c r="T10" s="33" t="s">
        <v>558</v>
      </c>
      <c r="U10" s="34">
        <v>100000</v>
      </c>
      <c r="V10" s="99"/>
      <c r="W10" s="34" t="s">
        <v>570</v>
      </c>
      <c r="X10" s="34" t="s">
        <v>574</v>
      </c>
      <c r="Y10" s="34"/>
      <c r="Z10" s="34"/>
      <c r="AA10" s="102" t="s">
        <v>572</v>
      </c>
      <c r="AB10" s="34" t="s">
        <v>573</v>
      </c>
      <c r="AC10" s="100">
        <f>DATE(YEAR(S10)+10,MONTH(S10),DAY(S10))</f>
        <v>48063</v>
      </c>
      <c r="AD10" s="107">
        <f t="shared" si="1"/>
        <v>800000</v>
      </c>
      <c r="AE10" s="34"/>
      <c r="AF10" s="36"/>
      <c r="AG10" s="104"/>
      <c r="AH10" s="105"/>
    </row>
    <row r="11" spans="2:34" x14ac:dyDescent="0.4">
      <c r="B11" s="109">
        <v>44426</v>
      </c>
      <c r="C11" s="34" t="s">
        <v>556</v>
      </c>
      <c r="D11" s="34"/>
      <c r="E11" s="99">
        <v>1083</v>
      </c>
      <c r="G11" s="34"/>
      <c r="H11" s="34" t="s">
        <v>153</v>
      </c>
      <c r="I11" s="34" t="s">
        <v>292</v>
      </c>
      <c r="J11" s="53"/>
      <c r="K11" s="34"/>
      <c r="L11" s="40"/>
      <c r="M11" s="107">
        <f t="shared" si="0"/>
        <v>800000</v>
      </c>
      <c r="N11" s="34"/>
      <c r="O11" s="36"/>
      <c r="P11" s="104"/>
      <c r="Q11" s="105"/>
      <c r="S11" s="109">
        <v>44426</v>
      </c>
      <c r="T11" s="33" t="s">
        <v>558</v>
      </c>
      <c r="U11" s="34"/>
      <c r="V11" s="99">
        <v>1083</v>
      </c>
      <c r="X11" s="34"/>
      <c r="Y11" s="34" t="s">
        <v>153</v>
      </c>
      <c r="Z11" s="34" t="s">
        <v>292</v>
      </c>
      <c r="AA11" s="53"/>
      <c r="AB11" s="34"/>
      <c r="AC11" s="40"/>
      <c r="AD11" s="107">
        <f t="shared" si="1"/>
        <v>800000</v>
      </c>
      <c r="AE11" s="34"/>
      <c r="AF11" s="36"/>
      <c r="AG11" s="104"/>
      <c r="AH11" s="105"/>
    </row>
    <row r="12" spans="2:34" x14ac:dyDescent="0.4">
      <c r="B12" s="109">
        <v>44440</v>
      </c>
      <c r="C12" s="34" t="s">
        <v>556</v>
      </c>
      <c r="D12" s="34">
        <v>100000</v>
      </c>
      <c r="E12" s="99"/>
      <c r="F12" s="34" t="s">
        <v>570</v>
      </c>
      <c r="G12" s="34" t="s">
        <v>575</v>
      </c>
      <c r="I12" s="34"/>
      <c r="J12" s="102" t="s">
        <v>572</v>
      </c>
      <c r="K12" s="34" t="s">
        <v>573</v>
      </c>
      <c r="L12" s="100">
        <f>DATE(YEAR(B12)+10,MONTH(B12),DAY(B12))</f>
        <v>48092</v>
      </c>
      <c r="M12" s="107">
        <f t="shared" si="0"/>
        <v>900000</v>
      </c>
      <c r="N12" s="34"/>
      <c r="O12" s="36"/>
      <c r="P12" s="104"/>
      <c r="Q12" s="105"/>
      <c r="S12" s="109">
        <v>44440</v>
      </c>
      <c r="T12" s="33" t="s">
        <v>558</v>
      </c>
      <c r="U12" s="34">
        <v>100000</v>
      </c>
      <c r="V12" s="99"/>
      <c r="W12" s="34" t="s">
        <v>570</v>
      </c>
      <c r="X12" s="34" t="s">
        <v>575</v>
      </c>
      <c r="Z12" s="34"/>
      <c r="AA12" s="102" t="s">
        <v>572</v>
      </c>
      <c r="AB12" s="34" t="s">
        <v>573</v>
      </c>
      <c r="AC12" s="100">
        <f>DATE(YEAR(S12)+10,MONTH(S12),DAY(S12))</f>
        <v>48092</v>
      </c>
      <c r="AD12" s="107">
        <f t="shared" si="1"/>
        <v>900000</v>
      </c>
      <c r="AE12" s="34"/>
      <c r="AF12" s="36"/>
      <c r="AG12" s="104"/>
      <c r="AH12" s="105"/>
    </row>
    <row r="13" spans="2:34" x14ac:dyDescent="0.4">
      <c r="B13" s="109">
        <v>44445</v>
      </c>
      <c r="C13" s="34" t="s">
        <v>556</v>
      </c>
      <c r="D13" s="34"/>
      <c r="E13" s="99">
        <v>27</v>
      </c>
      <c r="G13" s="34"/>
      <c r="H13" s="34" t="s">
        <v>513</v>
      </c>
      <c r="I13" s="34"/>
      <c r="J13" s="102"/>
      <c r="K13" s="34"/>
      <c r="L13" s="40"/>
      <c r="M13" s="107">
        <f t="shared" si="0"/>
        <v>900000</v>
      </c>
      <c r="N13" s="34"/>
      <c r="O13" s="36"/>
      <c r="P13" s="104"/>
      <c r="Q13" s="105"/>
      <c r="S13" s="109">
        <v>44445</v>
      </c>
      <c r="T13" s="33" t="s">
        <v>558</v>
      </c>
      <c r="U13" s="34"/>
      <c r="V13" s="99">
        <v>27</v>
      </c>
      <c r="X13" s="34"/>
      <c r="Y13" s="34" t="s">
        <v>513</v>
      </c>
      <c r="Z13" s="34"/>
      <c r="AA13" s="102"/>
      <c r="AB13" s="34"/>
      <c r="AC13" s="40"/>
      <c r="AD13" s="107">
        <f t="shared" si="1"/>
        <v>900000</v>
      </c>
      <c r="AE13" s="34"/>
      <c r="AF13" s="36"/>
      <c r="AG13" s="104"/>
      <c r="AH13" s="105"/>
    </row>
    <row r="14" spans="2:34" x14ac:dyDescent="0.4">
      <c r="B14" s="109">
        <v>44470</v>
      </c>
      <c r="C14" s="34" t="s">
        <v>556</v>
      </c>
      <c r="D14" s="34">
        <v>100000</v>
      </c>
      <c r="E14" s="99"/>
      <c r="F14" s="34" t="s">
        <v>570</v>
      </c>
      <c r="G14" s="34" t="s">
        <v>575</v>
      </c>
      <c r="H14" s="34"/>
      <c r="I14" s="34"/>
      <c r="J14" s="102" t="s">
        <v>572</v>
      </c>
      <c r="K14" s="34" t="s">
        <v>573</v>
      </c>
      <c r="L14" s="100">
        <f>DATE(YEAR(B14)+10,MONTH(B14),DAY(B14))</f>
        <v>48122</v>
      </c>
      <c r="M14" s="107">
        <f t="shared" si="0"/>
        <v>1000000</v>
      </c>
      <c r="N14" s="34"/>
      <c r="O14" s="36"/>
      <c r="P14" s="104"/>
      <c r="Q14" s="105"/>
      <c r="S14" s="109">
        <v>44470</v>
      </c>
      <c r="T14" s="33" t="s">
        <v>558</v>
      </c>
      <c r="U14" s="34">
        <v>100000</v>
      </c>
      <c r="V14" s="99"/>
      <c r="W14" s="34" t="s">
        <v>570</v>
      </c>
      <c r="X14" s="34" t="s">
        <v>575</v>
      </c>
      <c r="Y14" s="34"/>
      <c r="Z14" s="34"/>
      <c r="AA14" s="102" t="s">
        <v>572</v>
      </c>
      <c r="AB14" s="34" t="s">
        <v>573</v>
      </c>
      <c r="AC14" s="100">
        <f>DATE(YEAR(S14)+10,MONTH(S14),DAY(S14))</f>
        <v>48122</v>
      </c>
      <c r="AD14" s="107">
        <f t="shared" si="1"/>
        <v>1000000</v>
      </c>
      <c r="AE14" s="34"/>
      <c r="AF14" s="36"/>
      <c r="AG14" s="104"/>
      <c r="AH14" s="105"/>
    </row>
    <row r="15" spans="2:34" x14ac:dyDescent="0.4">
      <c r="B15" s="109">
        <v>44517</v>
      </c>
      <c r="C15" s="34" t="s">
        <v>556</v>
      </c>
      <c r="D15" s="34"/>
      <c r="E15" s="99">
        <v>1083</v>
      </c>
      <c r="G15" s="34"/>
      <c r="H15" s="34" t="s">
        <v>153</v>
      </c>
      <c r="I15" s="34" t="s">
        <v>292</v>
      </c>
      <c r="J15" s="102"/>
      <c r="K15" s="34"/>
      <c r="L15" s="40"/>
      <c r="M15" s="107">
        <f t="shared" si="0"/>
        <v>1000000</v>
      </c>
      <c r="N15" s="34"/>
      <c r="O15" s="36"/>
      <c r="P15" s="104"/>
      <c r="Q15" s="105"/>
      <c r="S15" s="109">
        <v>44517</v>
      </c>
      <c r="T15" s="33" t="s">
        <v>558</v>
      </c>
      <c r="U15" s="34"/>
      <c r="V15" s="99">
        <v>1083</v>
      </c>
      <c r="X15" s="34"/>
      <c r="Y15" s="34" t="s">
        <v>153</v>
      </c>
      <c r="Z15" s="34" t="s">
        <v>292</v>
      </c>
      <c r="AA15" s="102"/>
      <c r="AB15" s="34"/>
      <c r="AC15" s="40"/>
      <c r="AD15" s="107">
        <f t="shared" si="1"/>
        <v>1000000</v>
      </c>
      <c r="AE15" s="34"/>
      <c r="AF15" s="36"/>
      <c r="AG15" s="104"/>
      <c r="AH15" s="105"/>
    </row>
    <row r="16" spans="2:34" x14ac:dyDescent="0.4">
      <c r="B16" s="109">
        <v>44536</v>
      </c>
      <c r="C16" s="34" t="s">
        <v>556</v>
      </c>
      <c r="D16" s="34"/>
      <c r="E16" s="99">
        <v>22</v>
      </c>
      <c r="G16" s="34"/>
      <c r="H16" s="34" t="s">
        <v>513</v>
      </c>
      <c r="I16" s="34"/>
      <c r="J16" s="102"/>
      <c r="K16" s="34"/>
      <c r="L16" s="40"/>
      <c r="M16" s="107">
        <f t="shared" si="0"/>
        <v>1000000</v>
      </c>
      <c r="N16" s="34"/>
      <c r="O16" s="36"/>
      <c r="P16" s="104"/>
      <c r="Q16" s="105"/>
      <c r="S16" s="109">
        <v>44536</v>
      </c>
      <c r="T16" s="33" t="s">
        <v>558</v>
      </c>
      <c r="U16" s="34"/>
      <c r="V16" s="99">
        <v>22</v>
      </c>
      <c r="X16" s="34"/>
      <c r="Y16" s="34" t="s">
        <v>513</v>
      </c>
      <c r="Z16" s="34"/>
      <c r="AA16" s="102"/>
      <c r="AB16" s="34"/>
      <c r="AC16" s="40"/>
      <c r="AD16" s="107">
        <f t="shared" si="1"/>
        <v>1000000</v>
      </c>
      <c r="AE16" s="34"/>
      <c r="AF16" s="36"/>
      <c r="AG16" s="104"/>
      <c r="AH16" s="105"/>
    </row>
    <row r="17" spans="2:34" x14ac:dyDescent="0.4">
      <c r="B17" s="109">
        <v>44622</v>
      </c>
      <c r="C17" s="34"/>
      <c r="D17" s="34"/>
      <c r="E17" s="99">
        <v>21</v>
      </c>
      <c r="G17" s="34"/>
      <c r="H17" s="34" t="s">
        <v>513</v>
      </c>
      <c r="I17" s="34"/>
      <c r="J17" s="102"/>
      <c r="K17" s="34"/>
      <c r="L17" s="40"/>
      <c r="M17" s="107">
        <f t="shared" si="0"/>
        <v>1000000</v>
      </c>
      <c r="N17" s="34"/>
      <c r="O17" s="36"/>
      <c r="P17" s="104"/>
      <c r="Q17" s="105"/>
      <c r="S17" s="109">
        <v>44622</v>
      </c>
      <c r="T17" s="34"/>
      <c r="U17" s="34"/>
      <c r="V17" s="99">
        <v>21</v>
      </c>
      <c r="X17" s="34"/>
      <c r="Y17" s="34" t="s">
        <v>513</v>
      </c>
      <c r="Z17" s="34"/>
      <c r="AA17" s="102"/>
      <c r="AB17" s="34"/>
      <c r="AC17" s="40"/>
      <c r="AD17" s="107">
        <f t="shared" si="1"/>
        <v>1000000</v>
      </c>
      <c r="AE17" s="34"/>
      <c r="AF17" s="36"/>
      <c r="AG17" s="104"/>
      <c r="AH17" s="105"/>
    </row>
    <row r="18" spans="2:34" x14ac:dyDescent="0.4">
      <c r="B18" s="109">
        <v>44627</v>
      </c>
      <c r="C18" s="34" t="s">
        <v>556</v>
      </c>
      <c r="D18" s="34">
        <v>2000000</v>
      </c>
      <c r="E18" s="99"/>
      <c r="F18" s="34" t="s">
        <v>570</v>
      </c>
      <c r="G18" s="34" t="s">
        <v>576</v>
      </c>
      <c r="H18" s="34"/>
      <c r="I18" s="34"/>
      <c r="J18" s="102" t="s">
        <v>572</v>
      </c>
      <c r="K18" s="34" t="s">
        <v>577</v>
      </c>
      <c r="L18" s="100">
        <f>DATE(YEAR(B18)+10,MONTH(B18),DAY(B18))</f>
        <v>48280</v>
      </c>
      <c r="M18" s="107">
        <f t="shared" si="0"/>
        <v>3000000</v>
      </c>
      <c r="N18" s="34"/>
      <c r="S18" s="109">
        <v>44627</v>
      </c>
      <c r="T18" s="33" t="s">
        <v>558</v>
      </c>
      <c r="U18" s="34">
        <v>2000000</v>
      </c>
      <c r="V18" s="99"/>
      <c r="W18" s="34" t="s">
        <v>570</v>
      </c>
      <c r="X18" s="34" t="s">
        <v>576</v>
      </c>
      <c r="Y18" s="34"/>
      <c r="Z18" s="34"/>
      <c r="AA18" s="102" t="s">
        <v>572</v>
      </c>
      <c r="AB18" s="34" t="s">
        <v>577</v>
      </c>
      <c r="AC18" s="100">
        <f>DATE(YEAR(S18)+10,MONTH(S18),DAY(S18))</f>
        <v>48280</v>
      </c>
      <c r="AD18" s="107">
        <f t="shared" si="1"/>
        <v>3000000</v>
      </c>
      <c r="AE18" s="34"/>
      <c r="AF18" s="36"/>
      <c r="AG18" s="104"/>
      <c r="AH18" s="105"/>
    </row>
    <row r="19" spans="2:34" x14ac:dyDescent="0.4">
      <c r="B19" s="109">
        <v>44666</v>
      </c>
      <c r="C19" s="34" t="s">
        <v>556</v>
      </c>
      <c r="D19" s="34"/>
      <c r="E19" s="99">
        <v>1086</v>
      </c>
      <c r="G19" s="34"/>
      <c r="H19" s="34" t="s">
        <v>153</v>
      </c>
      <c r="I19" s="34" t="s">
        <v>292</v>
      </c>
      <c r="J19" s="102"/>
      <c r="K19" s="34"/>
      <c r="L19" s="40"/>
      <c r="M19" s="107">
        <f t="shared" si="0"/>
        <v>3000000</v>
      </c>
      <c r="N19" s="34"/>
      <c r="O19" s="36"/>
      <c r="P19" s="104"/>
      <c r="Q19" s="105"/>
      <c r="S19" s="109">
        <v>44666</v>
      </c>
      <c r="T19" s="33" t="s">
        <v>558</v>
      </c>
      <c r="U19" s="34"/>
      <c r="V19" s="99">
        <v>1086</v>
      </c>
      <c r="X19" s="34"/>
      <c r="Y19" s="34" t="s">
        <v>153</v>
      </c>
      <c r="Z19" s="34" t="s">
        <v>292</v>
      </c>
      <c r="AA19" s="102"/>
      <c r="AB19" s="34"/>
      <c r="AC19" s="40"/>
      <c r="AD19" s="107">
        <f t="shared" si="1"/>
        <v>3000000</v>
      </c>
      <c r="AE19" s="34"/>
      <c r="AF19" s="36"/>
      <c r="AG19" s="104"/>
      <c r="AH19" s="105"/>
    </row>
    <row r="20" spans="2:34" x14ac:dyDescent="0.4">
      <c r="B20" s="109">
        <v>44673</v>
      </c>
      <c r="C20" s="34"/>
      <c r="D20" s="34"/>
      <c r="E20" s="99">
        <v>900</v>
      </c>
      <c r="G20" s="34"/>
      <c r="H20" s="34" t="s">
        <v>153</v>
      </c>
      <c r="I20" s="34" t="s">
        <v>578</v>
      </c>
      <c r="J20" s="102"/>
      <c r="K20" s="34"/>
      <c r="L20" s="40"/>
      <c r="M20" s="107">
        <f t="shared" si="0"/>
        <v>3000000</v>
      </c>
      <c r="N20" s="34"/>
      <c r="O20" s="33"/>
      <c r="P20" s="2"/>
      <c r="Q20" s="2"/>
      <c r="S20" s="109">
        <v>44673</v>
      </c>
      <c r="T20" s="34"/>
      <c r="U20" s="34"/>
      <c r="V20" s="99">
        <v>900</v>
      </c>
      <c r="X20" s="34"/>
      <c r="Y20" s="34" t="s">
        <v>153</v>
      </c>
      <c r="Z20" s="34" t="s">
        <v>578</v>
      </c>
      <c r="AA20" s="102"/>
      <c r="AB20" s="34"/>
      <c r="AC20" s="40"/>
      <c r="AD20" s="107">
        <f t="shared" si="1"/>
        <v>3000000</v>
      </c>
      <c r="AE20" s="34"/>
      <c r="AF20" s="36"/>
      <c r="AG20" s="104"/>
      <c r="AH20" s="105"/>
    </row>
    <row r="21" spans="2:34" x14ac:dyDescent="0.4">
      <c r="B21" s="109">
        <v>44678</v>
      </c>
      <c r="C21" s="34"/>
      <c r="D21" s="34"/>
      <c r="E21" s="99">
        <v>53</v>
      </c>
      <c r="G21" s="34"/>
      <c r="H21" s="34" t="s">
        <v>153</v>
      </c>
      <c r="I21" s="34" t="s">
        <v>408</v>
      </c>
      <c r="J21" s="102"/>
      <c r="K21" s="34"/>
      <c r="L21" s="40"/>
      <c r="M21" s="107">
        <f t="shared" si="0"/>
        <v>3000000</v>
      </c>
      <c r="N21" s="34"/>
      <c r="O21" s="33"/>
      <c r="P21" s="2"/>
      <c r="Q21" s="2"/>
      <c r="S21" s="109">
        <v>44678</v>
      </c>
      <c r="T21" s="34"/>
      <c r="U21" s="34"/>
      <c r="V21" s="99">
        <v>53</v>
      </c>
      <c r="X21" s="34"/>
      <c r="Y21" s="34" t="s">
        <v>153</v>
      </c>
      <c r="Z21" s="34" t="s">
        <v>408</v>
      </c>
      <c r="AA21" s="102"/>
      <c r="AB21" s="34"/>
      <c r="AC21" s="40"/>
      <c r="AD21" s="107">
        <f t="shared" si="1"/>
        <v>3000000</v>
      </c>
      <c r="AE21" s="34"/>
      <c r="AF21" s="36"/>
      <c r="AG21" s="104"/>
      <c r="AH21" s="105"/>
    </row>
    <row r="22" spans="2:34" x14ac:dyDescent="0.4">
      <c r="B22" s="109">
        <v>44698</v>
      </c>
      <c r="C22" s="34"/>
      <c r="D22" s="34"/>
      <c r="E22" s="99">
        <v>2166</v>
      </c>
      <c r="G22" s="34"/>
      <c r="H22" s="34" t="s">
        <v>153</v>
      </c>
      <c r="I22" s="34" t="s">
        <v>292</v>
      </c>
      <c r="J22" s="102"/>
      <c r="K22" s="34"/>
      <c r="L22" s="40"/>
      <c r="M22" s="107">
        <f t="shared" si="0"/>
        <v>3000000</v>
      </c>
      <c r="N22" s="34"/>
      <c r="O22" s="33"/>
      <c r="P22" s="2"/>
      <c r="Q22" s="2"/>
      <c r="S22" s="109">
        <v>44698</v>
      </c>
      <c r="T22" s="34"/>
      <c r="U22" s="34"/>
      <c r="V22" s="99">
        <v>2166</v>
      </c>
      <c r="X22" s="34"/>
      <c r="Y22" s="34" t="s">
        <v>153</v>
      </c>
      <c r="Z22" s="34" t="s">
        <v>292</v>
      </c>
      <c r="AA22" s="102"/>
      <c r="AB22" s="34"/>
      <c r="AC22" s="40"/>
      <c r="AD22" s="107">
        <f t="shared" si="1"/>
        <v>3000000</v>
      </c>
      <c r="AE22" s="34"/>
      <c r="AF22" s="36"/>
      <c r="AG22" s="104"/>
      <c r="AH22" s="105"/>
    </row>
    <row r="23" spans="2:34" x14ac:dyDescent="0.4">
      <c r="B23" s="109">
        <v>44714</v>
      </c>
      <c r="C23" s="34"/>
      <c r="D23" s="34"/>
      <c r="E23" s="99">
        <f>1447-220</f>
        <v>1227</v>
      </c>
      <c r="G23" s="34"/>
      <c r="H23" s="34" t="s">
        <v>513</v>
      </c>
      <c r="I23" s="34"/>
      <c r="J23" s="102"/>
      <c r="K23" s="34"/>
      <c r="L23" s="40"/>
      <c r="M23" s="107">
        <f t="shared" si="0"/>
        <v>3000000</v>
      </c>
      <c r="N23" s="34"/>
      <c r="O23" s="33"/>
      <c r="P23" s="2"/>
      <c r="Q23" s="2"/>
      <c r="S23" s="109">
        <v>44714</v>
      </c>
      <c r="T23" s="34"/>
      <c r="U23" s="34"/>
      <c r="V23" s="99">
        <f>1447-220</f>
        <v>1227</v>
      </c>
      <c r="X23" s="34"/>
      <c r="Y23" s="34" t="s">
        <v>513</v>
      </c>
      <c r="Z23" s="34"/>
      <c r="AA23" s="102"/>
      <c r="AB23" s="34"/>
      <c r="AC23" s="40"/>
      <c r="AD23" s="107">
        <f t="shared" si="1"/>
        <v>3000000</v>
      </c>
      <c r="AE23" s="34"/>
      <c r="AF23" s="36"/>
      <c r="AG23" s="104"/>
      <c r="AH23" s="105"/>
    </row>
    <row r="24" spans="2:34" x14ac:dyDescent="0.4">
      <c r="B24" s="109">
        <v>44789</v>
      </c>
      <c r="C24" s="34"/>
      <c r="D24" s="34"/>
      <c r="E24" s="99">
        <v>2166</v>
      </c>
      <c r="G24" s="34"/>
      <c r="H24" s="34" t="s">
        <v>153</v>
      </c>
      <c r="I24" s="34" t="s">
        <v>292</v>
      </c>
      <c r="J24" s="102"/>
      <c r="K24" s="34"/>
      <c r="L24" s="40"/>
      <c r="M24" s="107">
        <f t="shared" si="0"/>
        <v>3000000</v>
      </c>
      <c r="N24" s="34"/>
      <c r="O24" s="36"/>
      <c r="P24" s="104"/>
      <c r="Q24" s="105"/>
      <c r="S24" s="109">
        <v>44789</v>
      </c>
      <c r="T24" s="34"/>
      <c r="U24" s="34"/>
      <c r="V24" s="99">
        <v>2166</v>
      </c>
      <c r="X24" s="34"/>
      <c r="Y24" s="34" t="s">
        <v>153</v>
      </c>
      <c r="Z24" s="34" t="s">
        <v>292</v>
      </c>
      <c r="AA24" s="102"/>
      <c r="AB24" s="34"/>
      <c r="AC24" s="40"/>
      <c r="AD24" s="107">
        <f t="shared" si="1"/>
        <v>3000000</v>
      </c>
      <c r="AE24" s="34"/>
      <c r="AF24" s="36"/>
      <c r="AG24" s="104"/>
      <c r="AH24" s="105"/>
    </row>
    <row r="25" spans="2:34" x14ac:dyDescent="0.4">
      <c r="B25" s="109">
        <v>44809</v>
      </c>
      <c r="C25" s="34"/>
      <c r="D25" s="34"/>
      <c r="E25" s="99">
        <f>1562-230</f>
        <v>1332</v>
      </c>
      <c r="G25" s="34"/>
      <c r="H25" s="34" t="s">
        <v>513</v>
      </c>
      <c r="I25" s="34"/>
      <c r="J25" s="102"/>
      <c r="K25" s="34"/>
      <c r="L25" s="40"/>
      <c r="M25" s="107">
        <f t="shared" si="0"/>
        <v>3000000</v>
      </c>
      <c r="N25" s="34"/>
      <c r="O25" s="36"/>
      <c r="P25" s="104"/>
      <c r="Q25" s="2"/>
      <c r="S25" s="109">
        <v>44809</v>
      </c>
      <c r="T25" s="34"/>
      <c r="U25" s="34"/>
      <c r="V25" s="99">
        <f>1562-230</f>
        <v>1332</v>
      </c>
      <c r="X25" s="34"/>
      <c r="Y25" s="34" t="s">
        <v>513</v>
      </c>
      <c r="Z25" s="34"/>
      <c r="AA25" s="102"/>
      <c r="AB25" s="34"/>
      <c r="AC25" s="40"/>
      <c r="AD25" s="107">
        <f t="shared" si="1"/>
        <v>3000000</v>
      </c>
      <c r="AE25" s="34"/>
      <c r="AF25" s="36"/>
      <c r="AG25" s="104"/>
      <c r="AH25" s="105"/>
    </row>
    <row r="26" spans="2:34" x14ac:dyDescent="0.4">
      <c r="B26" s="109">
        <v>44880</v>
      </c>
      <c r="C26" s="34"/>
      <c r="D26" s="34"/>
      <c r="E26" s="99">
        <v>2166</v>
      </c>
      <c r="F26" s="34"/>
      <c r="G26" s="34"/>
      <c r="H26" s="34" t="s">
        <v>153</v>
      </c>
      <c r="I26" s="34" t="s">
        <v>292</v>
      </c>
      <c r="J26" s="102"/>
      <c r="K26" s="34"/>
      <c r="L26" s="40"/>
      <c r="M26" s="107">
        <f t="shared" si="0"/>
        <v>3000000</v>
      </c>
      <c r="N26" s="34"/>
      <c r="O26" s="36"/>
      <c r="P26" s="104"/>
      <c r="Q26" s="105"/>
      <c r="S26" s="109">
        <v>44880</v>
      </c>
      <c r="T26" s="34"/>
      <c r="U26" s="34"/>
      <c r="V26" s="99">
        <v>2166</v>
      </c>
      <c r="W26" s="34"/>
      <c r="X26" s="34"/>
      <c r="Y26" s="34" t="s">
        <v>153</v>
      </c>
      <c r="Z26" s="34" t="s">
        <v>292</v>
      </c>
      <c r="AA26" s="102"/>
      <c r="AB26" s="34"/>
      <c r="AC26" s="40"/>
      <c r="AD26" s="107">
        <f t="shared" si="1"/>
        <v>3000000</v>
      </c>
      <c r="AE26" s="34"/>
      <c r="AF26" s="36"/>
      <c r="AG26" s="104"/>
      <c r="AH26" s="105"/>
    </row>
    <row r="27" spans="2:34" x14ac:dyDescent="0.4">
      <c r="B27" s="109">
        <v>44900</v>
      </c>
      <c r="C27" s="34"/>
      <c r="D27" s="34"/>
      <c r="E27" s="99">
        <f>2748-410</f>
        <v>2338</v>
      </c>
      <c r="F27" s="34"/>
      <c r="G27" s="34"/>
      <c r="H27" s="34" t="s">
        <v>513</v>
      </c>
      <c r="I27" s="34"/>
      <c r="J27" s="102"/>
      <c r="K27" s="34"/>
      <c r="L27" s="40"/>
      <c r="M27" s="107">
        <f t="shared" si="0"/>
        <v>3000000</v>
      </c>
      <c r="N27" s="34"/>
      <c r="O27" s="36"/>
      <c r="P27" s="104"/>
      <c r="Q27" s="105"/>
      <c r="S27" s="109">
        <v>44900</v>
      </c>
      <c r="T27" s="34"/>
      <c r="U27" s="34"/>
      <c r="V27" s="99">
        <f>2748-410</f>
        <v>2338</v>
      </c>
      <c r="W27" s="34"/>
      <c r="X27" s="34"/>
      <c r="Y27" s="34" t="s">
        <v>513</v>
      </c>
      <c r="Z27" s="34"/>
      <c r="AA27" s="102"/>
      <c r="AB27" s="34"/>
      <c r="AC27" s="40"/>
      <c r="AD27" s="107">
        <f t="shared" si="1"/>
        <v>3000000</v>
      </c>
      <c r="AE27" s="34"/>
      <c r="AF27" s="36"/>
      <c r="AG27" s="104"/>
      <c r="AH27" s="105"/>
    </row>
    <row r="28" spans="2:34" x14ac:dyDescent="0.4">
      <c r="B28" s="109">
        <v>44987</v>
      </c>
      <c r="C28" s="34"/>
      <c r="D28" s="34"/>
      <c r="E28" s="99">
        <f>5026-770</f>
        <v>4256</v>
      </c>
      <c r="F28" s="34"/>
      <c r="G28" s="34"/>
      <c r="H28" s="34" t="s">
        <v>513</v>
      </c>
      <c r="I28" s="34"/>
      <c r="J28" s="102"/>
      <c r="K28" s="34"/>
      <c r="L28" s="40"/>
      <c r="M28" s="107">
        <f t="shared" si="0"/>
        <v>3000000</v>
      </c>
      <c r="N28" s="34"/>
      <c r="O28" s="36"/>
      <c r="P28" s="104"/>
      <c r="Q28" s="105"/>
      <c r="S28" s="109">
        <v>44987</v>
      </c>
      <c r="T28" s="34"/>
      <c r="U28" s="34"/>
      <c r="V28" s="99">
        <f>5026-770</f>
        <v>4256</v>
      </c>
      <c r="W28" s="34"/>
      <c r="X28" s="34"/>
      <c r="Y28" s="34" t="s">
        <v>513</v>
      </c>
      <c r="Z28" s="34"/>
      <c r="AA28" s="102"/>
      <c r="AB28" s="34"/>
      <c r="AC28" s="40"/>
      <c r="AD28" s="107">
        <f t="shared" si="1"/>
        <v>3000000</v>
      </c>
      <c r="AE28" s="34"/>
      <c r="AF28" s="36"/>
      <c r="AG28" s="104"/>
      <c r="AH28" s="105"/>
    </row>
    <row r="29" spans="2:34" x14ac:dyDescent="0.4">
      <c r="B29" s="109">
        <v>45023</v>
      </c>
      <c r="C29" s="34"/>
      <c r="D29" s="34"/>
      <c r="E29" s="99">
        <v>15602</v>
      </c>
      <c r="F29" s="34"/>
      <c r="G29" s="34"/>
      <c r="H29" s="34" t="s">
        <v>579</v>
      </c>
      <c r="I29" s="34" t="s">
        <v>468</v>
      </c>
      <c r="J29" s="102"/>
      <c r="K29" s="34"/>
      <c r="L29" s="40"/>
      <c r="M29" s="107">
        <f t="shared" si="0"/>
        <v>3000000</v>
      </c>
      <c r="N29" s="34"/>
      <c r="O29" s="36"/>
      <c r="P29" s="104"/>
      <c r="Q29" s="105"/>
      <c r="S29" s="109">
        <v>45023</v>
      </c>
      <c r="T29" s="34"/>
      <c r="U29" s="34"/>
      <c r="V29" s="99">
        <v>15602</v>
      </c>
      <c r="W29" s="34"/>
      <c r="X29" s="34"/>
      <c r="Y29" s="34" t="s">
        <v>579</v>
      </c>
      <c r="Z29" s="34" t="s">
        <v>468</v>
      </c>
      <c r="AA29" s="102"/>
      <c r="AB29" s="34"/>
      <c r="AC29" s="40"/>
      <c r="AD29" s="107">
        <f t="shared" si="1"/>
        <v>3000000</v>
      </c>
      <c r="AE29" s="34"/>
      <c r="AF29" s="36"/>
      <c r="AG29" s="104"/>
      <c r="AH29" s="105"/>
    </row>
    <row r="30" spans="2:34" x14ac:dyDescent="0.4">
      <c r="B30" s="109">
        <v>45023</v>
      </c>
      <c r="C30" s="34"/>
      <c r="D30" s="34"/>
      <c r="E30" s="99">
        <v>201</v>
      </c>
      <c r="F30" s="34"/>
      <c r="G30" s="34"/>
      <c r="H30" s="34" t="s">
        <v>579</v>
      </c>
      <c r="I30" s="34" t="s">
        <v>468</v>
      </c>
      <c r="J30" s="102"/>
      <c r="K30" s="34"/>
      <c r="L30" s="40"/>
      <c r="M30" s="107">
        <f t="shared" si="0"/>
        <v>3000000</v>
      </c>
      <c r="N30" s="34"/>
      <c r="O30" s="36"/>
      <c r="P30" s="104"/>
      <c r="Q30" s="105"/>
      <c r="S30" s="109">
        <v>45023</v>
      </c>
      <c r="T30" s="34"/>
      <c r="U30" s="34"/>
      <c r="V30" s="99">
        <v>201</v>
      </c>
      <c r="W30" s="34"/>
      <c r="X30" s="34"/>
      <c r="Y30" s="34" t="s">
        <v>579</v>
      </c>
      <c r="Z30" s="34" t="s">
        <v>468</v>
      </c>
      <c r="AA30" s="102"/>
      <c r="AB30" s="34"/>
      <c r="AC30" s="40"/>
      <c r="AD30" s="107">
        <f t="shared" si="1"/>
        <v>3000000</v>
      </c>
      <c r="AE30" s="34"/>
      <c r="AF30" s="36"/>
      <c r="AG30" s="104"/>
      <c r="AH30" s="105"/>
    </row>
    <row r="31" spans="2:34" x14ac:dyDescent="0.4">
      <c r="B31" s="109">
        <v>45030</v>
      </c>
      <c r="C31" s="34"/>
      <c r="D31" s="34"/>
      <c r="E31" s="99">
        <v>2172</v>
      </c>
      <c r="F31" s="34"/>
      <c r="G31" s="34"/>
      <c r="H31" s="34" t="s">
        <v>153</v>
      </c>
      <c r="I31" s="34" t="s">
        <v>292</v>
      </c>
      <c r="J31" s="102"/>
      <c r="K31" s="34"/>
      <c r="L31" s="40"/>
      <c r="M31" s="107">
        <f t="shared" si="0"/>
        <v>3000000</v>
      </c>
      <c r="N31" s="34"/>
      <c r="O31" s="36"/>
      <c r="P31" s="104"/>
      <c r="Q31" s="105"/>
      <c r="S31" s="109">
        <v>45030</v>
      </c>
      <c r="T31" s="34"/>
      <c r="U31" s="34"/>
      <c r="V31" s="99">
        <v>2172</v>
      </c>
      <c r="W31" s="34"/>
      <c r="X31" s="34"/>
      <c r="Y31" s="34" t="s">
        <v>153</v>
      </c>
      <c r="Z31" s="34" t="s">
        <v>292</v>
      </c>
      <c r="AA31" s="102"/>
      <c r="AB31" s="34"/>
      <c r="AC31" s="40"/>
      <c r="AD31" s="107">
        <f t="shared" si="1"/>
        <v>3000000</v>
      </c>
      <c r="AE31" s="34"/>
      <c r="AF31" s="36"/>
      <c r="AG31" s="104"/>
      <c r="AH31" s="105"/>
    </row>
    <row r="32" spans="2:34" x14ac:dyDescent="0.4">
      <c r="B32" s="109">
        <v>45037</v>
      </c>
      <c r="C32" s="34"/>
      <c r="D32" s="34"/>
      <c r="E32" s="99">
        <v>246</v>
      </c>
      <c r="F32" s="34"/>
      <c r="G32" s="34"/>
      <c r="H32" s="34" t="s">
        <v>153</v>
      </c>
      <c r="I32" s="34" t="s">
        <v>578</v>
      </c>
      <c r="J32" s="102"/>
      <c r="K32" s="34"/>
      <c r="L32" s="40"/>
      <c r="M32" s="107">
        <f t="shared" si="0"/>
        <v>3000000</v>
      </c>
      <c r="N32" s="34"/>
      <c r="O32" s="36"/>
      <c r="P32" s="104"/>
      <c r="Q32" s="105"/>
      <c r="S32" s="109">
        <v>45037</v>
      </c>
      <c r="T32" s="34"/>
      <c r="U32" s="34"/>
      <c r="V32" s="99">
        <v>246</v>
      </c>
      <c r="W32" s="34"/>
      <c r="X32" s="34"/>
      <c r="Y32" s="34" t="s">
        <v>153</v>
      </c>
      <c r="Z32" s="34" t="s">
        <v>578</v>
      </c>
      <c r="AA32" s="102"/>
      <c r="AB32" s="34"/>
      <c r="AC32" s="40"/>
      <c r="AD32" s="107">
        <f t="shared" si="1"/>
        <v>3000000</v>
      </c>
      <c r="AE32" s="34"/>
      <c r="AF32" s="36"/>
      <c r="AG32" s="104"/>
      <c r="AH32" s="105"/>
    </row>
    <row r="33" spans="2:34" x14ac:dyDescent="0.4">
      <c r="B33" s="109">
        <v>45041</v>
      </c>
      <c r="C33" s="34"/>
      <c r="D33" s="34"/>
      <c r="E33" s="99">
        <v>60</v>
      </c>
      <c r="F33" s="34"/>
      <c r="G33" s="34"/>
      <c r="H33" s="34" t="s">
        <v>153</v>
      </c>
      <c r="I33" s="34" t="s">
        <v>408</v>
      </c>
      <c r="J33" s="102"/>
      <c r="K33" s="34"/>
      <c r="L33" s="40"/>
      <c r="M33" s="107">
        <f t="shared" si="0"/>
        <v>3000000</v>
      </c>
      <c r="N33" s="34"/>
      <c r="O33" s="36"/>
      <c r="P33" s="104"/>
      <c r="Q33" s="105"/>
      <c r="S33" s="109">
        <v>45041</v>
      </c>
      <c r="T33" s="34"/>
      <c r="U33" s="34"/>
      <c r="V33" s="99">
        <v>60</v>
      </c>
      <c r="W33" s="34"/>
      <c r="X33" s="34"/>
      <c r="Y33" s="34" t="s">
        <v>153</v>
      </c>
      <c r="Z33" s="34" t="s">
        <v>408</v>
      </c>
      <c r="AA33" s="102"/>
      <c r="AB33" s="34"/>
      <c r="AC33" s="40"/>
      <c r="AD33" s="107">
        <f t="shared" si="1"/>
        <v>3000000</v>
      </c>
      <c r="AE33" s="34"/>
      <c r="AF33" s="36"/>
      <c r="AG33" s="104"/>
      <c r="AH33" s="105"/>
    </row>
    <row r="34" spans="2:34" x14ac:dyDescent="0.4">
      <c r="B34" s="109">
        <v>45063</v>
      </c>
      <c r="C34" s="34"/>
      <c r="D34" s="34"/>
      <c r="E34" s="99">
        <v>2166</v>
      </c>
      <c r="F34" s="34"/>
      <c r="G34" s="34"/>
      <c r="H34" s="34" t="s">
        <v>153</v>
      </c>
      <c r="I34" s="34" t="s">
        <v>292</v>
      </c>
      <c r="J34" s="102"/>
      <c r="K34" s="34"/>
      <c r="L34" s="40"/>
      <c r="M34" s="107">
        <f t="shared" si="0"/>
        <v>3000000</v>
      </c>
      <c r="N34" s="34"/>
      <c r="O34" s="36"/>
      <c r="P34" s="104"/>
      <c r="Q34" s="105"/>
      <c r="S34" s="109">
        <v>45063</v>
      </c>
      <c r="T34" s="34"/>
      <c r="U34" s="34"/>
      <c r="V34" s="99">
        <v>2166</v>
      </c>
      <c r="W34" s="34"/>
      <c r="X34" s="34"/>
      <c r="Y34" s="34" t="s">
        <v>153</v>
      </c>
      <c r="Z34" s="34" t="s">
        <v>292</v>
      </c>
      <c r="AA34" s="102"/>
      <c r="AB34" s="34"/>
      <c r="AC34" s="40"/>
      <c r="AD34" s="107">
        <f t="shared" si="1"/>
        <v>3000000</v>
      </c>
      <c r="AE34" s="34"/>
      <c r="AF34" s="36"/>
      <c r="AG34" s="104"/>
      <c r="AH34" s="105"/>
    </row>
    <row r="35" spans="2:34" x14ac:dyDescent="0.4">
      <c r="B35" s="109">
        <v>45082</v>
      </c>
      <c r="C35" s="34"/>
      <c r="D35" s="34"/>
      <c r="E35" s="99">
        <v>4692</v>
      </c>
      <c r="F35" s="34"/>
      <c r="G35" s="34"/>
      <c r="H35" s="34" t="s">
        <v>513</v>
      </c>
      <c r="I35" s="34"/>
      <c r="J35" s="102"/>
      <c r="K35" s="34"/>
      <c r="L35" s="40"/>
      <c r="M35" s="107">
        <f t="shared" si="0"/>
        <v>3000000</v>
      </c>
      <c r="N35" s="34"/>
      <c r="O35" s="36"/>
      <c r="P35" s="104"/>
      <c r="Q35" s="105"/>
      <c r="S35" s="109">
        <v>45082</v>
      </c>
      <c r="T35" s="34"/>
      <c r="U35" s="34"/>
      <c r="V35" s="99">
        <v>4692</v>
      </c>
      <c r="W35" s="34"/>
      <c r="X35" s="34"/>
      <c r="Y35" s="34" t="s">
        <v>513</v>
      </c>
      <c r="Z35" s="34"/>
      <c r="AA35" s="102"/>
      <c r="AB35" s="34"/>
      <c r="AC35" s="40"/>
      <c r="AD35" s="107">
        <f t="shared" si="1"/>
        <v>3000000</v>
      </c>
      <c r="AE35" s="34"/>
      <c r="AF35" s="36"/>
      <c r="AG35" s="104"/>
      <c r="AH35" s="105"/>
    </row>
    <row r="36" spans="2:34" x14ac:dyDescent="0.4">
      <c r="B36" s="109">
        <v>45154</v>
      </c>
      <c r="C36" s="34"/>
      <c r="D36" s="34"/>
      <c r="E36" s="99">
        <v>2166</v>
      </c>
      <c r="F36" s="34"/>
      <c r="G36" s="34"/>
      <c r="H36" s="34" t="s">
        <v>153</v>
      </c>
      <c r="I36" s="34" t="s">
        <v>292</v>
      </c>
      <c r="J36" s="102"/>
      <c r="K36" s="34"/>
      <c r="L36" s="40"/>
      <c r="M36" s="107">
        <f t="shared" si="0"/>
        <v>3000000</v>
      </c>
      <c r="N36" s="34"/>
      <c r="O36" s="36"/>
      <c r="P36" s="104"/>
      <c r="Q36" s="105"/>
      <c r="S36" s="109">
        <v>45154</v>
      </c>
      <c r="T36" s="34"/>
      <c r="U36" s="34"/>
      <c r="V36" s="99">
        <v>2166</v>
      </c>
      <c r="W36" s="34"/>
      <c r="X36" s="34"/>
      <c r="Y36" s="34" t="s">
        <v>153</v>
      </c>
      <c r="Z36" s="34" t="s">
        <v>292</v>
      </c>
      <c r="AA36" s="102"/>
      <c r="AB36" s="34"/>
      <c r="AC36" s="40"/>
      <c r="AD36" s="107">
        <f t="shared" si="1"/>
        <v>3000000</v>
      </c>
      <c r="AE36" s="34"/>
      <c r="AF36" s="36"/>
      <c r="AG36" s="104"/>
      <c r="AH36" s="105"/>
    </row>
    <row r="37" spans="2:34" x14ac:dyDescent="0.4">
      <c r="B37" s="109">
        <v>45173</v>
      </c>
      <c r="C37" s="34"/>
      <c r="D37" s="34"/>
      <c r="E37" s="99">
        <v>4525</v>
      </c>
      <c r="F37" s="34"/>
      <c r="G37" s="34"/>
      <c r="H37" s="34" t="s">
        <v>513</v>
      </c>
      <c r="I37" s="34"/>
      <c r="J37" s="102"/>
      <c r="K37" s="34"/>
      <c r="L37" s="40"/>
      <c r="M37" s="107">
        <f t="shared" si="0"/>
        <v>3000000</v>
      </c>
      <c r="N37" s="34"/>
      <c r="O37" s="36"/>
      <c r="P37" s="104"/>
      <c r="Q37" s="105"/>
      <c r="S37" s="109">
        <v>45173</v>
      </c>
      <c r="T37" s="34"/>
      <c r="U37" s="34"/>
      <c r="V37" s="99">
        <v>4525</v>
      </c>
      <c r="W37" s="34"/>
      <c r="X37" s="34"/>
      <c r="Y37" s="34" t="s">
        <v>513</v>
      </c>
      <c r="Z37" s="34"/>
      <c r="AA37" s="102"/>
      <c r="AB37" s="34"/>
      <c r="AC37" s="40"/>
      <c r="AD37" s="107">
        <f t="shared" si="1"/>
        <v>3000000</v>
      </c>
      <c r="AE37" s="34"/>
      <c r="AF37" s="36"/>
      <c r="AG37" s="104"/>
      <c r="AH37" s="105"/>
    </row>
    <row r="38" spans="2:34" x14ac:dyDescent="0.4">
      <c r="B38" s="109">
        <v>45250</v>
      </c>
      <c r="C38" s="34"/>
      <c r="D38" s="34"/>
      <c r="E38" s="99">
        <v>2166</v>
      </c>
      <c r="F38" s="34"/>
      <c r="G38" s="34"/>
      <c r="H38" s="34" t="s">
        <v>153</v>
      </c>
      <c r="I38" s="34" t="s">
        <v>292</v>
      </c>
      <c r="J38" s="102"/>
      <c r="K38" s="34"/>
      <c r="L38" s="40"/>
      <c r="M38" s="107">
        <f t="shared" si="0"/>
        <v>3000000</v>
      </c>
      <c r="N38" s="34"/>
      <c r="O38" s="36"/>
      <c r="P38" s="104"/>
      <c r="Q38" s="105"/>
      <c r="S38" s="109">
        <v>45250</v>
      </c>
      <c r="T38" s="34"/>
      <c r="U38" s="34"/>
      <c r="V38" s="99">
        <v>2166</v>
      </c>
      <c r="W38" s="34"/>
      <c r="X38" s="34"/>
      <c r="Y38" s="34" t="s">
        <v>153</v>
      </c>
      <c r="Z38" s="34" t="s">
        <v>292</v>
      </c>
      <c r="AA38" s="102"/>
      <c r="AB38" s="34"/>
      <c r="AC38" s="40"/>
      <c r="AD38" s="107">
        <f t="shared" si="1"/>
        <v>3000000</v>
      </c>
      <c r="AE38" s="34"/>
      <c r="AF38" s="36"/>
      <c r="AG38" s="104"/>
      <c r="AH38" s="105"/>
    </row>
    <row r="39" spans="2:34" x14ac:dyDescent="0.4">
      <c r="B39" s="109">
        <v>45264</v>
      </c>
      <c r="C39" s="34"/>
      <c r="D39" s="34"/>
      <c r="E39" s="99">
        <v>4543</v>
      </c>
      <c r="F39" s="34"/>
      <c r="G39" s="34"/>
      <c r="H39" s="34" t="s">
        <v>513</v>
      </c>
      <c r="I39" s="34"/>
      <c r="J39" s="102"/>
      <c r="K39" s="34"/>
      <c r="L39" s="40"/>
      <c r="M39" s="107">
        <f t="shared" ref="M39:M72" si="2">M38+D39</f>
        <v>3000000</v>
      </c>
      <c r="N39" s="34"/>
      <c r="O39" s="36"/>
      <c r="P39" s="104"/>
      <c r="Q39" s="105"/>
      <c r="S39" s="109">
        <v>45264</v>
      </c>
      <c r="T39" s="34"/>
      <c r="U39" s="34"/>
      <c r="V39" s="99">
        <v>4543</v>
      </c>
      <c r="W39" s="34"/>
      <c r="X39" s="34"/>
      <c r="Y39" s="34" t="s">
        <v>513</v>
      </c>
      <c r="Z39" s="34"/>
      <c r="AA39" s="102"/>
      <c r="AB39" s="34"/>
      <c r="AC39" s="40"/>
      <c r="AD39" s="107">
        <f t="shared" ref="AD39:AD66" si="3">AD38+U39</f>
        <v>3000000</v>
      </c>
      <c r="AE39" s="34"/>
      <c r="AF39" s="36"/>
      <c r="AG39" s="104"/>
      <c r="AH39" s="105"/>
    </row>
    <row r="40" spans="2:34" x14ac:dyDescent="0.4">
      <c r="B40" s="109">
        <v>45355</v>
      </c>
      <c r="C40" s="34"/>
      <c r="D40" s="34"/>
      <c r="E40" s="99">
        <v>4539</v>
      </c>
      <c r="F40" s="34"/>
      <c r="G40" s="34"/>
      <c r="H40" s="34" t="s">
        <v>513</v>
      </c>
      <c r="I40" s="34"/>
      <c r="J40" s="102"/>
      <c r="K40" s="34"/>
      <c r="L40" s="40"/>
      <c r="M40" s="107">
        <f t="shared" si="2"/>
        <v>3000000</v>
      </c>
      <c r="N40" s="34"/>
      <c r="O40" s="36"/>
      <c r="P40" s="104"/>
      <c r="Q40" s="105"/>
      <c r="S40" s="109">
        <v>45355</v>
      </c>
      <c r="T40" s="34"/>
      <c r="U40" s="34"/>
      <c r="V40" s="99">
        <v>4539</v>
      </c>
      <c r="W40" s="34"/>
      <c r="X40" s="34"/>
      <c r="Y40" s="34" t="s">
        <v>513</v>
      </c>
      <c r="Z40" s="34"/>
      <c r="AA40" s="102"/>
      <c r="AB40" s="34"/>
      <c r="AC40" s="40"/>
      <c r="AD40" s="107">
        <f t="shared" si="3"/>
        <v>3000000</v>
      </c>
      <c r="AE40" s="34"/>
      <c r="AF40" s="36"/>
      <c r="AG40" s="104"/>
      <c r="AH40" s="105"/>
    </row>
    <row r="41" spans="2:34" x14ac:dyDescent="0.4">
      <c r="B41" s="109">
        <v>45391</v>
      </c>
      <c r="C41" s="34"/>
      <c r="D41" s="34"/>
      <c r="E41" s="99">
        <v>1800</v>
      </c>
      <c r="F41" s="34"/>
      <c r="G41" s="34"/>
      <c r="H41" s="34" t="s">
        <v>153</v>
      </c>
      <c r="I41" s="34" t="s">
        <v>468</v>
      </c>
      <c r="J41" s="102"/>
      <c r="K41" s="34"/>
      <c r="L41" s="40"/>
      <c r="M41" s="107">
        <f t="shared" si="2"/>
        <v>3000000</v>
      </c>
      <c r="N41" s="34"/>
      <c r="O41" s="36"/>
      <c r="P41" s="104"/>
      <c r="Q41" s="105"/>
      <c r="S41" s="109">
        <v>45391</v>
      </c>
      <c r="T41" s="34"/>
      <c r="U41" s="34"/>
      <c r="V41" s="99">
        <v>1800</v>
      </c>
      <c r="W41" s="34"/>
      <c r="X41" s="34"/>
      <c r="Y41" s="34" t="s">
        <v>153</v>
      </c>
      <c r="Z41" s="34" t="s">
        <v>468</v>
      </c>
      <c r="AA41" s="102"/>
      <c r="AB41" s="34"/>
      <c r="AC41" s="40"/>
      <c r="AD41" s="107">
        <f t="shared" si="3"/>
        <v>3000000</v>
      </c>
      <c r="AE41" s="34"/>
      <c r="AF41" s="36"/>
      <c r="AG41" s="104"/>
      <c r="AH41" s="105"/>
    </row>
    <row r="42" spans="2:34" x14ac:dyDescent="0.4">
      <c r="B42" s="109">
        <v>45401</v>
      </c>
      <c r="C42" s="34"/>
      <c r="D42" s="34"/>
      <c r="E42" s="99">
        <v>2172</v>
      </c>
      <c r="F42" s="34"/>
      <c r="G42" s="34"/>
      <c r="H42" s="34" t="s">
        <v>153</v>
      </c>
      <c r="I42" s="34" t="s">
        <v>292</v>
      </c>
      <c r="J42" s="102"/>
      <c r="K42" s="34"/>
      <c r="L42" s="40"/>
      <c r="M42" s="107">
        <f t="shared" si="2"/>
        <v>3000000</v>
      </c>
      <c r="N42" s="34"/>
      <c r="O42" s="36"/>
      <c r="P42" s="104"/>
      <c r="Q42" s="105"/>
      <c r="S42" s="109">
        <v>45401</v>
      </c>
      <c r="T42" s="34"/>
      <c r="U42" s="34"/>
      <c r="V42" s="99">
        <v>2172</v>
      </c>
      <c r="W42" s="34"/>
      <c r="X42" s="34"/>
      <c r="Y42" s="34" t="s">
        <v>153</v>
      </c>
      <c r="Z42" s="34" t="s">
        <v>292</v>
      </c>
      <c r="AA42" s="102"/>
      <c r="AB42" s="34"/>
      <c r="AC42" s="40"/>
      <c r="AD42" s="107">
        <f t="shared" si="3"/>
        <v>3000000</v>
      </c>
      <c r="AE42" s="34"/>
      <c r="AF42" s="36"/>
      <c r="AG42" s="104"/>
      <c r="AH42" s="105"/>
    </row>
    <row r="43" spans="2:34" x14ac:dyDescent="0.4">
      <c r="B43" s="109">
        <v>45401</v>
      </c>
      <c r="C43" s="34"/>
      <c r="D43" s="34"/>
      <c r="E43" s="99">
        <v>434</v>
      </c>
      <c r="F43" s="34"/>
      <c r="G43" s="34"/>
      <c r="H43" s="34" t="s">
        <v>153</v>
      </c>
      <c r="I43" s="34" t="s">
        <v>578</v>
      </c>
      <c r="J43" s="102"/>
      <c r="K43" s="34"/>
      <c r="L43" s="40"/>
      <c r="M43" s="107">
        <f t="shared" si="2"/>
        <v>3000000</v>
      </c>
      <c r="N43" s="34"/>
      <c r="O43" s="36"/>
      <c r="P43" s="104"/>
      <c r="Q43" s="105"/>
      <c r="S43" s="109">
        <v>45401</v>
      </c>
      <c r="T43" s="34"/>
      <c r="U43" s="34"/>
      <c r="V43" s="99">
        <v>434</v>
      </c>
      <c r="W43" s="34"/>
      <c r="X43" s="34"/>
      <c r="Y43" s="34" t="s">
        <v>153</v>
      </c>
      <c r="Z43" s="34" t="s">
        <v>578</v>
      </c>
      <c r="AA43" s="102"/>
      <c r="AB43" s="34"/>
      <c r="AC43" s="40"/>
      <c r="AD43" s="107">
        <f t="shared" si="3"/>
        <v>3000000</v>
      </c>
      <c r="AE43" s="34"/>
      <c r="AF43" s="36"/>
      <c r="AG43" s="104"/>
      <c r="AH43" s="105"/>
    </row>
    <row r="44" spans="2:34" x14ac:dyDescent="0.4">
      <c r="B44" s="109">
        <v>45407</v>
      </c>
      <c r="C44" s="34"/>
      <c r="D44" s="34"/>
      <c r="E44" s="99">
        <v>61</v>
      </c>
      <c r="F44" s="34"/>
      <c r="G44" s="34"/>
      <c r="H44" s="34" t="s">
        <v>153</v>
      </c>
      <c r="I44" s="34" t="s">
        <v>408</v>
      </c>
      <c r="J44" s="102"/>
      <c r="K44" s="34"/>
      <c r="L44" s="40"/>
      <c r="M44" s="107">
        <f t="shared" si="2"/>
        <v>3000000</v>
      </c>
      <c r="N44" s="34"/>
      <c r="O44" s="36"/>
      <c r="P44" s="104"/>
      <c r="Q44" s="105"/>
      <c r="S44" s="109">
        <v>45407</v>
      </c>
      <c r="T44" s="34"/>
      <c r="U44" s="34"/>
      <c r="V44" s="99">
        <v>61</v>
      </c>
      <c r="W44" s="34"/>
      <c r="X44" s="34"/>
      <c r="Y44" s="34" t="s">
        <v>153</v>
      </c>
      <c r="Z44" s="34" t="s">
        <v>408</v>
      </c>
      <c r="AA44" s="102"/>
      <c r="AB44" s="34"/>
      <c r="AC44" s="40"/>
      <c r="AD44" s="107">
        <f t="shared" si="3"/>
        <v>3000000</v>
      </c>
      <c r="AE44" s="34"/>
      <c r="AF44" s="36"/>
      <c r="AG44" s="104"/>
      <c r="AH44" s="105"/>
    </row>
    <row r="45" spans="2:34" x14ac:dyDescent="0.4">
      <c r="B45" s="109">
        <v>45432</v>
      </c>
      <c r="C45" s="34"/>
      <c r="D45" s="34"/>
      <c r="E45" s="99">
        <v>2166</v>
      </c>
      <c r="F45" s="34"/>
      <c r="G45" s="34"/>
      <c r="H45" s="34" t="s">
        <v>153</v>
      </c>
      <c r="I45" s="34" t="s">
        <v>292</v>
      </c>
      <c r="J45" s="102"/>
      <c r="K45" s="34"/>
      <c r="L45" s="40"/>
      <c r="M45" s="107">
        <f t="shared" si="2"/>
        <v>3000000</v>
      </c>
      <c r="N45" s="34"/>
      <c r="O45" s="36"/>
      <c r="P45" s="104"/>
      <c r="Q45" s="105"/>
      <c r="S45" s="109">
        <v>45432</v>
      </c>
      <c r="T45" s="34"/>
      <c r="U45" s="34"/>
      <c r="V45" s="99">
        <v>2166</v>
      </c>
      <c r="W45" s="34"/>
      <c r="X45" s="34"/>
      <c r="Y45" s="34" t="s">
        <v>153</v>
      </c>
      <c r="Z45" s="34" t="s">
        <v>292</v>
      </c>
      <c r="AA45" s="102"/>
      <c r="AB45" s="34"/>
      <c r="AC45" s="40"/>
      <c r="AD45" s="107">
        <f t="shared" si="3"/>
        <v>3000000</v>
      </c>
      <c r="AE45" s="34"/>
      <c r="AF45" s="36"/>
      <c r="AG45" s="104"/>
      <c r="AH45" s="105"/>
    </row>
    <row r="46" spans="2:34" x14ac:dyDescent="0.4">
      <c r="B46" s="109">
        <v>45537</v>
      </c>
      <c r="C46" s="34"/>
      <c r="D46" s="34"/>
      <c r="E46" s="99">
        <v>4359</v>
      </c>
      <c r="F46" s="34"/>
      <c r="G46" s="34"/>
      <c r="H46" s="34" t="s">
        <v>513</v>
      </c>
      <c r="I46" s="34"/>
      <c r="J46" s="102"/>
      <c r="K46" s="34"/>
      <c r="L46" s="40"/>
      <c r="M46" s="107">
        <f t="shared" si="2"/>
        <v>3000000</v>
      </c>
      <c r="N46" s="34"/>
      <c r="O46" s="36"/>
      <c r="P46" s="104"/>
      <c r="Q46" s="105"/>
      <c r="S46" s="109">
        <v>45537</v>
      </c>
      <c r="T46" s="34"/>
      <c r="U46" s="34"/>
      <c r="V46" s="99">
        <v>4359</v>
      </c>
      <c r="W46" s="34"/>
      <c r="X46" s="34"/>
      <c r="Y46" s="34" t="s">
        <v>513</v>
      </c>
      <c r="Z46" s="34"/>
      <c r="AA46" s="102"/>
      <c r="AB46" s="34"/>
      <c r="AC46" s="40"/>
      <c r="AD46" s="107">
        <f t="shared" si="3"/>
        <v>3000000</v>
      </c>
      <c r="AE46" s="34"/>
      <c r="AF46" s="36"/>
      <c r="AG46" s="104"/>
      <c r="AH46" s="105"/>
    </row>
    <row r="47" spans="2:34" x14ac:dyDescent="0.4">
      <c r="B47" s="109">
        <v>45616</v>
      </c>
      <c r="C47" s="34"/>
      <c r="D47" s="34"/>
      <c r="E47" s="99">
        <v>2166</v>
      </c>
      <c r="F47" s="34"/>
      <c r="G47" s="34"/>
      <c r="H47" s="34" t="s">
        <v>153</v>
      </c>
      <c r="I47" s="34" t="s">
        <v>292</v>
      </c>
      <c r="J47" s="102"/>
      <c r="K47" s="34"/>
      <c r="L47" s="40"/>
      <c r="M47" s="107">
        <f t="shared" si="2"/>
        <v>3000000</v>
      </c>
      <c r="N47" s="34"/>
      <c r="O47" s="36"/>
      <c r="P47" s="104"/>
      <c r="Q47" s="105"/>
      <c r="S47" s="109">
        <v>45616</v>
      </c>
      <c r="T47" s="34"/>
      <c r="U47" s="34"/>
      <c r="V47" s="99">
        <v>2166</v>
      </c>
      <c r="W47" s="34"/>
      <c r="X47" s="34"/>
      <c r="Y47" s="34" t="s">
        <v>153</v>
      </c>
      <c r="Z47" s="34" t="s">
        <v>292</v>
      </c>
      <c r="AA47" s="102"/>
      <c r="AB47" s="34"/>
      <c r="AC47" s="40"/>
      <c r="AD47" s="107">
        <f t="shared" si="3"/>
        <v>3000000</v>
      </c>
      <c r="AE47" s="34"/>
      <c r="AF47" s="36"/>
      <c r="AG47" s="104"/>
      <c r="AH47" s="105"/>
    </row>
    <row r="48" spans="2:34" x14ac:dyDescent="0.4">
      <c r="B48" s="109">
        <v>45628</v>
      </c>
      <c r="C48" s="34"/>
      <c r="D48" s="34"/>
      <c r="E48" s="99">
        <v>4366</v>
      </c>
      <c r="F48" s="34"/>
      <c r="G48" s="34"/>
      <c r="H48" s="34" t="s">
        <v>513</v>
      </c>
      <c r="I48" s="34"/>
      <c r="J48" s="102"/>
      <c r="K48" s="34"/>
      <c r="L48" s="40"/>
      <c r="M48" s="107">
        <f t="shared" si="2"/>
        <v>3000000</v>
      </c>
      <c r="N48" s="34"/>
      <c r="O48" s="36"/>
      <c r="P48" s="104"/>
      <c r="Q48" s="105"/>
      <c r="S48" s="109">
        <v>45628</v>
      </c>
      <c r="T48" s="34"/>
      <c r="U48" s="34"/>
      <c r="V48" s="99">
        <v>4366</v>
      </c>
      <c r="W48" s="34"/>
      <c r="X48" s="34"/>
      <c r="Y48" s="34" t="s">
        <v>513</v>
      </c>
      <c r="Z48" s="34"/>
      <c r="AA48" s="102"/>
      <c r="AB48" s="34"/>
      <c r="AC48" s="40"/>
      <c r="AD48" s="107">
        <f t="shared" si="3"/>
        <v>3000000</v>
      </c>
      <c r="AE48" s="34"/>
      <c r="AF48" s="36"/>
      <c r="AG48" s="104"/>
      <c r="AH48" s="105"/>
    </row>
    <row r="49" spans="2:34" x14ac:dyDescent="0.4">
      <c r="B49" s="109">
        <v>45720</v>
      </c>
      <c r="C49" s="34"/>
      <c r="D49" s="34"/>
      <c r="E49" s="99">
        <v>4438</v>
      </c>
      <c r="F49" s="34"/>
      <c r="G49" s="34"/>
      <c r="H49" s="34" t="s">
        <v>513</v>
      </c>
      <c r="I49" s="34"/>
      <c r="J49" s="102"/>
      <c r="K49" s="34"/>
      <c r="L49" s="40"/>
      <c r="M49" s="107">
        <f t="shared" si="2"/>
        <v>3000000</v>
      </c>
      <c r="N49" s="34"/>
      <c r="O49" s="36"/>
      <c r="P49" s="104"/>
      <c r="Q49" s="105"/>
      <c r="S49" s="109">
        <v>45720</v>
      </c>
      <c r="T49" s="34"/>
      <c r="U49" s="34"/>
      <c r="V49" s="99">
        <v>4438</v>
      </c>
      <c r="W49" s="34"/>
      <c r="X49" s="34"/>
      <c r="Y49" s="34" t="s">
        <v>513</v>
      </c>
      <c r="Z49" s="34"/>
      <c r="AA49" s="102"/>
      <c r="AB49" s="34"/>
      <c r="AC49" s="40"/>
      <c r="AD49" s="107">
        <f t="shared" si="3"/>
        <v>3000000</v>
      </c>
      <c r="AE49" s="34"/>
      <c r="AF49" s="36"/>
      <c r="AG49" s="104"/>
      <c r="AH49" s="105"/>
    </row>
    <row r="50" spans="2:34" x14ac:dyDescent="0.4">
      <c r="B50" s="109">
        <v>45756</v>
      </c>
      <c r="C50" s="34"/>
      <c r="D50" s="34"/>
      <c r="E50" s="99">
        <v>1800</v>
      </c>
      <c r="F50" s="34"/>
      <c r="G50" s="34"/>
      <c r="H50" s="34" t="s">
        <v>153</v>
      </c>
      <c r="I50" s="34" t="s">
        <v>468</v>
      </c>
      <c r="J50" s="102"/>
      <c r="K50" s="34"/>
      <c r="L50" s="40"/>
      <c r="M50" s="107">
        <f t="shared" si="2"/>
        <v>3000000</v>
      </c>
      <c r="N50" s="34"/>
      <c r="O50" s="36"/>
      <c r="P50" s="104"/>
      <c r="Q50" s="105"/>
      <c r="S50" s="109">
        <v>45756</v>
      </c>
      <c r="T50" s="34"/>
      <c r="U50" s="34"/>
      <c r="V50" s="99">
        <v>1800</v>
      </c>
      <c r="W50" s="34"/>
      <c r="X50" s="34"/>
      <c r="Y50" s="34" t="s">
        <v>153</v>
      </c>
      <c r="Z50" s="34" t="s">
        <v>468</v>
      </c>
      <c r="AA50" s="102"/>
      <c r="AB50" s="34"/>
      <c r="AC50" s="40"/>
      <c r="AD50" s="107">
        <f t="shared" si="3"/>
        <v>3000000</v>
      </c>
      <c r="AE50" s="34"/>
      <c r="AF50" s="36"/>
      <c r="AG50" s="104"/>
      <c r="AH50" s="105"/>
    </row>
    <row r="51" spans="2:34" x14ac:dyDescent="0.4">
      <c r="B51" s="109">
        <v>45765</v>
      </c>
      <c r="C51" s="34"/>
      <c r="D51" s="34"/>
      <c r="E51" s="99">
        <v>2184</v>
      </c>
      <c r="F51" s="34"/>
      <c r="G51" s="34"/>
      <c r="H51" s="34" t="s">
        <v>153</v>
      </c>
      <c r="I51" s="34" t="s">
        <v>292</v>
      </c>
      <c r="J51" s="102"/>
      <c r="K51" s="34"/>
      <c r="L51" s="40"/>
      <c r="M51" s="107">
        <f t="shared" si="2"/>
        <v>3000000</v>
      </c>
      <c r="N51" s="34"/>
      <c r="O51" s="36"/>
      <c r="P51" s="104"/>
      <c r="Q51" s="105"/>
      <c r="S51" s="109">
        <v>45765</v>
      </c>
      <c r="T51" s="34"/>
      <c r="U51" s="34"/>
      <c r="V51" s="99">
        <v>2184</v>
      </c>
      <c r="W51" s="34"/>
      <c r="X51" s="34"/>
      <c r="Y51" s="34" t="s">
        <v>153</v>
      </c>
      <c r="Z51" s="34" t="s">
        <v>292</v>
      </c>
      <c r="AA51" s="102"/>
      <c r="AB51" s="34"/>
      <c r="AC51" s="40"/>
      <c r="AD51" s="107">
        <f t="shared" si="3"/>
        <v>3000000</v>
      </c>
      <c r="AE51" s="34"/>
      <c r="AF51" s="36"/>
      <c r="AG51" s="104"/>
      <c r="AH51" s="105"/>
    </row>
    <row r="52" spans="2:34" x14ac:dyDescent="0.4">
      <c r="B52" s="109">
        <v>45771</v>
      </c>
      <c r="C52" s="34"/>
      <c r="D52" s="34"/>
      <c r="E52" s="99">
        <v>68</v>
      </c>
      <c r="F52" s="34"/>
      <c r="G52" s="34"/>
      <c r="H52" s="34" t="s">
        <v>153</v>
      </c>
      <c r="I52" s="34" t="s">
        <v>408</v>
      </c>
      <c r="J52" s="102"/>
      <c r="K52" s="34"/>
      <c r="L52" s="40"/>
      <c r="M52" s="107">
        <f t="shared" si="2"/>
        <v>3000000</v>
      </c>
      <c r="N52" s="34"/>
      <c r="O52" s="36"/>
      <c r="P52" s="104"/>
      <c r="Q52" s="105"/>
      <c r="S52" s="109">
        <v>45771</v>
      </c>
      <c r="T52" s="34"/>
      <c r="U52" s="34"/>
      <c r="V52" s="99">
        <v>68</v>
      </c>
      <c r="W52" s="34"/>
      <c r="X52" s="34"/>
      <c r="Y52" s="34" t="s">
        <v>153</v>
      </c>
      <c r="Z52" s="34" t="s">
        <v>408</v>
      </c>
      <c r="AA52" s="102"/>
      <c r="AB52" s="34"/>
      <c r="AC52" s="40"/>
      <c r="AD52" s="107">
        <f t="shared" si="3"/>
        <v>3000000</v>
      </c>
      <c r="AE52" s="34"/>
      <c r="AF52" s="36"/>
      <c r="AG52" s="104"/>
      <c r="AH52" s="105"/>
    </row>
    <row r="53" spans="2:34" x14ac:dyDescent="0.4">
      <c r="B53" s="109">
        <v>45771</v>
      </c>
      <c r="C53" s="34"/>
      <c r="D53" s="34"/>
      <c r="E53" s="99">
        <v>954</v>
      </c>
      <c r="F53" s="34"/>
      <c r="G53" s="34"/>
      <c r="H53" s="34" t="s">
        <v>153</v>
      </c>
      <c r="I53" s="34" t="s">
        <v>578</v>
      </c>
      <c r="J53" s="102"/>
      <c r="K53" s="34"/>
      <c r="L53" s="40"/>
      <c r="M53" s="107">
        <f t="shared" si="2"/>
        <v>3000000</v>
      </c>
      <c r="N53" s="34"/>
      <c r="O53" s="36"/>
      <c r="P53" s="104"/>
      <c r="Q53" s="105"/>
      <c r="S53" s="109">
        <v>45771</v>
      </c>
      <c r="T53" s="34"/>
      <c r="U53" s="34"/>
      <c r="V53" s="99">
        <v>954</v>
      </c>
      <c r="W53" s="34"/>
      <c r="X53" s="34"/>
      <c r="Y53" s="34" t="s">
        <v>153</v>
      </c>
      <c r="Z53" s="34" t="s">
        <v>578</v>
      </c>
      <c r="AA53" s="102"/>
      <c r="AB53" s="34"/>
      <c r="AC53" s="40"/>
      <c r="AD53" s="107">
        <f t="shared" si="3"/>
        <v>3000000</v>
      </c>
      <c r="AE53" s="34"/>
      <c r="AF53" s="36"/>
      <c r="AG53" s="104"/>
      <c r="AH53" s="105"/>
    </row>
    <row r="54" spans="2:34" x14ac:dyDescent="0.4">
      <c r="B54" s="109">
        <v>45784</v>
      </c>
      <c r="C54" s="34"/>
      <c r="D54" s="34"/>
      <c r="E54" s="99">
        <v>80</v>
      </c>
      <c r="F54" s="34"/>
      <c r="G54" s="34"/>
      <c r="H54" s="34" t="s">
        <v>580</v>
      </c>
      <c r="I54" s="34" t="s">
        <v>581</v>
      </c>
      <c r="J54" s="102"/>
      <c r="K54" s="34"/>
      <c r="L54" s="40"/>
      <c r="M54" s="107">
        <f t="shared" si="2"/>
        <v>3000000</v>
      </c>
      <c r="N54" s="34"/>
      <c r="O54" s="36"/>
      <c r="P54" s="104"/>
      <c r="Q54" s="105"/>
      <c r="S54" s="109">
        <v>45784</v>
      </c>
      <c r="T54" s="34"/>
      <c r="U54" s="34"/>
      <c r="V54" s="99">
        <v>80</v>
      </c>
      <c r="W54" s="34"/>
      <c r="X54" s="34"/>
      <c r="Y54" s="34" t="s">
        <v>580</v>
      </c>
      <c r="Z54" s="34" t="s">
        <v>581</v>
      </c>
      <c r="AA54" s="102"/>
      <c r="AB54" s="34"/>
      <c r="AC54" s="40"/>
      <c r="AD54" s="107">
        <f t="shared" si="3"/>
        <v>3000000</v>
      </c>
      <c r="AE54" s="34"/>
      <c r="AF54" s="36"/>
      <c r="AG54" s="104"/>
      <c r="AH54" s="105"/>
    </row>
    <row r="55" spans="2:34" x14ac:dyDescent="0.4">
      <c r="B55" s="109">
        <v>45796</v>
      </c>
      <c r="C55" s="34"/>
      <c r="D55" s="34"/>
      <c r="E55" s="99">
        <v>276</v>
      </c>
      <c r="F55" s="34"/>
      <c r="G55" s="34"/>
      <c r="H55" s="34" t="s">
        <v>580</v>
      </c>
      <c r="I55" s="34" t="s">
        <v>582</v>
      </c>
      <c r="J55" s="102"/>
      <c r="K55" s="34"/>
      <c r="L55" s="40"/>
      <c r="M55" s="107">
        <f t="shared" si="2"/>
        <v>3000000</v>
      </c>
      <c r="N55" s="34"/>
      <c r="O55" s="36"/>
      <c r="P55" s="104"/>
      <c r="Q55" s="105"/>
      <c r="S55" s="109">
        <v>45796</v>
      </c>
      <c r="T55" s="34"/>
      <c r="U55" s="34"/>
      <c r="V55" s="99">
        <v>276</v>
      </c>
      <c r="W55" s="34"/>
      <c r="X55" s="34"/>
      <c r="Y55" s="34" t="s">
        <v>580</v>
      </c>
      <c r="Z55" s="34" t="s">
        <v>582</v>
      </c>
      <c r="AA55" s="102"/>
      <c r="AB55" s="34"/>
      <c r="AC55" s="40"/>
      <c r="AD55" s="107">
        <f t="shared" si="3"/>
        <v>3000000</v>
      </c>
      <c r="AE55" s="34"/>
      <c r="AF55" s="36"/>
      <c r="AG55" s="104"/>
      <c r="AH55" s="105"/>
    </row>
    <row r="56" spans="2:34" x14ac:dyDescent="0.4">
      <c r="B56" s="109">
        <v>45797</v>
      </c>
      <c r="C56" s="34"/>
      <c r="D56" s="34"/>
      <c r="E56" s="99">
        <v>2190</v>
      </c>
      <c r="F56" s="34"/>
      <c r="G56" s="34"/>
      <c r="H56" s="34" t="s">
        <v>153</v>
      </c>
      <c r="I56" s="34" t="s">
        <v>292</v>
      </c>
      <c r="J56" s="102"/>
      <c r="K56" s="34"/>
      <c r="L56" s="40"/>
      <c r="M56" s="107">
        <f t="shared" si="2"/>
        <v>3000000</v>
      </c>
      <c r="N56" s="34"/>
      <c r="O56" s="36"/>
      <c r="P56" s="104"/>
      <c r="Q56" s="105"/>
      <c r="S56" s="109">
        <v>45797</v>
      </c>
      <c r="T56" s="34"/>
      <c r="U56" s="34"/>
      <c r="V56" s="99">
        <v>2190</v>
      </c>
      <c r="W56" s="34"/>
      <c r="X56" s="34"/>
      <c r="Y56" s="34" t="s">
        <v>153</v>
      </c>
      <c r="Z56" s="34" t="s">
        <v>292</v>
      </c>
      <c r="AA56" s="102"/>
      <c r="AB56" s="34"/>
      <c r="AC56" s="40"/>
      <c r="AD56" s="107">
        <f t="shared" si="3"/>
        <v>3000000</v>
      </c>
      <c r="AE56" s="34"/>
      <c r="AF56" s="36"/>
      <c r="AG56" s="104"/>
      <c r="AH56" s="105"/>
    </row>
    <row r="57" spans="2:34" x14ac:dyDescent="0.4">
      <c r="B57" s="109">
        <v>45810</v>
      </c>
      <c r="C57" s="34"/>
      <c r="D57" s="34"/>
      <c r="E57" s="99">
        <v>4119</v>
      </c>
      <c r="F57" s="34"/>
      <c r="G57" s="34"/>
      <c r="H57" s="34" t="s">
        <v>513</v>
      </c>
      <c r="I57" s="34"/>
      <c r="J57" s="102"/>
      <c r="K57" s="34"/>
      <c r="L57" s="40"/>
      <c r="M57" s="107">
        <f t="shared" si="2"/>
        <v>3000000</v>
      </c>
      <c r="N57" s="34"/>
      <c r="O57" s="36"/>
      <c r="P57" s="104"/>
      <c r="Q57" s="105"/>
      <c r="S57" s="109">
        <v>45810</v>
      </c>
      <c r="T57" s="34"/>
      <c r="U57" s="34"/>
      <c r="V57" s="99">
        <v>4119</v>
      </c>
      <c r="W57" s="34"/>
      <c r="X57" s="34"/>
      <c r="Y57" s="34" t="s">
        <v>513</v>
      </c>
      <c r="Z57" s="34"/>
      <c r="AA57" s="102"/>
      <c r="AB57" s="34"/>
      <c r="AC57" s="40"/>
      <c r="AD57" s="107">
        <f t="shared" si="3"/>
        <v>3000000</v>
      </c>
      <c r="AE57" s="34"/>
      <c r="AF57" s="36"/>
      <c r="AG57" s="104"/>
      <c r="AH57" s="105"/>
    </row>
    <row r="58" spans="2:34" x14ac:dyDescent="0.4">
      <c r="B58" s="109">
        <v>45824</v>
      </c>
      <c r="C58" s="34"/>
      <c r="D58" s="34">
        <v>1000000</v>
      </c>
      <c r="E58" s="99"/>
      <c r="F58" s="34" t="s">
        <v>570</v>
      </c>
      <c r="G58" s="34" t="s">
        <v>583</v>
      </c>
      <c r="H58" s="34"/>
      <c r="I58" s="34"/>
      <c r="J58" s="102" t="s">
        <v>572</v>
      </c>
      <c r="K58" s="34" t="s">
        <v>577</v>
      </c>
      <c r="L58" s="100">
        <f>DATE(YEAR(B58)+10,MONTH(B58),DAY(B58))</f>
        <v>49476</v>
      </c>
      <c r="M58" s="107">
        <f t="shared" si="2"/>
        <v>4000000</v>
      </c>
      <c r="N58" s="34"/>
      <c r="O58" s="36"/>
      <c r="P58" s="104"/>
      <c r="Q58" s="105"/>
      <c r="S58" s="109">
        <v>45824</v>
      </c>
      <c r="T58" s="34"/>
      <c r="U58" s="34">
        <v>1000000</v>
      </c>
      <c r="V58" s="99"/>
      <c r="W58" s="34" t="s">
        <v>570</v>
      </c>
      <c r="X58" s="34" t="s">
        <v>583</v>
      </c>
      <c r="Y58" s="34"/>
      <c r="Z58" s="34"/>
      <c r="AA58" s="102" t="s">
        <v>572</v>
      </c>
      <c r="AB58" s="34" t="s">
        <v>577</v>
      </c>
      <c r="AC58" s="100">
        <f>DATE(YEAR(S58)+10,MONTH(S58),DAY(S58))</f>
        <v>49476</v>
      </c>
      <c r="AD58" s="107">
        <f t="shared" si="3"/>
        <v>4000000</v>
      </c>
      <c r="AE58" s="34"/>
      <c r="AF58" s="36"/>
      <c r="AG58" s="104"/>
      <c r="AH58" s="105"/>
    </row>
    <row r="59" spans="2:34" x14ac:dyDescent="0.4">
      <c r="B59" s="109">
        <v>45825</v>
      </c>
      <c r="C59" s="34"/>
      <c r="D59" s="34"/>
      <c r="E59" s="99">
        <v>630</v>
      </c>
      <c r="F59" s="34"/>
      <c r="G59" s="34"/>
      <c r="H59" s="34" t="s">
        <v>580</v>
      </c>
      <c r="I59" s="34" t="s">
        <v>582</v>
      </c>
      <c r="J59" s="102"/>
      <c r="K59" s="34"/>
      <c r="L59" s="40"/>
      <c r="M59" s="107">
        <f t="shared" si="2"/>
        <v>4000000</v>
      </c>
      <c r="N59" s="34"/>
      <c r="O59" s="36"/>
      <c r="P59" s="104"/>
      <c r="Q59" s="105"/>
      <c r="S59" s="109">
        <v>45825</v>
      </c>
      <c r="T59" s="34"/>
      <c r="U59" s="34"/>
      <c r="V59" s="99">
        <v>630</v>
      </c>
      <c r="W59" s="34"/>
      <c r="X59" s="34"/>
      <c r="Y59" s="34" t="s">
        <v>580</v>
      </c>
      <c r="Z59" s="34" t="s">
        <v>582</v>
      </c>
      <c r="AA59" s="102"/>
      <c r="AB59" s="34"/>
      <c r="AC59" s="40"/>
      <c r="AD59" s="107">
        <f t="shared" si="3"/>
        <v>4000000</v>
      </c>
      <c r="AE59" s="34"/>
      <c r="AF59" s="36"/>
      <c r="AG59" s="104"/>
      <c r="AH59" s="105"/>
    </row>
    <row r="60" spans="2:34" x14ac:dyDescent="0.4">
      <c r="B60" s="109">
        <v>45855</v>
      </c>
      <c r="C60" s="34"/>
      <c r="D60" s="34"/>
      <c r="E60" s="99">
        <v>1092</v>
      </c>
      <c r="F60" s="34"/>
      <c r="G60" s="34"/>
      <c r="H60" s="34" t="s">
        <v>580</v>
      </c>
      <c r="I60" s="34" t="s">
        <v>582</v>
      </c>
      <c r="J60" s="102"/>
      <c r="K60" s="34"/>
      <c r="L60" s="40"/>
      <c r="M60" s="107">
        <f t="shared" si="2"/>
        <v>4000000</v>
      </c>
      <c r="N60" s="34"/>
      <c r="O60" s="36"/>
      <c r="P60" s="104"/>
      <c r="Q60" s="105"/>
      <c r="S60" s="109">
        <v>45855</v>
      </c>
      <c r="T60" s="34"/>
      <c r="U60" s="34"/>
      <c r="V60" s="99">
        <v>1092</v>
      </c>
      <c r="W60" s="34"/>
      <c r="X60" s="34"/>
      <c r="Y60" s="34" t="s">
        <v>580</v>
      </c>
      <c r="Z60" s="34" t="s">
        <v>582</v>
      </c>
      <c r="AA60" s="102"/>
      <c r="AB60" s="34"/>
      <c r="AC60" s="40"/>
      <c r="AD60" s="107">
        <f t="shared" si="3"/>
        <v>4000000</v>
      </c>
      <c r="AE60" s="34"/>
      <c r="AF60" s="36"/>
      <c r="AG60" s="104"/>
      <c r="AH60" s="105"/>
    </row>
    <row r="61" spans="2:34" x14ac:dyDescent="0.4">
      <c r="B61" s="109">
        <v>45873</v>
      </c>
      <c r="C61" s="34"/>
      <c r="D61" s="34"/>
      <c r="E61" s="99">
        <v>595</v>
      </c>
      <c r="F61" s="34"/>
      <c r="G61" s="34"/>
      <c r="H61" s="34" t="s">
        <v>580</v>
      </c>
      <c r="I61" s="34" t="s">
        <v>581</v>
      </c>
      <c r="J61" s="102"/>
      <c r="K61" s="34"/>
      <c r="L61" s="40"/>
      <c r="M61" s="107">
        <f t="shared" si="2"/>
        <v>4000000</v>
      </c>
      <c r="N61" s="34"/>
      <c r="O61" s="36"/>
      <c r="P61" s="104"/>
      <c r="Q61" s="105"/>
      <c r="S61" s="109">
        <v>45873</v>
      </c>
      <c r="T61" s="34"/>
      <c r="U61" s="34"/>
      <c r="V61" s="99">
        <v>595</v>
      </c>
      <c r="W61" s="34"/>
      <c r="X61" s="34"/>
      <c r="Y61" s="34" t="s">
        <v>580</v>
      </c>
      <c r="Z61" s="34" t="s">
        <v>581</v>
      </c>
      <c r="AA61" s="102"/>
      <c r="AB61" s="34"/>
      <c r="AC61" s="40"/>
      <c r="AD61" s="107">
        <f t="shared" si="3"/>
        <v>4000000</v>
      </c>
      <c r="AE61" s="34"/>
      <c r="AF61" s="36"/>
      <c r="AG61" s="104"/>
      <c r="AH61" s="105"/>
    </row>
    <row r="62" spans="2:34" x14ac:dyDescent="0.4">
      <c r="B62" s="109">
        <v>45888</v>
      </c>
      <c r="C62" s="34"/>
      <c r="D62" s="34"/>
      <c r="E62" s="99">
        <v>1472</v>
      </c>
      <c r="F62" s="34"/>
      <c r="G62" s="34"/>
      <c r="H62" s="34" t="s">
        <v>580</v>
      </c>
      <c r="I62" s="34" t="s">
        <v>582</v>
      </c>
      <c r="J62" s="102"/>
      <c r="K62" s="34"/>
      <c r="L62" s="40"/>
      <c r="M62" s="107">
        <f t="shared" si="2"/>
        <v>4000000</v>
      </c>
      <c r="N62" s="34"/>
      <c r="O62" s="36"/>
      <c r="P62" s="104"/>
      <c r="Q62" s="105"/>
      <c r="S62" s="109">
        <v>45888</v>
      </c>
      <c r="T62" s="34"/>
      <c r="U62" s="34"/>
      <c r="V62" s="99">
        <v>1472</v>
      </c>
      <c r="W62" s="34"/>
      <c r="X62" s="34"/>
      <c r="Y62" s="34" t="s">
        <v>580</v>
      </c>
      <c r="Z62" s="34" t="s">
        <v>582</v>
      </c>
      <c r="AA62" s="102"/>
      <c r="AB62" s="34"/>
      <c r="AC62" s="40"/>
      <c r="AD62" s="107">
        <f t="shared" si="3"/>
        <v>4000000</v>
      </c>
      <c r="AE62" s="34"/>
      <c r="AF62" s="36"/>
      <c r="AG62" s="104"/>
      <c r="AH62" s="105"/>
    </row>
    <row r="63" spans="2:34" x14ac:dyDescent="0.4">
      <c r="B63" s="109">
        <v>45889</v>
      </c>
      <c r="C63" s="34"/>
      <c r="D63" s="34"/>
      <c r="E63" s="99">
        <v>2936</v>
      </c>
      <c r="F63" s="34"/>
      <c r="G63" s="34"/>
      <c r="H63" s="34" t="s">
        <v>153</v>
      </c>
      <c r="I63" s="34" t="s">
        <v>292</v>
      </c>
      <c r="J63" s="102"/>
      <c r="K63" s="34"/>
      <c r="L63" s="40"/>
      <c r="M63" s="107">
        <f t="shared" si="2"/>
        <v>4000000</v>
      </c>
      <c r="N63" s="34"/>
      <c r="O63" s="36"/>
      <c r="P63" s="104"/>
      <c r="Q63" s="105"/>
      <c r="S63" s="109">
        <v>45889</v>
      </c>
      <c r="T63" s="34"/>
      <c r="U63" s="34"/>
      <c r="V63" s="99">
        <v>2936</v>
      </c>
      <c r="W63" s="34"/>
      <c r="X63" s="34"/>
      <c r="Y63" s="34" t="s">
        <v>153</v>
      </c>
      <c r="Z63" s="34" t="s">
        <v>292</v>
      </c>
      <c r="AA63" s="102"/>
      <c r="AB63" s="34"/>
      <c r="AC63" s="40"/>
      <c r="AD63" s="107">
        <f t="shared" si="3"/>
        <v>4000000</v>
      </c>
      <c r="AE63" s="34"/>
      <c r="AF63" s="36"/>
      <c r="AG63" s="104"/>
      <c r="AH63" s="105"/>
    </row>
    <row r="64" spans="2:34" x14ac:dyDescent="0.4">
      <c r="B64" s="109">
        <v>45908</v>
      </c>
      <c r="C64" s="34"/>
      <c r="D64" s="34"/>
      <c r="E64" s="99">
        <f>4341-660</f>
        <v>3681</v>
      </c>
      <c r="F64" s="34"/>
      <c r="G64" s="34"/>
      <c r="H64" s="34" t="s">
        <v>513</v>
      </c>
      <c r="I64" s="34"/>
      <c r="J64" s="102"/>
      <c r="K64" s="34"/>
      <c r="L64" s="40"/>
      <c r="M64" s="107">
        <f t="shared" si="2"/>
        <v>4000000</v>
      </c>
      <c r="N64" s="34"/>
      <c r="O64" s="36"/>
      <c r="P64" s="104"/>
      <c r="Q64" s="105"/>
      <c r="S64" s="109">
        <v>45908</v>
      </c>
      <c r="T64" s="34"/>
      <c r="U64" s="34"/>
      <c r="V64" s="99">
        <f>4341-660</f>
        <v>3681</v>
      </c>
      <c r="W64" s="34"/>
      <c r="X64" s="34"/>
      <c r="Y64" s="34" t="s">
        <v>513</v>
      </c>
      <c r="Z64" s="34"/>
      <c r="AA64" s="102"/>
      <c r="AB64" s="34"/>
      <c r="AC64" s="40"/>
      <c r="AD64" s="107">
        <f t="shared" si="3"/>
        <v>4000000</v>
      </c>
      <c r="AE64" s="34"/>
      <c r="AF64" s="36"/>
      <c r="AG64" s="104"/>
      <c r="AH64" s="105"/>
    </row>
    <row r="65" spans="2:34" x14ac:dyDescent="0.4">
      <c r="B65" s="109">
        <v>45917</v>
      </c>
      <c r="C65" s="34"/>
      <c r="D65" s="34"/>
      <c r="E65" s="99">
        <v>1932</v>
      </c>
      <c r="F65" s="34"/>
      <c r="G65" s="34"/>
      <c r="H65" s="34" t="s">
        <v>580</v>
      </c>
      <c r="I65" s="34" t="s">
        <v>582</v>
      </c>
      <c r="J65" s="102"/>
      <c r="K65" s="34"/>
      <c r="L65" s="40"/>
      <c r="M65" s="107">
        <f t="shared" si="2"/>
        <v>4000000</v>
      </c>
      <c r="N65" s="34"/>
      <c r="O65" s="36"/>
      <c r="P65" s="104"/>
      <c r="Q65" s="105"/>
      <c r="S65" s="109">
        <v>45917</v>
      </c>
      <c r="T65" s="34"/>
      <c r="U65" s="34"/>
      <c r="V65" s="99">
        <v>1932</v>
      </c>
      <c r="W65" s="34"/>
      <c r="X65" s="34"/>
      <c r="Y65" s="34" t="s">
        <v>580</v>
      </c>
      <c r="Z65" s="34" t="s">
        <v>582</v>
      </c>
      <c r="AA65" s="102"/>
      <c r="AB65" s="34"/>
      <c r="AC65" s="40"/>
      <c r="AD65" s="107">
        <f t="shared" si="3"/>
        <v>4000000</v>
      </c>
      <c r="AE65" s="34"/>
      <c r="AF65" s="36"/>
      <c r="AG65" s="104"/>
      <c r="AH65" s="105"/>
    </row>
    <row r="66" spans="2:34" x14ac:dyDescent="0.4">
      <c r="B66" s="109">
        <v>45932</v>
      </c>
      <c r="C66" s="34"/>
      <c r="D66" s="34">
        <v>2700000</v>
      </c>
      <c r="E66" s="99"/>
      <c r="F66" s="34" t="s">
        <v>570</v>
      </c>
      <c r="G66" s="34" t="s">
        <v>576</v>
      </c>
      <c r="H66" s="34"/>
      <c r="I66" s="34"/>
      <c r="J66" s="102" t="s">
        <v>572</v>
      </c>
      <c r="K66" s="34" t="s">
        <v>584</v>
      </c>
      <c r="L66" s="100">
        <f>DATE(YEAR(B66)+10,MONTH(B66),DAY(B66))</f>
        <v>49584</v>
      </c>
      <c r="M66" s="107">
        <f t="shared" si="2"/>
        <v>6700000</v>
      </c>
      <c r="N66" s="34"/>
      <c r="O66" s="36"/>
      <c r="P66" s="104"/>
      <c r="Q66" s="105"/>
      <c r="S66" s="109">
        <v>45932</v>
      </c>
      <c r="T66" s="34"/>
      <c r="U66" s="34">
        <v>2700000</v>
      </c>
      <c r="V66" s="99"/>
      <c r="W66" s="34" t="s">
        <v>570</v>
      </c>
      <c r="X66" s="34" t="s">
        <v>576</v>
      </c>
      <c r="Y66" s="34"/>
      <c r="Z66" s="34"/>
      <c r="AA66" s="102" t="s">
        <v>572</v>
      </c>
      <c r="AB66" s="34" t="s">
        <v>584</v>
      </c>
      <c r="AC66" s="100">
        <f>DATE(YEAR(S66)+10,MONTH(S66),DAY(S66))</f>
        <v>49584</v>
      </c>
      <c r="AD66" s="107">
        <f t="shared" si="3"/>
        <v>6700000</v>
      </c>
      <c r="AE66" s="34"/>
      <c r="AF66" s="36"/>
      <c r="AG66" s="104"/>
      <c r="AH66" s="105"/>
    </row>
    <row r="67" spans="2:34" x14ac:dyDescent="0.4">
      <c r="B67" s="109">
        <v>45947</v>
      </c>
      <c r="C67" s="34"/>
      <c r="D67" s="34"/>
      <c r="E67" s="99">
        <v>2325</v>
      </c>
      <c r="F67" s="34"/>
      <c r="G67" s="34"/>
      <c r="H67" s="34" t="s">
        <v>580</v>
      </c>
      <c r="I67" s="34" t="s">
        <v>582</v>
      </c>
      <c r="J67" s="102"/>
      <c r="K67" s="34"/>
      <c r="L67" s="100"/>
      <c r="M67" s="107">
        <f t="shared" si="2"/>
        <v>6700000</v>
      </c>
      <c r="N67" s="34"/>
      <c r="O67" s="36"/>
      <c r="P67" s="104"/>
      <c r="Q67" s="105"/>
      <c r="S67" s="109">
        <v>45947</v>
      </c>
      <c r="T67" s="34"/>
      <c r="U67" s="34"/>
      <c r="V67" s="99">
        <v>2325</v>
      </c>
      <c r="W67" s="34"/>
      <c r="X67" s="34"/>
      <c r="Y67" s="34" t="s">
        <v>580</v>
      </c>
      <c r="Z67" s="34" t="s">
        <v>582</v>
      </c>
      <c r="AA67" s="102"/>
      <c r="AB67" s="34"/>
      <c r="AC67" s="100"/>
      <c r="AD67" s="107"/>
      <c r="AE67" s="34"/>
      <c r="AF67" s="36"/>
      <c r="AG67" s="104"/>
      <c r="AH67" s="105"/>
    </row>
    <row r="68" spans="2:34" x14ac:dyDescent="0.4">
      <c r="B68" s="109">
        <v>45957</v>
      </c>
      <c r="C68" s="34"/>
      <c r="D68" s="34">
        <v>1300000</v>
      </c>
      <c r="E68" s="99"/>
      <c r="F68" s="34" t="s">
        <v>570</v>
      </c>
      <c r="G68" s="34" t="s">
        <v>576</v>
      </c>
      <c r="H68" s="34"/>
      <c r="I68" s="34"/>
      <c r="J68" s="102" t="s">
        <v>572</v>
      </c>
      <c r="K68" s="34" t="s">
        <v>585</v>
      </c>
      <c r="L68" s="100">
        <f>DATE(YEAR(B68)+10,MONTH(B68),DAY(B68))</f>
        <v>49609</v>
      </c>
      <c r="M68" s="107">
        <f t="shared" si="2"/>
        <v>8000000</v>
      </c>
      <c r="N68" s="34"/>
      <c r="S68" s="109">
        <v>45957</v>
      </c>
      <c r="T68" s="34"/>
      <c r="U68" s="34">
        <v>1300000</v>
      </c>
      <c r="V68" s="99"/>
      <c r="W68" s="34" t="s">
        <v>570</v>
      </c>
      <c r="X68" s="34" t="s">
        <v>576</v>
      </c>
      <c r="Y68" s="34"/>
      <c r="Z68" s="34"/>
      <c r="AA68" s="102" t="s">
        <v>572</v>
      </c>
      <c r="AB68" s="34" t="s">
        <v>585</v>
      </c>
      <c r="AC68" s="100">
        <f>DATE(YEAR(S68)+10,MONTH(S68),DAY(S68))</f>
        <v>49609</v>
      </c>
      <c r="AD68" s="107">
        <f>AD66+U68</f>
        <v>8000000</v>
      </c>
      <c r="AE68" s="34"/>
      <c r="AF68" s="36"/>
      <c r="AG68" s="104"/>
      <c r="AH68" s="105"/>
    </row>
    <row r="69" spans="2:34" x14ac:dyDescent="0.4">
      <c r="B69" s="109">
        <v>45965</v>
      </c>
      <c r="C69" s="34"/>
      <c r="D69" s="34"/>
      <c r="E69" s="99">
        <v>465</v>
      </c>
      <c r="F69" s="34"/>
      <c r="G69" s="34"/>
      <c r="H69" s="34" t="s">
        <v>580</v>
      </c>
      <c r="I69" s="34" t="s">
        <v>581</v>
      </c>
      <c r="J69" s="102"/>
      <c r="K69" s="34"/>
      <c r="L69" s="40"/>
      <c r="M69" s="107">
        <f t="shared" si="2"/>
        <v>8000000</v>
      </c>
      <c r="N69" s="34"/>
      <c r="O69" s="36"/>
      <c r="P69" s="104"/>
      <c r="Q69" s="105"/>
      <c r="S69" s="109">
        <v>45965</v>
      </c>
      <c r="T69" s="34"/>
      <c r="U69" s="34"/>
      <c r="V69" s="99">
        <v>465</v>
      </c>
      <c r="W69" s="34"/>
      <c r="X69" s="34"/>
      <c r="Y69" s="34" t="s">
        <v>580</v>
      </c>
      <c r="Z69" s="34" t="s">
        <v>581</v>
      </c>
      <c r="AA69" s="102"/>
      <c r="AB69" s="34"/>
      <c r="AC69" s="40"/>
      <c r="AD69" s="107"/>
      <c r="AE69" s="34"/>
      <c r="AF69" s="36"/>
      <c r="AG69" s="104"/>
      <c r="AH69" s="105"/>
    </row>
    <row r="70" spans="2:34" x14ac:dyDescent="0.4">
      <c r="B70" s="109">
        <v>45979</v>
      </c>
      <c r="C70" s="34"/>
      <c r="D70" s="34"/>
      <c r="E70" s="99">
        <v>2784</v>
      </c>
      <c r="F70" s="34"/>
      <c r="G70" s="34"/>
      <c r="H70" s="34" t="s">
        <v>580</v>
      </c>
      <c r="I70" s="34" t="s">
        <v>582</v>
      </c>
      <c r="J70" s="102"/>
      <c r="K70" s="34"/>
      <c r="L70" s="100"/>
      <c r="M70" s="107">
        <f t="shared" si="2"/>
        <v>8000000</v>
      </c>
      <c r="N70" s="34"/>
      <c r="O70" s="36"/>
      <c r="P70" s="104"/>
      <c r="Q70" s="105"/>
      <c r="S70" s="109">
        <v>45979</v>
      </c>
      <c r="T70" s="34"/>
      <c r="U70" s="34"/>
      <c r="V70" s="99">
        <v>2784</v>
      </c>
      <c r="W70" s="34"/>
      <c r="X70" s="34"/>
      <c r="Y70" s="34" t="s">
        <v>580</v>
      </c>
      <c r="Z70" s="34" t="s">
        <v>582</v>
      </c>
      <c r="AA70" s="102"/>
      <c r="AB70" s="34"/>
      <c r="AC70" s="100"/>
      <c r="AD70" s="107"/>
      <c r="AE70" s="34"/>
      <c r="AF70" s="36"/>
      <c r="AG70" s="104"/>
      <c r="AH70" s="105"/>
    </row>
    <row r="71" spans="2:34" x14ac:dyDescent="0.4">
      <c r="B71" s="109">
        <v>45980</v>
      </c>
      <c r="C71" s="34"/>
      <c r="D71" s="34"/>
      <c r="E71" s="99">
        <v>2960</v>
      </c>
      <c r="F71" s="34"/>
      <c r="G71" s="34"/>
      <c r="H71" s="34" t="s">
        <v>153</v>
      </c>
      <c r="I71" s="34" t="s">
        <v>292</v>
      </c>
      <c r="J71" s="102"/>
      <c r="K71" s="34"/>
      <c r="L71" s="40"/>
      <c r="M71" s="107">
        <f t="shared" si="2"/>
        <v>8000000</v>
      </c>
      <c r="N71" s="34"/>
      <c r="O71" s="36"/>
      <c r="P71" s="104"/>
      <c r="Q71" s="105"/>
      <c r="S71" s="109">
        <v>45980</v>
      </c>
      <c r="T71" s="34"/>
      <c r="U71" s="34"/>
      <c r="V71" s="99">
        <v>2960</v>
      </c>
      <c r="W71" s="34"/>
      <c r="X71" s="34"/>
      <c r="Y71" s="34" t="s">
        <v>153</v>
      </c>
      <c r="Z71" s="34" t="s">
        <v>292</v>
      </c>
      <c r="AA71" s="102"/>
      <c r="AB71" s="34"/>
      <c r="AC71" s="40"/>
      <c r="AD71" s="107">
        <f>AD70+U71</f>
        <v>0</v>
      </c>
      <c r="AE71" s="34"/>
      <c r="AF71" s="36"/>
      <c r="AG71" s="104"/>
      <c r="AH71" s="105"/>
    </row>
    <row r="72" spans="2:34" x14ac:dyDescent="0.4">
      <c r="B72" s="109">
        <v>45999</v>
      </c>
      <c r="C72" s="34"/>
      <c r="D72" s="34"/>
      <c r="E72" s="99">
        <f>5016-770</f>
        <v>4246</v>
      </c>
      <c r="F72" s="34"/>
      <c r="G72" s="34"/>
      <c r="H72" s="34" t="s">
        <v>513</v>
      </c>
      <c r="I72" s="34"/>
      <c r="J72" s="102"/>
      <c r="K72" s="34"/>
      <c r="L72" s="40"/>
      <c r="M72" s="107">
        <f t="shared" si="2"/>
        <v>8000000</v>
      </c>
      <c r="N72" s="34"/>
      <c r="O72" s="36"/>
      <c r="P72" s="104"/>
      <c r="Q72" s="105"/>
      <c r="S72" s="109">
        <v>45999</v>
      </c>
      <c r="T72" s="34"/>
      <c r="U72" s="34"/>
      <c r="V72" s="99">
        <f>5016-770</f>
        <v>4246</v>
      </c>
      <c r="W72" s="34"/>
      <c r="X72" s="34"/>
      <c r="Y72" s="34" t="s">
        <v>513</v>
      </c>
      <c r="Z72" s="34"/>
      <c r="AA72" s="102"/>
      <c r="AB72" s="34"/>
      <c r="AC72" s="40"/>
      <c r="AD72" s="107">
        <f>AD71+U72</f>
        <v>0</v>
      </c>
      <c r="AE72" s="34"/>
      <c r="AF72" s="36"/>
      <c r="AG72" s="104"/>
      <c r="AH72" s="105"/>
    </row>
    <row r="73" spans="2:34" x14ac:dyDescent="0.4">
      <c r="B73" s="109"/>
      <c r="C73" s="34"/>
      <c r="D73" s="34"/>
      <c r="E73" s="99"/>
      <c r="F73" s="34"/>
      <c r="G73" s="34"/>
      <c r="H73" s="34"/>
      <c r="I73" s="34"/>
      <c r="J73" s="102"/>
      <c r="K73" s="34"/>
      <c r="L73" s="40"/>
      <c r="M73" s="107"/>
      <c r="N73" s="34"/>
      <c r="O73" s="36"/>
      <c r="P73" s="104"/>
      <c r="Q73" s="105"/>
      <c r="S73" s="109"/>
      <c r="T73" s="34"/>
      <c r="U73" s="34"/>
      <c r="V73" s="99"/>
      <c r="W73" s="34"/>
      <c r="X73" s="34"/>
      <c r="Y73" s="34"/>
      <c r="Z73" s="34"/>
      <c r="AA73" s="102"/>
      <c r="AB73" s="34"/>
      <c r="AC73" s="40"/>
      <c r="AD73" s="107"/>
      <c r="AE73" s="34"/>
      <c r="AF73" s="36"/>
      <c r="AG73" s="104"/>
      <c r="AH73" s="105"/>
    </row>
    <row r="74" spans="2:34" x14ac:dyDescent="0.4">
      <c r="B74" s="109"/>
      <c r="C74" s="34"/>
      <c r="D74" s="34"/>
      <c r="E74" s="99"/>
      <c r="F74" s="34"/>
      <c r="G74" s="35"/>
      <c r="H74" s="34"/>
      <c r="I74" s="34"/>
      <c r="J74" s="102"/>
      <c r="K74" s="34"/>
      <c r="L74" s="40"/>
      <c r="M74" s="107"/>
      <c r="N74" s="34"/>
      <c r="O74" s="36"/>
      <c r="P74" s="104"/>
      <c r="Q74" s="105"/>
      <c r="S74" s="109"/>
      <c r="T74" s="34"/>
      <c r="U74" s="34"/>
      <c r="V74" s="37"/>
      <c r="W74" s="34"/>
      <c r="X74" s="35"/>
      <c r="Y74" s="34"/>
      <c r="Z74" s="34"/>
      <c r="AA74" s="102"/>
      <c r="AB74" s="34"/>
      <c r="AC74" s="40"/>
      <c r="AD74" s="107"/>
      <c r="AE74" s="34"/>
      <c r="AF74" s="36"/>
      <c r="AG74" s="104"/>
      <c r="AH74" s="105"/>
    </row>
    <row r="75" spans="2:34" x14ac:dyDescent="0.4">
      <c r="B75" s="1"/>
      <c r="E75" s="16"/>
      <c r="S75" s="1"/>
    </row>
    <row r="76" spans="2:34" x14ac:dyDescent="0.4">
      <c r="B76" s="1"/>
      <c r="E76" s="16"/>
      <c r="S76" s="1"/>
    </row>
    <row r="77" spans="2:34" x14ac:dyDescent="0.4">
      <c r="B77" s="1"/>
      <c r="S77" s="1"/>
    </row>
    <row r="78" spans="2:34" x14ac:dyDescent="0.4">
      <c r="B78" s="108"/>
      <c r="S78" s="108"/>
    </row>
    <row r="79" spans="2:34" x14ac:dyDescent="0.4">
      <c r="I79">
        <v>15602</v>
      </c>
      <c r="J79">
        <f>I79/6</f>
        <v>2600.3333333333335</v>
      </c>
      <c r="S79" s="108"/>
    </row>
    <row r="81" spans="1:34" ht="21" customHeight="1" x14ac:dyDescent="0.4">
      <c r="B81" s="98" t="s">
        <v>586</v>
      </c>
      <c r="F81">
        <f>7*4305</f>
        <v>30135</v>
      </c>
      <c r="H81" s="2">
        <f>F81+P364+P365+P366+P367-K364-K365-K366-K367</f>
        <v>103176</v>
      </c>
    </row>
    <row r="83" spans="1:34" ht="18" customHeight="1" thickBot="1" x14ac:dyDescent="0.45">
      <c r="B83" s="33" t="s">
        <v>555</v>
      </c>
      <c r="C83" s="33" t="s">
        <v>556</v>
      </c>
      <c r="D83" s="33"/>
      <c r="E83" s="33"/>
      <c r="F83" s="33"/>
      <c r="G83" s="33"/>
      <c r="H83" s="33" t="s">
        <v>587</v>
      </c>
      <c r="I83" s="33"/>
      <c r="J83" s="33"/>
      <c r="K83" s="33"/>
      <c r="L83" s="33"/>
      <c r="M83" s="33"/>
      <c r="N83" s="33"/>
      <c r="O83" s="33"/>
      <c r="P83" s="33"/>
      <c r="Q83" s="33"/>
      <c r="S83" s="33" t="s">
        <v>557</v>
      </c>
      <c r="T83" s="33" t="s">
        <v>558</v>
      </c>
      <c r="U83" s="33"/>
      <c r="V83" s="33"/>
      <c r="W83" s="33"/>
      <c r="X83" s="33"/>
      <c r="Y83" s="33" t="s">
        <v>587</v>
      </c>
      <c r="Z83" s="33"/>
      <c r="AA83" s="33"/>
      <c r="AB83" s="33"/>
      <c r="AC83" s="33"/>
      <c r="AD83" s="33"/>
      <c r="AE83" s="33"/>
      <c r="AF83" s="33"/>
      <c r="AG83" s="33"/>
      <c r="AH83" s="33"/>
    </row>
    <row r="84" spans="1:34" ht="18" customHeight="1" thickBot="1" x14ac:dyDescent="0.45">
      <c r="B84" s="42" t="s">
        <v>0</v>
      </c>
      <c r="C84" s="43" t="s">
        <v>71</v>
      </c>
      <c r="D84" s="43" t="s">
        <v>473</v>
      </c>
      <c r="E84" s="44" t="s">
        <v>118</v>
      </c>
      <c r="F84" s="43" t="s">
        <v>99</v>
      </c>
      <c r="G84" s="43" t="s">
        <v>121</v>
      </c>
      <c r="H84" s="43" t="s">
        <v>474</v>
      </c>
      <c r="I84" s="43" t="s">
        <v>475</v>
      </c>
      <c r="J84" s="44" t="s">
        <v>476</v>
      </c>
      <c r="K84" s="43" t="s">
        <v>153</v>
      </c>
      <c r="L84" s="45" t="s">
        <v>154</v>
      </c>
      <c r="M84" s="43" t="s">
        <v>123</v>
      </c>
      <c r="N84" s="43" t="s">
        <v>124</v>
      </c>
      <c r="O84" s="43" t="s">
        <v>477</v>
      </c>
      <c r="P84" s="43" t="s">
        <v>478</v>
      </c>
      <c r="Q84" s="46" t="s">
        <v>479</v>
      </c>
      <c r="S84" s="42" t="s">
        <v>0</v>
      </c>
      <c r="T84" s="43" t="s">
        <v>71</v>
      </c>
      <c r="U84" s="43" t="s">
        <v>473</v>
      </c>
      <c r="V84" s="44" t="s">
        <v>118</v>
      </c>
      <c r="W84" s="43" t="s">
        <v>99</v>
      </c>
      <c r="X84" s="43" t="s">
        <v>121</v>
      </c>
      <c r="Y84" s="43" t="s">
        <v>474</v>
      </c>
      <c r="Z84" s="43" t="s">
        <v>475</v>
      </c>
      <c r="AA84" s="44" t="s">
        <v>476</v>
      </c>
      <c r="AB84" s="43" t="s">
        <v>153</v>
      </c>
      <c r="AC84" s="45" t="s">
        <v>154</v>
      </c>
      <c r="AD84" s="43" t="s">
        <v>123</v>
      </c>
      <c r="AE84" s="43" t="s">
        <v>124</v>
      </c>
      <c r="AF84" s="43" t="s">
        <v>477</v>
      </c>
      <c r="AG84" s="43" t="s">
        <v>478</v>
      </c>
      <c r="AH84" s="46" t="s">
        <v>479</v>
      </c>
    </row>
    <row r="85" spans="1:34" x14ac:dyDescent="0.4">
      <c r="B85" s="38" t="s">
        <v>109</v>
      </c>
      <c r="C85" s="34">
        <v>200</v>
      </c>
      <c r="D85" s="34">
        <v>5290</v>
      </c>
      <c r="E85" s="37">
        <v>46043</v>
      </c>
      <c r="F85" s="34"/>
      <c r="G85" s="35"/>
      <c r="H85" s="34">
        <f t="shared" ref="H85:H148" si="4">ROUNDDOWN(M85*0.001891639,-1)</f>
        <v>2000</v>
      </c>
      <c r="I85" s="34">
        <f t="shared" ref="I85:I148" si="5">ROUNDDOWN(N85*0.001891639,-1)</f>
        <v>0</v>
      </c>
      <c r="J85" s="39">
        <f t="shared" ref="J85:J116" si="6">N85*0.002</f>
        <v>0</v>
      </c>
      <c r="K85" s="34"/>
      <c r="L85" s="40">
        <f t="shared" ref="L85:L148" si="7">G85-E85+1</f>
        <v>-46042</v>
      </c>
      <c r="M85" s="34">
        <f t="shared" ref="M85:M148" si="8">C85*D85</f>
        <v>1058000</v>
      </c>
      <c r="N85" s="34">
        <f t="shared" ref="N85:N148" si="9">C85*F85</f>
        <v>0</v>
      </c>
      <c r="O85" s="36">
        <f t="shared" ref="O85:O148" si="10">K85-H85-I85-J85</f>
        <v>-2000</v>
      </c>
      <c r="P85" s="41">
        <f t="shared" ref="P85:P148" si="11">IF(N85=0,0,N85-M85+O85)</f>
        <v>0</v>
      </c>
      <c r="Q85" s="70">
        <f t="shared" ref="Q85:Q148" si="12">P85/M85</f>
        <v>0</v>
      </c>
      <c r="S85" s="38" t="s">
        <v>109</v>
      </c>
      <c r="T85" s="34">
        <v>200</v>
      </c>
      <c r="U85" s="34">
        <v>5290</v>
      </c>
      <c r="V85" s="37">
        <v>46043</v>
      </c>
      <c r="W85" s="34"/>
      <c r="X85" s="35"/>
      <c r="Y85" s="34">
        <f t="shared" ref="Y85:Y148" si="13">ROUNDDOWN(AD85*0.001891639,-1)</f>
        <v>2000</v>
      </c>
      <c r="Z85" s="34">
        <f t="shared" ref="Z85:Z148" si="14">ROUNDDOWN(AE85*0.001891639,-1)</f>
        <v>0</v>
      </c>
      <c r="AA85" s="39">
        <f t="shared" ref="AA85:AA116" si="15">AE85*0.002</f>
        <v>0</v>
      </c>
      <c r="AB85" s="34"/>
      <c r="AC85" s="40">
        <f t="shared" ref="AC85:AC148" si="16">X85-V85+1</f>
        <v>-46042</v>
      </c>
      <c r="AD85" s="34">
        <f t="shared" ref="AD85:AD148" si="17">T85*U85</f>
        <v>1058000</v>
      </c>
      <c r="AE85" s="34">
        <f t="shared" ref="AE85:AE148" si="18">T85*W85</f>
        <v>0</v>
      </c>
      <c r="AF85" s="36">
        <f t="shared" ref="AF85:AF148" si="19">AB85-Y85-Z85-AA85</f>
        <v>-2000</v>
      </c>
      <c r="AG85" s="41">
        <f t="shared" ref="AG85:AG148" si="20">IF(AE85=0,0,AE85-AD85+AF85)</f>
        <v>0</v>
      </c>
      <c r="AH85" s="70">
        <f t="shared" ref="AH85:AH148" si="21">AG85/AD85</f>
        <v>0</v>
      </c>
    </row>
    <row r="86" spans="1:34" x14ac:dyDescent="0.4">
      <c r="B86" s="38" t="s">
        <v>109</v>
      </c>
      <c r="C86" s="34">
        <v>38</v>
      </c>
      <c r="D86" s="34">
        <v>5320</v>
      </c>
      <c r="E86" s="37">
        <v>46104</v>
      </c>
      <c r="F86" s="34"/>
      <c r="G86" s="35"/>
      <c r="H86" s="34">
        <f t="shared" si="4"/>
        <v>380</v>
      </c>
      <c r="I86" s="34">
        <f t="shared" si="5"/>
        <v>0</v>
      </c>
      <c r="J86" s="39">
        <f t="shared" si="6"/>
        <v>0</v>
      </c>
      <c r="K86" s="34"/>
      <c r="L86" s="40">
        <f t="shared" si="7"/>
        <v>-46103</v>
      </c>
      <c r="M86" s="34">
        <f t="shared" si="8"/>
        <v>202160</v>
      </c>
      <c r="N86" s="34">
        <f t="shared" si="9"/>
        <v>0</v>
      </c>
      <c r="O86" s="36">
        <f t="shared" si="10"/>
        <v>-380</v>
      </c>
      <c r="P86" s="41">
        <f t="shared" si="11"/>
        <v>0</v>
      </c>
      <c r="Q86" s="70">
        <f t="shared" si="12"/>
        <v>0</v>
      </c>
      <c r="S86" s="38" t="s">
        <v>109</v>
      </c>
      <c r="T86" s="34">
        <v>38</v>
      </c>
      <c r="U86" s="34">
        <v>5320</v>
      </c>
      <c r="V86" s="37">
        <v>46104</v>
      </c>
      <c r="W86" s="34"/>
      <c r="X86" s="35"/>
      <c r="Y86" s="34">
        <f t="shared" si="13"/>
        <v>380</v>
      </c>
      <c r="Z86" s="34">
        <f t="shared" si="14"/>
        <v>0</v>
      </c>
      <c r="AA86" s="39">
        <f t="shared" si="15"/>
        <v>0</v>
      </c>
      <c r="AB86" s="34"/>
      <c r="AC86" s="40">
        <f t="shared" si="16"/>
        <v>-46103</v>
      </c>
      <c r="AD86" s="34">
        <f t="shared" si="17"/>
        <v>202160</v>
      </c>
      <c r="AE86" s="34">
        <f t="shared" si="18"/>
        <v>0</v>
      </c>
      <c r="AF86" s="36">
        <f t="shared" si="19"/>
        <v>-380</v>
      </c>
      <c r="AG86" s="41">
        <f t="shared" si="20"/>
        <v>0</v>
      </c>
      <c r="AH86" s="70">
        <f t="shared" si="21"/>
        <v>0</v>
      </c>
    </row>
    <row r="87" spans="1:34" x14ac:dyDescent="0.4">
      <c r="B87" s="38" t="s">
        <v>291</v>
      </c>
      <c r="C87" s="34">
        <v>15</v>
      </c>
      <c r="D87" s="34">
        <v>160500</v>
      </c>
      <c r="E87" s="37">
        <v>46052</v>
      </c>
      <c r="F87" s="34"/>
      <c r="G87" s="35"/>
      <c r="H87" s="34">
        <f t="shared" si="4"/>
        <v>4550</v>
      </c>
      <c r="I87" s="34">
        <f t="shared" si="5"/>
        <v>0</v>
      </c>
      <c r="J87" s="39">
        <f t="shared" si="6"/>
        <v>0</v>
      </c>
      <c r="K87" s="34"/>
      <c r="L87" s="40">
        <f t="shared" si="7"/>
        <v>-46051</v>
      </c>
      <c r="M87" s="34">
        <f t="shared" si="8"/>
        <v>2407500</v>
      </c>
      <c r="N87" s="34">
        <f t="shared" si="9"/>
        <v>0</v>
      </c>
      <c r="O87" s="36">
        <f t="shared" si="10"/>
        <v>-4550</v>
      </c>
      <c r="P87" s="41">
        <f t="shared" si="11"/>
        <v>0</v>
      </c>
      <c r="Q87" s="70">
        <f t="shared" si="12"/>
        <v>0</v>
      </c>
      <c r="S87" s="38" t="s">
        <v>291</v>
      </c>
      <c r="T87" s="34">
        <v>15</v>
      </c>
      <c r="U87" s="34">
        <v>160500</v>
      </c>
      <c r="V87" s="37">
        <v>46052</v>
      </c>
      <c r="W87" s="34"/>
      <c r="X87" s="35"/>
      <c r="Y87" s="34">
        <f t="shared" si="13"/>
        <v>4550</v>
      </c>
      <c r="Z87" s="34">
        <f t="shared" si="14"/>
        <v>0</v>
      </c>
      <c r="AA87" s="39">
        <f t="shared" si="15"/>
        <v>0</v>
      </c>
      <c r="AB87" s="34"/>
      <c r="AC87" s="40">
        <f t="shared" si="16"/>
        <v>-46051</v>
      </c>
      <c r="AD87" s="34">
        <f t="shared" si="17"/>
        <v>2407500</v>
      </c>
      <c r="AE87" s="34">
        <f t="shared" si="18"/>
        <v>0</v>
      </c>
      <c r="AF87" s="36">
        <f t="shared" si="19"/>
        <v>-4550</v>
      </c>
      <c r="AG87" s="41">
        <f t="shared" si="20"/>
        <v>0</v>
      </c>
      <c r="AH87" s="70">
        <f t="shared" si="21"/>
        <v>0</v>
      </c>
    </row>
    <row r="88" spans="1:34" x14ac:dyDescent="0.4">
      <c r="B88" s="38" t="s">
        <v>588</v>
      </c>
      <c r="C88" s="34">
        <v>1</v>
      </c>
      <c r="D88" s="34">
        <v>99700</v>
      </c>
      <c r="E88" s="37">
        <v>46029</v>
      </c>
      <c r="F88" s="34"/>
      <c r="G88" s="35"/>
      <c r="H88" s="34">
        <f t="shared" si="4"/>
        <v>180</v>
      </c>
      <c r="I88" s="34">
        <f t="shared" si="5"/>
        <v>0</v>
      </c>
      <c r="J88" s="39">
        <f t="shared" si="6"/>
        <v>0</v>
      </c>
      <c r="K88" s="34"/>
      <c r="L88" s="40">
        <f t="shared" si="7"/>
        <v>-46028</v>
      </c>
      <c r="M88" s="34">
        <f t="shared" si="8"/>
        <v>99700</v>
      </c>
      <c r="N88" s="34">
        <f t="shared" si="9"/>
        <v>0</v>
      </c>
      <c r="O88" s="36">
        <f t="shared" si="10"/>
        <v>-180</v>
      </c>
      <c r="P88" s="41">
        <f t="shared" si="11"/>
        <v>0</v>
      </c>
      <c r="Q88" s="70">
        <f t="shared" si="12"/>
        <v>0</v>
      </c>
      <c r="S88" s="38" t="s">
        <v>588</v>
      </c>
      <c r="T88" s="34">
        <v>1</v>
      </c>
      <c r="U88" s="34">
        <v>99700</v>
      </c>
      <c r="V88" s="37">
        <v>46029</v>
      </c>
      <c r="W88" s="34"/>
      <c r="X88" s="35"/>
      <c r="Y88" s="34">
        <f t="shared" si="13"/>
        <v>180</v>
      </c>
      <c r="Z88" s="34">
        <f t="shared" si="14"/>
        <v>0</v>
      </c>
      <c r="AA88" s="39">
        <f t="shared" si="15"/>
        <v>0</v>
      </c>
      <c r="AB88" s="34"/>
      <c r="AC88" s="40">
        <f t="shared" si="16"/>
        <v>-46028</v>
      </c>
      <c r="AD88" s="34">
        <f t="shared" si="17"/>
        <v>99700</v>
      </c>
      <c r="AE88" s="34">
        <f t="shared" si="18"/>
        <v>0</v>
      </c>
      <c r="AF88" s="36">
        <f t="shared" si="19"/>
        <v>-180</v>
      </c>
      <c r="AG88" s="41">
        <f t="shared" si="20"/>
        <v>0</v>
      </c>
      <c r="AH88" s="70">
        <f t="shared" si="21"/>
        <v>0</v>
      </c>
    </row>
    <row r="89" spans="1:34" x14ac:dyDescent="0.4">
      <c r="B89" s="38" t="s">
        <v>588</v>
      </c>
      <c r="C89" s="34">
        <v>2</v>
      </c>
      <c r="D89" s="34">
        <v>144400</v>
      </c>
      <c r="E89" s="37">
        <v>46045</v>
      </c>
      <c r="F89" s="34"/>
      <c r="G89" s="35"/>
      <c r="H89" s="34">
        <f t="shared" si="4"/>
        <v>540</v>
      </c>
      <c r="I89" s="34">
        <f t="shared" si="5"/>
        <v>0</v>
      </c>
      <c r="J89" s="39">
        <f t="shared" si="6"/>
        <v>0</v>
      </c>
      <c r="K89" s="34"/>
      <c r="L89" s="40">
        <f t="shared" si="7"/>
        <v>-46044</v>
      </c>
      <c r="M89" s="34">
        <f t="shared" si="8"/>
        <v>288800</v>
      </c>
      <c r="N89" s="34">
        <f t="shared" si="9"/>
        <v>0</v>
      </c>
      <c r="O89" s="36">
        <f t="shared" si="10"/>
        <v>-540</v>
      </c>
      <c r="P89" s="41">
        <f t="shared" si="11"/>
        <v>0</v>
      </c>
      <c r="Q89" s="70">
        <f t="shared" si="12"/>
        <v>0</v>
      </c>
      <c r="S89" s="38" t="s">
        <v>588</v>
      </c>
      <c r="T89" s="34">
        <v>2</v>
      </c>
      <c r="U89" s="34">
        <v>144400</v>
      </c>
      <c r="V89" s="37">
        <v>46045</v>
      </c>
      <c r="W89" s="34"/>
      <c r="X89" s="35"/>
      <c r="Y89" s="34">
        <f t="shared" si="13"/>
        <v>540</v>
      </c>
      <c r="Z89" s="34">
        <f t="shared" si="14"/>
        <v>0</v>
      </c>
      <c r="AA89" s="39">
        <f t="shared" si="15"/>
        <v>0</v>
      </c>
      <c r="AB89" s="34"/>
      <c r="AC89" s="40">
        <f t="shared" si="16"/>
        <v>-46044</v>
      </c>
      <c r="AD89" s="34">
        <f t="shared" si="17"/>
        <v>288800</v>
      </c>
      <c r="AE89" s="34">
        <f t="shared" si="18"/>
        <v>0</v>
      </c>
      <c r="AF89" s="36">
        <f t="shared" si="19"/>
        <v>-540</v>
      </c>
      <c r="AG89" s="41">
        <f t="shared" si="20"/>
        <v>0</v>
      </c>
      <c r="AH89" s="70">
        <f t="shared" si="21"/>
        <v>0</v>
      </c>
    </row>
    <row r="90" spans="1:34" x14ac:dyDescent="0.4">
      <c r="B90" s="38" t="s">
        <v>588</v>
      </c>
      <c r="C90" s="34">
        <v>1</v>
      </c>
      <c r="D90" s="34">
        <v>142000</v>
      </c>
      <c r="E90" s="37">
        <v>46048</v>
      </c>
      <c r="F90" s="34"/>
      <c r="G90" s="35"/>
      <c r="H90" s="34">
        <f t="shared" si="4"/>
        <v>260</v>
      </c>
      <c r="I90" s="34">
        <f t="shared" si="5"/>
        <v>0</v>
      </c>
      <c r="J90" s="39">
        <f t="shared" si="6"/>
        <v>0</v>
      </c>
      <c r="K90" s="34"/>
      <c r="L90" s="40">
        <f t="shared" si="7"/>
        <v>-46047</v>
      </c>
      <c r="M90" s="34">
        <f t="shared" si="8"/>
        <v>142000</v>
      </c>
      <c r="N90" s="34">
        <f t="shared" si="9"/>
        <v>0</v>
      </c>
      <c r="O90" s="36">
        <f t="shared" si="10"/>
        <v>-260</v>
      </c>
      <c r="P90" s="41">
        <f t="shared" si="11"/>
        <v>0</v>
      </c>
      <c r="Q90" s="70">
        <f t="shared" si="12"/>
        <v>0</v>
      </c>
      <c r="S90" s="38" t="s">
        <v>588</v>
      </c>
      <c r="T90" s="34">
        <v>1</v>
      </c>
      <c r="U90" s="34">
        <v>142000</v>
      </c>
      <c r="V90" s="37">
        <v>46048</v>
      </c>
      <c r="W90" s="34"/>
      <c r="X90" s="35"/>
      <c r="Y90" s="34">
        <f t="shared" si="13"/>
        <v>260</v>
      </c>
      <c r="Z90" s="34">
        <f t="shared" si="14"/>
        <v>0</v>
      </c>
      <c r="AA90" s="39">
        <f t="shared" si="15"/>
        <v>0</v>
      </c>
      <c r="AB90" s="34"/>
      <c r="AC90" s="40">
        <f t="shared" si="16"/>
        <v>-46047</v>
      </c>
      <c r="AD90" s="34">
        <f t="shared" si="17"/>
        <v>142000</v>
      </c>
      <c r="AE90" s="34">
        <f t="shared" si="18"/>
        <v>0</v>
      </c>
      <c r="AF90" s="36">
        <f t="shared" si="19"/>
        <v>-260</v>
      </c>
      <c r="AG90" s="41">
        <f t="shared" si="20"/>
        <v>0</v>
      </c>
      <c r="AH90" s="70">
        <f t="shared" si="21"/>
        <v>0</v>
      </c>
    </row>
    <row r="91" spans="1:34" x14ac:dyDescent="0.4">
      <c r="B91" s="38" t="s">
        <v>588</v>
      </c>
      <c r="C91" s="34">
        <v>1</v>
      </c>
      <c r="D91" s="34">
        <v>185000</v>
      </c>
      <c r="E91" s="37">
        <v>46058</v>
      </c>
      <c r="F91" s="34"/>
      <c r="G91" s="35"/>
      <c r="H91" s="34">
        <f t="shared" si="4"/>
        <v>340</v>
      </c>
      <c r="I91" s="34">
        <f t="shared" si="5"/>
        <v>0</v>
      </c>
      <c r="J91" s="39">
        <f t="shared" si="6"/>
        <v>0</v>
      </c>
      <c r="K91" s="34"/>
      <c r="L91" s="40">
        <f t="shared" si="7"/>
        <v>-46057</v>
      </c>
      <c r="M91" s="34">
        <f t="shared" si="8"/>
        <v>185000</v>
      </c>
      <c r="N91" s="34">
        <f t="shared" si="9"/>
        <v>0</v>
      </c>
      <c r="O91" s="36">
        <f t="shared" si="10"/>
        <v>-340</v>
      </c>
      <c r="P91" s="41">
        <f t="shared" si="11"/>
        <v>0</v>
      </c>
      <c r="Q91" s="70">
        <f t="shared" si="12"/>
        <v>0</v>
      </c>
      <c r="S91" s="38" t="s">
        <v>588</v>
      </c>
      <c r="T91" s="34">
        <v>1</v>
      </c>
      <c r="U91" s="34">
        <v>185000</v>
      </c>
      <c r="V91" s="37">
        <v>46058</v>
      </c>
      <c r="W91" s="34"/>
      <c r="X91" s="35"/>
      <c r="Y91" s="34">
        <f t="shared" si="13"/>
        <v>340</v>
      </c>
      <c r="Z91" s="34">
        <f t="shared" si="14"/>
        <v>0</v>
      </c>
      <c r="AA91" s="39">
        <f t="shared" si="15"/>
        <v>0</v>
      </c>
      <c r="AB91" s="34"/>
      <c r="AC91" s="40">
        <f t="shared" si="16"/>
        <v>-46057</v>
      </c>
      <c r="AD91" s="34">
        <f t="shared" si="17"/>
        <v>185000</v>
      </c>
      <c r="AE91" s="34">
        <f t="shared" si="18"/>
        <v>0</v>
      </c>
      <c r="AF91" s="36">
        <f t="shared" si="19"/>
        <v>-340</v>
      </c>
      <c r="AG91" s="41">
        <f t="shared" si="20"/>
        <v>0</v>
      </c>
      <c r="AH91" s="70">
        <f t="shared" si="21"/>
        <v>0</v>
      </c>
    </row>
    <row r="92" spans="1:34" x14ac:dyDescent="0.4">
      <c r="B92" s="38" t="s">
        <v>588</v>
      </c>
      <c r="C92" s="34">
        <v>2</v>
      </c>
      <c r="D92" s="34">
        <v>166400</v>
      </c>
      <c r="E92" s="37">
        <v>46076</v>
      </c>
      <c r="F92" s="34"/>
      <c r="G92" s="35"/>
      <c r="H92" s="34">
        <f t="shared" si="4"/>
        <v>620</v>
      </c>
      <c r="I92" s="34">
        <f t="shared" si="5"/>
        <v>0</v>
      </c>
      <c r="J92" s="39">
        <f t="shared" si="6"/>
        <v>0</v>
      </c>
      <c r="K92" s="34"/>
      <c r="L92" s="40">
        <f t="shared" si="7"/>
        <v>-46075</v>
      </c>
      <c r="M92" s="34">
        <f t="shared" si="8"/>
        <v>332800</v>
      </c>
      <c r="N92" s="34">
        <f t="shared" si="9"/>
        <v>0</v>
      </c>
      <c r="O92" s="36">
        <f t="shared" si="10"/>
        <v>-620</v>
      </c>
      <c r="P92" s="41">
        <f t="shared" si="11"/>
        <v>0</v>
      </c>
      <c r="Q92" s="70">
        <f t="shared" si="12"/>
        <v>0</v>
      </c>
      <c r="S92" s="38" t="s">
        <v>588</v>
      </c>
      <c r="T92" s="34">
        <v>2</v>
      </c>
      <c r="U92" s="34">
        <v>166400</v>
      </c>
      <c r="V92" s="37">
        <v>46076</v>
      </c>
      <c r="W92" s="34"/>
      <c r="X92" s="35"/>
      <c r="Y92" s="34">
        <f t="shared" si="13"/>
        <v>620</v>
      </c>
      <c r="Z92" s="34">
        <f t="shared" si="14"/>
        <v>0</v>
      </c>
      <c r="AA92" s="39">
        <f t="shared" si="15"/>
        <v>0</v>
      </c>
      <c r="AB92" s="34"/>
      <c r="AC92" s="40">
        <f t="shared" si="16"/>
        <v>-46075</v>
      </c>
      <c r="AD92" s="34">
        <f t="shared" si="17"/>
        <v>332800</v>
      </c>
      <c r="AE92" s="34">
        <f t="shared" si="18"/>
        <v>0</v>
      </c>
      <c r="AF92" s="36">
        <f t="shared" si="19"/>
        <v>-620</v>
      </c>
      <c r="AG92" s="41">
        <f t="shared" si="20"/>
        <v>0</v>
      </c>
      <c r="AH92" s="70">
        <f t="shared" si="21"/>
        <v>0</v>
      </c>
    </row>
    <row r="93" spans="1:34" x14ac:dyDescent="0.4">
      <c r="B93" s="38" t="s">
        <v>588</v>
      </c>
      <c r="C93" s="34">
        <v>1</v>
      </c>
      <c r="D93" s="34">
        <v>164000</v>
      </c>
      <c r="E93" s="37">
        <v>46104</v>
      </c>
      <c r="F93" s="34"/>
      <c r="G93" s="35"/>
      <c r="H93" s="34">
        <f t="shared" si="4"/>
        <v>310</v>
      </c>
      <c r="I93" s="34">
        <f t="shared" si="5"/>
        <v>0</v>
      </c>
      <c r="J93" s="39">
        <f t="shared" si="6"/>
        <v>0</v>
      </c>
      <c r="K93" s="34"/>
      <c r="L93" s="40">
        <f t="shared" si="7"/>
        <v>-46103</v>
      </c>
      <c r="M93" s="34">
        <f t="shared" si="8"/>
        <v>164000</v>
      </c>
      <c r="N93" s="34">
        <f t="shared" si="9"/>
        <v>0</v>
      </c>
      <c r="O93" s="36">
        <f t="shared" si="10"/>
        <v>-310</v>
      </c>
      <c r="P93" s="41">
        <f t="shared" si="11"/>
        <v>0</v>
      </c>
      <c r="Q93" s="70">
        <f t="shared" si="12"/>
        <v>0</v>
      </c>
      <c r="S93" s="38" t="s">
        <v>588</v>
      </c>
      <c r="T93" s="34">
        <v>1</v>
      </c>
      <c r="U93" s="34">
        <v>164000</v>
      </c>
      <c r="V93" s="37">
        <v>46104</v>
      </c>
      <c r="W93" s="34"/>
      <c r="X93" s="35"/>
      <c r="Y93" s="34">
        <f t="shared" si="13"/>
        <v>310</v>
      </c>
      <c r="Z93" s="34">
        <f t="shared" si="14"/>
        <v>0</v>
      </c>
      <c r="AA93" s="39">
        <f t="shared" si="15"/>
        <v>0</v>
      </c>
      <c r="AB93" s="34"/>
      <c r="AC93" s="40">
        <f t="shared" si="16"/>
        <v>-46103</v>
      </c>
      <c r="AD93" s="34">
        <f t="shared" si="17"/>
        <v>164000</v>
      </c>
      <c r="AE93" s="34">
        <f t="shared" si="18"/>
        <v>0</v>
      </c>
      <c r="AF93" s="36">
        <f t="shared" si="19"/>
        <v>-310</v>
      </c>
      <c r="AG93" s="41">
        <f t="shared" si="20"/>
        <v>0</v>
      </c>
      <c r="AH93" s="70">
        <f t="shared" si="21"/>
        <v>0</v>
      </c>
    </row>
    <row r="94" spans="1:34" x14ac:dyDescent="0.4">
      <c r="B94" s="38" t="s">
        <v>146</v>
      </c>
      <c r="C94" s="34">
        <v>50</v>
      </c>
      <c r="D94" s="34">
        <v>11350</v>
      </c>
      <c r="E94" s="37">
        <v>46048</v>
      </c>
      <c r="F94" s="34"/>
      <c r="G94" s="35"/>
      <c r="H94" s="34">
        <f t="shared" si="4"/>
        <v>1070</v>
      </c>
      <c r="I94" s="34">
        <f t="shared" si="5"/>
        <v>0</v>
      </c>
      <c r="J94" s="39">
        <f t="shared" si="6"/>
        <v>0</v>
      </c>
      <c r="K94" s="34"/>
      <c r="L94" s="40">
        <f t="shared" si="7"/>
        <v>-46047</v>
      </c>
      <c r="M94" s="34">
        <f t="shared" si="8"/>
        <v>567500</v>
      </c>
      <c r="N94" s="34">
        <f t="shared" si="9"/>
        <v>0</v>
      </c>
      <c r="O94" s="36">
        <f t="shared" si="10"/>
        <v>-1070</v>
      </c>
      <c r="P94" s="41">
        <f t="shared" si="11"/>
        <v>0</v>
      </c>
      <c r="Q94" s="70">
        <f t="shared" si="12"/>
        <v>0</v>
      </c>
      <c r="S94" s="38" t="s">
        <v>146</v>
      </c>
      <c r="T94" s="34">
        <v>50</v>
      </c>
      <c r="U94" s="34">
        <v>11350</v>
      </c>
      <c r="V94" s="37">
        <v>46048</v>
      </c>
      <c r="W94" s="34"/>
      <c r="X94" s="35"/>
      <c r="Y94" s="34">
        <f t="shared" si="13"/>
        <v>1070</v>
      </c>
      <c r="Z94" s="34">
        <f t="shared" si="14"/>
        <v>0</v>
      </c>
      <c r="AA94" s="39">
        <f t="shared" si="15"/>
        <v>0</v>
      </c>
      <c r="AB94" s="34"/>
      <c r="AC94" s="40">
        <f t="shared" si="16"/>
        <v>-46047</v>
      </c>
      <c r="AD94" s="34">
        <f t="shared" si="17"/>
        <v>567500</v>
      </c>
      <c r="AE94" s="34">
        <f t="shared" si="18"/>
        <v>0</v>
      </c>
      <c r="AF94" s="36">
        <f t="shared" si="19"/>
        <v>-1070</v>
      </c>
      <c r="AG94" s="41">
        <f t="shared" si="20"/>
        <v>0</v>
      </c>
      <c r="AH94" s="70">
        <f t="shared" si="21"/>
        <v>0</v>
      </c>
    </row>
    <row r="95" spans="1:34" x14ac:dyDescent="0.4">
      <c r="A95" t="s">
        <v>589</v>
      </c>
      <c r="B95" s="38" t="s">
        <v>466</v>
      </c>
      <c r="C95" s="34">
        <v>7</v>
      </c>
      <c r="D95" s="34">
        <v>4305</v>
      </c>
      <c r="E95" s="37">
        <v>45023</v>
      </c>
      <c r="F95" s="34"/>
      <c r="G95" s="35"/>
      <c r="H95" s="34">
        <f t="shared" si="4"/>
        <v>50</v>
      </c>
      <c r="I95" s="34">
        <f t="shared" si="5"/>
        <v>0</v>
      </c>
      <c r="J95" s="39">
        <f t="shared" si="6"/>
        <v>0</v>
      </c>
      <c r="K95" s="34"/>
      <c r="L95" s="40">
        <f t="shared" si="7"/>
        <v>-45022</v>
      </c>
      <c r="M95" s="34">
        <f t="shared" si="8"/>
        <v>30135</v>
      </c>
      <c r="N95" s="34">
        <f t="shared" si="9"/>
        <v>0</v>
      </c>
      <c r="O95" s="36">
        <f t="shared" si="10"/>
        <v>-50</v>
      </c>
      <c r="P95" s="41">
        <f t="shared" si="11"/>
        <v>0</v>
      </c>
      <c r="Q95" s="70">
        <f t="shared" si="12"/>
        <v>0</v>
      </c>
      <c r="S95" s="38" t="s">
        <v>466</v>
      </c>
      <c r="T95" s="34">
        <v>7</v>
      </c>
      <c r="U95" s="34">
        <v>4305</v>
      </c>
      <c r="V95" s="37">
        <v>45023</v>
      </c>
      <c r="W95" s="34"/>
      <c r="X95" s="35"/>
      <c r="Y95" s="34">
        <f t="shared" si="13"/>
        <v>50</v>
      </c>
      <c r="Z95" s="34">
        <f t="shared" si="14"/>
        <v>0</v>
      </c>
      <c r="AA95" s="39">
        <f t="shared" si="15"/>
        <v>0</v>
      </c>
      <c r="AB95" s="34"/>
      <c r="AC95" s="40">
        <f t="shared" si="16"/>
        <v>-45022</v>
      </c>
      <c r="AD95" s="34">
        <f t="shared" si="17"/>
        <v>30135</v>
      </c>
      <c r="AE95" s="34">
        <f t="shared" si="18"/>
        <v>0</v>
      </c>
      <c r="AF95" s="36">
        <f t="shared" si="19"/>
        <v>-50</v>
      </c>
      <c r="AG95" s="41">
        <f t="shared" si="20"/>
        <v>0</v>
      </c>
      <c r="AH95" s="70">
        <f t="shared" si="21"/>
        <v>0</v>
      </c>
    </row>
    <row r="96" spans="1:34" x14ac:dyDescent="0.4">
      <c r="B96" s="38" t="s">
        <v>408</v>
      </c>
      <c r="C96" s="34">
        <v>1</v>
      </c>
      <c r="D96" s="34">
        <v>119500</v>
      </c>
      <c r="E96" s="37">
        <v>44456</v>
      </c>
      <c r="F96" s="34"/>
      <c r="G96" s="35"/>
      <c r="H96" s="34">
        <f t="shared" si="4"/>
        <v>220</v>
      </c>
      <c r="I96" s="34">
        <f t="shared" si="5"/>
        <v>0</v>
      </c>
      <c r="J96" s="39">
        <f t="shared" si="6"/>
        <v>0</v>
      </c>
      <c r="K96" s="34">
        <f>53*C96+60*C96+61*C96+68*C96</f>
        <v>242</v>
      </c>
      <c r="L96" s="40">
        <f t="shared" si="7"/>
        <v>-44455</v>
      </c>
      <c r="M96" s="34">
        <f t="shared" si="8"/>
        <v>119500</v>
      </c>
      <c r="N96" s="34">
        <f t="shared" si="9"/>
        <v>0</v>
      </c>
      <c r="O96" s="36">
        <f t="shared" si="10"/>
        <v>22</v>
      </c>
      <c r="P96" s="41">
        <f t="shared" si="11"/>
        <v>0</v>
      </c>
      <c r="Q96" s="70">
        <f t="shared" si="12"/>
        <v>0</v>
      </c>
      <c r="S96" s="38" t="s">
        <v>408</v>
      </c>
      <c r="T96" s="34">
        <v>1</v>
      </c>
      <c r="U96" s="34">
        <v>119500</v>
      </c>
      <c r="V96" s="37">
        <v>44456</v>
      </c>
      <c r="W96" s="34"/>
      <c r="X96" s="35"/>
      <c r="Y96" s="34">
        <f t="shared" si="13"/>
        <v>220</v>
      </c>
      <c r="Z96" s="34">
        <f t="shared" si="14"/>
        <v>0</v>
      </c>
      <c r="AA96" s="39">
        <f t="shared" si="15"/>
        <v>0</v>
      </c>
      <c r="AB96" s="34">
        <f>53*T96+60*T96+61*T96+68*T96</f>
        <v>242</v>
      </c>
      <c r="AC96" s="40">
        <f t="shared" si="16"/>
        <v>-44455</v>
      </c>
      <c r="AD96" s="34">
        <f t="shared" si="17"/>
        <v>119500</v>
      </c>
      <c r="AE96" s="34">
        <f t="shared" si="18"/>
        <v>0</v>
      </c>
      <c r="AF96" s="36">
        <f t="shared" si="19"/>
        <v>22</v>
      </c>
      <c r="AG96" s="41">
        <f t="shared" si="20"/>
        <v>0</v>
      </c>
      <c r="AH96" s="70">
        <f t="shared" si="21"/>
        <v>0</v>
      </c>
    </row>
    <row r="97" spans="2:34" x14ac:dyDescent="0.4">
      <c r="B97" s="38" t="s">
        <v>408</v>
      </c>
      <c r="C97" s="34">
        <v>1</v>
      </c>
      <c r="D97" s="34">
        <v>58500</v>
      </c>
      <c r="E97" s="37">
        <v>45904</v>
      </c>
      <c r="F97" s="34"/>
      <c r="G97" s="35"/>
      <c r="H97" s="34">
        <f t="shared" si="4"/>
        <v>110</v>
      </c>
      <c r="I97" s="34">
        <f t="shared" si="5"/>
        <v>0</v>
      </c>
      <c r="J97" s="39">
        <f t="shared" si="6"/>
        <v>0</v>
      </c>
      <c r="K97" s="34"/>
      <c r="L97" s="40">
        <f t="shared" si="7"/>
        <v>-45903</v>
      </c>
      <c r="M97" s="34">
        <f t="shared" si="8"/>
        <v>58500</v>
      </c>
      <c r="N97" s="34">
        <f t="shared" si="9"/>
        <v>0</v>
      </c>
      <c r="O97" s="36">
        <f t="shared" si="10"/>
        <v>-110</v>
      </c>
      <c r="P97" s="41">
        <f t="shared" si="11"/>
        <v>0</v>
      </c>
      <c r="Q97" s="70">
        <f t="shared" si="12"/>
        <v>0</v>
      </c>
      <c r="S97" s="38" t="s">
        <v>408</v>
      </c>
      <c r="T97" s="34">
        <v>1</v>
      </c>
      <c r="U97" s="34">
        <v>58500</v>
      </c>
      <c r="V97" s="37">
        <v>45904</v>
      </c>
      <c r="W97" s="34"/>
      <c r="X97" s="35"/>
      <c r="Y97" s="34">
        <f t="shared" si="13"/>
        <v>110</v>
      </c>
      <c r="Z97" s="34">
        <f t="shared" si="14"/>
        <v>0</v>
      </c>
      <c r="AA97" s="39">
        <f t="shared" si="15"/>
        <v>0</v>
      </c>
      <c r="AB97" s="34"/>
      <c r="AC97" s="40">
        <f t="shared" si="16"/>
        <v>-45903</v>
      </c>
      <c r="AD97" s="34">
        <f t="shared" si="17"/>
        <v>58500</v>
      </c>
      <c r="AE97" s="34">
        <f t="shared" si="18"/>
        <v>0</v>
      </c>
      <c r="AF97" s="36">
        <f t="shared" si="19"/>
        <v>-110</v>
      </c>
      <c r="AG97" s="41">
        <f t="shared" si="20"/>
        <v>0</v>
      </c>
      <c r="AH97" s="70">
        <f t="shared" si="21"/>
        <v>0</v>
      </c>
    </row>
    <row r="98" spans="2:34" x14ac:dyDescent="0.4">
      <c r="B98" s="38" t="s">
        <v>408</v>
      </c>
      <c r="C98" s="34">
        <v>2</v>
      </c>
      <c r="D98" s="34">
        <v>58000</v>
      </c>
      <c r="E98" s="37">
        <v>46007</v>
      </c>
      <c r="F98" s="34"/>
      <c r="G98" s="35"/>
      <c r="H98" s="34">
        <f t="shared" si="4"/>
        <v>210</v>
      </c>
      <c r="I98" s="34">
        <f t="shared" si="5"/>
        <v>0</v>
      </c>
      <c r="J98" s="39">
        <f t="shared" si="6"/>
        <v>0</v>
      </c>
      <c r="K98" s="34"/>
      <c r="L98" s="40">
        <f t="shared" si="7"/>
        <v>-46006</v>
      </c>
      <c r="M98" s="34">
        <f t="shared" si="8"/>
        <v>116000</v>
      </c>
      <c r="N98" s="34">
        <f t="shared" si="9"/>
        <v>0</v>
      </c>
      <c r="O98" s="36">
        <f t="shared" si="10"/>
        <v>-210</v>
      </c>
      <c r="P98" s="41">
        <f t="shared" si="11"/>
        <v>0</v>
      </c>
      <c r="Q98" s="70">
        <f t="shared" si="12"/>
        <v>0</v>
      </c>
      <c r="S98" s="38" t="s">
        <v>408</v>
      </c>
      <c r="T98" s="34">
        <v>2</v>
      </c>
      <c r="U98" s="34">
        <v>58000</v>
      </c>
      <c r="V98" s="37">
        <v>46007</v>
      </c>
      <c r="W98" s="34"/>
      <c r="X98" s="35"/>
      <c r="Y98" s="34">
        <f t="shared" si="13"/>
        <v>210</v>
      </c>
      <c r="Z98" s="34">
        <f t="shared" si="14"/>
        <v>0</v>
      </c>
      <c r="AA98" s="39">
        <f t="shared" si="15"/>
        <v>0</v>
      </c>
      <c r="AB98" s="34"/>
      <c r="AC98" s="40">
        <f t="shared" si="16"/>
        <v>-46006</v>
      </c>
      <c r="AD98" s="34">
        <f t="shared" si="17"/>
        <v>116000</v>
      </c>
      <c r="AE98" s="34">
        <f t="shared" si="18"/>
        <v>0</v>
      </c>
      <c r="AF98" s="36">
        <f t="shared" si="19"/>
        <v>-210</v>
      </c>
      <c r="AG98" s="41">
        <f t="shared" si="20"/>
        <v>0</v>
      </c>
      <c r="AH98" s="70">
        <f t="shared" si="21"/>
        <v>0</v>
      </c>
    </row>
    <row r="99" spans="2:34" x14ac:dyDescent="0.4">
      <c r="B99" s="38" t="s">
        <v>408</v>
      </c>
      <c r="C99" s="34">
        <v>2</v>
      </c>
      <c r="D99" s="34">
        <v>47550</v>
      </c>
      <c r="E99" s="37">
        <v>46104</v>
      </c>
      <c r="F99" s="34"/>
      <c r="G99" s="35"/>
      <c r="H99" s="34">
        <f t="shared" si="4"/>
        <v>170</v>
      </c>
      <c r="I99" s="34">
        <f t="shared" si="5"/>
        <v>0</v>
      </c>
      <c r="J99" s="39">
        <f t="shared" si="6"/>
        <v>0</v>
      </c>
      <c r="K99" s="34"/>
      <c r="L99" s="40">
        <f t="shared" si="7"/>
        <v>-46103</v>
      </c>
      <c r="M99" s="34">
        <f t="shared" si="8"/>
        <v>95100</v>
      </c>
      <c r="N99" s="34">
        <f t="shared" si="9"/>
        <v>0</v>
      </c>
      <c r="O99" s="36">
        <f t="shared" si="10"/>
        <v>-170</v>
      </c>
      <c r="P99" s="41">
        <f t="shared" si="11"/>
        <v>0</v>
      </c>
      <c r="Q99" s="70">
        <f t="shared" si="12"/>
        <v>0</v>
      </c>
      <c r="S99" s="38" t="s">
        <v>408</v>
      </c>
      <c r="T99" s="34">
        <v>2</v>
      </c>
      <c r="U99" s="34">
        <v>47550</v>
      </c>
      <c r="V99" s="37">
        <v>46104</v>
      </c>
      <c r="W99" s="34"/>
      <c r="X99" s="35"/>
      <c r="Y99" s="34">
        <f t="shared" si="13"/>
        <v>170</v>
      </c>
      <c r="Z99" s="34">
        <f t="shared" si="14"/>
        <v>0</v>
      </c>
      <c r="AA99" s="39">
        <f t="shared" si="15"/>
        <v>0</v>
      </c>
      <c r="AB99" s="34"/>
      <c r="AC99" s="40">
        <f t="shared" si="16"/>
        <v>-46103</v>
      </c>
      <c r="AD99" s="34">
        <f t="shared" si="17"/>
        <v>95100</v>
      </c>
      <c r="AE99" s="34">
        <f t="shared" si="18"/>
        <v>0</v>
      </c>
      <c r="AF99" s="36">
        <f t="shared" si="19"/>
        <v>-170</v>
      </c>
      <c r="AG99" s="41">
        <f t="shared" si="20"/>
        <v>0</v>
      </c>
      <c r="AH99" s="70">
        <f t="shared" si="21"/>
        <v>0</v>
      </c>
    </row>
    <row r="100" spans="2:34" x14ac:dyDescent="0.4">
      <c r="B100" s="38" t="s">
        <v>582</v>
      </c>
      <c r="C100" s="34">
        <v>1</v>
      </c>
      <c r="D100" s="34">
        <v>11015</v>
      </c>
      <c r="E100" s="37">
        <v>45771</v>
      </c>
      <c r="F100" s="34"/>
      <c r="G100" s="35"/>
      <c r="H100" s="34">
        <f t="shared" si="4"/>
        <v>20</v>
      </c>
      <c r="I100" s="34">
        <f t="shared" si="5"/>
        <v>0</v>
      </c>
      <c r="J100" s="39">
        <f t="shared" si="6"/>
        <v>0</v>
      </c>
      <c r="K100" s="34">
        <f>92*C100+90*C100+91*C100+92*C100+92*C100+93*C100+96*C100+98*C100+98*C100+99*C100+99*C100</f>
        <v>1040</v>
      </c>
      <c r="L100" s="40">
        <f t="shared" si="7"/>
        <v>-45770</v>
      </c>
      <c r="M100" s="34">
        <f t="shared" si="8"/>
        <v>11015</v>
      </c>
      <c r="N100" s="34">
        <f t="shared" si="9"/>
        <v>0</v>
      </c>
      <c r="O100" s="36">
        <f t="shared" si="10"/>
        <v>1020</v>
      </c>
      <c r="P100" s="41">
        <f t="shared" si="11"/>
        <v>0</v>
      </c>
      <c r="Q100" s="70">
        <f t="shared" si="12"/>
        <v>0</v>
      </c>
      <c r="S100" s="38" t="s">
        <v>582</v>
      </c>
      <c r="T100" s="34">
        <v>1</v>
      </c>
      <c r="U100" s="34">
        <v>11015</v>
      </c>
      <c r="V100" s="37">
        <v>45771</v>
      </c>
      <c r="W100" s="34"/>
      <c r="X100" s="35"/>
      <c r="Y100" s="34">
        <f t="shared" si="13"/>
        <v>20</v>
      </c>
      <c r="Z100" s="34">
        <f t="shared" si="14"/>
        <v>0</v>
      </c>
      <c r="AA100" s="39">
        <f t="shared" si="15"/>
        <v>0</v>
      </c>
      <c r="AB100" s="34">
        <f>92*T100+90*T100+91*T100+92*T100+92*T100+93*T100+96*T100+98*T100+98*T100+99*T100+99*T100</f>
        <v>1040</v>
      </c>
      <c r="AC100" s="40">
        <f t="shared" si="16"/>
        <v>-45770</v>
      </c>
      <c r="AD100" s="34">
        <f t="shared" si="17"/>
        <v>11015</v>
      </c>
      <c r="AE100" s="34">
        <f t="shared" si="18"/>
        <v>0</v>
      </c>
      <c r="AF100" s="36">
        <f t="shared" si="19"/>
        <v>1020</v>
      </c>
      <c r="AG100" s="41">
        <f t="shared" si="20"/>
        <v>0</v>
      </c>
      <c r="AH100" s="70">
        <f t="shared" si="21"/>
        <v>0</v>
      </c>
    </row>
    <row r="101" spans="2:34" x14ac:dyDescent="0.4">
      <c r="B101" s="38" t="s">
        <v>582</v>
      </c>
      <c r="C101" s="34">
        <v>1</v>
      </c>
      <c r="D101" s="34">
        <v>11310</v>
      </c>
      <c r="E101" s="37">
        <v>45779</v>
      </c>
      <c r="F101" s="34"/>
      <c r="G101" s="35"/>
      <c r="H101" s="34">
        <f t="shared" si="4"/>
        <v>20</v>
      </c>
      <c r="I101" s="34">
        <f t="shared" si="5"/>
        <v>0</v>
      </c>
      <c r="J101" s="39">
        <f t="shared" si="6"/>
        <v>0</v>
      </c>
      <c r="K101" s="34">
        <f>92*C101+90*C101+91*C101+92*C101+92*C101+93*C101+96*C101+98*C101+98*C101+99*C101+99*C101</f>
        <v>1040</v>
      </c>
      <c r="L101" s="40">
        <f t="shared" si="7"/>
        <v>-45778</v>
      </c>
      <c r="M101" s="34">
        <f t="shared" si="8"/>
        <v>11310</v>
      </c>
      <c r="N101" s="34">
        <f t="shared" si="9"/>
        <v>0</v>
      </c>
      <c r="O101" s="36">
        <f t="shared" si="10"/>
        <v>1020</v>
      </c>
      <c r="P101" s="41">
        <f t="shared" si="11"/>
        <v>0</v>
      </c>
      <c r="Q101" s="70">
        <f t="shared" si="12"/>
        <v>0</v>
      </c>
      <c r="S101" s="38" t="s">
        <v>582</v>
      </c>
      <c r="T101" s="34">
        <v>1</v>
      </c>
      <c r="U101" s="34">
        <v>11310</v>
      </c>
      <c r="V101" s="37">
        <v>45779</v>
      </c>
      <c r="W101" s="34"/>
      <c r="X101" s="35"/>
      <c r="Y101" s="34">
        <f t="shared" si="13"/>
        <v>20</v>
      </c>
      <c r="Z101" s="34">
        <f t="shared" si="14"/>
        <v>0</v>
      </c>
      <c r="AA101" s="39">
        <f t="shared" si="15"/>
        <v>0</v>
      </c>
      <c r="AB101" s="34">
        <f>92*T101+90*T101+91*T101+92*T101+92*T101+93*T101+96*T101+98*T101+98*T101+99*T101+99*T101</f>
        <v>1040</v>
      </c>
      <c r="AC101" s="40">
        <f t="shared" si="16"/>
        <v>-45778</v>
      </c>
      <c r="AD101" s="34">
        <f t="shared" si="17"/>
        <v>11310</v>
      </c>
      <c r="AE101" s="34">
        <f t="shared" si="18"/>
        <v>0</v>
      </c>
      <c r="AF101" s="36">
        <f t="shared" si="19"/>
        <v>1020</v>
      </c>
      <c r="AG101" s="41">
        <f t="shared" si="20"/>
        <v>0</v>
      </c>
      <c r="AH101" s="70">
        <f t="shared" si="21"/>
        <v>0</v>
      </c>
    </row>
    <row r="102" spans="2:34" x14ac:dyDescent="0.4">
      <c r="B102" s="38" t="s">
        <v>582</v>
      </c>
      <c r="C102" s="34">
        <v>1</v>
      </c>
      <c r="D102" s="34">
        <v>11140</v>
      </c>
      <c r="E102" s="37">
        <v>45785</v>
      </c>
      <c r="F102" s="34"/>
      <c r="G102" s="35"/>
      <c r="H102" s="34">
        <f t="shared" si="4"/>
        <v>20</v>
      </c>
      <c r="I102" s="34">
        <f t="shared" si="5"/>
        <v>0</v>
      </c>
      <c r="J102" s="39">
        <f t="shared" si="6"/>
        <v>0</v>
      </c>
      <c r="K102" s="34">
        <f>92*C102+90*C102+91*C102+92*C102+92*C102+93*C102+96*C102+98*C102+98*C102+99*C102+99*C102</f>
        <v>1040</v>
      </c>
      <c r="L102" s="40">
        <f t="shared" si="7"/>
        <v>-45784</v>
      </c>
      <c r="M102" s="34">
        <f t="shared" si="8"/>
        <v>11140</v>
      </c>
      <c r="N102" s="34">
        <f t="shared" si="9"/>
        <v>0</v>
      </c>
      <c r="O102" s="36">
        <f t="shared" si="10"/>
        <v>1020</v>
      </c>
      <c r="P102" s="41">
        <f t="shared" si="11"/>
        <v>0</v>
      </c>
      <c r="Q102" s="70">
        <f t="shared" si="12"/>
        <v>0</v>
      </c>
      <c r="S102" s="38" t="s">
        <v>582</v>
      </c>
      <c r="T102" s="34">
        <v>1</v>
      </c>
      <c r="U102" s="34">
        <v>11140</v>
      </c>
      <c r="V102" s="37">
        <v>45785</v>
      </c>
      <c r="W102" s="34"/>
      <c r="X102" s="35"/>
      <c r="Y102" s="34">
        <f t="shared" si="13"/>
        <v>20</v>
      </c>
      <c r="Z102" s="34">
        <f t="shared" si="14"/>
        <v>0</v>
      </c>
      <c r="AA102" s="39">
        <f t="shared" si="15"/>
        <v>0</v>
      </c>
      <c r="AB102" s="34">
        <f>92*T102+90*T102+91*T102+92*T102+92*T102+93*T102+96*T102+98*T102+98*T102+99*T102+99*T102</f>
        <v>1040</v>
      </c>
      <c r="AC102" s="40">
        <f t="shared" si="16"/>
        <v>-45784</v>
      </c>
      <c r="AD102" s="34">
        <f t="shared" si="17"/>
        <v>11140</v>
      </c>
      <c r="AE102" s="34">
        <f t="shared" si="18"/>
        <v>0</v>
      </c>
      <c r="AF102" s="36">
        <f t="shared" si="19"/>
        <v>1020</v>
      </c>
      <c r="AG102" s="41">
        <f t="shared" si="20"/>
        <v>0</v>
      </c>
      <c r="AH102" s="70">
        <f t="shared" si="21"/>
        <v>0</v>
      </c>
    </row>
    <row r="103" spans="2:34" x14ac:dyDescent="0.4">
      <c r="B103" s="38" t="s">
        <v>582</v>
      </c>
      <c r="C103" s="34">
        <v>1</v>
      </c>
      <c r="D103" s="34">
        <v>11375</v>
      </c>
      <c r="E103" s="37">
        <v>45792</v>
      </c>
      <c r="F103" s="34"/>
      <c r="G103" s="35"/>
      <c r="H103" s="34">
        <f t="shared" si="4"/>
        <v>20</v>
      </c>
      <c r="I103" s="34">
        <f t="shared" si="5"/>
        <v>0</v>
      </c>
      <c r="J103" s="39">
        <f t="shared" si="6"/>
        <v>0</v>
      </c>
      <c r="K103" s="34">
        <f>90*C103+91*C103+92*C103+92*C103+93*C103+96*C103+98*C103+98*C103+99*C103+99*C103</f>
        <v>948</v>
      </c>
      <c r="L103" s="40">
        <f t="shared" si="7"/>
        <v>-45791</v>
      </c>
      <c r="M103" s="34">
        <f t="shared" si="8"/>
        <v>11375</v>
      </c>
      <c r="N103" s="34">
        <f t="shared" si="9"/>
        <v>0</v>
      </c>
      <c r="O103" s="36">
        <f t="shared" si="10"/>
        <v>928</v>
      </c>
      <c r="P103" s="41">
        <f t="shared" si="11"/>
        <v>0</v>
      </c>
      <c r="Q103" s="70">
        <f t="shared" si="12"/>
        <v>0</v>
      </c>
      <c r="S103" s="38" t="s">
        <v>582</v>
      </c>
      <c r="T103" s="34">
        <v>1</v>
      </c>
      <c r="U103" s="34">
        <v>11375</v>
      </c>
      <c r="V103" s="37">
        <v>45792</v>
      </c>
      <c r="W103" s="34"/>
      <c r="X103" s="35"/>
      <c r="Y103" s="34">
        <f t="shared" si="13"/>
        <v>20</v>
      </c>
      <c r="Z103" s="34">
        <f t="shared" si="14"/>
        <v>0</v>
      </c>
      <c r="AA103" s="39">
        <f t="shared" si="15"/>
        <v>0</v>
      </c>
      <c r="AB103" s="34">
        <f>90*T103+91*T103+92*T103+92*T103+93*T103+96*T103+98*T103+98*T103+99*T103+99*T103</f>
        <v>948</v>
      </c>
      <c r="AC103" s="40">
        <f t="shared" si="16"/>
        <v>-45791</v>
      </c>
      <c r="AD103" s="34">
        <f t="shared" si="17"/>
        <v>11375</v>
      </c>
      <c r="AE103" s="34">
        <f t="shared" si="18"/>
        <v>0</v>
      </c>
      <c r="AF103" s="36">
        <f t="shared" si="19"/>
        <v>928</v>
      </c>
      <c r="AG103" s="41">
        <f t="shared" si="20"/>
        <v>0</v>
      </c>
      <c r="AH103" s="70">
        <f t="shared" si="21"/>
        <v>0</v>
      </c>
    </row>
    <row r="104" spans="2:34" x14ac:dyDescent="0.4">
      <c r="B104" s="38" t="s">
        <v>582</v>
      </c>
      <c r="C104" s="34">
        <v>1</v>
      </c>
      <c r="D104" s="34">
        <v>11175</v>
      </c>
      <c r="E104" s="37">
        <v>45799</v>
      </c>
      <c r="F104" s="34"/>
      <c r="G104" s="35"/>
      <c r="H104" s="34">
        <f t="shared" si="4"/>
        <v>20</v>
      </c>
      <c r="I104" s="34">
        <f t="shared" si="5"/>
        <v>0</v>
      </c>
      <c r="J104" s="39">
        <f t="shared" si="6"/>
        <v>0</v>
      </c>
      <c r="K104" s="34">
        <f>90*C104+91*C104+92*C104+92*C104+93*C104+96*C104+98*C104+98*C104+99*C104+99*C104</f>
        <v>948</v>
      </c>
      <c r="L104" s="40">
        <f t="shared" si="7"/>
        <v>-45798</v>
      </c>
      <c r="M104" s="34">
        <f t="shared" si="8"/>
        <v>11175</v>
      </c>
      <c r="N104" s="34">
        <f t="shared" si="9"/>
        <v>0</v>
      </c>
      <c r="O104" s="36">
        <f t="shared" si="10"/>
        <v>928</v>
      </c>
      <c r="P104" s="41">
        <f t="shared" si="11"/>
        <v>0</v>
      </c>
      <c r="Q104" s="70">
        <f t="shared" si="12"/>
        <v>0</v>
      </c>
      <c r="S104" s="38" t="s">
        <v>582</v>
      </c>
      <c r="T104" s="34">
        <v>1</v>
      </c>
      <c r="U104" s="34">
        <v>11175</v>
      </c>
      <c r="V104" s="37">
        <v>45799</v>
      </c>
      <c r="W104" s="34"/>
      <c r="X104" s="35"/>
      <c r="Y104" s="34">
        <f t="shared" si="13"/>
        <v>20</v>
      </c>
      <c r="Z104" s="34">
        <f t="shared" si="14"/>
        <v>0</v>
      </c>
      <c r="AA104" s="39">
        <f t="shared" si="15"/>
        <v>0</v>
      </c>
      <c r="AB104" s="34">
        <f>90*T104+91*T104+92*T104+92*T104+93*T104+96*T104+98*T104+98*T104+99*T104+99*T104</f>
        <v>948</v>
      </c>
      <c r="AC104" s="40">
        <f t="shared" si="16"/>
        <v>-45798</v>
      </c>
      <c r="AD104" s="34">
        <f t="shared" si="17"/>
        <v>11175</v>
      </c>
      <c r="AE104" s="34">
        <f t="shared" si="18"/>
        <v>0</v>
      </c>
      <c r="AF104" s="36">
        <f t="shared" si="19"/>
        <v>928</v>
      </c>
      <c r="AG104" s="41">
        <f t="shared" si="20"/>
        <v>0</v>
      </c>
      <c r="AH104" s="70">
        <f t="shared" si="21"/>
        <v>0</v>
      </c>
    </row>
    <row r="105" spans="2:34" x14ac:dyDescent="0.4">
      <c r="B105" s="38" t="s">
        <v>582</v>
      </c>
      <c r="C105" s="34">
        <v>1</v>
      </c>
      <c r="D105" s="34">
        <v>11310</v>
      </c>
      <c r="E105" s="37">
        <v>45806</v>
      </c>
      <c r="F105" s="34"/>
      <c r="G105" s="35"/>
      <c r="H105" s="34">
        <f t="shared" si="4"/>
        <v>20</v>
      </c>
      <c r="I105" s="34">
        <f t="shared" si="5"/>
        <v>0</v>
      </c>
      <c r="J105" s="39">
        <f t="shared" si="6"/>
        <v>0</v>
      </c>
      <c r="K105" s="34">
        <f>90*C105+91*C105+92*C105+92*C105+93*C105+96*C105+98*C105+98*C105+99*C105+99*C105</f>
        <v>948</v>
      </c>
      <c r="L105" s="40">
        <f t="shared" si="7"/>
        <v>-45805</v>
      </c>
      <c r="M105" s="34">
        <f t="shared" si="8"/>
        <v>11310</v>
      </c>
      <c r="N105" s="34">
        <f t="shared" si="9"/>
        <v>0</v>
      </c>
      <c r="O105" s="36">
        <f t="shared" si="10"/>
        <v>928</v>
      </c>
      <c r="P105" s="41">
        <f t="shared" si="11"/>
        <v>0</v>
      </c>
      <c r="Q105" s="70">
        <f t="shared" si="12"/>
        <v>0</v>
      </c>
      <c r="S105" s="38" t="s">
        <v>582</v>
      </c>
      <c r="T105" s="34">
        <v>1</v>
      </c>
      <c r="U105" s="34">
        <v>11310</v>
      </c>
      <c r="V105" s="37">
        <v>45806</v>
      </c>
      <c r="W105" s="34"/>
      <c r="X105" s="35"/>
      <c r="Y105" s="34">
        <f t="shared" si="13"/>
        <v>20</v>
      </c>
      <c r="Z105" s="34">
        <f t="shared" si="14"/>
        <v>0</v>
      </c>
      <c r="AA105" s="39">
        <f t="shared" si="15"/>
        <v>0</v>
      </c>
      <c r="AB105" s="34">
        <f>90*T105+91*T105+92*T105+92*T105+93*T105+96*T105+98*T105+98*T105+99*T105+99*T105</f>
        <v>948</v>
      </c>
      <c r="AC105" s="40">
        <f t="shared" si="16"/>
        <v>-45805</v>
      </c>
      <c r="AD105" s="34">
        <f t="shared" si="17"/>
        <v>11310</v>
      </c>
      <c r="AE105" s="34">
        <f t="shared" si="18"/>
        <v>0</v>
      </c>
      <c r="AF105" s="36">
        <f t="shared" si="19"/>
        <v>928</v>
      </c>
      <c r="AG105" s="41">
        <f t="shared" si="20"/>
        <v>0</v>
      </c>
      <c r="AH105" s="70">
        <f t="shared" si="21"/>
        <v>0</v>
      </c>
    </row>
    <row r="106" spans="2:34" x14ac:dyDescent="0.4">
      <c r="B106" s="38" t="s">
        <v>582</v>
      </c>
      <c r="C106" s="34">
        <v>1</v>
      </c>
      <c r="D106" s="34">
        <v>11250</v>
      </c>
      <c r="E106" s="37">
        <v>45813</v>
      </c>
      <c r="F106" s="34"/>
      <c r="G106" s="35"/>
      <c r="H106" s="34">
        <f t="shared" si="4"/>
        <v>20</v>
      </c>
      <c r="I106" s="34">
        <f t="shared" si="5"/>
        <v>0</v>
      </c>
      <c r="J106" s="39">
        <f t="shared" si="6"/>
        <v>0</v>
      </c>
      <c r="K106" s="34">
        <f>90*C106+91*C106+92*C106+92*C106+93*C106+96*C106+98*C106+98*C106+99*C106+99*C106</f>
        <v>948</v>
      </c>
      <c r="L106" s="40">
        <f t="shared" si="7"/>
        <v>-45812</v>
      </c>
      <c r="M106" s="34">
        <f t="shared" si="8"/>
        <v>11250</v>
      </c>
      <c r="N106" s="34">
        <f t="shared" si="9"/>
        <v>0</v>
      </c>
      <c r="O106" s="36">
        <f t="shared" si="10"/>
        <v>928</v>
      </c>
      <c r="P106" s="41">
        <f t="shared" si="11"/>
        <v>0</v>
      </c>
      <c r="Q106" s="70">
        <f t="shared" si="12"/>
        <v>0</v>
      </c>
      <c r="S106" s="38" t="s">
        <v>582</v>
      </c>
      <c r="T106" s="34">
        <v>1</v>
      </c>
      <c r="U106" s="34">
        <v>11250</v>
      </c>
      <c r="V106" s="37">
        <v>45813</v>
      </c>
      <c r="W106" s="34"/>
      <c r="X106" s="35"/>
      <c r="Y106" s="34">
        <f t="shared" si="13"/>
        <v>20</v>
      </c>
      <c r="Z106" s="34">
        <f t="shared" si="14"/>
        <v>0</v>
      </c>
      <c r="AA106" s="39">
        <f t="shared" si="15"/>
        <v>0</v>
      </c>
      <c r="AB106" s="34">
        <f>90*T106+91*T106+92*T106+92*T106+93*T106+96*T106+98*T106+98*T106+99*T106+99*T106</f>
        <v>948</v>
      </c>
      <c r="AC106" s="40">
        <f t="shared" si="16"/>
        <v>-45812</v>
      </c>
      <c r="AD106" s="34">
        <f t="shared" si="17"/>
        <v>11250</v>
      </c>
      <c r="AE106" s="34">
        <f t="shared" si="18"/>
        <v>0</v>
      </c>
      <c r="AF106" s="36">
        <f t="shared" si="19"/>
        <v>928</v>
      </c>
      <c r="AG106" s="41">
        <f t="shared" si="20"/>
        <v>0</v>
      </c>
      <c r="AH106" s="70">
        <f t="shared" si="21"/>
        <v>0</v>
      </c>
    </row>
    <row r="107" spans="2:34" x14ac:dyDescent="0.4">
      <c r="B107" s="38" t="s">
        <v>582</v>
      </c>
      <c r="C107" s="34">
        <v>1</v>
      </c>
      <c r="D107" s="34">
        <v>11270</v>
      </c>
      <c r="E107" s="37">
        <v>45820</v>
      </c>
      <c r="F107" s="34"/>
      <c r="G107" s="35"/>
      <c r="H107" s="34">
        <f t="shared" si="4"/>
        <v>20</v>
      </c>
      <c r="I107" s="34">
        <f t="shared" si="5"/>
        <v>0</v>
      </c>
      <c r="J107" s="39">
        <f t="shared" si="6"/>
        <v>0</v>
      </c>
      <c r="K107" s="34">
        <f>91*C107+92*C107+92*C107+93*C107+96*C107+98*C107+98*C107+99*C107+99*C107</f>
        <v>858</v>
      </c>
      <c r="L107" s="40">
        <f t="shared" si="7"/>
        <v>-45819</v>
      </c>
      <c r="M107" s="34">
        <f t="shared" si="8"/>
        <v>11270</v>
      </c>
      <c r="N107" s="34">
        <f t="shared" si="9"/>
        <v>0</v>
      </c>
      <c r="O107" s="36">
        <f t="shared" si="10"/>
        <v>838</v>
      </c>
      <c r="P107" s="41">
        <f t="shared" si="11"/>
        <v>0</v>
      </c>
      <c r="Q107" s="70">
        <f t="shared" si="12"/>
        <v>0</v>
      </c>
      <c r="S107" s="38" t="s">
        <v>582</v>
      </c>
      <c r="T107" s="34">
        <v>1</v>
      </c>
      <c r="U107" s="34">
        <v>11270</v>
      </c>
      <c r="V107" s="37">
        <v>45820</v>
      </c>
      <c r="W107" s="34"/>
      <c r="X107" s="35"/>
      <c r="Y107" s="34">
        <f t="shared" si="13"/>
        <v>20</v>
      </c>
      <c r="Z107" s="34">
        <f t="shared" si="14"/>
        <v>0</v>
      </c>
      <c r="AA107" s="39">
        <f t="shared" si="15"/>
        <v>0</v>
      </c>
      <c r="AB107" s="34">
        <f>91*T107+92*T107+92*T107+93*T107+96*T107+98*T107+98*T107+99*T107+99*T107</f>
        <v>858</v>
      </c>
      <c r="AC107" s="40">
        <f t="shared" si="16"/>
        <v>-45819</v>
      </c>
      <c r="AD107" s="34">
        <f t="shared" si="17"/>
        <v>11270</v>
      </c>
      <c r="AE107" s="34">
        <f t="shared" si="18"/>
        <v>0</v>
      </c>
      <c r="AF107" s="36">
        <f t="shared" si="19"/>
        <v>838</v>
      </c>
      <c r="AG107" s="41">
        <f t="shared" si="20"/>
        <v>0</v>
      </c>
      <c r="AH107" s="70">
        <f t="shared" si="21"/>
        <v>0</v>
      </c>
    </row>
    <row r="108" spans="2:34" x14ac:dyDescent="0.4">
      <c r="B108" s="38" t="s">
        <v>582</v>
      </c>
      <c r="C108" s="34">
        <v>1</v>
      </c>
      <c r="D108" s="34">
        <v>11180</v>
      </c>
      <c r="E108" s="37">
        <v>45827</v>
      </c>
      <c r="F108" s="34"/>
      <c r="G108" s="35"/>
      <c r="H108" s="34">
        <f t="shared" si="4"/>
        <v>20</v>
      </c>
      <c r="I108" s="34">
        <f t="shared" si="5"/>
        <v>0</v>
      </c>
      <c r="J108" s="39">
        <f t="shared" si="6"/>
        <v>0</v>
      </c>
      <c r="K108" s="34">
        <f>91*C108+92*C108+92*C108+93*C108+96*C108+98*C108+98*C108+99*C108+99*C108</f>
        <v>858</v>
      </c>
      <c r="L108" s="40">
        <f t="shared" si="7"/>
        <v>-45826</v>
      </c>
      <c r="M108" s="34">
        <f t="shared" si="8"/>
        <v>11180</v>
      </c>
      <c r="N108" s="34">
        <f t="shared" si="9"/>
        <v>0</v>
      </c>
      <c r="O108" s="36">
        <f t="shared" si="10"/>
        <v>838</v>
      </c>
      <c r="P108" s="41">
        <f t="shared" si="11"/>
        <v>0</v>
      </c>
      <c r="Q108" s="70">
        <f t="shared" si="12"/>
        <v>0</v>
      </c>
      <c r="S108" s="38" t="s">
        <v>582</v>
      </c>
      <c r="T108" s="34">
        <v>1</v>
      </c>
      <c r="U108" s="34">
        <v>11180</v>
      </c>
      <c r="V108" s="37">
        <v>45827</v>
      </c>
      <c r="W108" s="34"/>
      <c r="X108" s="35"/>
      <c r="Y108" s="34">
        <f t="shared" si="13"/>
        <v>20</v>
      </c>
      <c r="Z108" s="34">
        <f t="shared" si="14"/>
        <v>0</v>
      </c>
      <c r="AA108" s="39">
        <f t="shared" si="15"/>
        <v>0</v>
      </c>
      <c r="AB108" s="34">
        <f>91*T108+92*T108+92*T108+93*T108+96*T108+98*T108+98*T108+99*T108+99*T108</f>
        <v>858</v>
      </c>
      <c r="AC108" s="40">
        <f t="shared" si="16"/>
        <v>-45826</v>
      </c>
      <c r="AD108" s="34">
        <f t="shared" si="17"/>
        <v>11180</v>
      </c>
      <c r="AE108" s="34">
        <f t="shared" si="18"/>
        <v>0</v>
      </c>
      <c r="AF108" s="36">
        <f t="shared" si="19"/>
        <v>838</v>
      </c>
      <c r="AG108" s="41">
        <f t="shared" si="20"/>
        <v>0</v>
      </c>
      <c r="AH108" s="70">
        <f t="shared" si="21"/>
        <v>0</v>
      </c>
    </row>
    <row r="109" spans="2:34" x14ac:dyDescent="0.4">
      <c r="B109" s="38" t="s">
        <v>582</v>
      </c>
      <c r="C109" s="34">
        <v>1</v>
      </c>
      <c r="D109" s="34">
        <v>11210</v>
      </c>
      <c r="E109" s="37">
        <v>45834</v>
      </c>
      <c r="F109" s="34"/>
      <c r="G109" s="35"/>
      <c r="H109" s="34">
        <f t="shared" si="4"/>
        <v>20</v>
      </c>
      <c r="I109" s="34">
        <f t="shared" si="5"/>
        <v>0</v>
      </c>
      <c r="J109" s="39">
        <f t="shared" si="6"/>
        <v>0</v>
      </c>
      <c r="K109" s="34">
        <f>91*C109+92*C109+92*C109+93*C109+96*C109+98*C109+98*C109+99*C109+99*C109</f>
        <v>858</v>
      </c>
      <c r="L109" s="40">
        <f t="shared" si="7"/>
        <v>-45833</v>
      </c>
      <c r="M109" s="34">
        <f t="shared" si="8"/>
        <v>11210</v>
      </c>
      <c r="N109" s="34">
        <f t="shared" si="9"/>
        <v>0</v>
      </c>
      <c r="O109" s="36">
        <f t="shared" si="10"/>
        <v>838</v>
      </c>
      <c r="P109" s="41">
        <f t="shared" si="11"/>
        <v>0</v>
      </c>
      <c r="Q109" s="70">
        <f t="shared" si="12"/>
        <v>0</v>
      </c>
      <c r="S109" s="38" t="s">
        <v>582</v>
      </c>
      <c r="T109" s="34">
        <v>1</v>
      </c>
      <c r="U109" s="34">
        <v>11210</v>
      </c>
      <c r="V109" s="37">
        <v>45834</v>
      </c>
      <c r="W109" s="34"/>
      <c r="X109" s="35"/>
      <c r="Y109" s="34">
        <f t="shared" si="13"/>
        <v>20</v>
      </c>
      <c r="Z109" s="34">
        <f t="shared" si="14"/>
        <v>0</v>
      </c>
      <c r="AA109" s="39">
        <f t="shared" si="15"/>
        <v>0</v>
      </c>
      <c r="AB109" s="34">
        <f>91*T109+92*T109+92*T109+93*T109+96*T109+98*T109+98*T109+99*T109+99*T109</f>
        <v>858</v>
      </c>
      <c r="AC109" s="40">
        <f t="shared" si="16"/>
        <v>-45833</v>
      </c>
      <c r="AD109" s="34">
        <f t="shared" si="17"/>
        <v>11210</v>
      </c>
      <c r="AE109" s="34">
        <f t="shared" si="18"/>
        <v>0</v>
      </c>
      <c r="AF109" s="36">
        <f t="shared" si="19"/>
        <v>838</v>
      </c>
      <c r="AG109" s="41">
        <f t="shared" si="20"/>
        <v>0</v>
      </c>
      <c r="AH109" s="70">
        <f t="shared" si="21"/>
        <v>0</v>
      </c>
    </row>
    <row r="110" spans="2:34" x14ac:dyDescent="0.4">
      <c r="B110" s="38" t="s">
        <v>582</v>
      </c>
      <c r="C110" s="34">
        <v>1</v>
      </c>
      <c r="D110" s="34">
        <v>11455</v>
      </c>
      <c r="E110" s="37">
        <v>45841</v>
      </c>
      <c r="F110" s="34"/>
      <c r="G110" s="35"/>
      <c r="H110" s="34">
        <f t="shared" si="4"/>
        <v>20</v>
      </c>
      <c r="I110" s="34">
        <f t="shared" si="5"/>
        <v>0</v>
      </c>
      <c r="J110" s="39">
        <f t="shared" si="6"/>
        <v>0</v>
      </c>
      <c r="K110" s="34">
        <f>91*C110+92*C110+92*C110+93*C110+96*C110+98*C110+98*C110+99*C110+99*C110</f>
        <v>858</v>
      </c>
      <c r="L110" s="40">
        <f t="shared" si="7"/>
        <v>-45840</v>
      </c>
      <c r="M110" s="34">
        <f t="shared" si="8"/>
        <v>11455</v>
      </c>
      <c r="N110" s="34">
        <f t="shared" si="9"/>
        <v>0</v>
      </c>
      <c r="O110" s="36">
        <f t="shared" si="10"/>
        <v>838</v>
      </c>
      <c r="P110" s="41">
        <f t="shared" si="11"/>
        <v>0</v>
      </c>
      <c r="Q110" s="70">
        <f t="shared" si="12"/>
        <v>0</v>
      </c>
      <c r="S110" s="38" t="s">
        <v>582</v>
      </c>
      <c r="T110" s="34">
        <v>1</v>
      </c>
      <c r="U110" s="34">
        <v>11455</v>
      </c>
      <c r="V110" s="37">
        <v>45841</v>
      </c>
      <c r="W110" s="34"/>
      <c r="X110" s="35"/>
      <c r="Y110" s="34">
        <f t="shared" si="13"/>
        <v>20</v>
      </c>
      <c r="Z110" s="34">
        <f t="shared" si="14"/>
        <v>0</v>
      </c>
      <c r="AA110" s="39">
        <f t="shared" si="15"/>
        <v>0</v>
      </c>
      <c r="AB110" s="34">
        <f>91*T110+92*T110+92*T110+93*T110+96*T110+98*T110+98*T110+99*T110+99*T110</f>
        <v>858</v>
      </c>
      <c r="AC110" s="40">
        <f t="shared" si="16"/>
        <v>-45840</v>
      </c>
      <c r="AD110" s="34">
        <f t="shared" si="17"/>
        <v>11455</v>
      </c>
      <c r="AE110" s="34">
        <f t="shared" si="18"/>
        <v>0</v>
      </c>
      <c r="AF110" s="36">
        <f t="shared" si="19"/>
        <v>838</v>
      </c>
      <c r="AG110" s="41">
        <f t="shared" si="20"/>
        <v>0</v>
      </c>
      <c r="AH110" s="70">
        <f t="shared" si="21"/>
        <v>0</v>
      </c>
    </row>
    <row r="111" spans="2:34" x14ac:dyDescent="0.4">
      <c r="B111" s="38" t="s">
        <v>582</v>
      </c>
      <c r="C111" s="34">
        <v>1</v>
      </c>
      <c r="D111" s="34">
        <v>11600</v>
      </c>
      <c r="E111" s="37">
        <v>45848</v>
      </c>
      <c r="F111" s="34"/>
      <c r="G111" s="35"/>
      <c r="H111" s="34">
        <f t="shared" si="4"/>
        <v>20</v>
      </c>
      <c r="I111" s="34">
        <f t="shared" si="5"/>
        <v>0</v>
      </c>
      <c r="J111" s="39">
        <f t="shared" si="6"/>
        <v>0</v>
      </c>
      <c r="K111" s="34">
        <f>91*C111+92*C111+92*C111+93*C111+96*C111+98*C111+98*C111+99*C111+99*C111</f>
        <v>858</v>
      </c>
      <c r="L111" s="40">
        <f t="shared" si="7"/>
        <v>-45847</v>
      </c>
      <c r="M111" s="34">
        <f t="shared" si="8"/>
        <v>11600</v>
      </c>
      <c r="N111" s="34">
        <f t="shared" si="9"/>
        <v>0</v>
      </c>
      <c r="O111" s="36">
        <f t="shared" si="10"/>
        <v>838</v>
      </c>
      <c r="P111" s="41">
        <f t="shared" si="11"/>
        <v>0</v>
      </c>
      <c r="Q111" s="70">
        <f t="shared" si="12"/>
        <v>0</v>
      </c>
      <c r="S111" s="38" t="s">
        <v>582</v>
      </c>
      <c r="T111" s="34">
        <v>1</v>
      </c>
      <c r="U111" s="34">
        <v>11600</v>
      </c>
      <c r="V111" s="37">
        <v>45848</v>
      </c>
      <c r="W111" s="34"/>
      <c r="X111" s="35"/>
      <c r="Y111" s="34">
        <f t="shared" si="13"/>
        <v>20</v>
      </c>
      <c r="Z111" s="34">
        <f t="shared" si="14"/>
        <v>0</v>
      </c>
      <c r="AA111" s="39">
        <f t="shared" si="15"/>
        <v>0</v>
      </c>
      <c r="AB111" s="34">
        <f>91*T111+92*T111+92*T111+93*T111+96*T111+98*T111+98*T111+99*T111+99*T111</f>
        <v>858</v>
      </c>
      <c r="AC111" s="40">
        <f t="shared" si="16"/>
        <v>-45847</v>
      </c>
      <c r="AD111" s="34">
        <f t="shared" si="17"/>
        <v>11600</v>
      </c>
      <c r="AE111" s="34">
        <f t="shared" si="18"/>
        <v>0</v>
      </c>
      <c r="AF111" s="36">
        <f t="shared" si="19"/>
        <v>838</v>
      </c>
      <c r="AG111" s="41">
        <f t="shared" si="20"/>
        <v>0</v>
      </c>
      <c r="AH111" s="70">
        <f t="shared" si="21"/>
        <v>0</v>
      </c>
    </row>
    <row r="112" spans="2:34" x14ac:dyDescent="0.4">
      <c r="B112" s="38" t="s">
        <v>582</v>
      </c>
      <c r="C112" s="34">
        <v>1</v>
      </c>
      <c r="D112" s="34">
        <v>11545</v>
      </c>
      <c r="E112" s="37">
        <v>45855</v>
      </c>
      <c r="F112" s="34"/>
      <c r="G112" s="35"/>
      <c r="H112" s="34">
        <f t="shared" si="4"/>
        <v>20</v>
      </c>
      <c r="I112" s="34">
        <f t="shared" si="5"/>
        <v>0</v>
      </c>
      <c r="J112" s="39">
        <f t="shared" si="6"/>
        <v>0</v>
      </c>
      <c r="K112" s="34">
        <f>92*C112+92*C112+93*C112+96*C112+98*C112+98*C112+99*C112+99*C112</f>
        <v>767</v>
      </c>
      <c r="L112" s="40">
        <f t="shared" si="7"/>
        <v>-45854</v>
      </c>
      <c r="M112" s="34">
        <f t="shared" si="8"/>
        <v>11545</v>
      </c>
      <c r="N112" s="34">
        <f t="shared" si="9"/>
        <v>0</v>
      </c>
      <c r="O112" s="36">
        <f t="shared" si="10"/>
        <v>747</v>
      </c>
      <c r="P112" s="41">
        <f t="shared" si="11"/>
        <v>0</v>
      </c>
      <c r="Q112" s="70">
        <f t="shared" si="12"/>
        <v>0</v>
      </c>
      <c r="S112" s="38" t="s">
        <v>582</v>
      </c>
      <c r="T112" s="34">
        <v>1</v>
      </c>
      <c r="U112" s="34">
        <v>11545</v>
      </c>
      <c r="V112" s="37">
        <v>45855</v>
      </c>
      <c r="W112" s="34"/>
      <c r="X112" s="35"/>
      <c r="Y112" s="34">
        <f t="shared" si="13"/>
        <v>20</v>
      </c>
      <c r="Z112" s="34">
        <f t="shared" si="14"/>
        <v>0</v>
      </c>
      <c r="AA112" s="39">
        <f t="shared" si="15"/>
        <v>0</v>
      </c>
      <c r="AB112" s="34">
        <f>92*T112+92*T112+93*T112+96*T112+98*T112+98*T112+99*T112+99*T112</f>
        <v>767</v>
      </c>
      <c r="AC112" s="40">
        <f t="shared" si="16"/>
        <v>-45854</v>
      </c>
      <c r="AD112" s="34">
        <f t="shared" si="17"/>
        <v>11545</v>
      </c>
      <c r="AE112" s="34">
        <f t="shared" si="18"/>
        <v>0</v>
      </c>
      <c r="AF112" s="36">
        <f t="shared" si="19"/>
        <v>747</v>
      </c>
      <c r="AG112" s="41">
        <f t="shared" si="20"/>
        <v>0</v>
      </c>
      <c r="AH112" s="70">
        <f t="shared" si="21"/>
        <v>0</v>
      </c>
    </row>
    <row r="113" spans="2:34" x14ac:dyDescent="0.4">
      <c r="B113" s="38" t="s">
        <v>582</v>
      </c>
      <c r="C113" s="34">
        <v>1</v>
      </c>
      <c r="D113" s="34">
        <v>11670</v>
      </c>
      <c r="E113" s="37">
        <v>45862</v>
      </c>
      <c r="F113" s="34"/>
      <c r="G113" s="35"/>
      <c r="H113" s="34">
        <f t="shared" si="4"/>
        <v>20</v>
      </c>
      <c r="I113" s="34">
        <f t="shared" si="5"/>
        <v>0</v>
      </c>
      <c r="J113" s="39">
        <f t="shared" si="6"/>
        <v>0</v>
      </c>
      <c r="K113" s="34">
        <f>92*C113+92*C113+93*C113+96*C113+98*C113+98*C113+99*C113+99*C113</f>
        <v>767</v>
      </c>
      <c r="L113" s="40">
        <f t="shared" si="7"/>
        <v>-45861</v>
      </c>
      <c r="M113" s="34">
        <f t="shared" si="8"/>
        <v>11670</v>
      </c>
      <c r="N113" s="34">
        <f t="shared" si="9"/>
        <v>0</v>
      </c>
      <c r="O113" s="36">
        <f t="shared" si="10"/>
        <v>747</v>
      </c>
      <c r="P113" s="41">
        <f t="shared" si="11"/>
        <v>0</v>
      </c>
      <c r="Q113" s="70">
        <f t="shared" si="12"/>
        <v>0</v>
      </c>
      <c r="S113" s="38" t="s">
        <v>582</v>
      </c>
      <c r="T113" s="34">
        <v>1</v>
      </c>
      <c r="U113" s="34">
        <v>11670</v>
      </c>
      <c r="V113" s="37">
        <v>45862</v>
      </c>
      <c r="W113" s="34"/>
      <c r="X113" s="35"/>
      <c r="Y113" s="34">
        <f t="shared" si="13"/>
        <v>20</v>
      </c>
      <c r="Z113" s="34">
        <f t="shared" si="14"/>
        <v>0</v>
      </c>
      <c r="AA113" s="39">
        <f t="shared" si="15"/>
        <v>0</v>
      </c>
      <c r="AB113" s="34">
        <f>92*T113+92*T113+93*T113+96*T113+98*T113+98*T113+99*T113+99*T113</f>
        <v>767</v>
      </c>
      <c r="AC113" s="40">
        <f t="shared" si="16"/>
        <v>-45861</v>
      </c>
      <c r="AD113" s="34">
        <f t="shared" si="17"/>
        <v>11670</v>
      </c>
      <c r="AE113" s="34">
        <f t="shared" si="18"/>
        <v>0</v>
      </c>
      <c r="AF113" s="36">
        <f t="shared" si="19"/>
        <v>747</v>
      </c>
      <c r="AG113" s="41">
        <f t="shared" si="20"/>
        <v>0</v>
      </c>
      <c r="AH113" s="70">
        <f t="shared" si="21"/>
        <v>0</v>
      </c>
    </row>
    <row r="114" spans="2:34" x14ac:dyDescent="0.4">
      <c r="B114" s="38" t="s">
        <v>582</v>
      </c>
      <c r="C114" s="34">
        <v>1</v>
      </c>
      <c r="D114" s="34">
        <v>11740</v>
      </c>
      <c r="E114" s="37">
        <v>45869</v>
      </c>
      <c r="F114" s="34"/>
      <c r="G114" s="35"/>
      <c r="H114" s="34">
        <f t="shared" si="4"/>
        <v>20</v>
      </c>
      <c r="I114" s="34">
        <f t="shared" si="5"/>
        <v>0</v>
      </c>
      <c r="J114" s="39">
        <f t="shared" si="6"/>
        <v>0</v>
      </c>
      <c r="K114" s="34">
        <f>92*C114+92*C114+93*C114+96*C114+98*C114+98*C114+99*C114+99*C114</f>
        <v>767</v>
      </c>
      <c r="L114" s="40">
        <f t="shared" si="7"/>
        <v>-45868</v>
      </c>
      <c r="M114" s="34">
        <f t="shared" si="8"/>
        <v>11740</v>
      </c>
      <c r="N114" s="34">
        <f t="shared" si="9"/>
        <v>0</v>
      </c>
      <c r="O114" s="36">
        <f t="shared" si="10"/>
        <v>747</v>
      </c>
      <c r="P114" s="41">
        <f t="shared" si="11"/>
        <v>0</v>
      </c>
      <c r="Q114" s="70">
        <f t="shared" si="12"/>
        <v>0</v>
      </c>
      <c r="S114" s="38" t="s">
        <v>582</v>
      </c>
      <c r="T114" s="34">
        <v>1</v>
      </c>
      <c r="U114" s="34">
        <v>11740</v>
      </c>
      <c r="V114" s="37">
        <v>45869</v>
      </c>
      <c r="W114" s="34"/>
      <c r="X114" s="35"/>
      <c r="Y114" s="34">
        <f t="shared" si="13"/>
        <v>20</v>
      </c>
      <c r="Z114" s="34">
        <f t="shared" si="14"/>
        <v>0</v>
      </c>
      <c r="AA114" s="39">
        <f t="shared" si="15"/>
        <v>0</v>
      </c>
      <c r="AB114" s="34">
        <f>92*T114+92*T114+93*T114+96*T114+98*T114+98*T114+99*T114+99*T114</f>
        <v>767</v>
      </c>
      <c r="AC114" s="40">
        <f t="shared" si="16"/>
        <v>-45868</v>
      </c>
      <c r="AD114" s="34">
        <f t="shared" si="17"/>
        <v>11740</v>
      </c>
      <c r="AE114" s="34">
        <f t="shared" si="18"/>
        <v>0</v>
      </c>
      <c r="AF114" s="36">
        <f t="shared" si="19"/>
        <v>747</v>
      </c>
      <c r="AG114" s="41">
        <f t="shared" si="20"/>
        <v>0</v>
      </c>
      <c r="AH114" s="70">
        <f t="shared" si="21"/>
        <v>0</v>
      </c>
    </row>
    <row r="115" spans="2:34" x14ac:dyDescent="0.4">
      <c r="B115" s="38" t="s">
        <v>582</v>
      </c>
      <c r="C115" s="34">
        <v>1</v>
      </c>
      <c r="D115" s="34">
        <v>11755</v>
      </c>
      <c r="E115" s="37">
        <v>45876</v>
      </c>
      <c r="F115" s="34"/>
      <c r="G115" s="35"/>
      <c r="H115" s="34">
        <f t="shared" si="4"/>
        <v>20</v>
      </c>
      <c r="I115" s="34">
        <f t="shared" si="5"/>
        <v>0</v>
      </c>
      <c r="J115" s="39">
        <f t="shared" si="6"/>
        <v>0</v>
      </c>
      <c r="K115" s="34">
        <f>92*C115+92*C115+93*C115+96*C115+98*C115+98*C115+99*C115+99*C115</f>
        <v>767</v>
      </c>
      <c r="L115" s="40">
        <f t="shared" si="7"/>
        <v>-45875</v>
      </c>
      <c r="M115" s="34">
        <f t="shared" si="8"/>
        <v>11755</v>
      </c>
      <c r="N115" s="34">
        <f t="shared" si="9"/>
        <v>0</v>
      </c>
      <c r="O115" s="36">
        <f t="shared" si="10"/>
        <v>747</v>
      </c>
      <c r="P115" s="41">
        <f t="shared" si="11"/>
        <v>0</v>
      </c>
      <c r="Q115" s="70">
        <f t="shared" si="12"/>
        <v>0</v>
      </c>
      <c r="S115" s="38" t="s">
        <v>582</v>
      </c>
      <c r="T115" s="34">
        <v>1</v>
      </c>
      <c r="U115" s="34">
        <v>11755</v>
      </c>
      <c r="V115" s="37">
        <v>45876</v>
      </c>
      <c r="W115" s="34"/>
      <c r="X115" s="35"/>
      <c r="Y115" s="34">
        <f t="shared" si="13"/>
        <v>20</v>
      </c>
      <c r="Z115" s="34">
        <f t="shared" si="14"/>
        <v>0</v>
      </c>
      <c r="AA115" s="39">
        <f t="shared" si="15"/>
        <v>0</v>
      </c>
      <c r="AB115" s="34">
        <f>92*T115+92*T115+93*T115+96*T115+98*T115+98*T115+99*T115+99*T115</f>
        <v>767</v>
      </c>
      <c r="AC115" s="40">
        <f t="shared" si="16"/>
        <v>-45875</v>
      </c>
      <c r="AD115" s="34">
        <f t="shared" si="17"/>
        <v>11755</v>
      </c>
      <c r="AE115" s="34">
        <f t="shared" si="18"/>
        <v>0</v>
      </c>
      <c r="AF115" s="36">
        <f t="shared" si="19"/>
        <v>747</v>
      </c>
      <c r="AG115" s="41">
        <f t="shared" si="20"/>
        <v>0</v>
      </c>
      <c r="AH115" s="70">
        <f t="shared" si="21"/>
        <v>0</v>
      </c>
    </row>
    <row r="116" spans="2:34" x14ac:dyDescent="0.4">
      <c r="B116" s="38" t="s">
        <v>582</v>
      </c>
      <c r="C116" s="34">
        <v>1</v>
      </c>
      <c r="D116" s="34">
        <v>11705</v>
      </c>
      <c r="E116" s="37">
        <v>45883</v>
      </c>
      <c r="F116" s="34"/>
      <c r="G116" s="35"/>
      <c r="H116" s="34">
        <f t="shared" si="4"/>
        <v>20</v>
      </c>
      <c r="I116" s="34">
        <f t="shared" si="5"/>
        <v>0</v>
      </c>
      <c r="J116" s="39">
        <f t="shared" si="6"/>
        <v>0</v>
      </c>
      <c r="K116" s="34">
        <f>92*C116+93*C116+96*C116+98*C116+98*C116+99*C116+99*C116</f>
        <v>675</v>
      </c>
      <c r="L116" s="40">
        <f t="shared" si="7"/>
        <v>-45882</v>
      </c>
      <c r="M116" s="34">
        <f t="shared" si="8"/>
        <v>11705</v>
      </c>
      <c r="N116" s="34">
        <f t="shared" si="9"/>
        <v>0</v>
      </c>
      <c r="O116" s="36">
        <f t="shared" si="10"/>
        <v>655</v>
      </c>
      <c r="P116" s="41">
        <f t="shared" si="11"/>
        <v>0</v>
      </c>
      <c r="Q116" s="70">
        <f t="shared" si="12"/>
        <v>0</v>
      </c>
      <c r="S116" s="38" t="s">
        <v>582</v>
      </c>
      <c r="T116" s="34">
        <v>1</v>
      </c>
      <c r="U116" s="34">
        <v>11705</v>
      </c>
      <c r="V116" s="37">
        <v>45883</v>
      </c>
      <c r="W116" s="34"/>
      <c r="X116" s="35"/>
      <c r="Y116" s="34">
        <f t="shared" si="13"/>
        <v>20</v>
      </c>
      <c r="Z116" s="34">
        <f t="shared" si="14"/>
        <v>0</v>
      </c>
      <c r="AA116" s="39">
        <f t="shared" si="15"/>
        <v>0</v>
      </c>
      <c r="AB116" s="34">
        <f>92*T116+93*T116+96*T116+98*T116+98*T116+99*T116+99*T116</f>
        <v>675</v>
      </c>
      <c r="AC116" s="40">
        <f t="shared" si="16"/>
        <v>-45882</v>
      </c>
      <c r="AD116" s="34">
        <f t="shared" si="17"/>
        <v>11705</v>
      </c>
      <c r="AE116" s="34">
        <f t="shared" si="18"/>
        <v>0</v>
      </c>
      <c r="AF116" s="36">
        <f t="shared" si="19"/>
        <v>655</v>
      </c>
      <c r="AG116" s="41">
        <f t="shared" si="20"/>
        <v>0</v>
      </c>
      <c r="AH116" s="70">
        <f t="shared" si="21"/>
        <v>0</v>
      </c>
    </row>
    <row r="117" spans="2:34" x14ac:dyDescent="0.4">
      <c r="B117" s="38" t="s">
        <v>582</v>
      </c>
      <c r="C117" s="34">
        <v>1</v>
      </c>
      <c r="D117" s="34">
        <v>11805</v>
      </c>
      <c r="E117" s="37">
        <v>45890</v>
      </c>
      <c r="F117" s="34"/>
      <c r="G117" s="35"/>
      <c r="H117" s="34">
        <f t="shared" si="4"/>
        <v>20</v>
      </c>
      <c r="I117" s="34">
        <f t="shared" si="5"/>
        <v>0</v>
      </c>
      <c r="J117" s="39">
        <f t="shared" ref="J117:J148" si="22">N117*0.002</f>
        <v>0</v>
      </c>
      <c r="K117" s="34">
        <f>92*C117+93*C117+96*C117+98*C117+98*C117+99*C117+99*C117</f>
        <v>675</v>
      </c>
      <c r="L117" s="40">
        <f t="shared" si="7"/>
        <v>-45889</v>
      </c>
      <c r="M117" s="34">
        <f t="shared" si="8"/>
        <v>11805</v>
      </c>
      <c r="N117" s="34">
        <f t="shared" si="9"/>
        <v>0</v>
      </c>
      <c r="O117" s="36">
        <f t="shared" si="10"/>
        <v>655</v>
      </c>
      <c r="P117" s="41">
        <f t="shared" si="11"/>
        <v>0</v>
      </c>
      <c r="Q117" s="70">
        <f t="shared" si="12"/>
        <v>0</v>
      </c>
      <c r="S117" s="38" t="s">
        <v>582</v>
      </c>
      <c r="T117" s="34">
        <v>1</v>
      </c>
      <c r="U117" s="34">
        <v>11805</v>
      </c>
      <c r="V117" s="37">
        <v>45890</v>
      </c>
      <c r="W117" s="34"/>
      <c r="X117" s="35"/>
      <c r="Y117" s="34">
        <f t="shared" si="13"/>
        <v>20</v>
      </c>
      <c r="Z117" s="34">
        <f t="shared" si="14"/>
        <v>0</v>
      </c>
      <c r="AA117" s="39">
        <f t="shared" ref="AA117:AA148" si="23">AE117*0.002</f>
        <v>0</v>
      </c>
      <c r="AB117" s="34">
        <f>92*T117+93*T117+96*T117+98*T117+98*T117+99*T117+99*T117</f>
        <v>675</v>
      </c>
      <c r="AC117" s="40">
        <f t="shared" si="16"/>
        <v>-45889</v>
      </c>
      <c r="AD117" s="34">
        <f t="shared" si="17"/>
        <v>11805</v>
      </c>
      <c r="AE117" s="34">
        <f t="shared" si="18"/>
        <v>0</v>
      </c>
      <c r="AF117" s="36">
        <f t="shared" si="19"/>
        <v>655</v>
      </c>
      <c r="AG117" s="41">
        <f t="shared" si="20"/>
        <v>0</v>
      </c>
      <c r="AH117" s="70">
        <f t="shared" si="21"/>
        <v>0</v>
      </c>
    </row>
    <row r="118" spans="2:34" x14ac:dyDescent="0.4">
      <c r="B118" s="38" t="s">
        <v>582</v>
      </c>
      <c r="C118" s="34">
        <v>1</v>
      </c>
      <c r="D118" s="34">
        <v>12090</v>
      </c>
      <c r="E118" s="37">
        <v>45897</v>
      </c>
      <c r="F118" s="34"/>
      <c r="G118" s="35"/>
      <c r="H118" s="34">
        <f t="shared" si="4"/>
        <v>20</v>
      </c>
      <c r="I118" s="34">
        <f t="shared" si="5"/>
        <v>0</v>
      </c>
      <c r="J118" s="39">
        <f t="shared" si="22"/>
        <v>0</v>
      </c>
      <c r="K118" s="34">
        <f>92*C118+93*C118+96*C118+98*C118+98*C118+99*C118+99*C118</f>
        <v>675</v>
      </c>
      <c r="L118" s="40">
        <f t="shared" si="7"/>
        <v>-45896</v>
      </c>
      <c r="M118" s="34">
        <f t="shared" si="8"/>
        <v>12090</v>
      </c>
      <c r="N118" s="34">
        <f t="shared" si="9"/>
        <v>0</v>
      </c>
      <c r="O118" s="36">
        <f t="shared" si="10"/>
        <v>655</v>
      </c>
      <c r="P118" s="41">
        <f t="shared" si="11"/>
        <v>0</v>
      </c>
      <c r="Q118" s="70">
        <f t="shared" si="12"/>
        <v>0</v>
      </c>
      <c r="S118" s="38" t="s">
        <v>582</v>
      </c>
      <c r="T118" s="34">
        <v>1</v>
      </c>
      <c r="U118" s="34">
        <v>12090</v>
      </c>
      <c r="V118" s="37">
        <v>45897</v>
      </c>
      <c r="W118" s="34"/>
      <c r="X118" s="35"/>
      <c r="Y118" s="34">
        <f t="shared" si="13"/>
        <v>20</v>
      </c>
      <c r="Z118" s="34">
        <f t="shared" si="14"/>
        <v>0</v>
      </c>
      <c r="AA118" s="39">
        <f t="shared" si="23"/>
        <v>0</v>
      </c>
      <c r="AB118" s="34">
        <f>92*T118+93*T118+96*T118+98*T118+98*T118+99*T118+99*T118</f>
        <v>675</v>
      </c>
      <c r="AC118" s="40">
        <f t="shared" si="16"/>
        <v>-45896</v>
      </c>
      <c r="AD118" s="34">
        <f t="shared" si="17"/>
        <v>12090</v>
      </c>
      <c r="AE118" s="34">
        <f t="shared" si="18"/>
        <v>0</v>
      </c>
      <c r="AF118" s="36">
        <f t="shared" si="19"/>
        <v>655</v>
      </c>
      <c r="AG118" s="41">
        <f t="shared" si="20"/>
        <v>0</v>
      </c>
      <c r="AH118" s="70">
        <f t="shared" si="21"/>
        <v>0</v>
      </c>
    </row>
    <row r="119" spans="2:34" x14ac:dyDescent="0.4">
      <c r="B119" s="38" t="s">
        <v>582</v>
      </c>
      <c r="C119" s="34">
        <v>1</v>
      </c>
      <c r="D119" s="34">
        <v>11870</v>
      </c>
      <c r="E119" s="37">
        <v>45904</v>
      </c>
      <c r="F119" s="34"/>
      <c r="G119" s="35"/>
      <c r="H119" s="34">
        <f t="shared" si="4"/>
        <v>20</v>
      </c>
      <c r="I119" s="34">
        <f t="shared" si="5"/>
        <v>0</v>
      </c>
      <c r="J119" s="39">
        <f t="shared" si="22"/>
        <v>0</v>
      </c>
      <c r="K119" s="34">
        <f>92*C119+93*C119+96*C119+98*C119+98*C119+99*C119+99*C119</f>
        <v>675</v>
      </c>
      <c r="L119" s="40">
        <f t="shared" si="7"/>
        <v>-45903</v>
      </c>
      <c r="M119" s="34">
        <f t="shared" si="8"/>
        <v>11870</v>
      </c>
      <c r="N119" s="34">
        <f t="shared" si="9"/>
        <v>0</v>
      </c>
      <c r="O119" s="36">
        <f t="shared" si="10"/>
        <v>655</v>
      </c>
      <c r="P119" s="41">
        <f t="shared" si="11"/>
        <v>0</v>
      </c>
      <c r="Q119" s="70">
        <f t="shared" si="12"/>
        <v>0</v>
      </c>
      <c r="S119" s="38" t="s">
        <v>582</v>
      </c>
      <c r="T119" s="34">
        <v>1</v>
      </c>
      <c r="U119" s="34">
        <v>11870</v>
      </c>
      <c r="V119" s="37">
        <v>45904</v>
      </c>
      <c r="W119" s="34"/>
      <c r="X119" s="35"/>
      <c r="Y119" s="34">
        <f t="shared" si="13"/>
        <v>20</v>
      </c>
      <c r="Z119" s="34">
        <f t="shared" si="14"/>
        <v>0</v>
      </c>
      <c r="AA119" s="39">
        <f t="shared" si="23"/>
        <v>0</v>
      </c>
      <c r="AB119" s="34">
        <f>92*T119+93*T119+96*T119+98*T119+98*T119+99*T119+99*T119</f>
        <v>675</v>
      </c>
      <c r="AC119" s="40">
        <f t="shared" si="16"/>
        <v>-45903</v>
      </c>
      <c r="AD119" s="34">
        <f t="shared" si="17"/>
        <v>11870</v>
      </c>
      <c r="AE119" s="34">
        <f t="shared" si="18"/>
        <v>0</v>
      </c>
      <c r="AF119" s="36">
        <f t="shared" si="19"/>
        <v>655</v>
      </c>
      <c r="AG119" s="41">
        <f t="shared" si="20"/>
        <v>0</v>
      </c>
      <c r="AH119" s="70">
        <f t="shared" si="21"/>
        <v>0</v>
      </c>
    </row>
    <row r="120" spans="2:34" x14ac:dyDescent="0.4">
      <c r="B120" s="38" t="s">
        <v>582</v>
      </c>
      <c r="C120" s="34">
        <v>1</v>
      </c>
      <c r="D120" s="34">
        <v>11880</v>
      </c>
      <c r="E120" s="37">
        <v>45911</v>
      </c>
      <c r="F120" s="34"/>
      <c r="G120" s="35"/>
      <c r="H120" s="34">
        <f t="shared" si="4"/>
        <v>20</v>
      </c>
      <c r="I120" s="34">
        <f t="shared" si="5"/>
        <v>0</v>
      </c>
      <c r="J120" s="39">
        <f t="shared" si="22"/>
        <v>0</v>
      </c>
      <c r="K120" s="34">
        <f>92*C120+93*C120+96*C120+98*C120+98*C120+99*C120+99*C120</f>
        <v>675</v>
      </c>
      <c r="L120" s="40">
        <f t="shared" si="7"/>
        <v>-45910</v>
      </c>
      <c r="M120" s="34">
        <f t="shared" si="8"/>
        <v>11880</v>
      </c>
      <c r="N120" s="34">
        <f t="shared" si="9"/>
        <v>0</v>
      </c>
      <c r="O120" s="36">
        <f t="shared" si="10"/>
        <v>655</v>
      </c>
      <c r="P120" s="41">
        <f t="shared" si="11"/>
        <v>0</v>
      </c>
      <c r="Q120" s="70">
        <f t="shared" si="12"/>
        <v>0</v>
      </c>
      <c r="S120" s="38" t="s">
        <v>582</v>
      </c>
      <c r="T120" s="34">
        <v>1</v>
      </c>
      <c r="U120" s="34">
        <v>11880</v>
      </c>
      <c r="V120" s="37">
        <v>45911</v>
      </c>
      <c r="W120" s="34"/>
      <c r="X120" s="35"/>
      <c r="Y120" s="34">
        <f t="shared" si="13"/>
        <v>20</v>
      </c>
      <c r="Z120" s="34">
        <f t="shared" si="14"/>
        <v>0</v>
      </c>
      <c r="AA120" s="39">
        <f t="shared" si="23"/>
        <v>0</v>
      </c>
      <c r="AB120" s="34">
        <f>92*T120+93*T120+96*T120+98*T120+98*T120+99*T120+99*T120</f>
        <v>675</v>
      </c>
      <c r="AC120" s="40">
        <f t="shared" si="16"/>
        <v>-45910</v>
      </c>
      <c r="AD120" s="34">
        <f t="shared" si="17"/>
        <v>11880</v>
      </c>
      <c r="AE120" s="34">
        <f t="shared" si="18"/>
        <v>0</v>
      </c>
      <c r="AF120" s="36">
        <f t="shared" si="19"/>
        <v>655</v>
      </c>
      <c r="AG120" s="41">
        <f t="shared" si="20"/>
        <v>0</v>
      </c>
      <c r="AH120" s="70">
        <f t="shared" si="21"/>
        <v>0</v>
      </c>
    </row>
    <row r="121" spans="2:34" x14ac:dyDescent="0.4">
      <c r="B121" s="38" t="s">
        <v>582</v>
      </c>
      <c r="C121" s="34">
        <v>1</v>
      </c>
      <c r="D121" s="34">
        <v>11845</v>
      </c>
      <c r="E121" s="37">
        <v>45918</v>
      </c>
      <c r="F121" s="34"/>
      <c r="G121" s="35"/>
      <c r="H121" s="34">
        <f t="shared" si="4"/>
        <v>20</v>
      </c>
      <c r="I121" s="34">
        <f t="shared" si="5"/>
        <v>0</v>
      </c>
      <c r="J121" s="39">
        <f t="shared" si="22"/>
        <v>0</v>
      </c>
      <c r="K121" s="34">
        <f>93*C121+96*C121+98*C121+98*C121+99*C121+99*C121</f>
        <v>583</v>
      </c>
      <c r="L121" s="40">
        <f t="shared" si="7"/>
        <v>-45917</v>
      </c>
      <c r="M121" s="34">
        <f t="shared" si="8"/>
        <v>11845</v>
      </c>
      <c r="N121" s="34">
        <f t="shared" si="9"/>
        <v>0</v>
      </c>
      <c r="O121" s="36">
        <f t="shared" si="10"/>
        <v>563</v>
      </c>
      <c r="P121" s="41">
        <f t="shared" si="11"/>
        <v>0</v>
      </c>
      <c r="Q121" s="70">
        <f t="shared" si="12"/>
        <v>0</v>
      </c>
      <c r="S121" s="38" t="s">
        <v>582</v>
      </c>
      <c r="T121" s="34">
        <v>1</v>
      </c>
      <c r="U121" s="34">
        <v>11845</v>
      </c>
      <c r="V121" s="37">
        <v>45918</v>
      </c>
      <c r="W121" s="34"/>
      <c r="X121" s="35"/>
      <c r="Y121" s="34">
        <f t="shared" si="13"/>
        <v>20</v>
      </c>
      <c r="Z121" s="34">
        <f t="shared" si="14"/>
        <v>0</v>
      </c>
      <c r="AA121" s="39">
        <f t="shared" si="23"/>
        <v>0</v>
      </c>
      <c r="AB121" s="34">
        <f>93*T121+96*T121+98*T121+98*T121+99*T121+99*T121</f>
        <v>583</v>
      </c>
      <c r="AC121" s="40">
        <f t="shared" si="16"/>
        <v>-45917</v>
      </c>
      <c r="AD121" s="34">
        <f t="shared" si="17"/>
        <v>11845</v>
      </c>
      <c r="AE121" s="34">
        <f t="shared" si="18"/>
        <v>0</v>
      </c>
      <c r="AF121" s="36">
        <f t="shared" si="19"/>
        <v>563</v>
      </c>
      <c r="AG121" s="41">
        <f t="shared" si="20"/>
        <v>0</v>
      </c>
      <c r="AH121" s="70">
        <f t="shared" si="21"/>
        <v>0</v>
      </c>
    </row>
    <row r="122" spans="2:34" x14ac:dyDescent="0.4">
      <c r="B122" s="38" t="s">
        <v>582</v>
      </c>
      <c r="C122" s="34">
        <v>1</v>
      </c>
      <c r="D122" s="34">
        <v>12175</v>
      </c>
      <c r="E122" s="37">
        <v>45925</v>
      </c>
      <c r="F122" s="34"/>
      <c r="G122" s="35"/>
      <c r="H122" s="34">
        <f t="shared" si="4"/>
        <v>20</v>
      </c>
      <c r="I122" s="34">
        <f t="shared" si="5"/>
        <v>0</v>
      </c>
      <c r="J122" s="39">
        <f t="shared" si="22"/>
        <v>0</v>
      </c>
      <c r="K122" s="34">
        <f>93*C122+96*C122+98*C122+98*C122+99*C122+99*C122</f>
        <v>583</v>
      </c>
      <c r="L122" s="40">
        <f t="shared" si="7"/>
        <v>-45924</v>
      </c>
      <c r="M122" s="34">
        <f t="shared" si="8"/>
        <v>12175</v>
      </c>
      <c r="N122" s="34">
        <f t="shared" si="9"/>
        <v>0</v>
      </c>
      <c r="O122" s="36">
        <f t="shared" si="10"/>
        <v>563</v>
      </c>
      <c r="P122" s="41">
        <f t="shared" si="11"/>
        <v>0</v>
      </c>
      <c r="Q122" s="70">
        <f t="shared" si="12"/>
        <v>0</v>
      </c>
      <c r="S122" s="38" t="s">
        <v>582</v>
      </c>
      <c r="T122" s="34">
        <v>1</v>
      </c>
      <c r="U122" s="34">
        <v>12175</v>
      </c>
      <c r="V122" s="37">
        <v>45925</v>
      </c>
      <c r="W122" s="34"/>
      <c r="X122" s="35"/>
      <c r="Y122" s="34">
        <f t="shared" si="13"/>
        <v>20</v>
      </c>
      <c r="Z122" s="34">
        <f t="shared" si="14"/>
        <v>0</v>
      </c>
      <c r="AA122" s="39">
        <f t="shared" si="23"/>
        <v>0</v>
      </c>
      <c r="AB122" s="34">
        <f>93*T122+96*T122+98*T122+98*T122+99*T122+99*T122</f>
        <v>583</v>
      </c>
      <c r="AC122" s="40">
        <f t="shared" si="16"/>
        <v>-45924</v>
      </c>
      <c r="AD122" s="34">
        <f t="shared" si="17"/>
        <v>12175</v>
      </c>
      <c r="AE122" s="34">
        <f t="shared" si="18"/>
        <v>0</v>
      </c>
      <c r="AF122" s="36">
        <f t="shared" si="19"/>
        <v>563</v>
      </c>
      <c r="AG122" s="41">
        <f t="shared" si="20"/>
        <v>0</v>
      </c>
      <c r="AH122" s="70">
        <f t="shared" si="21"/>
        <v>0</v>
      </c>
    </row>
    <row r="123" spans="2:34" x14ac:dyDescent="0.4">
      <c r="B123" s="38" t="s">
        <v>582</v>
      </c>
      <c r="C123" s="34">
        <v>1</v>
      </c>
      <c r="D123" s="34">
        <v>12220</v>
      </c>
      <c r="E123" s="37">
        <v>45932</v>
      </c>
      <c r="F123" s="34"/>
      <c r="G123" s="35"/>
      <c r="H123" s="34">
        <f t="shared" si="4"/>
        <v>20</v>
      </c>
      <c r="I123" s="34">
        <f t="shared" si="5"/>
        <v>0</v>
      </c>
      <c r="J123" s="39">
        <f t="shared" si="22"/>
        <v>0</v>
      </c>
      <c r="K123" s="34">
        <f>93*C123+96*C123+98*C123+98*C123+99*C123+99*C123</f>
        <v>583</v>
      </c>
      <c r="L123" s="40">
        <f t="shared" si="7"/>
        <v>-45931</v>
      </c>
      <c r="M123" s="34">
        <f t="shared" si="8"/>
        <v>12220</v>
      </c>
      <c r="N123" s="34">
        <f t="shared" si="9"/>
        <v>0</v>
      </c>
      <c r="O123" s="36">
        <f t="shared" si="10"/>
        <v>563</v>
      </c>
      <c r="P123" s="41">
        <f t="shared" si="11"/>
        <v>0</v>
      </c>
      <c r="Q123" s="70">
        <f t="shared" si="12"/>
        <v>0</v>
      </c>
      <c r="S123" s="38" t="s">
        <v>582</v>
      </c>
      <c r="T123" s="34">
        <v>1</v>
      </c>
      <c r="U123" s="34">
        <v>12220</v>
      </c>
      <c r="V123" s="37">
        <v>45932</v>
      </c>
      <c r="W123" s="34"/>
      <c r="X123" s="35"/>
      <c r="Y123" s="34">
        <f t="shared" si="13"/>
        <v>20</v>
      </c>
      <c r="Z123" s="34">
        <f t="shared" si="14"/>
        <v>0</v>
      </c>
      <c r="AA123" s="39">
        <f t="shared" si="23"/>
        <v>0</v>
      </c>
      <c r="AB123" s="34">
        <f>93*T123+96*T123+98*T123+98*T123+99*T123+99*T123</f>
        <v>583</v>
      </c>
      <c r="AC123" s="40">
        <f t="shared" si="16"/>
        <v>-45931</v>
      </c>
      <c r="AD123" s="34">
        <f t="shared" si="17"/>
        <v>12220</v>
      </c>
      <c r="AE123" s="34">
        <f t="shared" si="18"/>
        <v>0</v>
      </c>
      <c r="AF123" s="36">
        <f t="shared" si="19"/>
        <v>563</v>
      </c>
      <c r="AG123" s="41">
        <f t="shared" si="20"/>
        <v>0</v>
      </c>
      <c r="AH123" s="70">
        <f t="shared" si="21"/>
        <v>0</v>
      </c>
    </row>
    <row r="124" spans="2:34" x14ac:dyDescent="0.4">
      <c r="B124" s="38" t="s">
        <v>582</v>
      </c>
      <c r="C124" s="34">
        <v>1</v>
      </c>
      <c r="D124" s="34">
        <v>12280</v>
      </c>
      <c r="E124" s="37">
        <v>45940</v>
      </c>
      <c r="F124" s="34"/>
      <c r="G124" s="35"/>
      <c r="H124" s="34">
        <f t="shared" si="4"/>
        <v>20</v>
      </c>
      <c r="I124" s="34">
        <f t="shared" si="5"/>
        <v>0</v>
      </c>
      <c r="J124" s="39">
        <f t="shared" si="22"/>
        <v>0</v>
      </c>
      <c r="K124" s="34">
        <f>93*C124+96*C124+98*C124+98*C124+99*C124+99*C124</f>
        <v>583</v>
      </c>
      <c r="L124" s="40">
        <f t="shared" si="7"/>
        <v>-45939</v>
      </c>
      <c r="M124" s="34">
        <f t="shared" si="8"/>
        <v>12280</v>
      </c>
      <c r="N124" s="34">
        <f t="shared" si="9"/>
        <v>0</v>
      </c>
      <c r="O124" s="36">
        <f t="shared" si="10"/>
        <v>563</v>
      </c>
      <c r="P124" s="41">
        <f t="shared" si="11"/>
        <v>0</v>
      </c>
      <c r="Q124" s="70">
        <f t="shared" si="12"/>
        <v>0</v>
      </c>
      <c r="S124" s="38" t="s">
        <v>582</v>
      </c>
      <c r="T124" s="34">
        <v>1</v>
      </c>
      <c r="U124" s="34">
        <v>12280</v>
      </c>
      <c r="V124" s="37">
        <v>45940</v>
      </c>
      <c r="W124" s="34"/>
      <c r="X124" s="35"/>
      <c r="Y124" s="34">
        <f t="shared" si="13"/>
        <v>20</v>
      </c>
      <c r="Z124" s="34">
        <f t="shared" si="14"/>
        <v>0</v>
      </c>
      <c r="AA124" s="39">
        <f t="shared" si="23"/>
        <v>0</v>
      </c>
      <c r="AB124" s="34">
        <f>93*T124+96*T124+98*T124+98*T124+99*T124+99*T124</f>
        <v>583</v>
      </c>
      <c r="AC124" s="40">
        <f t="shared" si="16"/>
        <v>-45939</v>
      </c>
      <c r="AD124" s="34">
        <f t="shared" si="17"/>
        <v>12280</v>
      </c>
      <c r="AE124" s="34">
        <f t="shared" si="18"/>
        <v>0</v>
      </c>
      <c r="AF124" s="36">
        <f t="shared" si="19"/>
        <v>563</v>
      </c>
      <c r="AG124" s="41">
        <f t="shared" si="20"/>
        <v>0</v>
      </c>
      <c r="AH124" s="70">
        <f t="shared" si="21"/>
        <v>0</v>
      </c>
    </row>
    <row r="125" spans="2:34" x14ac:dyDescent="0.4">
      <c r="B125" s="38" t="s">
        <v>582</v>
      </c>
      <c r="C125" s="34">
        <v>1</v>
      </c>
      <c r="D125" s="34">
        <v>12230</v>
      </c>
      <c r="E125" s="37">
        <v>45946</v>
      </c>
      <c r="F125" s="34"/>
      <c r="G125" s="35"/>
      <c r="H125" s="34">
        <f t="shared" si="4"/>
        <v>20</v>
      </c>
      <c r="I125" s="34">
        <f t="shared" si="5"/>
        <v>0</v>
      </c>
      <c r="J125" s="39">
        <f t="shared" si="22"/>
        <v>0</v>
      </c>
      <c r="K125" s="34">
        <f>96*C125+98*C125+98*C125+99*C125+99*C125</f>
        <v>490</v>
      </c>
      <c r="L125" s="40">
        <f t="shared" si="7"/>
        <v>-45945</v>
      </c>
      <c r="M125" s="34">
        <f t="shared" si="8"/>
        <v>12230</v>
      </c>
      <c r="N125" s="34">
        <f t="shared" si="9"/>
        <v>0</v>
      </c>
      <c r="O125" s="36">
        <f t="shared" si="10"/>
        <v>470</v>
      </c>
      <c r="P125" s="41">
        <f t="shared" si="11"/>
        <v>0</v>
      </c>
      <c r="Q125" s="70">
        <f t="shared" si="12"/>
        <v>0</v>
      </c>
      <c r="S125" s="38" t="s">
        <v>582</v>
      </c>
      <c r="T125" s="34">
        <v>1</v>
      </c>
      <c r="U125" s="34">
        <v>12230</v>
      </c>
      <c r="V125" s="37">
        <v>45946</v>
      </c>
      <c r="W125" s="34"/>
      <c r="X125" s="35"/>
      <c r="Y125" s="34">
        <f t="shared" si="13"/>
        <v>20</v>
      </c>
      <c r="Z125" s="34">
        <f t="shared" si="14"/>
        <v>0</v>
      </c>
      <c r="AA125" s="39">
        <f t="shared" si="23"/>
        <v>0</v>
      </c>
      <c r="AB125" s="34">
        <f>96*T125+98*T125+98*T125+99*T125+99*T125</f>
        <v>490</v>
      </c>
      <c r="AC125" s="40">
        <f t="shared" si="16"/>
        <v>-45945</v>
      </c>
      <c r="AD125" s="34">
        <f t="shared" si="17"/>
        <v>12230</v>
      </c>
      <c r="AE125" s="34">
        <f t="shared" si="18"/>
        <v>0</v>
      </c>
      <c r="AF125" s="36">
        <f t="shared" si="19"/>
        <v>470</v>
      </c>
      <c r="AG125" s="41">
        <f t="shared" si="20"/>
        <v>0</v>
      </c>
      <c r="AH125" s="70">
        <f t="shared" si="21"/>
        <v>0</v>
      </c>
    </row>
    <row r="126" spans="2:34" x14ac:dyDescent="0.4">
      <c r="B126" s="38" t="s">
        <v>582</v>
      </c>
      <c r="C126" s="34">
        <v>1</v>
      </c>
      <c r="D126" s="34">
        <v>12450</v>
      </c>
      <c r="E126" s="37">
        <v>45953</v>
      </c>
      <c r="F126" s="34"/>
      <c r="G126" s="35"/>
      <c r="H126" s="34">
        <f t="shared" si="4"/>
        <v>20</v>
      </c>
      <c r="I126" s="34">
        <f t="shared" si="5"/>
        <v>0</v>
      </c>
      <c r="J126" s="39">
        <f t="shared" si="22"/>
        <v>0</v>
      </c>
      <c r="K126" s="34">
        <f>96*C126+98*C126+98*C126+99*C126+99*C126</f>
        <v>490</v>
      </c>
      <c r="L126" s="40">
        <f t="shared" si="7"/>
        <v>-45952</v>
      </c>
      <c r="M126" s="34">
        <f t="shared" si="8"/>
        <v>12450</v>
      </c>
      <c r="N126" s="34">
        <f t="shared" si="9"/>
        <v>0</v>
      </c>
      <c r="O126" s="36">
        <f t="shared" si="10"/>
        <v>470</v>
      </c>
      <c r="P126" s="41">
        <f t="shared" si="11"/>
        <v>0</v>
      </c>
      <c r="Q126" s="70">
        <f t="shared" si="12"/>
        <v>0</v>
      </c>
      <c r="S126" s="38" t="s">
        <v>582</v>
      </c>
      <c r="T126" s="34">
        <v>1</v>
      </c>
      <c r="U126" s="34">
        <v>12450</v>
      </c>
      <c r="V126" s="37">
        <v>45953</v>
      </c>
      <c r="W126" s="34"/>
      <c r="X126" s="35"/>
      <c r="Y126" s="34">
        <f t="shared" si="13"/>
        <v>20</v>
      </c>
      <c r="Z126" s="34">
        <f t="shared" si="14"/>
        <v>0</v>
      </c>
      <c r="AA126" s="39">
        <f t="shared" si="23"/>
        <v>0</v>
      </c>
      <c r="AB126" s="34">
        <f>96*T126+98*T126+98*T126+99*T126+99*T126</f>
        <v>490</v>
      </c>
      <c r="AC126" s="40">
        <f t="shared" si="16"/>
        <v>-45952</v>
      </c>
      <c r="AD126" s="34">
        <f t="shared" si="17"/>
        <v>12450</v>
      </c>
      <c r="AE126" s="34">
        <f t="shared" si="18"/>
        <v>0</v>
      </c>
      <c r="AF126" s="36">
        <f t="shared" si="19"/>
        <v>470</v>
      </c>
      <c r="AG126" s="41">
        <f t="shared" si="20"/>
        <v>0</v>
      </c>
      <c r="AH126" s="70">
        <f t="shared" si="21"/>
        <v>0</v>
      </c>
    </row>
    <row r="127" spans="2:34" x14ac:dyDescent="0.4">
      <c r="B127" s="38" t="s">
        <v>582</v>
      </c>
      <c r="C127" s="34">
        <v>1</v>
      </c>
      <c r="D127" s="34">
        <v>12625</v>
      </c>
      <c r="E127" s="37">
        <v>45960</v>
      </c>
      <c r="F127" s="34"/>
      <c r="G127" s="35"/>
      <c r="H127" s="34">
        <f t="shared" si="4"/>
        <v>20</v>
      </c>
      <c r="I127" s="34">
        <f t="shared" si="5"/>
        <v>0</v>
      </c>
      <c r="J127" s="39">
        <f t="shared" si="22"/>
        <v>0</v>
      </c>
      <c r="K127" s="34">
        <f>96*C127+98*C127+98*C127+99*C127+99*C127</f>
        <v>490</v>
      </c>
      <c r="L127" s="40">
        <f t="shared" si="7"/>
        <v>-45959</v>
      </c>
      <c r="M127" s="34">
        <f t="shared" si="8"/>
        <v>12625</v>
      </c>
      <c r="N127" s="34">
        <f t="shared" si="9"/>
        <v>0</v>
      </c>
      <c r="O127" s="36">
        <f t="shared" si="10"/>
        <v>470</v>
      </c>
      <c r="P127" s="41">
        <f t="shared" si="11"/>
        <v>0</v>
      </c>
      <c r="Q127" s="70">
        <f t="shared" si="12"/>
        <v>0</v>
      </c>
      <c r="S127" s="38" t="s">
        <v>582</v>
      </c>
      <c r="T127" s="34">
        <v>1</v>
      </c>
      <c r="U127" s="34">
        <v>12625</v>
      </c>
      <c r="V127" s="37">
        <v>45960</v>
      </c>
      <c r="W127" s="34"/>
      <c r="X127" s="35"/>
      <c r="Y127" s="34">
        <f t="shared" si="13"/>
        <v>20</v>
      </c>
      <c r="Z127" s="34">
        <f t="shared" si="14"/>
        <v>0</v>
      </c>
      <c r="AA127" s="39">
        <f t="shared" si="23"/>
        <v>0</v>
      </c>
      <c r="AB127" s="34">
        <f>96*T127+98*T127+98*T127+99*T127+99*T127</f>
        <v>490</v>
      </c>
      <c r="AC127" s="40">
        <f t="shared" si="16"/>
        <v>-45959</v>
      </c>
      <c r="AD127" s="34">
        <f t="shared" si="17"/>
        <v>12625</v>
      </c>
      <c r="AE127" s="34">
        <f t="shared" si="18"/>
        <v>0</v>
      </c>
      <c r="AF127" s="36">
        <f t="shared" si="19"/>
        <v>470</v>
      </c>
      <c r="AG127" s="41">
        <f t="shared" si="20"/>
        <v>0</v>
      </c>
      <c r="AH127" s="70">
        <f t="shared" si="21"/>
        <v>0</v>
      </c>
    </row>
    <row r="128" spans="2:34" x14ac:dyDescent="0.4">
      <c r="B128" s="38" t="s">
        <v>582</v>
      </c>
      <c r="C128" s="34">
        <v>1</v>
      </c>
      <c r="D128" s="34">
        <v>12590</v>
      </c>
      <c r="E128" s="37">
        <v>45967</v>
      </c>
      <c r="F128" s="34"/>
      <c r="G128" s="35"/>
      <c r="H128" s="34">
        <f t="shared" si="4"/>
        <v>20</v>
      </c>
      <c r="I128" s="34">
        <f t="shared" si="5"/>
        <v>0</v>
      </c>
      <c r="J128" s="39">
        <f t="shared" si="22"/>
        <v>0</v>
      </c>
      <c r="K128" s="34">
        <f>96*C128+98*C128+98*C128+99*C128+99*C128</f>
        <v>490</v>
      </c>
      <c r="L128" s="40">
        <f t="shared" si="7"/>
        <v>-45966</v>
      </c>
      <c r="M128" s="34">
        <f t="shared" si="8"/>
        <v>12590</v>
      </c>
      <c r="N128" s="34">
        <f t="shared" si="9"/>
        <v>0</v>
      </c>
      <c r="O128" s="36">
        <f t="shared" si="10"/>
        <v>470</v>
      </c>
      <c r="P128" s="41">
        <f t="shared" si="11"/>
        <v>0</v>
      </c>
      <c r="Q128" s="70">
        <f t="shared" si="12"/>
        <v>0</v>
      </c>
      <c r="S128" s="38" t="s">
        <v>582</v>
      </c>
      <c r="T128" s="34">
        <v>1</v>
      </c>
      <c r="U128" s="34">
        <v>12590</v>
      </c>
      <c r="V128" s="37">
        <v>45967</v>
      </c>
      <c r="W128" s="34"/>
      <c r="X128" s="35"/>
      <c r="Y128" s="34">
        <f t="shared" si="13"/>
        <v>20</v>
      </c>
      <c r="Z128" s="34">
        <f t="shared" si="14"/>
        <v>0</v>
      </c>
      <c r="AA128" s="39">
        <f t="shared" si="23"/>
        <v>0</v>
      </c>
      <c r="AB128" s="34">
        <f>96*T128+98*T128+98*T128+99*T128+99*T128</f>
        <v>490</v>
      </c>
      <c r="AC128" s="40">
        <f t="shared" si="16"/>
        <v>-45966</v>
      </c>
      <c r="AD128" s="34">
        <f t="shared" si="17"/>
        <v>12590</v>
      </c>
      <c r="AE128" s="34">
        <f t="shared" si="18"/>
        <v>0</v>
      </c>
      <c r="AF128" s="36">
        <f t="shared" si="19"/>
        <v>470</v>
      </c>
      <c r="AG128" s="41">
        <f t="shared" si="20"/>
        <v>0</v>
      </c>
      <c r="AH128" s="70">
        <f t="shared" si="21"/>
        <v>0</v>
      </c>
    </row>
    <row r="129" spans="2:34" x14ac:dyDescent="0.4">
      <c r="B129" s="38" t="s">
        <v>582</v>
      </c>
      <c r="C129" s="34">
        <v>1</v>
      </c>
      <c r="D129" s="34">
        <v>12915</v>
      </c>
      <c r="E129" s="37">
        <v>45974</v>
      </c>
      <c r="F129" s="34"/>
      <c r="G129" s="35"/>
      <c r="H129" s="34">
        <f t="shared" si="4"/>
        <v>20</v>
      </c>
      <c r="I129" s="34">
        <f t="shared" si="5"/>
        <v>0</v>
      </c>
      <c r="J129" s="39">
        <f t="shared" si="22"/>
        <v>0</v>
      </c>
      <c r="K129" s="34">
        <f>98*C129+98*C129+99*C129+99*C129</f>
        <v>394</v>
      </c>
      <c r="L129" s="40">
        <f t="shared" si="7"/>
        <v>-45973</v>
      </c>
      <c r="M129" s="34">
        <f t="shared" si="8"/>
        <v>12915</v>
      </c>
      <c r="N129" s="34">
        <f t="shared" si="9"/>
        <v>0</v>
      </c>
      <c r="O129" s="36">
        <f t="shared" si="10"/>
        <v>374</v>
      </c>
      <c r="P129" s="41">
        <f t="shared" si="11"/>
        <v>0</v>
      </c>
      <c r="Q129" s="70">
        <f t="shared" si="12"/>
        <v>0</v>
      </c>
      <c r="S129" s="38" t="s">
        <v>582</v>
      </c>
      <c r="T129" s="34">
        <v>1</v>
      </c>
      <c r="U129" s="34">
        <v>12915</v>
      </c>
      <c r="V129" s="37">
        <v>45974</v>
      </c>
      <c r="W129" s="34"/>
      <c r="X129" s="35"/>
      <c r="Y129" s="34">
        <f t="shared" si="13"/>
        <v>20</v>
      </c>
      <c r="Z129" s="34">
        <f t="shared" si="14"/>
        <v>0</v>
      </c>
      <c r="AA129" s="39">
        <f t="shared" si="23"/>
        <v>0</v>
      </c>
      <c r="AB129" s="34">
        <f>98*T129+98*T129+99*T129+99*T129</f>
        <v>394</v>
      </c>
      <c r="AC129" s="40">
        <f t="shared" si="16"/>
        <v>-45973</v>
      </c>
      <c r="AD129" s="34">
        <f t="shared" si="17"/>
        <v>12915</v>
      </c>
      <c r="AE129" s="34">
        <f t="shared" si="18"/>
        <v>0</v>
      </c>
      <c r="AF129" s="36">
        <f t="shared" si="19"/>
        <v>374</v>
      </c>
      <c r="AG129" s="41">
        <f t="shared" si="20"/>
        <v>0</v>
      </c>
      <c r="AH129" s="70">
        <f t="shared" si="21"/>
        <v>0</v>
      </c>
    </row>
    <row r="130" spans="2:34" x14ac:dyDescent="0.4">
      <c r="B130" s="38" t="s">
        <v>582</v>
      </c>
      <c r="C130" s="34">
        <v>1</v>
      </c>
      <c r="D130" s="34">
        <v>12635</v>
      </c>
      <c r="E130" s="37">
        <v>45981</v>
      </c>
      <c r="F130" s="34"/>
      <c r="G130" s="35"/>
      <c r="H130" s="34">
        <f t="shared" si="4"/>
        <v>20</v>
      </c>
      <c r="I130" s="34">
        <f t="shared" si="5"/>
        <v>0</v>
      </c>
      <c r="J130" s="39">
        <f t="shared" si="22"/>
        <v>0</v>
      </c>
      <c r="K130" s="34">
        <f>98*C130+98*C130+99*C130+99*C130</f>
        <v>394</v>
      </c>
      <c r="L130" s="40">
        <f t="shared" si="7"/>
        <v>-45980</v>
      </c>
      <c r="M130" s="34">
        <f t="shared" si="8"/>
        <v>12635</v>
      </c>
      <c r="N130" s="34">
        <f t="shared" si="9"/>
        <v>0</v>
      </c>
      <c r="O130" s="36">
        <f t="shared" si="10"/>
        <v>374</v>
      </c>
      <c r="P130" s="41">
        <f t="shared" si="11"/>
        <v>0</v>
      </c>
      <c r="Q130" s="70">
        <f t="shared" si="12"/>
        <v>0</v>
      </c>
      <c r="S130" s="38" t="s">
        <v>582</v>
      </c>
      <c r="T130" s="34">
        <v>1</v>
      </c>
      <c r="U130" s="34">
        <v>12635</v>
      </c>
      <c r="V130" s="37">
        <v>45981</v>
      </c>
      <c r="W130" s="34"/>
      <c r="X130" s="35"/>
      <c r="Y130" s="34">
        <f t="shared" si="13"/>
        <v>20</v>
      </c>
      <c r="Z130" s="34">
        <f t="shared" si="14"/>
        <v>0</v>
      </c>
      <c r="AA130" s="39">
        <f t="shared" si="23"/>
        <v>0</v>
      </c>
      <c r="AB130" s="34">
        <f>98*T130+98*T130+99*T130+99*T130</f>
        <v>394</v>
      </c>
      <c r="AC130" s="40">
        <f t="shared" si="16"/>
        <v>-45980</v>
      </c>
      <c r="AD130" s="34">
        <f t="shared" si="17"/>
        <v>12635</v>
      </c>
      <c r="AE130" s="34">
        <f t="shared" si="18"/>
        <v>0</v>
      </c>
      <c r="AF130" s="36">
        <f t="shared" si="19"/>
        <v>374</v>
      </c>
      <c r="AG130" s="41">
        <f t="shared" si="20"/>
        <v>0</v>
      </c>
      <c r="AH130" s="70">
        <f t="shared" si="21"/>
        <v>0</v>
      </c>
    </row>
    <row r="131" spans="2:34" x14ac:dyDescent="0.4">
      <c r="B131" s="38" t="s">
        <v>582</v>
      </c>
      <c r="C131" s="34">
        <v>1</v>
      </c>
      <c r="D131" s="34">
        <v>12855</v>
      </c>
      <c r="E131" s="37">
        <v>45988</v>
      </c>
      <c r="F131" s="34"/>
      <c r="G131" s="35"/>
      <c r="H131" s="34">
        <f t="shared" si="4"/>
        <v>20</v>
      </c>
      <c r="I131" s="34">
        <f t="shared" si="5"/>
        <v>0</v>
      </c>
      <c r="J131" s="39">
        <f t="shared" si="22"/>
        <v>0</v>
      </c>
      <c r="K131" s="34">
        <f>98*C131+98*C131+99*C131+99*C131</f>
        <v>394</v>
      </c>
      <c r="L131" s="40">
        <f t="shared" si="7"/>
        <v>-45987</v>
      </c>
      <c r="M131" s="34">
        <f t="shared" si="8"/>
        <v>12855</v>
      </c>
      <c r="N131" s="34">
        <f t="shared" si="9"/>
        <v>0</v>
      </c>
      <c r="O131" s="36">
        <f t="shared" si="10"/>
        <v>374</v>
      </c>
      <c r="P131" s="41">
        <f t="shared" si="11"/>
        <v>0</v>
      </c>
      <c r="Q131" s="70">
        <f t="shared" si="12"/>
        <v>0</v>
      </c>
      <c r="S131" s="38" t="s">
        <v>582</v>
      </c>
      <c r="T131" s="34">
        <v>1</v>
      </c>
      <c r="U131" s="34">
        <v>12855</v>
      </c>
      <c r="V131" s="37">
        <v>45988</v>
      </c>
      <c r="W131" s="34"/>
      <c r="X131" s="35"/>
      <c r="Y131" s="34">
        <f t="shared" si="13"/>
        <v>20</v>
      </c>
      <c r="Z131" s="34">
        <f t="shared" si="14"/>
        <v>0</v>
      </c>
      <c r="AA131" s="39">
        <f t="shared" si="23"/>
        <v>0</v>
      </c>
      <c r="AB131" s="34">
        <f>98*T131+98*T131+99*T131+99*T131</f>
        <v>394</v>
      </c>
      <c r="AC131" s="40">
        <f t="shared" si="16"/>
        <v>-45987</v>
      </c>
      <c r="AD131" s="34">
        <f t="shared" si="17"/>
        <v>12855</v>
      </c>
      <c r="AE131" s="34">
        <f t="shared" si="18"/>
        <v>0</v>
      </c>
      <c r="AF131" s="36">
        <f t="shared" si="19"/>
        <v>374</v>
      </c>
      <c r="AG131" s="41">
        <f t="shared" si="20"/>
        <v>0</v>
      </c>
      <c r="AH131" s="70">
        <f t="shared" si="21"/>
        <v>0</v>
      </c>
    </row>
    <row r="132" spans="2:34" x14ac:dyDescent="0.4">
      <c r="B132" s="38" t="s">
        <v>582</v>
      </c>
      <c r="C132" s="34">
        <v>1</v>
      </c>
      <c r="D132" s="34">
        <v>12830</v>
      </c>
      <c r="E132" s="37">
        <v>45995</v>
      </c>
      <c r="F132" s="34"/>
      <c r="G132" s="35"/>
      <c r="H132" s="34">
        <f t="shared" si="4"/>
        <v>20</v>
      </c>
      <c r="I132" s="34">
        <f t="shared" si="5"/>
        <v>0</v>
      </c>
      <c r="J132" s="39">
        <f t="shared" si="22"/>
        <v>0</v>
      </c>
      <c r="K132" s="34">
        <f>98*C132+98*C132+99*C132+99*C132</f>
        <v>394</v>
      </c>
      <c r="L132" s="40">
        <f t="shared" si="7"/>
        <v>-45994</v>
      </c>
      <c r="M132" s="34">
        <f t="shared" si="8"/>
        <v>12830</v>
      </c>
      <c r="N132" s="34">
        <f t="shared" si="9"/>
        <v>0</v>
      </c>
      <c r="O132" s="36">
        <f t="shared" si="10"/>
        <v>374</v>
      </c>
      <c r="P132" s="41">
        <f t="shared" si="11"/>
        <v>0</v>
      </c>
      <c r="Q132" s="70">
        <f t="shared" si="12"/>
        <v>0</v>
      </c>
      <c r="S132" s="38" t="s">
        <v>582</v>
      </c>
      <c r="T132" s="34">
        <v>1</v>
      </c>
      <c r="U132" s="34">
        <v>12830</v>
      </c>
      <c r="V132" s="37">
        <v>45995</v>
      </c>
      <c r="W132" s="34"/>
      <c r="X132" s="35"/>
      <c r="Y132" s="34">
        <f t="shared" si="13"/>
        <v>20</v>
      </c>
      <c r="Z132" s="34">
        <f t="shared" si="14"/>
        <v>0</v>
      </c>
      <c r="AA132" s="39">
        <f t="shared" si="23"/>
        <v>0</v>
      </c>
      <c r="AB132" s="34">
        <f>98*T132+98*T132+99*T132+99*T132</f>
        <v>394</v>
      </c>
      <c r="AC132" s="40">
        <f t="shared" si="16"/>
        <v>-45994</v>
      </c>
      <c r="AD132" s="34">
        <f t="shared" si="17"/>
        <v>12830</v>
      </c>
      <c r="AE132" s="34">
        <f t="shared" si="18"/>
        <v>0</v>
      </c>
      <c r="AF132" s="36">
        <f t="shared" si="19"/>
        <v>374</v>
      </c>
      <c r="AG132" s="41">
        <f t="shared" si="20"/>
        <v>0</v>
      </c>
      <c r="AH132" s="70">
        <f t="shared" si="21"/>
        <v>0</v>
      </c>
    </row>
    <row r="133" spans="2:34" x14ac:dyDescent="0.4">
      <c r="B133" s="38" t="s">
        <v>582</v>
      </c>
      <c r="C133" s="34">
        <v>1</v>
      </c>
      <c r="D133" s="34">
        <v>12910</v>
      </c>
      <c r="E133" s="37">
        <v>46002</v>
      </c>
      <c r="F133" s="34"/>
      <c r="G133" s="35"/>
      <c r="H133" s="34">
        <f t="shared" si="4"/>
        <v>20</v>
      </c>
      <c r="I133" s="34">
        <f t="shared" si="5"/>
        <v>0</v>
      </c>
      <c r="J133" s="39">
        <f t="shared" si="22"/>
        <v>0</v>
      </c>
      <c r="K133" s="34">
        <f>98*C133+98*C133+99*C133+99*C133</f>
        <v>394</v>
      </c>
      <c r="L133" s="40">
        <f t="shared" si="7"/>
        <v>-46001</v>
      </c>
      <c r="M133" s="34">
        <f t="shared" si="8"/>
        <v>12910</v>
      </c>
      <c r="N133" s="34">
        <f t="shared" si="9"/>
        <v>0</v>
      </c>
      <c r="O133" s="36">
        <f t="shared" si="10"/>
        <v>374</v>
      </c>
      <c r="P133" s="41">
        <f t="shared" si="11"/>
        <v>0</v>
      </c>
      <c r="Q133" s="70">
        <f t="shared" si="12"/>
        <v>0</v>
      </c>
      <c r="S133" s="38" t="s">
        <v>582</v>
      </c>
      <c r="T133" s="34">
        <v>1</v>
      </c>
      <c r="U133" s="34">
        <v>12910</v>
      </c>
      <c r="V133" s="37">
        <v>46002</v>
      </c>
      <c r="W133" s="34"/>
      <c r="X133" s="35"/>
      <c r="Y133" s="34">
        <f t="shared" si="13"/>
        <v>20</v>
      </c>
      <c r="Z133" s="34">
        <f t="shared" si="14"/>
        <v>0</v>
      </c>
      <c r="AA133" s="39">
        <f t="shared" si="23"/>
        <v>0</v>
      </c>
      <c r="AB133" s="34">
        <f>98*T133+98*T133+99*T133+99*T133</f>
        <v>394</v>
      </c>
      <c r="AC133" s="40">
        <f t="shared" si="16"/>
        <v>-46001</v>
      </c>
      <c r="AD133" s="34">
        <f t="shared" si="17"/>
        <v>12910</v>
      </c>
      <c r="AE133" s="34">
        <f t="shared" si="18"/>
        <v>0</v>
      </c>
      <c r="AF133" s="36">
        <f t="shared" si="19"/>
        <v>374</v>
      </c>
      <c r="AG133" s="41">
        <f t="shared" si="20"/>
        <v>0</v>
      </c>
      <c r="AH133" s="70">
        <f t="shared" si="21"/>
        <v>0</v>
      </c>
    </row>
    <row r="134" spans="2:34" x14ac:dyDescent="0.4">
      <c r="B134" s="38" t="s">
        <v>582</v>
      </c>
      <c r="C134" s="34">
        <v>1</v>
      </c>
      <c r="D134" s="34">
        <v>12815</v>
      </c>
      <c r="E134" s="37">
        <v>46009</v>
      </c>
      <c r="F134" s="34"/>
      <c r="G134" s="35"/>
      <c r="H134" s="34">
        <f t="shared" si="4"/>
        <v>20</v>
      </c>
      <c r="I134" s="34">
        <f t="shared" si="5"/>
        <v>0</v>
      </c>
      <c r="J134" s="39">
        <f t="shared" si="22"/>
        <v>0</v>
      </c>
      <c r="K134" s="34">
        <f>98*C134+99*C134+99*C134</f>
        <v>296</v>
      </c>
      <c r="L134" s="40">
        <f t="shared" si="7"/>
        <v>-46008</v>
      </c>
      <c r="M134" s="34">
        <f t="shared" si="8"/>
        <v>12815</v>
      </c>
      <c r="N134" s="34">
        <f t="shared" si="9"/>
        <v>0</v>
      </c>
      <c r="O134" s="36">
        <f t="shared" si="10"/>
        <v>276</v>
      </c>
      <c r="P134" s="41">
        <f t="shared" si="11"/>
        <v>0</v>
      </c>
      <c r="Q134" s="70">
        <f t="shared" si="12"/>
        <v>0</v>
      </c>
      <c r="S134" s="38" t="s">
        <v>582</v>
      </c>
      <c r="T134" s="34">
        <v>1</v>
      </c>
      <c r="U134" s="34">
        <v>12815</v>
      </c>
      <c r="V134" s="37">
        <v>46009</v>
      </c>
      <c r="W134" s="34"/>
      <c r="X134" s="35"/>
      <c r="Y134" s="34">
        <f t="shared" si="13"/>
        <v>20</v>
      </c>
      <c r="Z134" s="34">
        <f t="shared" si="14"/>
        <v>0</v>
      </c>
      <c r="AA134" s="39">
        <f t="shared" si="23"/>
        <v>0</v>
      </c>
      <c r="AB134" s="34">
        <f>98*T134+99*T134+99*T134</f>
        <v>296</v>
      </c>
      <c r="AC134" s="40">
        <f t="shared" si="16"/>
        <v>-46008</v>
      </c>
      <c r="AD134" s="34">
        <f t="shared" si="17"/>
        <v>12815</v>
      </c>
      <c r="AE134" s="34">
        <f t="shared" si="18"/>
        <v>0</v>
      </c>
      <c r="AF134" s="36">
        <f t="shared" si="19"/>
        <v>276</v>
      </c>
      <c r="AG134" s="41">
        <f t="shared" si="20"/>
        <v>0</v>
      </c>
      <c r="AH134" s="70">
        <f t="shared" si="21"/>
        <v>0</v>
      </c>
    </row>
    <row r="135" spans="2:34" x14ac:dyDescent="0.4">
      <c r="B135" s="38" t="s">
        <v>582</v>
      </c>
      <c r="C135" s="34">
        <v>1</v>
      </c>
      <c r="D135" s="34">
        <v>12780</v>
      </c>
      <c r="E135" s="37">
        <v>46017</v>
      </c>
      <c r="F135" s="34"/>
      <c r="G135" s="35"/>
      <c r="H135" s="34">
        <f t="shared" si="4"/>
        <v>20</v>
      </c>
      <c r="I135" s="34">
        <f t="shared" si="5"/>
        <v>0</v>
      </c>
      <c r="J135" s="39">
        <f t="shared" si="22"/>
        <v>0</v>
      </c>
      <c r="K135" s="34">
        <f>98*C135+99*C135+99*C135</f>
        <v>296</v>
      </c>
      <c r="L135" s="40">
        <f t="shared" si="7"/>
        <v>-46016</v>
      </c>
      <c r="M135" s="34">
        <f t="shared" si="8"/>
        <v>12780</v>
      </c>
      <c r="N135" s="34">
        <f t="shared" si="9"/>
        <v>0</v>
      </c>
      <c r="O135" s="36">
        <f t="shared" si="10"/>
        <v>276</v>
      </c>
      <c r="P135" s="41">
        <f t="shared" si="11"/>
        <v>0</v>
      </c>
      <c r="Q135" s="70">
        <f t="shared" si="12"/>
        <v>0</v>
      </c>
      <c r="S135" s="38" t="s">
        <v>582</v>
      </c>
      <c r="T135" s="34">
        <v>1</v>
      </c>
      <c r="U135" s="34">
        <v>12780</v>
      </c>
      <c r="V135" s="37">
        <v>46017</v>
      </c>
      <c r="W135" s="34"/>
      <c r="X135" s="35"/>
      <c r="Y135" s="34">
        <f t="shared" si="13"/>
        <v>20</v>
      </c>
      <c r="Z135" s="34">
        <f t="shared" si="14"/>
        <v>0</v>
      </c>
      <c r="AA135" s="39">
        <f t="shared" si="23"/>
        <v>0</v>
      </c>
      <c r="AB135" s="34">
        <f>98*T135+99*T135+99*T135</f>
        <v>296</v>
      </c>
      <c r="AC135" s="40">
        <f t="shared" si="16"/>
        <v>-46016</v>
      </c>
      <c r="AD135" s="34">
        <f t="shared" si="17"/>
        <v>12780</v>
      </c>
      <c r="AE135" s="34">
        <f t="shared" si="18"/>
        <v>0</v>
      </c>
      <c r="AF135" s="36">
        <f t="shared" si="19"/>
        <v>276</v>
      </c>
      <c r="AG135" s="41">
        <f t="shared" si="20"/>
        <v>0</v>
      </c>
      <c r="AH135" s="70">
        <f t="shared" si="21"/>
        <v>0</v>
      </c>
    </row>
    <row r="136" spans="2:34" x14ac:dyDescent="0.4">
      <c r="B136" s="38" t="s">
        <v>582</v>
      </c>
      <c r="C136" s="34">
        <v>1</v>
      </c>
      <c r="D136" s="34">
        <v>12655</v>
      </c>
      <c r="E136" s="37">
        <v>46024</v>
      </c>
      <c r="F136" s="34"/>
      <c r="G136" s="35"/>
      <c r="H136" s="34">
        <f t="shared" si="4"/>
        <v>20</v>
      </c>
      <c r="I136" s="34">
        <f t="shared" si="5"/>
        <v>0</v>
      </c>
      <c r="J136" s="39">
        <f t="shared" si="22"/>
        <v>0</v>
      </c>
      <c r="K136" s="34">
        <f>98*C136+99*C136+99*C136</f>
        <v>296</v>
      </c>
      <c r="L136" s="40">
        <f t="shared" si="7"/>
        <v>-46023</v>
      </c>
      <c r="M136" s="34">
        <f t="shared" si="8"/>
        <v>12655</v>
      </c>
      <c r="N136" s="34">
        <f t="shared" si="9"/>
        <v>0</v>
      </c>
      <c r="O136" s="36">
        <f t="shared" si="10"/>
        <v>276</v>
      </c>
      <c r="P136" s="41">
        <f t="shared" si="11"/>
        <v>0</v>
      </c>
      <c r="Q136" s="70">
        <f t="shared" si="12"/>
        <v>0</v>
      </c>
      <c r="S136" s="38" t="s">
        <v>582</v>
      </c>
      <c r="T136" s="34">
        <v>1</v>
      </c>
      <c r="U136" s="34">
        <v>12655</v>
      </c>
      <c r="V136" s="37">
        <v>46024</v>
      </c>
      <c r="W136" s="34"/>
      <c r="X136" s="35"/>
      <c r="Y136" s="34">
        <f t="shared" si="13"/>
        <v>20</v>
      </c>
      <c r="Z136" s="34">
        <f t="shared" si="14"/>
        <v>0</v>
      </c>
      <c r="AA136" s="39">
        <f t="shared" si="23"/>
        <v>0</v>
      </c>
      <c r="AB136" s="34">
        <f>98*T136+99*T136+99*T136</f>
        <v>296</v>
      </c>
      <c r="AC136" s="40">
        <f t="shared" si="16"/>
        <v>-46023</v>
      </c>
      <c r="AD136" s="34">
        <f t="shared" si="17"/>
        <v>12655</v>
      </c>
      <c r="AE136" s="34">
        <f t="shared" si="18"/>
        <v>0</v>
      </c>
      <c r="AF136" s="36">
        <f t="shared" si="19"/>
        <v>276</v>
      </c>
      <c r="AG136" s="41">
        <f t="shared" si="20"/>
        <v>0</v>
      </c>
      <c r="AH136" s="70">
        <f t="shared" si="21"/>
        <v>0</v>
      </c>
    </row>
    <row r="137" spans="2:34" x14ac:dyDescent="0.4">
      <c r="B137" s="38" t="s">
        <v>582</v>
      </c>
      <c r="C137" s="34">
        <v>1</v>
      </c>
      <c r="D137" s="34">
        <v>12810</v>
      </c>
      <c r="E137" s="37">
        <v>46030</v>
      </c>
      <c r="F137" s="34"/>
      <c r="G137" s="35"/>
      <c r="H137" s="34">
        <f t="shared" si="4"/>
        <v>20</v>
      </c>
      <c r="I137" s="34">
        <f t="shared" si="5"/>
        <v>0</v>
      </c>
      <c r="J137" s="39">
        <f t="shared" si="22"/>
        <v>0</v>
      </c>
      <c r="K137" s="34">
        <f>98*C137+99*C137+99*C137</f>
        <v>296</v>
      </c>
      <c r="L137" s="40">
        <f t="shared" si="7"/>
        <v>-46029</v>
      </c>
      <c r="M137" s="34">
        <f t="shared" si="8"/>
        <v>12810</v>
      </c>
      <c r="N137" s="34">
        <f t="shared" si="9"/>
        <v>0</v>
      </c>
      <c r="O137" s="36">
        <f t="shared" si="10"/>
        <v>276</v>
      </c>
      <c r="P137" s="41">
        <f t="shared" si="11"/>
        <v>0</v>
      </c>
      <c r="Q137" s="70">
        <f t="shared" si="12"/>
        <v>0</v>
      </c>
      <c r="S137" s="38" t="s">
        <v>582</v>
      </c>
      <c r="T137" s="34">
        <v>1</v>
      </c>
      <c r="U137" s="34">
        <v>12810</v>
      </c>
      <c r="V137" s="37">
        <v>46030</v>
      </c>
      <c r="W137" s="34"/>
      <c r="X137" s="35"/>
      <c r="Y137" s="34">
        <f t="shared" si="13"/>
        <v>20</v>
      </c>
      <c r="Z137" s="34">
        <f t="shared" si="14"/>
        <v>0</v>
      </c>
      <c r="AA137" s="39">
        <f t="shared" si="23"/>
        <v>0</v>
      </c>
      <c r="AB137" s="34">
        <f>98*T137+99*T137+99*T137</f>
        <v>296</v>
      </c>
      <c r="AC137" s="40">
        <f t="shared" si="16"/>
        <v>-46029</v>
      </c>
      <c r="AD137" s="34">
        <f t="shared" si="17"/>
        <v>12810</v>
      </c>
      <c r="AE137" s="34">
        <f t="shared" si="18"/>
        <v>0</v>
      </c>
      <c r="AF137" s="36">
        <f t="shared" si="19"/>
        <v>276</v>
      </c>
      <c r="AG137" s="41">
        <f t="shared" si="20"/>
        <v>0</v>
      </c>
      <c r="AH137" s="70">
        <f t="shared" si="21"/>
        <v>0</v>
      </c>
    </row>
    <row r="138" spans="2:34" x14ac:dyDescent="0.4">
      <c r="B138" s="38" t="s">
        <v>582</v>
      </c>
      <c r="C138" s="34">
        <v>1</v>
      </c>
      <c r="D138" s="34">
        <v>12860</v>
      </c>
      <c r="E138" s="37">
        <v>46037</v>
      </c>
      <c r="F138" s="34"/>
      <c r="G138" s="35"/>
      <c r="H138" s="34">
        <f t="shared" si="4"/>
        <v>20</v>
      </c>
      <c r="I138" s="34">
        <f t="shared" si="5"/>
        <v>0</v>
      </c>
      <c r="J138" s="39">
        <f t="shared" si="22"/>
        <v>0</v>
      </c>
      <c r="K138" s="34">
        <f>99*C138+99*C138</f>
        <v>198</v>
      </c>
      <c r="L138" s="40">
        <f t="shared" si="7"/>
        <v>-46036</v>
      </c>
      <c r="M138" s="34">
        <f t="shared" si="8"/>
        <v>12860</v>
      </c>
      <c r="N138" s="34">
        <f t="shared" si="9"/>
        <v>0</v>
      </c>
      <c r="O138" s="36">
        <f t="shared" si="10"/>
        <v>178</v>
      </c>
      <c r="P138" s="41">
        <f t="shared" si="11"/>
        <v>0</v>
      </c>
      <c r="Q138" s="70">
        <f t="shared" si="12"/>
        <v>0</v>
      </c>
      <c r="S138" s="38" t="s">
        <v>582</v>
      </c>
      <c r="T138" s="34">
        <v>1</v>
      </c>
      <c r="U138" s="34">
        <v>12860</v>
      </c>
      <c r="V138" s="37">
        <v>46037</v>
      </c>
      <c r="W138" s="34"/>
      <c r="X138" s="35"/>
      <c r="Y138" s="34">
        <f t="shared" si="13"/>
        <v>20</v>
      </c>
      <c r="Z138" s="34">
        <f t="shared" si="14"/>
        <v>0</v>
      </c>
      <c r="AA138" s="39">
        <f t="shared" si="23"/>
        <v>0</v>
      </c>
      <c r="AB138" s="34">
        <f>99*T138+99*T138</f>
        <v>198</v>
      </c>
      <c r="AC138" s="40">
        <f t="shared" si="16"/>
        <v>-46036</v>
      </c>
      <c r="AD138" s="34">
        <f t="shared" si="17"/>
        <v>12860</v>
      </c>
      <c r="AE138" s="34">
        <f t="shared" si="18"/>
        <v>0</v>
      </c>
      <c r="AF138" s="36">
        <f t="shared" si="19"/>
        <v>178</v>
      </c>
      <c r="AG138" s="41">
        <f t="shared" si="20"/>
        <v>0</v>
      </c>
      <c r="AH138" s="70">
        <f t="shared" si="21"/>
        <v>0</v>
      </c>
    </row>
    <row r="139" spans="2:34" x14ac:dyDescent="0.4">
      <c r="B139" s="38" t="s">
        <v>582</v>
      </c>
      <c r="C139" s="34">
        <v>1</v>
      </c>
      <c r="D139" s="34">
        <v>12830</v>
      </c>
      <c r="E139" s="37">
        <v>46044</v>
      </c>
      <c r="F139" s="34"/>
      <c r="G139" s="35"/>
      <c r="H139" s="34">
        <f t="shared" si="4"/>
        <v>20</v>
      </c>
      <c r="I139" s="34">
        <f t="shared" si="5"/>
        <v>0</v>
      </c>
      <c r="J139" s="39">
        <f t="shared" si="22"/>
        <v>0</v>
      </c>
      <c r="K139" s="34">
        <f>99*C139+99*C139</f>
        <v>198</v>
      </c>
      <c r="L139" s="40">
        <f t="shared" si="7"/>
        <v>-46043</v>
      </c>
      <c r="M139" s="34">
        <f t="shared" si="8"/>
        <v>12830</v>
      </c>
      <c r="N139" s="34">
        <f t="shared" si="9"/>
        <v>0</v>
      </c>
      <c r="O139" s="36">
        <f t="shared" si="10"/>
        <v>178</v>
      </c>
      <c r="P139" s="41">
        <f t="shared" si="11"/>
        <v>0</v>
      </c>
      <c r="Q139" s="70">
        <f t="shared" si="12"/>
        <v>0</v>
      </c>
      <c r="S139" s="38" t="s">
        <v>582</v>
      </c>
      <c r="T139" s="34">
        <v>1</v>
      </c>
      <c r="U139" s="34">
        <v>12830</v>
      </c>
      <c r="V139" s="37">
        <v>46044</v>
      </c>
      <c r="W139" s="34"/>
      <c r="X139" s="35"/>
      <c r="Y139" s="34">
        <f t="shared" si="13"/>
        <v>20</v>
      </c>
      <c r="Z139" s="34">
        <f t="shared" si="14"/>
        <v>0</v>
      </c>
      <c r="AA139" s="39">
        <f t="shared" si="23"/>
        <v>0</v>
      </c>
      <c r="AB139" s="34">
        <f>99*T139+99*T139</f>
        <v>198</v>
      </c>
      <c r="AC139" s="40">
        <f t="shared" si="16"/>
        <v>-46043</v>
      </c>
      <c r="AD139" s="34">
        <f t="shared" si="17"/>
        <v>12830</v>
      </c>
      <c r="AE139" s="34">
        <f t="shared" si="18"/>
        <v>0</v>
      </c>
      <c r="AF139" s="36">
        <f t="shared" si="19"/>
        <v>178</v>
      </c>
      <c r="AG139" s="41">
        <f t="shared" si="20"/>
        <v>0</v>
      </c>
      <c r="AH139" s="70">
        <f t="shared" si="21"/>
        <v>0</v>
      </c>
    </row>
    <row r="140" spans="2:34" x14ac:dyDescent="0.4">
      <c r="B140" s="38" t="s">
        <v>582</v>
      </c>
      <c r="C140" s="34">
        <v>1</v>
      </c>
      <c r="D140" s="34">
        <v>12580</v>
      </c>
      <c r="E140" s="37">
        <v>46051</v>
      </c>
      <c r="F140" s="34"/>
      <c r="G140" s="35"/>
      <c r="H140" s="34">
        <f t="shared" si="4"/>
        <v>20</v>
      </c>
      <c r="I140" s="34">
        <f t="shared" si="5"/>
        <v>0</v>
      </c>
      <c r="J140" s="39">
        <f t="shared" si="22"/>
        <v>0</v>
      </c>
      <c r="K140" s="34">
        <f>99*C140+99*C140</f>
        <v>198</v>
      </c>
      <c r="L140" s="40">
        <f t="shared" si="7"/>
        <v>-46050</v>
      </c>
      <c r="M140" s="34">
        <f t="shared" si="8"/>
        <v>12580</v>
      </c>
      <c r="N140" s="34">
        <f t="shared" si="9"/>
        <v>0</v>
      </c>
      <c r="O140" s="36">
        <f t="shared" si="10"/>
        <v>178</v>
      </c>
      <c r="P140" s="41">
        <f t="shared" si="11"/>
        <v>0</v>
      </c>
      <c r="Q140" s="70">
        <f t="shared" si="12"/>
        <v>0</v>
      </c>
      <c r="S140" s="38" t="s">
        <v>582</v>
      </c>
      <c r="T140" s="34">
        <v>1</v>
      </c>
      <c r="U140" s="34">
        <v>12580</v>
      </c>
      <c r="V140" s="37">
        <v>46051</v>
      </c>
      <c r="W140" s="34"/>
      <c r="X140" s="35"/>
      <c r="Y140" s="34">
        <f t="shared" si="13"/>
        <v>20</v>
      </c>
      <c r="Z140" s="34">
        <f t="shared" si="14"/>
        <v>0</v>
      </c>
      <c r="AA140" s="39">
        <f t="shared" si="23"/>
        <v>0</v>
      </c>
      <c r="AB140" s="34">
        <f>99*T140+99*T140</f>
        <v>198</v>
      </c>
      <c r="AC140" s="40">
        <f t="shared" si="16"/>
        <v>-46050</v>
      </c>
      <c r="AD140" s="34">
        <f t="shared" si="17"/>
        <v>12580</v>
      </c>
      <c r="AE140" s="34">
        <f t="shared" si="18"/>
        <v>0</v>
      </c>
      <c r="AF140" s="36">
        <f t="shared" si="19"/>
        <v>178</v>
      </c>
      <c r="AG140" s="41">
        <f t="shared" si="20"/>
        <v>0</v>
      </c>
      <c r="AH140" s="70">
        <f t="shared" si="21"/>
        <v>0</v>
      </c>
    </row>
    <row r="141" spans="2:34" x14ac:dyDescent="0.4">
      <c r="B141" s="38" t="s">
        <v>582</v>
      </c>
      <c r="C141" s="34">
        <v>1</v>
      </c>
      <c r="D141" s="34">
        <v>12990</v>
      </c>
      <c r="E141" s="37">
        <v>46058</v>
      </c>
      <c r="F141" s="34"/>
      <c r="G141" s="35"/>
      <c r="H141" s="34">
        <f t="shared" si="4"/>
        <v>20</v>
      </c>
      <c r="I141" s="34">
        <f t="shared" si="5"/>
        <v>0</v>
      </c>
      <c r="J141" s="39">
        <f t="shared" si="22"/>
        <v>0</v>
      </c>
      <c r="K141" s="34">
        <f>99*C141+99*C141</f>
        <v>198</v>
      </c>
      <c r="L141" s="40">
        <f t="shared" si="7"/>
        <v>-46057</v>
      </c>
      <c r="M141" s="34">
        <f t="shared" si="8"/>
        <v>12990</v>
      </c>
      <c r="N141" s="34">
        <f t="shared" si="9"/>
        <v>0</v>
      </c>
      <c r="O141" s="36">
        <f t="shared" si="10"/>
        <v>178</v>
      </c>
      <c r="P141" s="41">
        <f t="shared" si="11"/>
        <v>0</v>
      </c>
      <c r="Q141" s="70">
        <f t="shared" si="12"/>
        <v>0</v>
      </c>
      <c r="S141" s="38" t="s">
        <v>582</v>
      </c>
      <c r="T141" s="34">
        <v>1</v>
      </c>
      <c r="U141" s="34">
        <v>12990</v>
      </c>
      <c r="V141" s="37">
        <v>46058</v>
      </c>
      <c r="W141" s="34"/>
      <c r="X141" s="35"/>
      <c r="Y141" s="34">
        <f t="shared" si="13"/>
        <v>20</v>
      </c>
      <c r="Z141" s="34">
        <f t="shared" si="14"/>
        <v>0</v>
      </c>
      <c r="AA141" s="39">
        <f t="shared" si="23"/>
        <v>0</v>
      </c>
      <c r="AB141" s="34">
        <f>99*T141+99*T141</f>
        <v>198</v>
      </c>
      <c r="AC141" s="40">
        <f t="shared" si="16"/>
        <v>-46057</v>
      </c>
      <c r="AD141" s="34">
        <f t="shared" si="17"/>
        <v>12990</v>
      </c>
      <c r="AE141" s="34">
        <f t="shared" si="18"/>
        <v>0</v>
      </c>
      <c r="AF141" s="36">
        <f t="shared" si="19"/>
        <v>178</v>
      </c>
      <c r="AG141" s="41">
        <f t="shared" si="20"/>
        <v>0</v>
      </c>
      <c r="AH141" s="70">
        <f t="shared" si="21"/>
        <v>0</v>
      </c>
    </row>
    <row r="142" spans="2:34" x14ac:dyDescent="0.4">
      <c r="B142" s="38" t="s">
        <v>582</v>
      </c>
      <c r="C142" s="34">
        <v>1</v>
      </c>
      <c r="D142" s="34">
        <v>13145</v>
      </c>
      <c r="E142" s="37">
        <v>46065</v>
      </c>
      <c r="F142" s="34"/>
      <c r="G142" s="35"/>
      <c r="H142" s="34">
        <f t="shared" si="4"/>
        <v>20</v>
      </c>
      <c r="I142" s="34">
        <f t="shared" si="5"/>
        <v>0</v>
      </c>
      <c r="J142" s="39">
        <f t="shared" si="22"/>
        <v>0</v>
      </c>
      <c r="K142" s="34">
        <f>C142*99</f>
        <v>99</v>
      </c>
      <c r="L142" s="40">
        <f t="shared" si="7"/>
        <v>-46064</v>
      </c>
      <c r="M142" s="34">
        <f t="shared" si="8"/>
        <v>13145</v>
      </c>
      <c r="N142" s="34">
        <f t="shared" si="9"/>
        <v>0</v>
      </c>
      <c r="O142" s="36">
        <f t="shared" si="10"/>
        <v>79</v>
      </c>
      <c r="P142" s="41">
        <f t="shared" si="11"/>
        <v>0</v>
      </c>
      <c r="Q142" s="70">
        <f t="shared" si="12"/>
        <v>0</v>
      </c>
      <c r="S142" s="38" t="s">
        <v>582</v>
      </c>
      <c r="T142" s="34">
        <v>1</v>
      </c>
      <c r="U142" s="34">
        <v>13145</v>
      </c>
      <c r="V142" s="37">
        <v>46065</v>
      </c>
      <c r="W142" s="34"/>
      <c r="X142" s="35"/>
      <c r="Y142" s="34">
        <f t="shared" si="13"/>
        <v>20</v>
      </c>
      <c r="Z142" s="34">
        <f t="shared" si="14"/>
        <v>0</v>
      </c>
      <c r="AA142" s="39">
        <f t="shared" si="23"/>
        <v>0</v>
      </c>
      <c r="AB142" s="34">
        <f>T142*99</f>
        <v>99</v>
      </c>
      <c r="AC142" s="40">
        <f t="shared" si="16"/>
        <v>-46064</v>
      </c>
      <c r="AD142" s="34">
        <f t="shared" si="17"/>
        <v>13145</v>
      </c>
      <c r="AE142" s="34">
        <f t="shared" si="18"/>
        <v>0</v>
      </c>
      <c r="AF142" s="36">
        <f t="shared" si="19"/>
        <v>79</v>
      </c>
      <c r="AG142" s="41">
        <f t="shared" si="20"/>
        <v>0</v>
      </c>
      <c r="AH142" s="70">
        <f t="shared" si="21"/>
        <v>0</v>
      </c>
    </row>
    <row r="143" spans="2:34" x14ac:dyDescent="0.4">
      <c r="B143" s="38" t="s">
        <v>582</v>
      </c>
      <c r="C143" s="34">
        <v>1</v>
      </c>
      <c r="D143" s="34">
        <v>12860</v>
      </c>
      <c r="E143" s="37">
        <v>46072</v>
      </c>
      <c r="F143" s="34"/>
      <c r="G143" s="35"/>
      <c r="H143" s="34">
        <f t="shared" si="4"/>
        <v>20</v>
      </c>
      <c r="I143" s="34">
        <f t="shared" si="5"/>
        <v>0</v>
      </c>
      <c r="J143" s="39">
        <f t="shared" si="22"/>
        <v>0</v>
      </c>
      <c r="K143" s="34">
        <f>C143*99</f>
        <v>99</v>
      </c>
      <c r="L143" s="40">
        <f t="shared" si="7"/>
        <v>-46071</v>
      </c>
      <c r="M143" s="34">
        <f t="shared" si="8"/>
        <v>12860</v>
      </c>
      <c r="N143" s="34">
        <f t="shared" si="9"/>
        <v>0</v>
      </c>
      <c r="O143" s="36">
        <f t="shared" si="10"/>
        <v>79</v>
      </c>
      <c r="P143" s="41">
        <f t="shared" si="11"/>
        <v>0</v>
      </c>
      <c r="Q143" s="70">
        <f t="shared" si="12"/>
        <v>0</v>
      </c>
      <c r="S143" s="38" t="s">
        <v>582</v>
      </c>
      <c r="T143" s="34">
        <v>1</v>
      </c>
      <c r="U143" s="34">
        <v>12860</v>
      </c>
      <c r="V143" s="37">
        <v>46072</v>
      </c>
      <c r="W143" s="34"/>
      <c r="X143" s="35"/>
      <c r="Y143" s="34">
        <f t="shared" si="13"/>
        <v>20</v>
      </c>
      <c r="Z143" s="34">
        <f t="shared" si="14"/>
        <v>0</v>
      </c>
      <c r="AA143" s="39">
        <f t="shared" si="23"/>
        <v>0</v>
      </c>
      <c r="AB143" s="34">
        <f>T143*99</f>
        <v>99</v>
      </c>
      <c r="AC143" s="40">
        <f t="shared" si="16"/>
        <v>-46071</v>
      </c>
      <c r="AD143" s="34">
        <f t="shared" si="17"/>
        <v>12860</v>
      </c>
      <c r="AE143" s="34">
        <f t="shared" si="18"/>
        <v>0</v>
      </c>
      <c r="AF143" s="36">
        <f t="shared" si="19"/>
        <v>79</v>
      </c>
      <c r="AG143" s="41">
        <f t="shared" si="20"/>
        <v>0</v>
      </c>
      <c r="AH143" s="70">
        <f t="shared" si="21"/>
        <v>0</v>
      </c>
    </row>
    <row r="144" spans="2:34" x14ac:dyDescent="0.4">
      <c r="B144" s="38" t="s">
        <v>582</v>
      </c>
      <c r="C144" s="34">
        <v>1</v>
      </c>
      <c r="D144" s="34">
        <v>12730</v>
      </c>
      <c r="E144" s="37">
        <v>46079</v>
      </c>
      <c r="F144" s="34"/>
      <c r="G144" s="35"/>
      <c r="H144" s="34">
        <f t="shared" si="4"/>
        <v>20</v>
      </c>
      <c r="I144" s="34">
        <f t="shared" si="5"/>
        <v>0</v>
      </c>
      <c r="J144" s="39">
        <f t="shared" si="22"/>
        <v>0</v>
      </c>
      <c r="K144" s="34">
        <f>C144*99</f>
        <v>99</v>
      </c>
      <c r="L144" s="40">
        <f t="shared" si="7"/>
        <v>-46078</v>
      </c>
      <c r="M144" s="34">
        <f t="shared" si="8"/>
        <v>12730</v>
      </c>
      <c r="N144" s="34">
        <f t="shared" si="9"/>
        <v>0</v>
      </c>
      <c r="O144" s="36">
        <f t="shared" si="10"/>
        <v>79</v>
      </c>
      <c r="P144" s="41">
        <f t="shared" si="11"/>
        <v>0</v>
      </c>
      <c r="Q144" s="70">
        <f t="shared" si="12"/>
        <v>0</v>
      </c>
      <c r="S144" s="38" t="s">
        <v>582</v>
      </c>
      <c r="T144" s="34">
        <v>1</v>
      </c>
      <c r="U144" s="34">
        <v>12730</v>
      </c>
      <c r="V144" s="37">
        <v>46079</v>
      </c>
      <c r="W144" s="34"/>
      <c r="X144" s="35"/>
      <c r="Y144" s="34">
        <f t="shared" si="13"/>
        <v>20</v>
      </c>
      <c r="Z144" s="34">
        <f t="shared" si="14"/>
        <v>0</v>
      </c>
      <c r="AA144" s="39">
        <f t="shared" si="23"/>
        <v>0</v>
      </c>
      <c r="AB144" s="34">
        <f>T144*99</f>
        <v>99</v>
      </c>
      <c r="AC144" s="40">
        <f t="shared" si="16"/>
        <v>-46078</v>
      </c>
      <c r="AD144" s="34">
        <f t="shared" si="17"/>
        <v>12730</v>
      </c>
      <c r="AE144" s="34">
        <f t="shared" si="18"/>
        <v>0</v>
      </c>
      <c r="AF144" s="36">
        <f t="shared" si="19"/>
        <v>79</v>
      </c>
      <c r="AG144" s="41">
        <f t="shared" si="20"/>
        <v>0</v>
      </c>
      <c r="AH144" s="70">
        <f t="shared" si="21"/>
        <v>0</v>
      </c>
    </row>
    <row r="145" spans="2:34" x14ac:dyDescent="0.4">
      <c r="B145" s="38" t="s">
        <v>582</v>
      </c>
      <c r="C145" s="34">
        <v>1</v>
      </c>
      <c r="D145" s="34">
        <v>12940</v>
      </c>
      <c r="E145" s="37">
        <v>46086</v>
      </c>
      <c r="F145" s="34"/>
      <c r="G145" s="35"/>
      <c r="H145" s="34">
        <f t="shared" si="4"/>
        <v>20</v>
      </c>
      <c r="I145" s="34">
        <f t="shared" si="5"/>
        <v>0</v>
      </c>
      <c r="J145" s="39">
        <f t="shared" si="22"/>
        <v>0</v>
      </c>
      <c r="K145" s="34">
        <f>C145*99</f>
        <v>99</v>
      </c>
      <c r="L145" s="40">
        <f t="shared" si="7"/>
        <v>-46085</v>
      </c>
      <c r="M145" s="34">
        <f t="shared" si="8"/>
        <v>12940</v>
      </c>
      <c r="N145" s="34">
        <f t="shared" si="9"/>
        <v>0</v>
      </c>
      <c r="O145" s="36">
        <f t="shared" si="10"/>
        <v>79</v>
      </c>
      <c r="P145" s="41">
        <f t="shared" si="11"/>
        <v>0</v>
      </c>
      <c r="Q145" s="70">
        <f t="shared" si="12"/>
        <v>0</v>
      </c>
      <c r="S145" s="38" t="s">
        <v>582</v>
      </c>
      <c r="T145" s="34">
        <v>1</v>
      </c>
      <c r="U145" s="34">
        <v>12940</v>
      </c>
      <c r="V145" s="37">
        <v>46086</v>
      </c>
      <c r="W145" s="34"/>
      <c r="X145" s="35"/>
      <c r="Y145" s="34">
        <f t="shared" si="13"/>
        <v>20</v>
      </c>
      <c r="Z145" s="34">
        <f t="shared" si="14"/>
        <v>0</v>
      </c>
      <c r="AA145" s="39">
        <f t="shared" si="23"/>
        <v>0</v>
      </c>
      <c r="AB145" s="34">
        <f>T145*99</f>
        <v>99</v>
      </c>
      <c r="AC145" s="40">
        <f t="shared" si="16"/>
        <v>-46085</v>
      </c>
      <c r="AD145" s="34">
        <f t="shared" si="17"/>
        <v>12940</v>
      </c>
      <c r="AE145" s="34">
        <f t="shared" si="18"/>
        <v>0</v>
      </c>
      <c r="AF145" s="36">
        <f t="shared" si="19"/>
        <v>79</v>
      </c>
      <c r="AG145" s="41">
        <f t="shared" si="20"/>
        <v>0</v>
      </c>
      <c r="AH145" s="70">
        <f t="shared" si="21"/>
        <v>0</v>
      </c>
    </row>
    <row r="146" spans="2:34" x14ac:dyDescent="0.4">
      <c r="B146" s="38" t="s">
        <v>582</v>
      </c>
      <c r="C146" s="34">
        <v>1</v>
      </c>
      <c r="D146" s="34">
        <v>12930</v>
      </c>
      <c r="E146" s="37">
        <v>46093</v>
      </c>
      <c r="F146" s="34"/>
      <c r="G146" s="35"/>
      <c r="H146" s="34">
        <f t="shared" si="4"/>
        <v>20</v>
      </c>
      <c r="I146" s="34">
        <f t="shared" si="5"/>
        <v>0</v>
      </c>
      <c r="J146" s="39">
        <f t="shared" si="22"/>
        <v>0</v>
      </c>
      <c r="K146" s="34"/>
      <c r="L146" s="40">
        <f t="shared" si="7"/>
        <v>-46092</v>
      </c>
      <c r="M146" s="34">
        <f t="shared" si="8"/>
        <v>12930</v>
      </c>
      <c r="N146" s="34">
        <f t="shared" si="9"/>
        <v>0</v>
      </c>
      <c r="O146" s="36">
        <f t="shared" si="10"/>
        <v>-20</v>
      </c>
      <c r="P146" s="41">
        <f t="shared" si="11"/>
        <v>0</v>
      </c>
      <c r="Q146" s="70">
        <f t="shared" si="12"/>
        <v>0</v>
      </c>
      <c r="S146" s="38" t="s">
        <v>582</v>
      </c>
      <c r="T146" s="34">
        <v>1</v>
      </c>
      <c r="U146" s="34">
        <v>12930</v>
      </c>
      <c r="V146" s="37">
        <v>46093</v>
      </c>
      <c r="W146" s="34"/>
      <c r="X146" s="35"/>
      <c r="Y146" s="34">
        <f t="shared" si="13"/>
        <v>20</v>
      </c>
      <c r="Z146" s="34">
        <f t="shared" si="14"/>
        <v>0</v>
      </c>
      <c r="AA146" s="39">
        <f t="shared" si="23"/>
        <v>0</v>
      </c>
      <c r="AB146" s="34"/>
      <c r="AC146" s="40">
        <f t="shared" si="16"/>
        <v>-46092</v>
      </c>
      <c r="AD146" s="34">
        <f t="shared" si="17"/>
        <v>12930</v>
      </c>
      <c r="AE146" s="34">
        <f t="shared" si="18"/>
        <v>0</v>
      </c>
      <c r="AF146" s="36">
        <f t="shared" si="19"/>
        <v>-20</v>
      </c>
      <c r="AG146" s="41">
        <f t="shared" si="20"/>
        <v>0</v>
      </c>
      <c r="AH146" s="70">
        <f t="shared" si="21"/>
        <v>0</v>
      </c>
    </row>
    <row r="147" spans="2:34" x14ac:dyDescent="0.4">
      <c r="B147" s="38" t="s">
        <v>582</v>
      </c>
      <c r="C147" s="34">
        <v>1</v>
      </c>
      <c r="D147" s="34">
        <v>12790</v>
      </c>
      <c r="E147" s="37">
        <v>46100</v>
      </c>
      <c r="F147" s="34"/>
      <c r="G147" s="35"/>
      <c r="H147" s="34">
        <f t="shared" si="4"/>
        <v>20</v>
      </c>
      <c r="I147" s="34">
        <f t="shared" si="5"/>
        <v>0</v>
      </c>
      <c r="J147" s="39">
        <f t="shared" si="22"/>
        <v>0</v>
      </c>
      <c r="K147" s="34"/>
      <c r="L147" s="40">
        <f t="shared" si="7"/>
        <v>-46099</v>
      </c>
      <c r="M147" s="34">
        <f t="shared" si="8"/>
        <v>12790</v>
      </c>
      <c r="N147" s="34">
        <f t="shared" si="9"/>
        <v>0</v>
      </c>
      <c r="O147" s="36">
        <f t="shared" si="10"/>
        <v>-20</v>
      </c>
      <c r="P147" s="41">
        <f t="shared" si="11"/>
        <v>0</v>
      </c>
      <c r="Q147" s="70">
        <f t="shared" si="12"/>
        <v>0</v>
      </c>
      <c r="S147" s="38" t="s">
        <v>582</v>
      </c>
      <c r="T147" s="34">
        <v>1</v>
      </c>
      <c r="U147" s="34">
        <v>12790</v>
      </c>
      <c r="V147" s="37">
        <v>46100</v>
      </c>
      <c r="W147" s="34"/>
      <c r="X147" s="35"/>
      <c r="Y147" s="34">
        <f t="shared" si="13"/>
        <v>20</v>
      </c>
      <c r="Z147" s="34">
        <f t="shared" si="14"/>
        <v>0</v>
      </c>
      <c r="AA147" s="39">
        <f t="shared" si="23"/>
        <v>0</v>
      </c>
      <c r="AB147" s="34"/>
      <c r="AC147" s="40">
        <f t="shared" si="16"/>
        <v>-46099</v>
      </c>
      <c r="AD147" s="34">
        <f t="shared" si="17"/>
        <v>12790</v>
      </c>
      <c r="AE147" s="34">
        <f t="shared" si="18"/>
        <v>0</v>
      </c>
      <c r="AF147" s="36">
        <f t="shared" si="19"/>
        <v>-20</v>
      </c>
      <c r="AG147" s="41">
        <f t="shared" si="20"/>
        <v>0</v>
      </c>
      <c r="AH147" s="70">
        <f t="shared" si="21"/>
        <v>0</v>
      </c>
    </row>
    <row r="148" spans="2:34" x14ac:dyDescent="0.4">
      <c r="B148" s="38" t="s">
        <v>582</v>
      </c>
      <c r="C148" s="34">
        <v>1</v>
      </c>
      <c r="D148" s="34">
        <v>12770</v>
      </c>
      <c r="E148" s="37">
        <v>46107</v>
      </c>
      <c r="F148" s="34"/>
      <c r="G148" s="35"/>
      <c r="H148" s="34">
        <f t="shared" si="4"/>
        <v>20</v>
      </c>
      <c r="I148" s="34">
        <f t="shared" si="5"/>
        <v>0</v>
      </c>
      <c r="J148" s="39">
        <f t="shared" si="22"/>
        <v>0</v>
      </c>
      <c r="K148" s="34"/>
      <c r="L148" s="40">
        <f t="shared" si="7"/>
        <v>-46106</v>
      </c>
      <c r="M148" s="34">
        <f t="shared" si="8"/>
        <v>12770</v>
      </c>
      <c r="N148" s="34">
        <f t="shared" si="9"/>
        <v>0</v>
      </c>
      <c r="O148" s="36">
        <f t="shared" si="10"/>
        <v>-20</v>
      </c>
      <c r="P148" s="41">
        <f t="shared" si="11"/>
        <v>0</v>
      </c>
      <c r="Q148" s="70">
        <f t="shared" si="12"/>
        <v>0</v>
      </c>
      <c r="S148" s="38" t="s">
        <v>582</v>
      </c>
      <c r="T148" s="34">
        <v>1</v>
      </c>
      <c r="U148" s="34">
        <v>12770</v>
      </c>
      <c r="V148" s="37">
        <v>46107</v>
      </c>
      <c r="W148" s="34"/>
      <c r="X148" s="35"/>
      <c r="Y148" s="34">
        <f t="shared" si="13"/>
        <v>20</v>
      </c>
      <c r="Z148" s="34">
        <f t="shared" si="14"/>
        <v>0</v>
      </c>
      <c r="AA148" s="39">
        <f t="shared" si="23"/>
        <v>0</v>
      </c>
      <c r="AB148" s="34"/>
      <c r="AC148" s="40">
        <f t="shared" si="16"/>
        <v>-46106</v>
      </c>
      <c r="AD148" s="34">
        <f t="shared" si="17"/>
        <v>12770</v>
      </c>
      <c r="AE148" s="34">
        <f t="shared" si="18"/>
        <v>0</v>
      </c>
      <c r="AF148" s="36">
        <f t="shared" si="19"/>
        <v>-20</v>
      </c>
      <c r="AG148" s="41">
        <f t="shared" si="20"/>
        <v>0</v>
      </c>
      <c r="AH148" s="70">
        <f t="shared" si="21"/>
        <v>0</v>
      </c>
    </row>
    <row r="149" spans="2:34" x14ac:dyDescent="0.4">
      <c r="B149" s="38" t="s">
        <v>582</v>
      </c>
      <c r="C149" s="34">
        <v>1</v>
      </c>
      <c r="D149" s="34">
        <v>12825</v>
      </c>
      <c r="E149" s="37">
        <v>46114</v>
      </c>
      <c r="F149" s="34"/>
      <c r="G149" s="35"/>
      <c r="H149" s="34">
        <f t="shared" ref="H149:H212" si="24">ROUNDDOWN(M149*0.001891639,-1)</f>
        <v>20</v>
      </c>
      <c r="I149" s="34">
        <f t="shared" ref="I149:I212" si="25">ROUNDDOWN(N149*0.001891639,-1)</f>
        <v>0</v>
      </c>
      <c r="J149" s="39">
        <f t="shared" ref="J149:J180" si="26">N149*0.002</f>
        <v>0</v>
      </c>
      <c r="K149" s="34"/>
      <c r="L149" s="40">
        <f t="shared" ref="L149:L212" si="27">G149-E149+1</f>
        <v>-46113</v>
      </c>
      <c r="M149" s="34">
        <f t="shared" ref="M149:M212" si="28">C149*D149</f>
        <v>12825</v>
      </c>
      <c r="N149" s="34">
        <f t="shared" ref="N149:N212" si="29">C149*F149</f>
        <v>0</v>
      </c>
      <c r="O149" s="36">
        <f t="shared" ref="O149:O212" si="30">K149-H149-I149-J149</f>
        <v>-20</v>
      </c>
      <c r="P149" s="41">
        <f t="shared" ref="P149:P212" si="31">IF(N149=0,0,N149-M149+O149)</f>
        <v>0</v>
      </c>
      <c r="Q149" s="70">
        <f t="shared" ref="Q149:Q212" si="32">P149/M149</f>
        <v>0</v>
      </c>
      <c r="S149" s="38" t="s">
        <v>582</v>
      </c>
      <c r="T149" s="34">
        <v>1</v>
      </c>
      <c r="U149" s="34">
        <v>12825</v>
      </c>
      <c r="V149" s="37">
        <v>46114</v>
      </c>
      <c r="W149" s="34"/>
      <c r="X149" s="35"/>
      <c r="Y149" s="34">
        <f t="shared" ref="Y149:Y212" si="33">ROUNDDOWN(AD149*0.001891639,-1)</f>
        <v>20</v>
      </c>
      <c r="Z149" s="34">
        <f t="shared" ref="Z149:Z212" si="34">ROUNDDOWN(AE149*0.001891639,-1)</f>
        <v>0</v>
      </c>
      <c r="AA149" s="39">
        <f t="shared" ref="AA149:AA180" si="35">AE149*0.002</f>
        <v>0</v>
      </c>
      <c r="AB149" s="34"/>
      <c r="AC149" s="40">
        <f t="shared" ref="AC149:AC212" si="36">X149-V149+1</f>
        <v>-46113</v>
      </c>
      <c r="AD149" s="34">
        <f t="shared" ref="AD149:AD212" si="37">T149*U149</f>
        <v>12825</v>
      </c>
      <c r="AE149" s="34">
        <f t="shared" ref="AE149:AE212" si="38">T149*W149</f>
        <v>0</v>
      </c>
      <c r="AF149" s="36">
        <f t="shared" ref="AF149:AF212" si="39">AB149-Y149-Z149-AA149</f>
        <v>-20</v>
      </c>
      <c r="AG149" s="41">
        <f t="shared" ref="AG149:AG212" si="40">IF(AE149=0,0,AE149-AD149+AF149)</f>
        <v>0</v>
      </c>
      <c r="AH149" s="70">
        <f t="shared" ref="AH149:AH212" si="41">AG149/AD149</f>
        <v>0</v>
      </c>
    </row>
    <row r="150" spans="2:34" x14ac:dyDescent="0.4">
      <c r="B150" s="38" t="s">
        <v>582</v>
      </c>
      <c r="C150" s="34">
        <v>1</v>
      </c>
      <c r="D150" s="34">
        <v>12915</v>
      </c>
      <c r="E150" s="37">
        <v>46121</v>
      </c>
      <c r="F150" s="34"/>
      <c r="G150" s="35"/>
      <c r="H150" s="34">
        <f t="shared" si="24"/>
        <v>20</v>
      </c>
      <c r="I150" s="34">
        <f t="shared" si="25"/>
        <v>0</v>
      </c>
      <c r="J150" s="39">
        <f t="shared" si="26"/>
        <v>0</v>
      </c>
      <c r="K150" s="34"/>
      <c r="L150" s="40">
        <f t="shared" si="27"/>
        <v>-46120</v>
      </c>
      <c r="M150" s="34">
        <f t="shared" si="28"/>
        <v>12915</v>
      </c>
      <c r="N150" s="34">
        <f t="shared" si="29"/>
        <v>0</v>
      </c>
      <c r="O150" s="36">
        <f t="shared" si="30"/>
        <v>-20</v>
      </c>
      <c r="P150" s="41">
        <f t="shared" si="31"/>
        <v>0</v>
      </c>
      <c r="Q150" s="70">
        <f t="shared" si="32"/>
        <v>0</v>
      </c>
      <c r="S150" s="38" t="s">
        <v>582</v>
      </c>
      <c r="T150" s="34">
        <v>1</v>
      </c>
      <c r="U150" s="34">
        <v>12915</v>
      </c>
      <c r="V150" s="37">
        <v>46121</v>
      </c>
      <c r="W150" s="34"/>
      <c r="X150" s="35"/>
      <c r="Y150" s="34">
        <f t="shared" si="33"/>
        <v>20</v>
      </c>
      <c r="Z150" s="34">
        <f t="shared" si="34"/>
        <v>0</v>
      </c>
      <c r="AA150" s="39">
        <f t="shared" si="35"/>
        <v>0</v>
      </c>
      <c r="AB150" s="34"/>
      <c r="AC150" s="40">
        <f t="shared" si="36"/>
        <v>-46120</v>
      </c>
      <c r="AD150" s="34">
        <f t="shared" si="37"/>
        <v>12915</v>
      </c>
      <c r="AE150" s="34">
        <f t="shared" si="38"/>
        <v>0</v>
      </c>
      <c r="AF150" s="36">
        <f t="shared" si="39"/>
        <v>-20</v>
      </c>
      <c r="AG150" s="41">
        <f t="shared" si="40"/>
        <v>0</v>
      </c>
      <c r="AH150" s="70">
        <f t="shared" si="41"/>
        <v>0</v>
      </c>
    </row>
    <row r="151" spans="2:34" x14ac:dyDescent="0.4">
      <c r="B151" s="38" t="s">
        <v>590</v>
      </c>
      <c r="C151" s="34">
        <v>1</v>
      </c>
      <c r="D151" s="34">
        <v>8875</v>
      </c>
      <c r="E151" s="37">
        <v>45749</v>
      </c>
      <c r="F151" s="34"/>
      <c r="G151" s="35"/>
      <c r="H151" s="34">
        <f t="shared" si="24"/>
        <v>10</v>
      </c>
      <c r="I151" s="34">
        <f t="shared" si="25"/>
        <v>0</v>
      </c>
      <c r="J151" s="39">
        <f t="shared" si="26"/>
        <v>0</v>
      </c>
      <c r="K151" s="34">
        <f>20*C151+35*C151+15*C151+10*C151</f>
        <v>80</v>
      </c>
      <c r="L151" s="40">
        <f t="shared" si="27"/>
        <v>-45748</v>
      </c>
      <c r="M151" s="34">
        <f t="shared" si="28"/>
        <v>8875</v>
      </c>
      <c r="N151" s="34">
        <f t="shared" si="29"/>
        <v>0</v>
      </c>
      <c r="O151" s="36">
        <f t="shared" si="30"/>
        <v>70</v>
      </c>
      <c r="P151" s="41">
        <f t="shared" si="31"/>
        <v>0</v>
      </c>
      <c r="Q151" s="70">
        <f t="shared" si="32"/>
        <v>0</v>
      </c>
      <c r="S151" s="38" t="s">
        <v>590</v>
      </c>
      <c r="T151" s="34">
        <v>1</v>
      </c>
      <c r="U151" s="34">
        <v>8875</v>
      </c>
      <c r="V151" s="37">
        <v>45749</v>
      </c>
      <c r="W151" s="34"/>
      <c r="X151" s="35"/>
      <c r="Y151" s="34">
        <f t="shared" si="33"/>
        <v>10</v>
      </c>
      <c r="Z151" s="34">
        <f t="shared" si="34"/>
        <v>0</v>
      </c>
      <c r="AA151" s="39">
        <f t="shared" si="35"/>
        <v>0</v>
      </c>
      <c r="AB151" s="34">
        <f>20*T151+35*T151+15*T151+10*T151</f>
        <v>80</v>
      </c>
      <c r="AC151" s="40">
        <f t="shared" si="36"/>
        <v>-45748</v>
      </c>
      <c r="AD151" s="34">
        <f t="shared" si="37"/>
        <v>8875</v>
      </c>
      <c r="AE151" s="34">
        <f t="shared" si="38"/>
        <v>0</v>
      </c>
      <c r="AF151" s="36">
        <f t="shared" si="39"/>
        <v>70</v>
      </c>
      <c r="AG151" s="41">
        <f t="shared" si="40"/>
        <v>0</v>
      </c>
      <c r="AH151" s="70">
        <f t="shared" si="41"/>
        <v>0</v>
      </c>
    </row>
    <row r="152" spans="2:34" x14ac:dyDescent="0.4">
      <c r="B152" s="38" t="s">
        <v>590</v>
      </c>
      <c r="C152" s="34">
        <v>1</v>
      </c>
      <c r="D152" s="34">
        <v>7025</v>
      </c>
      <c r="E152" s="37">
        <v>45756</v>
      </c>
      <c r="F152" s="34"/>
      <c r="G152" s="35"/>
      <c r="H152" s="34">
        <f t="shared" si="24"/>
        <v>10</v>
      </c>
      <c r="I152" s="34">
        <f t="shared" si="25"/>
        <v>0</v>
      </c>
      <c r="J152" s="39">
        <f t="shared" si="26"/>
        <v>0</v>
      </c>
      <c r="K152" s="34">
        <f>20*C152+35*C152+15*C152+10*C152</f>
        <v>80</v>
      </c>
      <c r="L152" s="40">
        <f t="shared" si="27"/>
        <v>-45755</v>
      </c>
      <c r="M152" s="34">
        <f t="shared" si="28"/>
        <v>7025</v>
      </c>
      <c r="N152" s="34">
        <f t="shared" si="29"/>
        <v>0</v>
      </c>
      <c r="O152" s="36">
        <f t="shared" si="30"/>
        <v>70</v>
      </c>
      <c r="P152" s="41">
        <f t="shared" si="31"/>
        <v>0</v>
      </c>
      <c r="Q152" s="70">
        <f t="shared" si="32"/>
        <v>0</v>
      </c>
      <c r="S152" s="38" t="s">
        <v>590</v>
      </c>
      <c r="T152" s="34">
        <v>1</v>
      </c>
      <c r="U152" s="34">
        <v>7025</v>
      </c>
      <c r="V152" s="37">
        <v>45756</v>
      </c>
      <c r="W152" s="34"/>
      <c r="X152" s="35"/>
      <c r="Y152" s="34">
        <f t="shared" si="33"/>
        <v>10</v>
      </c>
      <c r="Z152" s="34">
        <f t="shared" si="34"/>
        <v>0</v>
      </c>
      <c r="AA152" s="39">
        <f t="shared" si="35"/>
        <v>0</v>
      </c>
      <c r="AB152" s="34">
        <f>20*T152+35*T152+15*T152+10*T152</f>
        <v>80</v>
      </c>
      <c r="AC152" s="40">
        <f t="shared" si="36"/>
        <v>-45755</v>
      </c>
      <c r="AD152" s="34">
        <f t="shared" si="37"/>
        <v>7025</v>
      </c>
      <c r="AE152" s="34">
        <f t="shared" si="38"/>
        <v>0</v>
      </c>
      <c r="AF152" s="36">
        <f t="shared" si="39"/>
        <v>70</v>
      </c>
      <c r="AG152" s="41">
        <f t="shared" si="40"/>
        <v>0</v>
      </c>
      <c r="AH152" s="70">
        <f t="shared" si="41"/>
        <v>0</v>
      </c>
    </row>
    <row r="153" spans="2:34" x14ac:dyDescent="0.4">
      <c r="B153" s="38" t="s">
        <v>590</v>
      </c>
      <c r="C153" s="34">
        <v>1</v>
      </c>
      <c r="D153" s="34">
        <v>7790</v>
      </c>
      <c r="E153" s="37">
        <v>45763</v>
      </c>
      <c r="F153" s="34"/>
      <c r="G153" s="35"/>
      <c r="H153" s="34">
        <f t="shared" si="24"/>
        <v>10</v>
      </c>
      <c r="I153" s="34">
        <f t="shared" si="25"/>
        <v>0</v>
      </c>
      <c r="J153" s="39">
        <f t="shared" si="26"/>
        <v>0</v>
      </c>
      <c r="K153" s="34">
        <f>20*C153+35*C153+15*C153+10*C153</f>
        <v>80</v>
      </c>
      <c r="L153" s="40">
        <f t="shared" si="27"/>
        <v>-45762</v>
      </c>
      <c r="M153" s="34">
        <f t="shared" si="28"/>
        <v>7790</v>
      </c>
      <c r="N153" s="34">
        <f t="shared" si="29"/>
        <v>0</v>
      </c>
      <c r="O153" s="36">
        <f t="shared" si="30"/>
        <v>70</v>
      </c>
      <c r="P153" s="41">
        <f t="shared" si="31"/>
        <v>0</v>
      </c>
      <c r="Q153" s="70">
        <f t="shared" si="32"/>
        <v>0</v>
      </c>
      <c r="S153" s="38" t="s">
        <v>590</v>
      </c>
      <c r="T153" s="34">
        <v>1</v>
      </c>
      <c r="U153" s="34">
        <v>7790</v>
      </c>
      <c r="V153" s="37">
        <v>45763</v>
      </c>
      <c r="W153" s="34"/>
      <c r="X153" s="35"/>
      <c r="Y153" s="34">
        <f t="shared" si="33"/>
        <v>10</v>
      </c>
      <c r="Z153" s="34">
        <f t="shared" si="34"/>
        <v>0</v>
      </c>
      <c r="AA153" s="39">
        <f t="shared" si="35"/>
        <v>0</v>
      </c>
      <c r="AB153" s="34">
        <f>20*T153+35*T153+15*T153+10*T153</f>
        <v>80</v>
      </c>
      <c r="AC153" s="40">
        <f t="shared" si="36"/>
        <v>-45762</v>
      </c>
      <c r="AD153" s="34">
        <f t="shared" si="37"/>
        <v>7790</v>
      </c>
      <c r="AE153" s="34">
        <f t="shared" si="38"/>
        <v>0</v>
      </c>
      <c r="AF153" s="36">
        <f t="shared" si="39"/>
        <v>70</v>
      </c>
      <c r="AG153" s="41">
        <f t="shared" si="40"/>
        <v>0</v>
      </c>
      <c r="AH153" s="70">
        <f t="shared" si="41"/>
        <v>0</v>
      </c>
    </row>
    <row r="154" spans="2:34" x14ac:dyDescent="0.4">
      <c r="B154" s="38" t="s">
        <v>590</v>
      </c>
      <c r="C154" s="34">
        <v>1</v>
      </c>
      <c r="D154" s="34">
        <v>8005</v>
      </c>
      <c r="E154" s="37">
        <v>45770</v>
      </c>
      <c r="F154" s="34"/>
      <c r="G154" s="35"/>
      <c r="H154" s="34">
        <f t="shared" si="24"/>
        <v>10</v>
      </c>
      <c r="I154" s="34">
        <f t="shared" si="25"/>
        <v>0</v>
      </c>
      <c r="J154" s="39">
        <f t="shared" si="26"/>
        <v>0</v>
      </c>
      <c r="K154" s="34">
        <f>20*C154+35*C154+15*C154+10*C154</f>
        <v>80</v>
      </c>
      <c r="L154" s="40">
        <f t="shared" si="27"/>
        <v>-45769</v>
      </c>
      <c r="M154" s="34">
        <f t="shared" si="28"/>
        <v>8005</v>
      </c>
      <c r="N154" s="34">
        <f t="shared" si="29"/>
        <v>0</v>
      </c>
      <c r="O154" s="36">
        <f t="shared" si="30"/>
        <v>70</v>
      </c>
      <c r="P154" s="41">
        <f t="shared" si="31"/>
        <v>0</v>
      </c>
      <c r="Q154" s="70">
        <f t="shared" si="32"/>
        <v>0</v>
      </c>
      <c r="S154" s="38" t="s">
        <v>590</v>
      </c>
      <c r="T154" s="34">
        <v>1</v>
      </c>
      <c r="U154" s="34">
        <v>8005</v>
      </c>
      <c r="V154" s="37">
        <v>45770</v>
      </c>
      <c r="W154" s="34"/>
      <c r="X154" s="35"/>
      <c r="Y154" s="34">
        <f t="shared" si="33"/>
        <v>10</v>
      </c>
      <c r="Z154" s="34">
        <f t="shared" si="34"/>
        <v>0</v>
      </c>
      <c r="AA154" s="39">
        <f t="shared" si="35"/>
        <v>0</v>
      </c>
      <c r="AB154" s="34">
        <f>20*T154+35*T154+15*T154+10*T154</f>
        <v>80</v>
      </c>
      <c r="AC154" s="40">
        <f t="shared" si="36"/>
        <v>-45769</v>
      </c>
      <c r="AD154" s="34">
        <f t="shared" si="37"/>
        <v>8005</v>
      </c>
      <c r="AE154" s="34">
        <f t="shared" si="38"/>
        <v>0</v>
      </c>
      <c r="AF154" s="36">
        <f t="shared" si="39"/>
        <v>70</v>
      </c>
      <c r="AG154" s="41">
        <f t="shared" si="40"/>
        <v>0</v>
      </c>
      <c r="AH154" s="70">
        <f t="shared" si="41"/>
        <v>0</v>
      </c>
    </row>
    <row r="155" spans="2:34" x14ac:dyDescent="0.4">
      <c r="B155" s="38" t="s">
        <v>590</v>
      </c>
      <c r="C155" s="34">
        <v>1</v>
      </c>
      <c r="D155" s="34">
        <v>8040</v>
      </c>
      <c r="E155" s="37">
        <v>45777</v>
      </c>
      <c r="F155" s="34"/>
      <c r="G155" s="35"/>
      <c r="H155" s="34">
        <f t="shared" si="24"/>
        <v>10</v>
      </c>
      <c r="I155" s="34">
        <f t="shared" si="25"/>
        <v>0</v>
      </c>
      <c r="J155" s="39">
        <f t="shared" si="26"/>
        <v>0</v>
      </c>
      <c r="K155" s="34">
        <f t="shared" ref="K155:K167" si="42">35*C155+15*C155+10*C155</f>
        <v>60</v>
      </c>
      <c r="L155" s="40">
        <f t="shared" si="27"/>
        <v>-45776</v>
      </c>
      <c r="M155" s="34">
        <f t="shared" si="28"/>
        <v>8040</v>
      </c>
      <c r="N155" s="34">
        <f t="shared" si="29"/>
        <v>0</v>
      </c>
      <c r="O155" s="36">
        <f t="shared" si="30"/>
        <v>50</v>
      </c>
      <c r="P155" s="41">
        <f t="shared" si="31"/>
        <v>0</v>
      </c>
      <c r="Q155" s="70">
        <f t="shared" si="32"/>
        <v>0</v>
      </c>
      <c r="S155" s="38" t="s">
        <v>590</v>
      </c>
      <c r="T155" s="34">
        <v>1</v>
      </c>
      <c r="U155" s="34">
        <v>8040</v>
      </c>
      <c r="V155" s="37">
        <v>45777</v>
      </c>
      <c r="W155" s="34"/>
      <c r="X155" s="35"/>
      <c r="Y155" s="34">
        <f t="shared" si="33"/>
        <v>10</v>
      </c>
      <c r="Z155" s="34">
        <f t="shared" si="34"/>
        <v>0</v>
      </c>
      <c r="AA155" s="39">
        <f t="shared" si="35"/>
        <v>0</v>
      </c>
      <c r="AB155" s="34">
        <f t="shared" ref="AB155:AB167" si="43">35*T155+15*T155+10*T155</f>
        <v>60</v>
      </c>
      <c r="AC155" s="40">
        <f t="shared" si="36"/>
        <v>-45776</v>
      </c>
      <c r="AD155" s="34">
        <f t="shared" si="37"/>
        <v>8040</v>
      </c>
      <c r="AE155" s="34">
        <f t="shared" si="38"/>
        <v>0</v>
      </c>
      <c r="AF155" s="36">
        <f t="shared" si="39"/>
        <v>50</v>
      </c>
      <c r="AG155" s="41">
        <f t="shared" si="40"/>
        <v>0</v>
      </c>
      <c r="AH155" s="70">
        <f t="shared" si="41"/>
        <v>0</v>
      </c>
    </row>
    <row r="156" spans="2:34" x14ac:dyDescent="0.4">
      <c r="B156" s="38" t="s">
        <v>590</v>
      </c>
      <c r="C156" s="34">
        <v>1</v>
      </c>
      <c r="D156" s="34">
        <v>8320</v>
      </c>
      <c r="E156" s="37">
        <v>45784</v>
      </c>
      <c r="F156" s="34"/>
      <c r="G156" s="35"/>
      <c r="H156" s="34">
        <f t="shared" si="24"/>
        <v>10</v>
      </c>
      <c r="I156" s="34">
        <f t="shared" si="25"/>
        <v>0</v>
      </c>
      <c r="J156" s="39">
        <f t="shared" si="26"/>
        <v>0</v>
      </c>
      <c r="K156" s="34">
        <f t="shared" si="42"/>
        <v>60</v>
      </c>
      <c r="L156" s="40">
        <f t="shared" si="27"/>
        <v>-45783</v>
      </c>
      <c r="M156" s="34">
        <f t="shared" si="28"/>
        <v>8320</v>
      </c>
      <c r="N156" s="34">
        <f t="shared" si="29"/>
        <v>0</v>
      </c>
      <c r="O156" s="36">
        <f t="shared" si="30"/>
        <v>50</v>
      </c>
      <c r="P156" s="41">
        <f t="shared" si="31"/>
        <v>0</v>
      </c>
      <c r="Q156" s="70">
        <f t="shared" si="32"/>
        <v>0</v>
      </c>
      <c r="S156" s="38" t="s">
        <v>590</v>
      </c>
      <c r="T156" s="34">
        <v>1</v>
      </c>
      <c r="U156" s="34">
        <v>8320</v>
      </c>
      <c r="V156" s="37">
        <v>45784</v>
      </c>
      <c r="W156" s="34"/>
      <c r="X156" s="35"/>
      <c r="Y156" s="34">
        <f t="shared" si="33"/>
        <v>10</v>
      </c>
      <c r="Z156" s="34">
        <f t="shared" si="34"/>
        <v>0</v>
      </c>
      <c r="AA156" s="39">
        <f t="shared" si="35"/>
        <v>0</v>
      </c>
      <c r="AB156" s="34">
        <f t="shared" si="43"/>
        <v>60</v>
      </c>
      <c r="AC156" s="40">
        <f t="shared" si="36"/>
        <v>-45783</v>
      </c>
      <c r="AD156" s="34">
        <f t="shared" si="37"/>
        <v>8320</v>
      </c>
      <c r="AE156" s="34">
        <f t="shared" si="38"/>
        <v>0</v>
      </c>
      <c r="AF156" s="36">
        <f t="shared" si="39"/>
        <v>50</v>
      </c>
      <c r="AG156" s="41">
        <f t="shared" si="40"/>
        <v>0</v>
      </c>
      <c r="AH156" s="70">
        <f t="shared" si="41"/>
        <v>0</v>
      </c>
    </row>
    <row r="157" spans="2:34" x14ac:dyDescent="0.4">
      <c r="B157" s="38" t="s">
        <v>590</v>
      </c>
      <c r="C157" s="34">
        <v>1</v>
      </c>
      <c r="D157" s="34">
        <v>8440</v>
      </c>
      <c r="E157" s="37">
        <v>45791</v>
      </c>
      <c r="F157" s="34"/>
      <c r="G157" s="35"/>
      <c r="H157" s="34">
        <f t="shared" si="24"/>
        <v>10</v>
      </c>
      <c r="I157" s="34">
        <f t="shared" si="25"/>
        <v>0</v>
      </c>
      <c r="J157" s="39">
        <f t="shared" si="26"/>
        <v>0</v>
      </c>
      <c r="K157" s="34">
        <f t="shared" si="42"/>
        <v>60</v>
      </c>
      <c r="L157" s="40">
        <f t="shared" si="27"/>
        <v>-45790</v>
      </c>
      <c r="M157" s="34">
        <f t="shared" si="28"/>
        <v>8440</v>
      </c>
      <c r="N157" s="34">
        <f t="shared" si="29"/>
        <v>0</v>
      </c>
      <c r="O157" s="36">
        <f t="shared" si="30"/>
        <v>50</v>
      </c>
      <c r="P157" s="41">
        <f t="shared" si="31"/>
        <v>0</v>
      </c>
      <c r="Q157" s="70">
        <f t="shared" si="32"/>
        <v>0</v>
      </c>
      <c r="S157" s="38" t="s">
        <v>590</v>
      </c>
      <c r="T157" s="34">
        <v>1</v>
      </c>
      <c r="U157" s="34">
        <v>8440</v>
      </c>
      <c r="V157" s="37">
        <v>45791</v>
      </c>
      <c r="W157" s="34"/>
      <c r="X157" s="35"/>
      <c r="Y157" s="34">
        <f t="shared" si="33"/>
        <v>10</v>
      </c>
      <c r="Z157" s="34">
        <f t="shared" si="34"/>
        <v>0</v>
      </c>
      <c r="AA157" s="39">
        <f t="shared" si="35"/>
        <v>0</v>
      </c>
      <c r="AB157" s="34">
        <f t="shared" si="43"/>
        <v>60</v>
      </c>
      <c r="AC157" s="40">
        <f t="shared" si="36"/>
        <v>-45790</v>
      </c>
      <c r="AD157" s="34">
        <f t="shared" si="37"/>
        <v>8440</v>
      </c>
      <c r="AE157" s="34">
        <f t="shared" si="38"/>
        <v>0</v>
      </c>
      <c r="AF157" s="36">
        <f t="shared" si="39"/>
        <v>50</v>
      </c>
      <c r="AG157" s="41">
        <f t="shared" si="40"/>
        <v>0</v>
      </c>
      <c r="AH157" s="70">
        <f t="shared" si="41"/>
        <v>0</v>
      </c>
    </row>
    <row r="158" spans="2:34" x14ac:dyDescent="0.4">
      <c r="B158" s="38" t="s">
        <v>590</v>
      </c>
      <c r="C158" s="34">
        <v>1</v>
      </c>
      <c r="D158" s="34">
        <v>8185</v>
      </c>
      <c r="E158" s="37">
        <v>45798</v>
      </c>
      <c r="F158" s="34"/>
      <c r="G158" s="35"/>
      <c r="H158" s="34">
        <f t="shared" si="24"/>
        <v>10</v>
      </c>
      <c r="I158" s="34">
        <f t="shared" si="25"/>
        <v>0</v>
      </c>
      <c r="J158" s="39">
        <f t="shared" si="26"/>
        <v>0</v>
      </c>
      <c r="K158" s="34">
        <f t="shared" si="42"/>
        <v>60</v>
      </c>
      <c r="L158" s="40">
        <f t="shared" si="27"/>
        <v>-45797</v>
      </c>
      <c r="M158" s="34">
        <f t="shared" si="28"/>
        <v>8185</v>
      </c>
      <c r="N158" s="34">
        <f t="shared" si="29"/>
        <v>0</v>
      </c>
      <c r="O158" s="36">
        <f t="shared" si="30"/>
        <v>50</v>
      </c>
      <c r="P158" s="41">
        <f t="shared" si="31"/>
        <v>0</v>
      </c>
      <c r="Q158" s="70">
        <f t="shared" si="32"/>
        <v>0</v>
      </c>
      <c r="S158" s="38" t="s">
        <v>590</v>
      </c>
      <c r="T158" s="34">
        <v>1</v>
      </c>
      <c r="U158" s="34">
        <v>8185</v>
      </c>
      <c r="V158" s="37">
        <v>45798</v>
      </c>
      <c r="W158" s="34"/>
      <c r="X158" s="35"/>
      <c r="Y158" s="34">
        <f t="shared" si="33"/>
        <v>10</v>
      </c>
      <c r="Z158" s="34">
        <f t="shared" si="34"/>
        <v>0</v>
      </c>
      <c r="AA158" s="39">
        <f t="shared" si="35"/>
        <v>0</v>
      </c>
      <c r="AB158" s="34">
        <f t="shared" si="43"/>
        <v>60</v>
      </c>
      <c r="AC158" s="40">
        <f t="shared" si="36"/>
        <v>-45797</v>
      </c>
      <c r="AD158" s="34">
        <f t="shared" si="37"/>
        <v>8185</v>
      </c>
      <c r="AE158" s="34">
        <f t="shared" si="38"/>
        <v>0</v>
      </c>
      <c r="AF158" s="36">
        <f t="shared" si="39"/>
        <v>50</v>
      </c>
      <c r="AG158" s="41">
        <f t="shared" si="40"/>
        <v>0</v>
      </c>
      <c r="AH158" s="70">
        <f t="shared" si="41"/>
        <v>0</v>
      </c>
    </row>
    <row r="159" spans="2:34" x14ac:dyDescent="0.4">
      <c r="B159" s="38" t="s">
        <v>590</v>
      </c>
      <c r="C159" s="34">
        <v>1</v>
      </c>
      <c r="D159" s="34">
        <v>7865</v>
      </c>
      <c r="E159" s="37">
        <v>45805</v>
      </c>
      <c r="F159" s="34"/>
      <c r="G159" s="35"/>
      <c r="H159" s="34">
        <f t="shared" si="24"/>
        <v>10</v>
      </c>
      <c r="I159" s="34">
        <f t="shared" si="25"/>
        <v>0</v>
      </c>
      <c r="J159" s="39">
        <f t="shared" si="26"/>
        <v>0</v>
      </c>
      <c r="K159" s="34">
        <f t="shared" si="42"/>
        <v>60</v>
      </c>
      <c r="L159" s="40">
        <f t="shared" si="27"/>
        <v>-45804</v>
      </c>
      <c r="M159" s="34">
        <f t="shared" si="28"/>
        <v>7865</v>
      </c>
      <c r="N159" s="34">
        <f t="shared" si="29"/>
        <v>0</v>
      </c>
      <c r="O159" s="36">
        <f t="shared" si="30"/>
        <v>50</v>
      </c>
      <c r="P159" s="41">
        <f t="shared" si="31"/>
        <v>0</v>
      </c>
      <c r="Q159" s="70">
        <f t="shared" si="32"/>
        <v>0</v>
      </c>
      <c r="S159" s="38" t="s">
        <v>590</v>
      </c>
      <c r="T159" s="34">
        <v>1</v>
      </c>
      <c r="U159" s="34">
        <v>7865</v>
      </c>
      <c r="V159" s="37">
        <v>45805</v>
      </c>
      <c r="W159" s="34"/>
      <c r="X159" s="35"/>
      <c r="Y159" s="34">
        <f t="shared" si="33"/>
        <v>10</v>
      </c>
      <c r="Z159" s="34">
        <f t="shared" si="34"/>
        <v>0</v>
      </c>
      <c r="AA159" s="39">
        <f t="shared" si="35"/>
        <v>0</v>
      </c>
      <c r="AB159" s="34">
        <f t="shared" si="43"/>
        <v>60</v>
      </c>
      <c r="AC159" s="40">
        <f t="shared" si="36"/>
        <v>-45804</v>
      </c>
      <c r="AD159" s="34">
        <f t="shared" si="37"/>
        <v>7865</v>
      </c>
      <c r="AE159" s="34">
        <f t="shared" si="38"/>
        <v>0</v>
      </c>
      <c r="AF159" s="36">
        <f t="shared" si="39"/>
        <v>50</v>
      </c>
      <c r="AG159" s="41">
        <f t="shared" si="40"/>
        <v>0</v>
      </c>
      <c r="AH159" s="70">
        <f t="shared" si="41"/>
        <v>0</v>
      </c>
    </row>
    <row r="160" spans="2:34" x14ac:dyDescent="0.4">
      <c r="B160" s="38" t="s">
        <v>590</v>
      </c>
      <c r="C160" s="34">
        <v>1</v>
      </c>
      <c r="D160" s="34">
        <v>7865</v>
      </c>
      <c r="E160" s="37">
        <v>45812</v>
      </c>
      <c r="F160" s="34"/>
      <c r="G160" s="35"/>
      <c r="H160" s="34">
        <f t="shared" si="24"/>
        <v>10</v>
      </c>
      <c r="I160" s="34">
        <f t="shared" si="25"/>
        <v>0</v>
      </c>
      <c r="J160" s="39">
        <f t="shared" si="26"/>
        <v>0</v>
      </c>
      <c r="K160" s="34">
        <f t="shared" si="42"/>
        <v>60</v>
      </c>
      <c r="L160" s="40">
        <f t="shared" si="27"/>
        <v>-45811</v>
      </c>
      <c r="M160" s="34">
        <f t="shared" si="28"/>
        <v>7865</v>
      </c>
      <c r="N160" s="34">
        <f t="shared" si="29"/>
        <v>0</v>
      </c>
      <c r="O160" s="36">
        <f t="shared" si="30"/>
        <v>50</v>
      </c>
      <c r="P160" s="41">
        <f t="shared" si="31"/>
        <v>0</v>
      </c>
      <c r="Q160" s="70">
        <f t="shared" si="32"/>
        <v>0</v>
      </c>
      <c r="S160" s="38" t="s">
        <v>590</v>
      </c>
      <c r="T160" s="34">
        <v>1</v>
      </c>
      <c r="U160" s="34">
        <v>7865</v>
      </c>
      <c r="V160" s="37">
        <v>45812</v>
      </c>
      <c r="W160" s="34"/>
      <c r="X160" s="35"/>
      <c r="Y160" s="34">
        <f t="shared" si="33"/>
        <v>10</v>
      </c>
      <c r="Z160" s="34">
        <f t="shared" si="34"/>
        <v>0</v>
      </c>
      <c r="AA160" s="39">
        <f t="shared" si="35"/>
        <v>0</v>
      </c>
      <c r="AB160" s="34">
        <f t="shared" si="43"/>
        <v>60</v>
      </c>
      <c r="AC160" s="40">
        <f t="shared" si="36"/>
        <v>-45811</v>
      </c>
      <c r="AD160" s="34">
        <f t="shared" si="37"/>
        <v>7865</v>
      </c>
      <c r="AE160" s="34">
        <f t="shared" si="38"/>
        <v>0</v>
      </c>
      <c r="AF160" s="36">
        <f t="shared" si="39"/>
        <v>50</v>
      </c>
      <c r="AG160" s="41">
        <f t="shared" si="40"/>
        <v>0</v>
      </c>
      <c r="AH160" s="70">
        <f t="shared" si="41"/>
        <v>0</v>
      </c>
    </row>
    <row r="161" spans="2:34" x14ac:dyDescent="0.4">
      <c r="B161" s="38" t="s">
        <v>590</v>
      </c>
      <c r="C161" s="34">
        <v>1</v>
      </c>
      <c r="D161" s="34">
        <v>8135</v>
      </c>
      <c r="E161" s="37">
        <v>45819</v>
      </c>
      <c r="F161" s="34"/>
      <c r="G161" s="35"/>
      <c r="H161" s="34">
        <f t="shared" si="24"/>
        <v>10</v>
      </c>
      <c r="I161" s="34">
        <f t="shared" si="25"/>
        <v>0</v>
      </c>
      <c r="J161" s="39">
        <f t="shared" si="26"/>
        <v>0</v>
      </c>
      <c r="K161" s="34">
        <f t="shared" si="42"/>
        <v>60</v>
      </c>
      <c r="L161" s="40">
        <f t="shared" si="27"/>
        <v>-45818</v>
      </c>
      <c r="M161" s="34">
        <f t="shared" si="28"/>
        <v>8135</v>
      </c>
      <c r="N161" s="34">
        <f t="shared" si="29"/>
        <v>0</v>
      </c>
      <c r="O161" s="36">
        <f t="shared" si="30"/>
        <v>50</v>
      </c>
      <c r="P161" s="41">
        <f t="shared" si="31"/>
        <v>0</v>
      </c>
      <c r="Q161" s="70">
        <f t="shared" si="32"/>
        <v>0</v>
      </c>
      <c r="S161" s="38" t="s">
        <v>590</v>
      </c>
      <c r="T161" s="34">
        <v>1</v>
      </c>
      <c r="U161" s="34">
        <v>8135</v>
      </c>
      <c r="V161" s="37">
        <v>45819</v>
      </c>
      <c r="W161" s="34"/>
      <c r="X161" s="35"/>
      <c r="Y161" s="34">
        <f t="shared" si="33"/>
        <v>10</v>
      </c>
      <c r="Z161" s="34">
        <f t="shared" si="34"/>
        <v>0</v>
      </c>
      <c r="AA161" s="39">
        <f t="shared" si="35"/>
        <v>0</v>
      </c>
      <c r="AB161" s="34">
        <f t="shared" si="43"/>
        <v>60</v>
      </c>
      <c r="AC161" s="40">
        <f t="shared" si="36"/>
        <v>-45818</v>
      </c>
      <c r="AD161" s="34">
        <f t="shared" si="37"/>
        <v>8135</v>
      </c>
      <c r="AE161" s="34">
        <f t="shared" si="38"/>
        <v>0</v>
      </c>
      <c r="AF161" s="36">
        <f t="shared" si="39"/>
        <v>50</v>
      </c>
      <c r="AG161" s="41">
        <f t="shared" si="40"/>
        <v>0</v>
      </c>
      <c r="AH161" s="70">
        <f t="shared" si="41"/>
        <v>0</v>
      </c>
    </row>
    <row r="162" spans="2:34" x14ac:dyDescent="0.4">
      <c r="B162" s="38" t="s">
        <v>590</v>
      </c>
      <c r="C162" s="34">
        <v>1</v>
      </c>
      <c r="D162" s="34">
        <v>7950</v>
      </c>
      <c r="E162" s="37">
        <v>45826</v>
      </c>
      <c r="F162" s="34"/>
      <c r="G162" s="35"/>
      <c r="H162" s="34">
        <f t="shared" si="24"/>
        <v>10</v>
      </c>
      <c r="I162" s="34">
        <f t="shared" si="25"/>
        <v>0</v>
      </c>
      <c r="J162" s="39">
        <f t="shared" si="26"/>
        <v>0</v>
      </c>
      <c r="K162" s="34">
        <f t="shared" si="42"/>
        <v>60</v>
      </c>
      <c r="L162" s="40">
        <f t="shared" si="27"/>
        <v>-45825</v>
      </c>
      <c r="M162" s="34">
        <f t="shared" si="28"/>
        <v>7950</v>
      </c>
      <c r="N162" s="34">
        <f t="shared" si="29"/>
        <v>0</v>
      </c>
      <c r="O162" s="36">
        <f t="shared" si="30"/>
        <v>50</v>
      </c>
      <c r="P162" s="41">
        <f t="shared" si="31"/>
        <v>0</v>
      </c>
      <c r="Q162" s="70">
        <f t="shared" si="32"/>
        <v>0</v>
      </c>
      <c r="S162" s="38" t="s">
        <v>590</v>
      </c>
      <c r="T162" s="34">
        <v>1</v>
      </c>
      <c r="U162" s="34">
        <v>7950</v>
      </c>
      <c r="V162" s="37">
        <v>45826</v>
      </c>
      <c r="W162" s="34"/>
      <c r="X162" s="35"/>
      <c r="Y162" s="34">
        <f t="shared" si="33"/>
        <v>10</v>
      </c>
      <c r="Z162" s="34">
        <f t="shared" si="34"/>
        <v>0</v>
      </c>
      <c r="AA162" s="39">
        <f t="shared" si="35"/>
        <v>0</v>
      </c>
      <c r="AB162" s="34">
        <f t="shared" si="43"/>
        <v>60</v>
      </c>
      <c r="AC162" s="40">
        <f t="shared" si="36"/>
        <v>-45825</v>
      </c>
      <c r="AD162" s="34">
        <f t="shared" si="37"/>
        <v>7950</v>
      </c>
      <c r="AE162" s="34">
        <f t="shared" si="38"/>
        <v>0</v>
      </c>
      <c r="AF162" s="36">
        <f t="shared" si="39"/>
        <v>50</v>
      </c>
      <c r="AG162" s="41">
        <f t="shared" si="40"/>
        <v>0</v>
      </c>
      <c r="AH162" s="70">
        <f t="shared" si="41"/>
        <v>0</v>
      </c>
    </row>
    <row r="163" spans="2:34" x14ac:dyDescent="0.4">
      <c r="B163" s="38" t="s">
        <v>590</v>
      </c>
      <c r="C163" s="34">
        <v>1</v>
      </c>
      <c r="D163" s="34">
        <v>8010</v>
      </c>
      <c r="E163" s="37">
        <v>45833</v>
      </c>
      <c r="F163" s="34"/>
      <c r="G163" s="35"/>
      <c r="H163" s="34">
        <f t="shared" si="24"/>
        <v>10</v>
      </c>
      <c r="I163" s="34">
        <f t="shared" si="25"/>
        <v>0</v>
      </c>
      <c r="J163" s="39">
        <f t="shared" si="26"/>
        <v>0</v>
      </c>
      <c r="K163" s="34">
        <f t="shared" si="42"/>
        <v>60</v>
      </c>
      <c r="L163" s="40">
        <f t="shared" si="27"/>
        <v>-45832</v>
      </c>
      <c r="M163" s="34">
        <f t="shared" si="28"/>
        <v>8010</v>
      </c>
      <c r="N163" s="34">
        <f t="shared" si="29"/>
        <v>0</v>
      </c>
      <c r="O163" s="36">
        <f t="shared" si="30"/>
        <v>50</v>
      </c>
      <c r="P163" s="41">
        <f t="shared" si="31"/>
        <v>0</v>
      </c>
      <c r="Q163" s="70">
        <f t="shared" si="32"/>
        <v>0</v>
      </c>
      <c r="S163" s="38" t="s">
        <v>590</v>
      </c>
      <c r="T163" s="34">
        <v>1</v>
      </c>
      <c r="U163" s="34">
        <v>8010</v>
      </c>
      <c r="V163" s="37">
        <v>45833</v>
      </c>
      <c r="W163" s="34"/>
      <c r="X163" s="35"/>
      <c r="Y163" s="34">
        <f t="shared" si="33"/>
        <v>10</v>
      </c>
      <c r="Z163" s="34">
        <f t="shared" si="34"/>
        <v>0</v>
      </c>
      <c r="AA163" s="39">
        <f t="shared" si="35"/>
        <v>0</v>
      </c>
      <c r="AB163" s="34">
        <f t="shared" si="43"/>
        <v>60</v>
      </c>
      <c r="AC163" s="40">
        <f t="shared" si="36"/>
        <v>-45832</v>
      </c>
      <c r="AD163" s="34">
        <f t="shared" si="37"/>
        <v>8010</v>
      </c>
      <c r="AE163" s="34">
        <f t="shared" si="38"/>
        <v>0</v>
      </c>
      <c r="AF163" s="36">
        <f t="shared" si="39"/>
        <v>50</v>
      </c>
      <c r="AG163" s="41">
        <f t="shared" si="40"/>
        <v>0</v>
      </c>
      <c r="AH163" s="70">
        <f t="shared" si="41"/>
        <v>0</v>
      </c>
    </row>
    <row r="164" spans="2:34" x14ac:dyDescent="0.4">
      <c r="B164" s="38" t="s">
        <v>590</v>
      </c>
      <c r="C164" s="34">
        <v>1</v>
      </c>
      <c r="D164" s="34">
        <v>7980</v>
      </c>
      <c r="E164" s="37">
        <v>45840</v>
      </c>
      <c r="F164" s="34"/>
      <c r="G164" s="35"/>
      <c r="H164" s="34">
        <f t="shared" si="24"/>
        <v>10</v>
      </c>
      <c r="I164" s="34">
        <f t="shared" si="25"/>
        <v>0</v>
      </c>
      <c r="J164" s="39">
        <f t="shared" si="26"/>
        <v>0</v>
      </c>
      <c r="K164" s="34">
        <f t="shared" si="42"/>
        <v>60</v>
      </c>
      <c r="L164" s="40">
        <f t="shared" si="27"/>
        <v>-45839</v>
      </c>
      <c r="M164" s="34">
        <f t="shared" si="28"/>
        <v>7980</v>
      </c>
      <c r="N164" s="34">
        <f t="shared" si="29"/>
        <v>0</v>
      </c>
      <c r="O164" s="36">
        <f t="shared" si="30"/>
        <v>50</v>
      </c>
      <c r="P164" s="41">
        <f t="shared" si="31"/>
        <v>0</v>
      </c>
      <c r="Q164" s="70">
        <f t="shared" si="32"/>
        <v>0</v>
      </c>
      <c r="S164" s="38" t="s">
        <v>590</v>
      </c>
      <c r="T164" s="34">
        <v>1</v>
      </c>
      <c r="U164" s="34">
        <v>7980</v>
      </c>
      <c r="V164" s="37">
        <v>45840</v>
      </c>
      <c r="W164" s="34"/>
      <c r="X164" s="35"/>
      <c r="Y164" s="34">
        <f t="shared" si="33"/>
        <v>10</v>
      </c>
      <c r="Z164" s="34">
        <f t="shared" si="34"/>
        <v>0</v>
      </c>
      <c r="AA164" s="39">
        <f t="shared" si="35"/>
        <v>0</v>
      </c>
      <c r="AB164" s="34">
        <f t="shared" si="43"/>
        <v>60</v>
      </c>
      <c r="AC164" s="40">
        <f t="shared" si="36"/>
        <v>-45839</v>
      </c>
      <c r="AD164" s="34">
        <f t="shared" si="37"/>
        <v>7980</v>
      </c>
      <c r="AE164" s="34">
        <f t="shared" si="38"/>
        <v>0</v>
      </c>
      <c r="AF164" s="36">
        <f t="shared" si="39"/>
        <v>50</v>
      </c>
      <c r="AG164" s="41">
        <f t="shared" si="40"/>
        <v>0</v>
      </c>
      <c r="AH164" s="70">
        <f t="shared" si="41"/>
        <v>0</v>
      </c>
    </row>
    <row r="165" spans="2:34" x14ac:dyDescent="0.4">
      <c r="B165" s="38" t="s">
        <v>590</v>
      </c>
      <c r="C165" s="34">
        <v>1</v>
      </c>
      <c r="D165" s="34">
        <v>8035</v>
      </c>
      <c r="E165" s="37">
        <v>45847</v>
      </c>
      <c r="F165" s="34"/>
      <c r="G165" s="35"/>
      <c r="H165" s="34">
        <f t="shared" si="24"/>
        <v>10</v>
      </c>
      <c r="I165" s="34">
        <f t="shared" si="25"/>
        <v>0</v>
      </c>
      <c r="J165" s="39">
        <f t="shared" si="26"/>
        <v>0</v>
      </c>
      <c r="K165" s="34">
        <f t="shared" si="42"/>
        <v>60</v>
      </c>
      <c r="L165" s="40">
        <f t="shared" si="27"/>
        <v>-45846</v>
      </c>
      <c r="M165" s="34">
        <f t="shared" si="28"/>
        <v>8035</v>
      </c>
      <c r="N165" s="34">
        <f t="shared" si="29"/>
        <v>0</v>
      </c>
      <c r="O165" s="36">
        <f t="shared" si="30"/>
        <v>50</v>
      </c>
      <c r="P165" s="41">
        <f t="shared" si="31"/>
        <v>0</v>
      </c>
      <c r="Q165" s="70">
        <f t="shared" si="32"/>
        <v>0</v>
      </c>
      <c r="S165" s="38" t="s">
        <v>590</v>
      </c>
      <c r="T165" s="34">
        <v>1</v>
      </c>
      <c r="U165" s="34">
        <v>8035</v>
      </c>
      <c r="V165" s="37">
        <v>45847</v>
      </c>
      <c r="W165" s="34"/>
      <c r="X165" s="35"/>
      <c r="Y165" s="34">
        <f t="shared" si="33"/>
        <v>10</v>
      </c>
      <c r="Z165" s="34">
        <f t="shared" si="34"/>
        <v>0</v>
      </c>
      <c r="AA165" s="39">
        <f t="shared" si="35"/>
        <v>0</v>
      </c>
      <c r="AB165" s="34">
        <f t="shared" si="43"/>
        <v>60</v>
      </c>
      <c r="AC165" s="40">
        <f t="shared" si="36"/>
        <v>-45846</v>
      </c>
      <c r="AD165" s="34">
        <f t="shared" si="37"/>
        <v>8035</v>
      </c>
      <c r="AE165" s="34">
        <f t="shared" si="38"/>
        <v>0</v>
      </c>
      <c r="AF165" s="36">
        <f t="shared" si="39"/>
        <v>50</v>
      </c>
      <c r="AG165" s="41">
        <f t="shared" si="40"/>
        <v>0</v>
      </c>
      <c r="AH165" s="70">
        <f t="shared" si="41"/>
        <v>0</v>
      </c>
    </row>
    <row r="166" spans="2:34" x14ac:dyDescent="0.4">
      <c r="B166" s="38" t="s">
        <v>590</v>
      </c>
      <c r="C166" s="34">
        <v>1</v>
      </c>
      <c r="D166" s="34">
        <v>8340</v>
      </c>
      <c r="E166" s="37">
        <v>45854</v>
      </c>
      <c r="F166" s="34"/>
      <c r="G166" s="35"/>
      <c r="H166" s="34">
        <f t="shared" si="24"/>
        <v>10</v>
      </c>
      <c r="I166" s="34">
        <f t="shared" si="25"/>
        <v>0</v>
      </c>
      <c r="J166" s="39">
        <f t="shared" si="26"/>
        <v>0</v>
      </c>
      <c r="K166" s="34">
        <f t="shared" si="42"/>
        <v>60</v>
      </c>
      <c r="L166" s="40">
        <f t="shared" si="27"/>
        <v>-45853</v>
      </c>
      <c r="M166" s="34">
        <f t="shared" si="28"/>
        <v>8340</v>
      </c>
      <c r="N166" s="34">
        <f t="shared" si="29"/>
        <v>0</v>
      </c>
      <c r="O166" s="36">
        <f t="shared" si="30"/>
        <v>50</v>
      </c>
      <c r="P166" s="41">
        <f t="shared" si="31"/>
        <v>0</v>
      </c>
      <c r="Q166" s="70">
        <f t="shared" si="32"/>
        <v>0</v>
      </c>
      <c r="S166" s="38" t="s">
        <v>590</v>
      </c>
      <c r="T166" s="34">
        <v>1</v>
      </c>
      <c r="U166" s="34">
        <v>8340</v>
      </c>
      <c r="V166" s="37">
        <v>45854</v>
      </c>
      <c r="W166" s="34"/>
      <c r="X166" s="35"/>
      <c r="Y166" s="34">
        <f t="shared" si="33"/>
        <v>10</v>
      </c>
      <c r="Z166" s="34">
        <f t="shared" si="34"/>
        <v>0</v>
      </c>
      <c r="AA166" s="39">
        <f t="shared" si="35"/>
        <v>0</v>
      </c>
      <c r="AB166" s="34">
        <f t="shared" si="43"/>
        <v>60</v>
      </c>
      <c r="AC166" s="40">
        <f t="shared" si="36"/>
        <v>-45853</v>
      </c>
      <c r="AD166" s="34">
        <f t="shared" si="37"/>
        <v>8340</v>
      </c>
      <c r="AE166" s="34">
        <f t="shared" si="38"/>
        <v>0</v>
      </c>
      <c r="AF166" s="36">
        <f t="shared" si="39"/>
        <v>50</v>
      </c>
      <c r="AG166" s="41">
        <f t="shared" si="40"/>
        <v>0</v>
      </c>
      <c r="AH166" s="70">
        <f t="shared" si="41"/>
        <v>0</v>
      </c>
    </row>
    <row r="167" spans="2:34" x14ac:dyDescent="0.4">
      <c r="B167" s="38" t="s">
        <v>590</v>
      </c>
      <c r="C167" s="34">
        <v>1</v>
      </c>
      <c r="D167" s="34">
        <v>8620</v>
      </c>
      <c r="E167" s="37">
        <v>45861</v>
      </c>
      <c r="F167" s="34"/>
      <c r="G167" s="35"/>
      <c r="H167" s="34">
        <f t="shared" si="24"/>
        <v>10</v>
      </c>
      <c r="I167" s="34">
        <f t="shared" si="25"/>
        <v>0</v>
      </c>
      <c r="J167" s="39">
        <f t="shared" si="26"/>
        <v>0</v>
      </c>
      <c r="K167" s="34">
        <f t="shared" si="42"/>
        <v>60</v>
      </c>
      <c r="L167" s="40">
        <f t="shared" si="27"/>
        <v>-45860</v>
      </c>
      <c r="M167" s="34">
        <f t="shared" si="28"/>
        <v>8620</v>
      </c>
      <c r="N167" s="34">
        <f t="shared" si="29"/>
        <v>0</v>
      </c>
      <c r="O167" s="36">
        <f t="shared" si="30"/>
        <v>50</v>
      </c>
      <c r="P167" s="41">
        <f t="shared" si="31"/>
        <v>0</v>
      </c>
      <c r="Q167" s="70">
        <f t="shared" si="32"/>
        <v>0</v>
      </c>
      <c r="S167" s="38" t="s">
        <v>590</v>
      </c>
      <c r="T167" s="34">
        <v>1</v>
      </c>
      <c r="U167" s="34">
        <v>8620</v>
      </c>
      <c r="V167" s="37">
        <v>45861</v>
      </c>
      <c r="W167" s="34"/>
      <c r="X167" s="35"/>
      <c r="Y167" s="34">
        <f t="shared" si="33"/>
        <v>10</v>
      </c>
      <c r="Z167" s="34">
        <f t="shared" si="34"/>
        <v>0</v>
      </c>
      <c r="AA167" s="39">
        <f t="shared" si="35"/>
        <v>0</v>
      </c>
      <c r="AB167" s="34">
        <f t="shared" si="43"/>
        <v>60</v>
      </c>
      <c r="AC167" s="40">
        <f t="shared" si="36"/>
        <v>-45860</v>
      </c>
      <c r="AD167" s="34">
        <f t="shared" si="37"/>
        <v>8620</v>
      </c>
      <c r="AE167" s="34">
        <f t="shared" si="38"/>
        <v>0</v>
      </c>
      <c r="AF167" s="36">
        <f t="shared" si="39"/>
        <v>50</v>
      </c>
      <c r="AG167" s="41">
        <f t="shared" si="40"/>
        <v>0</v>
      </c>
      <c r="AH167" s="70">
        <f t="shared" si="41"/>
        <v>0</v>
      </c>
    </row>
    <row r="168" spans="2:34" x14ac:dyDescent="0.4">
      <c r="B168" s="38" t="s">
        <v>590</v>
      </c>
      <c r="C168" s="34">
        <v>1</v>
      </c>
      <c r="D168" s="34">
        <v>8520</v>
      </c>
      <c r="E168" s="37">
        <v>45868</v>
      </c>
      <c r="F168" s="34"/>
      <c r="G168" s="35"/>
      <c r="H168" s="34">
        <f t="shared" si="24"/>
        <v>10</v>
      </c>
      <c r="I168" s="34">
        <f t="shared" si="25"/>
        <v>0</v>
      </c>
      <c r="J168" s="39">
        <f t="shared" si="26"/>
        <v>0</v>
      </c>
      <c r="K168" s="34">
        <f t="shared" ref="K168:K181" si="44">15*C168+10*C168</f>
        <v>25</v>
      </c>
      <c r="L168" s="40">
        <f t="shared" si="27"/>
        <v>-45867</v>
      </c>
      <c r="M168" s="34">
        <f t="shared" si="28"/>
        <v>8520</v>
      </c>
      <c r="N168" s="34">
        <f t="shared" si="29"/>
        <v>0</v>
      </c>
      <c r="O168" s="36">
        <f t="shared" si="30"/>
        <v>15</v>
      </c>
      <c r="P168" s="41">
        <f t="shared" si="31"/>
        <v>0</v>
      </c>
      <c r="Q168" s="70">
        <f t="shared" si="32"/>
        <v>0</v>
      </c>
      <c r="S168" s="38" t="s">
        <v>590</v>
      </c>
      <c r="T168" s="34">
        <v>1</v>
      </c>
      <c r="U168" s="34">
        <v>8520</v>
      </c>
      <c r="V168" s="37">
        <v>45868</v>
      </c>
      <c r="W168" s="34"/>
      <c r="X168" s="35"/>
      <c r="Y168" s="34">
        <f t="shared" si="33"/>
        <v>10</v>
      </c>
      <c r="Z168" s="34">
        <f t="shared" si="34"/>
        <v>0</v>
      </c>
      <c r="AA168" s="39">
        <f t="shared" si="35"/>
        <v>0</v>
      </c>
      <c r="AB168" s="34">
        <f t="shared" ref="AB168:AB181" si="45">15*T168+10*T168</f>
        <v>25</v>
      </c>
      <c r="AC168" s="40">
        <f t="shared" si="36"/>
        <v>-45867</v>
      </c>
      <c r="AD168" s="34">
        <f t="shared" si="37"/>
        <v>8520</v>
      </c>
      <c r="AE168" s="34">
        <f t="shared" si="38"/>
        <v>0</v>
      </c>
      <c r="AF168" s="36">
        <f t="shared" si="39"/>
        <v>15</v>
      </c>
      <c r="AG168" s="41">
        <f t="shared" si="40"/>
        <v>0</v>
      </c>
      <c r="AH168" s="70">
        <f t="shared" si="41"/>
        <v>0</v>
      </c>
    </row>
    <row r="169" spans="2:34" x14ac:dyDescent="0.4">
      <c r="B169" s="38" t="s">
        <v>590</v>
      </c>
      <c r="C169" s="34">
        <v>1</v>
      </c>
      <c r="D169" s="34">
        <v>8410</v>
      </c>
      <c r="E169" s="37">
        <v>45875</v>
      </c>
      <c r="F169" s="34"/>
      <c r="G169" s="35"/>
      <c r="H169" s="34">
        <f t="shared" si="24"/>
        <v>10</v>
      </c>
      <c r="I169" s="34">
        <f t="shared" si="25"/>
        <v>0</v>
      </c>
      <c r="J169" s="39">
        <f t="shared" si="26"/>
        <v>0</v>
      </c>
      <c r="K169" s="34">
        <f t="shared" si="44"/>
        <v>25</v>
      </c>
      <c r="L169" s="40">
        <f t="shared" si="27"/>
        <v>-45874</v>
      </c>
      <c r="M169" s="34">
        <f t="shared" si="28"/>
        <v>8410</v>
      </c>
      <c r="N169" s="34">
        <f t="shared" si="29"/>
        <v>0</v>
      </c>
      <c r="O169" s="36">
        <f t="shared" si="30"/>
        <v>15</v>
      </c>
      <c r="P169" s="41">
        <f t="shared" si="31"/>
        <v>0</v>
      </c>
      <c r="Q169" s="70">
        <f t="shared" si="32"/>
        <v>0</v>
      </c>
      <c r="S169" s="38" t="s">
        <v>590</v>
      </c>
      <c r="T169" s="34">
        <v>1</v>
      </c>
      <c r="U169" s="34">
        <v>8410</v>
      </c>
      <c r="V169" s="37">
        <v>45875</v>
      </c>
      <c r="W169" s="34"/>
      <c r="X169" s="35"/>
      <c r="Y169" s="34">
        <f t="shared" si="33"/>
        <v>10</v>
      </c>
      <c r="Z169" s="34">
        <f t="shared" si="34"/>
        <v>0</v>
      </c>
      <c r="AA169" s="39">
        <f t="shared" si="35"/>
        <v>0</v>
      </c>
      <c r="AB169" s="34">
        <f t="shared" si="45"/>
        <v>25</v>
      </c>
      <c r="AC169" s="40">
        <f t="shared" si="36"/>
        <v>-45874</v>
      </c>
      <c r="AD169" s="34">
        <f t="shared" si="37"/>
        <v>8410</v>
      </c>
      <c r="AE169" s="34">
        <f t="shared" si="38"/>
        <v>0</v>
      </c>
      <c r="AF169" s="36">
        <f t="shared" si="39"/>
        <v>15</v>
      </c>
      <c r="AG169" s="41">
        <f t="shared" si="40"/>
        <v>0</v>
      </c>
      <c r="AH169" s="70">
        <f t="shared" si="41"/>
        <v>0</v>
      </c>
    </row>
    <row r="170" spans="2:34" x14ac:dyDescent="0.4">
      <c r="B170" s="38" t="s">
        <v>590</v>
      </c>
      <c r="C170" s="34">
        <v>1</v>
      </c>
      <c r="D170" s="34">
        <v>8350</v>
      </c>
      <c r="E170" s="37">
        <v>45882</v>
      </c>
      <c r="F170" s="34"/>
      <c r="G170" s="35"/>
      <c r="H170" s="34">
        <f t="shared" si="24"/>
        <v>10</v>
      </c>
      <c r="I170" s="34">
        <f t="shared" si="25"/>
        <v>0</v>
      </c>
      <c r="J170" s="39">
        <f t="shared" si="26"/>
        <v>0</v>
      </c>
      <c r="K170" s="34">
        <f t="shared" si="44"/>
        <v>25</v>
      </c>
      <c r="L170" s="40">
        <f t="shared" si="27"/>
        <v>-45881</v>
      </c>
      <c r="M170" s="34">
        <f t="shared" si="28"/>
        <v>8350</v>
      </c>
      <c r="N170" s="34">
        <f t="shared" si="29"/>
        <v>0</v>
      </c>
      <c r="O170" s="36">
        <f t="shared" si="30"/>
        <v>15</v>
      </c>
      <c r="P170" s="41">
        <f t="shared" si="31"/>
        <v>0</v>
      </c>
      <c r="Q170" s="70">
        <f t="shared" si="32"/>
        <v>0</v>
      </c>
      <c r="S170" s="38" t="s">
        <v>590</v>
      </c>
      <c r="T170" s="34">
        <v>1</v>
      </c>
      <c r="U170" s="34">
        <v>8350</v>
      </c>
      <c r="V170" s="37">
        <v>45882</v>
      </c>
      <c r="W170" s="34"/>
      <c r="X170" s="35"/>
      <c r="Y170" s="34">
        <f t="shared" si="33"/>
        <v>10</v>
      </c>
      <c r="Z170" s="34">
        <f t="shared" si="34"/>
        <v>0</v>
      </c>
      <c r="AA170" s="39">
        <f t="shared" si="35"/>
        <v>0</v>
      </c>
      <c r="AB170" s="34">
        <f t="shared" si="45"/>
        <v>25</v>
      </c>
      <c r="AC170" s="40">
        <f t="shared" si="36"/>
        <v>-45881</v>
      </c>
      <c r="AD170" s="34">
        <f t="shared" si="37"/>
        <v>8350</v>
      </c>
      <c r="AE170" s="34">
        <f t="shared" si="38"/>
        <v>0</v>
      </c>
      <c r="AF170" s="36">
        <f t="shared" si="39"/>
        <v>15</v>
      </c>
      <c r="AG170" s="41">
        <f t="shared" si="40"/>
        <v>0</v>
      </c>
      <c r="AH170" s="70">
        <f t="shared" si="41"/>
        <v>0</v>
      </c>
    </row>
    <row r="171" spans="2:34" x14ac:dyDescent="0.4">
      <c r="B171" s="38" t="s">
        <v>590</v>
      </c>
      <c r="C171" s="34">
        <v>1</v>
      </c>
      <c r="D171" s="34">
        <v>8455</v>
      </c>
      <c r="E171" s="37">
        <v>45889</v>
      </c>
      <c r="F171" s="34"/>
      <c r="G171" s="35"/>
      <c r="H171" s="34">
        <f t="shared" si="24"/>
        <v>10</v>
      </c>
      <c r="I171" s="34">
        <f t="shared" si="25"/>
        <v>0</v>
      </c>
      <c r="J171" s="39">
        <f t="shared" si="26"/>
        <v>0</v>
      </c>
      <c r="K171" s="34">
        <f t="shared" si="44"/>
        <v>25</v>
      </c>
      <c r="L171" s="40">
        <f t="shared" si="27"/>
        <v>-45888</v>
      </c>
      <c r="M171" s="34">
        <f t="shared" si="28"/>
        <v>8455</v>
      </c>
      <c r="N171" s="34">
        <f t="shared" si="29"/>
        <v>0</v>
      </c>
      <c r="O171" s="36">
        <f t="shared" si="30"/>
        <v>15</v>
      </c>
      <c r="P171" s="41">
        <f t="shared" si="31"/>
        <v>0</v>
      </c>
      <c r="Q171" s="70">
        <f t="shared" si="32"/>
        <v>0</v>
      </c>
      <c r="S171" s="38" t="s">
        <v>590</v>
      </c>
      <c r="T171" s="34">
        <v>1</v>
      </c>
      <c r="U171" s="34">
        <v>8455</v>
      </c>
      <c r="V171" s="37">
        <v>45889</v>
      </c>
      <c r="W171" s="34"/>
      <c r="X171" s="35"/>
      <c r="Y171" s="34">
        <f t="shared" si="33"/>
        <v>10</v>
      </c>
      <c r="Z171" s="34">
        <f t="shared" si="34"/>
        <v>0</v>
      </c>
      <c r="AA171" s="39">
        <f t="shared" si="35"/>
        <v>0</v>
      </c>
      <c r="AB171" s="34">
        <f t="shared" si="45"/>
        <v>25</v>
      </c>
      <c r="AC171" s="40">
        <f t="shared" si="36"/>
        <v>-45888</v>
      </c>
      <c r="AD171" s="34">
        <f t="shared" si="37"/>
        <v>8455</v>
      </c>
      <c r="AE171" s="34">
        <f t="shared" si="38"/>
        <v>0</v>
      </c>
      <c r="AF171" s="36">
        <f t="shared" si="39"/>
        <v>15</v>
      </c>
      <c r="AG171" s="41">
        <f t="shared" si="40"/>
        <v>0</v>
      </c>
      <c r="AH171" s="70">
        <f t="shared" si="41"/>
        <v>0</v>
      </c>
    </row>
    <row r="172" spans="2:34" x14ac:dyDescent="0.4">
      <c r="B172" s="38" t="s">
        <v>590</v>
      </c>
      <c r="C172" s="34">
        <v>1</v>
      </c>
      <c r="D172" s="34">
        <v>8945</v>
      </c>
      <c r="E172" s="37">
        <v>45896</v>
      </c>
      <c r="F172" s="34"/>
      <c r="G172" s="35"/>
      <c r="H172" s="34">
        <f t="shared" si="24"/>
        <v>10</v>
      </c>
      <c r="I172" s="34">
        <f t="shared" si="25"/>
        <v>0</v>
      </c>
      <c r="J172" s="39">
        <f t="shared" si="26"/>
        <v>0</v>
      </c>
      <c r="K172" s="34">
        <f t="shared" si="44"/>
        <v>25</v>
      </c>
      <c r="L172" s="40">
        <f t="shared" si="27"/>
        <v>-45895</v>
      </c>
      <c r="M172" s="34">
        <f t="shared" si="28"/>
        <v>8945</v>
      </c>
      <c r="N172" s="34">
        <f t="shared" si="29"/>
        <v>0</v>
      </c>
      <c r="O172" s="36">
        <f t="shared" si="30"/>
        <v>15</v>
      </c>
      <c r="P172" s="41">
        <f t="shared" si="31"/>
        <v>0</v>
      </c>
      <c r="Q172" s="70">
        <f t="shared" si="32"/>
        <v>0</v>
      </c>
      <c r="S172" s="38" t="s">
        <v>590</v>
      </c>
      <c r="T172" s="34">
        <v>1</v>
      </c>
      <c r="U172" s="34">
        <v>8945</v>
      </c>
      <c r="V172" s="37">
        <v>45896</v>
      </c>
      <c r="W172" s="34"/>
      <c r="X172" s="35"/>
      <c r="Y172" s="34">
        <f t="shared" si="33"/>
        <v>10</v>
      </c>
      <c r="Z172" s="34">
        <f t="shared" si="34"/>
        <v>0</v>
      </c>
      <c r="AA172" s="39">
        <f t="shared" si="35"/>
        <v>0</v>
      </c>
      <c r="AB172" s="34">
        <f t="shared" si="45"/>
        <v>25</v>
      </c>
      <c r="AC172" s="40">
        <f t="shared" si="36"/>
        <v>-45895</v>
      </c>
      <c r="AD172" s="34">
        <f t="shared" si="37"/>
        <v>8945</v>
      </c>
      <c r="AE172" s="34">
        <f t="shared" si="38"/>
        <v>0</v>
      </c>
      <c r="AF172" s="36">
        <f t="shared" si="39"/>
        <v>15</v>
      </c>
      <c r="AG172" s="41">
        <f t="shared" si="40"/>
        <v>0</v>
      </c>
      <c r="AH172" s="70">
        <f t="shared" si="41"/>
        <v>0</v>
      </c>
    </row>
    <row r="173" spans="2:34" x14ac:dyDescent="0.4">
      <c r="B173" s="38" t="s">
        <v>590</v>
      </c>
      <c r="C173" s="34">
        <v>1</v>
      </c>
      <c r="D173" s="34">
        <v>8865</v>
      </c>
      <c r="E173" s="37">
        <v>45903</v>
      </c>
      <c r="F173" s="34"/>
      <c r="G173" s="35"/>
      <c r="H173" s="34">
        <f t="shared" si="24"/>
        <v>10</v>
      </c>
      <c r="I173" s="34">
        <f t="shared" si="25"/>
        <v>0</v>
      </c>
      <c r="J173" s="39">
        <f t="shared" si="26"/>
        <v>0</v>
      </c>
      <c r="K173" s="34">
        <f t="shared" si="44"/>
        <v>25</v>
      </c>
      <c r="L173" s="40">
        <f t="shared" si="27"/>
        <v>-45902</v>
      </c>
      <c r="M173" s="34">
        <f t="shared" si="28"/>
        <v>8865</v>
      </c>
      <c r="N173" s="34">
        <f t="shared" si="29"/>
        <v>0</v>
      </c>
      <c r="O173" s="36">
        <f t="shared" si="30"/>
        <v>15</v>
      </c>
      <c r="P173" s="41">
        <f t="shared" si="31"/>
        <v>0</v>
      </c>
      <c r="Q173" s="70">
        <f t="shared" si="32"/>
        <v>0</v>
      </c>
      <c r="S173" s="38" t="s">
        <v>590</v>
      </c>
      <c r="T173" s="34">
        <v>1</v>
      </c>
      <c r="U173" s="34">
        <v>8865</v>
      </c>
      <c r="V173" s="37">
        <v>45903</v>
      </c>
      <c r="W173" s="34"/>
      <c r="X173" s="35"/>
      <c r="Y173" s="34">
        <f t="shared" si="33"/>
        <v>10</v>
      </c>
      <c r="Z173" s="34">
        <f t="shared" si="34"/>
        <v>0</v>
      </c>
      <c r="AA173" s="39">
        <f t="shared" si="35"/>
        <v>0</v>
      </c>
      <c r="AB173" s="34">
        <f t="shared" si="45"/>
        <v>25</v>
      </c>
      <c r="AC173" s="40">
        <f t="shared" si="36"/>
        <v>-45902</v>
      </c>
      <c r="AD173" s="34">
        <f t="shared" si="37"/>
        <v>8865</v>
      </c>
      <c r="AE173" s="34">
        <f t="shared" si="38"/>
        <v>0</v>
      </c>
      <c r="AF173" s="36">
        <f t="shared" si="39"/>
        <v>15</v>
      </c>
      <c r="AG173" s="41">
        <f t="shared" si="40"/>
        <v>0</v>
      </c>
      <c r="AH173" s="70">
        <f t="shared" si="41"/>
        <v>0</v>
      </c>
    </row>
    <row r="174" spans="2:34" x14ac:dyDescent="0.4">
      <c r="B174" s="38" t="s">
        <v>590</v>
      </c>
      <c r="C174" s="34">
        <v>1</v>
      </c>
      <c r="D174" s="34">
        <v>8990</v>
      </c>
      <c r="E174" s="37">
        <v>45910</v>
      </c>
      <c r="F174" s="34"/>
      <c r="G174" s="35"/>
      <c r="H174" s="34">
        <f t="shared" si="24"/>
        <v>10</v>
      </c>
      <c r="I174" s="34">
        <f t="shared" si="25"/>
        <v>0</v>
      </c>
      <c r="J174" s="39">
        <f t="shared" si="26"/>
        <v>0</v>
      </c>
      <c r="K174" s="34">
        <f t="shared" si="44"/>
        <v>25</v>
      </c>
      <c r="L174" s="40">
        <f t="shared" si="27"/>
        <v>-45909</v>
      </c>
      <c r="M174" s="34">
        <f t="shared" si="28"/>
        <v>8990</v>
      </c>
      <c r="N174" s="34">
        <f t="shared" si="29"/>
        <v>0</v>
      </c>
      <c r="O174" s="36">
        <f t="shared" si="30"/>
        <v>15</v>
      </c>
      <c r="P174" s="41">
        <f t="shared" si="31"/>
        <v>0</v>
      </c>
      <c r="Q174" s="70">
        <f t="shared" si="32"/>
        <v>0</v>
      </c>
      <c r="S174" s="38" t="s">
        <v>590</v>
      </c>
      <c r="T174" s="34">
        <v>1</v>
      </c>
      <c r="U174" s="34">
        <v>8990</v>
      </c>
      <c r="V174" s="37">
        <v>45910</v>
      </c>
      <c r="W174" s="34"/>
      <c r="X174" s="35"/>
      <c r="Y174" s="34">
        <f t="shared" si="33"/>
        <v>10</v>
      </c>
      <c r="Z174" s="34">
        <f t="shared" si="34"/>
        <v>0</v>
      </c>
      <c r="AA174" s="39">
        <f t="shared" si="35"/>
        <v>0</v>
      </c>
      <c r="AB174" s="34">
        <f t="shared" si="45"/>
        <v>25</v>
      </c>
      <c r="AC174" s="40">
        <f t="shared" si="36"/>
        <v>-45909</v>
      </c>
      <c r="AD174" s="34">
        <f t="shared" si="37"/>
        <v>8990</v>
      </c>
      <c r="AE174" s="34">
        <f t="shared" si="38"/>
        <v>0</v>
      </c>
      <c r="AF174" s="36">
        <f t="shared" si="39"/>
        <v>15</v>
      </c>
      <c r="AG174" s="41">
        <f t="shared" si="40"/>
        <v>0</v>
      </c>
      <c r="AH174" s="70">
        <f t="shared" si="41"/>
        <v>0</v>
      </c>
    </row>
    <row r="175" spans="2:34" x14ac:dyDescent="0.4">
      <c r="B175" s="38" t="s">
        <v>590</v>
      </c>
      <c r="C175" s="34">
        <v>1</v>
      </c>
      <c r="D175" s="34">
        <v>9385</v>
      </c>
      <c r="E175" s="37">
        <v>45917</v>
      </c>
      <c r="F175" s="34"/>
      <c r="G175" s="35"/>
      <c r="H175" s="34">
        <f t="shared" si="24"/>
        <v>10</v>
      </c>
      <c r="I175" s="34">
        <f t="shared" si="25"/>
        <v>0</v>
      </c>
      <c r="J175" s="39">
        <f t="shared" si="26"/>
        <v>0</v>
      </c>
      <c r="K175" s="34">
        <f t="shared" si="44"/>
        <v>25</v>
      </c>
      <c r="L175" s="40">
        <f t="shared" si="27"/>
        <v>-45916</v>
      </c>
      <c r="M175" s="34">
        <f t="shared" si="28"/>
        <v>9385</v>
      </c>
      <c r="N175" s="34">
        <f t="shared" si="29"/>
        <v>0</v>
      </c>
      <c r="O175" s="36">
        <f t="shared" si="30"/>
        <v>15</v>
      </c>
      <c r="P175" s="41">
        <f t="shared" si="31"/>
        <v>0</v>
      </c>
      <c r="Q175" s="70">
        <f t="shared" si="32"/>
        <v>0</v>
      </c>
      <c r="S175" s="38" t="s">
        <v>590</v>
      </c>
      <c r="T175" s="34">
        <v>1</v>
      </c>
      <c r="U175" s="34">
        <v>9385</v>
      </c>
      <c r="V175" s="37">
        <v>45917</v>
      </c>
      <c r="W175" s="34"/>
      <c r="X175" s="35"/>
      <c r="Y175" s="34">
        <f t="shared" si="33"/>
        <v>10</v>
      </c>
      <c r="Z175" s="34">
        <f t="shared" si="34"/>
        <v>0</v>
      </c>
      <c r="AA175" s="39">
        <f t="shared" si="35"/>
        <v>0</v>
      </c>
      <c r="AB175" s="34">
        <f t="shared" si="45"/>
        <v>25</v>
      </c>
      <c r="AC175" s="40">
        <f t="shared" si="36"/>
        <v>-45916</v>
      </c>
      <c r="AD175" s="34">
        <f t="shared" si="37"/>
        <v>9385</v>
      </c>
      <c r="AE175" s="34">
        <f t="shared" si="38"/>
        <v>0</v>
      </c>
      <c r="AF175" s="36">
        <f t="shared" si="39"/>
        <v>15</v>
      </c>
      <c r="AG175" s="41">
        <f t="shared" si="40"/>
        <v>0</v>
      </c>
      <c r="AH175" s="70">
        <f t="shared" si="41"/>
        <v>0</v>
      </c>
    </row>
    <row r="176" spans="2:34" x14ac:dyDescent="0.4">
      <c r="B176" s="38" t="s">
        <v>590</v>
      </c>
      <c r="C176" s="34">
        <v>1</v>
      </c>
      <c r="D176" s="34">
        <v>9515</v>
      </c>
      <c r="E176" s="37">
        <v>45924</v>
      </c>
      <c r="F176" s="34"/>
      <c r="G176" s="35"/>
      <c r="H176" s="34">
        <f t="shared" si="24"/>
        <v>10</v>
      </c>
      <c r="I176" s="34">
        <f t="shared" si="25"/>
        <v>0</v>
      </c>
      <c r="J176" s="39">
        <f t="shared" si="26"/>
        <v>0</v>
      </c>
      <c r="K176" s="34">
        <f t="shared" si="44"/>
        <v>25</v>
      </c>
      <c r="L176" s="40">
        <f t="shared" si="27"/>
        <v>-45923</v>
      </c>
      <c r="M176" s="34">
        <f t="shared" si="28"/>
        <v>9515</v>
      </c>
      <c r="N176" s="34">
        <f t="shared" si="29"/>
        <v>0</v>
      </c>
      <c r="O176" s="36">
        <f t="shared" si="30"/>
        <v>15</v>
      </c>
      <c r="P176" s="41">
        <f t="shared" si="31"/>
        <v>0</v>
      </c>
      <c r="Q176" s="70">
        <f t="shared" si="32"/>
        <v>0</v>
      </c>
      <c r="S176" s="38" t="s">
        <v>590</v>
      </c>
      <c r="T176" s="34">
        <v>1</v>
      </c>
      <c r="U176" s="34">
        <v>9515</v>
      </c>
      <c r="V176" s="37">
        <v>45924</v>
      </c>
      <c r="W176" s="34"/>
      <c r="X176" s="35"/>
      <c r="Y176" s="34">
        <f t="shared" si="33"/>
        <v>10</v>
      </c>
      <c r="Z176" s="34">
        <f t="shared" si="34"/>
        <v>0</v>
      </c>
      <c r="AA176" s="39">
        <f t="shared" si="35"/>
        <v>0</v>
      </c>
      <c r="AB176" s="34">
        <f t="shared" si="45"/>
        <v>25</v>
      </c>
      <c r="AC176" s="40">
        <f t="shared" si="36"/>
        <v>-45923</v>
      </c>
      <c r="AD176" s="34">
        <f t="shared" si="37"/>
        <v>9515</v>
      </c>
      <c r="AE176" s="34">
        <f t="shared" si="38"/>
        <v>0</v>
      </c>
      <c r="AF176" s="36">
        <f t="shared" si="39"/>
        <v>15</v>
      </c>
      <c r="AG176" s="41">
        <f t="shared" si="40"/>
        <v>0</v>
      </c>
      <c r="AH176" s="70">
        <f t="shared" si="41"/>
        <v>0</v>
      </c>
    </row>
    <row r="177" spans="2:34" x14ac:dyDescent="0.4">
      <c r="B177" s="38" t="s">
        <v>590</v>
      </c>
      <c r="C177" s="34">
        <v>1</v>
      </c>
      <c r="D177" s="34">
        <v>10025</v>
      </c>
      <c r="E177" s="37">
        <v>45931</v>
      </c>
      <c r="F177" s="34"/>
      <c r="G177" s="35"/>
      <c r="H177" s="34">
        <f t="shared" si="24"/>
        <v>10</v>
      </c>
      <c r="I177" s="34">
        <f t="shared" si="25"/>
        <v>0</v>
      </c>
      <c r="J177" s="39">
        <f t="shared" si="26"/>
        <v>0</v>
      </c>
      <c r="K177" s="34">
        <f t="shared" si="44"/>
        <v>25</v>
      </c>
      <c r="L177" s="40">
        <f t="shared" si="27"/>
        <v>-45930</v>
      </c>
      <c r="M177" s="34">
        <f t="shared" si="28"/>
        <v>10025</v>
      </c>
      <c r="N177" s="34">
        <f t="shared" si="29"/>
        <v>0</v>
      </c>
      <c r="O177" s="36">
        <f t="shared" si="30"/>
        <v>15</v>
      </c>
      <c r="P177" s="41">
        <f t="shared" si="31"/>
        <v>0</v>
      </c>
      <c r="Q177" s="70">
        <f t="shared" si="32"/>
        <v>0</v>
      </c>
      <c r="S177" s="38" t="s">
        <v>590</v>
      </c>
      <c r="T177" s="34">
        <v>1</v>
      </c>
      <c r="U177" s="34">
        <v>10025</v>
      </c>
      <c r="V177" s="37">
        <v>45931</v>
      </c>
      <c r="W177" s="34"/>
      <c r="X177" s="35"/>
      <c r="Y177" s="34">
        <f t="shared" si="33"/>
        <v>10</v>
      </c>
      <c r="Z177" s="34">
        <f t="shared" si="34"/>
        <v>0</v>
      </c>
      <c r="AA177" s="39">
        <f t="shared" si="35"/>
        <v>0</v>
      </c>
      <c r="AB177" s="34">
        <f t="shared" si="45"/>
        <v>25</v>
      </c>
      <c r="AC177" s="40">
        <f t="shared" si="36"/>
        <v>-45930</v>
      </c>
      <c r="AD177" s="34">
        <f t="shared" si="37"/>
        <v>10025</v>
      </c>
      <c r="AE177" s="34">
        <f t="shared" si="38"/>
        <v>0</v>
      </c>
      <c r="AF177" s="36">
        <f t="shared" si="39"/>
        <v>15</v>
      </c>
      <c r="AG177" s="41">
        <f t="shared" si="40"/>
        <v>0</v>
      </c>
      <c r="AH177" s="70">
        <f t="shared" si="41"/>
        <v>0</v>
      </c>
    </row>
    <row r="178" spans="2:34" x14ac:dyDescent="0.4">
      <c r="B178" s="38" t="s">
        <v>590</v>
      </c>
      <c r="C178" s="34">
        <v>1</v>
      </c>
      <c r="D178" s="34">
        <v>10200</v>
      </c>
      <c r="E178" s="37">
        <v>45940</v>
      </c>
      <c r="F178" s="34"/>
      <c r="G178" s="35"/>
      <c r="H178" s="34">
        <f t="shared" si="24"/>
        <v>10</v>
      </c>
      <c r="I178" s="34">
        <f t="shared" si="25"/>
        <v>0</v>
      </c>
      <c r="J178" s="39">
        <f t="shared" si="26"/>
        <v>0</v>
      </c>
      <c r="K178" s="34">
        <f t="shared" si="44"/>
        <v>25</v>
      </c>
      <c r="L178" s="40">
        <f t="shared" si="27"/>
        <v>-45939</v>
      </c>
      <c r="M178" s="34">
        <f t="shared" si="28"/>
        <v>10200</v>
      </c>
      <c r="N178" s="34">
        <f t="shared" si="29"/>
        <v>0</v>
      </c>
      <c r="O178" s="36">
        <f t="shared" si="30"/>
        <v>15</v>
      </c>
      <c r="P178" s="41">
        <f t="shared" si="31"/>
        <v>0</v>
      </c>
      <c r="Q178" s="70">
        <f t="shared" si="32"/>
        <v>0</v>
      </c>
      <c r="S178" s="38" t="s">
        <v>590</v>
      </c>
      <c r="T178" s="34">
        <v>1</v>
      </c>
      <c r="U178" s="34">
        <v>10200</v>
      </c>
      <c r="V178" s="37">
        <v>45940</v>
      </c>
      <c r="W178" s="34"/>
      <c r="X178" s="35"/>
      <c r="Y178" s="34">
        <f t="shared" si="33"/>
        <v>10</v>
      </c>
      <c r="Z178" s="34">
        <f t="shared" si="34"/>
        <v>0</v>
      </c>
      <c r="AA178" s="39">
        <f t="shared" si="35"/>
        <v>0</v>
      </c>
      <c r="AB178" s="34">
        <f t="shared" si="45"/>
        <v>25</v>
      </c>
      <c r="AC178" s="40">
        <f t="shared" si="36"/>
        <v>-45939</v>
      </c>
      <c r="AD178" s="34">
        <f t="shared" si="37"/>
        <v>10200</v>
      </c>
      <c r="AE178" s="34">
        <f t="shared" si="38"/>
        <v>0</v>
      </c>
      <c r="AF178" s="36">
        <f t="shared" si="39"/>
        <v>15</v>
      </c>
      <c r="AG178" s="41">
        <f t="shared" si="40"/>
        <v>0</v>
      </c>
      <c r="AH178" s="70">
        <f t="shared" si="41"/>
        <v>0</v>
      </c>
    </row>
    <row r="179" spans="2:34" x14ac:dyDescent="0.4">
      <c r="B179" s="38" t="s">
        <v>590</v>
      </c>
      <c r="C179" s="34">
        <v>1</v>
      </c>
      <c r="D179" s="34">
        <v>9475</v>
      </c>
      <c r="E179" s="37">
        <v>45945</v>
      </c>
      <c r="F179" s="34"/>
      <c r="G179" s="35"/>
      <c r="H179" s="34">
        <f t="shared" si="24"/>
        <v>10</v>
      </c>
      <c r="I179" s="34">
        <f t="shared" si="25"/>
        <v>0</v>
      </c>
      <c r="J179" s="39">
        <f t="shared" si="26"/>
        <v>0</v>
      </c>
      <c r="K179" s="34">
        <f t="shared" si="44"/>
        <v>25</v>
      </c>
      <c r="L179" s="40">
        <f t="shared" si="27"/>
        <v>-45944</v>
      </c>
      <c r="M179" s="34">
        <f t="shared" si="28"/>
        <v>9475</v>
      </c>
      <c r="N179" s="34">
        <f t="shared" si="29"/>
        <v>0</v>
      </c>
      <c r="O179" s="36">
        <f t="shared" si="30"/>
        <v>15</v>
      </c>
      <c r="P179" s="41">
        <f t="shared" si="31"/>
        <v>0</v>
      </c>
      <c r="Q179" s="70">
        <f t="shared" si="32"/>
        <v>0</v>
      </c>
      <c r="S179" s="38" t="s">
        <v>590</v>
      </c>
      <c r="T179" s="34">
        <v>1</v>
      </c>
      <c r="U179" s="34">
        <v>9475</v>
      </c>
      <c r="V179" s="37">
        <v>45945</v>
      </c>
      <c r="W179" s="34"/>
      <c r="X179" s="35"/>
      <c r="Y179" s="34">
        <f t="shared" si="33"/>
        <v>10</v>
      </c>
      <c r="Z179" s="34">
        <f t="shared" si="34"/>
        <v>0</v>
      </c>
      <c r="AA179" s="39">
        <f t="shared" si="35"/>
        <v>0</v>
      </c>
      <c r="AB179" s="34">
        <f t="shared" si="45"/>
        <v>25</v>
      </c>
      <c r="AC179" s="40">
        <f t="shared" si="36"/>
        <v>-45944</v>
      </c>
      <c r="AD179" s="34">
        <f t="shared" si="37"/>
        <v>9475</v>
      </c>
      <c r="AE179" s="34">
        <f t="shared" si="38"/>
        <v>0</v>
      </c>
      <c r="AF179" s="36">
        <f t="shared" si="39"/>
        <v>15</v>
      </c>
      <c r="AG179" s="41">
        <f t="shared" si="40"/>
        <v>0</v>
      </c>
      <c r="AH179" s="70">
        <f t="shared" si="41"/>
        <v>0</v>
      </c>
    </row>
    <row r="180" spans="2:34" x14ac:dyDescent="0.4">
      <c r="B180" s="38" t="s">
        <v>590</v>
      </c>
      <c r="C180" s="34">
        <v>1</v>
      </c>
      <c r="D180" s="34">
        <v>9515</v>
      </c>
      <c r="E180" s="37">
        <v>45952</v>
      </c>
      <c r="F180" s="34"/>
      <c r="G180" s="35"/>
      <c r="H180" s="34">
        <f t="shared" si="24"/>
        <v>10</v>
      </c>
      <c r="I180" s="34">
        <f t="shared" si="25"/>
        <v>0</v>
      </c>
      <c r="J180" s="39">
        <f t="shared" si="26"/>
        <v>0</v>
      </c>
      <c r="K180" s="34">
        <f t="shared" si="44"/>
        <v>25</v>
      </c>
      <c r="L180" s="40">
        <f t="shared" si="27"/>
        <v>-45951</v>
      </c>
      <c r="M180" s="34">
        <f t="shared" si="28"/>
        <v>9515</v>
      </c>
      <c r="N180" s="34">
        <f t="shared" si="29"/>
        <v>0</v>
      </c>
      <c r="O180" s="36">
        <f t="shared" si="30"/>
        <v>15</v>
      </c>
      <c r="P180" s="41">
        <f t="shared" si="31"/>
        <v>0</v>
      </c>
      <c r="Q180" s="70">
        <f t="shared" si="32"/>
        <v>0</v>
      </c>
      <c r="S180" s="38" t="s">
        <v>590</v>
      </c>
      <c r="T180" s="34">
        <v>1</v>
      </c>
      <c r="U180" s="34">
        <v>9515</v>
      </c>
      <c r="V180" s="37">
        <v>45952</v>
      </c>
      <c r="W180" s="34"/>
      <c r="X180" s="35"/>
      <c r="Y180" s="34">
        <f t="shared" si="33"/>
        <v>10</v>
      </c>
      <c r="Z180" s="34">
        <f t="shared" si="34"/>
        <v>0</v>
      </c>
      <c r="AA180" s="39">
        <f t="shared" si="35"/>
        <v>0</v>
      </c>
      <c r="AB180" s="34">
        <f t="shared" si="45"/>
        <v>25</v>
      </c>
      <c r="AC180" s="40">
        <f t="shared" si="36"/>
        <v>-45951</v>
      </c>
      <c r="AD180" s="34">
        <f t="shared" si="37"/>
        <v>9515</v>
      </c>
      <c r="AE180" s="34">
        <f t="shared" si="38"/>
        <v>0</v>
      </c>
      <c r="AF180" s="36">
        <f t="shared" si="39"/>
        <v>15</v>
      </c>
      <c r="AG180" s="41">
        <f t="shared" si="40"/>
        <v>0</v>
      </c>
      <c r="AH180" s="70">
        <f t="shared" si="41"/>
        <v>0</v>
      </c>
    </row>
    <row r="181" spans="2:34" x14ac:dyDescent="0.4">
      <c r="B181" s="38" t="s">
        <v>590</v>
      </c>
      <c r="C181" s="34">
        <v>1</v>
      </c>
      <c r="D181" s="34">
        <v>9785</v>
      </c>
      <c r="E181" s="37">
        <v>45959</v>
      </c>
      <c r="F181" s="34"/>
      <c r="G181" s="35"/>
      <c r="H181" s="34">
        <f t="shared" si="24"/>
        <v>10</v>
      </c>
      <c r="I181" s="34">
        <f t="shared" si="25"/>
        <v>0</v>
      </c>
      <c r="J181" s="39">
        <f t="shared" ref="J181:J212" si="46">N181*0.002</f>
        <v>0</v>
      </c>
      <c r="K181" s="34">
        <f t="shared" si="44"/>
        <v>25</v>
      </c>
      <c r="L181" s="40">
        <f t="shared" si="27"/>
        <v>-45958</v>
      </c>
      <c r="M181" s="34">
        <f t="shared" si="28"/>
        <v>9785</v>
      </c>
      <c r="N181" s="34">
        <f t="shared" si="29"/>
        <v>0</v>
      </c>
      <c r="O181" s="36">
        <f t="shared" si="30"/>
        <v>15</v>
      </c>
      <c r="P181" s="41">
        <f t="shared" si="31"/>
        <v>0</v>
      </c>
      <c r="Q181" s="70">
        <f t="shared" si="32"/>
        <v>0</v>
      </c>
      <c r="S181" s="38" t="s">
        <v>590</v>
      </c>
      <c r="T181" s="34">
        <v>1</v>
      </c>
      <c r="U181" s="34">
        <v>9785</v>
      </c>
      <c r="V181" s="37">
        <v>45959</v>
      </c>
      <c r="W181" s="34"/>
      <c r="X181" s="35"/>
      <c r="Y181" s="34">
        <f t="shared" si="33"/>
        <v>10</v>
      </c>
      <c r="Z181" s="34">
        <f t="shared" si="34"/>
        <v>0</v>
      </c>
      <c r="AA181" s="39">
        <f t="shared" ref="AA181:AA212" si="47">AE181*0.002</f>
        <v>0</v>
      </c>
      <c r="AB181" s="34">
        <f t="shared" si="45"/>
        <v>25</v>
      </c>
      <c r="AC181" s="40">
        <f t="shared" si="36"/>
        <v>-45958</v>
      </c>
      <c r="AD181" s="34">
        <f t="shared" si="37"/>
        <v>9785</v>
      </c>
      <c r="AE181" s="34">
        <f t="shared" si="38"/>
        <v>0</v>
      </c>
      <c r="AF181" s="36">
        <f t="shared" si="39"/>
        <v>15</v>
      </c>
      <c r="AG181" s="41">
        <f t="shared" si="40"/>
        <v>0</v>
      </c>
      <c r="AH181" s="70">
        <f t="shared" si="41"/>
        <v>0</v>
      </c>
    </row>
    <row r="182" spans="2:34" x14ac:dyDescent="0.4">
      <c r="B182" s="38" t="s">
        <v>590</v>
      </c>
      <c r="C182" s="34">
        <v>1</v>
      </c>
      <c r="D182" s="34">
        <v>9235</v>
      </c>
      <c r="E182" s="37">
        <v>45966</v>
      </c>
      <c r="F182" s="34"/>
      <c r="G182" s="35"/>
      <c r="H182" s="34">
        <f t="shared" si="24"/>
        <v>10</v>
      </c>
      <c r="I182" s="34">
        <f t="shared" si="25"/>
        <v>0</v>
      </c>
      <c r="J182" s="39">
        <f t="shared" si="46"/>
        <v>0</v>
      </c>
      <c r="K182" s="34">
        <f t="shared" ref="K182:K194" si="48">10*C182</f>
        <v>10</v>
      </c>
      <c r="L182" s="40">
        <f t="shared" si="27"/>
        <v>-45965</v>
      </c>
      <c r="M182" s="34">
        <f t="shared" si="28"/>
        <v>9235</v>
      </c>
      <c r="N182" s="34">
        <f t="shared" si="29"/>
        <v>0</v>
      </c>
      <c r="O182" s="36">
        <f t="shared" si="30"/>
        <v>0</v>
      </c>
      <c r="P182" s="41">
        <f t="shared" si="31"/>
        <v>0</v>
      </c>
      <c r="Q182" s="70">
        <f t="shared" si="32"/>
        <v>0</v>
      </c>
      <c r="S182" s="38" t="s">
        <v>590</v>
      </c>
      <c r="T182" s="34">
        <v>1</v>
      </c>
      <c r="U182" s="34">
        <v>9235</v>
      </c>
      <c r="V182" s="37">
        <v>45966</v>
      </c>
      <c r="W182" s="34"/>
      <c r="X182" s="35"/>
      <c r="Y182" s="34">
        <f t="shared" si="33"/>
        <v>10</v>
      </c>
      <c r="Z182" s="34">
        <f t="shared" si="34"/>
        <v>0</v>
      </c>
      <c r="AA182" s="39">
        <f t="shared" si="47"/>
        <v>0</v>
      </c>
      <c r="AB182" s="34">
        <f t="shared" ref="AB182:AB194" si="49">10*T182</f>
        <v>10</v>
      </c>
      <c r="AC182" s="40">
        <f t="shared" si="36"/>
        <v>-45965</v>
      </c>
      <c r="AD182" s="34">
        <f t="shared" si="37"/>
        <v>9235</v>
      </c>
      <c r="AE182" s="34">
        <f t="shared" si="38"/>
        <v>0</v>
      </c>
      <c r="AF182" s="36">
        <f t="shared" si="39"/>
        <v>0</v>
      </c>
      <c r="AG182" s="41">
        <f t="shared" si="40"/>
        <v>0</v>
      </c>
      <c r="AH182" s="70">
        <f t="shared" si="41"/>
        <v>0</v>
      </c>
    </row>
    <row r="183" spans="2:34" x14ac:dyDescent="0.4">
      <c r="B183" s="38" t="s">
        <v>590</v>
      </c>
      <c r="C183" s="34">
        <v>1</v>
      </c>
      <c r="D183" s="34">
        <v>9600</v>
      </c>
      <c r="E183" s="37">
        <v>45973</v>
      </c>
      <c r="F183" s="34"/>
      <c r="G183" s="35"/>
      <c r="H183" s="34">
        <f t="shared" si="24"/>
        <v>10</v>
      </c>
      <c r="I183" s="34">
        <f t="shared" si="25"/>
        <v>0</v>
      </c>
      <c r="J183" s="39">
        <f t="shared" si="46"/>
        <v>0</v>
      </c>
      <c r="K183" s="34">
        <f t="shared" si="48"/>
        <v>10</v>
      </c>
      <c r="L183" s="40">
        <f t="shared" si="27"/>
        <v>-45972</v>
      </c>
      <c r="M183" s="34">
        <f t="shared" si="28"/>
        <v>9600</v>
      </c>
      <c r="N183" s="34">
        <f t="shared" si="29"/>
        <v>0</v>
      </c>
      <c r="O183" s="36">
        <f t="shared" si="30"/>
        <v>0</v>
      </c>
      <c r="P183" s="41">
        <f t="shared" si="31"/>
        <v>0</v>
      </c>
      <c r="Q183" s="70">
        <f t="shared" si="32"/>
        <v>0</v>
      </c>
      <c r="S183" s="38" t="s">
        <v>590</v>
      </c>
      <c r="T183" s="34">
        <v>1</v>
      </c>
      <c r="U183" s="34">
        <v>9600</v>
      </c>
      <c r="V183" s="37">
        <v>45973</v>
      </c>
      <c r="W183" s="34"/>
      <c r="X183" s="35"/>
      <c r="Y183" s="34">
        <f t="shared" si="33"/>
        <v>10</v>
      </c>
      <c r="Z183" s="34">
        <f t="shared" si="34"/>
        <v>0</v>
      </c>
      <c r="AA183" s="39">
        <f t="shared" si="47"/>
        <v>0</v>
      </c>
      <c r="AB183" s="34">
        <f t="shared" si="49"/>
        <v>10</v>
      </c>
      <c r="AC183" s="40">
        <f t="shared" si="36"/>
        <v>-45972</v>
      </c>
      <c r="AD183" s="34">
        <f t="shared" si="37"/>
        <v>9600</v>
      </c>
      <c r="AE183" s="34">
        <f t="shared" si="38"/>
        <v>0</v>
      </c>
      <c r="AF183" s="36">
        <f t="shared" si="39"/>
        <v>0</v>
      </c>
      <c r="AG183" s="41">
        <f t="shared" si="40"/>
        <v>0</v>
      </c>
      <c r="AH183" s="70">
        <f t="shared" si="41"/>
        <v>0</v>
      </c>
    </row>
    <row r="184" spans="2:34" x14ac:dyDescent="0.4">
      <c r="B184" s="38" t="s">
        <v>590</v>
      </c>
      <c r="C184" s="34">
        <v>1</v>
      </c>
      <c r="D184" s="34">
        <v>9165</v>
      </c>
      <c r="E184" s="37">
        <v>45980</v>
      </c>
      <c r="F184" s="34"/>
      <c r="G184" s="35"/>
      <c r="H184" s="34">
        <f t="shared" si="24"/>
        <v>10</v>
      </c>
      <c r="I184" s="34">
        <f t="shared" si="25"/>
        <v>0</v>
      </c>
      <c r="J184" s="39">
        <f t="shared" si="46"/>
        <v>0</v>
      </c>
      <c r="K184" s="34">
        <f t="shared" si="48"/>
        <v>10</v>
      </c>
      <c r="L184" s="40">
        <f t="shared" si="27"/>
        <v>-45979</v>
      </c>
      <c r="M184" s="34">
        <f t="shared" si="28"/>
        <v>9165</v>
      </c>
      <c r="N184" s="34">
        <f t="shared" si="29"/>
        <v>0</v>
      </c>
      <c r="O184" s="36">
        <f t="shared" si="30"/>
        <v>0</v>
      </c>
      <c r="P184" s="41">
        <f t="shared" si="31"/>
        <v>0</v>
      </c>
      <c r="Q184" s="70">
        <f t="shared" si="32"/>
        <v>0</v>
      </c>
      <c r="S184" s="38" t="s">
        <v>590</v>
      </c>
      <c r="T184" s="34">
        <v>1</v>
      </c>
      <c r="U184" s="34">
        <v>9165</v>
      </c>
      <c r="V184" s="37">
        <v>45980</v>
      </c>
      <c r="W184" s="34"/>
      <c r="X184" s="35"/>
      <c r="Y184" s="34">
        <f t="shared" si="33"/>
        <v>10</v>
      </c>
      <c r="Z184" s="34">
        <f t="shared" si="34"/>
        <v>0</v>
      </c>
      <c r="AA184" s="39">
        <f t="shared" si="47"/>
        <v>0</v>
      </c>
      <c r="AB184" s="34">
        <f t="shared" si="49"/>
        <v>10</v>
      </c>
      <c r="AC184" s="40">
        <f t="shared" si="36"/>
        <v>-45979</v>
      </c>
      <c r="AD184" s="34">
        <f t="shared" si="37"/>
        <v>9165</v>
      </c>
      <c r="AE184" s="34">
        <f t="shared" si="38"/>
        <v>0</v>
      </c>
      <c r="AF184" s="36">
        <f t="shared" si="39"/>
        <v>0</v>
      </c>
      <c r="AG184" s="41">
        <f t="shared" si="40"/>
        <v>0</v>
      </c>
      <c r="AH184" s="70">
        <f t="shared" si="41"/>
        <v>0</v>
      </c>
    </row>
    <row r="185" spans="2:34" x14ac:dyDescent="0.4">
      <c r="B185" s="38" t="s">
        <v>590</v>
      </c>
      <c r="C185" s="34">
        <v>1</v>
      </c>
      <c r="D185" s="34">
        <v>9160</v>
      </c>
      <c r="E185" s="37">
        <v>45987</v>
      </c>
      <c r="F185" s="34"/>
      <c r="G185" s="35"/>
      <c r="H185" s="34">
        <f t="shared" si="24"/>
        <v>10</v>
      </c>
      <c r="I185" s="34">
        <f t="shared" si="25"/>
        <v>0</v>
      </c>
      <c r="J185" s="39">
        <f t="shared" si="46"/>
        <v>0</v>
      </c>
      <c r="K185" s="34">
        <f t="shared" si="48"/>
        <v>10</v>
      </c>
      <c r="L185" s="40">
        <f t="shared" si="27"/>
        <v>-45986</v>
      </c>
      <c r="M185" s="34">
        <f t="shared" si="28"/>
        <v>9160</v>
      </c>
      <c r="N185" s="34">
        <f t="shared" si="29"/>
        <v>0</v>
      </c>
      <c r="O185" s="36">
        <f t="shared" si="30"/>
        <v>0</v>
      </c>
      <c r="P185" s="41">
        <f t="shared" si="31"/>
        <v>0</v>
      </c>
      <c r="Q185" s="70">
        <f t="shared" si="32"/>
        <v>0</v>
      </c>
      <c r="S185" s="38" t="s">
        <v>590</v>
      </c>
      <c r="T185" s="34">
        <v>1</v>
      </c>
      <c r="U185" s="34">
        <v>9160</v>
      </c>
      <c r="V185" s="37">
        <v>45987</v>
      </c>
      <c r="W185" s="34"/>
      <c r="X185" s="35"/>
      <c r="Y185" s="34">
        <f t="shared" si="33"/>
        <v>10</v>
      </c>
      <c r="Z185" s="34">
        <f t="shared" si="34"/>
        <v>0</v>
      </c>
      <c r="AA185" s="39">
        <f t="shared" si="47"/>
        <v>0</v>
      </c>
      <c r="AB185" s="34">
        <f t="shared" si="49"/>
        <v>10</v>
      </c>
      <c r="AC185" s="40">
        <f t="shared" si="36"/>
        <v>-45986</v>
      </c>
      <c r="AD185" s="34">
        <f t="shared" si="37"/>
        <v>9160</v>
      </c>
      <c r="AE185" s="34">
        <f t="shared" si="38"/>
        <v>0</v>
      </c>
      <c r="AF185" s="36">
        <f t="shared" si="39"/>
        <v>0</v>
      </c>
      <c r="AG185" s="41">
        <f t="shared" si="40"/>
        <v>0</v>
      </c>
      <c r="AH185" s="70">
        <f t="shared" si="41"/>
        <v>0</v>
      </c>
    </row>
    <row r="186" spans="2:34" x14ac:dyDescent="0.4">
      <c r="B186" s="38" t="s">
        <v>590</v>
      </c>
      <c r="C186" s="34">
        <v>1</v>
      </c>
      <c r="D186" s="34">
        <v>9115</v>
      </c>
      <c r="E186" s="37">
        <v>45994</v>
      </c>
      <c r="F186" s="34"/>
      <c r="G186" s="35"/>
      <c r="H186" s="34">
        <f t="shared" si="24"/>
        <v>10</v>
      </c>
      <c r="I186" s="34">
        <f t="shared" si="25"/>
        <v>0</v>
      </c>
      <c r="J186" s="39">
        <f t="shared" si="46"/>
        <v>0</v>
      </c>
      <c r="K186" s="34">
        <f t="shared" si="48"/>
        <v>10</v>
      </c>
      <c r="L186" s="40">
        <f t="shared" si="27"/>
        <v>-45993</v>
      </c>
      <c r="M186" s="34">
        <f t="shared" si="28"/>
        <v>9115</v>
      </c>
      <c r="N186" s="34">
        <f t="shared" si="29"/>
        <v>0</v>
      </c>
      <c r="O186" s="36">
        <f t="shared" si="30"/>
        <v>0</v>
      </c>
      <c r="P186" s="41">
        <f t="shared" si="31"/>
        <v>0</v>
      </c>
      <c r="Q186" s="70">
        <f t="shared" si="32"/>
        <v>0</v>
      </c>
      <c r="S186" s="38" t="s">
        <v>590</v>
      </c>
      <c r="T186" s="34">
        <v>1</v>
      </c>
      <c r="U186" s="34">
        <v>9115</v>
      </c>
      <c r="V186" s="37">
        <v>45994</v>
      </c>
      <c r="W186" s="34"/>
      <c r="X186" s="35"/>
      <c r="Y186" s="34">
        <f t="shared" si="33"/>
        <v>10</v>
      </c>
      <c r="Z186" s="34">
        <f t="shared" si="34"/>
        <v>0</v>
      </c>
      <c r="AA186" s="39">
        <f t="shared" si="47"/>
        <v>0</v>
      </c>
      <c r="AB186" s="34">
        <f t="shared" si="49"/>
        <v>10</v>
      </c>
      <c r="AC186" s="40">
        <f t="shared" si="36"/>
        <v>-45993</v>
      </c>
      <c r="AD186" s="34">
        <f t="shared" si="37"/>
        <v>9115</v>
      </c>
      <c r="AE186" s="34">
        <f t="shared" si="38"/>
        <v>0</v>
      </c>
      <c r="AF186" s="36">
        <f t="shared" si="39"/>
        <v>0</v>
      </c>
      <c r="AG186" s="41">
        <f t="shared" si="40"/>
        <v>0</v>
      </c>
      <c r="AH186" s="70">
        <f t="shared" si="41"/>
        <v>0</v>
      </c>
    </row>
    <row r="187" spans="2:34" x14ac:dyDescent="0.4">
      <c r="B187" s="38" t="s">
        <v>590</v>
      </c>
      <c r="C187" s="34">
        <v>1</v>
      </c>
      <c r="D187" s="34">
        <v>9040</v>
      </c>
      <c r="E187" s="37">
        <v>46001</v>
      </c>
      <c r="F187" s="34"/>
      <c r="G187" s="35"/>
      <c r="H187" s="34">
        <f t="shared" si="24"/>
        <v>10</v>
      </c>
      <c r="I187" s="34">
        <f t="shared" si="25"/>
        <v>0</v>
      </c>
      <c r="J187" s="39">
        <f t="shared" si="46"/>
        <v>0</v>
      </c>
      <c r="K187" s="34">
        <f t="shared" si="48"/>
        <v>10</v>
      </c>
      <c r="L187" s="40">
        <f t="shared" si="27"/>
        <v>-46000</v>
      </c>
      <c r="M187" s="34">
        <f t="shared" si="28"/>
        <v>9040</v>
      </c>
      <c r="N187" s="34">
        <f t="shared" si="29"/>
        <v>0</v>
      </c>
      <c r="O187" s="36">
        <f t="shared" si="30"/>
        <v>0</v>
      </c>
      <c r="P187" s="41">
        <f t="shared" si="31"/>
        <v>0</v>
      </c>
      <c r="Q187" s="70">
        <f t="shared" si="32"/>
        <v>0</v>
      </c>
      <c r="S187" s="38" t="s">
        <v>590</v>
      </c>
      <c r="T187" s="34">
        <v>1</v>
      </c>
      <c r="U187" s="34">
        <v>9040</v>
      </c>
      <c r="V187" s="37">
        <v>46001</v>
      </c>
      <c r="W187" s="34"/>
      <c r="X187" s="35"/>
      <c r="Y187" s="34">
        <f t="shared" si="33"/>
        <v>10</v>
      </c>
      <c r="Z187" s="34">
        <f t="shared" si="34"/>
        <v>0</v>
      </c>
      <c r="AA187" s="39">
        <f t="shared" si="47"/>
        <v>0</v>
      </c>
      <c r="AB187" s="34">
        <f t="shared" si="49"/>
        <v>10</v>
      </c>
      <c r="AC187" s="40">
        <f t="shared" si="36"/>
        <v>-46000</v>
      </c>
      <c r="AD187" s="34">
        <f t="shared" si="37"/>
        <v>9040</v>
      </c>
      <c r="AE187" s="34">
        <f t="shared" si="38"/>
        <v>0</v>
      </c>
      <c r="AF187" s="36">
        <f t="shared" si="39"/>
        <v>0</v>
      </c>
      <c r="AG187" s="41">
        <f t="shared" si="40"/>
        <v>0</v>
      </c>
      <c r="AH187" s="70">
        <f t="shared" si="41"/>
        <v>0</v>
      </c>
    </row>
    <row r="188" spans="2:34" x14ac:dyDescent="0.4">
      <c r="B188" s="38" t="s">
        <v>590</v>
      </c>
      <c r="C188" s="34">
        <v>1</v>
      </c>
      <c r="D188" s="34">
        <v>8835</v>
      </c>
      <c r="E188" s="37">
        <v>46008</v>
      </c>
      <c r="F188" s="34"/>
      <c r="G188" s="35"/>
      <c r="H188" s="34">
        <f t="shared" si="24"/>
        <v>10</v>
      </c>
      <c r="I188" s="34">
        <f t="shared" si="25"/>
        <v>0</v>
      </c>
      <c r="J188" s="39">
        <f t="shared" si="46"/>
        <v>0</v>
      </c>
      <c r="K188" s="34">
        <f t="shared" si="48"/>
        <v>10</v>
      </c>
      <c r="L188" s="40">
        <f t="shared" si="27"/>
        <v>-46007</v>
      </c>
      <c r="M188" s="34">
        <f t="shared" si="28"/>
        <v>8835</v>
      </c>
      <c r="N188" s="34">
        <f t="shared" si="29"/>
        <v>0</v>
      </c>
      <c r="O188" s="36">
        <f t="shared" si="30"/>
        <v>0</v>
      </c>
      <c r="P188" s="41">
        <f t="shared" si="31"/>
        <v>0</v>
      </c>
      <c r="Q188" s="70">
        <f t="shared" si="32"/>
        <v>0</v>
      </c>
      <c r="S188" s="38" t="s">
        <v>590</v>
      </c>
      <c r="T188" s="34">
        <v>1</v>
      </c>
      <c r="U188" s="34">
        <v>8835</v>
      </c>
      <c r="V188" s="37">
        <v>46008</v>
      </c>
      <c r="W188" s="34"/>
      <c r="X188" s="35"/>
      <c r="Y188" s="34">
        <f t="shared" si="33"/>
        <v>10</v>
      </c>
      <c r="Z188" s="34">
        <f t="shared" si="34"/>
        <v>0</v>
      </c>
      <c r="AA188" s="39">
        <f t="shared" si="47"/>
        <v>0</v>
      </c>
      <c r="AB188" s="34">
        <f t="shared" si="49"/>
        <v>10</v>
      </c>
      <c r="AC188" s="40">
        <f t="shared" si="36"/>
        <v>-46007</v>
      </c>
      <c r="AD188" s="34">
        <f t="shared" si="37"/>
        <v>8835</v>
      </c>
      <c r="AE188" s="34">
        <f t="shared" si="38"/>
        <v>0</v>
      </c>
      <c r="AF188" s="36">
        <f t="shared" si="39"/>
        <v>0</v>
      </c>
      <c r="AG188" s="41">
        <f t="shared" si="40"/>
        <v>0</v>
      </c>
      <c r="AH188" s="70">
        <f t="shared" si="41"/>
        <v>0</v>
      </c>
    </row>
    <row r="189" spans="2:34" x14ac:dyDescent="0.4">
      <c r="B189" s="38" t="s">
        <v>590</v>
      </c>
      <c r="C189" s="34">
        <v>1</v>
      </c>
      <c r="D189" s="34">
        <v>9030</v>
      </c>
      <c r="E189" s="37">
        <v>46015</v>
      </c>
      <c r="F189" s="34"/>
      <c r="G189" s="35"/>
      <c r="H189" s="34">
        <f t="shared" si="24"/>
        <v>10</v>
      </c>
      <c r="I189" s="34">
        <f t="shared" si="25"/>
        <v>0</v>
      </c>
      <c r="J189" s="39">
        <f t="shared" si="46"/>
        <v>0</v>
      </c>
      <c r="K189" s="34">
        <f t="shared" si="48"/>
        <v>10</v>
      </c>
      <c r="L189" s="40">
        <f t="shared" si="27"/>
        <v>-46014</v>
      </c>
      <c r="M189" s="34">
        <f t="shared" si="28"/>
        <v>9030</v>
      </c>
      <c r="N189" s="34">
        <f t="shared" si="29"/>
        <v>0</v>
      </c>
      <c r="O189" s="36">
        <f t="shared" si="30"/>
        <v>0</v>
      </c>
      <c r="P189" s="41">
        <f t="shared" si="31"/>
        <v>0</v>
      </c>
      <c r="Q189" s="70">
        <f t="shared" si="32"/>
        <v>0</v>
      </c>
      <c r="S189" s="38" t="s">
        <v>590</v>
      </c>
      <c r="T189" s="34">
        <v>1</v>
      </c>
      <c r="U189" s="34">
        <v>9030</v>
      </c>
      <c r="V189" s="37">
        <v>46015</v>
      </c>
      <c r="W189" s="34"/>
      <c r="X189" s="35"/>
      <c r="Y189" s="34">
        <f t="shared" si="33"/>
        <v>10</v>
      </c>
      <c r="Z189" s="34">
        <f t="shared" si="34"/>
        <v>0</v>
      </c>
      <c r="AA189" s="39">
        <f t="shared" si="47"/>
        <v>0</v>
      </c>
      <c r="AB189" s="34">
        <f t="shared" si="49"/>
        <v>10</v>
      </c>
      <c r="AC189" s="40">
        <f t="shared" si="36"/>
        <v>-46014</v>
      </c>
      <c r="AD189" s="34">
        <f t="shared" si="37"/>
        <v>9030</v>
      </c>
      <c r="AE189" s="34">
        <f t="shared" si="38"/>
        <v>0</v>
      </c>
      <c r="AF189" s="36">
        <f t="shared" si="39"/>
        <v>0</v>
      </c>
      <c r="AG189" s="41">
        <f t="shared" si="40"/>
        <v>0</v>
      </c>
      <c r="AH189" s="70">
        <f t="shared" si="41"/>
        <v>0</v>
      </c>
    </row>
    <row r="190" spans="2:34" x14ac:dyDescent="0.4">
      <c r="B190" s="38" t="s">
        <v>590</v>
      </c>
      <c r="C190" s="34">
        <v>1</v>
      </c>
      <c r="D190" s="34">
        <v>8815</v>
      </c>
      <c r="E190" s="37">
        <v>46024</v>
      </c>
      <c r="F190" s="34"/>
      <c r="G190" s="35"/>
      <c r="H190" s="34">
        <f t="shared" si="24"/>
        <v>10</v>
      </c>
      <c r="I190" s="34">
        <f t="shared" si="25"/>
        <v>0</v>
      </c>
      <c r="J190" s="39">
        <f t="shared" si="46"/>
        <v>0</v>
      </c>
      <c r="K190" s="34">
        <f t="shared" si="48"/>
        <v>10</v>
      </c>
      <c r="L190" s="40">
        <f t="shared" si="27"/>
        <v>-46023</v>
      </c>
      <c r="M190" s="34">
        <f t="shared" si="28"/>
        <v>8815</v>
      </c>
      <c r="N190" s="34">
        <f t="shared" si="29"/>
        <v>0</v>
      </c>
      <c r="O190" s="36">
        <f t="shared" si="30"/>
        <v>0</v>
      </c>
      <c r="P190" s="41">
        <f t="shared" si="31"/>
        <v>0</v>
      </c>
      <c r="Q190" s="70">
        <f t="shared" si="32"/>
        <v>0</v>
      </c>
      <c r="S190" s="38" t="s">
        <v>590</v>
      </c>
      <c r="T190" s="34">
        <v>1</v>
      </c>
      <c r="U190" s="34">
        <v>8815</v>
      </c>
      <c r="V190" s="37">
        <v>46024</v>
      </c>
      <c r="W190" s="34"/>
      <c r="X190" s="35"/>
      <c r="Y190" s="34">
        <f t="shared" si="33"/>
        <v>10</v>
      </c>
      <c r="Z190" s="34">
        <f t="shared" si="34"/>
        <v>0</v>
      </c>
      <c r="AA190" s="39">
        <f t="shared" si="47"/>
        <v>0</v>
      </c>
      <c r="AB190" s="34">
        <f t="shared" si="49"/>
        <v>10</v>
      </c>
      <c r="AC190" s="40">
        <f t="shared" si="36"/>
        <v>-46023</v>
      </c>
      <c r="AD190" s="34">
        <f t="shared" si="37"/>
        <v>8815</v>
      </c>
      <c r="AE190" s="34">
        <f t="shared" si="38"/>
        <v>0</v>
      </c>
      <c r="AF190" s="36">
        <f t="shared" si="39"/>
        <v>0</v>
      </c>
      <c r="AG190" s="41">
        <f t="shared" si="40"/>
        <v>0</v>
      </c>
      <c r="AH190" s="70">
        <f t="shared" si="41"/>
        <v>0</v>
      </c>
    </row>
    <row r="191" spans="2:34" x14ac:dyDescent="0.4">
      <c r="B191" s="38" t="s">
        <v>590</v>
      </c>
      <c r="C191" s="34">
        <v>1</v>
      </c>
      <c r="D191" s="34">
        <v>9290</v>
      </c>
      <c r="E191" s="37">
        <v>46029</v>
      </c>
      <c r="F191" s="34"/>
      <c r="G191" s="35"/>
      <c r="H191" s="34">
        <f t="shared" si="24"/>
        <v>10</v>
      </c>
      <c r="I191" s="34">
        <f t="shared" si="25"/>
        <v>0</v>
      </c>
      <c r="J191" s="39">
        <f t="shared" si="46"/>
        <v>0</v>
      </c>
      <c r="K191" s="34">
        <f t="shared" si="48"/>
        <v>10</v>
      </c>
      <c r="L191" s="40">
        <f t="shared" si="27"/>
        <v>-46028</v>
      </c>
      <c r="M191" s="34">
        <f t="shared" si="28"/>
        <v>9290</v>
      </c>
      <c r="N191" s="34">
        <f t="shared" si="29"/>
        <v>0</v>
      </c>
      <c r="O191" s="36">
        <f t="shared" si="30"/>
        <v>0</v>
      </c>
      <c r="P191" s="41">
        <f t="shared" si="31"/>
        <v>0</v>
      </c>
      <c r="Q191" s="70">
        <f t="shared" si="32"/>
        <v>0</v>
      </c>
      <c r="S191" s="38" t="s">
        <v>590</v>
      </c>
      <c r="T191" s="34">
        <v>1</v>
      </c>
      <c r="U191" s="34">
        <v>9290</v>
      </c>
      <c r="V191" s="37">
        <v>46029</v>
      </c>
      <c r="W191" s="34"/>
      <c r="X191" s="35"/>
      <c r="Y191" s="34">
        <f t="shared" si="33"/>
        <v>10</v>
      </c>
      <c r="Z191" s="34">
        <f t="shared" si="34"/>
        <v>0</v>
      </c>
      <c r="AA191" s="39">
        <f t="shared" si="47"/>
        <v>0</v>
      </c>
      <c r="AB191" s="34">
        <f t="shared" si="49"/>
        <v>10</v>
      </c>
      <c r="AC191" s="40">
        <f t="shared" si="36"/>
        <v>-46028</v>
      </c>
      <c r="AD191" s="34">
        <f t="shared" si="37"/>
        <v>9290</v>
      </c>
      <c r="AE191" s="34">
        <f t="shared" si="38"/>
        <v>0</v>
      </c>
      <c r="AF191" s="36">
        <f t="shared" si="39"/>
        <v>0</v>
      </c>
      <c r="AG191" s="41">
        <f t="shared" si="40"/>
        <v>0</v>
      </c>
      <c r="AH191" s="70">
        <f t="shared" si="41"/>
        <v>0</v>
      </c>
    </row>
    <row r="192" spans="2:34" x14ac:dyDescent="0.4">
      <c r="B192" s="38" t="s">
        <v>590</v>
      </c>
      <c r="C192" s="34">
        <v>1</v>
      </c>
      <c r="D192" s="34">
        <v>9590</v>
      </c>
      <c r="E192" s="37">
        <v>46036</v>
      </c>
      <c r="F192" s="34"/>
      <c r="G192" s="35"/>
      <c r="H192" s="34">
        <f t="shared" si="24"/>
        <v>10</v>
      </c>
      <c r="I192" s="34">
        <f t="shared" si="25"/>
        <v>0</v>
      </c>
      <c r="J192" s="39">
        <f t="shared" si="46"/>
        <v>0</v>
      </c>
      <c r="K192" s="34">
        <f t="shared" si="48"/>
        <v>10</v>
      </c>
      <c r="L192" s="40">
        <f t="shared" si="27"/>
        <v>-46035</v>
      </c>
      <c r="M192" s="34">
        <f t="shared" si="28"/>
        <v>9590</v>
      </c>
      <c r="N192" s="34">
        <f t="shared" si="29"/>
        <v>0</v>
      </c>
      <c r="O192" s="36">
        <f t="shared" si="30"/>
        <v>0</v>
      </c>
      <c r="P192" s="41">
        <f t="shared" si="31"/>
        <v>0</v>
      </c>
      <c r="Q192" s="70">
        <f t="shared" si="32"/>
        <v>0</v>
      </c>
      <c r="S192" s="38" t="s">
        <v>590</v>
      </c>
      <c r="T192" s="34">
        <v>1</v>
      </c>
      <c r="U192" s="34">
        <v>9590</v>
      </c>
      <c r="V192" s="37">
        <v>46036</v>
      </c>
      <c r="W192" s="34"/>
      <c r="X192" s="35"/>
      <c r="Y192" s="34">
        <f t="shared" si="33"/>
        <v>10</v>
      </c>
      <c r="Z192" s="34">
        <f t="shared" si="34"/>
        <v>0</v>
      </c>
      <c r="AA192" s="39">
        <f t="shared" si="47"/>
        <v>0</v>
      </c>
      <c r="AB192" s="34">
        <f t="shared" si="49"/>
        <v>10</v>
      </c>
      <c r="AC192" s="40">
        <f t="shared" si="36"/>
        <v>-46035</v>
      </c>
      <c r="AD192" s="34">
        <f t="shared" si="37"/>
        <v>9590</v>
      </c>
      <c r="AE192" s="34">
        <f t="shared" si="38"/>
        <v>0</v>
      </c>
      <c r="AF192" s="36">
        <f t="shared" si="39"/>
        <v>0</v>
      </c>
      <c r="AG192" s="41">
        <f t="shared" si="40"/>
        <v>0</v>
      </c>
      <c r="AH192" s="70">
        <f t="shared" si="41"/>
        <v>0</v>
      </c>
    </row>
    <row r="193" spans="2:34" x14ac:dyDescent="0.4">
      <c r="B193" s="38" t="s">
        <v>590</v>
      </c>
      <c r="C193" s="34">
        <v>1</v>
      </c>
      <c r="D193" s="34">
        <v>9200</v>
      </c>
      <c r="E193" s="37">
        <v>46043</v>
      </c>
      <c r="F193" s="34"/>
      <c r="G193" s="35"/>
      <c r="H193" s="34">
        <f t="shared" si="24"/>
        <v>10</v>
      </c>
      <c r="I193" s="34">
        <f t="shared" si="25"/>
        <v>0</v>
      </c>
      <c r="J193" s="39">
        <f t="shared" si="46"/>
        <v>0</v>
      </c>
      <c r="K193" s="34">
        <f t="shared" si="48"/>
        <v>10</v>
      </c>
      <c r="L193" s="40">
        <f t="shared" si="27"/>
        <v>-46042</v>
      </c>
      <c r="M193" s="34">
        <f t="shared" si="28"/>
        <v>9200</v>
      </c>
      <c r="N193" s="34">
        <f t="shared" si="29"/>
        <v>0</v>
      </c>
      <c r="O193" s="36">
        <f t="shared" si="30"/>
        <v>0</v>
      </c>
      <c r="P193" s="41">
        <f t="shared" si="31"/>
        <v>0</v>
      </c>
      <c r="Q193" s="70">
        <f t="shared" si="32"/>
        <v>0</v>
      </c>
      <c r="S193" s="38" t="s">
        <v>590</v>
      </c>
      <c r="T193" s="34">
        <v>1</v>
      </c>
      <c r="U193" s="34">
        <v>9200</v>
      </c>
      <c r="V193" s="37">
        <v>46043</v>
      </c>
      <c r="W193" s="34"/>
      <c r="X193" s="35"/>
      <c r="Y193" s="34">
        <f t="shared" si="33"/>
        <v>10</v>
      </c>
      <c r="Z193" s="34">
        <f t="shared" si="34"/>
        <v>0</v>
      </c>
      <c r="AA193" s="39">
        <f t="shared" si="47"/>
        <v>0</v>
      </c>
      <c r="AB193" s="34">
        <f t="shared" si="49"/>
        <v>10</v>
      </c>
      <c r="AC193" s="40">
        <f t="shared" si="36"/>
        <v>-46042</v>
      </c>
      <c r="AD193" s="34">
        <f t="shared" si="37"/>
        <v>9200</v>
      </c>
      <c r="AE193" s="34">
        <f t="shared" si="38"/>
        <v>0</v>
      </c>
      <c r="AF193" s="36">
        <f t="shared" si="39"/>
        <v>0</v>
      </c>
      <c r="AG193" s="41">
        <f t="shared" si="40"/>
        <v>0</v>
      </c>
      <c r="AH193" s="70">
        <f t="shared" si="41"/>
        <v>0</v>
      </c>
    </row>
    <row r="194" spans="2:34" x14ac:dyDescent="0.4">
      <c r="B194" s="38" t="s">
        <v>590</v>
      </c>
      <c r="C194" s="34">
        <v>1</v>
      </c>
      <c r="D194" s="34">
        <v>9155</v>
      </c>
      <c r="E194" s="37">
        <v>46050</v>
      </c>
      <c r="F194" s="34"/>
      <c r="G194" s="35"/>
      <c r="H194" s="34">
        <f t="shared" si="24"/>
        <v>10</v>
      </c>
      <c r="I194" s="34">
        <f t="shared" si="25"/>
        <v>0</v>
      </c>
      <c r="J194" s="39">
        <f t="shared" si="46"/>
        <v>0</v>
      </c>
      <c r="K194" s="34">
        <f t="shared" si="48"/>
        <v>10</v>
      </c>
      <c r="L194" s="40">
        <f t="shared" si="27"/>
        <v>-46049</v>
      </c>
      <c r="M194" s="34">
        <f t="shared" si="28"/>
        <v>9155</v>
      </c>
      <c r="N194" s="34">
        <f t="shared" si="29"/>
        <v>0</v>
      </c>
      <c r="O194" s="36">
        <f t="shared" si="30"/>
        <v>0</v>
      </c>
      <c r="P194" s="41">
        <f t="shared" si="31"/>
        <v>0</v>
      </c>
      <c r="Q194" s="70">
        <f t="shared" si="32"/>
        <v>0</v>
      </c>
      <c r="S194" s="38" t="s">
        <v>590</v>
      </c>
      <c r="T194" s="34">
        <v>1</v>
      </c>
      <c r="U194" s="34">
        <v>9155</v>
      </c>
      <c r="V194" s="37">
        <v>46050</v>
      </c>
      <c r="W194" s="34"/>
      <c r="X194" s="35"/>
      <c r="Y194" s="34">
        <f t="shared" si="33"/>
        <v>10</v>
      </c>
      <c r="Z194" s="34">
        <f t="shared" si="34"/>
        <v>0</v>
      </c>
      <c r="AA194" s="39">
        <f t="shared" si="47"/>
        <v>0</v>
      </c>
      <c r="AB194" s="34">
        <f t="shared" si="49"/>
        <v>10</v>
      </c>
      <c r="AC194" s="40">
        <f t="shared" si="36"/>
        <v>-46049</v>
      </c>
      <c r="AD194" s="34">
        <f t="shared" si="37"/>
        <v>9155</v>
      </c>
      <c r="AE194" s="34">
        <f t="shared" si="38"/>
        <v>0</v>
      </c>
      <c r="AF194" s="36">
        <f t="shared" si="39"/>
        <v>0</v>
      </c>
      <c r="AG194" s="41">
        <f t="shared" si="40"/>
        <v>0</v>
      </c>
      <c r="AH194" s="70">
        <f t="shared" si="41"/>
        <v>0</v>
      </c>
    </row>
    <row r="195" spans="2:34" x14ac:dyDescent="0.4">
      <c r="B195" s="38" t="s">
        <v>590</v>
      </c>
      <c r="C195" s="34">
        <v>1</v>
      </c>
      <c r="D195" s="34">
        <v>8690</v>
      </c>
      <c r="E195" s="37">
        <v>46057</v>
      </c>
      <c r="F195" s="34"/>
      <c r="G195" s="35"/>
      <c r="H195" s="34">
        <f t="shared" si="24"/>
        <v>10</v>
      </c>
      <c r="I195" s="34">
        <f t="shared" si="25"/>
        <v>0</v>
      </c>
      <c r="J195" s="39">
        <f t="shared" si="46"/>
        <v>0</v>
      </c>
      <c r="K195" s="34"/>
      <c r="L195" s="40">
        <f t="shared" si="27"/>
        <v>-46056</v>
      </c>
      <c r="M195" s="34">
        <f t="shared" si="28"/>
        <v>8690</v>
      </c>
      <c r="N195" s="34">
        <f t="shared" si="29"/>
        <v>0</v>
      </c>
      <c r="O195" s="36">
        <f t="shared" si="30"/>
        <v>-10</v>
      </c>
      <c r="P195" s="41">
        <f t="shared" si="31"/>
        <v>0</v>
      </c>
      <c r="Q195" s="70">
        <f t="shared" si="32"/>
        <v>0</v>
      </c>
      <c r="S195" s="38" t="s">
        <v>590</v>
      </c>
      <c r="T195" s="34">
        <v>1</v>
      </c>
      <c r="U195" s="34">
        <v>8690</v>
      </c>
      <c r="V195" s="37">
        <v>46057</v>
      </c>
      <c r="W195" s="34"/>
      <c r="X195" s="35"/>
      <c r="Y195" s="34">
        <f t="shared" si="33"/>
        <v>10</v>
      </c>
      <c r="Z195" s="34">
        <f t="shared" si="34"/>
        <v>0</v>
      </c>
      <c r="AA195" s="39">
        <f t="shared" si="47"/>
        <v>0</v>
      </c>
      <c r="AB195" s="34"/>
      <c r="AC195" s="40">
        <f t="shared" si="36"/>
        <v>-46056</v>
      </c>
      <c r="AD195" s="34">
        <f t="shared" si="37"/>
        <v>8690</v>
      </c>
      <c r="AE195" s="34">
        <f t="shared" si="38"/>
        <v>0</v>
      </c>
      <c r="AF195" s="36">
        <f t="shared" si="39"/>
        <v>-10</v>
      </c>
      <c r="AG195" s="41">
        <f t="shared" si="40"/>
        <v>0</v>
      </c>
      <c r="AH195" s="70">
        <f t="shared" si="41"/>
        <v>0</v>
      </c>
    </row>
    <row r="196" spans="2:34" x14ac:dyDescent="0.4">
      <c r="B196" s="38" t="s">
        <v>590</v>
      </c>
      <c r="C196" s="34">
        <v>1</v>
      </c>
      <c r="D196" s="34">
        <v>8765</v>
      </c>
      <c r="E196" s="37">
        <v>46064</v>
      </c>
      <c r="F196" s="34"/>
      <c r="G196" s="35"/>
      <c r="H196" s="34">
        <f t="shared" si="24"/>
        <v>10</v>
      </c>
      <c r="I196" s="34">
        <f t="shared" si="25"/>
        <v>0</v>
      </c>
      <c r="J196" s="39">
        <f t="shared" si="46"/>
        <v>0</v>
      </c>
      <c r="K196" s="34"/>
      <c r="L196" s="40">
        <f t="shared" si="27"/>
        <v>-46063</v>
      </c>
      <c r="M196" s="34">
        <f t="shared" si="28"/>
        <v>8765</v>
      </c>
      <c r="N196" s="34">
        <f t="shared" si="29"/>
        <v>0</v>
      </c>
      <c r="O196" s="36">
        <f t="shared" si="30"/>
        <v>-10</v>
      </c>
      <c r="P196" s="41">
        <f t="shared" si="31"/>
        <v>0</v>
      </c>
      <c r="Q196" s="70">
        <f t="shared" si="32"/>
        <v>0</v>
      </c>
      <c r="S196" s="38" t="s">
        <v>590</v>
      </c>
      <c r="T196" s="34">
        <v>1</v>
      </c>
      <c r="U196" s="34">
        <v>8765</v>
      </c>
      <c r="V196" s="37">
        <v>46064</v>
      </c>
      <c r="W196" s="34"/>
      <c r="X196" s="35"/>
      <c r="Y196" s="34">
        <f t="shared" si="33"/>
        <v>10</v>
      </c>
      <c r="Z196" s="34">
        <f t="shared" si="34"/>
        <v>0</v>
      </c>
      <c r="AA196" s="39">
        <f t="shared" si="47"/>
        <v>0</v>
      </c>
      <c r="AB196" s="34"/>
      <c r="AC196" s="40">
        <f t="shared" si="36"/>
        <v>-46063</v>
      </c>
      <c r="AD196" s="34">
        <f t="shared" si="37"/>
        <v>8765</v>
      </c>
      <c r="AE196" s="34">
        <f t="shared" si="38"/>
        <v>0</v>
      </c>
      <c r="AF196" s="36">
        <f t="shared" si="39"/>
        <v>-10</v>
      </c>
      <c r="AG196" s="41">
        <f t="shared" si="40"/>
        <v>0</v>
      </c>
      <c r="AH196" s="70">
        <f t="shared" si="41"/>
        <v>0</v>
      </c>
    </row>
    <row r="197" spans="2:34" x14ac:dyDescent="0.4">
      <c r="B197" s="38" t="s">
        <v>590</v>
      </c>
      <c r="C197" s="34">
        <v>1</v>
      </c>
      <c r="D197" s="34">
        <v>8505</v>
      </c>
      <c r="E197" s="37">
        <v>46072</v>
      </c>
      <c r="F197" s="34"/>
      <c r="G197" s="35"/>
      <c r="H197" s="34">
        <f t="shared" si="24"/>
        <v>10</v>
      </c>
      <c r="I197" s="34">
        <f t="shared" si="25"/>
        <v>0</v>
      </c>
      <c r="J197" s="39">
        <f t="shared" si="46"/>
        <v>0</v>
      </c>
      <c r="K197" s="34"/>
      <c r="L197" s="40">
        <f t="shared" si="27"/>
        <v>-46071</v>
      </c>
      <c r="M197" s="34">
        <f t="shared" si="28"/>
        <v>8505</v>
      </c>
      <c r="N197" s="34">
        <f t="shared" si="29"/>
        <v>0</v>
      </c>
      <c r="O197" s="36">
        <f t="shared" si="30"/>
        <v>-10</v>
      </c>
      <c r="P197" s="41">
        <f t="shared" si="31"/>
        <v>0</v>
      </c>
      <c r="Q197" s="70">
        <f t="shared" si="32"/>
        <v>0</v>
      </c>
      <c r="S197" s="38" t="s">
        <v>590</v>
      </c>
      <c r="T197" s="34">
        <v>1</v>
      </c>
      <c r="U197" s="34">
        <v>8505</v>
      </c>
      <c r="V197" s="37">
        <v>46072</v>
      </c>
      <c r="W197" s="34"/>
      <c r="X197" s="35"/>
      <c r="Y197" s="34">
        <f t="shared" si="33"/>
        <v>10</v>
      </c>
      <c r="Z197" s="34">
        <f t="shared" si="34"/>
        <v>0</v>
      </c>
      <c r="AA197" s="39">
        <f t="shared" si="47"/>
        <v>0</v>
      </c>
      <c r="AB197" s="34"/>
      <c r="AC197" s="40">
        <f t="shared" si="36"/>
        <v>-46071</v>
      </c>
      <c r="AD197" s="34">
        <f t="shared" si="37"/>
        <v>8505</v>
      </c>
      <c r="AE197" s="34">
        <f t="shared" si="38"/>
        <v>0</v>
      </c>
      <c r="AF197" s="36">
        <f t="shared" si="39"/>
        <v>-10</v>
      </c>
      <c r="AG197" s="41">
        <f t="shared" si="40"/>
        <v>0</v>
      </c>
      <c r="AH197" s="70">
        <f t="shared" si="41"/>
        <v>0</v>
      </c>
    </row>
    <row r="198" spans="2:34" x14ac:dyDescent="0.4">
      <c r="B198" s="38" t="s">
        <v>590</v>
      </c>
      <c r="C198" s="34">
        <v>1</v>
      </c>
      <c r="D198" s="34">
        <v>8395</v>
      </c>
      <c r="E198" s="37">
        <v>46078</v>
      </c>
      <c r="F198" s="34"/>
      <c r="G198" s="35"/>
      <c r="H198" s="34">
        <f t="shared" si="24"/>
        <v>10</v>
      </c>
      <c r="I198" s="34">
        <f t="shared" si="25"/>
        <v>0</v>
      </c>
      <c r="J198" s="39">
        <f t="shared" si="46"/>
        <v>0</v>
      </c>
      <c r="K198" s="34"/>
      <c r="L198" s="40">
        <f t="shared" si="27"/>
        <v>-46077</v>
      </c>
      <c r="M198" s="34">
        <f t="shared" si="28"/>
        <v>8395</v>
      </c>
      <c r="N198" s="34">
        <f t="shared" si="29"/>
        <v>0</v>
      </c>
      <c r="O198" s="36">
        <f t="shared" si="30"/>
        <v>-10</v>
      </c>
      <c r="P198" s="41">
        <f t="shared" si="31"/>
        <v>0</v>
      </c>
      <c r="Q198" s="70">
        <f t="shared" si="32"/>
        <v>0</v>
      </c>
      <c r="S198" s="38" t="s">
        <v>590</v>
      </c>
      <c r="T198" s="34">
        <v>1</v>
      </c>
      <c r="U198" s="34">
        <v>8395</v>
      </c>
      <c r="V198" s="37">
        <v>46078</v>
      </c>
      <c r="W198" s="34"/>
      <c r="X198" s="35"/>
      <c r="Y198" s="34">
        <f t="shared" si="33"/>
        <v>10</v>
      </c>
      <c r="Z198" s="34">
        <f t="shared" si="34"/>
        <v>0</v>
      </c>
      <c r="AA198" s="39">
        <f t="shared" si="47"/>
        <v>0</v>
      </c>
      <c r="AB198" s="34"/>
      <c r="AC198" s="40">
        <f t="shared" si="36"/>
        <v>-46077</v>
      </c>
      <c r="AD198" s="34">
        <f t="shared" si="37"/>
        <v>8395</v>
      </c>
      <c r="AE198" s="34">
        <f t="shared" si="38"/>
        <v>0</v>
      </c>
      <c r="AF198" s="36">
        <f t="shared" si="39"/>
        <v>-10</v>
      </c>
      <c r="AG198" s="41">
        <f t="shared" si="40"/>
        <v>0</v>
      </c>
      <c r="AH198" s="70">
        <f t="shared" si="41"/>
        <v>0</v>
      </c>
    </row>
    <row r="199" spans="2:34" x14ac:dyDescent="0.4">
      <c r="B199" s="38" t="s">
        <v>590</v>
      </c>
      <c r="C199" s="34">
        <v>1</v>
      </c>
      <c r="D199" s="34">
        <v>7805</v>
      </c>
      <c r="E199" s="37">
        <v>46085</v>
      </c>
      <c r="F199" s="34"/>
      <c r="G199" s="35"/>
      <c r="H199" s="34">
        <f t="shared" si="24"/>
        <v>10</v>
      </c>
      <c r="I199" s="34">
        <f t="shared" si="25"/>
        <v>0</v>
      </c>
      <c r="J199" s="39">
        <f t="shared" si="46"/>
        <v>0</v>
      </c>
      <c r="K199" s="34"/>
      <c r="L199" s="40">
        <f t="shared" si="27"/>
        <v>-46084</v>
      </c>
      <c r="M199" s="34">
        <f t="shared" si="28"/>
        <v>7805</v>
      </c>
      <c r="N199" s="34">
        <f t="shared" si="29"/>
        <v>0</v>
      </c>
      <c r="O199" s="36">
        <f t="shared" si="30"/>
        <v>-10</v>
      </c>
      <c r="P199" s="41">
        <f t="shared" si="31"/>
        <v>0</v>
      </c>
      <c r="Q199" s="70">
        <f t="shared" si="32"/>
        <v>0</v>
      </c>
      <c r="S199" s="38" t="s">
        <v>590</v>
      </c>
      <c r="T199" s="34">
        <v>1</v>
      </c>
      <c r="U199" s="34">
        <v>7805</v>
      </c>
      <c r="V199" s="37">
        <v>46085</v>
      </c>
      <c r="W199" s="34"/>
      <c r="X199" s="35"/>
      <c r="Y199" s="34">
        <f t="shared" si="33"/>
        <v>10</v>
      </c>
      <c r="Z199" s="34">
        <f t="shared" si="34"/>
        <v>0</v>
      </c>
      <c r="AA199" s="39">
        <f t="shared" si="47"/>
        <v>0</v>
      </c>
      <c r="AB199" s="34"/>
      <c r="AC199" s="40">
        <f t="shared" si="36"/>
        <v>-46084</v>
      </c>
      <c r="AD199" s="34">
        <f t="shared" si="37"/>
        <v>7805</v>
      </c>
      <c r="AE199" s="34">
        <f t="shared" si="38"/>
        <v>0</v>
      </c>
      <c r="AF199" s="36">
        <f t="shared" si="39"/>
        <v>-10</v>
      </c>
      <c r="AG199" s="41">
        <f t="shared" si="40"/>
        <v>0</v>
      </c>
      <c r="AH199" s="70">
        <f t="shared" si="41"/>
        <v>0</v>
      </c>
    </row>
    <row r="200" spans="2:34" x14ac:dyDescent="0.4">
      <c r="B200" s="38" t="s">
        <v>590</v>
      </c>
      <c r="C200" s="34">
        <v>1</v>
      </c>
      <c r="D200" s="34">
        <v>8200</v>
      </c>
      <c r="E200" s="37">
        <v>46092</v>
      </c>
      <c r="F200" s="34"/>
      <c r="G200" s="35"/>
      <c r="H200" s="34">
        <f t="shared" si="24"/>
        <v>10</v>
      </c>
      <c r="I200" s="34">
        <f t="shared" si="25"/>
        <v>0</v>
      </c>
      <c r="J200" s="39">
        <f t="shared" si="46"/>
        <v>0</v>
      </c>
      <c r="K200" s="34"/>
      <c r="L200" s="40">
        <f t="shared" si="27"/>
        <v>-46091</v>
      </c>
      <c r="M200" s="34">
        <f t="shared" si="28"/>
        <v>8200</v>
      </c>
      <c r="N200" s="34">
        <f t="shared" si="29"/>
        <v>0</v>
      </c>
      <c r="O200" s="36">
        <f t="shared" si="30"/>
        <v>-10</v>
      </c>
      <c r="P200" s="41">
        <f t="shared" si="31"/>
        <v>0</v>
      </c>
      <c r="Q200" s="70">
        <f t="shared" si="32"/>
        <v>0</v>
      </c>
      <c r="S200" s="38" t="s">
        <v>590</v>
      </c>
      <c r="T200" s="34">
        <v>1</v>
      </c>
      <c r="U200" s="34">
        <v>8200</v>
      </c>
      <c r="V200" s="37">
        <v>46092</v>
      </c>
      <c r="W200" s="34"/>
      <c r="X200" s="35"/>
      <c r="Y200" s="34">
        <f t="shared" si="33"/>
        <v>10</v>
      </c>
      <c r="Z200" s="34">
        <f t="shared" si="34"/>
        <v>0</v>
      </c>
      <c r="AA200" s="39">
        <f t="shared" si="47"/>
        <v>0</v>
      </c>
      <c r="AB200" s="34"/>
      <c r="AC200" s="40">
        <f t="shared" si="36"/>
        <v>-46091</v>
      </c>
      <c r="AD200" s="34">
        <f t="shared" si="37"/>
        <v>8200</v>
      </c>
      <c r="AE200" s="34">
        <f t="shared" si="38"/>
        <v>0</v>
      </c>
      <c r="AF200" s="36">
        <f t="shared" si="39"/>
        <v>-10</v>
      </c>
      <c r="AG200" s="41">
        <f t="shared" si="40"/>
        <v>0</v>
      </c>
      <c r="AH200" s="70">
        <f t="shared" si="41"/>
        <v>0</v>
      </c>
    </row>
    <row r="201" spans="2:34" x14ac:dyDescent="0.4">
      <c r="B201" s="38" t="s">
        <v>590</v>
      </c>
      <c r="C201" s="34">
        <v>1</v>
      </c>
      <c r="D201" s="34">
        <v>8320</v>
      </c>
      <c r="E201" s="37">
        <v>46099</v>
      </c>
      <c r="F201" s="34"/>
      <c r="G201" s="35"/>
      <c r="H201" s="34">
        <f t="shared" si="24"/>
        <v>10</v>
      </c>
      <c r="I201" s="34">
        <f t="shared" si="25"/>
        <v>0</v>
      </c>
      <c r="J201" s="39">
        <f t="shared" si="46"/>
        <v>0</v>
      </c>
      <c r="K201" s="34"/>
      <c r="L201" s="40">
        <f t="shared" si="27"/>
        <v>-46098</v>
      </c>
      <c r="M201" s="34">
        <f t="shared" si="28"/>
        <v>8320</v>
      </c>
      <c r="N201" s="34">
        <f t="shared" si="29"/>
        <v>0</v>
      </c>
      <c r="O201" s="36">
        <f t="shared" si="30"/>
        <v>-10</v>
      </c>
      <c r="P201" s="41">
        <f t="shared" si="31"/>
        <v>0</v>
      </c>
      <c r="Q201" s="70">
        <f t="shared" si="32"/>
        <v>0</v>
      </c>
      <c r="S201" s="38" t="s">
        <v>590</v>
      </c>
      <c r="T201" s="34">
        <v>1</v>
      </c>
      <c r="U201" s="34">
        <v>8320</v>
      </c>
      <c r="V201" s="37">
        <v>46099</v>
      </c>
      <c r="W201" s="34"/>
      <c r="X201" s="35"/>
      <c r="Y201" s="34">
        <f t="shared" si="33"/>
        <v>10</v>
      </c>
      <c r="Z201" s="34">
        <f t="shared" si="34"/>
        <v>0</v>
      </c>
      <c r="AA201" s="39">
        <f t="shared" si="47"/>
        <v>0</v>
      </c>
      <c r="AB201" s="34"/>
      <c r="AC201" s="40">
        <f t="shared" si="36"/>
        <v>-46098</v>
      </c>
      <c r="AD201" s="34">
        <f t="shared" si="37"/>
        <v>8320</v>
      </c>
      <c r="AE201" s="34">
        <f t="shared" si="38"/>
        <v>0</v>
      </c>
      <c r="AF201" s="36">
        <f t="shared" si="39"/>
        <v>-10</v>
      </c>
      <c r="AG201" s="41">
        <f t="shared" si="40"/>
        <v>0</v>
      </c>
      <c r="AH201" s="70">
        <f t="shared" si="41"/>
        <v>0</v>
      </c>
    </row>
    <row r="202" spans="2:34" x14ac:dyDescent="0.4">
      <c r="B202" s="38" t="s">
        <v>590</v>
      </c>
      <c r="C202" s="34">
        <v>1</v>
      </c>
      <c r="D202" s="34">
        <v>7940</v>
      </c>
      <c r="E202" s="37">
        <v>46106</v>
      </c>
      <c r="F202" s="34"/>
      <c r="G202" s="35"/>
      <c r="H202" s="34">
        <f t="shared" si="24"/>
        <v>10</v>
      </c>
      <c r="I202" s="34">
        <f t="shared" si="25"/>
        <v>0</v>
      </c>
      <c r="J202" s="39">
        <f t="shared" si="46"/>
        <v>0</v>
      </c>
      <c r="K202" s="34"/>
      <c r="L202" s="40">
        <f t="shared" si="27"/>
        <v>-46105</v>
      </c>
      <c r="M202" s="34">
        <f t="shared" si="28"/>
        <v>7940</v>
      </c>
      <c r="N202" s="34">
        <f t="shared" si="29"/>
        <v>0</v>
      </c>
      <c r="O202" s="36">
        <f t="shared" si="30"/>
        <v>-10</v>
      </c>
      <c r="P202" s="41">
        <f t="shared" si="31"/>
        <v>0</v>
      </c>
      <c r="Q202" s="70">
        <f t="shared" si="32"/>
        <v>0</v>
      </c>
      <c r="S202" s="38" t="s">
        <v>590</v>
      </c>
      <c r="T202" s="34">
        <v>1</v>
      </c>
      <c r="U202" s="34">
        <v>7940</v>
      </c>
      <c r="V202" s="37">
        <v>46106</v>
      </c>
      <c r="W202" s="34"/>
      <c r="X202" s="35"/>
      <c r="Y202" s="34">
        <f t="shared" si="33"/>
        <v>10</v>
      </c>
      <c r="Z202" s="34">
        <f t="shared" si="34"/>
        <v>0</v>
      </c>
      <c r="AA202" s="39">
        <f t="shared" si="47"/>
        <v>0</v>
      </c>
      <c r="AB202" s="34"/>
      <c r="AC202" s="40">
        <f t="shared" si="36"/>
        <v>-46105</v>
      </c>
      <c r="AD202" s="34">
        <f t="shared" si="37"/>
        <v>7940</v>
      </c>
      <c r="AE202" s="34">
        <f t="shared" si="38"/>
        <v>0</v>
      </c>
      <c r="AF202" s="36">
        <f t="shared" si="39"/>
        <v>-10</v>
      </c>
      <c r="AG202" s="41">
        <f t="shared" si="40"/>
        <v>0</v>
      </c>
      <c r="AH202" s="70">
        <f t="shared" si="41"/>
        <v>0</v>
      </c>
    </row>
    <row r="203" spans="2:34" x14ac:dyDescent="0.4">
      <c r="B203" s="38" t="s">
        <v>590</v>
      </c>
      <c r="C203" s="34">
        <v>1</v>
      </c>
      <c r="D203" s="34">
        <v>7915</v>
      </c>
      <c r="E203" s="37">
        <v>46113</v>
      </c>
      <c r="F203" s="34"/>
      <c r="G203" s="35"/>
      <c r="H203" s="34">
        <f t="shared" si="24"/>
        <v>10</v>
      </c>
      <c r="I203" s="34">
        <f t="shared" si="25"/>
        <v>0</v>
      </c>
      <c r="J203" s="39">
        <f t="shared" si="46"/>
        <v>0</v>
      </c>
      <c r="K203" s="34"/>
      <c r="L203" s="40">
        <f t="shared" si="27"/>
        <v>-46112</v>
      </c>
      <c r="M203" s="34">
        <f t="shared" si="28"/>
        <v>7915</v>
      </c>
      <c r="N203" s="34">
        <f t="shared" si="29"/>
        <v>0</v>
      </c>
      <c r="O203" s="36">
        <f t="shared" si="30"/>
        <v>-10</v>
      </c>
      <c r="P203" s="41">
        <f t="shared" si="31"/>
        <v>0</v>
      </c>
      <c r="Q203" s="70">
        <f t="shared" si="32"/>
        <v>0</v>
      </c>
      <c r="S203" s="38" t="s">
        <v>590</v>
      </c>
      <c r="T203" s="34">
        <v>1</v>
      </c>
      <c r="U203" s="34">
        <v>7915</v>
      </c>
      <c r="V203" s="37">
        <v>46113</v>
      </c>
      <c r="W203" s="34"/>
      <c r="X203" s="35"/>
      <c r="Y203" s="34">
        <f t="shared" si="33"/>
        <v>10</v>
      </c>
      <c r="Z203" s="34">
        <f t="shared" si="34"/>
        <v>0</v>
      </c>
      <c r="AA203" s="39">
        <f t="shared" si="47"/>
        <v>0</v>
      </c>
      <c r="AB203" s="34"/>
      <c r="AC203" s="40">
        <f t="shared" si="36"/>
        <v>-46112</v>
      </c>
      <c r="AD203" s="34">
        <f t="shared" si="37"/>
        <v>7915</v>
      </c>
      <c r="AE203" s="34">
        <f t="shared" si="38"/>
        <v>0</v>
      </c>
      <c r="AF203" s="36">
        <f t="shared" si="39"/>
        <v>-10</v>
      </c>
      <c r="AG203" s="41">
        <f t="shared" si="40"/>
        <v>0</v>
      </c>
      <c r="AH203" s="70">
        <f t="shared" si="41"/>
        <v>0</v>
      </c>
    </row>
    <row r="204" spans="2:34" x14ac:dyDescent="0.4">
      <c r="B204" s="38" t="s">
        <v>591</v>
      </c>
      <c r="C204" s="34">
        <v>1</v>
      </c>
      <c r="D204" s="34">
        <v>10000</v>
      </c>
      <c r="E204" s="37">
        <v>45751</v>
      </c>
      <c r="F204" s="34"/>
      <c r="G204" s="35"/>
      <c r="H204" s="34">
        <f t="shared" si="24"/>
        <v>10</v>
      </c>
      <c r="I204" s="34">
        <f t="shared" si="25"/>
        <v>0</v>
      </c>
      <c r="J204" s="39">
        <f t="shared" si="46"/>
        <v>0</v>
      </c>
      <c r="K204" s="34">
        <f t="shared" ref="K204:K234" si="50">20*C204</f>
        <v>20</v>
      </c>
      <c r="L204" s="40">
        <f t="shared" si="27"/>
        <v>-45750</v>
      </c>
      <c r="M204" s="34">
        <f t="shared" si="28"/>
        <v>10000</v>
      </c>
      <c r="N204" s="34">
        <f t="shared" si="29"/>
        <v>0</v>
      </c>
      <c r="O204" s="36">
        <f t="shared" si="30"/>
        <v>10</v>
      </c>
      <c r="P204" s="41">
        <f t="shared" si="31"/>
        <v>0</v>
      </c>
      <c r="Q204" s="70">
        <f t="shared" si="32"/>
        <v>0</v>
      </c>
      <c r="S204" s="38" t="s">
        <v>591</v>
      </c>
      <c r="T204" s="34">
        <v>1</v>
      </c>
      <c r="U204" s="34">
        <v>10000</v>
      </c>
      <c r="V204" s="37">
        <v>45751</v>
      </c>
      <c r="W204" s="34"/>
      <c r="X204" s="35"/>
      <c r="Y204" s="34">
        <f t="shared" si="33"/>
        <v>10</v>
      </c>
      <c r="Z204" s="34">
        <f t="shared" si="34"/>
        <v>0</v>
      </c>
      <c r="AA204" s="39">
        <f t="shared" si="47"/>
        <v>0</v>
      </c>
      <c r="AB204" s="34">
        <f t="shared" ref="AB204:AB234" si="51">20*T204</f>
        <v>20</v>
      </c>
      <c r="AC204" s="40">
        <f t="shared" si="36"/>
        <v>-45750</v>
      </c>
      <c r="AD204" s="34">
        <f t="shared" si="37"/>
        <v>10000</v>
      </c>
      <c r="AE204" s="34">
        <f t="shared" si="38"/>
        <v>0</v>
      </c>
      <c r="AF204" s="36">
        <f t="shared" si="39"/>
        <v>10</v>
      </c>
      <c r="AG204" s="41">
        <f t="shared" si="40"/>
        <v>0</v>
      </c>
      <c r="AH204" s="70">
        <f t="shared" si="41"/>
        <v>0</v>
      </c>
    </row>
    <row r="205" spans="2:34" x14ac:dyDescent="0.4">
      <c r="B205" s="38" t="s">
        <v>591</v>
      </c>
      <c r="C205" s="34">
        <v>1</v>
      </c>
      <c r="D205" s="34">
        <v>10340</v>
      </c>
      <c r="E205" s="37">
        <v>45758</v>
      </c>
      <c r="F205" s="34"/>
      <c r="G205" s="35"/>
      <c r="H205" s="34">
        <f t="shared" si="24"/>
        <v>10</v>
      </c>
      <c r="I205" s="34">
        <f t="shared" si="25"/>
        <v>0</v>
      </c>
      <c r="J205" s="39">
        <f t="shared" si="46"/>
        <v>0</v>
      </c>
      <c r="K205" s="34">
        <f t="shared" si="50"/>
        <v>20</v>
      </c>
      <c r="L205" s="40">
        <f t="shared" si="27"/>
        <v>-45757</v>
      </c>
      <c r="M205" s="34">
        <f t="shared" si="28"/>
        <v>10340</v>
      </c>
      <c r="N205" s="34">
        <f t="shared" si="29"/>
        <v>0</v>
      </c>
      <c r="O205" s="36">
        <f t="shared" si="30"/>
        <v>10</v>
      </c>
      <c r="P205" s="41">
        <f t="shared" si="31"/>
        <v>0</v>
      </c>
      <c r="Q205" s="70">
        <f t="shared" si="32"/>
        <v>0</v>
      </c>
      <c r="S205" s="38" t="s">
        <v>591</v>
      </c>
      <c r="T205" s="34">
        <v>1</v>
      </c>
      <c r="U205" s="34">
        <v>10340</v>
      </c>
      <c r="V205" s="37">
        <v>45758</v>
      </c>
      <c r="W205" s="34"/>
      <c r="X205" s="35"/>
      <c r="Y205" s="34">
        <f t="shared" si="33"/>
        <v>10</v>
      </c>
      <c r="Z205" s="34">
        <f t="shared" si="34"/>
        <v>0</v>
      </c>
      <c r="AA205" s="39">
        <f t="shared" si="47"/>
        <v>0</v>
      </c>
      <c r="AB205" s="34">
        <f t="shared" si="51"/>
        <v>20</v>
      </c>
      <c r="AC205" s="40">
        <f t="shared" si="36"/>
        <v>-45757</v>
      </c>
      <c r="AD205" s="34">
        <f t="shared" si="37"/>
        <v>10340</v>
      </c>
      <c r="AE205" s="34">
        <f t="shared" si="38"/>
        <v>0</v>
      </c>
      <c r="AF205" s="36">
        <f t="shared" si="39"/>
        <v>10</v>
      </c>
      <c r="AG205" s="41">
        <f t="shared" si="40"/>
        <v>0</v>
      </c>
      <c r="AH205" s="70">
        <f t="shared" si="41"/>
        <v>0</v>
      </c>
    </row>
    <row r="206" spans="2:34" x14ac:dyDescent="0.4">
      <c r="B206" s="38" t="s">
        <v>591</v>
      </c>
      <c r="C206" s="34">
        <v>1</v>
      </c>
      <c r="D206" s="34">
        <v>9740</v>
      </c>
      <c r="E206" s="37">
        <v>45765</v>
      </c>
      <c r="F206" s="34"/>
      <c r="G206" s="35"/>
      <c r="H206" s="34">
        <f t="shared" si="24"/>
        <v>10</v>
      </c>
      <c r="I206" s="34">
        <f t="shared" si="25"/>
        <v>0</v>
      </c>
      <c r="J206" s="39">
        <f t="shared" si="46"/>
        <v>0</v>
      </c>
      <c r="K206" s="34">
        <f t="shared" si="50"/>
        <v>20</v>
      </c>
      <c r="L206" s="40">
        <f t="shared" si="27"/>
        <v>-45764</v>
      </c>
      <c r="M206" s="34">
        <f t="shared" si="28"/>
        <v>9740</v>
      </c>
      <c r="N206" s="34">
        <f t="shared" si="29"/>
        <v>0</v>
      </c>
      <c r="O206" s="36">
        <f t="shared" si="30"/>
        <v>10</v>
      </c>
      <c r="P206" s="41">
        <f t="shared" si="31"/>
        <v>0</v>
      </c>
      <c r="Q206" s="70">
        <f t="shared" si="32"/>
        <v>0</v>
      </c>
      <c r="S206" s="38" t="s">
        <v>591</v>
      </c>
      <c r="T206" s="34">
        <v>1</v>
      </c>
      <c r="U206" s="34">
        <v>9740</v>
      </c>
      <c r="V206" s="37">
        <v>45765</v>
      </c>
      <c r="W206" s="34"/>
      <c r="X206" s="35"/>
      <c r="Y206" s="34">
        <f t="shared" si="33"/>
        <v>10</v>
      </c>
      <c r="Z206" s="34">
        <f t="shared" si="34"/>
        <v>0</v>
      </c>
      <c r="AA206" s="39">
        <f t="shared" si="47"/>
        <v>0</v>
      </c>
      <c r="AB206" s="34">
        <f t="shared" si="51"/>
        <v>20</v>
      </c>
      <c r="AC206" s="40">
        <f t="shared" si="36"/>
        <v>-45764</v>
      </c>
      <c r="AD206" s="34">
        <f t="shared" si="37"/>
        <v>9740</v>
      </c>
      <c r="AE206" s="34">
        <f t="shared" si="38"/>
        <v>0</v>
      </c>
      <c r="AF206" s="36">
        <f t="shared" si="39"/>
        <v>10</v>
      </c>
      <c r="AG206" s="41">
        <f t="shared" si="40"/>
        <v>0</v>
      </c>
      <c r="AH206" s="70">
        <f t="shared" si="41"/>
        <v>0</v>
      </c>
    </row>
    <row r="207" spans="2:34" x14ac:dyDescent="0.4">
      <c r="B207" s="38" t="s">
        <v>591</v>
      </c>
      <c r="C207" s="34">
        <v>1</v>
      </c>
      <c r="D207" s="34">
        <v>10740</v>
      </c>
      <c r="E207" s="37">
        <v>45779</v>
      </c>
      <c r="F207" s="34"/>
      <c r="G207" s="35"/>
      <c r="H207" s="34">
        <f t="shared" si="24"/>
        <v>20</v>
      </c>
      <c r="I207" s="34">
        <f t="shared" si="25"/>
        <v>0</v>
      </c>
      <c r="J207" s="39">
        <f t="shared" si="46"/>
        <v>0</v>
      </c>
      <c r="K207" s="34">
        <f t="shared" si="50"/>
        <v>20</v>
      </c>
      <c r="L207" s="40">
        <f t="shared" si="27"/>
        <v>-45778</v>
      </c>
      <c r="M207" s="34">
        <f t="shared" si="28"/>
        <v>10740</v>
      </c>
      <c r="N207" s="34">
        <f t="shared" si="29"/>
        <v>0</v>
      </c>
      <c r="O207" s="36">
        <f t="shared" si="30"/>
        <v>0</v>
      </c>
      <c r="P207" s="41">
        <f t="shared" si="31"/>
        <v>0</v>
      </c>
      <c r="Q207" s="70">
        <f t="shared" si="32"/>
        <v>0</v>
      </c>
      <c r="S207" s="38" t="s">
        <v>591</v>
      </c>
      <c r="T207" s="34">
        <v>1</v>
      </c>
      <c r="U207" s="34">
        <v>10740</v>
      </c>
      <c r="V207" s="37">
        <v>45779</v>
      </c>
      <c r="W207" s="34"/>
      <c r="X207" s="35"/>
      <c r="Y207" s="34">
        <f t="shared" si="33"/>
        <v>20</v>
      </c>
      <c r="Z207" s="34">
        <f t="shared" si="34"/>
        <v>0</v>
      </c>
      <c r="AA207" s="39">
        <f t="shared" si="47"/>
        <v>0</v>
      </c>
      <c r="AB207" s="34">
        <f t="shared" si="51"/>
        <v>20</v>
      </c>
      <c r="AC207" s="40">
        <f t="shared" si="36"/>
        <v>-45778</v>
      </c>
      <c r="AD207" s="34">
        <f t="shared" si="37"/>
        <v>10740</v>
      </c>
      <c r="AE207" s="34">
        <f t="shared" si="38"/>
        <v>0</v>
      </c>
      <c r="AF207" s="36">
        <f t="shared" si="39"/>
        <v>0</v>
      </c>
      <c r="AG207" s="41">
        <f t="shared" si="40"/>
        <v>0</v>
      </c>
      <c r="AH207" s="70">
        <f t="shared" si="41"/>
        <v>0</v>
      </c>
    </row>
    <row r="208" spans="2:34" x14ac:dyDescent="0.4">
      <c r="B208" s="38" t="s">
        <v>591</v>
      </c>
      <c r="C208" s="34">
        <v>1</v>
      </c>
      <c r="D208" s="34">
        <v>12635</v>
      </c>
      <c r="E208" s="37">
        <v>45793</v>
      </c>
      <c r="F208" s="34"/>
      <c r="G208" s="35"/>
      <c r="H208" s="34">
        <f t="shared" si="24"/>
        <v>20</v>
      </c>
      <c r="I208" s="34">
        <f t="shared" si="25"/>
        <v>0</v>
      </c>
      <c r="J208" s="39">
        <f t="shared" si="46"/>
        <v>0</v>
      </c>
      <c r="K208" s="34">
        <f t="shared" si="50"/>
        <v>20</v>
      </c>
      <c r="L208" s="40">
        <f t="shared" si="27"/>
        <v>-45792</v>
      </c>
      <c r="M208" s="34">
        <f t="shared" si="28"/>
        <v>12635</v>
      </c>
      <c r="N208" s="34">
        <f t="shared" si="29"/>
        <v>0</v>
      </c>
      <c r="O208" s="36">
        <f t="shared" si="30"/>
        <v>0</v>
      </c>
      <c r="P208" s="41">
        <f t="shared" si="31"/>
        <v>0</v>
      </c>
      <c r="Q208" s="70">
        <f t="shared" si="32"/>
        <v>0</v>
      </c>
      <c r="S208" s="38" t="s">
        <v>591</v>
      </c>
      <c r="T208" s="34">
        <v>1</v>
      </c>
      <c r="U208" s="34">
        <v>12635</v>
      </c>
      <c r="V208" s="37">
        <v>45793</v>
      </c>
      <c r="W208" s="34"/>
      <c r="X208" s="35"/>
      <c r="Y208" s="34">
        <f t="shared" si="33"/>
        <v>20</v>
      </c>
      <c r="Z208" s="34">
        <f t="shared" si="34"/>
        <v>0</v>
      </c>
      <c r="AA208" s="39">
        <f t="shared" si="47"/>
        <v>0</v>
      </c>
      <c r="AB208" s="34">
        <f t="shared" si="51"/>
        <v>20</v>
      </c>
      <c r="AC208" s="40">
        <f t="shared" si="36"/>
        <v>-45792</v>
      </c>
      <c r="AD208" s="34">
        <f t="shared" si="37"/>
        <v>12635</v>
      </c>
      <c r="AE208" s="34">
        <f t="shared" si="38"/>
        <v>0</v>
      </c>
      <c r="AF208" s="36">
        <f t="shared" si="39"/>
        <v>0</v>
      </c>
      <c r="AG208" s="41">
        <f t="shared" si="40"/>
        <v>0</v>
      </c>
      <c r="AH208" s="70">
        <f t="shared" si="41"/>
        <v>0</v>
      </c>
    </row>
    <row r="209" spans="2:34" x14ac:dyDescent="0.4">
      <c r="B209" s="38" t="s">
        <v>591</v>
      </c>
      <c r="C209" s="34">
        <v>1</v>
      </c>
      <c r="D209" s="34">
        <v>14520</v>
      </c>
      <c r="E209" s="37">
        <v>45807</v>
      </c>
      <c r="F209" s="34"/>
      <c r="G209" s="35"/>
      <c r="H209" s="34">
        <f t="shared" si="24"/>
        <v>20</v>
      </c>
      <c r="I209" s="34">
        <f t="shared" si="25"/>
        <v>0</v>
      </c>
      <c r="J209" s="39">
        <f t="shared" si="46"/>
        <v>0</v>
      </c>
      <c r="K209" s="34">
        <f t="shared" si="50"/>
        <v>20</v>
      </c>
      <c r="L209" s="40">
        <f t="shared" si="27"/>
        <v>-45806</v>
      </c>
      <c r="M209" s="34">
        <f t="shared" si="28"/>
        <v>14520</v>
      </c>
      <c r="N209" s="34">
        <f t="shared" si="29"/>
        <v>0</v>
      </c>
      <c r="O209" s="36">
        <f t="shared" si="30"/>
        <v>0</v>
      </c>
      <c r="P209" s="41">
        <f t="shared" si="31"/>
        <v>0</v>
      </c>
      <c r="Q209" s="70">
        <f t="shared" si="32"/>
        <v>0</v>
      </c>
      <c r="S209" s="38" t="s">
        <v>591</v>
      </c>
      <c r="T209" s="34">
        <v>1</v>
      </c>
      <c r="U209" s="34">
        <v>14520</v>
      </c>
      <c r="V209" s="37">
        <v>45807</v>
      </c>
      <c r="W209" s="34"/>
      <c r="X209" s="35"/>
      <c r="Y209" s="34">
        <f t="shared" si="33"/>
        <v>20</v>
      </c>
      <c r="Z209" s="34">
        <f t="shared" si="34"/>
        <v>0</v>
      </c>
      <c r="AA209" s="39">
        <f t="shared" si="47"/>
        <v>0</v>
      </c>
      <c r="AB209" s="34">
        <f t="shared" si="51"/>
        <v>20</v>
      </c>
      <c r="AC209" s="40">
        <f t="shared" si="36"/>
        <v>-45806</v>
      </c>
      <c r="AD209" s="34">
        <f t="shared" si="37"/>
        <v>14520</v>
      </c>
      <c r="AE209" s="34">
        <f t="shared" si="38"/>
        <v>0</v>
      </c>
      <c r="AF209" s="36">
        <f t="shared" si="39"/>
        <v>0</v>
      </c>
      <c r="AG209" s="41">
        <f t="shared" si="40"/>
        <v>0</v>
      </c>
      <c r="AH209" s="70">
        <f t="shared" si="41"/>
        <v>0</v>
      </c>
    </row>
    <row r="210" spans="2:34" x14ac:dyDescent="0.4">
      <c r="B210" s="38" t="s">
        <v>591</v>
      </c>
      <c r="C210" s="34">
        <v>1</v>
      </c>
      <c r="D210" s="34">
        <v>14625</v>
      </c>
      <c r="E210" s="37">
        <v>45817</v>
      </c>
      <c r="F210" s="34"/>
      <c r="G210" s="35"/>
      <c r="H210" s="34">
        <f t="shared" si="24"/>
        <v>20</v>
      </c>
      <c r="I210" s="34">
        <f t="shared" si="25"/>
        <v>0</v>
      </c>
      <c r="J210" s="39">
        <f t="shared" si="46"/>
        <v>0</v>
      </c>
      <c r="K210" s="34">
        <f t="shared" si="50"/>
        <v>20</v>
      </c>
      <c r="L210" s="40">
        <f t="shared" si="27"/>
        <v>-45816</v>
      </c>
      <c r="M210" s="34">
        <f t="shared" si="28"/>
        <v>14625</v>
      </c>
      <c r="N210" s="34">
        <f t="shared" si="29"/>
        <v>0</v>
      </c>
      <c r="O210" s="36">
        <f t="shared" si="30"/>
        <v>0</v>
      </c>
      <c r="P210" s="41">
        <f t="shared" si="31"/>
        <v>0</v>
      </c>
      <c r="Q210" s="70">
        <f t="shared" si="32"/>
        <v>0</v>
      </c>
      <c r="S210" s="38" t="s">
        <v>591</v>
      </c>
      <c r="T210" s="34">
        <v>1</v>
      </c>
      <c r="U210" s="34">
        <v>14625</v>
      </c>
      <c r="V210" s="37">
        <v>45817</v>
      </c>
      <c r="W210" s="34"/>
      <c r="X210" s="35"/>
      <c r="Y210" s="34">
        <f t="shared" si="33"/>
        <v>20</v>
      </c>
      <c r="Z210" s="34">
        <f t="shared" si="34"/>
        <v>0</v>
      </c>
      <c r="AA210" s="39">
        <f t="shared" si="47"/>
        <v>0</v>
      </c>
      <c r="AB210" s="34">
        <f t="shared" si="51"/>
        <v>20</v>
      </c>
      <c r="AC210" s="40">
        <f t="shared" si="36"/>
        <v>-45816</v>
      </c>
      <c r="AD210" s="34">
        <f t="shared" si="37"/>
        <v>14625</v>
      </c>
      <c r="AE210" s="34">
        <f t="shared" si="38"/>
        <v>0</v>
      </c>
      <c r="AF210" s="36">
        <f t="shared" si="39"/>
        <v>0</v>
      </c>
      <c r="AG210" s="41">
        <f t="shared" si="40"/>
        <v>0</v>
      </c>
      <c r="AH210" s="70">
        <f t="shared" si="41"/>
        <v>0</v>
      </c>
    </row>
    <row r="211" spans="2:34" x14ac:dyDescent="0.4">
      <c r="B211" s="38" t="s">
        <v>591</v>
      </c>
      <c r="C211" s="34">
        <v>1</v>
      </c>
      <c r="D211" s="34">
        <v>14565</v>
      </c>
      <c r="E211" s="37">
        <v>45821</v>
      </c>
      <c r="F211" s="34"/>
      <c r="G211" s="35"/>
      <c r="H211" s="34">
        <f t="shared" si="24"/>
        <v>20</v>
      </c>
      <c r="I211" s="34">
        <f t="shared" si="25"/>
        <v>0</v>
      </c>
      <c r="J211" s="39">
        <f t="shared" si="46"/>
        <v>0</v>
      </c>
      <c r="K211" s="34">
        <f t="shared" si="50"/>
        <v>20</v>
      </c>
      <c r="L211" s="40">
        <f t="shared" si="27"/>
        <v>-45820</v>
      </c>
      <c r="M211" s="34">
        <f t="shared" si="28"/>
        <v>14565</v>
      </c>
      <c r="N211" s="34">
        <f t="shared" si="29"/>
        <v>0</v>
      </c>
      <c r="O211" s="36">
        <f t="shared" si="30"/>
        <v>0</v>
      </c>
      <c r="P211" s="41">
        <f t="shared" si="31"/>
        <v>0</v>
      </c>
      <c r="Q211" s="70">
        <f t="shared" si="32"/>
        <v>0</v>
      </c>
      <c r="S211" s="38" t="s">
        <v>591</v>
      </c>
      <c r="T211" s="34">
        <v>1</v>
      </c>
      <c r="U211" s="34">
        <v>14565</v>
      </c>
      <c r="V211" s="37">
        <v>45821</v>
      </c>
      <c r="W211" s="34"/>
      <c r="X211" s="35"/>
      <c r="Y211" s="34">
        <f t="shared" si="33"/>
        <v>20</v>
      </c>
      <c r="Z211" s="34">
        <f t="shared" si="34"/>
        <v>0</v>
      </c>
      <c r="AA211" s="39">
        <f t="shared" si="47"/>
        <v>0</v>
      </c>
      <c r="AB211" s="34">
        <f t="shared" si="51"/>
        <v>20</v>
      </c>
      <c r="AC211" s="40">
        <f t="shared" si="36"/>
        <v>-45820</v>
      </c>
      <c r="AD211" s="34">
        <f t="shared" si="37"/>
        <v>14565</v>
      </c>
      <c r="AE211" s="34">
        <f t="shared" si="38"/>
        <v>0</v>
      </c>
      <c r="AF211" s="36">
        <f t="shared" si="39"/>
        <v>0</v>
      </c>
      <c r="AG211" s="41">
        <f t="shared" si="40"/>
        <v>0</v>
      </c>
      <c r="AH211" s="70">
        <f t="shared" si="41"/>
        <v>0</v>
      </c>
    </row>
    <row r="212" spans="2:34" x14ac:dyDescent="0.4">
      <c r="B212" s="38" t="s">
        <v>591</v>
      </c>
      <c r="C212" s="34">
        <v>1</v>
      </c>
      <c r="D212" s="34">
        <v>14840</v>
      </c>
      <c r="E212" s="37">
        <v>45828</v>
      </c>
      <c r="F212" s="34"/>
      <c r="G212" s="35"/>
      <c r="H212" s="34">
        <f t="shared" si="24"/>
        <v>20</v>
      </c>
      <c r="I212" s="34">
        <f t="shared" si="25"/>
        <v>0</v>
      </c>
      <c r="J212" s="39">
        <f t="shared" si="46"/>
        <v>0</v>
      </c>
      <c r="K212" s="34">
        <f t="shared" si="50"/>
        <v>20</v>
      </c>
      <c r="L212" s="40">
        <f t="shared" si="27"/>
        <v>-45827</v>
      </c>
      <c r="M212" s="34">
        <f t="shared" si="28"/>
        <v>14840</v>
      </c>
      <c r="N212" s="34">
        <f t="shared" si="29"/>
        <v>0</v>
      </c>
      <c r="O212" s="36">
        <f t="shared" si="30"/>
        <v>0</v>
      </c>
      <c r="P212" s="41">
        <f t="shared" si="31"/>
        <v>0</v>
      </c>
      <c r="Q212" s="70">
        <f t="shared" si="32"/>
        <v>0</v>
      </c>
      <c r="S212" s="38" t="s">
        <v>591</v>
      </c>
      <c r="T212" s="34">
        <v>1</v>
      </c>
      <c r="U212" s="34">
        <v>14840</v>
      </c>
      <c r="V212" s="37">
        <v>45828</v>
      </c>
      <c r="W212" s="34"/>
      <c r="X212" s="35"/>
      <c r="Y212" s="34">
        <f t="shared" si="33"/>
        <v>20</v>
      </c>
      <c r="Z212" s="34">
        <f t="shared" si="34"/>
        <v>0</v>
      </c>
      <c r="AA212" s="39">
        <f t="shared" si="47"/>
        <v>0</v>
      </c>
      <c r="AB212" s="34">
        <f t="shared" si="51"/>
        <v>20</v>
      </c>
      <c r="AC212" s="40">
        <f t="shared" si="36"/>
        <v>-45827</v>
      </c>
      <c r="AD212" s="34">
        <f t="shared" si="37"/>
        <v>14840</v>
      </c>
      <c r="AE212" s="34">
        <f t="shared" si="38"/>
        <v>0</v>
      </c>
      <c r="AF212" s="36">
        <f t="shared" si="39"/>
        <v>0</v>
      </c>
      <c r="AG212" s="41">
        <f t="shared" si="40"/>
        <v>0</v>
      </c>
      <c r="AH212" s="70">
        <f t="shared" si="41"/>
        <v>0</v>
      </c>
    </row>
    <row r="213" spans="2:34" x14ac:dyDescent="0.4">
      <c r="B213" s="38" t="s">
        <v>591</v>
      </c>
      <c r="C213" s="34">
        <v>1</v>
      </c>
      <c r="D213" s="34">
        <v>14355</v>
      </c>
      <c r="E213" s="37">
        <v>45835</v>
      </c>
      <c r="F213" s="34"/>
      <c r="G213" s="35"/>
      <c r="H213" s="34">
        <f t="shared" ref="H213:H276" si="52">ROUNDDOWN(M213*0.001891639,-1)</f>
        <v>20</v>
      </c>
      <c r="I213" s="34">
        <f t="shared" ref="I213:I276" si="53">ROUNDDOWN(N213*0.001891639,-1)</f>
        <v>0</v>
      </c>
      <c r="J213" s="39">
        <f t="shared" ref="J213:J247" si="54">N213*0.002</f>
        <v>0</v>
      </c>
      <c r="K213" s="34">
        <f t="shared" si="50"/>
        <v>20</v>
      </c>
      <c r="L213" s="40">
        <f t="shared" ref="L213:L276" si="55">G213-E213+1</f>
        <v>-45834</v>
      </c>
      <c r="M213" s="34">
        <f t="shared" ref="M213:M276" si="56">C213*D213</f>
        <v>14355</v>
      </c>
      <c r="N213" s="34">
        <f t="shared" ref="N213:N276" si="57">C213*F213</f>
        <v>0</v>
      </c>
      <c r="O213" s="36">
        <f t="shared" ref="O213:O276" si="58">K213-H213-I213-J213</f>
        <v>0</v>
      </c>
      <c r="P213" s="41">
        <f t="shared" ref="P213:P276" si="59">IF(N213=0,0,N213-M213+O213)</f>
        <v>0</v>
      </c>
      <c r="Q213" s="70">
        <f t="shared" ref="Q213:Q276" si="60">P213/M213</f>
        <v>0</v>
      </c>
      <c r="S213" s="38" t="s">
        <v>591</v>
      </c>
      <c r="T213" s="34">
        <v>1</v>
      </c>
      <c r="U213" s="34">
        <v>14355</v>
      </c>
      <c r="V213" s="37">
        <v>45835</v>
      </c>
      <c r="W213" s="34"/>
      <c r="X213" s="35"/>
      <c r="Y213" s="34">
        <f t="shared" ref="Y213:Y276" si="61">ROUNDDOWN(AD213*0.001891639,-1)</f>
        <v>20</v>
      </c>
      <c r="Z213" s="34">
        <f t="shared" ref="Z213:Z276" si="62">ROUNDDOWN(AE213*0.001891639,-1)</f>
        <v>0</v>
      </c>
      <c r="AA213" s="39">
        <f t="shared" ref="AA213:AA247" si="63">AE213*0.002</f>
        <v>0</v>
      </c>
      <c r="AB213" s="34">
        <f t="shared" si="51"/>
        <v>20</v>
      </c>
      <c r="AC213" s="40">
        <f t="shared" ref="AC213:AC276" si="64">X213-V213+1</f>
        <v>-45834</v>
      </c>
      <c r="AD213" s="34">
        <f t="shared" ref="AD213:AD276" si="65">T213*U213</f>
        <v>14355</v>
      </c>
      <c r="AE213" s="34">
        <f t="shared" ref="AE213:AE276" si="66">T213*W213</f>
        <v>0</v>
      </c>
      <c r="AF213" s="36">
        <f t="shared" ref="AF213:AF276" si="67">AB213-Y213-Z213-AA213</f>
        <v>0</v>
      </c>
      <c r="AG213" s="41">
        <f t="shared" ref="AG213:AG276" si="68">IF(AE213=0,0,AE213-AD213+AF213)</f>
        <v>0</v>
      </c>
      <c r="AH213" s="70">
        <f t="shared" ref="AH213:AH276" si="69">AG213/AD213</f>
        <v>0</v>
      </c>
    </row>
    <row r="214" spans="2:34" x14ac:dyDescent="0.4">
      <c r="B214" s="38" t="s">
        <v>591</v>
      </c>
      <c r="C214" s="34">
        <v>1</v>
      </c>
      <c r="D214" s="34">
        <v>15985</v>
      </c>
      <c r="E214" s="37">
        <v>45842</v>
      </c>
      <c r="F214" s="34"/>
      <c r="G214" s="35"/>
      <c r="H214" s="34">
        <f t="shared" si="52"/>
        <v>30</v>
      </c>
      <c r="I214" s="34">
        <f t="shared" si="53"/>
        <v>0</v>
      </c>
      <c r="J214" s="39">
        <f t="shared" si="54"/>
        <v>0</v>
      </c>
      <c r="K214" s="34">
        <f t="shared" si="50"/>
        <v>20</v>
      </c>
      <c r="L214" s="40">
        <f t="shared" si="55"/>
        <v>-45841</v>
      </c>
      <c r="M214" s="34">
        <f t="shared" si="56"/>
        <v>15985</v>
      </c>
      <c r="N214" s="34">
        <f t="shared" si="57"/>
        <v>0</v>
      </c>
      <c r="O214" s="36">
        <f t="shared" si="58"/>
        <v>-10</v>
      </c>
      <c r="P214" s="41">
        <f t="shared" si="59"/>
        <v>0</v>
      </c>
      <c r="Q214" s="70">
        <f t="shared" si="60"/>
        <v>0</v>
      </c>
      <c r="S214" s="38" t="s">
        <v>591</v>
      </c>
      <c r="T214" s="34">
        <v>1</v>
      </c>
      <c r="U214" s="34">
        <v>15985</v>
      </c>
      <c r="V214" s="37">
        <v>45842</v>
      </c>
      <c r="W214" s="34"/>
      <c r="X214" s="35"/>
      <c r="Y214" s="34">
        <f t="shared" si="61"/>
        <v>30</v>
      </c>
      <c r="Z214" s="34">
        <f t="shared" si="62"/>
        <v>0</v>
      </c>
      <c r="AA214" s="39">
        <f t="shared" si="63"/>
        <v>0</v>
      </c>
      <c r="AB214" s="34">
        <f t="shared" si="51"/>
        <v>20</v>
      </c>
      <c r="AC214" s="40">
        <f t="shared" si="64"/>
        <v>-45841</v>
      </c>
      <c r="AD214" s="34">
        <f t="shared" si="65"/>
        <v>15985</v>
      </c>
      <c r="AE214" s="34">
        <f t="shared" si="66"/>
        <v>0</v>
      </c>
      <c r="AF214" s="36">
        <f t="shared" si="67"/>
        <v>-10</v>
      </c>
      <c r="AG214" s="41">
        <f t="shared" si="68"/>
        <v>0</v>
      </c>
      <c r="AH214" s="70">
        <f t="shared" si="69"/>
        <v>0</v>
      </c>
    </row>
    <row r="215" spans="2:34" x14ac:dyDescent="0.4">
      <c r="B215" s="38" t="s">
        <v>591</v>
      </c>
      <c r="C215" s="34">
        <v>1</v>
      </c>
      <c r="D215" s="34">
        <v>16030</v>
      </c>
      <c r="E215" s="37">
        <v>45849</v>
      </c>
      <c r="F215" s="34"/>
      <c r="G215" s="35"/>
      <c r="H215" s="34">
        <f t="shared" si="52"/>
        <v>30</v>
      </c>
      <c r="I215" s="34">
        <f t="shared" si="53"/>
        <v>0</v>
      </c>
      <c r="J215" s="39">
        <f t="shared" si="54"/>
        <v>0</v>
      </c>
      <c r="K215" s="34">
        <f t="shared" si="50"/>
        <v>20</v>
      </c>
      <c r="L215" s="40">
        <f t="shared" si="55"/>
        <v>-45848</v>
      </c>
      <c r="M215" s="34">
        <f t="shared" si="56"/>
        <v>16030</v>
      </c>
      <c r="N215" s="34">
        <f t="shared" si="57"/>
        <v>0</v>
      </c>
      <c r="O215" s="36">
        <f t="shared" si="58"/>
        <v>-10</v>
      </c>
      <c r="P215" s="41">
        <f t="shared" si="59"/>
        <v>0</v>
      </c>
      <c r="Q215" s="70">
        <f t="shared" si="60"/>
        <v>0</v>
      </c>
      <c r="S215" s="38" t="s">
        <v>591</v>
      </c>
      <c r="T215" s="34">
        <v>1</v>
      </c>
      <c r="U215" s="34">
        <v>16030</v>
      </c>
      <c r="V215" s="37">
        <v>45849</v>
      </c>
      <c r="W215" s="34"/>
      <c r="X215" s="35"/>
      <c r="Y215" s="34">
        <f t="shared" si="61"/>
        <v>30</v>
      </c>
      <c r="Z215" s="34">
        <f t="shared" si="62"/>
        <v>0</v>
      </c>
      <c r="AA215" s="39">
        <f t="shared" si="63"/>
        <v>0</v>
      </c>
      <c r="AB215" s="34">
        <f t="shared" si="51"/>
        <v>20</v>
      </c>
      <c r="AC215" s="40">
        <f t="shared" si="64"/>
        <v>-45848</v>
      </c>
      <c r="AD215" s="34">
        <f t="shared" si="65"/>
        <v>16030</v>
      </c>
      <c r="AE215" s="34">
        <f t="shared" si="66"/>
        <v>0</v>
      </c>
      <c r="AF215" s="36">
        <f t="shared" si="67"/>
        <v>-10</v>
      </c>
      <c r="AG215" s="41">
        <f t="shared" si="68"/>
        <v>0</v>
      </c>
      <c r="AH215" s="70">
        <f t="shared" si="69"/>
        <v>0</v>
      </c>
    </row>
    <row r="216" spans="2:34" x14ac:dyDescent="0.4">
      <c r="B216" s="38" t="s">
        <v>591</v>
      </c>
      <c r="C216" s="34">
        <v>1</v>
      </c>
      <c r="D216" s="34">
        <v>17190</v>
      </c>
      <c r="E216" s="37">
        <v>45863</v>
      </c>
      <c r="F216" s="34"/>
      <c r="G216" s="35"/>
      <c r="H216" s="34">
        <f t="shared" si="52"/>
        <v>30</v>
      </c>
      <c r="I216" s="34">
        <f t="shared" si="53"/>
        <v>0</v>
      </c>
      <c r="J216" s="39">
        <f t="shared" si="54"/>
        <v>0</v>
      </c>
      <c r="K216" s="34">
        <f t="shared" si="50"/>
        <v>20</v>
      </c>
      <c r="L216" s="40">
        <f t="shared" si="55"/>
        <v>-45862</v>
      </c>
      <c r="M216" s="34">
        <f t="shared" si="56"/>
        <v>17190</v>
      </c>
      <c r="N216" s="34">
        <f t="shared" si="57"/>
        <v>0</v>
      </c>
      <c r="O216" s="36">
        <f t="shared" si="58"/>
        <v>-10</v>
      </c>
      <c r="P216" s="41">
        <f t="shared" si="59"/>
        <v>0</v>
      </c>
      <c r="Q216" s="70">
        <f t="shared" si="60"/>
        <v>0</v>
      </c>
      <c r="S216" s="38" t="s">
        <v>591</v>
      </c>
      <c r="T216" s="34">
        <v>1</v>
      </c>
      <c r="U216" s="34">
        <v>17190</v>
      </c>
      <c r="V216" s="37">
        <v>45863</v>
      </c>
      <c r="W216" s="34"/>
      <c r="X216" s="35"/>
      <c r="Y216" s="34">
        <f t="shared" si="61"/>
        <v>30</v>
      </c>
      <c r="Z216" s="34">
        <f t="shared" si="62"/>
        <v>0</v>
      </c>
      <c r="AA216" s="39">
        <f t="shared" si="63"/>
        <v>0</v>
      </c>
      <c r="AB216" s="34">
        <f t="shared" si="51"/>
        <v>20</v>
      </c>
      <c r="AC216" s="40">
        <f t="shared" si="64"/>
        <v>-45862</v>
      </c>
      <c r="AD216" s="34">
        <f t="shared" si="65"/>
        <v>17190</v>
      </c>
      <c r="AE216" s="34">
        <f t="shared" si="66"/>
        <v>0</v>
      </c>
      <c r="AF216" s="36">
        <f t="shared" si="67"/>
        <v>-10</v>
      </c>
      <c r="AG216" s="41">
        <f t="shared" si="68"/>
        <v>0</v>
      </c>
      <c r="AH216" s="70">
        <f t="shared" si="69"/>
        <v>0</v>
      </c>
    </row>
    <row r="217" spans="2:34" x14ac:dyDescent="0.4">
      <c r="B217" s="38" t="s">
        <v>591</v>
      </c>
      <c r="C217" s="34">
        <v>1</v>
      </c>
      <c r="D217" s="34">
        <v>16490</v>
      </c>
      <c r="E217" s="37">
        <v>45870</v>
      </c>
      <c r="F217" s="34"/>
      <c r="G217" s="35"/>
      <c r="H217" s="34">
        <f t="shared" si="52"/>
        <v>30</v>
      </c>
      <c r="I217" s="34">
        <f t="shared" si="53"/>
        <v>0</v>
      </c>
      <c r="J217" s="39">
        <f t="shared" si="54"/>
        <v>0</v>
      </c>
      <c r="K217" s="34">
        <f t="shared" si="50"/>
        <v>20</v>
      </c>
      <c r="L217" s="40">
        <f t="shared" si="55"/>
        <v>-45869</v>
      </c>
      <c r="M217" s="34">
        <f t="shared" si="56"/>
        <v>16490</v>
      </c>
      <c r="N217" s="34">
        <f t="shared" si="57"/>
        <v>0</v>
      </c>
      <c r="O217" s="36">
        <f t="shared" si="58"/>
        <v>-10</v>
      </c>
      <c r="P217" s="41">
        <f t="shared" si="59"/>
        <v>0</v>
      </c>
      <c r="Q217" s="70">
        <f t="shared" si="60"/>
        <v>0</v>
      </c>
      <c r="S217" s="38" t="s">
        <v>591</v>
      </c>
      <c r="T217" s="34">
        <v>1</v>
      </c>
      <c r="U217" s="34">
        <v>16490</v>
      </c>
      <c r="V217" s="37">
        <v>45870</v>
      </c>
      <c r="W217" s="34"/>
      <c r="X217" s="35"/>
      <c r="Y217" s="34">
        <f t="shared" si="61"/>
        <v>30</v>
      </c>
      <c r="Z217" s="34">
        <f t="shared" si="62"/>
        <v>0</v>
      </c>
      <c r="AA217" s="39">
        <f t="shared" si="63"/>
        <v>0</v>
      </c>
      <c r="AB217" s="34">
        <f t="shared" si="51"/>
        <v>20</v>
      </c>
      <c r="AC217" s="40">
        <f t="shared" si="64"/>
        <v>-45869</v>
      </c>
      <c r="AD217" s="34">
        <f t="shared" si="65"/>
        <v>16490</v>
      </c>
      <c r="AE217" s="34">
        <f t="shared" si="66"/>
        <v>0</v>
      </c>
      <c r="AF217" s="36">
        <f t="shared" si="67"/>
        <v>-10</v>
      </c>
      <c r="AG217" s="41">
        <f t="shared" si="68"/>
        <v>0</v>
      </c>
      <c r="AH217" s="70">
        <f t="shared" si="69"/>
        <v>0</v>
      </c>
    </row>
    <row r="218" spans="2:34" x14ac:dyDescent="0.4">
      <c r="B218" s="38" t="s">
        <v>591</v>
      </c>
      <c r="C218" s="34">
        <v>1</v>
      </c>
      <c r="D218" s="34">
        <v>16715</v>
      </c>
      <c r="E218" s="37">
        <v>45877</v>
      </c>
      <c r="F218" s="34"/>
      <c r="G218" s="35"/>
      <c r="H218" s="34">
        <f t="shared" si="52"/>
        <v>30</v>
      </c>
      <c r="I218" s="34">
        <f t="shared" si="53"/>
        <v>0</v>
      </c>
      <c r="J218" s="39">
        <f t="shared" si="54"/>
        <v>0</v>
      </c>
      <c r="K218" s="34">
        <f t="shared" si="50"/>
        <v>20</v>
      </c>
      <c r="L218" s="40">
        <f t="shared" si="55"/>
        <v>-45876</v>
      </c>
      <c r="M218" s="34">
        <f t="shared" si="56"/>
        <v>16715</v>
      </c>
      <c r="N218" s="34">
        <f t="shared" si="57"/>
        <v>0</v>
      </c>
      <c r="O218" s="36">
        <f t="shared" si="58"/>
        <v>-10</v>
      </c>
      <c r="P218" s="41">
        <f t="shared" si="59"/>
        <v>0</v>
      </c>
      <c r="Q218" s="70">
        <f t="shared" si="60"/>
        <v>0</v>
      </c>
      <c r="S218" s="38" t="s">
        <v>591</v>
      </c>
      <c r="T218" s="34">
        <v>1</v>
      </c>
      <c r="U218" s="34">
        <v>16715</v>
      </c>
      <c r="V218" s="37">
        <v>45877</v>
      </c>
      <c r="W218" s="34"/>
      <c r="X218" s="35"/>
      <c r="Y218" s="34">
        <f t="shared" si="61"/>
        <v>30</v>
      </c>
      <c r="Z218" s="34">
        <f t="shared" si="62"/>
        <v>0</v>
      </c>
      <c r="AA218" s="39">
        <f t="shared" si="63"/>
        <v>0</v>
      </c>
      <c r="AB218" s="34">
        <f t="shared" si="51"/>
        <v>20</v>
      </c>
      <c r="AC218" s="40">
        <f t="shared" si="64"/>
        <v>-45876</v>
      </c>
      <c r="AD218" s="34">
        <f t="shared" si="65"/>
        <v>16715</v>
      </c>
      <c r="AE218" s="34">
        <f t="shared" si="66"/>
        <v>0</v>
      </c>
      <c r="AF218" s="36">
        <f t="shared" si="67"/>
        <v>-10</v>
      </c>
      <c r="AG218" s="41">
        <f t="shared" si="68"/>
        <v>0</v>
      </c>
      <c r="AH218" s="70">
        <f t="shared" si="69"/>
        <v>0</v>
      </c>
    </row>
    <row r="219" spans="2:34" x14ac:dyDescent="0.4">
      <c r="B219" s="38" t="s">
        <v>591</v>
      </c>
      <c r="C219" s="34">
        <v>1</v>
      </c>
      <c r="D219" s="34">
        <v>16990</v>
      </c>
      <c r="E219" s="37">
        <v>45887</v>
      </c>
      <c r="F219" s="34"/>
      <c r="G219" s="35"/>
      <c r="H219" s="34">
        <f t="shared" si="52"/>
        <v>30</v>
      </c>
      <c r="I219" s="34">
        <f t="shared" si="53"/>
        <v>0</v>
      </c>
      <c r="J219" s="39">
        <f t="shared" si="54"/>
        <v>0</v>
      </c>
      <c r="K219" s="34">
        <f t="shared" si="50"/>
        <v>20</v>
      </c>
      <c r="L219" s="40">
        <f t="shared" si="55"/>
        <v>-45886</v>
      </c>
      <c r="M219" s="34">
        <f t="shared" si="56"/>
        <v>16990</v>
      </c>
      <c r="N219" s="34">
        <f t="shared" si="57"/>
        <v>0</v>
      </c>
      <c r="O219" s="36">
        <f t="shared" si="58"/>
        <v>-10</v>
      </c>
      <c r="P219" s="41">
        <f t="shared" si="59"/>
        <v>0</v>
      </c>
      <c r="Q219" s="70">
        <f t="shared" si="60"/>
        <v>0</v>
      </c>
      <c r="S219" s="38" t="s">
        <v>591</v>
      </c>
      <c r="T219" s="34">
        <v>1</v>
      </c>
      <c r="U219" s="34">
        <v>16990</v>
      </c>
      <c r="V219" s="37">
        <v>45887</v>
      </c>
      <c r="W219" s="34"/>
      <c r="X219" s="35"/>
      <c r="Y219" s="34">
        <f t="shared" si="61"/>
        <v>30</v>
      </c>
      <c r="Z219" s="34">
        <f t="shared" si="62"/>
        <v>0</v>
      </c>
      <c r="AA219" s="39">
        <f t="shared" si="63"/>
        <v>0</v>
      </c>
      <c r="AB219" s="34">
        <f t="shared" si="51"/>
        <v>20</v>
      </c>
      <c r="AC219" s="40">
        <f t="shared" si="64"/>
        <v>-45886</v>
      </c>
      <c r="AD219" s="34">
        <f t="shared" si="65"/>
        <v>16990</v>
      </c>
      <c r="AE219" s="34">
        <f t="shared" si="66"/>
        <v>0</v>
      </c>
      <c r="AF219" s="36">
        <f t="shared" si="67"/>
        <v>-10</v>
      </c>
      <c r="AG219" s="41">
        <f t="shared" si="68"/>
        <v>0</v>
      </c>
      <c r="AH219" s="70">
        <f t="shared" si="69"/>
        <v>0</v>
      </c>
    </row>
    <row r="220" spans="2:34" x14ac:dyDescent="0.4">
      <c r="B220" s="38" t="s">
        <v>591</v>
      </c>
      <c r="C220" s="34">
        <v>1</v>
      </c>
      <c r="D220" s="34">
        <v>15895</v>
      </c>
      <c r="E220" s="37">
        <v>45891</v>
      </c>
      <c r="F220" s="34"/>
      <c r="G220" s="35"/>
      <c r="H220" s="34">
        <f t="shared" si="52"/>
        <v>30</v>
      </c>
      <c r="I220" s="34">
        <f t="shared" si="53"/>
        <v>0</v>
      </c>
      <c r="J220" s="39">
        <f t="shared" si="54"/>
        <v>0</v>
      </c>
      <c r="K220" s="34">
        <f t="shared" si="50"/>
        <v>20</v>
      </c>
      <c r="L220" s="40">
        <f t="shared" si="55"/>
        <v>-45890</v>
      </c>
      <c r="M220" s="34">
        <f t="shared" si="56"/>
        <v>15895</v>
      </c>
      <c r="N220" s="34">
        <f t="shared" si="57"/>
        <v>0</v>
      </c>
      <c r="O220" s="36">
        <f t="shared" si="58"/>
        <v>-10</v>
      </c>
      <c r="P220" s="41">
        <f t="shared" si="59"/>
        <v>0</v>
      </c>
      <c r="Q220" s="70">
        <f t="shared" si="60"/>
        <v>0</v>
      </c>
      <c r="S220" s="38" t="s">
        <v>591</v>
      </c>
      <c r="T220" s="34">
        <v>1</v>
      </c>
      <c r="U220" s="34">
        <v>15895</v>
      </c>
      <c r="V220" s="37">
        <v>45891</v>
      </c>
      <c r="W220" s="34"/>
      <c r="X220" s="35"/>
      <c r="Y220" s="34">
        <f t="shared" si="61"/>
        <v>30</v>
      </c>
      <c r="Z220" s="34">
        <f t="shared" si="62"/>
        <v>0</v>
      </c>
      <c r="AA220" s="39">
        <f t="shared" si="63"/>
        <v>0</v>
      </c>
      <c r="AB220" s="34">
        <f t="shared" si="51"/>
        <v>20</v>
      </c>
      <c r="AC220" s="40">
        <f t="shared" si="64"/>
        <v>-45890</v>
      </c>
      <c r="AD220" s="34">
        <f t="shared" si="65"/>
        <v>15895</v>
      </c>
      <c r="AE220" s="34">
        <f t="shared" si="66"/>
        <v>0</v>
      </c>
      <c r="AF220" s="36">
        <f t="shared" si="67"/>
        <v>-10</v>
      </c>
      <c r="AG220" s="41">
        <f t="shared" si="68"/>
        <v>0</v>
      </c>
      <c r="AH220" s="70">
        <f t="shared" si="69"/>
        <v>0</v>
      </c>
    </row>
    <row r="221" spans="2:34" x14ac:dyDescent="0.4">
      <c r="B221" s="38" t="s">
        <v>591</v>
      </c>
      <c r="C221" s="34">
        <v>1</v>
      </c>
      <c r="D221" s="34">
        <v>17005</v>
      </c>
      <c r="E221" s="37">
        <v>45905</v>
      </c>
      <c r="F221" s="34"/>
      <c r="G221" s="35"/>
      <c r="H221" s="34">
        <f t="shared" si="52"/>
        <v>30</v>
      </c>
      <c r="I221" s="34">
        <f t="shared" si="53"/>
        <v>0</v>
      </c>
      <c r="J221" s="39">
        <f t="shared" si="54"/>
        <v>0</v>
      </c>
      <c r="K221" s="34">
        <f t="shared" si="50"/>
        <v>20</v>
      </c>
      <c r="L221" s="40">
        <f t="shared" si="55"/>
        <v>-45904</v>
      </c>
      <c r="M221" s="34">
        <f t="shared" si="56"/>
        <v>17005</v>
      </c>
      <c r="N221" s="34">
        <f t="shared" si="57"/>
        <v>0</v>
      </c>
      <c r="O221" s="36">
        <f t="shared" si="58"/>
        <v>-10</v>
      </c>
      <c r="P221" s="41">
        <f t="shared" si="59"/>
        <v>0</v>
      </c>
      <c r="Q221" s="70">
        <f t="shared" si="60"/>
        <v>0</v>
      </c>
      <c r="S221" s="38" t="s">
        <v>591</v>
      </c>
      <c r="T221" s="34">
        <v>1</v>
      </c>
      <c r="U221" s="34">
        <v>17005</v>
      </c>
      <c r="V221" s="37">
        <v>45905</v>
      </c>
      <c r="W221" s="34"/>
      <c r="X221" s="35"/>
      <c r="Y221" s="34">
        <f t="shared" si="61"/>
        <v>30</v>
      </c>
      <c r="Z221" s="34">
        <f t="shared" si="62"/>
        <v>0</v>
      </c>
      <c r="AA221" s="39">
        <f t="shared" si="63"/>
        <v>0</v>
      </c>
      <c r="AB221" s="34">
        <f t="shared" si="51"/>
        <v>20</v>
      </c>
      <c r="AC221" s="40">
        <f t="shared" si="64"/>
        <v>-45904</v>
      </c>
      <c r="AD221" s="34">
        <f t="shared" si="65"/>
        <v>17005</v>
      </c>
      <c r="AE221" s="34">
        <f t="shared" si="66"/>
        <v>0</v>
      </c>
      <c r="AF221" s="36">
        <f t="shared" si="67"/>
        <v>-10</v>
      </c>
      <c r="AG221" s="41">
        <f t="shared" si="68"/>
        <v>0</v>
      </c>
      <c r="AH221" s="70">
        <f t="shared" si="69"/>
        <v>0</v>
      </c>
    </row>
    <row r="222" spans="2:34" x14ac:dyDescent="0.4">
      <c r="B222" s="38" t="s">
        <v>591</v>
      </c>
      <c r="C222" s="34">
        <v>1</v>
      </c>
      <c r="D222" s="34">
        <v>18170</v>
      </c>
      <c r="E222" s="37">
        <v>45912</v>
      </c>
      <c r="F222" s="34"/>
      <c r="G222" s="35"/>
      <c r="H222" s="34">
        <f t="shared" si="52"/>
        <v>30</v>
      </c>
      <c r="I222" s="34">
        <f t="shared" si="53"/>
        <v>0</v>
      </c>
      <c r="J222" s="39">
        <f t="shared" si="54"/>
        <v>0</v>
      </c>
      <c r="K222" s="34">
        <f t="shared" si="50"/>
        <v>20</v>
      </c>
      <c r="L222" s="40">
        <f t="shared" si="55"/>
        <v>-45911</v>
      </c>
      <c r="M222" s="34">
        <f t="shared" si="56"/>
        <v>18170</v>
      </c>
      <c r="N222" s="34">
        <f t="shared" si="57"/>
        <v>0</v>
      </c>
      <c r="O222" s="36">
        <f t="shared" si="58"/>
        <v>-10</v>
      </c>
      <c r="P222" s="41">
        <f t="shared" si="59"/>
        <v>0</v>
      </c>
      <c r="Q222" s="70">
        <f t="shared" si="60"/>
        <v>0</v>
      </c>
      <c r="S222" s="38" t="s">
        <v>591</v>
      </c>
      <c r="T222" s="34">
        <v>1</v>
      </c>
      <c r="U222" s="34">
        <v>18170</v>
      </c>
      <c r="V222" s="37">
        <v>45912</v>
      </c>
      <c r="W222" s="34"/>
      <c r="X222" s="35"/>
      <c r="Y222" s="34">
        <f t="shared" si="61"/>
        <v>30</v>
      </c>
      <c r="Z222" s="34">
        <f t="shared" si="62"/>
        <v>0</v>
      </c>
      <c r="AA222" s="39">
        <f t="shared" si="63"/>
        <v>0</v>
      </c>
      <c r="AB222" s="34">
        <f t="shared" si="51"/>
        <v>20</v>
      </c>
      <c r="AC222" s="40">
        <f t="shared" si="64"/>
        <v>-45911</v>
      </c>
      <c r="AD222" s="34">
        <f t="shared" si="65"/>
        <v>18170</v>
      </c>
      <c r="AE222" s="34">
        <f t="shared" si="66"/>
        <v>0</v>
      </c>
      <c r="AF222" s="36">
        <f t="shared" si="67"/>
        <v>-10</v>
      </c>
      <c r="AG222" s="41">
        <f t="shared" si="68"/>
        <v>0</v>
      </c>
      <c r="AH222" s="70">
        <f t="shared" si="69"/>
        <v>0</v>
      </c>
    </row>
    <row r="223" spans="2:34" x14ac:dyDescent="0.4">
      <c r="B223" s="38" t="s">
        <v>591</v>
      </c>
      <c r="C223" s="34">
        <v>1</v>
      </c>
      <c r="D223" s="34">
        <v>22685</v>
      </c>
      <c r="E223" s="37">
        <v>45919</v>
      </c>
      <c r="F223" s="34"/>
      <c r="G223" s="35"/>
      <c r="H223" s="34">
        <f t="shared" si="52"/>
        <v>40</v>
      </c>
      <c r="I223" s="34">
        <f t="shared" si="53"/>
        <v>0</v>
      </c>
      <c r="J223" s="39">
        <f t="shared" si="54"/>
        <v>0</v>
      </c>
      <c r="K223" s="34">
        <f t="shared" si="50"/>
        <v>20</v>
      </c>
      <c r="L223" s="40">
        <f t="shared" si="55"/>
        <v>-45918</v>
      </c>
      <c r="M223" s="34">
        <f t="shared" si="56"/>
        <v>22685</v>
      </c>
      <c r="N223" s="34">
        <f t="shared" si="57"/>
        <v>0</v>
      </c>
      <c r="O223" s="36">
        <f t="shared" si="58"/>
        <v>-20</v>
      </c>
      <c r="P223" s="41">
        <f t="shared" si="59"/>
        <v>0</v>
      </c>
      <c r="Q223" s="70">
        <f t="shared" si="60"/>
        <v>0</v>
      </c>
      <c r="S223" s="38" t="s">
        <v>591</v>
      </c>
      <c r="T223" s="34">
        <v>1</v>
      </c>
      <c r="U223" s="34">
        <v>22685</v>
      </c>
      <c r="V223" s="37">
        <v>45919</v>
      </c>
      <c r="W223" s="34"/>
      <c r="X223" s="35"/>
      <c r="Y223" s="34">
        <f t="shared" si="61"/>
        <v>40</v>
      </c>
      <c r="Z223" s="34">
        <f t="shared" si="62"/>
        <v>0</v>
      </c>
      <c r="AA223" s="39">
        <f t="shared" si="63"/>
        <v>0</v>
      </c>
      <c r="AB223" s="34">
        <f t="shared" si="51"/>
        <v>20</v>
      </c>
      <c r="AC223" s="40">
        <f t="shared" si="64"/>
        <v>-45918</v>
      </c>
      <c r="AD223" s="34">
        <f t="shared" si="65"/>
        <v>22685</v>
      </c>
      <c r="AE223" s="34">
        <f t="shared" si="66"/>
        <v>0</v>
      </c>
      <c r="AF223" s="36">
        <f t="shared" si="67"/>
        <v>-20</v>
      </c>
      <c r="AG223" s="41">
        <f t="shared" si="68"/>
        <v>0</v>
      </c>
      <c r="AH223" s="70">
        <f t="shared" si="69"/>
        <v>0</v>
      </c>
    </row>
    <row r="224" spans="2:34" x14ac:dyDescent="0.4">
      <c r="B224" s="38" t="s">
        <v>591</v>
      </c>
      <c r="C224" s="34">
        <v>1</v>
      </c>
      <c r="D224" s="34">
        <v>24885</v>
      </c>
      <c r="E224" s="37">
        <v>45926</v>
      </c>
      <c r="F224" s="34"/>
      <c r="G224" s="35"/>
      <c r="H224" s="34">
        <f t="shared" si="52"/>
        <v>40</v>
      </c>
      <c r="I224" s="34">
        <f t="shared" si="53"/>
        <v>0</v>
      </c>
      <c r="J224" s="39">
        <f t="shared" si="54"/>
        <v>0</v>
      </c>
      <c r="K224" s="34">
        <f t="shared" si="50"/>
        <v>20</v>
      </c>
      <c r="L224" s="40">
        <f t="shared" si="55"/>
        <v>-45925</v>
      </c>
      <c r="M224" s="34">
        <f t="shared" si="56"/>
        <v>24885</v>
      </c>
      <c r="N224" s="34">
        <f t="shared" si="57"/>
        <v>0</v>
      </c>
      <c r="O224" s="36">
        <f t="shared" si="58"/>
        <v>-20</v>
      </c>
      <c r="P224" s="41">
        <f t="shared" si="59"/>
        <v>0</v>
      </c>
      <c r="Q224" s="70">
        <f t="shared" si="60"/>
        <v>0</v>
      </c>
      <c r="S224" s="38" t="s">
        <v>591</v>
      </c>
      <c r="T224" s="34">
        <v>1</v>
      </c>
      <c r="U224" s="34">
        <v>24885</v>
      </c>
      <c r="V224" s="37">
        <v>45926</v>
      </c>
      <c r="W224" s="34"/>
      <c r="X224" s="35"/>
      <c r="Y224" s="34">
        <f t="shared" si="61"/>
        <v>40</v>
      </c>
      <c r="Z224" s="34">
        <f t="shared" si="62"/>
        <v>0</v>
      </c>
      <c r="AA224" s="39">
        <f t="shared" si="63"/>
        <v>0</v>
      </c>
      <c r="AB224" s="34">
        <f t="shared" si="51"/>
        <v>20</v>
      </c>
      <c r="AC224" s="40">
        <f t="shared" si="64"/>
        <v>-45925</v>
      </c>
      <c r="AD224" s="34">
        <f t="shared" si="65"/>
        <v>24885</v>
      </c>
      <c r="AE224" s="34">
        <f t="shared" si="66"/>
        <v>0</v>
      </c>
      <c r="AF224" s="36">
        <f t="shared" si="67"/>
        <v>-20</v>
      </c>
      <c r="AG224" s="41">
        <f t="shared" si="68"/>
        <v>0</v>
      </c>
      <c r="AH224" s="70">
        <f t="shared" si="69"/>
        <v>0</v>
      </c>
    </row>
    <row r="225" spans="2:34" x14ac:dyDescent="0.4">
      <c r="B225" s="38" t="s">
        <v>591</v>
      </c>
      <c r="C225" s="34">
        <v>1</v>
      </c>
      <c r="D225" s="34">
        <v>29845</v>
      </c>
      <c r="E225" s="37">
        <v>45947</v>
      </c>
      <c r="F225" s="34"/>
      <c r="G225" s="35"/>
      <c r="H225" s="34">
        <f t="shared" si="52"/>
        <v>50</v>
      </c>
      <c r="I225" s="34">
        <f t="shared" si="53"/>
        <v>0</v>
      </c>
      <c r="J225" s="39">
        <f t="shared" si="54"/>
        <v>0</v>
      </c>
      <c r="K225" s="34">
        <f t="shared" si="50"/>
        <v>20</v>
      </c>
      <c r="L225" s="40">
        <f t="shared" si="55"/>
        <v>-45946</v>
      </c>
      <c r="M225" s="34">
        <f t="shared" si="56"/>
        <v>29845</v>
      </c>
      <c r="N225" s="34">
        <f t="shared" si="57"/>
        <v>0</v>
      </c>
      <c r="O225" s="36">
        <f t="shared" si="58"/>
        <v>-30</v>
      </c>
      <c r="P225" s="41">
        <f t="shared" si="59"/>
        <v>0</v>
      </c>
      <c r="Q225" s="70">
        <f t="shared" si="60"/>
        <v>0</v>
      </c>
      <c r="S225" s="38" t="s">
        <v>591</v>
      </c>
      <c r="T225" s="34">
        <v>1</v>
      </c>
      <c r="U225" s="34">
        <v>29845</v>
      </c>
      <c r="V225" s="37">
        <v>45947</v>
      </c>
      <c r="W225" s="34"/>
      <c r="X225" s="35"/>
      <c r="Y225" s="34">
        <f t="shared" si="61"/>
        <v>50</v>
      </c>
      <c r="Z225" s="34">
        <f t="shared" si="62"/>
        <v>0</v>
      </c>
      <c r="AA225" s="39">
        <f t="shared" si="63"/>
        <v>0</v>
      </c>
      <c r="AB225" s="34">
        <f t="shared" si="51"/>
        <v>20</v>
      </c>
      <c r="AC225" s="40">
        <f t="shared" si="64"/>
        <v>-45946</v>
      </c>
      <c r="AD225" s="34">
        <f t="shared" si="65"/>
        <v>29845</v>
      </c>
      <c r="AE225" s="34">
        <f t="shared" si="66"/>
        <v>0</v>
      </c>
      <c r="AF225" s="36">
        <f t="shared" si="67"/>
        <v>-30</v>
      </c>
      <c r="AG225" s="41">
        <f t="shared" si="68"/>
        <v>0</v>
      </c>
      <c r="AH225" s="70">
        <f t="shared" si="69"/>
        <v>0</v>
      </c>
    </row>
    <row r="226" spans="2:34" x14ac:dyDescent="0.4">
      <c r="B226" s="38" t="s">
        <v>591</v>
      </c>
      <c r="C226" s="34">
        <v>1</v>
      </c>
      <c r="D226" s="34">
        <v>29105</v>
      </c>
      <c r="E226" s="37">
        <v>45954</v>
      </c>
      <c r="F226" s="34"/>
      <c r="G226" s="35"/>
      <c r="H226" s="34">
        <f t="shared" si="52"/>
        <v>50</v>
      </c>
      <c r="I226" s="34">
        <f t="shared" si="53"/>
        <v>0</v>
      </c>
      <c r="J226" s="39">
        <f t="shared" si="54"/>
        <v>0</v>
      </c>
      <c r="K226" s="34">
        <f t="shared" si="50"/>
        <v>20</v>
      </c>
      <c r="L226" s="40">
        <f t="shared" si="55"/>
        <v>-45953</v>
      </c>
      <c r="M226" s="34">
        <f t="shared" si="56"/>
        <v>29105</v>
      </c>
      <c r="N226" s="34">
        <f t="shared" si="57"/>
        <v>0</v>
      </c>
      <c r="O226" s="36">
        <f t="shared" si="58"/>
        <v>-30</v>
      </c>
      <c r="P226" s="41">
        <f t="shared" si="59"/>
        <v>0</v>
      </c>
      <c r="Q226" s="70">
        <f t="shared" si="60"/>
        <v>0</v>
      </c>
      <c r="S226" s="38" t="s">
        <v>591</v>
      </c>
      <c r="T226" s="34">
        <v>1</v>
      </c>
      <c r="U226" s="34">
        <v>29105</v>
      </c>
      <c r="V226" s="37">
        <v>45954</v>
      </c>
      <c r="W226" s="34"/>
      <c r="X226" s="35"/>
      <c r="Y226" s="34">
        <f t="shared" si="61"/>
        <v>50</v>
      </c>
      <c r="Z226" s="34">
        <f t="shared" si="62"/>
        <v>0</v>
      </c>
      <c r="AA226" s="39">
        <f t="shared" si="63"/>
        <v>0</v>
      </c>
      <c r="AB226" s="34">
        <f t="shared" si="51"/>
        <v>20</v>
      </c>
      <c r="AC226" s="40">
        <f t="shared" si="64"/>
        <v>-45953</v>
      </c>
      <c r="AD226" s="34">
        <f t="shared" si="65"/>
        <v>29105</v>
      </c>
      <c r="AE226" s="34">
        <f t="shared" si="66"/>
        <v>0</v>
      </c>
      <c r="AF226" s="36">
        <f t="shared" si="67"/>
        <v>-30</v>
      </c>
      <c r="AG226" s="41">
        <f t="shared" si="68"/>
        <v>0</v>
      </c>
      <c r="AH226" s="70">
        <f t="shared" si="69"/>
        <v>0</v>
      </c>
    </row>
    <row r="227" spans="2:34" x14ac:dyDescent="0.4">
      <c r="B227" s="38" t="s">
        <v>591</v>
      </c>
      <c r="C227" s="34">
        <v>1</v>
      </c>
      <c r="D227" s="34">
        <v>30195</v>
      </c>
      <c r="E227" s="37">
        <v>45961</v>
      </c>
      <c r="F227" s="34"/>
      <c r="G227" s="35"/>
      <c r="H227" s="34">
        <f t="shared" si="52"/>
        <v>50</v>
      </c>
      <c r="I227" s="34">
        <f t="shared" si="53"/>
        <v>0</v>
      </c>
      <c r="J227" s="39">
        <f t="shared" si="54"/>
        <v>0</v>
      </c>
      <c r="K227" s="34">
        <f t="shared" si="50"/>
        <v>20</v>
      </c>
      <c r="L227" s="40">
        <f t="shared" si="55"/>
        <v>-45960</v>
      </c>
      <c r="M227" s="34">
        <f t="shared" si="56"/>
        <v>30195</v>
      </c>
      <c r="N227" s="34">
        <f t="shared" si="57"/>
        <v>0</v>
      </c>
      <c r="O227" s="36">
        <f t="shared" si="58"/>
        <v>-30</v>
      </c>
      <c r="P227" s="41">
        <f t="shared" si="59"/>
        <v>0</v>
      </c>
      <c r="Q227" s="70">
        <f t="shared" si="60"/>
        <v>0</v>
      </c>
      <c r="S227" s="38" t="s">
        <v>591</v>
      </c>
      <c r="T227" s="34">
        <v>1</v>
      </c>
      <c r="U227" s="34">
        <v>30195</v>
      </c>
      <c r="V227" s="37">
        <v>45961</v>
      </c>
      <c r="W227" s="34"/>
      <c r="X227" s="35"/>
      <c r="Y227" s="34">
        <f t="shared" si="61"/>
        <v>50</v>
      </c>
      <c r="Z227" s="34">
        <f t="shared" si="62"/>
        <v>0</v>
      </c>
      <c r="AA227" s="39">
        <f t="shared" si="63"/>
        <v>0</v>
      </c>
      <c r="AB227" s="34">
        <f t="shared" si="51"/>
        <v>20</v>
      </c>
      <c r="AC227" s="40">
        <f t="shared" si="64"/>
        <v>-45960</v>
      </c>
      <c r="AD227" s="34">
        <f t="shared" si="65"/>
        <v>30195</v>
      </c>
      <c r="AE227" s="34">
        <f t="shared" si="66"/>
        <v>0</v>
      </c>
      <c r="AF227" s="36">
        <f t="shared" si="67"/>
        <v>-30</v>
      </c>
      <c r="AG227" s="41">
        <f t="shared" si="68"/>
        <v>0</v>
      </c>
      <c r="AH227" s="70">
        <f t="shared" si="69"/>
        <v>0</v>
      </c>
    </row>
    <row r="228" spans="2:34" x14ac:dyDescent="0.4">
      <c r="B228" s="38" t="s">
        <v>591</v>
      </c>
      <c r="C228" s="34">
        <v>1</v>
      </c>
      <c r="D228" s="34">
        <v>27890</v>
      </c>
      <c r="E228" s="37">
        <v>45968</v>
      </c>
      <c r="F228" s="34"/>
      <c r="G228" s="35"/>
      <c r="H228" s="34">
        <f t="shared" si="52"/>
        <v>50</v>
      </c>
      <c r="I228" s="34">
        <f t="shared" si="53"/>
        <v>0</v>
      </c>
      <c r="J228" s="39">
        <f t="shared" si="54"/>
        <v>0</v>
      </c>
      <c r="K228" s="34">
        <f t="shared" si="50"/>
        <v>20</v>
      </c>
      <c r="L228" s="40">
        <f t="shared" si="55"/>
        <v>-45967</v>
      </c>
      <c r="M228" s="34">
        <f t="shared" si="56"/>
        <v>27890</v>
      </c>
      <c r="N228" s="34">
        <f t="shared" si="57"/>
        <v>0</v>
      </c>
      <c r="O228" s="36">
        <f t="shared" si="58"/>
        <v>-30</v>
      </c>
      <c r="P228" s="41">
        <f t="shared" si="59"/>
        <v>0</v>
      </c>
      <c r="Q228" s="70">
        <f t="shared" si="60"/>
        <v>0</v>
      </c>
      <c r="S228" s="38" t="s">
        <v>591</v>
      </c>
      <c r="T228" s="34">
        <v>1</v>
      </c>
      <c r="U228" s="34">
        <v>27890</v>
      </c>
      <c r="V228" s="37">
        <v>45968</v>
      </c>
      <c r="W228" s="34"/>
      <c r="X228" s="35"/>
      <c r="Y228" s="34">
        <f t="shared" si="61"/>
        <v>50</v>
      </c>
      <c r="Z228" s="34">
        <f t="shared" si="62"/>
        <v>0</v>
      </c>
      <c r="AA228" s="39">
        <f t="shared" si="63"/>
        <v>0</v>
      </c>
      <c r="AB228" s="34">
        <f t="shared" si="51"/>
        <v>20</v>
      </c>
      <c r="AC228" s="40">
        <f t="shared" si="64"/>
        <v>-45967</v>
      </c>
      <c r="AD228" s="34">
        <f t="shared" si="65"/>
        <v>27890</v>
      </c>
      <c r="AE228" s="34">
        <f t="shared" si="66"/>
        <v>0</v>
      </c>
      <c r="AF228" s="36">
        <f t="shared" si="67"/>
        <v>-30</v>
      </c>
      <c r="AG228" s="41">
        <f t="shared" si="68"/>
        <v>0</v>
      </c>
      <c r="AH228" s="70">
        <f t="shared" si="69"/>
        <v>0</v>
      </c>
    </row>
    <row r="229" spans="2:34" x14ac:dyDescent="0.4">
      <c r="B229" s="38" t="s">
        <v>591</v>
      </c>
      <c r="C229" s="34">
        <v>1</v>
      </c>
      <c r="D229" s="34">
        <v>24880</v>
      </c>
      <c r="E229" s="37">
        <v>45975</v>
      </c>
      <c r="F229" s="34"/>
      <c r="G229" s="35"/>
      <c r="H229" s="34">
        <f t="shared" si="52"/>
        <v>40</v>
      </c>
      <c r="I229" s="34">
        <f t="shared" si="53"/>
        <v>0</v>
      </c>
      <c r="J229" s="39">
        <f t="shared" si="54"/>
        <v>0</v>
      </c>
      <c r="K229" s="34">
        <f t="shared" si="50"/>
        <v>20</v>
      </c>
      <c r="L229" s="40">
        <f t="shared" si="55"/>
        <v>-45974</v>
      </c>
      <c r="M229" s="34">
        <f t="shared" si="56"/>
        <v>24880</v>
      </c>
      <c r="N229" s="34">
        <f t="shared" si="57"/>
        <v>0</v>
      </c>
      <c r="O229" s="36">
        <f t="shared" si="58"/>
        <v>-20</v>
      </c>
      <c r="P229" s="41">
        <f t="shared" si="59"/>
        <v>0</v>
      </c>
      <c r="Q229" s="70">
        <f t="shared" si="60"/>
        <v>0</v>
      </c>
      <c r="S229" s="38" t="s">
        <v>591</v>
      </c>
      <c r="T229" s="34">
        <v>1</v>
      </c>
      <c r="U229" s="34">
        <v>24880</v>
      </c>
      <c r="V229" s="37">
        <v>45975</v>
      </c>
      <c r="W229" s="34"/>
      <c r="X229" s="35"/>
      <c r="Y229" s="34">
        <f t="shared" si="61"/>
        <v>40</v>
      </c>
      <c r="Z229" s="34">
        <f t="shared" si="62"/>
        <v>0</v>
      </c>
      <c r="AA229" s="39">
        <f t="shared" si="63"/>
        <v>0</v>
      </c>
      <c r="AB229" s="34">
        <f t="shared" si="51"/>
        <v>20</v>
      </c>
      <c r="AC229" s="40">
        <f t="shared" si="64"/>
        <v>-45974</v>
      </c>
      <c r="AD229" s="34">
        <f t="shared" si="65"/>
        <v>24880</v>
      </c>
      <c r="AE229" s="34">
        <f t="shared" si="66"/>
        <v>0</v>
      </c>
      <c r="AF229" s="36">
        <f t="shared" si="67"/>
        <v>-20</v>
      </c>
      <c r="AG229" s="41">
        <f t="shared" si="68"/>
        <v>0</v>
      </c>
      <c r="AH229" s="70">
        <f t="shared" si="69"/>
        <v>0</v>
      </c>
    </row>
    <row r="230" spans="2:34" x14ac:dyDescent="0.4">
      <c r="B230" s="38" t="s">
        <v>591</v>
      </c>
      <c r="C230" s="34">
        <v>1</v>
      </c>
      <c r="D230" s="34">
        <v>23680</v>
      </c>
      <c r="E230" s="37">
        <v>45982</v>
      </c>
      <c r="F230" s="34"/>
      <c r="G230" s="35"/>
      <c r="H230" s="34">
        <f t="shared" si="52"/>
        <v>40</v>
      </c>
      <c r="I230" s="34">
        <f t="shared" si="53"/>
        <v>0</v>
      </c>
      <c r="J230" s="39">
        <f t="shared" si="54"/>
        <v>0</v>
      </c>
      <c r="K230" s="34">
        <f t="shared" si="50"/>
        <v>20</v>
      </c>
      <c r="L230" s="40">
        <f t="shared" si="55"/>
        <v>-45981</v>
      </c>
      <c r="M230" s="34">
        <f t="shared" si="56"/>
        <v>23680</v>
      </c>
      <c r="N230" s="34">
        <f t="shared" si="57"/>
        <v>0</v>
      </c>
      <c r="O230" s="36">
        <f t="shared" si="58"/>
        <v>-20</v>
      </c>
      <c r="P230" s="41">
        <f t="shared" si="59"/>
        <v>0</v>
      </c>
      <c r="Q230" s="70">
        <f t="shared" si="60"/>
        <v>0</v>
      </c>
      <c r="S230" s="38" t="s">
        <v>591</v>
      </c>
      <c r="T230" s="34">
        <v>1</v>
      </c>
      <c r="U230" s="34">
        <v>23680</v>
      </c>
      <c r="V230" s="37">
        <v>45982</v>
      </c>
      <c r="W230" s="34"/>
      <c r="X230" s="35"/>
      <c r="Y230" s="34">
        <f t="shared" si="61"/>
        <v>40</v>
      </c>
      <c r="Z230" s="34">
        <f t="shared" si="62"/>
        <v>0</v>
      </c>
      <c r="AA230" s="39">
        <f t="shared" si="63"/>
        <v>0</v>
      </c>
      <c r="AB230" s="34">
        <f t="shared" si="51"/>
        <v>20</v>
      </c>
      <c r="AC230" s="40">
        <f t="shared" si="64"/>
        <v>-45981</v>
      </c>
      <c r="AD230" s="34">
        <f t="shared" si="65"/>
        <v>23680</v>
      </c>
      <c r="AE230" s="34">
        <f t="shared" si="66"/>
        <v>0</v>
      </c>
      <c r="AF230" s="36">
        <f t="shared" si="67"/>
        <v>-20</v>
      </c>
      <c r="AG230" s="41">
        <f t="shared" si="68"/>
        <v>0</v>
      </c>
      <c r="AH230" s="70">
        <f t="shared" si="69"/>
        <v>0</v>
      </c>
    </row>
    <row r="231" spans="2:34" x14ac:dyDescent="0.4">
      <c r="B231" s="38" t="s">
        <v>591</v>
      </c>
      <c r="C231" s="34">
        <v>1</v>
      </c>
      <c r="D231" s="34">
        <v>26020</v>
      </c>
      <c r="E231" s="37">
        <v>45989</v>
      </c>
      <c r="F231" s="34"/>
      <c r="G231" s="35"/>
      <c r="H231" s="34">
        <f t="shared" si="52"/>
        <v>40</v>
      </c>
      <c r="I231" s="34">
        <f t="shared" si="53"/>
        <v>0</v>
      </c>
      <c r="J231" s="39">
        <f t="shared" si="54"/>
        <v>0</v>
      </c>
      <c r="K231" s="34">
        <f t="shared" si="50"/>
        <v>20</v>
      </c>
      <c r="L231" s="40">
        <f t="shared" si="55"/>
        <v>-45988</v>
      </c>
      <c r="M231" s="34">
        <f t="shared" si="56"/>
        <v>26020</v>
      </c>
      <c r="N231" s="34">
        <f t="shared" si="57"/>
        <v>0</v>
      </c>
      <c r="O231" s="36">
        <f t="shared" si="58"/>
        <v>-20</v>
      </c>
      <c r="P231" s="41">
        <f t="shared" si="59"/>
        <v>0</v>
      </c>
      <c r="Q231" s="70">
        <f t="shared" si="60"/>
        <v>0</v>
      </c>
      <c r="S231" s="38" t="s">
        <v>591</v>
      </c>
      <c r="T231" s="34">
        <v>1</v>
      </c>
      <c r="U231" s="34">
        <v>26020</v>
      </c>
      <c r="V231" s="37">
        <v>45989</v>
      </c>
      <c r="W231" s="34"/>
      <c r="X231" s="35"/>
      <c r="Y231" s="34">
        <f t="shared" si="61"/>
        <v>40</v>
      </c>
      <c r="Z231" s="34">
        <f t="shared" si="62"/>
        <v>0</v>
      </c>
      <c r="AA231" s="39">
        <f t="shared" si="63"/>
        <v>0</v>
      </c>
      <c r="AB231" s="34">
        <f t="shared" si="51"/>
        <v>20</v>
      </c>
      <c r="AC231" s="40">
        <f t="shared" si="64"/>
        <v>-45988</v>
      </c>
      <c r="AD231" s="34">
        <f t="shared" si="65"/>
        <v>26020</v>
      </c>
      <c r="AE231" s="34">
        <f t="shared" si="66"/>
        <v>0</v>
      </c>
      <c r="AF231" s="36">
        <f t="shared" si="67"/>
        <v>-20</v>
      </c>
      <c r="AG231" s="41">
        <f t="shared" si="68"/>
        <v>0</v>
      </c>
      <c r="AH231" s="70">
        <f t="shared" si="69"/>
        <v>0</v>
      </c>
    </row>
    <row r="232" spans="2:34" x14ac:dyDescent="0.4">
      <c r="B232" s="38" t="s">
        <v>591</v>
      </c>
      <c r="C232" s="34">
        <v>1</v>
      </c>
      <c r="D232" s="34">
        <v>28305</v>
      </c>
      <c r="E232" s="37">
        <v>46003</v>
      </c>
      <c r="F232" s="34"/>
      <c r="G232" s="35"/>
      <c r="H232" s="34">
        <f t="shared" si="52"/>
        <v>50</v>
      </c>
      <c r="I232" s="34">
        <f t="shared" si="53"/>
        <v>0</v>
      </c>
      <c r="J232" s="39">
        <f t="shared" si="54"/>
        <v>0</v>
      </c>
      <c r="K232" s="34">
        <f t="shared" si="50"/>
        <v>20</v>
      </c>
      <c r="L232" s="40">
        <f t="shared" si="55"/>
        <v>-46002</v>
      </c>
      <c r="M232" s="34">
        <f t="shared" si="56"/>
        <v>28305</v>
      </c>
      <c r="N232" s="34">
        <f t="shared" si="57"/>
        <v>0</v>
      </c>
      <c r="O232" s="36">
        <f t="shared" si="58"/>
        <v>-30</v>
      </c>
      <c r="P232" s="41">
        <f t="shared" si="59"/>
        <v>0</v>
      </c>
      <c r="Q232" s="70">
        <f t="shared" si="60"/>
        <v>0</v>
      </c>
      <c r="S232" s="38" t="s">
        <v>591</v>
      </c>
      <c r="T232" s="34">
        <v>1</v>
      </c>
      <c r="U232" s="34">
        <v>28305</v>
      </c>
      <c r="V232" s="37">
        <v>46003</v>
      </c>
      <c r="W232" s="34"/>
      <c r="X232" s="35"/>
      <c r="Y232" s="34">
        <f t="shared" si="61"/>
        <v>50</v>
      </c>
      <c r="Z232" s="34">
        <f t="shared" si="62"/>
        <v>0</v>
      </c>
      <c r="AA232" s="39">
        <f t="shared" si="63"/>
        <v>0</v>
      </c>
      <c r="AB232" s="34">
        <f t="shared" si="51"/>
        <v>20</v>
      </c>
      <c r="AC232" s="40">
        <f t="shared" si="64"/>
        <v>-46002</v>
      </c>
      <c r="AD232" s="34">
        <f t="shared" si="65"/>
        <v>28305</v>
      </c>
      <c r="AE232" s="34">
        <f t="shared" si="66"/>
        <v>0</v>
      </c>
      <c r="AF232" s="36">
        <f t="shared" si="67"/>
        <v>-30</v>
      </c>
      <c r="AG232" s="41">
        <f t="shared" si="68"/>
        <v>0</v>
      </c>
      <c r="AH232" s="70">
        <f t="shared" si="69"/>
        <v>0</v>
      </c>
    </row>
    <row r="233" spans="2:34" x14ac:dyDescent="0.4">
      <c r="B233" s="38" t="s">
        <v>591</v>
      </c>
      <c r="C233" s="34">
        <v>1</v>
      </c>
      <c r="D233" s="34">
        <v>25790</v>
      </c>
      <c r="E233" s="37">
        <v>46010</v>
      </c>
      <c r="F233" s="34"/>
      <c r="G233" s="35"/>
      <c r="H233" s="34">
        <f t="shared" si="52"/>
        <v>40</v>
      </c>
      <c r="I233" s="34">
        <f t="shared" si="53"/>
        <v>0</v>
      </c>
      <c r="J233" s="39">
        <f t="shared" si="54"/>
        <v>0</v>
      </c>
      <c r="K233" s="34">
        <f t="shared" si="50"/>
        <v>20</v>
      </c>
      <c r="L233" s="40">
        <f t="shared" si="55"/>
        <v>-46009</v>
      </c>
      <c r="M233" s="34">
        <f t="shared" si="56"/>
        <v>25790</v>
      </c>
      <c r="N233" s="34">
        <f t="shared" si="57"/>
        <v>0</v>
      </c>
      <c r="O233" s="36">
        <f t="shared" si="58"/>
        <v>-20</v>
      </c>
      <c r="P233" s="41">
        <f t="shared" si="59"/>
        <v>0</v>
      </c>
      <c r="Q233" s="70">
        <f t="shared" si="60"/>
        <v>0</v>
      </c>
      <c r="S233" s="38" t="s">
        <v>591</v>
      </c>
      <c r="T233" s="34">
        <v>1</v>
      </c>
      <c r="U233" s="34">
        <v>25790</v>
      </c>
      <c r="V233" s="37">
        <v>46010</v>
      </c>
      <c r="W233" s="34"/>
      <c r="X233" s="35"/>
      <c r="Y233" s="34">
        <f t="shared" si="61"/>
        <v>40</v>
      </c>
      <c r="Z233" s="34">
        <f t="shared" si="62"/>
        <v>0</v>
      </c>
      <c r="AA233" s="39">
        <f t="shared" si="63"/>
        <v>0</v>
      </c>
      <c r="AB233" s="34">
        <f t="shared" si="51"/>
        <v>20</v>
      </c>
      <c r="AC233" s="40">
        <f t="shared" si="64"/>
        <v>-46009</v>
      </c>
      <c r="AD233" s="34">
        <f t="shared" si="65"/>
        <v>25790</v>
      </c>
      <c r="AE233" s="34">
        <f t="shared" si="66"/>
        <v>0</v>
      </c>
      <c r="AF233" s="36">
        <f t="shared" si="67"/>
        <v>-20</v>
      </c>
      <c r="AG233" s="41">
        <f t="shared" si="68"/>
        <v>0</v>
      </c>
      <c r="AH233" s="70">
        <f t="shared" si="69"/>
        <v>0</v>
      </c>
    </row>
    <row r="234" spans="2:34" x14ac:dyDescent="0.4">
      <c r="B234" s="38" t="s">
        <v>591</v>
      </c>
      <c r="C234" s="34">
        <v>1</v>
      </c>
      <c r="D234" s="34">
        <v>27020</v>
      </c>
      <c r="E234" s="37">
        <v>46017</v>
      </c>
      <c r="F234" s="34"/>
      <c r="G234" s="35"/>
      <c r="H234" s="34">
        <f t="shared" si="52"/>
        <v>50</v>
      </c>
      <c r="I234" s="34">
        <f t="shared" si="53"/>
        <v>0</v>
      </c>
      <c r="J234" s="39">
        <f t="shared" si="54"/>
        <v>0</v>
      </c>
      <c r="K234" s="34">
        <f t="shared" si="50"/>
        <v>20</v>
      </c>
      <c r="L234" s="40">
        <f t="shared" si="55"/>
        <v>-46016</v>
      </c>
      <c r="M234" s="34">
        <f t="shared" si="56"/>
        <v>27020</v>
      </c>
      <c r="N234" s="34">
        <f t="shared" si="57"/>
        <v>0</v>
      </c>
      <c r="O234" s="36">
        <f t="shared" si="58"/>
        <v>-30</v>
      </c>
      <c r="P234" s="41">
        <f t="shared" si="59"/>
        <v>0</v>
      </c>
      <c r="Q234" s="70">
        <f t="shared" si="60"/>
        <v>0</v>
      </c>
      <c r="S234" s="38" t="s">
        <v>591</v>
      </c>
      <c r="T234" s="34">
        <v>1</v>
      </c>
      <c r="U234" s="34">
        <v>27020</v>
      </c>
      <c r="V234" s="37">
        <v>46017</v>
      </c>
      <c r="W234" s="34"/>
      <c r="X234" s="35"/>
      <c r="Y234" s="34">
        <f t="shared" si="61"/>
        <v>50</v>
      </c>
      <c r="Z234" s="34">
        <f t="shared" si="62"/>
        <v>0</v>
      </c>
      <c r="AA234" s="39">
        <f t="shared" si="63"/>
        <v>0</v>
      </c>
      <c r="AB234" s="34">
        <f t="shared" si="51"/>
        <v>20</v>
      </c>
      <c r="AC234" s="40">
        <f t="shared" si="64"/>
        <v>-46016</v>
      </c>
      <c r="AD234" s="34">
        <f t="shared" si="65"/>
        <v>27020</v>
      </c>
      <c r="AE234" s="34">
        <f t="shared" si="66"/>
        <v>0</v>
      </c>
      <c r="AF234" s="36">
        <f t="shared" si="67"/>
        <v>-30</v>
      </c>
      <c r="AG234" s="41">
        <f t="shared" si="68"/>
        <v>0</v>
      </c>
      <c r="AH234" s="70">
        <f t="shared" si="69"/>
        <v>0</v>
      </c>
    </row>
    <row r="235" spans="2:34" x14ac:dyDescent="0.4">
      <c r="B235" s="38" t="s">
        <v>591</v>
      </c>
      <c r="C235" s="34">
        <v>1</v>
      </c>
      <c r="D235" s="34">
        <v>25805</v>
      </c>
      <c r="E235" s="37">
        <v>46024</v>
      </c>
      <c r="F235" s="34"/>
      <c r="G235" s="35"/>
      <c r="H235" s="34">
        <f t="shared" si="52"/>
        <v>40</v>
      </c>
      <c r="I235" s="34">
        <f t="shared" si="53"/>
        <v>0</v>
      </c>
      <c r="J235" s="39">
        <f t="shared" si="54"/>
        <v>0</v>
      </c>
      <c r="K235" s="34"/>
      <c r="L235" s="40">
        <f t="shared" si="55"/>
        <v>-46023</v>
      </c>
      <c r="M235" s="34">
        <f t="shared" si="56"/>
        <v>25805</v>
      </c>
      <c r="N235" s="34">
        <f t="shared" si="57"/>
        <v>0</v>
      </c>
      <c r="O235" s="36">
        <f t="shared" si="58"/>
        <v>-40</v>
      </c>
      <c r="P235" s="41">
        <f t="shared" si="59"/>
        <v>0</v>
      </c>
      <c r="Q235" s="70">
        <f t="shared" si="60"/>
        <v>0</v>
      </c>
      <c r="S235" s="38" t="s">
        <v>591</v>
      </c>
      <c r="T235" s="34">
        <v>1</v>
      </c>
      <c r="U235" s="34">
        <v>25805</v>
      </c>
      <c r="V235" s="37">
        <v>46024</v>
      </c>
      <c r="W235" s="34"/>
      <c r="X235" s="35"/>
      <c r="Y235" s="34">
        <f t="shared" si="61"/>
        <v>40</v>
      </c>
      <c r="Z235" s="34">
        <f t="shared" si="62"/>
        <v>0</v>
      </c>
      <c r="AA235" s="39">
        <f t="shared" si="63"/>
        <v>0</v>
      </c>
      <c r="AB235" s="34"/>
      <c r="AC235" s="40">
        <f t="shared" si="64"/>
        <v>-46023</v>
      </c>
      <c r="AD235" s="34">
        <f t="shared" si="65"/>
        <v>25805</v>
      </c>
      <c r="AE235" s="34">
        <f t="shared" si="66"/>
        <v>0</v>
      </c>
      <c r="AF235" s="36">
        <f t="shared" si="67"/>
        <v>-40</v>
      </c>
      <c r="AG235" s="41">
        <f t="shared" si="68"/>
        <v>0</v>
      </c>
      <c r="AH235" s="70">
        <f t="shared" si="69"/>
        <v>0</v>
      </c>
    </row>
    <row r="236" spans="2:34" x14ac:dyDescent="0.4">
      <c r="B236" s="38" t="s">
        <v>591</v>
      </c>
      <c r="C236" s="34">
        <v>1</v>
      </c>
      <c r="D236" s="34">
        <v>27375</v>
      </c>
      <c r="E236" s="37">
        <v>46031</v>
      </c>
      <c r="F236" s="34"/>
      <c r="G236" s="35"/>
      <c r="H236" s="34">
        <f t="shared" si="52"/>
        <v>50</v>
      </c>
      <c r="I236" s="34">
        <f t="shared" si="53"/>
        <v>0</v>
      </c>
      <c r="J236" s="39">
        <f t="shared" si="54"/>
        <v>0</v>
      </c>
      <c r="K236" s="34"/>
      <c r="L236" s="40">
        <f t="shared" si="55"/>
        <v>-46030</v>
      </c>
      <c r="M236" s="34">
        <f t="shared" si="56"/>
        <v>27375</v>
      </c>
      <c r="N236" s="34">
        <f t="shared" si="57"/>
        <v>0</v>
      </c>
      <c r="O236" s="36">
        <f t="shared" si="58"/>
        <v>-50</v>
      </c>
      <c r="P236" s="41">
        <f t="shared" si="59"/>
        <v>0</v>
      </c>
      <c r="Q236" s="70">
        <f t="shared" si="60"/>
        <v>0</v>
      </c>
      <c r="S236" s="38" t="s">
        <v>591</v>
      </c>
      <c r="T236" s="34">
        <v>1</v>
      </c>
      <c r="U236" s="34">
        <v>27375</v>
      </c>
      <c r="V236" s="37">
        <v>46031</v>
      </c>
      <c r="W236" s="34"/>
      <c r="X236" s="35"/>
      <c r="Y236" s="34">
        <f t="shared" si="61"/>
        <v>50</v>
      </c>
      <c r="Z236" s="34">
        <f t="shared" si="62"/>
        <v>0</v>
      </c>
      <c r="AA236" s="39">
        <f t="shared" si="63"/>
        <v>0</v>
      </c>
      <c r="AB236" s="34"/>
      <c r="AC236" s="40">
        <f t="shared" si="64"/>
        <v>-46030</v>
      </c>
      <c r="AD236" s="34">
        <f t="shared" si="65"/>
        <v>27375</v>
      </c>
      <c r="AE236" s="34">
        <f t="shared" si="66"/>
        <v>0</v>
      </c>
      <c r="AF236" s="36">
        <f t="shared" si="67"/>
        <v>-50</v>
      </c>
      <c r="AG236" s="41">
        <f t="shared" si="68"/>
        <v>0</v>
      </c>
      <c r="AH236" s="70">
        <f t="shared" si="69"/>
        <v>0</v>
      </c>
    </row>
    <row r="237" spans="2:34" x14ac:dyDescent="0.4">
      <c r="B237" s="38" t="s">
        <v>591</v>
      </c>
      <c r="C237" s="34">
        <v>1</v>
      </c>
      <c r="D237" s="34">
        <v>28210</v>
      </c>
      <c r="E237" s="37">
        <v>46038</v>
      </c>
      <c r="F237" s="34"/>
      <c r="G237" s="35"/>
      <c r="H237" s="34">
        <f t="shared" si="52"/>
        <v>50</v>
      </c>
      <c r="I237" s="34">
        <f t="shared" si="53"/>
        <v>0</v>
      </c>
      <c r="J237" s="39">
        <f t="shared" si="54"/>
        <v>0</v>
      </c>
      <c r="K237" s="34"/>
      <c r="L237" s="40">
        <f t="shared" si="55"/>
        <v>-46037</v>
      </c>
      <c r="M237" s="34">
        <f t="shared" si="56"/>
        <v>28210</v>
      </c>
      <c r="N237" s="34">
        <f t="shared" si="57"/>
        <v>0</v>
      </c>
      <c r="O237" s="36">
        <f t="shared" si="58"/>
        <v>-50</v>
      </c>
      <c r="P237" s="41">
        <f t="shared" si="59"/>
        <v>0</v>
      </c>
      <c r="Q237" s="70">
        <f t="shared" si="60"/>
        <v>0</v>
      </c>
      <c r="S237" s="38" t="s">
        <v>591</v>
      </c>
      <c r="T237" s="34">
        <v>1</v>
      </c>
      <c r="U237" s="34">
        <v>28210</v>
      </c>
      <c r="V237" s="37">
        <v>46038</v>
      </c>
      <c r="W237" s="34"/>
      <c r="X237" s="35"/>
      <c r="Y237" s="34">
        <f t="shared" si="61"/>
        <v>50</v>
      </c>
      <c r="Z237" s="34">
        <f t="shared" si="62"/>
        <v>0</v>
      </c>
      <c r="AA237" s="39">
        <f t="shared" si="63"/>
        <v>0</v>
      </c>
      <c r="AB237" s="34"/>
      <c r="AC237" s="40">
        <f t="shared" si="64"/>
        <v>-46037</v>
      </c>
      <c r="AD237" s="34">
        <f t="shared" si="65"/>
        <v>28210</v>
      </c>
      <c r="AE237" s="34">
        <f t="shared" si="66"/>
        <v>0</v>
      </c>
      <c r="AF237" s="36">
        <f t="shared" si="67"/>
        <v>-50</v>
      </c>
      <c r="AG237" s="41">
        <f t="shared" si="68"/>
        <v>0</v>
      </c>
      <c r="AH237" s="70">
        <f t="shared" si="69"/>
        <v>0</v>
      </c>
    </row>
    <row r="238" spans="2:34" x14ac:dyDescent="0.4">
      <c r="B238" s="38" t="s">
        <v>591</v>
      </c>
      <c r="C238" s="34">
        <v>1</v>
      </c>
      <c r="D238" s="34">
        <v>27930</v>
      </c>
      <c r="E238" s="37">
        <v>46045</v>
      </c>
      <c r="F238" s="34"/>
      <c r="G238" s="35"/>
      <c r="H238" s="34">
        <f t="shared" si="52"/>
        <v>50</v>
      </c>
      <c r="I238" s="34">
        <f t="shared" si="53"/>
        <v>0</v>
      </c>
      <c r="J238" s="39">
        <f t="shared" si="54"/>
        <v>0</v>
      </c>
      <c r="K238" s="34"/>
      <c r="L238" s="40">
        <f t="shared" si="55"/>
        <v>-46044</v>
      </c>
      <c r="M238" s="34">
        <f t="shared" si="56"/>
        <v>27930</v>
      </c>
      <c r="N238" s="34">
        <f t="shared" si="57"/>
        <v>0</v>
      </c>
      <c r="O238" s="36">
        <f t="shared" si="58"/>
        <v>-50</v>
      </c>
      <c r="P238" s="41">
        <f t="shared" si="59"/>
        <v>0</v>
      </c>
      <c r="Q238" s="70">
        <f t="shared" si="60"/>
        <v>0</v>
      </c>
      <c r="S238" s="38" t="s">
        <v>591</v>
      </c>
      <c r="T238" s="34">
        <v>1</v>
      </c>
      <c r="U238" s="34">
        <v>27930</v>
      </c>
      <c r="V238" s="37">
        <v>46045</v>
      </c>
      <c r="W238" s="34"/>
      <c r="X238" s="35"/>
      <c r="Y238" s="34">
        <f t="shared" si="61"/>
        <v>50</v>
      </c>
      <c r="Z238" s="34">
        <f t="shared" si="62"/>
        <v>0</v>
      </c>
      <c r="AA238" s="39">
        <f t="shared" si="63"/>
        <v>0</v>
      </c>
      <c r="AB238" s="34"/>
      <c r="AC238" s="40">
        <f t="shared" si="64"/>
        <v>-46044</v>
      </c>
      <c r="AD238" s="34">
        <f t="shared" si="65"/>
        <v>27930</v>
      </c>
      <c r="AE238" s="34">
        <f t="shared" si="66"/>
        <v>0</v>
      </c>
      <c r="AF238" s="36">
        <f t="shared" si="67"/>
        <v>-50</v>
      </c>
      <c r="AG238" s="41">
        <f t="shared" si="68"/>
        <v>0</v>
      </c>
      <c r="AH238" s="70">
        <f t="shared" si="69"/>
        <v>0</v>
      </c>
    </row>
    <row r="239" spans="2:34" x14ac:dyDescent="0.4">
      <c r="B239" s="38" t="s">
        <v>591</v>
      </c>
      <c r="C239" s="34">
        <v>1</v>
      </c>
      <c r="D239" s="34">
        <v>25395</v>
      </c>
      <c r="E239" s="37">
        <v>46052</v>
      </c>
      <c r="F239" s="34"/>
      <c r="G239" s="35"/>
      <c r="H239" s="34">
        <f t="shared" si="52"/>
        <v>40</v>
      </c>
      <c r="I239" s="34">
        <f t="shared" si="53"/>
        <v>0</v>
      </c>
      <c r="J239" s="39">
        <f t="shared" si="54"/>
        <v>0</v>
      </c>
      <c r="K239" s="34"/>
      <c r="L239" s="40">
        <f t="shared" si="55"/>
        <v>-46051</v>
      </c>
      <c r="M239" s="34">
        <f t="shared" si="56"/>
        <v>25395</v>
      </c>
      <c r="N239" s="34">
        <f t="shared" si="57"/>
        <v>0</v>
      </c>
      <c r="O239" s="36">
        <f t="shared" si="58"/>
        <v>-40</v>
      </c>
      <c r="P239" s="41">
        <f t="shared" si="59"/>
        <v>0</v>
      </c>
      <c r="Q239" s="70">
        <f t="shared" si="60"/>
        <v>0</v>
      </c>
      <c r="S239" s="38" t="s">
        <v>591</v>
      </c>
      <c r="T239" s="34">
        <v>1</v>
      </c>
      <c r="U239" s="34">
        <v>25395</v>
      </c>
      <c r="V239" s="37">
        <v>46052</v>
      </c>
      <c r="W239" s="34"/>
      <c r="X239" s="35"/>
      <c r="Y239" s="34">
        <f t="shared" si="61"/>
        <v>40</v>
      </c>
      <c r="Z239" s="34">
        <f t="shared" si="62"/>
        <v>0</v>
      </c>
      <c r="AA239" s="39">
        <f t="shared" si="63"/>
        <v>0</v>
      </c>
      <c r="AB239" s="34"/>
      <c r="AC239" s="40">
        <f t="shared" si="64"/>
        <v>-46051</v>
      </c>
      <c r="AD239" s="34">
        <f t="shared" si="65"/>
        <v>25395</v>
      </c>
      <c r="AE239" s="34">
        <f t="shared" si="66"/>
        <v>0</v>
      </c>
      <c r="AF239" s="36">
        <f t="shared" si="67"/>
        <v>-40</v>
      </c>
      <c r="AG239" s="41">
        <f t="shared" si="68"/>
        <v>0</v>
      </c>
      <c r="AH239" s="70">
        <f t="shared" si="69"/>
        <v>0</v>
      </c>
    </row>
    <row r="240" spans="2:34" x14ac:dyDescent="0.4">
      <c r="B240" s="38" t="s">
        <v>591</v>
      </c>
      <c r="C240" s="34">
        <v>1</v>
      </c>
      <c r="D240" s="34">
        <v>21750</v>
      </c>
      <c r="E240" s="37">
        <v>46059</v>
      </c>
      <c r="F240" s="34"/>
      <c r="G240" s="35"/>
      <c r="H240" s="34">
        <f t="shared" si="52"/>
        <v>40</v>
      </c>
      <c r="I240" s="34">
        <f t="shared" si="53"/>
        <v>0</v>
      </c>
      <c r="J240" s="39">
        <f t="shared" si="54"/>
        <v>0</v>
      </c>
      <c r="K240" s="34"/>
      <c r="L240" s="40">
        <f t="shared" si="55"/>
        <v>-46058</v>
      </c>
      <c r="M240" s="34">
        <f t="shared" si="56"/>
        <v>21750</v>
      </c>
      <c r="N240" s="34">
        <f t="shared" si="57"/>
        <v>0</v>
      </c>
      <c r="O240" s="36">
        <f t="shared" si="58"/>
        <v>-40</v>
      </c>
      <c r="P240" s="41">
        <f t="shared" si="59"/>
        <v>0</v>
      </c>
      <c r="Q240" s="70">
        <f t="shared" si="60"/>
        <v>0</v>
      </c>
      <c r="S240" s="38" t="s">
        <v>591</v>
      </c>
      <c r="T240" s="34">
        <v>1</v>
      </c>
      <c r="U240" s="34">
        <v>21750</v>
      </c>
      <c r="V240" s="37">
        <v>46059</v>
      </c>
      <c r="W240" s="34"/>
      <c r="X240" s="35"/>
      <c r="Y240" s="34">
        <f t="shared" si="61"/>
        <v>40</v>
      </c>
      <c r="Z240" s="34">
        <f t="shared" si="62"/>
        <v>0</v>
      </c>
      <c r="AA240" s="39">
        <f t="shared" si="63"/>
        <v>0</v>
      </c>
      <c r="AB240" s="34"/>
      <c r="AC240" s="40">
        <f t="shared" si="64"/>
        <v>-46058</v>
      </c>
      <c r="AD240" s="34">
        <f t="shared" si="65"/>
        <v>21750</v>
      </c>
      <c r="AE240" s="34">
        <f t="shared" si="66"/>
        <v>0</v>
      </c>
      <c r="AF240" s="36">
        <f t="shared" si="67"/>
        <v>-40</v>
      </c>
      <c r="AG240" s="41">
        <f t="shared" si="68"/>
        <v>0</v>
      </c>
      <c r="AH240" s="70">
        <f t="shared" si="69"/>
        <v>0</v>
      </c>
    </row>
    <row r="241" spans="2:34" x14ac:dyDescent="0.4">
      <c r="B241" s="38" t="s">
        <v>591</v>
      </c>
      <c r="C241" s="34">
        <v>1</v>
      </c>
      <c r="D241" s="34">
        <v>22050</v>
      </c>
      <c r="E241" s="37">
        <v>46066</v>
      </c>
      <c r="F241" s="34"/>
      <c r="G241" s="35"/>
      <c r="H241" s="34">
        <f t="shared" si="52"/>
        <v>40</v>
      </c>
      <c r="I241" s="34">
        <f t="shared" si="53"/>
        <v>0</v>
      </c>
      <c r="J241" s="39">
        <f t="shared" si="54"/>
        <v>0</v>
      </c>
      <c r="K241" s="34"/>
      <c r="L241" s="40">
        <f t="shared" si="55"/>
        <v>-46065</v>
      </c>
      <c r="M241" s="34">
        <f t="shared" si="56"/>
        <v>22050</v>
      </c>
      <c r="N241" s="34">
        <f t="shared" si="57"/>
        <v>0</v>
      </c>
      <c r="O241" s="36">
        <f t="shared" si="58"/>
        <v>-40</v>
      </c>
      <c r="P241" s="41">
        <f t="shared" si="59"/>
        <v>0</v>
      </c>
      <c r="Q241" s="70">
        <f t="shared" si="60"/>
        <v>0</v>
      </c>
      <c r="S241" s="38" t="s">
        <v>591</v>
      </c>
      <c r="T241" s="34">
        <v>1</v>
      </c>
      <c r="U241" s="34">
        <v>22050</v>
      </c>
      <c r="V241" s="37">
        <v>46066</v>
      </c>
      <c r="W241" s="34"/>
      <c r="X241" s="35"/>
      <c r="Y241" s="34">
        <f t="shared" si="61"/>
        <v>40</v>
      </c>
      <c r="Z241" s="34">
        <f t="shared" si="62"/>
        <v>0</v>
      </c>
      <c r="AA241" s="39">
        <f t="shared" si="63"/>
        <v>0</v>
      </c>
      <c r="AB241" s="34"/>
      <c r="AC241" s="40">
        <f t="shared" si="64"/>
        <v>-46065</v>
      </c>
      <c r="AD241" s="34">
        <f t="shared" si="65"/>
        <v>22050</v>
      </c>
      <c r="AE241" s="34">
        <f t="shared" si="66"/>
        <v>0</v>
      </c>
      <c r="AF241" s="36">
        <f t="shared" si="67"/>
        <v>-40</v>
      </c>
      <c r="AG241" s="41">
        <f t="shared" si="68"/>
        <v>0</v>
      </c>
      <c r="AH241" s="70">
        <f t="shared" si="69"/>
        <v>0</v>
      </c>
    </row>
    <row r="242" spans="2:34" x14ac:dyDescent="0.4">
      <c r="B242" s="38" t="s">
        <v>591</v>
      </c>
      <c r="C242" s="34">
        <v>1</v>
      </c>
      <c r="D242" s="34">
        <v>22645</v>
      </c>
      <c r="E242" s="37">
        <v>46073</v>
      </c>
      <c r="F242" s="34"/>
      <c r="G242" s="35"/>
      <c r="H242" s="34">
        <f t="shared" si="52"/>
        <v>40</v>
      </c>
      <c r="I242" s="34">
        <f t="shared" si="53"/>
        <v>0</v>
      </c>
      <c r="J242" s="39">
        <f t="shared" si="54"/>
        <v>0</v>
      </c>
      <c r="K242" s="34"/>
      <c r="L242" s="40">
        <f t="shared" si="55"/>
        <v>-46072</v>
      </c>
      <c r="M242" s="34">
        <f t="shared" si="56"/>
        <v>22645</v>
      </c>
      <c r="N242" s="34">
        <f t="shared" si="57"/>
        <v>0</v>
      </c>
      <c r="O242" s="36">
        <f t="shared" si="58"/>
        <v>-40</v>
      </c>
      <c r="P242" s="41">
        <f t="shared" si="59"/>
        <v>0</v>
      </c>
      <c r="Q242" s="70">
        <f t="shared" si="60"/>
        <v>0</v>
      </c>
      <c r="S242" s="38" t="s">
        <v>591</v>
      </c>
      <c r="T242" s="34">
        <v>1</v>
      </c>
      <c r="U242" s="34">
        <v>22645</v>
      </c>
      <c r="V242" s="37">
        <v>46073</v>
      </c>
      <c r="W242" s="34"/>
      <c r="X242" s="35"/>
      <c r="Y242" s="34">
        <f t="shared" si="61"/>
        <v>40</v>
      </c>
      <c r="Z242" s="34">
        <f t="shared" si="62"/>
        <v>0</v>
      </c>
      <c r="AA242" s="39">
        <f t="shared" si="63"/>
        <v>0</v>
      </c>
      <c r="AB242" s="34"/>
      <c r="AC242" s="40">
        <f t="shared" si="64"/>
        <v>-46072</v>
      </c>
      <c r="AD242" s="34">
        <f t="shared" si="65"/>
        <v>22645</v>
      </c>
      <c r="AE242" s="34">
        <f t="shared" si="66"/>
        <v>0</v>
      </c>
      <c r="AF242" s="36">
        <f t="shared" si="67"/>
        <v>-40</v>
      </c>
      <c r="AG242" s="41">
        <f t="shared" si="68"/>
        <v>0</v>
      </c>
      <c r="AH242" s="70">
        <f t="shared" si="69"/>
        <v>0</v>
      </c>
    </row>
    <row r="243" spans="2:34" x14ac:dyDescent="0.4">
      <c r="B243" s="38" t="s">
        <v>591</v>
      </c>
      <c r="C243" s="34">
        <v>1</v>
      </c>
      <c r="D243" s="34">
        <v>23595</v>
      </c>
      <c r="E243" s="37">
        <v>46080</v>
      </c>
      <c r="F243" s="34"/>
      <c r="G243" s="35"/>
      <c r="H243" s="34">
        <f t="shared" si="52"/>
        <v>40</v>
      </c>
      <c r="I243" s="34">
        <f t="shared" si="53"/>
        <v>0</v>
      </c>
      <c r="J243" s="39">
        <f t="shared" si="54"/>
        <v>0</v>
      </c>
      <c r="K243" s="34"/>
      <c r="L243" s="40">
        <f t="shared" si="55"/>
        <v>-46079</v>
      </c>
      <c r="M243" s="34">
        <f t="shared" si="56"/>
        <v>23595</v>
      </c>
      <c r="N243" s="34">
        <f t="shared" si="57"/>
        <v>0</v>
      </c>
      <c r="O243" s="36">
        <f t="shared" si="58"/>
        <v>-40</v>
      </c>
      <c r="P243" s="41">
        <f t="shared" si="59"/>
        <v>0</v>
      </c>
      <c r="Q243" s="70">
        <f t="shared" si="60"/>
        <v>0</v>
      </c>
      <c r="S243" s="38" t="s">
        <v>591</v>
      </c>
      <c r="T243" s="34">
        <v>1</v>
      </c>
      <c r="U243" s="34">
        <v>23595</v>
      </c>
      <c r="V243" s="37">
        <v>46080</v>
      </c>
      <c r="W243" s="34"/>
      <c r="X243" s="35"/>
      <c r="Y243" s="34">
        <f t="shared" si="61"/>
        <v>40</v>
      </c>
      <c r="Z243" s="34">
        <f t="shared" si="62"/>
        <v>0</v>
      </c>
      <c r="AA243" s="39">
        <f t="shared" si="63"/>
        <v>0</v>
      </c>
      <c r="AB243" s="34"/>
      <c r="AC243" s="40">
        <f t="shared" si="64"/>
        <v>-46079</v>
      </c>
      <c r="AD243" s="34">
        <f t="shared" si="65"/>
        <v>23595</v>
      </c>
      <c r="AE243" s="34">
        <f t="shared" si="66"/>
        <v>0</v>
      </c>
      <c r="AF243" s="36">
        <f t="shared" si="67"/>
        <v>-40</v>
      </c>
      <c r="AG243" s="41">
        <f t="shared" si="68"/>
        <v>0</v>
      </c>
      <c r="AH243" s="70">
        <f t="shared" si="69"/>
        <v>0</v>
      </c>
    </row>
    <row r="244" spans="2:34" x14ac:dyDescent="0.4">
      <c r="B244" s="38" t="s">
        <v>591</v>
      </c>
      <c r="C244" s="34">
        <v>1</v>
      </c>
      <c r="D244" s="34">
        <v>23330</v>
      </c>
      <c r="E244" s="37">
        <v>46087</v>
      </c>
      <c r="F244" s="34"/>
      <c r="G244" s="35"/>
      <c r="H244" s="34">
        <f t="shared" si="52"/>
        <v>40</v>
      </c>
      <c r="I244" s="34">
        <f t="shared" si="53"/>
        <v>0</v>
      </c>
      <c r="J244" s="39">
        <f t="shared" si="54"/>
        <v>0</v>
      </c>
      <c r="K244" s="34"/>
      <c r="L244" s="40">
        <f t="shared" si="55"/>
        <v>-46086</v>
      </c>
      <c r="M244" s="34">
        <f t="shared" si="56"/>
        <v>23330</v>
      </c>
      <c r="N244" s="34">
        <f t="shared" si="57"/>
        <v>0</v>
      </c>
      <c r="O244" s="36">
        <f t="shared" si="58"/>
        <v>-40</v>
      </c>
      <c r="P244" s="41">
        <f t="shared" si="59"/>
        <v>0</v>
      </c>
      <c r="Q244" s="70">
        <f t="shared" si="60"/>
        <v>0</v>
      </c>
      <c r="S244" s="38" t="s">
        <v>591</v>
      </c>
      <c r="T244" s="34">
        <v>1</v>
      </c>
      <c r="U244" s="34">
        <v>23330</v>
      </c>
      <c r="V244" s="37">
        <v>46087</v>
      </c>
      <c r="W244" s="34"/>
      <c r="X244" s="35"/>
      <c r="Y244" s="34">
        <f t="shared" si="61"/>
        <v>40</v>
      </c>
      <c r="Z244" s="34">
        <f t="shared" si="62"/>
        <v>0</v>
      </c>
      <c r="AA244" s="39">
        <f t="shared" si="63"/>
        <v>0</v>
      </c>
      <c r="AB244" s="34"/>
      <c r="AC244" s="40">
        <f t="shared" si="64"/>
        <v>-46086</v>
      </c>
      <c r="AD244" s="34">
        <f t="shared" si="65"/>
        <v>23330</v>
      </c>
      <c r="AE244" s="34">
        <f t="shared" si="66"/>
        <v>0</v>
      </c>
      <c r="AF244" s="36">
        <f t="shared" si="67"/>
        <v>-40</v>
      </c>
      <c r="AG244" s="41">
        <f t="shared" si="68"/>
        <v>0</v>
      </c>
      <c r="AH244" s="70">
        <f t="shared" si="69"/>
        <v>0</v>
      </c>
    </row>
    <row r="245" spans="2:34" x14ac:dyDescent="0.4">
      <c r="B245" s="38" t="s">
        <v>591</v>
      </c>
      <c r="C245" s="34">
        <v>1</v>
      </c>
      <c r="D245" s="34">
        <v>22720</v>
      </c>
      <c r="E245" s="37">
        <v>46094</v>
      </c>
      <c r="F245" s="34"/>
      <c r="G245" s="35"/>
      <c r="H245" s="34">
        <f t="shared" si="52"/>
        <v>40</v>
      </c>
      <c r="I245" s="34">
        <f t="shared" si="53"/>
        <v>0</v>
      </c>
      <c r="J245" s="39">
        <f t="shared" si="54"/>
        <v>0</v>
      </c>
      <c r="K245" s="34"/>
      <c r="L245" s="40">
        <f t="shared" si="55"/>
        <v>-46093</v>
      </c>
      <c r="M245" s="34">
        <f t="shared" si="56"/>
        <v>22720</v>
      </c>
      <c r="N245" s="34">
        <f t="shared" si="57"/>
        <v>0</v>
      </c>
      <c r="O245" s="36">
        <f t="shared" si="58"/>
        <v>-40</v>
      </c>
      <c r="P245" s="41">
        <f t="shared" si="59"/>
        <v>0</v>
      </c>
      <c r="Q245" s="70">
        <f t="shared" si="60"/>
        <v>0</v>
      </c>
      <c r="S245" s="38" t="s">
        <v>591</v>
      </c>
      <c r="T245" s="34">
        <v>1</v>
      </c>
      <c r="U245" s="34">
        <v>22720</v>
      </c>
      <c r="V245" s="37">
        <v>46094</v>
      </c>
      <c r="W245" s="34"/>
      <c r="X245" s="35"/>
      <c r="Y245" s="34">
        <f t="shared" si="61"/>
        <v>40</v>
      </c>
      <c r="Z245" s="34">
        <f t="shared" si="62"/>
        <v>0</v>
      </c>
      <c r="AA245" s="39">
        <f t="shared" si="63"/>
        <v>0</v>
      </c>
      <c r="AB245" s="34"/>
      <c r="AC245" s="40">
        <f t="shared" si="64"/>
        <v>-46093</v>
      </c>
      <c r="AD245" s="34">
        <f t="shared" si="65"/>
        <v>22720</v>
      </c>
      <c r="AE245" s="34">
        <f t="shared" si="66"/>
        <v>0</v>
      </c>
      <c r="AF245" s="36">
        <f t="shared" si="67"/>
        <v>-40</v>
      </c>
      <c r="AG245" s="41">
        <f t="shared" si="68"/>
        <v>0</v>
      </c>
      <c r="AH245" s="70">
        <f t="shared" si="69"/>
        <v>0</v>
      </c>
    </row>
    <row r="246" spans="2:34" x14ac:dyDescent="0.4">
      <c r="B246" s="38" t="s">
        <v>591</v>
      </c>
      <c r="C246" s="34">
        <v>1</v>
      </c>
      <c r="D246" s="34">
        <v>22660</v>
      </c>
      <c r="E246" s="37">
        <v>46101</v>
      </c>
      <c r="F246" s="34"/>
      <c r="G246" s="35"/>
      <c r="H246" s="34">
        <f t="shared" si="52"/>
        <v>40</v>
      </c>
      <c r="I246" s="34">
        <f t="shared" si="53"/>
        <v>0</v>
      </c>
      <c r="J246" s="39">
        <f t="shared" si="54"/>
        <v>0</v>
      </c>
      <c r="K246" s="34"/>
      <c r="L246" s="40">
        <f t="shared" si="55"/>
        <v>-46100</v>
      </c>
      <c r="M246" s="34">
        <f t="shared" si="56"/>
        <v>22660</v>
      </c>
      <c r="N246" s="34">
        <f t="shared" si="57"/>
        <v>0</v>
      </c>
      <c r="O246" s="36">
        <f t="shared" si="58"/>
        <v>-40</v>
      </c>
      <c r="P246" s="41">
        <f t="shared" si="59"/>
        <v>0</v>
      </c>
      <c r="Q246" s="70">
        <f t="shared" si="60"/>
        <v>0</v>
      </c>
      <c r="S246" s="38" t="s">
        <v>591</v>
      </c>
      <c r="T246" s="34">
        <v>1</v>
      </c>
      <c r="U246" s="34">
        <v>22660</v>
      </c>
      <c r="V246" s="37">
        <v>46101</v>
      </c>
      <c r="W246" s="34"/>
      <c r="X246" s="35"/>
      <c r="Y246" s="34">
        <f t="shared" si="61"/>
        <v>40</v>
      </c>
      <c r="Z246" s="34">
        <f t="shared" si="62"/>
        <v>0</v>
      </c>
      <c r="AA246" s="39">
        <f t="shared" si="63"/>
        <v>0</v>
      </c>
      <c r="AB246" s="34"/>
      <c r="AC246" s="40">
        <f t="shared" si="64"/>
        <v>-46100</v>
      </c>
      <c r="AD246" s="34">
        <f t="shared" si="65"/>
        <v>22660</v>
      </c>
      <c r="AE246" s="34">
        <f t="shared" si="66"/>
        <v>0</v>
      </c>
      <c r="AF246" s="36">
        <f t="shared" si="67"/>
        <v>-40</v>
      </c>
      <c r="AG246" s="41">
        <f t="shared" si="68"/>
        <v>0</v>
      </c>
      <c r="AH246" s="70">
        <f t="shared" si="69"/>
        <v>0</v>
      </c>
    </row>
    <row r="247" spans="2:34" x14ac:dyDescent="0.4">
      <c r="B247" s="38" t="s">
        <v>591</v>
      </c>
      <c r="C247" s="34">
        <v>1</v>
      </c>
      <c r="D247" s="34">
        <v>21415</v>
      </c>
      <c r="E247" s="37">
        <v>46108</v>
      </c>
      <c r="F247" s="34"/>
      <c r="G247" s="35"/>
      <c r="H247" s="34">
        <f t="shared" si="52"/>
        <v>40</v>
      </c>
      <c r="I247" s="34">
        <f t="shared" si="53"/>
        <v>0</v>
      </c>
      <c r="J247" s="39">
        <f t="shared" si="54"/>
        <v>0</v>
      </c>
      <c r="K247" s="34"/>
      <c r="L247" s="40">
        <f t="shared" si="55"/>
        <v>-46107</v>
      </c>
      <c r="M247" s="34">
        <f t="shared" si="56"/>
        <v>21415</v>
      </c>
      <c r="N247" s="34">
        <f t="shared" si="57"/>
        <v>0</v>
      </c>
      <c r="O247" s="36">
        <f t="shared" si="58"/>
        <v>-40</v>
      </c>
      <c r="P247" s="41">
        <f t="shared" si="59"/>
        <v>0</v>
      </c>
      <c r="Q247" s="70">
        <f t="shared" si="60"/>
        <v>0</v>
      </c>
      <c r="S247" s="38" t="s">
        <v>591</v>
      </c>
      <c r="T247" s="34">
        <v>1</v>
      </c>
      <c r="U247" s="34">
        <v>21415</v>
      </c>
      <c r="V247" s="37">
        <v>46108</v>
      </c>
      <c r="W247" s="34"/>
      <c r="X247" s="35"/>
      <c r="Y247" s="34">
        <f t="shared" si="61"/>
        <v>40</v>
      </c>
      <c r="Z247" s="34">
        <f t="shared" si="62"/>
        <v>0</v>
      </c>
      <c r="AA247" s="39">
        <f t="shared" si="63"/>
        <v>0</v>
      </c>
      <c r="AB247" s="34"/>
      <c r="AC247" s="40">
        <f t="shared" si="64"/>
        <v>-46107</v>
      </c>
      <c r="AD247" s="34">
        <f t="shared" si="65"/>
        <v>21415</v>
      </c>
      <c r="AE247" s="34">
        <f t="shared" si="66"/>
        <v>0</v>
      </c>
      <c r="AF247" s="36">
        <f t="shared" si="67"/>
        <v>-40</v>
      </c>
      <c r="AG247" s="41">
        <f t="shared" si="68"/>
        <v>0</v>
      </c>
      <c r="AH247" s="70">
        <f t="shared" si="69"/>
        <v>0</v>
      </c>
    </row>
    <row r="248" spans="2:34" x14ac:dyDescent="0.4">
      <c r="B248" s="38" t="s">
        <v>592</v>
      </c>
      <c r="C248" s="34">
        <v>1</v>
      </c>
      <c r="D248" s="34">
        <v>18140</v>
      </c>
      <c r="E248" s="37">
        <v>45755</v>
      </c>
      <c r="F248" s="34">
        <v>41500</v>
      </c>
      <c r="G248" s="35">
        <v>45957</v>
      </c>
      <c r="H248" s="34">
        <f t="shared" si="52"/>
        <v>30</v>
      </c>
      <c r="I248" s="34">
        <f t="shared" si="53"/>
        <v>70</v>
      </c>
      <c r="J248" s="39">
        <f t="shared" ref="J248:J276" si="70">N248*0.0015</f>
        <v>62.25</v>
      </c>
      <c r="K248" s="34"/>
      <c r="L248" s="40">
        <f t="shared" si="55"/>
        <v>203</v>
      </c>
      <c r="M248" s="34">
        <f t="shared" si="56"/>
        <v>18140</v>
      </c>
      <c r="N248" s="34">
        <f t="shared" si="57"/>
        <v>41500</v>
      </c>
      <c r="O248" s="36">
        <f t="shared" si="58"/>
        <v>-162.25</v>
      </c>
      <c r="P248" s="41">
        <f t="shared" si="59"/>
        <v>23197.75</v>
      </c>
      <c r="Q248" s="70">
        <f t="shared" si="60"/>
        <v>1.2788175303197353</v>
      </c>
      <c r="S248" s="38" t="s">
        <v>592</v>
      </c>
      <c r="T248" s="34">
        <v>1</v>
      </c>
      <c r="U248" s="34">
        <v>18140</v>
      </c>
      <c r="V248" s="37">
        <v>45755</v>
      </c>
      <c r="W248" s="34">
        <v>41500</v>
      </c>
      <c r="X248" s="35">
        <v>45957</v>
      </c>
      <c r="Y248" s="34">
        <f t="shared" si="61"/>
        <v>30</v>
      </c>
      <c r="Z248" s="34">
        <f t="shared" si="62"/>
        <v>70</v>
      </c>
      <c r="AA248" s="39">
        <f t="shared" ref="AA248:AA276" si="71">AE248*0.0015</f>
        <v>62.25</v>
      </c>
      <c r="AB248" s="34"/>
      <c r="AC248" s="40">
        <f t="shared" si="64"/>
        <v>203</v>
      </c>
      <c r="AD248" s="34">
        <f t="shared" si="65"/>
        <v>18140</v>
      </c>
      <c r="AE248" s="34">
        <f t="shared" si="66"/>
        <v>41500</v>
      </c>
      <c r="AF248" s="36">
        <f t="shared" si="67"/>
        <v>-162.25</v>
      </c>
      <c r="AG248" s="41">
        <f t="shared" si="68"/>
        <v>23197.75</v>
      </c>
      <c r="AH248" s="70">
        <f t="shared" si="69"/>
        <v>1.2788175303197353</v>
      </c>
    </row>
    <row r="249" spans="2:34" x14ac:dyDescent="0.4">
      <c r="B249" s="38" t="s">
        <v>592</v>
      </c>
      <c r="C249" s="34">
        <v>1</v>
      </c>
      <c r="D249" s="34">
        <v>19120</v>
      </c>
      <c r="E249" s="37">
        <v>45762</v>
      </c>
      <c r="F249" s="34">
        <v>41500</v>
      </c>
      <c r="G249" s="35">
        <v>45957</v>
      </c>
      <c r="H249" s="34">
        <f t="shared" si="52"/>
        <v>30</v>
      </c>
      <c r="I249" s="34">
        <f t="shared" si="53"/>
        <v>70</v>
      </c>
      <c r="J249" s="39">
        <f t="shared" si="70"/>
        <v>62.25</v>
      </c>
      <c r="K249" s="34"/>
      <c r="L249" s="40">
        <f t="shared" si="55"/>
        <v>196</v>
      </c>
      <c r="M249" s="34">
        <f t="shared" si="56"/>
        <v>19120</v>
      </c>
      <c r="N249" s="34">
        <f t="shared" si="57"/>
        <v>41500</v>
      </c>
      <c r="O249" s="36">
        <f t="shared" si="58"/>
        <v>-162.25</v>
      </c>
      <c r="P249" s="41">
        <f t="shared" si="59"/>
        <v>22217.75</v>
      </c>
      <c r="Q249" s="70">
        <f t="shared" si="60"/>
        <v>1.1620162133891214</v>
      </c>
      <c r="S249" s="38" t="s">
        <v>592</v>
      </c>
      <c r="T249" s="34">
        <v>1</v>
      </c>
      <c r="U249" s="34">
        <v>19120</v>
      </c>
      <c r="V249" s="37">
        <v>45762</v>
      </c>
      <c r="W249" s="34">
        <v>41500</v>
      </c>
      <c r="X249" s="35">
        <v>45957</v>
      </c>
      <c r="Y249" s="34">
        <f t="shared" si="61"/>
        <v>30</v>
      </c>
      <c r="Z249" s="34">
        <f t="shared" si="62"/>
        <v>70</v>
      </c>
      <c r="AA249" s="39">
        <f t="shared" si="71"/>
        <v>62.25</v>
      </c>
      <c r="AB249" s="34"/>
      <c r="AC249" s="40">
        <f t="shared" si="64"/>
        <v>196</v>
      </c>
      <c r="AD249" s="34">
        <f t="shared" si="65"/>
        <v>19120</v>
      </c>
      <c r="AE249" s="34">
        <f t="shared" si="66"/>
        <v>41500</v>
      </c>
      <c r="AF249" s="36">
        <f t="shared" si="67"/>
        <v>-162.25</v>
      </c>
      <c r="AG249" s="41">
        <f t="shared" si="68"/>
        <v>22217.75</v>
      </c>
      <c r="AH249" s="70">
        <f t="shared" si="69"/>
        <v>1.1620162133891214</v>
      </c>
    </row>
    <row r="250" spans="2:34" x14ac:dyDescent="0.4">
      <c r="B250" s="38" t="s">
        <v>592</v>
      </c>
      <c r="C250" s="34">
        <v>1</v>
      </c>
      <c r="D250" s="34">
        <v>19170</v>
      </c>
      <c r="E250" s="37">
        <v>45769</v>
      </c>
      <c r="F250" s="34">
        <v>41500</v>
      </c>
      <c r="G250" s="35">
        <v>45957</v>
      </c>
      <c r="H250" s="34">
        <f t="shared" si="52"/>
        <v>30</v>
      </c>
      <c r="I250" s="34">
        <f t="shared" si="53"/>
        <v>70</v>
      </c>
      <c r="J250" s="39">
        <f t="shared" si="70"/>
        <v>62.25</v>
      </c>
      <c r="K250" s="34"/>
      <c r="L250" s="40">
        <f t="shared" si="55"/>
        <v>189</v>
      </c>
      <c r="M250" s="34">
        <f t="shared" si="56"/>
        <v>19170</v>
      </c>
      <c r="N250" s="34">
        <f t="shared" si="57"/>
        <v>41500</v>
      </c>
      <c r="O250" s="36">
        <f t="shared" si="58"/>
        <v>-162.25</v>
      </c>
      <c r="P250" s="41">
        <f t="shared" si="59"/>
        <v>22167.75</v>
      </c>
      <c r="Q250" s="70">
        <f t="shared" si="60"/>
        <v>1.156377151799687</v>
      </c>
      <c r="S250" s="38" t="s">
        <v>592</v>
      </c>
      <c r="T250" s="34">
        <v>1</v>
      </c>
      <c r="U250" s="34">
        <v>19170</v>
      </c>
      <c r="V250" s="37">
        <v>45769</v>
      </c>
      <c r="W250" s="34">
        <v>41500</v>
      </c>
      <c r="X250" s="35">
        <v>45957</v>
      </c>
      <c r="Y250" s="34">
        <f t="shared" si="61"/>
        <v>30</v>
      </c>
      <c r="Z250" s="34">
        <f t="shared" si="62"/>
        <v>70</v>
      </c>
      <c r="AA250" s="39">
        <f t="shared" si="71"/>
        <v>62.25</v>
      </c>
      <c r="AB250" s="34"/>
      <c r="AC250" s="40">
        <f t="shared" si="64"/>
        <v>189</v>
      </c>
      <c r="AD250" s="34">
        <f t="shared" si="65"/>
        <v>19170</v>
      </c>
      <c r="AE250" s="34">
        <f t="shared" si="66"/>
        <v>41500</v>
      </c>
      <c r="AF250" s="36">
        <f t="shared" si="67"/>
        <v>-162.25</v>
      </c>
      <c r="AG250" s="41">
        <f t="shared" si="68"/>
        <v>22167.75</v>
      </c>
      <c r="AH250" s="70">
        <f t="shared" si="69"/>
        <v>1.156377151799687</v>
      </c>
    </row>
    <row r="251" spans="2:34" x14ac:dyDescent="0.4">
      <c r="B251" s="38" t="s">
        <v>592</v>
      </c>
      <c r="C251" s="34">
        <v>1</v>
      </c>
      <c r="D251" s="34">
        <v>20150</v>
      </c>
      <c r="E251" s="37">
        <v>45776</v>
      </c>
      <c r="F251" s="34">
        <v>41500</v>
      </c>
      <c r="G251" s="35">
        <v>45957</v>
      </c>
      <c r="H251" s="34">
        <f t="shared" si="52"/>
        <v>30</v>
      </c>
      <c r="I251" s="34">
        <f t="shared" si="53"/>
        <v>70</v>
      </c>
      <c r="J251" s="39">
        <f t="shared" si="70"/>
        <v>62.25</v>
      </c>
      <c r="K251" s="34"/>
      <c r="L251" s="40">
        <f t="shared" si="55"/>
        <v>182</v>
      </c>
      <c r="M251" s="34">
        <f t="shared" si="56"/>
        <v>20150</v>
      </c>
      <c r="N251" s="34">
        <f t="shared" si="57"/>
        <v>41500</v>
      </c>
      <c r="O251" s="36">
        <f t="shared" si="58"/>
        <v>-162.25</v>
      </c>
      <c r="P251" s="41">
        <f t="shared" si="59"/>
        <v>21187.75</v>
      </c>
      <c r="Q251" s="70">
        <f t="shared" si="60"/>
        <v>1.051501240694789</v>
      </c>
      <c r="S251" s="38" t="s">
        <v>592</v>
      </c>
      <c r="T251" s="34">
        <v>1</v>
      </c>
      <c r="U251" s="34">
        <v>20150</v>
      </c>
      <c r="V251" s="37">
        <v>45776</v>
      </c>
      <c r="W251" s="34">
        <v>41500</v>
      </c>
      <c r="X251" s="35">
        <v>45957</v>
      </c>
      <c r="Y251" s="34">
        <f t="shared" si="61"/>
        <v>30</v>
      </c>
      <c r="Z251" s="34">
        <f t="shared" si="62"/>
        <v>70</v>
      </c>
      <c r="AA251" s="39">
        <f t="shared" si="71"/>
        <v>62.25</v>
      </c>
      <c r="AB251" s="34"/>
      <c r="AC251" s="40">
        <f t="shared" si="64"/>
        <v>182</v>
      </c>
      <c r="AD251" s="34">
        <f t="shared" si="65"/>
        <v>20150</v>
      </c>
      <c r="AE251" s="34">
        <f t="shared" si="66"/>
        <v>41500</v>
      </c>
      <c r="AF251" s="36">
        <f t="shared" si="67"/>
        <v>-162.25</v>
      </c>
      <c r="AG251" s="41">
        <f t="shared" si="68"/>
        <v>21187.75</v>
      </c>
      <c r="AH251" s="70">
        <f t="shared" si="69"/>
        <v>1.051501240694789</v>
      </c>
    </row>
    <row r="252" spans="2:34" x14ac:dyDescent="0.4">
      <c r="B252" s="38" t="s">
        <v>592</v>
      </c>
      <c r="C252" s="34">
        <v>1</v>
      </c>
      <c r="D252" s="34">
        <v>22000</v>
      </c>
      <c r="E252" s="37">
        <v>45784</v>
      </c>
      <c r="F252" s="34">
        <v>41500</v>
      </c>
      <c r="G252" s="35">
        <v>45957</v>
      </c>
      <c r="H252" s="34">
        <f t="shared" si="52"/>
        <v>40</v>
      </c>
      <c r="I252" s="34">
        <f t="shared" si="53"/>
        <v>70</v>
      </c>
      <c r="J252" s="39">
        <f t="shared" si="70"/>
        <v>62.25</v>
      </c>
      <c r="K252" s="34"/>
      <c r="L252" s="40">
        <f t="shared" si="55"/>
        <v>174</v>
      </c>
      <c r="M252" s="34">
        <f t="shared" si="56"/>
        <v>22000</v>
      </c>
      <c r="N252" s="34">
        <f t="shared" si="57"/>
        <v>41500</v>
      </c>
      <c r="O252" s="36">
        <f t="shared" si="58"/>
        <v>-172.25</v>
      </c>
      <c r="P252" s="41">
        <f t="shared" si="59"/>
        <v>19327.75</v>
      </c>
      <c r="Q252" s="70">
        <f t="shared" si="60"/>
        <v>0.87853409090909096</v>
      </c>
      <c r="S252" s="38" t="s">
        <v>592</v>
      </c>
      <c r="T252" s="34">
        <v>1</v>
      </c>
      <c r="U252" s="34">
        <v>22000</v>
      </c>
      <c r="V252" s="37">
        <v>45784</v>
      </c>
      <c r="W252" s="34">
        <v>41500</v>
      </c>
      <c r="X252" s="35">
        <v>45957</v>
      </c>
      <c r="Y252" s="34">
        <f t="shared" si="61"/>
        <v>40</v>
      </c>
      <c r="Z252" s="34">
        <f t="shared" si="62"/>
        <v>70</v>
      </c>
      <c r="AA252" s="39">
        <f t="shared" si="71"/>
        <v>62.25</v>
      </c>
      <c r="AB252" s="34"/>
      <c r="AC252" s="40">
        <f t="shared" si="64"/>
        <v>174</v>
      </c>
      <c r="AD252" s="34">
        <f t="shared" si="65"/>
        <v>22000</v>
      </c>
      <c r="AE252" s="34">
        <f t="shared" si="66"/>
        <v>41500</v>
      </c>
      <c r="AF252" s="36">
        <f t="shared" si="67"/>
        <v>-172.25</v>
      </c>
      <c r="AG252" s="41">
        <f t="shared" si="68"/>
        <v>19327.75</v>
      </c>
      <c r="AH252" s="70">
        <f t="shared" si="69"/>
        <v>0.87853409090909096</v>
      </c>
    </row>
    <row r="253" spans="2:34" x14ac:dyDescent="0.4">
      <c r="B253" s="38" t="s">
        <v>592</v>
      </c>
      <c r="C253" s="34">
        <v>1</v>
      </c>
      <c r="D253" s="34">
        <v>22400</v>
      </c>
      <c r="E253" s="37">
        <v>45790</v>
      </c>
      <c r="F253" s="34">
        <v>41500</v>
      </c>
      <c r="G253" s="35">
        <v>45957</v>
      </c>
      <c r="H253" s="34">
        <f t="shared" si="52"/>
        <v>40</v>
      </c>
      <c r="I253" s="34">
        <f t="shared" si="53"/>
        <v>70</v>
      </c>
      <c r="J253" s="39">
        <f t="shared" si="70"/>
        <v>62.25</v>
      </c>
      <c r="K253" s="34"/>
      <c r="L253" s="40">
        <f t="shared" si="55"/>
        <v>168</v>
      </c>
      <c r="M253" s="34">
        <f t="shared" si="56"/>
        <v>22400</v>
      </c>
      <c r="N253" s="34">
        <f t="shared" si="57"/>
        <v>41500</v>
      </c>
      <c r="O253" s="36">
        <f t="shared" si="58"/>
        <v>-172.25</v>
      </c>
      <c r="P253" s="41">
        <f t="shared" si="59"/>
        <v>18927.75</v>
      </c>
      <c r="Q253" s="70">
        <f t="shared" si="60"/>
        <v>0.84498883928571433</v>
      </c>
      <c r="S253" s="38" t="s">
        <v>592</v>
      </c>
      <c r="T253" s="34">
        <v>1</v>
      </c>
      <c r="U253" s="34">
        <v>22400</v>
      </c>
      <c r="V253" s="37">
        <v>45790</v>
      </c>
      <c r="W253" s="34">
        <v>41500</v>
      </c>
      <c r="X253" s="35">
        <v>45957</v>
      </c>
      <c r="Y253" s="34">
        <f t="shared" si="61"/>
        <v>40</v>
      </c>
      <c r="Z253" s="34">
        <f t="shared" si="62"/>
        <v>70</v>
      </c>
      <c r="AA253" s="39">
        <f t="shared" si="71"/>
        <v>62.25</v>
      </c>
      <c r="AB253" s="34"/>
      <c r="AC253" s="40">
        <f t="shared" si="64"/>
        <v>168</v>
      </c>
      <c r="AD253" s="34">
        <f t="shared" si="65"/>
        <v>22400</v>
      </c>
      <c r="AE253" s="34">
        <f t="shared" si="66"/>
        <v>41500</v>
      </c>
      <c r="AF253" s="36">
        <f t="shared" si="67"/>
        <v>-172.25</v>
      </c>
      <c r="AG253" s="41">
        <f t="shared" si="68"/>
        <v>18927.75</v>
      </c>
      <c r="AH253" s="70">
        <f t="shared" si="69"/>
        <v>0.84498883928571433</v>
      </c>
    </row>
    <row r="254" spans="2:34" x14ac:dyDescent="0.4">
      <c r="B254" s="38" t="s">
        <v>592</v>
      </c>
      <c r="C254" s="34">
        <v>1</v>
      </c>
      <c r="D254" s="34">
        <v>22900</v>
      </c>
      <c r="E254" s="37">
        <v>45797</v>
      </c>
      <c r="F254" s="34">
        <v>41500</v>
      </c>
      <c r="G254" s="35">
        <v>45957</v>
      </c>
      <c r="H254" s="34">
        <f t="shared" si="52"/>
        <v>40</v>
      </c>
      <c r="I254" s="34">
        <f t="shared" si="53"/>
        <v>70</v>
      </c>
      <c r="J254" s="39">
        <f t="shared" si="70"/>
        <v>62.25</v>
      </c>
      <c r="K254" s="34"/>
      <c r="L254" s="40">
        <f t="shared" si="55"/>
        <v>161</v>
      </c>
      <c r="M254" s="34">
        <f t="shared" si="56"/>
        <v>22900</v>
      </c>
      <c r="N254" s="34">
        <f t="shared" si="57"/>
        <v>41500</v>
      </c>
      <c r="O254" s="36">
        <f t="shared" si="58"/>
        <v>-172.25</v>
      </c>
      <c r="P254" s="41">
        <f t="shared" si="59"/>
        <v>18427.75</v>
      </c>
      <c r="Q254" s="70">
        <f t="shared" si="60"/>
        <v>0.80470524017467249</v>
      </c>
      <c r="S254" s="38" t="s">
        <v>592</v>
      </c>
      <c r="T254" s="34">
        <v>1</v>
      </c>
      <c r="U254" s="34">
        <v>22900</v>
      </c>
      <c r="V254" s="37">
        <v>45797</v>
      </c>
      <c r="W254" s="34">
        <v>41500</v>
      </c>
      <c r="X254" s="35">
        <v>45957</v>
      </c>
      <c r="Y254" s="34">
        <f t="shared" si="61"/>
        <v>40</v>
      </c>
      <c r="Z254" s="34">
        <f t="shared" si="62"/>
        <v>70</v>
      </c>
      <c r="AA254" s="39">
        <f t="shared" si="71"/>
        <v>62.25</v>
      </c>
      <c r="AB254" s="34"/>
      <c r="AC254" s="40">
        <f t="shared" si="64"/>
        <v>161</v>
      </c>
      <c r="AD254" s="34">
        <f t="shared" si="65"/>
        <v>22900</v>
      </c>
      <c r="AE254" s="34">
        <f t="shared" si="66"/>
        <v>41500</v>
      </c>
      <c r="AF254" s="36">
        <f t="shared" si="67"/>
        <v>-172.25</v>
      </c>
      <c r="AG254" s="41">
        <f t="shared" si="68"/>
        <v>18427.75</v>
      </c>
      <c r="AH254" s="70">
        <f t="shared" si="69"/>
        <v>0.80470524017467249</v>
      </c>
    </row>
    <row r="255" spans="2:34" x14ac:dyDescent="0.4">
      <c r="B255" s="38" t="s">
        <v>592</v>
      </c>
      <c r="C255" s="34">
        <v>1</v>
      </c>
      <c r="D255" s="34">
        <v>23500</v>
      </c>
      <c r="E255" s="37">
        <v>45804</v>
      </c>
      <c r="F255" s="34">
        <v>41500</v>
      </c>
      <c r="G255" s="35">
        <v>45957</v>
      </c>
      <c r="H255" s="34">
        <f t="shared" si="52"/>
        <v>40</v>
      </c>
      <c r="I255" s="34">
        <f t="shared" si="53"/>
        <v>70</v>
      </c>
      <c r="J255" s="39">
        <f t="shared" si="70"/>
        <v>62.25</v>
      </c>
      <c r="K255" s="34"/>
      <c r="L255" s="40">
        <f t="shared" si="55"/>
        <v>154</v>
      </c>
      <c r="M255" s="34">
        <f t="shared" si="56"/>
        <v>23500</v>
      </c>
      <c r="N255" s="34">
        <f t="shared" si="57"/>
        <v>41500</v>
      </c>
      <c r="O255" s="36">
        <f t="shared" si="58"/>
        <v>-172.25</v>
      </c>
      <c r="P255" s="41">
        <f t="shared" si="59"/>
        <v>17827.75</v>
      </c>
      <c r="Q255" s="70">
        <f t="shared" si="60"/>
        <v>0.75862765957446809</v>
      </c>
      <c r="S255" s="38" t="s">
        <v>592</v>
      </c>
      <c r="T255" s="34">
        <v>1</v>
      </c>
      <c r="U255" s="34">
        <v>23500</v>
      </c>
      <c r="V255" s="37">
        <v>45804</v>
      </c>
      <c r="W255" s="34">
        <v>41500</v>
      </c>
      <c r="X255" s="35">
        <v>45957</v>
      </c>
      <c r="Y255" s="34">
        <f t="shared" si="61"/>
        <v>40</v>
      </c>
      <c r="Z255" s="34">
        <f t="shared" si="62"/>
        <v>70</v>
      </c>
      <c r="AA255" s="39">
        <f t="shared" si="71"/>
        <v>62.25</v>
      </c>
      <c r="AB255" s="34"/>
      <c r="AC255" s="40">
        <f t="shared" si="64"/>
        <v>154</v>
      </c>
      <c r="AD255" s="34">
        <f t="shared" si="65"/>
        <v>23500</v>
      </c>
      <c r="AE255" s="34">
        <f t="shared" si="66"/>
        <v>41500</v>
      </c>
      <c r="AF255" s="36">
        <f t="shared" si="67"/>
        <v>-172.25</v>
      </c>
      <c r="AG255" s="41">
        <f t="shared" si="68"/>
        <v>17827.75</v>
      </c>
      <c r="AH255" s="70">
        <f t="shared" si="69"/>
        <v>0.75862765957446809</v>
      </c>
    </row>
    <row r="256" spans="2:34" x14ac:dyDescent="0.4">
      <c r="B256" s="38" t="s">
        <v>592</v>
      </c>
      <c r="C256" s="34">
        <v>1</v>
      </c>
      <c r="D256" s="34">
        <v>31300</v>
      </c>
      <c r="E256" s="37">
        <v>45812</v>
      </c>
      <c r="F256" s="34">
        <v>41500</v>
      </c>
      <c r="G256" s="35">
        <v>45957</v>
      </c>
      <c r="H256" s="34">
        <f t="shared" si="52"/>
        <v>50</v>
      </c>
      <c r="I256" s="34">
        <f t="shared" si="53"/>
        <v>70</v>
      </c>
      <c r="J256" s="39">
        <f t="shared" si="70"/>
        <v>62.25</v>
      </c>
      <c r="K256" s="34"/>
      <c r="L256" s="40">
        <f t="shared" si="55"/>
        <v>146</v>
      </c>
      <c r="M256" s="34">
        <f t="shared" si="56"/>
        <v>31300</v>
      </c>
      <c r="N256" s="34">
        <f t="shared" si="57"/>
        <v>41500</v>
      </c>
      <c r="O256" s="36">
        <f t="shared" si="58"/>
        <v>-182.25</v>
      </c>
      <c r="P256" s="41">
        <f t="shared" si="59"/>
        <v>10017.75</v>
      </c>
      <c r="Q256" s="70">
        <f t="shared" si="60"/>
        <v>0.32005591054313098</v>
      </c>
      <c r="S256" s="38" t="s">
        <v>592</v>
      </c>
      <c r="T256" s="34">
        <v>1</v>
      </c>
      <c r="U256" s="34">
        <v>31300</v>
      </c>
      <c r="V256" s="37">
        <v>45812</v>
      </c>
      <c r="W256" s="34">
        <v>41500</v>
      </c>
      <c r="X256" s="35">
        <v>45957</v>
      </c>
      <c r="Y256" s="34">
        <f t="shared" si="61"/>
        <v>50</v>
      </c>
      <c r="Z256" s="34">
        <f t="shared" si="62"/>
        <v>70</v>
      </c>
      <c r="AA256" s="39">
        <f t="shared" si="71"/>
        <v>62.25</v>
      </c>
      <c r="AB256" s="34"/>
      <c r="AC256" s="40">
        <f t="shared" si="64"/>
        <v>146</v>
      </c>
      <c r="AD256" s="34">
        <f t="shared" si="65"/>
        <v>31300</v>
      </c>
      <c r="AE256" s="34">
        <f t="shared" si="66"/>
        <v>41500</v>
      </c>
      <c r="AF256" s="36">
        <f t="shared" si="67"/>
        <v>-182.25</v>
      </c>
      <c r="AG256" s="41">
        <f t="shared" si="68"/>
        <v>10017.75</v>
      </c>
      <c r="AH256" s="70">
        <f t="shared" si="69"/>
        <v>0.32005591054313098</v>
      </c>
    </row>
    <row r="257" spans="2:34" x14ac:dyDescent="0.4">
      <c r="B257" s="38" t="s">
        <v>592</v>
      </c>
      <c r="C257" s="34">
        <v>1</v>
      </c>
      <c r="D257" s="34">
        <v>38100</v>
      </c>
      <c r="E257" s="37">
        <v>45818</v>
      </c>
      <c r="F257" s="34">
        <v>41500</v>
      </c>
      <c r="G257" s="35">
        <v>45957</v>
      </c>
      <c r="H257" s="34">
        <f t="shared" si="52"/>
        <v>70</v>
      </c>
      <c r="I257" s="34">
        <f t="shared" si="53"/>
        <v>70</v>
      </c>
      <c r="J257" s="39">
        <f t="shared" si="70"/>
        <v>62.25</v>
      </c>
      <c r="K257" s="34"/>
      <c r="L257" s="40">
        <f t="shared" si="55"/>
        <v>140</v>
      </c>
      <c r="M257" s="34">
        <f t="shared" si="56"/>
        <v>38100</v>
      </c>
      <c r="N257" s="34">
        <f t="shared" si="57"/>
        <v>41500</v>
      </c>
      <c r="O257" s="36">
        <f t="shared" si="58"/>
        <v>-202.25</v>
      </c>
      <c r="P257" s="41">
        <f t="shared" si="59"/>
        <v>3197.75</v>
      </c>
      <c r="Q257" s="70">
        <f t="shared" si="60"/>
        <v>8.3930446194225725E-2</v>
      </c>
      <c r="S257" s="38" t="s">
        <v>592</v>
      </c>
      <c r="T257" s="34">
        <v>1</v>
      </c>
      <c r="U257" s="34">
        <v>38100</v>
      </c>
      <c r="V257" s="37">
        <v>45818</v>
      </c>
      <c r="W257" s="34">
        <v>41500</v>
      </c>
      <c r="X257" s="35">
        <v>45957</v>
      </c>
      <c r="Y257" s="34">
        <f t="shared" si="61"/>
        <v>70</v>
      </c>
      <c r="Z257" s="34">
        <f t="shared" si="62"/>
        <v>70</v>
      </c>
      <c r="AA257" s="39">
        <f t="shared" si="71"/>
        <v>62.25</v>
      </c>
      <c r="AB257" s="34"/>
      <c r="AC257" s="40">
        <f t="shared" si="64"/>
        <v>140</v>
      </c>
      <c r="AD257" s="34">
        <f t="shared" si="65"/>
        <v>38100</v>
      </c>
      <c r="AE257" s="34">
        <f t="shared" si="66"/>
        <v>41500</v>
      </c>
      <c r="AF257" s="36">
        <f t="shared" si="67"/>
        <v>-202.25</v>
      </c>
      <c r="AG257" s="41">
        <f t="shared" si="68"/>
        <v>3197.75</v>
      </c>
      <c r="AH257" s="70">
        <f t="shared" si="69"/>
        <v>8.3930446194225725E-2</v>
      </c>
    </row>
    <row r="258" spans="2:34" x14ac:dyDescent="0.4">
      <c r="B258" s="38" t="s">
        <v>592</v>
      </c>
      <c r="C258" s="34">
        <v>1</v>
      </c>
      <c r="D258" s="34">
        <v>42600</v>
      </c>
      <c r="E258" s="37">
        <v>45825</v>
      </c>
      <c r="F258" s="34">
        <v>41500</v>
      </c>
      <c r="G258" s="35">
        <v>45957</v>
      </c>
      <c r="H258" s="34">
        <f t="shared" si="52"/>
        <v>80</v>
      </c>
      <c r="I258" s="34">
        <f t="shared" si="53"/>
        <v>70</v>
      </c>
      <c r="J258" s="39">
        <f t="shared" si="70"/>
        <v>62.25</v>
      </c>
      <c r="K258" s="34"/>
      <c r="L258" s="40">
        <f t="shared" si="55"/>
        <v>133</v>
      </c>
      <c r="M258" s="34">
        <f t="shared" si="56"/>
        <v>42600</v>
      </c>
      <c r="N258" s="34">
        <f t="shared" si="57"/>
        <v>41500</v>
      </c>
      <c r="O258" s="36">
        <f t="shared" si="58"/>
        <v>-212.25</v>
      </c>
      <c r="P258" s="41">
        <f t="shared" si="59"/>
        <v>-1312.25</v>
      </c>
      <c r="Q258" s="70">
        <f t="shared" si="60"/>
        <v>-3.0803990610328638E-2</v>
      </c>
      <c r="S258" s="38" t="s">
        <v>592</v>
      </c>
      <c r="T258" s="34">
        <v>1</v>
      </c>
      <c r="U258" s="34">
        <v>42600</v>
      </c>
      <c r="V258" s="37">
        <v>45825</v>
      </c>
      <c r="W258" s="34">
        <v>41500</v>
      </c>
      <c r="X258" s="35">
        <v>45957</v>
      </c>
      <c r="Y258" s="34">
        <f t="shared" si="61"/>
        <v>80</v>
      </c>
      <c r="Z258" s="34">
        <f t="shared" si="62"/>
        <v>70</v>
      </c>
      <c r="AA258" s="39">
        <f t="shared" si="71"/>
        <v>62.25</v>
      </c>
      <c r="AB258" s="34"/>
      <c r="AC258" s="40">
        <f t="shared" si="64"/>
        <v>133</v>
      </c>
      <c r="AD258" s="34">
        <f t="shared" si="65"/>
        <v>42600</v>
      </c>
      <c r="AE258" s="34">
        <f t="shared" si="66"/>
        <v>41500</v>
      </c>
      <c r="AF258" s="36">
        <f t="shared" si="67"/>
        <v>-212.25</v>
      </c>
      <c r="AG258" s="41">
        <f t="shared" si="68"/>
        <v>-1312.25</v>
      </c>
      <c r="AH258" s="70">
        <f t="shared" si="69"/>
        <v>-3.0803990610328638E-2</v>
      </c>
    </row>
    <row r="259" spans="2:34" x14ac:dyDescent="0.4">
      <c r="B259" s="38" t="s">
        <v>592</v>
      </c>
      <c r="C259" s="34">
        <v>1</v>
      </c>
      <c r="D259" s="34">
        <v>39850</v>
      </c>
      <c r="E259" s="37">
        <v>45832</v>
      </c>
      <c r="F259" s="34">
        <v>41500</v>
      </c>
      <c r="G259" s="35">
        <v>45957</v>
      </c>
      <c r="H259" s="34">
        <f t="shared" si="52"/>
        <v>70</v>
      </c>
      <c r="I259" s="34">
        <f t="shared" si="53"/>
        <v>70</v>
      </c>
      <c r="J259" s="39">
        <f t="shared" si="70"/>
        <v>62.25</v>
      </c>
      <c r="K259" s="34"/>
      <c r="L259" s="40">
        <f t="shared" si="55"/>
        <v>126</v>
      </c>
      <c r="M259" s="34">
        <f t="shared" si="56"/>
        <v>39850</v>
      </c>
      <c r="N259" s="34">
        <f t="shared" si="57"/>
        <v>41500</v>
      </c>
      <c r="O259" s="36">
        <f t="shared" si="58"/>
        <v>-202.25</v>
      </c>
      <c r="P259" s="41">
        <f t="shared" si="59"/>
        <v>1447.75</v>
      </c>
      <c r="Q259" s="70">
        <f t="shared" si="60"/>
        <v>3.6329987452948555E-2</v>
      </c>
      <c r="S259" s="38" t="s">
        <v>592</v>
      </c>
      <c r="T259" s="34">
        <v>1</v>
      </c>
      <c r="U259" s="34">
        <v>39850</v>
      </c>
      <c r="V259" s="37">
        <v>45832</v>
      </c>
      <c r="W259" s="34">
        <v>41500</v>
      </c>
      <c r="X259" s="35">
        <v>45957</v>
      </c>
      <c r="Y259" s="34">
        <f t="shared" si="61"/>
        <v>70</v>
      </c>
      <c r="Z259" s="34">
        <f t="shared" si="62"/>
        <v>70</v>
      </c>
      <c r="AA259" s="39">
        <f t="shared" si="71"/>
        <v>62.25</v>
      </c>
      <c r="AB259" s="34"/>
      <c r="AC259" s="40">
        <f t="shared" si="64"/>
        <v>126</v>
      </c>
      <c r="AD259" s="34">
        <f t="shared" si="65"/>
        <v>39850</v>
      </c>
      <c r="AE259" s="34">
        <f t="shared" si="66"/>
        <v>41500</v>
      </c>
      <c r="AF259" s="36">
        <f t="shared" si="67"/>
        <v>-202.25</v>
      </c>
      <c r="AG259" s="41">
        <f t="shared" si="68"/>
        <v>1447.75</v>
      </c>
      <c r="AH259" s="70">
        <f t="shared" si="69"/>
        <v>3.6329987452948555E-2</v>
      </c>
    </row>
    <row r="260" spans="2:34" x14ac:dyDescent="0.4">
      <c r="B260" s="38" t="s">
        <v>592</v>
      </c>
      <c r="C260" s="34">
        <v>1</v>
      </c>
      <c r="D260" s="34">
        <v>41300</v>
      </c>
      <c r="E260" s="37">
        <v>45839</v>
      </c>
      <c r="F260" s="34">
        <v>41500</v>
      </c>
      <c r="G260" s="35">
        <v>45957</v>
      </c>
      <c r="H260" s="34">
        <f t="shared" si="52"/>
        <v>70</v>
      </c>
      <c r="I260" s="34">
        <f t="shared" si="53"/>
        <v>70</v>
      </c>
      <c r="J260" s="39">
        <f t="shared" si="70"/>
        <v>62.25</v>
      </c>
      <c r="K260" s="34"/>
      <c r="L260" s="40">
        <f t="shared" si="55"/>
        <v>119</v>
      </c>
      <c r="M260" s="34">
        <f t="shared" si="56"/>
        <v>41300</v>
      </c>
      <c r="N260" s="34">
        <f t="shared" si="57"/>
        <v>41500</v>
      </c>
      <c r="O260" s="36">
        <f t="shared" si="58"/>
        <v>-202.25</v>
      </c>
      <c r="P260" s="41">
        <f t="shared" si="59"/>
        <v>-2.25</v>
      </c>
      <c r="Q260" s="70">
        <f t="shared" si="60"/>
        <v>-5.4479418886198546E-5</v>
      </c>
      <c r="S260" s="38" t="s">
        <v>592</v>
      </c>
      <c r="T260" s="34">
        <v>1</v>
      </c>
      <c r="U260" s="34">
        <v>41300</v>
      </c>
      <c r="V260" s="37">
        <v>45839</v>
      </c>
      <c r="W260" s="34">
        <v>41500</v>
      </c>
      <c r="X260" s="35">
        <v>45957</v>
      </c>
      <c r="Y260" s="34">
        <f t="shared" si="61"/>
        <v>70</v>
      </c>
      <c r="Z260" s="34">
        <f t="shared" si="62"/>
        <v>70</v>
      </c>
      <c r="AA260" s="39">
        <f t="shared" si="71"/>
        <v>62.25</v>
      </c>
      <c r="AB260" s="34"/>
      <c r="AC260" s="40">
        <f t="shared" si="64"/>
        <v>119</v>
      </c>
      <c r="AD260" s="34">
        <f t="shared" si="65"/>
        <v>41300</v>
      </c>
      <c r="AE260" s="34">
        <f t="shared" si="66"/>
        <v>41500</v>
      </c>
      <c r="AF260" s="36">
        <f t="shared" si="67"/>
        <v>-202.25</v>
      </c>
      <c r="AG260" s="41">
        <f t="shared" si="68"/>
        <v>-2.25</v>
      </c>
      <c r="AH260" s="70">
        <f t="shared" si="69"/>
        <v>-5.4479418886198546E-5</v>
      </c>
    </row>
    <row r="261" spans="2:34" x14ac:dyDescent="0.4">
      <c r="B261" s="38" t="s">
        <v>592</v>
      </c>
      <c r="C261" s="34">
        <v>1</v>
      </c>
      <c r="D261" s="34">
        <v>35700</v>
      </c>
      <c r="E261" s="37">
        <v>45846</v>
      </c>
      <c r="F261" s="34">
        <v>41500</v>
      </c>
      <c r="G261" s="35">
        <v>45957</v>
      </c>
      <c r="H261" s="34">
        <f t="shared" si="52"/>
        <v>60</v>
      </c>
      <c r="I261" s="34">
        <f t="shared" si="53"/>
        <v>70</v>
      </c>
      <c r="J261" s="39">
        <f t="shared" si="70"/>
        <v>62.25</v>
      </c>
      <c r="K261" s="34"/>
      <c r="L261" s="40">
        <f t="shared" si="55"/>
        <v>112</v>
      </c>
      <c r="M261" s="34">
        <f t="shared" si="56"/>
        <v>35700</v>
      </c>
      <c r="N261" s="34">
        <f t="shared" si="57"/>
        <v>41500</v>
      </c>
      <c r="O261" s="36">
        <f t="shared" si="58"/>
        <v>-192.25</v>
      </c>
      <c r="P261" s="41">
        <f t="shared" si="59"/>
        <v>5607.75</v>
      </c>
      <c r="Q261" s="70">
        <f t="shared" si="60"/>
        <v>0.15707983193277311</v>
      </c>
      <c r="S261" s="38" t="s">
        <v>592</v>
      </c>
      <c r="T261" s="34">
        <v>1</v>
      </c>
      <c r="U261" s="34">
        <v>35700</v>
      </c>
      <c r="V261" s="37">
        <v>45846</v>
      </c>
      <c r="W261" s="34">
        <v>41500</v>
      </c>
      <c r="X261" s="35">
        <v>45957</v>
      </c>
      <c r="Y261" s="34">
        <f t="shared" si="61"/>
        <v>60</v>
      </c>
      <c r="Z261" s="34">
        <f t="shared" si="62"/>
        <v>70</v>
      </c>
      <c r="AA261" s="39">
        <f t="shared" si="71"/>
        <v>62.25</v>
      </c>
      <c r="AB261" s="34"/>
      <c r="AC261" s="40">
        <f t="shared" si="64"/>
        <v>112</v>
      </c>
      <c r="AD261" s="34">
        <f t="shared" si="65"/>
        <v>35700</v>
      </c>
      <c r="AE261" s="34">
        <f t="shared" si="66"/>
        <v>41500</v>
      </c>
      <c r="AF261" s="36">
        <f t="shared" si="67"/>
        <v>-192.25</v>
      </c>
      <c r="AG261" s="41">
        <f t="shared" si="68"/>
        <v>5607.75</v>
      </c>
      <c r="AH261" s="70">
        <f t="shared" si="69"/>
        <v>0.15707983193277311</v>
      </c>
    </row>
    <row r="262" spans="2:34" x14ac:dyDescent="0.4">
      <c r="B262" s="38" t="s">
        <v>592</v>
      </c>
      <c r="C262" s="34">
        <v>1</v>
      </c>
      <c r="D262" s="34">
        <v>40600</v>
      </c>
      <c r="E262" s="37">
        <v>45853</v>
      </c>
      <c r="F262" s="34">
        <v>41500</v>
      </c>
      <c r="G262" s="35">
        <v>45957</v>
      </c>
      <c r="H262" s="34">
        <f t="shared" si="52"/>
        <v>70</v>
      </c>
      <c r="I262" s="34">
        <f t="shared" si="53"/>
        <v>70</v>
      </c>
      <c r="J262" s="39">
        <f t="shared" si="70"/>
        <v>62.25</v>
      </c>
      <c r="K262" s="34"/>
      <c r="L262" s="40">
        <f t="shared" si="55"/>
        <v>105</v>
      </c>
      <c r="M262" s="34">
        <f t="shared" si="56"/>
        <v>40600</v>
      </c>
      <c r="N262" s="34">
        <f t="shared" si="57"/>
        <v>41500</v>
      </c>
      <c r="O262" s="36">
        <f t="shared" si="58"/>
        <v>-202.25</v>
      </c>
      <c r="P262" s="41">
        <f t="shared" si="59"/>
        <v>697.75</v>
      </c>
      <c r="Q262" s="70">
        <f t="shared" si="60"/>
        <v>1.7185960591133004E-2</v>
      </c>
      <c r="S262" s="38" t="s">
        <v>592</v>
      </c>
      <c r="T262" s="34">
        <v>1</v>
      </c>
      <c r="U262" s="34">
        <v>40600</v>
      </c>
      <c r="V262" s="37">
        <v>45853</v>
      </c>
      <c r="W262" s="34">
        <v>41500</v>
      </c>
      <c r="X262" s="35">
        <v>45957</v>
      </c>
      <c r="Y262" s="34">
        <f t="shared" si="61"/>
        <v>70</v>
      </c>
      <c r="Z262" s="34">
        <f t="shared" si="62"/>
        <v>70</v>
      </c>
      <c r="AA262" s="39">
        <f t="shared" si="71"/>
        <v>62.25</v>
      </c>
      <c r="AB262" s="34"/>
      <c r="AC262" s="40">
        <f t="shared" si="64"/>
        <v>105</v>
      </c>
      <c r="AD262" s="34">
        <f t="shared" si="65"/>
        <v>40600</v>
      </c>
      <c r="AE262" s="34">
        <f t="shared" si="66"/>
        <v>41500</v>
      </c>
      <c r="AF262" s="36">
        <f t="shared" si="67"/>
        <v>-202.25</v>
      </c>
      <c r="AG262" s="41">
        <f t="shared" si="68"/>
        <v>697.75</v>
      </c>
      <c r="AH262" s="70">
        <f t="shared" si="69"/>
        <v>1.7185960591133004E-2</v>
      </c>
    </row>
    <row r="263" spans="2:34" x14ac:dyDescent="0.4">
      <c r="B263" s="38" t="s">
        <v>592</v>
      </c>
      <c r="C263" s="34">
        <v>1</v>
      </c>
      <c r="D263" s="34">
        <v>39450</v>
      </c>
      <c r="E263" s="37">
        <v>45860</v>
      </c>
      <c r="F263" s="34">
        <v>41500</v>
      </c>
      <c r="G263" s="35">
        <v>45957</v>
      </c>
      <c r="H263" s="34">
        <f t="shared" si="52"/>
        <v>70</v>
      </c>
      <c r="I263" s="34">
        <f t="shared" si="53"/>
        <v>70</v>
      </c>
      <c r="J263" s="39">
        <f t="shared" si="70"/>
        <v>62.25</v>
      </c>
      <c r="K263" s="34"/>
      <c r="L263" s="40">
        <f t="shared" si="55"/>
        <v>98</v>
      </c>
      <c r="M263" s="34">
        <f t="shared" si="56"/>
        <v>39450</v>
      </c>
      <c r="N263" s="34">
        <f t="shared" si="57"/>
        <v>41500</v>
      </c>
      <c r="O263" s="36">
        <f t="shared" si="58"/>
        <v>-202.25</v>
      </c>
      <c r="P263" s="41">
        <f t="shared" si="59"/>
        <v>1847.75</v>
      </c>
      <c r="Q263" s="70">
        <f t="shared" si="60"/>
        <v>4.6837769328263626E-2</v>
      </c>
      <c r="S263" s="38" t="s">
        <v>592</v>
      </c>
      <c r="T263" s="34">
        <v>1</v>
      </c>
      <c r="U263" s="34">
        <v>39450</v>
      </c>
      <c r="V263" s="37">
        <v>45860</v>
      </c>
      <c r="W263" s="34">
        <v>41500</v>
      </c>
      <c r="X263" s="35">
        <v>45957</v>
      </c>
      <c r="Y263" s="34">
        <f t="shared" si="61"/>
        <v>70</v>
      </c>
      <c r="Z263" s="34">
        <f t="shared" si="62"/>
        <v>70</v>
      </c>
      <c r="AA263" s="39">
        <f t="shared" si="71"/>
        <v>62.25</v>
      </c>
      <c r="AB263" s="34"/>
      <c r="AC263" s="40">
        <f t="shared" si="64"/>
        <v>98</v>
      </c>
      <c r="AD263" s="34">
        <f t="shared" si="65"/>
        <v>39450</v>
      </c>
      <c r="AE263" s="34">
        <f t="shared" si="66"/>
        <v>41500</v>
      </c>
      <c r="AF263" s="36">
        <f t="shared" si="67"/>
        <v>-202.25</v>
      </c>
      <c r="AG263" s="41">
        <f t="shared" si="68"/>
        <v>1847.75</v>
      </c>
      <c r="AH263" s="70">
        <f t="shared" si="69"/>
        <v>4.6837769328263626E-2</v>
      </c>
    </row>
    <row r="264" spans="2:34" x14ac:dyDescent="0.4">
      <c r="B264" s="38" t="s">
        <v>592</v>
      </c>
      <c r="C264" s="34">
        <v>1</v>
      </c>
      <c r="D264" s="34">
        <v>40000</v>
      </c>
      <c r="E264" s="37">
        <v>45867</v>
      </c>
      <c r="F264" s="34">
        <v>41500</v>
      </c>
      <c r="G264" s="35">
        <v>45957</v>
      </c>
      <c r="H264" s="34">
        <f t="shared" si="52"/>
        <v>70</v>
      </c>
      <c r="I264" s="34">
        <f t="shared" si="53"/>
        <v>70</v>
      </c>
      <c r="J264" s="39">
        <f t="shared" si="70"/>
        <v>62.25</v>
      </c>
      <c r="K264" s="34"/>
      <c r="L264" s="40">
        <f t="shared" si="55"/>
        <v>91</v>
      </c>
      <c r="M264" s="34">
        <f t="shared" si="56"/>
        <v>40000</v>
      </c>
      <c r="N264" s="34">
        <f t="shared" si="57"/>
        <v>41500</v>
      </c>
      <c r="O264" s="36">
        <f t="shared" si="58"/>
        <v>-202.25</v>
      </c>
      <c r="P264" s="41">
        <f t="shared" si="59"/>
        <v>1297.75</v>
      </c>
      <c r="Q264" s="70">
        <f t="shared" si="60"/>
        <v>3.244375E-2</v>
      </c>
      <c r="S264" s="38" t="s">
        <v>592</v>
      </c>
      <c r="T264" s="34">
        <v>1</v>
      </c>
      <c r="U264" s="34">
        <v>40000</v>
      </c>
      <c r="V264" s="37">
        <v>45867</v>
      </c>
      <c r="W264" s="34">
        <v>41500</v>
      </c>
      <c r="X264" s="35">
        <v>45957</v>
      </c>
      <c r="Y264" s="34">
        <f t="shared" si="61"/>
        <v>70</v>
      </c>
      <c r="Z264" s="34">
        <f t="shared" si="62"/>
        <v>70</v>
      </c>
      <c r="AA264" s="39">
        <f t="shared" si="71"/>
        <v>62.25</v>
      </c>
      <c r="AB264" s="34"/>
      <c r="AC264" s="40">
        <f t="shared" si="64"/>
        <v>91</v>
      </c>
      <c r="AD264" s="34">
        <f t="shared" si="65"/>
        <v>40000</v>
      </c>
      <c r="AE264" s="34">
        <f t="shared" si="66"/>
        <v>41500</v>
      </c>
      <c r="AF264" s="36">
        <f t="shared" si="67"/>
        <v>-202.25</v>
      </c>
      <c r="AG264" s="41">
        <f t="shared" si="68"/>
        <v>1297.75</v>
      </c>
      <c r="AH264" s="70">
        <f t="shared" si="69"/>
        <v>3.244375E-2</v>
      </c>
    </row>
    <row r="265" spans="2:34" x14ac:dyDescent="0.4">
      <c r="B265" s="38" t="s">
        <v>592</v>
      </c>
      <c r="C265" s="34">
        <v>1</v>
      </c>
      <c r="D265" s="34">
        <v>38900</v>
      </c>
      <c r="E265" s="37">
        <v>45874</v>
      </c>
      <c r="F265" s="34">
        <v>41500</v>
      </c>
      <c r="G265" s="35">
        <v>45957</v>
      </c>
      <c r="H265" s="34">
        <f t="shared" si="52"/>
        <v>70</v>
      </c>
      <c r="I265" s="34">
        <f t="shared" si="53"/>
        <v>70</v>
      </c>
      <c r="J265" s="39">
        <f t="shared" si="70"/>
        <v>62.25</v>
      </c>
      <c r="K265" s="34"/>
      <c r="L265" s="40">
        <f t="shared" si="55"/>
        <v>84</v>
      </c>
      <c r="M265" s="34">
        <f t="shared" si="56"/>
        <v>38900</v>
      </c>
      <c r="N265" s="34">
        <f t="shared" si="57"/>
        <v>41500</v>
      </c>
      <c r="O265" s="36">
        <f t="shared" si="58"/>
        <v>-202.25</v>
      </c>
      <c r="P265" s="41">
        <f t="shared" si="59"/>
        <v>2397.75</v>
      </c>
      <c r="Q265" s="70">
        <f t="shared" si="60"/>
        <v>6.1638817480719796E-2</v>
      </c>
      <c r="S265" s="38" t="s">
        <v>592</v>
      </c>
      <c r="T265" s="34">
        <v>1</v>
      </c>
      <c r="U265" s="34">
        <v>38900</v>
      </c>
      <c r="V265" s="37">
        <v>45874</v>
      </c>
      <c r="W265" s="34">
        <v>41500</v>
      </c>
      <c r="X265" s="35">
        <v>45957</v>
      </c>
      <c r="Y265" s="34">
        <f t="shared" si="61"/>
        <v>70</v>
      </c>
      <c r="Z265" s="34">
        <f t="shared" si="62"/>
        <v>70</v>
      </c>
      <c r="AA265" s="39">
        <f t="shared" si="71"/>
        <v>62.25</v>
      </c>
      <c r="AB265" s="34"/>
      <c r="AC265" s="40">
        <f t="shared" si="64"/>
        <v>84</v>
      </c>
      <c r="AD265" s="34">
        <f t="shared" si="65"/>
        <v>38900</v>
      </c>
      <c r="AE265" s="34">
        <f t="shared" si="66"/>
        <v>41500</v>
      </c>
      <c r="AF265" s="36">
        <f t="shared" si="67"/>
        <v>-202.25</v>
      </c>
      <c r="AG265" s="41">
        <f t="shared" si="68"/>
        <v>2397.75</v>
      </c>
      <c r="AH265" s="70">
        <f t="shared" si="69"/>
        <v>6.1638817480719796E-2</v>
      </c>
    </row>
    <row r="266" spans="2:34" x14ac:dyDescent="0.4">
      <c r="B266" s="38" t="s">
        <v>592</v>
      </c>
      <c r="C266" s="34">
        <v>1</v>
      </c>
      <c r="D266" s="34">
        <v>35800</v>
      </c>
      <c r="E266" s="37">
        <v>45881</v>
      </c>
      <c r="F266" s="34">
        <v>41500</v>
      </c>
      <c r="G266" s="35">
        <v>45957</v>
      </c>
      <c r="H266" s="34">
        <f t="shared" si="52"/>
        <v>60</v>
      </c>
      <c r="I266" s="34">
        <f t="shared" si="53"/>
        <v>70</v>
      </c>
      <c r="J266" s="39">
        <f t="shared" si="70"/>
        <v>62.25</v>
      </c>
      <c r="K266" s="34"/>
      <c r="L266" s="40">
        <f t="shared" si="55"/>
        <v>77</v>
      </c>
      <c r="M266" s="34">
        <f t="shared" si="56"/>
        <v>35800</v>
      </c>
      <c r="N266" s="34">
        <f t="shared" si="57"/>
        <v>41500</v>
      </c>
      <c r="O266" s="36">
        <f t="shared" si="58"/>
        <v>-192.25</v>
      </c>
      <c r="P266" s="41">
        <f t="shared" si="59"/>
        <v>5507.75</v>
      </c>
      <c r="Q266" s="70">
        <f t="shared" si="60"/>
        <v>0.1538477653631285</v>
      </c>
      <c r="S266" s="38" t="s">
        <v>592</v>
      </c>
      <c r="T266" s="34">
        <v>1</v>
      </c>
      <c r="U266" s="34">
        <v>35800</v>
      </c>
      <c r="V266" s="37">
        <v>45881</v>
      </c>
      <c r="W266" s="34">
        <v>41500</v>
      </c>
      <c r="X266" s="35">
        <v>45957</v>
      </c>
      <c r="Y266" s="34">
        <f t="shared" si="61"/>
        <v>60</v>
      </c>
      <c r="Z266" s="34">
        <f t="shared" si="62"/>
        <v>70</v>
      </c>
      <c r="AA266" s="39">
        <f t="shared" si="71"/>
        <v>62.25</v>
      </c>
      <c r="AB266" s="34"/>
      <c r="AC266" s="40">
        <f t="shared" si="64"/>
        <v>77</v>
      </c>
      <c r="AD266" s="34">
        <f t="shared" si="65"/>
        <v>35800</v>
      </c>
      <c r="AE266" s="34">
        <f t="shared" si="66"/>
        <v>41500</v>
      </c>
      <c r="AF266" s="36">
        <f t="shared" si="67"/>
        <v>-192.25</v>
      </c>
      <c r="AG266" s="41">
        <f t="shared" si="68"/>
        <v>5507.75</v>
      </c>
      <c r="AH266" s="70">
        <f t="shared" si="69"/>
        <v>0.1538477653631285</v>
      </c>
    </row>
    <row r="267" spans="2:34" x14ac:dyDescent="0.4">
      <c r="B267" s="38" t="s">
        <v>592</v>
      </c>
      <c r="C267" s="34">
        <v>1</v>
      </c>
      <c r="D267" s="34">
        <v>35550</v>
      </c>
      <c r="E267" s="37">
        <v>45888</v>
      </c>
      <c r="F267" s="34">
        <v>41500</v>
      </c>
      <c r="G267" s="35">
        <v>45957</v>
      </c>
      <c r="H267" s="34">
        <f t="shared" si="52"/>
        <v>60</v>
      </c>
      <c r="I267" s="34">
        <f t="shared" si="53"/>
        <v>70</v>
      </c>
      <c r="J267" s="39">
        <f t="shared" si="70"/>
        <v>62.25</v>
      </c>
      <c r="K267" s="34"/>
      <c r="L267" s="40">
        <f t="shared" si="55"/>
        <v>70</v>
      </c>
      <c r="M267" s="34">
        <f t="shared" si="56"/>
        <v>35550</v>
      </c>
      <c r="N267" s="34">
        <f t="shared" si="57"/>
        <v>41500</v>
      </c>
      <c r="O267" s="36">
        <f t="shared" si="58"/>
        <v>-192.25</v>
      </c>
      <c r="P267" s="41">
        <f t="shared" si="59"/>
        <v>5757.75</v>
      </c>
      <c r="Q267" s="70">
        <f t="shared" si="60"/>
        <v>0.1619620253164557</v>
      </c>
      <c r="S267" s="38" t="s">
        <v>592</v>
      </c>
      <c r="T267" s="34">
        <v>1</v>
      </c>
      <c r="U267" s="34">
        <v>35550</v>
      </c>
      <c r="V267" s="37">
        <v>45888</v>
      </c>
      <c r="W267" s="34">
        <v>41500</v>
      </c>
      <c r="X267" s="35">
        <v>45957</v>
      </c>
      <c r="Y267" s="34">
        <f t="shared" si="61"/>
        <v>60</v>
      </c>
      <c r="Z267" s="34">
        <f t="shared" si="62"/>
        <v>70</v>
      </c>
      <c r="AA267" s="39">
        <f t="shared" si="71"/>
        <v>62.25</v>
      </c>
      <c r="AB267" s="34"/>
      <c r="AC267" s="40">
        <f t="shared" si="64"/>
        <v>70</v>
      </c>
      <c r="AD267" s="34">
        <f t="shared" si="65"/>
        <v>35550</v>
      </c>
      <c r="AE267" s="34">
        <f t="shared" si="66"/>
        <v>41500</v>
      </c>
      <c r="AF267" s="36">
        <f t="shared" si="67"/>
        <v>-192.25</v>
      </c>
      <c r="AG267" s="41">
        <f t="shared" si="68"/>
        <v>5757.75</v>
      </c>
      <c r="AH267" s="70">
        <f t="shared" si="69"/>
        <v>0.1619620253164557</v>
      </c>
    </row>
    <row r="268" spans="2:34" x14ac:dyDescent="0.4">
      <c r="B268" s="38" t="s">
        <v>592</v>
      </c>
      <c r="C268" s="34">
        <v>1</v>
      </c>
      <c r="D268" s="34">
        <v>34900</v>
      </c>
      <c r="E268" s="37">
        <v>45895</v>
      </c>
      <c r="F268" s="34">
        <v>41500</v>
      </c>
      <c r="G268" s="35">
        <v>45957</v>
      </c>
      <c r="H268" s="34">
        <f t="shared" si="52"/>
        <v>60</v>
      </c>
      <c r="I268" s="34">
        <f t="shared" si="53"/>
        <v>70</v>
      </c>
      <c r="J268" s="39">
        <f t="shared" si="70"/>
        <v>62.25</v>
      </c>
      <c r="K268" s="34"/>
      <c r="L268" s="40">
        <f t="shared" si="55"/>
        <v>63</v>
      </c>
      <c r="M268" s="34">
        <f t="shared" si="56"/>
        <v>34900</v>
      </c>
      <c r="N268" s="34">
        <f t="shared" si="57"/>
        <v>41500</v>
      </c>
      <c r="O268" s="36">
        <f t="shared" si="58"/>
        <v>-192.25</v>
      </c>
      <c r="P268" s="41">
        <f t="shared" si="59"/>
        <v>6407.75</v>
      </c>
      <c r="Q268" s="70">
        <f t="shared" si="60"/>
        <v>0.18360315186246418</v>
      </c>
      <c r="S268" s="38" t="s">
        <v>592</v>
      </c>
      <c r="T268" s="34">
        <v>1</v>
      </c>
      <c r="U268" s="34">
        <v>34900</v>
      </c>
      <c r="V268" s="37">
        <v>45895</v>
      </c>
      <c r="W268" s="34">
        <v>41500</v>
      </c>
      <c r="X268" s="35">
        <v>45957</v>
      </c>
      <c r="Y268" s="34">
        <f t="shared" si="61"/>
        <v>60</v>
      </c>
      <c r="Z268" s="34">
        <f t="shared" si="62"/>
        <v>70</v>
      </c>
      <c r="AA268" s="39">
        <f t="shared" si="71"/>
        <v>62.25</v>
      </c>
      <c r="AB268" s="34"/>
      <c r="AC268" s="40">
        <f t="shared" si="64"/>
        <v>63</v>
      </c>
      <c r="AD268" s="34">
        <f t="shared" si="65"/>
        <v>34900</v>
      </c>
      <c r="AE268" s="34">
        <f t="shared" si="66"/>
        <v>41500</v>
      </c>
      <c r="AF268" s="36">
        <f t="shared" si="67"/>
        <v>-192.25</v>
      </c>
      <c r="AG268" s="41">
        <f t="shared" si="68"/>
        <v>6407.75</v>
      </c>
      <c r="AH268" s="70">
        <f t="shared" si="69"/>
        <v>0.18360315186246418</v>
      </c>
    </row>
    <row r="269" spans="2:34" x14ac:dyDescent="0.4">
      <c r="B269" s="38" t="s">
        <v>592</v>
      </c>
      <c r="C269" s="34">
        <v>1</v>
      </c>
      <c r="D269" s="34">
        <v>36000</v>
      </c>
      <c r="E269" s="37">
        <v>45902</v>
      </c>
      <c r="F269" s="34">
        <v>41500</v>
      </c>
      <c r="G269" s="35">
        <v>45957</v>
      </c>
      <c r="H269" s="34">
        <f t="shared" si="52"/>
        <v>60</v>
      </c>
      <c r="I269" s="34">
        <f t="shared" si="53"/>
        <v>70</v>
      </c>
      <c r="J269" s="39">
        <f t="shared" si="70"/>
        <v>62.25</v>
      </c>
      <c r="K269" s="34"/>
      <c r="L269" s="40">
        <f t="shared" si="55"/>
        <v>56</v>
      </c>
      <c r="M269" s="34">
        <f t="shared" si="56"/>
        <v>36000</v>
      </c>
      <c r="N269" s="34">
        <f t="shared" si="57"/>
        <v>41500</v>
      </c>
      <c r="O269" s="36">
        <f t="shared" si="58"/>
        <v>-192.25</v>
      </c>
      <c r="P269" s="41">
        <f t="shared" si="59"/>
        <v>5307.75</v>
      </c>
      <c r="Q269" s="70">
        <f t="shared" si="60"/>
        <v>0.1474375</v>
      </c>
      <c r="S269" s="38" t="s">
        <v>592</v>
      </c>
      <c r="T269" s="34">
        <v>1</v>
      </c>
      <c r="U269" s="34">
        <v>36000</v>
      </c>
      <c r="V269" s="37">
        <v>45902</v>
      </c>
      <c r="W269" s="34">
        <v>41500</v>
      </c>
      <c r="X269" s="35">
        <v>45957</v>
      </c>
      <c r="Y269" s="34">
        <f t="shared" si="61"/>
        <v>60</v>
      </c>
      <c r="Z269" s="34">
        <f t="shared" si="62"/>
        <v>70</v>
      </c>
      <c r="AA269" s="39">
        <f t="shared" si="71"/>
        <v>62.25</v>
      </c>
      <c r="AB269" s="34"/>
      <c r="AC269" s="40">
        <f t="shared" si="64"/>
        <v>56</v>
      </c>
      <c r="AD269" s="34">
        <f t="shared" si="65"/>
        <v>36000</v>
      </c>
      <c r="AE269" s="34">
        <f t="shared" si="66"/>
        <v>41500</v>
      </c>
      <c r="AF269" s="36">
        <f t="shared" si="67"/>
        <v>-192.25</v>
      </c>
      <c r="AG269" s="41">
        <f t="shared" si="68"/>
        <v>5307.75</v>
      </c>
      <c r="AH269" s="70">
        <f t="shared" si="69"/>
        <v>0.1474375</v>
      </c>
    </row>
    <row r="270" spans="2:34" x14ac:dyDescent="0.4">
      <c r="B270" s="38" t="s">
        <v>592</v>
      </c>
      <c r="C270" s="34">
        <v>1</v>
      </c>
      <c r="D270" s="34">
        <v>35550</v>
      </c>
      <c r="E270" s="37">
        <v>45909</v>
      </c>
      <c r="F270" s="34">
        <v>41500</v>
      </c>
      <c r="G270" s="35">
        <v>45957</v>
      </c>
      <c r="H270" s="34">
        <f t="shared" si="52"/>
        <v>60</v>
      </c>
      <c r="I270" s="34">
        <f t="shared" si="53"/>
        <v>70</v>
      </c>
      <c r="J270" s="39">
        <f t="shared" si="70"/>
        <v>62.25</v>
      </c>
      <c r="K270" s="34"/>
      <c r="L270" s="40">
        <f t="shared" si="55"/>
        <v>49</v>
      </c>
      <c r="M270" s="34">
        <f t="shared" si="56"/>
        <v>35550</v>
      </c>
      <c r="N270" s="34">
        <f t="shared" si="57"/>
        <v>41500</v>
      </c>
      <c r="O270" s="36">
        <f t="shared" si="58"/>
        <v>-192.25</v>
      </c>
      <c r="P270" s="41">
        <f t="shared" si="59"/>
        <v>5757.75</v>
      </c>
      <c r="Q270" s="70">
        <f t="shared" si="60"/>
        <v>0.1619620253164557</v>
      </c>
      <c r="S270" s="38" t="s">
        <v>592</v>
      </c>
      <c r="T270" s="34">
        <v>1</v>
      </c>
      <c r="U270" s="34">
        <v>35550</v>
      </c>
      <c r="V270" s="37">
        <v>45909</v>
      </c>
      <c r="W270" s="34">
        <v>41500</v>
      </c>
      <c r="X270" s="35">
        <v>45957</v>
      </c>
      <c r="Y270" s="34">
        <f t="shared" si="61"/>
        <v>60</v>
      </c>
      <c r="Z270" s="34">
        <f t="shared" si="62"/>
        <v>70</v>
      </c>
      <c r="AA270" s="39">
        <f t="shared" si="71"/>
        <v>62.25</v>
      </c>
      <c r="AB270" s="34"/>
      <c r="AC270" s="40">
        <f t="shared" si="64"/>
        <v>49</v>
      </c>
      <c r="AD270" s="34">
        <f t="shared" si="65"/>
        <v>35550</v>
      </c>
      <c r="AE270" s="34">
        <f t="shared" si="66"/>
        <v>41500</v>
      </c>
      <c r="AF270" s="36">
        <f t="shared" si="67"/>
        <v>-192.25</v>
      </c>
      <c r="AG270" s="41">
        <f t="shared" si="68"/>
        <v>5757.75</v>
      </c>
      <c r="AH270" s="70">
        <f t="shared" si="69"/>
        <v>0.1619620253164557</v>
      </c>
    </row>
    <row r="271" spans="2:34" x14ac:dyDescent="0.4">
      <c r="B271" s="38" t="s">
        <v>592</v>
      </c>
      <c r="C271" s="34">
        <v>1</v>
      </c>
      <c r="D271" s="34">
        <v>39450</v>
      </c>
      <c r="E271" s="37">
        <v>45916</v>
      </c>
      <c r="F271" s="34">
        <v>41500</v>
      </c>
      <c r="G271" s="35">
        <v>45957</v>
      </c>
      <c r="H271" s="34">
        <f t="shared" si="52"/>
        <v>70</v>
      </c>
      <c r="I271" s="34">
        <f t="shared" si="53"/>
        <v>70</v>
      </c>
      <c r="J271" s="39">
        <f t="shared" si="70"/>
        <v>62.25</v>
      </c>
      <c r="K271" s="34"/>
      <c r="L271" s="40">
        <f t="shared" si="55"/>
        <v>42</v>
      </c>
      <c r="M271" s="34">
        <f t="shared" si="56"/>
        <v>39450</v>
      </c>
      <c r="N271" s="34">
        <f t="shared" si="57"/>
        <v>41500</v>
      </c>
      <c r="O271" s="36">
        <f t="shared" si="58"/>
        <v>-202.25</v>
      </c>
      <c r="P271" s="41">
        <f t="shared" si="59"/>
        <v>1847.75</v>
      </c>
      <c r="Q271" s="70">
        <f t="shared" si="60"/>
        <v>4.6837769328263626E-2</v>
      </c>
      <c r="S271" s="38" t="s">
        <v>592</v>
      </c>
      <c r="T271" s="34">
        <v>1</v>
      </c>
      <c r="U271" s="34">
        <v>39450</v>
      </c>
      <c r="V271" s="37">
        <v>45916</v>
      </c>
      <c r="W271" s="34">
        <v>41500</v>
      </c>
      <c r="X271" s="35">
        <v>45957</v>
      </c>
      <c r="Y271" s="34">
        <f t="shared" si="61"/>
        <v>70</v>
      </c>
      <c r="Z271" s="34">
        <f t="shared" si="62"/>
        <v>70</v>
      </c>
      <c r="AA271" s="39">
        <f t="shared" si="71"/>
        <v>62.25</v>
      </c>
      <c r="AB271" s="34"/>
      <c r="AC271" s="40">
        <f t="shared" si="64"/>
        <v>42</v>
      </c>
      <c r="AD271" s="34">
        <f t="shared" si="65"/>
        <v>39450</v>
      </c>
      <c r="AE271" s="34">
        <f t="shared" si="66"/>
        <v>41500</v>
      </c>
      <c r="AF271" s="36">
        <f t="shared" si="67"/>
        <v>-202.25</v>
      </c>
      <c r="AG271" s="41">
        <f t="shared" si="68"/>
        <v>1847.75</v>
      </c>
      <c r="AH271" s="70">
        <f t="shared" si="69"/>
        <v>4.6837769328263626E-2</v>
      </c>
    </row>
    <row r="272" spans="2:34" x14ac:dyDescent="0.4">
      <c r="B272" s="38" t="s">
        <v>592</v>
      </c>
      <c r="C272" s="34">
        <v>1</v>
      </c>
      <c r="D272" s="34">
        <v>38800</v>
      </c>
      <c r="E272" s="37">
        <v>45923</v>
      </c>
      <c r="F272" s="34">
        <v>41500</v>
      </c>
      <c r="G272" s="35">
        <v>45957</v>
      </c>
      <c r="H272" s="34">
        <f t="shared" si="52"/>
        <v>70</v>
      </c>
      <c r="I272" s="34">
        <f t="shared" si="53"/>
        <v>70</v>
      </c>
      <c r="J272" s="39">
        <f t="shared" si="70"/>
        <v>62.25</v>
      </c>
      <c r="K272" s="34"/>
      <c r="L272" s="40">
        <f t="shared" si="55"/>
        <v>35</v>
      </c>
      <c r="M272" s="34">
        <f t="shared" si="56"/>
        <v>38800</v>
      </c>
      <c r="N272" s="34">
        <f t="shared" si="57"/>
        <v>41500</v>
      </c>
      <c r="O272" s="36">
        <f t="shared" si="58"/>
        <v>-202.25</v>
      </c>
      <c r="P272" s="41">
        <f t="shared" si="59"/>
        <v>2497.75</v>
      </c>
      <c r="Q272" s="70">
        <f t="shared" si="60"/>
        <v>6.4375000000000002E-2</v>
      </c>
      <c r="S272" s="38" t="s">
        <v>592</v>
      </c>
      <c r="T272" s="34">
        <v>1</v>
      </c>
      <c r="U272" s="34">
        <v>38800</v>
      </c>
      <c r="V272" s="37">
        <v>45923</v>
      </c>
      <c r="W272" s="34">
        <v>41500</v>
      </c>
      <c r="X272" s="35">
        <v>45957</v>
      </c>
      <c r="Y272" s="34">
        <f t="shared" si="61"/>
        <v>70</v>
      </c>
      <c r="Z272" s="34">
        <f t="shared" si="62"/>
        <v>70</v>
      </c>
      <c r="AA272" s="39">
        <f t="shared" si="71"/>
        <v>62.25</v>
      </c>
      <c r="AB272" s="34"/>
      <c r="AC272" s="40">
        <f t="shared" si="64"/>
        <v>35</v>
      </c>
      <c r="AD272" s="34">
        <f t="shared" si="65"/>
        <v>38800</v>
      </c>
      <c r="AE272" s="34">
        <f t="shared" si="66"/>
        <v>41500</v>
      </c>
      <c r="AF272" s="36">
        <f t="shared" si="67"/>
        <v>-202.25</v>
      </c>
      <c r="AG272" s="41">
        <f t="shared" si="68"/>
        <v>2497.75</v>
      </c>
      <c r="AH272" s="70">
        <f t="shared" si="69"/>
        <v>6.4375000000000002E-2</v>
      </c>
    </row>
    <row r="273" spans="2:34" x14ac:dyDescent="0.4">
      <c r="B273" s="38" t="s">
        <v>592</v>
      </c>
      <c r="C273" s="34">
        <v>1</v>
      </c>
      <c r="D273" s="34">
        <v>36550</v>
      </c>
      <c r="E273" s="37">
        <v>45930</v>
      </c>
      <c r="F273" s="34">
        <v>41500</v>
      </c>
      <c r="G273" s="35">
        <v>45957</v>
      </c>
      <c r="H273" s="34">
        <f t="shared" si="52"/>
        <v>60</v>
      </c>
      <c r="I273" s="34">
        <f t="shared" si="53"/>
        <v>70</v>
      </c>
      <c r="J273" s="39">
        <f t="shared" si="70"/>
        <v>62.25</v>
      </c>
      <c r="K273" s="34"/>
      <c r="L273" s="40">
        <f t="shared" si="55"/>
        <v>28</v>
      </c>
      <c r="M273" s="34">
        <f t="shared" si="56"/>
        <v>36550</v>
      </c>
      <c r="N273" s="34">
        <f t="shared" si="57"/>
        <v>41500</v>
      </c>
      <c r="O273" s="36">
        <f t="shared" si="58"/>
        <v>-192.25</v>
      </c>
      <c r="P273" s="41">
        <f t="shared" si="59"/>
        <v>4757.75</v>
      </c>
      <c r="Q273" s="70">
        <f t="shared" si="60"/>
        <v>0.13017099863201095</v>
      </c>
      <c r="S273" s="38" t="s">
        <v>592</v>
      </c>
      <c r="T273" s="34">
        <v>1</v>
      </c>
      <c r="U273" s="34">
        <v>36550</v>
      </c>
      <c r="V273" s="37">
        <v>45930</v>
      </c>
      <c r="W273" s="34">
        <v>41500</v>
      </c>
      <c r="X273" s="35">
        <v>45957</v>
      </c>
      <c r="Y273" s="34">
        <f t="shared" si="61"/>
        <v>60</v>
      </c>
      <c r="Z273" s="34">
        <f t="shared" si="62"/>
        <v>70</v>
      </c>
      <c r="AA273" s="39">
        <f t="shared" si="71"/>
        <v>62.25</v>
      </c>
      <c r="AB273" s="34"/>
      <c r="AC273" s="40">
        <f t="shared" si="64"/>
        <v>28</v>
      </c>
      <c r="AD273" s="34">
        <f t="shared" si="65"/>
        <v>36550</v>
      </c>
      <c r="AE273" s="34">
        <f t="shared" si="66"/>
        <v>41500</v>
      </c>
      <c r="AF273" s="36">
        <f t="shared" si="67"/>
        <v>-192.25</v>
      </c>
      <c r="AG273" s="41">
        <f t="shared" si="68"/>
        <v>4757.75</v>
      </c>
      <c r="AH273" s="70">
        <f t="shared" si="69"/>
        <v>0.13017099863201095</v>
      </c>
    </row>
    <row r="274" spans="2:34" x14ac:dyDescent="0.4">
      <c r="B274" s="38" t="s">
        <v>592</v>
      </c>
      <c r="C274" s="34">
        <v>1</v>
      </c>
      <c r="D274" s="34">
        <v>37700</v>
      </c>
      <c r="E274" s="37">
        <v>45940</v>
      </c>
      <c r="F274" s="34">
        <v>41500</v>
      </c>
      <c r="G274" s="35">
        <v>45957</v>
      </c>
      <c r="H274" s="34">
        <f t="shared" si="52"/>
        <v>70</v>
      </c>
      <c r="I274" s="34">
        <f t="shared" si="53"/>
        <v>70</v>
      </c>
      <c r="J274" s="39">
        <f t="shared" si="70"/>
        <v>62.25</v>
      </c>
      <c r="K274" s="34"/>
      <c r="L274" s="40">
        <f t="shared" si="55"/>
        <v>18</v>
      </c>
      <c r="M274" s="34">
        <f t="shared" si="56"/>
        <v>37700</v>
      </c>
      <c r="N274" s="34">
        <f t="shared" si="57"/>
        <v>41500</v>
      </c>
      <c r="O274" s="36">
        <f t="shared" si="58"/>
        <v>-202.25</v>
      </c>
      <c r="P274" s="41">
        <f t="shared" si="59"/>
        <v>3597.75</v>
      </c>
      <c r="Q274" s="70">
        <f t="shared" si="60"/>
        <v>9.5431034482758623E-2</v>
      </c>
      <c r="S274" s="38" t="s">
        <v>592</v>
      </c>
      <c r="T274" s="34">
        <v>1</v>
      </c>
      <c r="U274" s="34">
        <v>37700</v>
      </c>
      <c r="V274" s="37">
        <v>45940</v>
      </c>
      <c r="W274" s="34">
        <v>41500</v>
      </c>
      <c r="X274" s="35">
        <v>45957</v>
      </c>
      <c r="Y274" s="34">
        <f t="shared" si="61"/>
        <v>70</v>
      </c>
      <c r="Z274" s="34">
        <f t="shared" si="62"/>
        <v>70</v>
      </c>
      <c r="AA274" s="39">
        <f t="shared" si="71"/>
        <v>62.25</v>
      </c>
      <c r="AB274" s="34"/>
      <c r="AC274" s="40">
        <f t="shared" si="64"/>
        <v>18</v>
      </c>
      <c r="AD274" s="34">
        <f t="shared" si="65"/>
        <v>37700</v>
      </c>
      <c r="AE274" s="34">
        <f t="shared" si="66"/>
        <v>41500</v>
      </c>
      <c r="AF274" s="36">
        <f t="shared" si="67"/>
        <v>-202.25</v>
      </c>
      <c r="AG274" s="41">
        <f t="shared" si="68"/>
        <v>3597.75</v>
      </c>
      <c r="AH274" s="70">
        <f t="shared" si="69"/>
        <v>9.5431034482758623E-2</v>
      </c>
    </row>
    <row r="275" spans="2:34" x14ac:dyDescent="0.4">
      <c r="B275" s="38" t="s">
        <v>592</v>
      </c>
      <c r="C275" s="34">
        <v>1</v>
      </c>
      <c r="D275" s="34">
        <v>36200</v>
      </c>
      <c r="E275" s="37">
        <v>45944</v>
      </c>
      <c r="F275" s="34">
        <v>41500</v>
      </c>
      <c r="G275" s="35">
        <v>45957</v>
      </c>
      <c r="H275" s="34">
        <f t="shared" si="52"/>
        <v>60</v>
      </c>
      <c r="I275" s="34">
        <f t="shared" si="53"/>
        <v>70</v>
      </c>
      <c r="J275" s="39">
        <f t="shared" si="70"/>
        <v>62.25</v>
      </c>
      <c r="K275" s="34"/>
      <c r="L275" s="40">
        <f t="shared" si="55"/>
        <v>14</v>
      </c>
      <c r="M275" s="34">
        <f t="shared" si="56"/>
        <v>36200</v>
      </c>
      <c r="N275" s="34">
        <f t="shared" si="57"/>
        <v>41500</v>
      </c>
      <c r="O275" s="36">
        <f t="shared" si="58"/>
        <v>-192.25</v>
      </c>
      <c r="P275" s="41">
        <f t="shared" si="59"/>
        <v>5107.75</v>
      </c>
      <c r="Q275" s="70">
        <f t="shared" si="60"/>
        <v>0.14109806629834254</v>
      </c>
      <c r="S275" s="38" t="s">
        <v>592</v>
      </c>
      <c r="T275" s="34">
        <v>1</v>
      </c>
      <c r="U275" s="34">
        <v>36200</v>
      </c>
      <c r="V275" s="37">
        <v>45944</v>
      </c>
      <c r="W275" s="34">
        <v>41500</v>
      </c>
      <c r="X275" s="35">
        <v>45957</v>
      </c>
      <c r="Y275" s="34">
        <f t="shared" si="61"/>
        <v>60</v>
      </c>
      <c r="Z275" s="34">
        <f t="shared" si="62"/>
        <v>70</v>
      </c>
      <c r="AA275" s="39">
        <f t="shared" si="71"/>
        <v>62.25</v>
      </c>
      <c r="AB275" s="34"/>
      <c r="AC275" s="40">
        <f t="shared" si="64"/>
        <v>14</v>
      </c>
      <c r="AD275" s="34">
        <f t="shared" si="65"/>
        <v>36200</v>
      </c>
      <c r="AE275" s="34">
        <f t="shared" si="66"/>
        <v>41500</v>
      </c>
      <c r="AF275" s="36">
        <f t="shared" si="67"/>
        <v>-192.25</v>
      </c>
      <c r="AG275" s="41">
        <f t="shared" si="68"/>
        <v>5107.75</v>
      </c>
      <c r="AH275" s="70">
        <f t="shared" si="69"/>
        <v>0.14109806629834254</v>
      </c>
    </row>
    <row r="276" spans="2:34" x14ac:dyDescent="0.4">
      <c r="B276" s="38" t="s">
        <v>592</v>
      </c>
      <c r="C276" s="34">
        <v>1</v>
      </c>
      <c r="D276" s="34">
        <v>37750</v>
      </c>
      <c r="E276" s="37">
        <v>45951</v>
      </c>
      <c r="F276" s="34">
        <v>41500</v>
      </c>
      <c r="G276" s="35">
        <v>45957</v>
      </c>
      <c r="H276" s="34">
        <f t="shared" si="52"/>
        <v>70</v>
      </c>
      <c r="I276" s="34">
        <f t="shared" si="53"/>
        <v>70</v>
      </c>
      <c r="J276" s="39">
        <f t="shared" si="70"/>
        <v>62.25</v>
      </c>
      <c r="K276" s="34"/>
      <c r="L276" s="40">
        <f t="shared" si="55"/>
        <v>7</v>
      </c>
      <c r="M276" s="34">
        <f t="shared" si="56"/>
        <v>37750</v>
      </c>
      <c r="N276" s="34">
        <f t="shared" si="57"/>
        <v>41500</v>
      </c>
      <c r="O276" s="36">
        <f t="shared" si="58"/>
        <v>-202.25</v>
      </c>
      <c r="P276" s="41">
        <f t="shared" si="59"/>
        <v>3547.75</v>
      </c>
      <c r="Q276" s="70">
        <f t="shared" si="60"/>
        <v>9.3980132450331128E-2</v>
      </c>
      <c r="S276" s="38" t="s">
        <v>592</v>
      </c>
      <c r="T276" s="34">
        <v>1</v>
      </c>
      <c r="U276" s="34">
        <v>37750</v>
      </c>
      <c r="V276" s="37">
        <v>45951</v>
      </c>
      <c r="W276" s="34">
        <v>41500</v>
      </c>
      <c r="X276" s="35">
        <v>45957</v>
      </c>
      <c r="Y276" s="34">
        <f t="shared" si="61"/>
        <v>70</v>
      </c>
      <c r="Z276" s="34">
        <f t="shared" si="62"/>
        <v>70</v>
      </c>
      <c r="AA276" s="39">
        <f t="shared" si="71"/>
        <v>62.25</v>
      </c>
      <c r="AB276" s="34"/>
      <c r="AC276" s="40">
        <f t="shared" si="64"/>
        <v>7</v>
      </c>
      <c r="AD276" s="34">
        <f t="shared" si="65"/>
        <v>37750</v>
      </c>
      <c r="AE276" s="34">
        <f t="shared" si="66"/>
        <v>41500</v>
      </c>
      <c r="AF276" s="36">
        <f t="shared" si="67"/>
        <v>-202.25</v>
      </c>
      <c r="AG276" s="41">
        <f t="shared" si="68"/>
        <v>3547.75</v>
      </c>
      <c r="AH276" s="70">
        <f t="shared" si="69"/>
        <v>9.3980132450331128E-2</v>
      </c>
    </row>
    <row r="277" spans="2:34" x14ac:dyDescent="0.4">
      <c r="B277" s="38" t="s">
        <v>592</v>
      </c>
      <c r="C277" s="34">
        <v>1</v>
      </c>
      <c r="D277" s="34">
        <v>42800</v>
      </c>
      <c r="E277" s="37">
        <v>45958</v>
      </c>
      <c r="F277" s="34"/>
      <c r="G277" s="35"/>
      <c r="H277" s="34">
        <f t="shared" ref="H277:H340" si="72">ROUNDDOWN(M277*0.001891639,-1)</f>
        <v>80</v>
      </c>
      <c r="I277" s="34">
        <f t="shared" ref="I277:I340" si="73">ROUNDDOWN(N277*0.001891639,-1)</f>
        <v>0</v>
      </c>
      <c r="J277" s="39">
        <f t="shared" ref="J277:J298" si="74">N277*0.002</f>
        <v>0</v>
      </c>
      <c r="K277" s="34"/>
      <c r="L277" s="40">
        <f t="shared" ref="L277:L340" si="75">G277-E277+1</f>
        <v>-45957</v>
      </c>
      <c r="M277" s="34">
        <f t="shared" ref="M277:M340" si="76">C277*D277</f>
        <v>42800</v>
      </c>
      <c r="N277" s="34">
        <f t="shared" ref="N277:N340" si="77">C277*F277</f>
        <v>0</v>
      </c>
      <c r="O277" s="36">
        <f t="shared" ref="O277:O340" si="78">K277-H277-I277-J277</f>
        <v>-80</v>
      </c>
      <c r="P277" s="41">
        <f t="shared" ref="P277:P340" si="79">IF(N277=0,0,N277-M277+O277)</f>
        <v>0</v>
      </c>
      <c r="Q277" s="70">
        <f t="shared" ref="Q277:Q340" si="80">P277/M277</f>
        <v>0</v>
      </c>
      <c r="S277" s="38" t="s">
        <v>592</v>
      </c>
      <c r="T277" s="34">
        <v>1</v>
      </c>
      <c r="U277" s="34">
        <v>42800</v>
      </c>
      <c r="V277" s="37">
        <v>45958</v>
      </c>
      <c r="W277" s="34"/>
      <c r="X277" s="35"/>
      <c r="Y277" s="34">
        <f t="shared" ref="Y277:Y340" si="81">ROUNDDOWN(AD277*0.001891639,-1)</f>
        <v>80</v>
      </c>
      <c r="Z277" s="34">
        <f t="shared" ref="Z277:Z340" si="82">ROUNDDOWN(AE277*0.001891639,-1)</f>
        <v>0</v>
      </c>
      <c r="AA277" s="39">
        <f t="shared" ref="AA277:AA298" si="83">AE277*0.002</f>
        <v>0</v>
      </c>
      <c r="AB277" s="34"/>
      <c r="AC277" s="40">
        <f t="shared" ref="AC277:AC340" si="84">X277-V277+1</f>
        <v>-45957</v>
      </c>
      <c r="AD277" s="34">
        <f t="shared" ref="AD277:AD340" si="85">T277*U277</f>
        <v>42800</v>
      </c>
      <c r="AE277" s="34">
        <f t="shared" ref="AE277:AE340" si="86">T277*W277</f>
        <v>0</v>
      </c>
      <c r="AF277" s="36">
        <f t="shared" ref="AF277:AF340" si="87">AB277-Y277-Z277-AA277</f>
        <v>-80</v>
      </c>
      <c r="AG277" s="41">
        <f t="shared" ref="AG277:AG340" si="88">IF(AE277=0,0,AE277-AD277+AF277)</f>
        <v>0</v>
      </c>
      <c r="AH277" s="70">
        <f t="shared" ref="AH277:AH340" si="89">AG277/AD277</f>
        <v>0</v>
      </c>
    </row>
    <row r="278" spans="2:34" x14ac:dyDescent="0.4">
      <c r="B278" s="38" t="s">
        <v>592</v>
      </c>
      <c r="C278" s="34">
        <v>1</v>
      </c>
      <c r="D278" s="34">
        <v>41550</v>
      </c>
      <c r="E278" s="37">
        <v>45965</v>
      </c>
      <c r="F278" s="34"/>
      <c r="G278" s="35"/>
      <c r="H278" s="34">
        <f t="shared" si="72"/>
        <v>70</v>
      </c>
      <c r="I278" s="34">
        <f t="shared" si="73"/>
        <v>0</v>
      </c>
      <c r="J278" s="39">
        <f t="shared" si="74"/>
        <v>0</v>
      </c>
      <c r="K278" s="34"/>
      <c r="L278" s="40">
        <f t="shared" si="75"/>
        <v>-45964</v>
      </c>
      <c r="M278" s="34">
        <f t="shared" si="76"/>
        <v>41550</v>
      </c>
      <c r="N278" s="34">
        <f t="shared" si="77"/>
        <v>0</v>
      </c>
      <c r="O278" s="36">
        <f t="shared" si="78"/>
        <v>-70</v>
      </c>
      <c r="P278" s="41">
        <f t="shared" si="79"/>
        <v>0</v>
      </c>
      <c r="Q278" s="70">
        <f t="shared" si="80"/>
        <v>0</v>
      </c>
      <c r="S278" s="38" t="s">
        <v>592</v>
      </c>
      <c r="T278" s="34">
        <v>1</v>
      </c>
      <c r="U278" s="34">
        <v>41550</v>
      </c>
      <c r="V278" s="37">
        <v>45965</v>
      </c>
      <c r="W278" s="34"/>
      <c r="X278" s="35"/>
      <c r="Y278" s="34">
        <f t="shared" si="81"/>
        <v>70</v>
      </c>
      <c r="Z278" s="34">
        <f t="shared" si="82"/>
        <v>0</v>
      </c>
      <c r="AA278" s="39">
        <f t="shared" si="83"/>
        <v>0</v>
      </c>
      <c r="AB278" s="34"/>
      <c r="AC278" s="40">
        <f t="shared" si="84"/>
        <v>-45964</v>
      </c>
      <c r="AD278" s="34">
        <f t="shared" si="85"/>
        <v>41550</v>
      </c>
      <c r="AE278" s="34">
        <f t="shared" si="86"/>
        <v>0</v>
      </c>
      <c r="AF278" s="36">
        <f t="shared" si="87"/>
        <v>-70</v>
      </c>
      <c r="AG278" s="41">
        <f t="shared" si="88"/>
        <v>0</v>
      </c>
      <c r="AH278" s="70">
        <f t="shared" si="89"/>
        <v>0</v>
      </c>
    </row>
    <row r="279" spans="2:34" x14ac:dyDescent="0.4">
      <c r="B279" s="38" t="s">
        <v>592</v>
      </c>
      <c r="C279" s="34">
        <v>1</v>
      </c>
      <c r="D279" s="34">
        <v>42500</v>
      </c>
      <c r="E279" s="37">
        <v>45972</v>
      </c>
      <c r="F279" s="34"/>
      <c r="G279" s="35"/>
      <c r="H279" s="34">
        <f t="shared" si="72"/>
        <v>80</v>
      </c>
      <c r="I279" s="34">
        <f t="shared" si="73"/>
        <v>0</v>
      </c>
      <c r="J279" s="39">
        <f t="shared" si="74"/>
        <v>0</v>
      </c>
      <c r="K279" s="34"/>
      <c r="L279" s="40">
        <f t="shared" si="75"/>
        <v>-45971</v>
      </c>
      <c r="M279" s="34">
        <f t="shared" si="76"/>
        <v>42500</v>
      </c>
      <c r="N279" s="34">
        <f t="shared" si="77"/>
        <v>0</v>
      </c>
      <c r="O279" s="36">
        <f t="shared" si="78"/>
        <v>-80</v>
      </c>
      <c r="P279" s="41">
        <f t="shared" si="79"/>
        <v>0</v>
      </c>
      <c r="Q279" s="70">
        <f t="shared" si="80"/>
        <v>0</v>
      </c>
      <c r="S279" s="38" t="s">
        <v>592</v>
      </c>
      <c r="T279" s="34">
        <v>1</v>
      </c>
      <c r="U279" s="34">
        <v>42500</v>
      </c>
      <c r="V279" s="37">
        <v>45972</v>
      </c>
      <c r="W279" s="34"/>
      <c r="X279" s="35"/>
      <c r="Y279" s="34">
        <f t="shared" si="81"/>
        <v>80</v>
      </c>
      <c r="Z279" s="34">
        <f t="shared" si="82"/>
        <v>0</v>
      </c>
      <c r="AA279" s="39">
        <f t="shared" si="83"/>
        <v>0</v>
      </c>
      <c r="AB279" s="34"/>
      <c r="AC279" s="40">
        <f t="shared" si="84"/>
        <v>-45971</v>
      </c>
      <c r="AD279" s="34">
        <f t="shared" si="85"/>
        <v>42500</v>
      </c>
      <c r="AE279" s="34">
        <f t="shared" si="86"/>
        <v>0</v>
      </c>
      <c r="AF279" s="36">
        <f t="shared" si="87"/>
        <v>-80</v>
      </c>
      <c r="AG279" s="41">
        <f t="shared" si="88"/>
        <v>0</v>
      </c>
      <c r="AH279" s="70">
        <f t="shared" si="89"/>
        <v>0</v>
      </c>
    </row>
    <row r="280" spans="2:34" x14ac:dyDescent="0.4">
      <c r="B280" s="38" t="s">
        <v>592</v>
      </c>
      <c r="C280" s="34">
        <v>1</v>
      </c>
      <c r="D280" s="34">
        <v>40400</v>
      </c>
      <c r="E280" s="37">
        <v>45979</v>
      </c>
      <c r="F280" s="34"/>
      <c r="G280" s="35"/>
      <c r="H280" s="34">
        <f t="shared" si="72"/>
        <v>70</v>
      </c>
      <c r="I280" s="34">
        <f t="shared" si="73"/>
        <v>0</v>
      </c>
      <c r="J280" s="39">
        <f t="shared" si="74"/>
        <v>0</v>
      </c>
      <c r="K280" s="34"/>
      <c r="L280" s="40">
        <f t="shared" si="75"/>
        <v>-45978</v>
      </c>
      <c r="M280" s="34">
        <f t="shared" si="76"/>
        <v>40400</v>
      </c>
      <c r="N280" s="34">
        <f t="shared" si="77"/>
        <v>0</v>
      </c>
      <c r="O280" s="36">
        <f t="shared" si="78"/>
        <v>-70</v>
      </c>
      <c r="P280" s="41">
        <f t="shared" si="79"/>
        <v>0</v>
      </c>
      <c r="Q280" s="70">
        <f t="shared" si="80"/>
        <v>0</v>
      </c>
      <c r="S280" s="38" t="s">
        <v>592</v>
      </c>
      <c r="T280" s="34">
        <v>1</v>
      </c>
      <c r="U280" s="34">
        <v>40400</v>
      </c>
      <c r="V280" s="37">
        <v>45979</v>
      </c>
      <c r="W280" s="34"/>
      <c r="X280" s="35"/>
      <c r="Y280" s="34">
        <f t="shared" si="81"/>
        <v>70</v>
      </c>
      <c r="Z280" s="34">
        <f t="shared" si="82"/>
        <v>0</v>
      </c>
      <c r="AA280" s="39">
        <f t="shared" si="83"/>
        <v>0</v>
      </c>
      <c r="AB280" s="34"/>
      <c r="AC280" s="40">
        <f t="shared" si="84"/>
        <v>-45978</v>
      </c>
      <c r="AD280" s="34">
        <f t="shared" si="85"/>
        <v>40400</v>
      </c>
      <c r="AE280" s="34">
        <f t="shared" si="86"/>
        <v>0</v>
      </c>
      <c r="AF280" s="36">
        <f t="shared" si="87"/>
        <v>-70</v>
      </c>
      <c r="AG280" s="41">
        <f t="shared" si="88"/>
        <v>0</v>
      </c>
      <c r="AH280" s="70">
        <f t="shared" si="89"/>
        <v>0</v>
      </c>
    </row>
    <row r="281" spans="2:34" x14ac:dyDescent="0.4">
      <c r="B281" s="38" t="s">
        <v>592</v>
      </c>
      <c r="C281" s="34">
        <v>1</v>
      </c>
      <c r="D281" s="34">
        <v>36400</v>
      </c>
      <c r="E281" s="37">
        <v>45986</v>
      </c>
      <c r="F281" s="34"/>
      <c r="G281" s="35"/>
      <c r="H281" s="34">
        <f t="shared" si="72"/>
        <v>60</v>
      </c>
      <c r="I281" s="34">
        <f t="shared" si="73"/>
        <v>0</v>
      </c>
      <c r="J281" s="39">
        <f t="shared" si="74"/>
        <v>0</v>
      </c>
      <c r="K281" s="34"/>
      <c r="L281" s="40">
        <f t="shared" si="75"/>
        <v>-45985</v>
      </c>
      <c r="M281" s="34">
        <f t="shared" si="76"/>
        <v>36400</v>
      </c>
      <c r="N281" s="34">
        <f t="shared" si="77"/>
        <v>0</v>
      </c>
      <c r="O281" s="36">
        <f t="shared" si="78"/>
        <v>-60</v>
      </c>
      <c r="P281" s="41">
        <f t="shared" si="79"/>
        <v>0</v>
      </c>
      <c r="Q281" s="70">
        <f t="shared" si="80"/>
        <v>0</v>
      </c>
      <c r="S281" s="38" t="s">
        <v>592</v>
      </c>
      <c r="T281" s="34">
        <v>1</v>
      </c>
      <c r="U281" s="34">
        <v>36400</v>
      </c>
      <c r="V281" s="37">
        <v>45986</v>
      </c>
      <c r="W281" s="34"/>
      <c r="X281" s="35"/>
      <c r="Y281" s="34">
        <f t="shared" si="81"/>
        <v>60</v>
      </c>
      <c r="Z281" s="34">
        <f t="shared" si="82"/>
        <v>0</v>
      </c>
      <c r="AA281" s="39">
        <f t="shared" si="83"/>
        <v>0</v>
      </c>
      <c r="AB281" s="34"/>
      <c r="AC281" s="40">
        <f t="shared" si="84"/>
        <v>-45985</v>
      </c>
      <c r="AD281" s="34">
        <f t="shared" si="85"/>
        <v>36400</v>
      </c>
      <c r="AE281" s="34">
        <f t="shared" si="86"/>
        <v>0</v>
      </c>
      <c r="AF281" s="36">
        <f t="shared" si="87"/>
        <v>-60</v>
      </c>
      <c r="AG281" s="41">
        <f t="shared" si="88"/>
        <v>0</v>
      </c>
      <c r="AH281" s="70">
        <f t="shared" si="89"/>
        <v>0</v>
      </c>
    </row>
    <row r="282" spans="2:34" x14ac:dyDescent="0.4">
      <c r="B282" s="38" t="s">
        <v>592</v>
      </c>
      <c r="C282" s="34">
        <v>1</v>
      </c>
      <c r="D282" s="34">
        <v>36750</v>
      </c>
      <c r="E282" s="37">
        <v>45993</v>
      </c>
      <c r="F282" s="34"/>
      <c r="G282" s="35"/>
      <c r="H282" s="34">
        <f t="shared" si="72"/>
        <v>60</v>
      </c>
      <c r="I282" s="34">
        <f t="shared" si="73"/>
        <v>0</v>
      </c>
      <c r="J282" s="39">
        <f t="shared" si="74"/>
        <v>0</v>
      </c>
      <c r="K282" s="34"/>
      <c r="L282" s="40">
        <f t="shared" si="75"/>
        <v>-45992</v>
      </c>
      <c r="M282" s="34">
        <f t="shared" si="76"/>
        <v>36750</v>
      </c>
      <c r="N282" s="34">
        <f t="shared" si="77"/>
        <v>0</v>
      </c>
      <c r="O282" s="36">
        <f t="shared" si="78"/>
        <v>-60</v>
      </c>
      <c r="P282" s="41">
        <f t="shared" si="79"/>
        <v>0</v>
      </c>
      <c r="Q282" s="70">
        <f t="shared" si="80"/>
        <v>0</v>
      </c>
      <c r="S282" s="38" t="s">
        <v>592</v>
      </c>
      <c r="T282" s="34">
        <v>1</v>
      </c>
      <c r="U282" s="34">
        <v>36750</v>
      </c>
      <c r="V282" s="37">
        <v>45993</v>
      </c>
      <c r="W282" s="34"/>
      <c r="X282" s="35"/>
      <c r="Y282" s="34">
        <f t="shared" si="81"/>
        <v>60</v>
      </c>
      <c r="Z282" s="34">
        <f t="shared" si="82"/>
        <v>0</v>
      </c>
      <c r="AA282" s="39">
        <f t="shared" si="83"/>
        <v>0</v>
      </c>
      <c r="AB282" s="34"/>
      <c r="AC282" s="40">
        <f t="shared" si="84"/>
        <v>-45992</v>
      </c>
      <c r="AD282" s="34">
        <f t="shared" si="85"/>
        <v>36750</v>
      </c>
      <c r="AE282" s="34">
        <f t="shared" si="86"/>
        <v>0</v>
      </c>
      <c r="AF282" s="36">
        <f t="shared" si="87"/>
        <v>-60</v>
      </c>
      <c r="AG282" s="41">
        <f t="shared" si="88"/>
        <v>0</v>
      </c>
      <c r="AH282" s="70">
        <f t="shared" si="89"/>
        <v>0</v>
      </c>
    </row>
    <row r="283" spans="2:34" x14ac:dyDescent="0.4">
      <c r="B283" s="38" t="s">
        <v>592</v>
      </c>
      <c r="C283" s="34">
        <v>1</v>
      </c>
      <c r="D283" s="34">
        <v>37950</v>
      </c>
      <c r="E283" s="37">
        <v>46000</v>
      </c>
      <c r="F283" s="34"/>
      <c r="G283" s="35"/>
      <c r="H283" s="34">
        <f t="shared" si="72"/>
        <v>70</v>
      </c>
      <c r="I283" s="34">
        <f t="shared" si="73"/>
        <v>0</v>
      </c>
      <c r="J283" s="39">
        <f t="shared" si="74"/>
        <v>0</v>
      </c>
      <c r="K283" s="34"/>
      <c r="L283" s="40">
        <f t="shared" si="75"/>
        <v>-45999</v>
      </c>
      <c r="M283" s="34">
        <f t="shared" si="76"/>
        <v>37950</v>
      </c>
      <c r="N283" s="34">
        <f t="shared" si="77"/>
        <v>0</v>
      </c>
      <c r="O283" s="36">
        <f t="shared" si="78"/>
        <v>-70</v>
      </c>
      <c r="P283" s="41">
        <f t="shared" si="79"/>
        <v>0</v>
      </c>
      <c r="Q283" s="70">
        <f t="shared" si="80"/>
        <v>0</v>
      </c>
      <c r="S283" s="38" t="s">
        <v>592</v>
      </c>
      <c r="T283" s="34">
        <v>1</v>
      </c>
      <c r="U283" s="34">
        <v>37950</v>
      </c>
      <c r="V283" s="37">
        <v>46000</v>
      </c>
      <c r="W283" s="34"/>
      <c r="X283" s="35"/>
      <c r="Y283" s="34">
        <f t="shared" si="81"/>
        <v>70</v>
      </c>
      <c r="Z283" s="34">
        <f t="shared" si="82"/>
        <v>0</v>
      </c>
      <c r="AA283" s="39">
        <f t="shared" si="83"/>
        <v>0</v>
      </c>
      <c r="AB283" s="34"/>
      <c r="AC283" s="40">
        <f t="shared" si="84"/>
        <v>-45999</v>
      </c>
      <c r="AD283" s="34">
        <f t="shared" si="85"/>
        <v>37950</v>
      </c>
      <c r="AE283" s="34">
        <f t="shared" si="86"/>
        <v>0</v>
      </c>
      <c r="AF283" s="36">
        <f t="shared" si="87"/>
        <v>-70</v>
      </c>
      <c r="AG283" s="41">
        <f t="shared" si="88"/>
        <v>0</v>
      </c>
      <c r="AH283" s="70">
        <f t="shared" si="89"/>
        <v>0</v>
      </c>
    </row>
    <row r="284" spans="2:34" x14ac:dyDescent="0.4">
      <c r="B284" s="38" t="s">
        <v>592</v>
      </c>
      <c r="C284" s="34">
        <v>1</v>
      </c>
      <c r="D284" s="34">
        <v>37400</v>
      </c>
      <c r="E284" s="37">
        <v>46007</v>
      </c>
      <c r="F284" s="34"/>
      <c r="G284" s="35"/>
      <c r="H284" s="34">
        <f t="shared" si="72"/>
        <v>70</v>
      </c>
      <c r="I284" s="34">
        <f t="shared" si="73"/>
        <v>0</v>
      </c>
      <c r="J284" s="39">
        <f t="shared" si="74"/>
        <v>0</v>
      </c>
      <c r="K284" s="34"/>
      <c r="L284" s="40">
        <f t="shared" si="75"/>
        <v>-46006</v>
      </c>
      <c r="M284" s="34">
        <f t="shared" si="76"/>
        <v>37400</v>
      </c>
      <c r="N284" s="34">
        <f t="shared" si="77"/>
        <v>0</v>
      </c>
      <c r="O284" s="36">
        <f t="shared" si="78"/>
        <v>-70</v>
      </c>
      <c r="P284" s="41">
        <f t="shared" si="79"/>
        <v>0</v>
      </c>
      <c r="Q284" s="70">
        <f t="shared" si="80"/>
        <v>0</v>
      </c>
      <c r="S284" s="38" t="s">
        <v>592</v>
      </c>
      <c r="T284" s="34">
        <v>1</v>
      </c>
      <c r="U284" s="34">
        <v>37400</v>
      </c>
      <c r="V284" s="37">
        <v>46007</v>
      </c>
      <c r="W284" s="34"/>
      <c r="X284" s="35"/>
      <c r="Y284" s="34">
        <f t="shared" si="81"/>
        <v>70</v>
      </c>
      <c r="Z284" s="34">
        <f t="shared" si="82"/>
        <v>0</v>
      </c>
      <c r="AA284" s="39">
        <f t="shared" si="83"/>
        <v>0</v>
      </c>
      <c r="AB284" s="34"/>
      <c r="AC284" s="40">
        <f t="shared" si="84"/>
        <v>-46006</v>
      </c>
      <c r="AD284" s="34">
        <f t="shared" si="85"/>
        <v>37400</v>
      </c>
      <c r="AE284" s="34">
        <f t="shared" si="86"/>
        <v>0</v>
      </c>
      <c r="AF284" s="36">
        <f t="shared" si="87"/>
        <v>-70</v>
      </c>
      <c r="AG284" s="41">
        <f t="shared" si="88"/>
        <v>0</v>
      </c>
      <c r="AH284" s="70">
        <f t="shared" si="89"/>
        <v>0</v>
      </c>
    </row>
    <row r="285" spans="2:34" x14ac:dyDescent="0.4">
      <c r="B285" s="38" t="s">
        <v>592</v>
      </c>
      <c r="C285" s="34">
        <v>1</v>
      </c>
      <c r="D285" s="34">
        <v>36500</v>
      </c>
      <c r="E285" s="37">
        <v>46014</v>
      </c>
      <c r="F285" s="34"/>
      <c r="G285" s="35"/>
      <c r="H285" s="34">
        <f t="shared" si="72"/>
        <v>60</v>
      </c>
      <c r="I285" s="34">
        <f t="shared" si="73"/>
        <v>0</v>
      </c>
      <c r="J285" s="39">
        <f t="shared" si="74"/>
        <v>0</v>
      </c>
      <c r="K285" s="34"/>
      <c r="L285" s="40">
        <f t="shared" si="75"/>
        <v>-46013</v>
      </c>
      <c r="M285" s="34">
        <f t="shared" si="76"/>
        <v>36500</v>
      </c>
      <c r="N285" s="34">
        <f t="shared" si="77"/>
        <v>0</v>
      </c>
      <c r="O285" s="36">
        <f t="shared" si="78"/>
        <v>-60</v>
      </c>
      <c r="P285" s="41">
        <f t="shared" si="79"/>
        <v>0</v>
      </c>
      <c r="Q285" s="70">
        <f t="shared" si="80"/>
        <v>0</v>
      </c>
      <c r="S285" s="38" t="s">
        <v>592</v>
      </c>
      <c r="T285" s="34">
        <v>1</v>
      </c>
      <c r="U285" s="34">
        <v>36500</v>
      </c>
      <c r="V285" s="37">
        <v>46014</v>
      </c>
      <c r="W285" s="34"/>
      <c r="X285" s="35"/>
      <c r="Y285" s="34">
        <f t="shared" si="81"/>
        <v>60</v>
      </c>
      <c r="Z285" s="34">
        <f t="shared" si="82"/>
        <v>0</v>
      </c>
      <c r="AA285" s="39">
        <f t="shared" si="83"/>
        <v>0</v>
      </c>
      <c r="AB285" s="34"/>
      <c r="AC285" s="40">
        <f t="shared" si="84"/>
        <v>-46013</v>
      </c>
      <c r="AD285" s="34">
        <f t="shared" si="85"/>
        <v>36500</v>
      </c>
      <c r="AE285" s="34">
        <f t="shared" si="86"/>
        <v>0</v>
      </c>
      <c r="AF285" s="36">
        <f t="shared" si="87"/>
        <v>-60</v>
      </c>
      <c r="AG285" s="41">
        <f t="shared" si="88"/>
        <v>0</v>
      </c>
      <c r="AH285" s="70">
        <f t="shared" si="89"/>
        <v>0</v>
      </c>
    </row>
    <row r="286" spans="2:34" x14ac:dyDescent="0.4">
      <c r="B286" s="38" t="s">
        <v>592</v>
      </c>
      <c r="C286" s="34">
        <v>1</v>
      </c>
      <c r="D286" s="34">
        <v>36650</v>
      </c>
      <c r="E286" s="37">
        <v>46021</v>
      </c>
      <c r="F286" s="34"/>
      <c r="G286" s="35"/>
      <c r="H286" s="34">
        <f t="shared" si="72"/>
        <v>60</v>
      </c>
      <c r="I286" s="34">
        <f t="shared" si="73"/>
        <v>0</v>
      </c>
      <c r="J286" s="39">
        <f t="shared" si="74"/>
        <v>0</v>
      </c>
      <c r="K286" s="34"/>
      <c r="L286" s="40">
        <f t="shared" si="75"/>
        <v>-46020</v>
      </c>
      <c r="M286" s="34">
        <f t="shared" si="76"/>
        <v>36650</v>
      </c>
      <c r="N286" s="34">
        <f t="shared" si="77"/>
        <v>0</v>
      </c>
      <c r="O286" s="36">
        <f t="shared" si="78"/>
        <v>-60</v>
      </c>
      <c r="P286" s="41">
        <f t="shared" si="79"/>
        <v>0</v>
      </c>
      <c r="Q286" s="70">
        <f t="shared" si="80"/>
        <v>0</v>
      </c>
      <c r="S286" s="38" t="s">
        <v>592</v>
      </c>
      <c r="T286" s="34">
        <v>1</v>
      </c>
      <c r="U286" s="34">
        <v>36650</v>
      </c>
      <c r="V286" s="37">
        <v>46021</v>
      </c>
      <c r="W286" s="34"/>
      <c r="X286" s="35"/>
      <c r="Y286" s="34">
        <f t="shared" si="81"/>
        <v>60</v>
      </c>
      <c r="Z286" s="34">
        <f t="shared" si="82"/>
        <v>0</v>
      </c>
      <c r="AA286" s="39">
        <f t="shared" si="83"/>
        <v>0</v>
      </c>
      <c r="AB286" s="34"/>
      <c r="AC286" s="40">
        <f t="shared" si="84"/>
        <v>-46020</v>
      </c>
      <c r="AD286" s="34">
        <f t="shared" si="85"/>
        <v>36650</v>
      </c>
      <c r="AE286" s="34">
        <f t="shared" si="86"/>
        <v>0</v>
      </c>
      <c r="AF286" s="36">
        <f t="shared" si="87"/>
        <v>-60</v>
      </c>
      <c r="AG286" s="41">
        <f t="shared" si="88"/>
        <v>0</v>
      </c>
      <c r="AH286" s="70">
        <f t="shared" si="89"/>
        <v>0</v>
      </c>
    </row>
    <row r="287" spans="2:34" x14ac:dyDescent="0.4">
      <c r="B287" s="38" t="s">
        <v>592</v>
      </c>
      <c r="C287" s="34">
        <v>1</v>
      </c>
      <c r="D287" s="34">
        <v>37200</v>
      </c>
      <c r="E287" s="37">
        <v>46028</v>
      </c>
      <c r="F287" s="34"/>
      <c r="G287" s="35"/>
      <c r="H287" s="34">
        <f t="shared" si="72"/>
        <v>70</v>
      </c>
      <c r="I287" s="34">
        <f t="shared" si="73"/>
        <v>0</v>
      </c>
      <c r="J287" s="39">
        <f t="shared" si="74"/>
        <v>0</v>
      </c>
      <c r="K287" s="34"/>
      <c r="L287" s="40">
        <f t="shared" si="75"/>
        <v>-46027</v>
      </c>
      <c r="M287" s="34">
        <f t="shared" si="76"/>
        <v>37200</v>
      </c>
      <c r="N287" s="34">
        <f t="shared" si="77"/>
        <v>0</v>
      </c>
      <c r="O287" s="36">
        <f t="shared" si="78"/>
        <v>-70</v>
      </c>
      <c r="P287" s="41">
        <f t="shared" si="79"/>
        <v>0</v>
      </c>
      <c r="Q287" s="70">
        <f t="shared" si="80"/>
        <v>0</v>
      </c>
      <c r="S287" s="38" t="s">
        <v>592</v>
      </c>
      <c r="T287" s="34">
        <v>1</v>
      </c>
      <c r="U287" s="34">
        <v>37200</v>
      </c>
      <c r="V287" s="37">
        <v>46028</v>
      </c>
      <c r="W287" s="34"/>
      <c r="X287" s="35"/>
      <c r="Y287" s="34">
        <f t="shared" si="81"/>
        <v>70</v>
      </c>
      <c r="Z287" s="34">
        <f t="shared" si="82"/>
        <v>0</v>
      </c>
      <c r="AA287" s="39">
        <f t="shared" si="83"/>
        <v>0</v>
      </c>
      <c r="AB287" s="34"/>
      <c r="AC287" s="40">
        <f t="shared" si="84"/>
        <v>-46027</v>
      </c>
      <c r="AD287" s="34">
        <f t="shared" si="85"/>
        <v>37200</v>
      </c>
      <c r="AE287" s="34">
        <f t="shared" si="86"/>
        <v>0</v>
      </c>
      <c r="AF287" s="36">
        <f t="shared" si="87"/>
        <v>-70</v>
      </c>
      <c r="AG287" s="41">
        <f t="shared" si="88"/>
        <v>0</v>
      </c>
      <c r="AH287" s="70">
        <f t="shared" si="89"/>
        <v>0</v>
      </c>
    </row>
    <row r="288" spans="2:34" x14ac:dyDescent="0.4">
      <c r="B288" s="38" t="s">
        <v>592</v>
      </c>
      <c r="C288" s="34">
        <v>1</v>
      </c>
      <c r="D288" s="34">
        <v>42350</v>
      </c>
      <c r="E288" s="37">
        <v>46035</v>
      </c>
      <c r="F288" s="34"/>
      <c r="G288" s="35"/>
      <c r="H288" s="34">
        <f t="shared" si="72"/>
        <v>80</v>
      </c>
      <c r="I288" s="34">
        <f t="shared" si="73"/>
        <v>0</v>
      </c>
      <c r="J288" s="39">
        <f t="shared" si="74"/>
        <v>0</v>
      </c>
      <c r="K288" s="34"/>
      <c r="L288" s="40">
        <f t="shared" si="75"/>
        <v>-46034</v>
      </c>
      <c r="M288" s="34">
        <f t="shared" si="76"/>
        <v>42350</v>
      </c>
      <c r="N288" s="34">
        <f t="shared" si="77"/>
        <v>0</v>
      </c>
      <c r="O288" s="36">
        <f t="shared" si="78"/>
        <v>-80</v>
      </c>
      <c r="P288" s="41">
        <f t="shared" si="79"/>
        <v>0</v>
      </c>
      <c r="Q288" s="70">
        <f t="shared" si="80"/>
        <v>0</v>
      </c>
      <c r="S288" s="38" t="s">
        <v>592</v>
      </c>
      <c r="T288" s="34">
        <v>1</v>
      </c>
      <c r="U288" s="34">
        <v>42350</v>
      </c>
      <c r="V288" s="37">
        <v>46035</v>
      </c>
      <c r="W288" s="34"/>
      <c r="X288" s="35"/>
      <c r="Y288" s="34">
        <f t="shared" si="81"/>
        <v>80</v>
      </c>
      <c r="Z288" s="34">
        <f t="shared" si="82"/>
        <v>0</v>
      </c>
      <c r="AA288" s="39">
        <f t="shared" si="83"/>
        <v>0</v>
      </c>
      <c r="AB288" s="34"/>
      <c r="AC288" s="40">
        <f t="shared" si="84"/>
        <v>-46034</v>
      </c>
      <c r="AD288" s="34">
        <f t="shared" si="85"/>
        <v>42350</v>
      </c>
      <c r="AE288" s="34">
        <f t="shared" si="86"/>
        <v>0</v>
      </c>
      <c r="AF288" s="36">
        <f t="shared" si="87"/>
        <v>-80</v>
      </c>
      <c r="AG288" s="41">
        <f t="shared" si="88"/>
        <v>0</v>
      </c>
      <c r="AH288" s="70">
        <f t="shared" si="89"/>
        <v>0</v>
      </c>
    </row>
    <row r="289" spans="2:34" x14ac:dyDescent="0.4">
      <c r="B289" s="38" t="s">
        <v>592</v>
      </c>
      <c r="C289" s="34">
        <v>1</v>
      </c>
      <c r="D289" s="34">
        <v>50500</v>
      </c>
      <c r="E289" s="37">
        <v>46042</v>
      </c>
      <c r="F289" s="34"/>
      <c r="G289" s="35"/>
      <c r="H289" s="34">
        <f t="shared" si="72"/>
        <v>90</v>
      </c>
      <c r="I289" s="34">
        <f t="shared" si="73"/>
        <v>0</v>
      </c>
      <c r="J289" s="39">
        <f t="shared" si="74"/>
        <v>0</v>
      </c>
      <c r="K289" s="34"/>
      <c r="L289" s="40">
        <f t="shared" si="75"/>
        <v>-46041</v>
      </c>
      <c r="M289" s="34">
        <f t="shared" si="76"/>
        <v>50500</v>
      </c>
      <c r="N289" s="34">
        <f t="shared" si="77"/>
        <v>0</v>
      </c>
      <c r="O289" s="36">
        <f t="shared" si="78"/>
        <v>-90</v>
      </c>
      <c r="P289" s="41">
        <f t="shared" si="79"/>
        <v>0</v>
      </c>
      <c r="Q289" s="70">
        <f t="shared" si="80"/>
        <v>0</v>
      </c>
      <c r="S289" s="38" t="s">
        <v>592</v>
      </c>
      <c r="T289" s="34">
        <v>1</v>
      </c>
      <c r="U289" s="34">
        <v>50500</v>
      </c>
      <c r="V289" s="37">
        <v>46042</v>
      </c>
      <c r="W289" s="34"/>
      <c r="X289" s="35"/>
      <c r="Y289" s="34">
        <f t="shared" si="81"/>
        <v>90</v>
      </c>
      <c r="Z289" s="34">
        <f t="shared" si="82"/>
        <v>0</v>
      </c>
      <c r="AA289" s="39">
        <f t="shared" si="83"/>
        <v>0</v>
      </c>
      <c r="AB289" s="34"/>
      <c r="AC289" s="40">
        <f t="shared" si="84"/>
        <v>-46041</v>
      </c>
      <c r="AD289" s="34">
        <f t="shared" si="85"/>
        <v>50500</v>
      </c>
      <c r="AE289" s="34">
        <f t="shared" si="86"/>
        <v>0</v>
      </c>
      <c r="AF289" s="36">
        <f t="shared" si="87"/>
        <v>-90</v>
      </c>
      <c r="AG289" s="41">
        <f t="shared" si="88"/>
        <v>0</v>
      </c>
      <c r="AH289" s="70">
        <f t="shared" si="89"/>
        <v>0</v>
      </c>
    </row>
    <row r="290" spans="2:34" x14ac:dyDescent="0.4">
      <c r="B290" s="38" t="s">
        <v>592</v>
      </c>
      <c r="C290" s="34">
        <v>1</v>
      </c>
      <c r="D290" s="34">
        <v>48250</v>
      </c>
      <c r="E290" s="37">
        <v>46049</v>
      </c>
      <c r="F290" s="34"/>
      <c r="G290" s="35"/>
      <c r="H290" s="34">
        <f t="shared" si="72"/>
        <v>90</v>
      </c>
      <c r="I290" s="34">
        <f t="shared" si="73"/>
        <v>0</v>
      </c>
      <c r="J290" s="39">
        <f t="shared" si="74"/>
        <v>0</v>
      </c>
      <c r="K290" s="34"/>
      <c r="L290" s="40">
        <f t="shared" si="75"/>
        <v>-46048</v>
      </c>
      <c r="M290" s="34">
        <f t="shared" si="76"/>
        <v>48250</v>
      </c>
      <c r="N290" s="34">
        <f t="shared" si="77"/>
        <v>0</v>
      </c>
      <c r="O290" s="36">
        <f t="shared" si="78"/>
        <v>-90</v>
      </c>
      <c r="P290" s="41">
        <f t="shared" si="79"/>
        <v>0</v>
      </c>
      <c r="Q290" s="70">
        <f t="shared" si="80"/>
        <v>0</v>
      </c>
      <c r="S290" s="38" t="s">
        <v>592</v>
      </c>
      <c r="T290" s="34">
        <v>1</v>
      </c>
      <c r="U290" s="34">
        <v>48250</v>
      </c>
      <c r="V290" s="37">
        <v>46049</v>
      </c>
      <c r="W290" s="34"/>
      <c r="X290" s="35"/>
      <c r="Y290" s="34">
        <f t="shared" si="81"/>
        <v>90</v>
      </c>
      <c r="Z290" s="34">
        <f t="shared" si="82"/>
        <v>0</v>
      </c>
      <c r="AA290" s="39">
        <f t="shared" si="83"/>
        <v>0</v>
      </c>
      <c r="AB290" s="34"/>
      <c r="AC290" s="40">
        <f t="shared" si="84"/>
        <v>-46048</v>
      </c>
      <c r="AD290" s="34">
        <f t="shared" si="85"/>
        <v>48250</v>
      </c>
      <c r="AE290" s="34">
        <f t="shared" si="86"/>
        <v>0</v>
      </c>
      <c r="AF290" s="36">
        <f t="shared" si="87"/>
        <v>-90</v>
      </c>
      <c r="AG290" s="41">
        <f t="shared" si="88"/>
        <v>0</v>
      </c>
      <c r="AH290" s="70">
        <f t="shared" si="89"/>
        <v>0</v>
      </c>
    </row>
    <row r="291" spans="2:34" x14ac:dyDescent="0.4">
      <c r="B291" s="38" t="s">
        <v>592</v>
      </c>
      <c r="C291" s="34">
        <v>1</v>
      </c>
      <c r="D291" s="34">
        <v>47300</v>
      </c>
      <c r="E291" s="37">
        <v>46063</v>
      </c>
      <c r="F291" s="34"/>
      <c r="G291" s="35"/>
      <c r="H291" s="34">
        <f t="shared" si="72"/>
        <v>80</v>
      </c>
      <c r="I291" s="34">
        <f t="shared" si="73"/>
        <v>0</v>
      </c>
      <c r="J291" s="39">
        <f t="shared" si="74"/>
        <v>0</v>
      </c>
      <c r="K291" s="34"/>
      <c r="L291" s="40">
        <f t="shared" si="75"/>
        <v>-46062</v>
      </c>
      <c r="M291" s="34">
        <f t="shared" si="76"/>
        <v>47300</v>
      </c>
      <c r="N291" s="34">
        <f t="shared" si="77"/>
        <v>0</v>
      </c>
      <c r="O291" s="36">
        <f t="shared" si="78"/>
        <v>-80</v>
      </c>
      <c r="P291" s="41">
        <f t="shared" si="79"/>
        <v>0</v>
      </c>
      <c r="Q291" s="70">
        <f t="shared" si="80"/>
        <v>0</v>
      </c>
      <c r="S291" s="38" t="s">
        <v>592</v>
      </c>
      <c r="T291" s="34">
        <v>1</v>
      </c>
      <c r="U291" s="34">
        <v>47300</v>
      </c>
      <c r="V291" s="37">
        <v>46063</v>
      </c>
      <c r="W291" s="34"/>
      <c r="X291" s="35"/>
      <c r="Y291" s="34">
        <f t="shared" si="81"/>
        <v>80</v>
      </c>
      <c r="Z291" s="34">
        <f t="shared" si="82"/>
        <v>0</v>
      </c>
      <c r="AA291" s="39">
        <f t="shared" si="83"/>
        <v>0</v>
      </c>
      <c r="AB291" s="34"/>
      <c r="AC291" s="40">
        <f t="shared" si="84"/>
        <v>-46062</v>
      </c>
      <c r="AD291" s="34">
        <f t="shared" si="85"/>
        <v>47300</v>
      </c>
      <c r="AE291" s="34">
        <f t="shared" si="86"/>
        <v>0</v>
      </c>
      <c r="AF291" s="36">
        <f t="shared" si="87"/>
        <v>-80</v>
      </c>
      <c r="AG291" s="41">
        <f t="shared" si="88"/>
        <v>0</v>
      </c>
      <c r="AH291" s="70">
        <f t="shared" si="89"/>
        <v>0</v>
      </c>
    </row>
    <row r="292" spans="2:34" x14ac:dyDescent="0.4">
      <c r="B292" s="38" t="s">
        <v>592</v>
      </c>
      <c r="C292" s="34">
        <v>1</v>
      </c>
      <c r="D292" s="34">
        <v>46850</v>
      </c>
      <c r="E292" s="37">
        <v>46072</v>
      </c>
      <c r="F292" s="34"/>
      <c r="G292" s="35"/>
      <c r="H292" s="34">
        <f t="shared" si="72"/>
        <v>80</v>
      </c>
      <c r="I292" s="34">
        <f t="shared" si="73"/>
        <v>0</v>
      </c>
      <c r="J292" s="39">
        <f t="shared" si="74"/>
        <v>0</v>
      </c>
      <c r="K292" s="34"/>
      <c r="L292" s="40">
        <f t="shared" si="75"/>
        <v>-46071</v>
      </c>
      <c r="M292" s="34">
        <f t="shared" si="76"/>
        <v>46850</v>
      </c>
      <c r="N292" s="34">
        <f t="shared" si="77"/>
        <v>0</v>
      </c>
      <c r="O292" s="36">
        <f t="shared" si="78"/>
        <v>-80</v>
      </c>
      <c r="P292" s="41">
        <f t="shared" si="79"/>
        <v>0</v>
      </c>
      <c r="Q292" s="70">
        <f t="shared" si="80"/>
        <v>0</v>
      </c>
      <c r="S292" s="38" t="s">
        <v>592</v>
      </c>
      <c r="T292" s="34">
        <v>1</v>
      </c>
      <c r="U292" s="34">
        <v>46850</v>
      </c>
      <c r="V292" s="37">
        <v>46072</v>
      </c>
      <c r="W292" s="34"/>
      <c r="X292" s="35"/>
      <c r="Y292" s="34">
        <f t="shared" si="81"/>
        <v>80</v>
      </c>
      <c r="Z292" s="34">
        <f t="shared" si="82"/>
        <v>0</v>
      </c>
      <c r="AA292" s="39">
        <f t="shared" si="83"/>
        <v>0</v>
      </c>
      <c r="AB292" s="34"/>
      <c r="AC292" s="40">
        <f t="shared" si="84"/>
        <v>-46071</v>
      </c>
      <c r="AD292" s="34">
        <f t="shared" si="85"/>
        <v>46850</v>
      </c>
      <c r="AE292" s="34">
        <f t="shared" si="86"/>
        <v>0</v>
      </c>
      <c r="AF292" s="36">
        <f t="shared" si="87"/>
        <v>-80</v>
      </c>
      <c r="AG292" s="41">
        <f t="shared" si="88"/>
        <v>0</v>
      </c>
      <c r="AH292" s="70">
        <f t="shared" si="89"/>
        <v>0</v>
      </c>
    </row>
    <row r="293" spans="2:34" x14ac:dyDescent="0.4">
      <c r="B293" s="38" t="s">
        <v>592</v>
      </c>
      <c r="C293" s="34">
        <v>1</v>
      </c>
      <c r="D293" s="34">
        <v>49600</v>
      </c>
      <c r="E293" s="37">
        <v>46077</v>
      </c>
      <c r="F293" s="34"/>
      <c r="G293" s="35"/>
      <c r="H293" s="34">
        <f t="shared" si="72"/>
        <v>90</v>
      </c>
      <c r="I293" s="34">
        <f t="shared" si="73"/>
        <v>0</v>
      </c>
      <c r="J293" s="39">
        <f t="shared" si="74"/>
        <v>0</v>
      </c>
      <c r="K293" s="34"/>
      <c r="L293" s="40">
        <f t="shared" si="75"/>
        <v>-46076</v>
      </c>
      <c r="M293" s="34">
        <f t="shared" si="76"/>
        <v>49600</v>
      </c>
      <c r="N293" s="34">
        <f t="shared" si="77"/>
        <v>0</v>
      </c>
      <c r="O293" s="36">
        <f t="shared" si="78"/>
        <v>-90</v>
      </c>
      <c r="P293" s="41">
        <f t="shared" si="79"/>
        <v>0</v>
      </c>
      <c r="Q293" s="70">
        <f t="shared" si="80"/>
        <v>0</v>
      </c>
      <c r="S293" s="38" t="s">
        <v>592</v>
      </c>
      <c r="T293" s="34">
        <v>1</v>
      </c>
      <c r="U293" s="34">
        <v>49600</v>
      </c>
      <c r="V293" s="37">
        <v>46077</v>
      </c>
      <c r="W293" s="34"/>
      <c r="X293" s="35"/>
      <c r="Y293" s="34">
        <f t="shared" si="81"/>
        <v>90</v>
      </c>
      <c r="Z293" s="34">
        <f t="shared" si="82"/>
        <v>0</v>
      </c>
      <c r="AA293" s="39">
        <f t="shared" si="83"/>
        <v>0</v>
      </c>
      <c r="AB293" s="34"/>
      <c r="AC293" s="40">
        <f t="shared" si="84"/>
        <v>-46076</v>
      </c>
      <c r="AD293" s="34">
        <f t="shared" si="85"/>
        <v>49600</v>
      </c>
      <c r="AE293" s="34">
        <f t="shared" si="86"/>
        <v>0</v>
      </c>
      <c r="AF293" s="36">
        <f t="shared" si="87"/>
        <v>-90</v>
      </c>
      <c r="AG293" s="41">
        <f t="shared" si="88"/>
        <v>0</v>
      </c>
      <c r="AH293" s="70">
        <f t="shared" si="89"/>
        <v>0</v>
      </c>
    </row>
    <row r="294" spans="2:34" x14ac:dyDescent="0.4">
      <c r="B294" s="38" t="s">
        <v>592</v>
      </c>
      <c r="C294" s="34">
        <v>1</v>
      </c>
      <c r="D294" s="34">
        <v>56700</v>
      </c>
      <c r="E294" s="37">
        <v>46084</v>
      </c>
      <c r="F294" s="34"/>
      <c r="G294" s="35"/>
      <c r="H294" s="34">
        <f t="shared" si="72"/>
        <v>100</v>
      </c>
      <c r="I294" s="34">
        <f t="shared" si="73"/>
        <v>0</v>
      </c>
      <c r="J294" s="39">
        <f t="shared" si="74"/>
        <v>0</v>
      </c>
      <c r="K294" s="34"/>
      <c r="L294" s="40">
        <f t="shared" si="75"/>
        <v>-46083</v>
      </c>
      <c r="M294" s="34">
        <f t="shared" si="76"/>
        <v>56700</v>
      </c>
      <c r="N294" s="34">
        <f t="shared" si="77"/>
        <v>0</v>
      </c>
      <c r="O294" s="36">
        <f t="shared" si="78"/>
        <v>-100</v>
      </c>
      <c r="P294" s="41">
        <f t="shared" si="79"/>
        <v>0</v>
      </c>
      <c r="Q294" s="70">
        <f t="shared" si="80"/>
        <v>0</v>
      </c>
      <c r="S294" s="38" t="s">
        <v>592</v>
      </c>
      <c r="T294" s="34">
        <v>1</v>
      </c>
      <c r="U294" s="34">
        <v>56700</v>
      </c>
      <c r="V294" s="37">
        <v>46084</v>
      </c>
      <c r="W294" s="34"/>
      <c r="X294" s="35"/>
      <c r="Y294" s="34">
        <f t="shared" si="81"/>
        <v>100</v>
      </c>
      <c r="Z294" s="34">
        <f t="shared" si="82"/>
        <v>0</v>
      </c>
      <c r="AA294" s="39">
        <f t="shared" si="83"/>
        <v>0</v>
      </c>
      <c r="AB294" s="34"/>
      <c r="AC294" s="40">
        <f t="shared" si="84"/>
        <v>-46083</v>
      </c>
      <c r="AD294" s="34">
        <f t="shared" si="85"/>
        <v>56700</v>
      </c>
      <c r="AE294" s="34">
        <f t="shared" si="86"/>
        <v>0</v>
      </c>
      <c r="AF294" s="36">
        <f t="shared" si="87"/>
        <v>-100</v>
      </c>
      <c r="AG294" s="41">
        <f t="shared" si="88"/>
        <v>0</v>
      </c>
      <c r="AH294" s="70">
        <f t="shared" si="89"/>
        <v>0</v>
      </c>
    </row>
    <row r="295" spans="2:34" x14ac:dyDescent="0.4">
      <c r="B295" s="38" t="s">
        <v>592</v>
      </c>
      <c r="C295" s="34">
        <v>1</v>
      </c>
      <c r="D295" s="34">
        <v>48100</v>
      </c>
      <c r="E295" s="37">
        <v>46091</v>
      </c>
      <c r="F295" s="34"/>
      <c r="G295" s="35"/>
      <c r="H295" s="34">
        <f t="shared" si="72"/>
        <v>90</v>
      </c>
      <c r="I295" s="34">
        <f t="shared" si="73"/>
        <v>0</v>
      </c>
      <c r="J295" s="39">
        <f t="shared" si="74"/>
        <v>0</v>
      </c>
      <c r="K295" s="34"/>
      <c r="L295" s="40">
        <f t="shared" si="75"/>
        <v>-46090</v>
      </c>
      <c r="M295" s="34">
        <f t="shared" si="76"/>
        <v>48100</v>
      </c>
      <c r="N295" s="34">
        <f t="shared" si="77"/>
        <v>0</v>
      </c>
      <c r="O295" s="36">
        <f t="shared" si="78"/>
        <v>-90</v>
      </c>
      <c r="P295" s="41">
        <f t="shared" si="79"/>
        <v>0</v>
      </c>
      <c r="Q295" s="70">
        <f t="shared" si="80"/>
        <v>0</v>
      </c>
      <c r="S295" s="38" t="s">
        <v>592</v>
      </c>
      <c r="T295" s="34">
        <v>1</v>
      </c>
      <c r="U295" s="34">
        <v>48100</v>
      </c>
      <c r="V295" s="37">
        <v>46091</v>
      </c>
      <c r="W295" s="34"/>
      <c r="X295" s="35"/>
      <c r="Y295" s="34">
        <f t="shared" si="81"/>
        <v>90</v>
      </c>
      <c r="Z295" s="34">
        <f t="shared" si="82"/>
        <v>0</v>
      </c>
      <c r="AA295" s="39">
        <f t="shared" si="83"/>
        <v>0</v>
      </c>
      <c r="AB295" s="34"/>
      <c r="AC295" s="40">
        <f t="shared" si="84"/>
        <v>-46090</v>
      </c>
      <c r="AD295" s="34">
        <f t="shared" si="85"/>
        <v>48100</v>
      </c>
      <c r="AE295" s="34">
        <f t="shared" si="86"/>
        <v>0</v>
      </c>
      <c r="AF295" s="36">
        <f t="shared" si="87"/>
        <v>-90</v>
      </c>
      <c r="AG295" s="41">
        <f t="shared" si="88"/>
        <v>0</v>
      </c>
      <c r="AH295" s="70">
        <f t="shared" si="89"/>
        <v>0</v>
      </c>
    </row>
    <row r="296" spans="2:34" x14ac:dyDescent="0.4">
      <c r="B296" s="38" t="s">
        <v>592</v>
      </c>
      <c r="C296" s="34">
        <v>1</v>
      </c>
      <c r="D296" s="34">
        <v>50000</v>
      </c>
      <c r="E296" s="37">
        <v>46098</v>
      </c>
      <c r="F296" s="34"/>
      <c r="G296" s="35"/>
      <c r="H296" s="34">
        <f t="shared" si="72"/>
        <v>90</v>
      </c>
      <c r="I296" s="34">
        <f t="shared" si="73"/>
        <v>0</v>
      </c>
      <c r="J296" s="39">
        <f t="shared" si="74"/>
        <v>0</v>
      </c>
      <c r="K296" s="34"/>
      <c r="L296" s="40">
        <f t="shared" si="75"/>
        <v>-46097</v>
      </c>
      <c r="M296" s="34">
        <f t="shared" si="76"/>
        <v>50000</v>
      </c>
      <c r="N296" s="34">
        <f t="shared" si="77"/>
        <v>0</v>
      </c>
      <c r="O296" s="36">
        <f t="shared" si="78"/>
        <v>-90</v>
      </c>
      <c r="P296" s="41">
        <f t="shared" si="79"/>
        <v>0</v>
      </c>
      <c r="Q296" s="70">
        <f t="shared" si="80"/>
        <v>0</v>
      </c>
      <c r="S296" s="38" t="s">
        <v>592</v>
      </c>
      <c r="T296" s="34">
        <v>1</v>
      </c>
      <c r="U296" s="34">
        <v>50000</v>
      </c>
      <c r="V296" s="37">
        <v>46098</v>
      </c>
      <c r="W296" s="34"/>
      <c r="X296" s="35"/>
      <c r="Y296" s="34">
        <f t="shared" si="81"/>
        <v>90</v>
      </c>
      <c r="Z296" s="34">
        <f t="shared" si="82"/>
        <v>0</v>
      </c>
      <c r="AA296" s="39">
        <f t="shared" si="83"/>
        <v>0</v>
      </c>
      <c r="AB296" s="34"/>
      <c r="AC296" s="40">
        <f t="shared" si="84"/>
        <v>-46097</v>
      </c>
      <c r="AD296" s="34">
        <f t="shared" si="85"/>
        <v>50000</v>
      </c>
      <c r="AE296" s="34">
        <f t="shared" si="86"/>
        <v>0</v>
      </c>
      <c r="AF296" s="36">
        <f t="shared" si="87"/>
        <v>-90</v>
      </c>
      <c r="AG296" s="41">
        <f t="shared" si="88"/>
        <v>0</v>
      </c>
      <c r="AH296" s="70">
        <f t="shared" si="89"/>
        <v>0</v>
      </c>
    </row>
    <row r="297" spans="2:34" x14ac:dyDescent="0.4">
      <c r="B297" s="38" t="s">
        <v>592</v>
      </c>
      <c r="C297" s="34">
        <v>1</v>
      </c>
      <c r="D297" s="34">
        <v>44500</v>
      </c>
      <c r="E297" s="37">
        <v>46105</v>
      </c>
      <c r="F297" s="34"/>
      <c r="G297" s="35"/>
      <c r="H297" s="34">
        <f t="shared" si="72"/>
        <v>80</v>
      </c>
      <c r="I297" s="34">
        <f t="shared" si="73"/>
        <v>0</v>
      </c>
      <c r="J297" s="39">
        <f t="shared" si="74"/>
        <v>0</v>
      </c>
      <c r="K297" s="34"/>
      <c r="L297" s="40">
        <f t="shared" si="75"/>
        <v>-46104</v>
      </c>
      <c r="M297" s="34">
        <f t="shared" si="76"/>
        <v>44500</v>
      </c>
      <c r="N297" s="34">
        <f t="shared" si="77"/>
        <v>0</v>
      </c>
      <c r="O297" s="36">
        <f t="shared" si="78"/>
        <v>-80</v>
      </c>
      <c r="P297" s="41">
        <f t="shared" si="79"/>
        <v>0</v>
      </c>
      <c r="Q297" s="70">
        <f t="shared" si="80"/>
        <v>0</v>
      </c>
      <c r="S297" s="38" t="s">
        <v>592</v>
      </c>
      <c r="T297" s="34">
        <v>1</v>
      </c>
      <c r="U297" s="34">
        <v>44500</v>
      </c>
      <c r="V297" s="37">
        <v>46105</v>
      </c>
      <c r="W297" s="34"/>
      <c r="X297" s="35"/>
      <c r="Y297" s="34">
        <f t="shared" si="81"/>
        <v>80</v>
      </c>
      <c r="Z297" s="34">
        <f t="shared" si="82"/>
        <v>0</v>
      </c>
      <c r="AA297" s="39">
        <f t="shared" si="83"/>
        <v>0</v>
      </c>
      <c r="AB297" s="34"/>
      <c r="AC297" s="40">
        <f t="shared" si="84"/>
        <v>-46104</v>
      </c>
      <c r="AD297" s="34">
        <f t="shared" si="85"/>
        <v>44500</v>
      </c>
      <c r="AE297" s="34">
        <f t="shared" si="86"/>
        <v>0</v>
      </c>
      <c r="AF297" s="36">
        <f t="shared" si="87"/>
        <v>-80</v>
      </c>
      <c r="AG297" s="41">
        <f t="shared" si="88"/>
        <v>0</v>
      </c>
      <c r="AH297" s="70">
        <f t="shared" si="89"/>
        <v>0</v>
      </c>
    </row>
    <row r="298" spans="2:34" x14ac:dyDescent="0.4">
      <c r="B298" s="38" t="s">
        <v>592</v>
      </c>
      <c r="C298" s="34">
        <v>1</v>
      </c>
      <c r="D298" s="34">
        <v>44150</v>
      </c>
      <c r="E298" s="37">
        <v>46112</v>
      </c>
      <c r="F298" s="34"/>
      <c r="G298" s="35"/>
      <c r="H298" s="34">
        <f t="shared" si="72"/>
        <v>80</v>
      </c>
      <c r="I298" s="34">
        <f t="shared" si="73"/>
        <v>0</v>
      </c>
      <c r="J298" s="39">
        <f t="shared" si="74"/>
        <v>0</v>
      </c>
      <c r="K298" s="34"/>
      <c r="L298" s="40">
        <f t="shared" si="75"/>
        <v>-46111</v>
      </c>
      <c r="M298" s="34">
        <f t="shared" si="76"/>
        <v>44150</v>
      </c>
      <c r="N298" s="34">
        <f t="shared" si="77"/>
        <v>0</v>
      </c>
      <c r="O298" s="36">
        <f t="shared" si="78"/>
        <v>-80</v>
      </c>
      <c r="P298" s="41">
        <f t="shared" si="79"/>
        <v>0</v>
      </c>
      <c r="Q298" s="70">
        <f t="shared" si="80"/>
        <v>0</v>
      </c>
      <c r="S298" s="38" t="s">
        <v>592</v>
      </c>
      <c r="T298" s="34">
        <v>1</v>
      </c>
      <c r="U298" s="34">
        <v>44150</v>
      </c>
      <c r="V298" s="37">
        <v>46112</v>
      </c>
      <c r="W298" s="34"/>
      <c r="X298" s="35"/>
      <c r="Y298" s="34">
        <f t="shared" si="81"/>
        <v>80</v>
      </c>
      <c r="Z298" s="34">
        <f t="shared" si="82"/>
        <v>0</v>
      </c>
      <c r="AA298" s="39">
        <f t="shared" si="83"/>
        <v>0</v>
      </c>
      <c r="AB298" s="34"/>
      <c r="AC298" s="40">
        <f t="shared" si="84"/>
        <v>-46111</v>
      </c>
      <c r="AD298" s="34">
        <f t="shared" si="85"/>
        <v>44150</v>
      </c>
      <c r="AE298" s="34">
        <f t="shared" si="86"/>
        <v>0</v>
      </c>
      <c r="AF298" s="36">
        <f t="shared" si="87"/>
        <v>-80</v>
      </c>
      <c r="AG298" s="41">
        <f t="shared" si="88"/>
        <v>0</v>
      </c>
      <c r="AH298" s="70">
        <f t="shared" si="89"/>
        <v>0</v>
      </c>
    </row>
    <row r="299" spans="2:34" x14ac:dyDescent="0.4">
      <c r="B299" s="38" t="s">
        <v>495</v>
      </c>
      <c r="C299" s="34">
        <v>1</v>
      </c>
      <c r="D299" s="34">
        <v>4160</v>
      </c>
      <c r="E299" s="37">
        <v>45768</v>
      </c>
      <c r="F299" s="34">
        <v>9060</v>
      </c>
      <c r="G299" s="35">
        <v>45833</v>
      </c>
      <c r="H299" s="34">
        <f t="shared" si="72"/>
        <v>0</v>
      </c>
      <c r="I299" s="34">
        <f t="shared" si="73"/>
        <v>10</v>
      </c>
      <c r="J299" s="39">
        <f t="shared" ref="J299:J325" si="90">N299*0.0015</f>
        <v>13.59</v>
      </c>
      <c r="K299" s="34"/>
      <c r="L299" s="40">
        <f t="shared" si="75"/>
        <v>66</v>
      </c>
      <c r="M299" s="34">
        <f t="shared" si="76"/>
        <v>4160</v>
      </c>
      <c r="N299" s="34">
        <f t="shared" si="77"/>
        <v>9060</v>
      </c>
      <c r="O299" s="36">
        <f t="shared" si="78"/>
        <v>-23.59</v>
      </c>
      <c r="P299" s="41">
        <f t="shared" si="79"/>
        <v>4876.41</v>
      </c>
      <c r="Q299" s="70">
        <f t="shared" si="80"/>
        <v>1.1722139423076923</v>
      </c>
      <c r="S299" s="38" t="s">
        <v>495</v>
      </c>
      <c r="T299" s="34">
        <v>1</v>
      </c>
      <c r="U299" s="34">
        <v>4160</v>
      </c>
      <c r="V299" s="37">
        <v>45768</v>
      </c>
      <c r="W299" s="34">
        <v>9060</v>
      </c>
      <c r="X299" s="35">
        <v>45833</v>
      </c>
      <c r="Y299" s="34">
        <f t="shared" si="81"/>
        <v>0</v>
      </c>
      <c r="Z299" s="34">
        <f t="shared" si="82"/>
        <v>10</v>
      </c>
      <c r="AA299" s="39">
        <f t="shared" ref="AA299:AA325" si="91">AE299*0.0015</f>
        <v>13.59</v>
      </c>
      <c r="AB299" s="34"/>
      <c r="AC299" s="40">
        <f t="shared" si="84"/>
        <v>66</v>
      </c>
      <c r="AD299" s="34">
        <f t="shared" si="85"/>
        <v>4160</v>
      </c>
      <c r="AE299" s="34">
        <f t="shared" si="86"/>
        <v>9060</v>
      </c>
      <c r="AF299" s="36">
        <f t="shared" si="87"/>
        <v>-23.59</v>
      </c>
      <c r="AG299" s="41">
        <f t="shared" si="88"/>
        <v>4876.41</v>
      </c>
      <c r="AH299" s="70">
        <f t="shared" si="89"/>
        <v>1.1722139423076923</v>
      </c>
    </row>
    <row r="300" spans="2:34" x14ac:dyDescent="0.4">
      <c r="B300" s="38" t="s">
        <v>495</v>
      </c>
      <c r="C300" s="34">
        <v>1</v>
      </c>
      <c r="D300" s="34">
        <v>4525</v>
      </c>
      <c r="E300" s="37">
        <v>45775</v>
      </c>
      <c r="F300" s="34">
        <v>9060</v>
      </c>
      <c r="G300" s="35">
        <v>45833</v>
      </c>
      <c r="H300" s="34">
        <f t="shared" si="72"/>
        <v>0</v>
      </c>
      <c r="I300" s="34">
        <f t="shared" si="73"/>
        <v>10</v>
      </c>
      <c r="J300" s="39">
        <f t="shared" si="90"/>
        <v>13.59</v>
      </c>
      <c r="K300" s="34"/>
      <c r="L300" s="40">
        <f t="shared" si="75"/>
        <v>59</v>
      </c>
      <c r="M300" s="34">
        <f t="shared" si="76"/>
        <v>4525</v>
      </c>
      <c r="N300" s="34">
        <f t="shared" si="77"/>
        <v>9060</v>
      </c>
      <c r="O300" s="36">
        <f t="shared" si="78"/>
        <v>-23.59</v>
      </c>
      <c r="P300" s="41">
        <f t="shared" si="79"/>
        <v>4511.41</v>
      </c>
      <c r="Q300" s="70">
        <f t="shared" si="80"/>
        <v>0.99699668508287287</v>
      </c>
      <c r="S300" s="38" t="s">
        <v>495</v>
      </c>
      <c r="T300" s="34">
        <v>1</v>
      </c>
      <c r="U300" s="34">
        <v>4525</v>
      </c>
      <c r="V300" s="37">
        <v>45775</v>
      </c>
      <c r="W300" s="34">
        <v>9060</v>
      </c>
      <c r="X300" s="35">
        <v>45833</v>
      </c>
      <c r="Y300" s="34">
        <f t="shared" si="81"/>
        <v>0</v>
      </c>
      <c r="Z300" s="34">
        <f t="shared" si="82"/>
        <v>10</v>
      </c>
      <c r="AA300" s="39">
        <f t="shared" si="91"/>
        <v>13.59</v>
      </c>
      <c r="AB300" s="34"/>
      <c r="AC300" s="40">
        <f t="shared" si="84"/>
        <v>59</v>
      </c>
      <c r="AD300" s="34">
        <f t="shared" si="85"/>
        <v>4525</v>
      </c>
      <c r="AE300" s="34">
        <f t="shared" si="86"/>
        <v>9060</v>
      </c>
      <c r="AF300" s="36">
        <f t="shared" si="87"/>
        <v>-23.59</v>
      </c>
      <c r="AG300" s="41">
        <f t="shared" si="88"/>
        <v>4511.41</v>
      </c>
      <c r="AH300" s="70">
        <f t="shared" si="89"/>
        <v>0.99699668508287287</v>
      </c>
    </row>
    <row r="301" spans="2:34" x14ac:dyDescent="0.4">
      <c r="B301" s="38" t="s">
        <v>495</v>
      </c>
      <c r="C301" s="34">
        <v>1</v>
      </c>
      <c r="D301" s="34">
        <v>4870</v>
      </c>
      <c r="E301" s="37">
        <v>45784</v>
      </c>
      <c r="F301" s="34">
        <v>9060</v>
      </c>
      <c r="G301" s="35">
        <v>45833</v>
      </c>
      <c r="H301" s="34">
        <f t="shared" si="72"/>
        <v>0</v>
      </c>
      <c r="I301" s="34">
        <f t="shared" si="73"/>
        <v>10</v>
      </c>
      <c r="J301" s="39">
        <f t="shared" si="90"/>
        <v>13.59</v>
      </c>
      <c r="K301" s="34"/>
      <c r="L301" s="40">
        <f t="shared" si="75"/>
        <v>50</v>
      </c>
      <c r="M301" s="34">
        <f t="shared" si="76"/>
        <v>4870</v>
      </c>
      <c r="N301" s="34">
        <f t="shared" si="77"/>
        <v>9060</v>
      </c>
      <c r="O301" s="36">
        <f t="shared" si="78"/>
        <v>-23.59</v>
      </c>
      <c r="P301" s="41">
        <f t="shared" si="79"/>
        <v>4166.41</v>
      </c>
      <c r="Q301" s="70">
        <f t="shared" si="80"/>
        <v>0.85552566735112934</v>
      </c>
      <c r="S301" s="38" t="s">
        <v>495</v>
      </c>
      <c r="T301" s="34">
        <v>1</v>
      </c>
      <c r="U301" s="34">
        <v>4870</v>
      </c>
      <c r="V301" s="37">
        <v>45784</v>
      </c>
      <c r="W301" s="34">
        <v>9060</v>
      </c>
      <c r="X301" s="35">
        <v>45833</v>
      </c>
      <c r="Y301" s="34">
        <f t="shared" si="81"/>
        <v>0</v>
      </c>
      <c r="Z301" s="34">
        <f t="shared" si="82"/>
        <v>10</v>
      </c>
      <c r="AA301" s="39">
        <f t="shared" si="91"/>
        <v>13.59</v>
      </c>
      <c r="AB301" s="34"/>
      <c r="AC301" s="40">
        <f t="shared" si="84"/>
        <v>50</v>
      </c>
      <c r="AD301" s="34">
        <f t="shared" si="85"/>
        <v>4870</v>
      </c>
      <c r="AE301" s="34">
        <f t="shared" si="86"/>
        <v>9060</v>
      </c>
      <c r="AF301" s="36">
        <f t="shared" si="87"/>
        <v>-23.59</v>
      </c>
      <c r="AG301" s="41">
        <f t="shared" si="88"/>
        <v>4166.41</v>
      </c>
      <c r="AH301" s="70">
        <f t="shared" si="89"/>
        <v>0.85552566735112934</v>
      </c>
    </row>
    <row r="302" spans="2:34" x14ac:dyDescent="0.4">
      <c r="B302" s="38" t="s">
        <v>495</v>
      </c>
      <c r="C302" s="34">
        <v>1</v>
      </c>
      <c r="D302" s="34">
        <v>4800</v>
      </c>
      <c r="E302" s="37">
        <v>45789</v>
      </c>
      <c r="F302" s="34">
        <v>9060</v>
      </c>
      <c r="G302" s="35">
        <v>45833</v>
      </c>
      <c r="H302" s="34">
        <f t="shared" si="72"/>
        <v>0</v>
      </c>
      <c r="I302" s="34">
        <f t="shared" si="73"/>
        <v>10</v>
      </c>
      <c r="J302" s="39">
        <f t="shared" si="90"/>
        <v>13.59</v>
      </c>
      <c r="K302" s="34"/>
      <c r="L302" s="40">
        <f t="shared" si="75"/>
        <v>45</v>
      </c>
      <c r="M302" s="34">
        <f t="shared" si="76"/>
        <v>4800</v>
      </c>
      <c r="N302" s="34">
        <f t="shared" si="77"/>
        <v>9060</v>
      </c>
      <c r="O302" s="36">
        <f t="shared" si="78"/>
        <v>-23.59</v>
      </c>
      <c r="P302" s="41">
        <f t="shared" si="79"/>
        <v>4236.41</v>
      </c>
      <c r="Q302" s="70">
        <f t="shared" si="80"/>
        <v>0.88258541666666668</v>
      </c>
      <c r="S302" s="38" t="s">
        <v>495</v>
      </c>
      <c r="T302" s="34">
        <v>1</v>
      </c>
      <c r="U302" s="34">
        <v>4800</v>
      </c>
      <c r="V302" s="37">
        <v>45789</v>
      </c>
      <c r="W302" s="34">
        <v>9060</v>
      </c>
      <c r="X302" s="35">
        <v>45833</v>
      </c>
      <c r="Y302" s="34">
        <f t="shared" si="81"/>
        <v>0</v>
      </c>
      <c r="Z302" s="34">
        <f t="shared" si="82"/>
        <v>10</v>
      </c>
      <c r="AA302" s="39">
        <f t="shared" si="91"/>
        <v>13.59</v>
      </c>
      <c r="AB302" s="34"/>
      <c r="AC302" s="40">
        <f t="shared" si="84"/>
        <v>45</v>
      </c>
      <c r="AD302" s="34">
        <f t="shared" si="85"/>
        <v>4800</v>
      </c>
      <c r="AE302" s="34">
        <f t="shared" si="86"/>
        <v>9060</v>
      </c>
      <c r="AF302" s="36">
        <f t="shared" si="87"/>
        <v>-23.59</v>
      </c>
      <c r="AG302" s="41">
        <f t="shared" si="88"/>
        <v>4236.41</v>
      </c>
      <c r="AH302" s="70">
        <f t="shared" si="89"/>
        <v>0.88258541666666668</v>
      </c>
    </row>
    <row r="303" spans="2:34" x14ac:dyDescent="0.4">
      <c r="B303" s="38" t="s">
        <v>495</v>
      </c>
      <c r="C303" s="34">
        <v>1</v>
      </c>
      <c r="D303" s="34">
        <v>5140</v>
      </c>
      <c r="E303" s="37">
        <v>45796</v>
      </c>
      <c r="F303" s="34">
        <v>9060</v>
      </c>
      <c r="G303" s="35">
        <v>45833</v>
      </c>
      <c r="H303" s="34">
        <f t="shared" si="72"/>
        <v>0</v>
      </c>
      <c r="I303" s="34">
        <f t="shared" si="73"/>
        <v>10</v>
      </c>
      <c r="J303" s="39">
        <f t="shared" si="90"/>
        <v>13.59</v>
      </c>
      <c r="K303" s="34"/>
      <c r="L303" s="40">
        <f t="shared" si="75"/>
        <v>38</v>
      </c>
      <c r="M303" s="34">
        <f t="shared" si="76"/>
        <v>5140</v>
      </c>
      <c r="N303" s="34">
        <f t="shared" si="77"/>
        <v>9060</v>
      </c>
      <c r="O303" s="36">
        <f t="shared" si="78"/>
        <v>-23.59</v>
      </c>
      <c r="P303" s="41">
        <f t="shared" si="79"/>
        <v>3896.41</v>
      </c>
      <c r="Q303" s="70">
        <f t="shared" si="80"/>
        <v>0.75805642023346298</v>
      </c>
      <c r="S303" s="38" t="s">
        <v>495</v>
      </c>
      <c r="T303" s="34">
        <v>1</v>
      </c>
      <c r="U303" s="34">
        <v>5140</v>
      </c>
      <c r="V303" s="37">
        <v>45796</v>
      </c>
      <c r="W303" s="34">
        <v>9060</v>
      </c>
      <c r="X303" s="35">
        <v>45833</v>
      </c>
      <c r="Y303" s="34">
        <f t="shared" si="81"/>
        <v>0</v>
      </c>
      <c r="Z303" s="34">
        <f t="shared" si="82"/>
        <v>10</v>
      </c>
      <c r="AA303" s="39">
        <f t="shared" si="91"/>
        <v>13.59</v>
      </c>
      <c r="AB303" s="34"/>
      <c r="AC303" s="40">
        <f t="shared" si="84"/>
        <v>38</v>
      </c>
      <c r="AD303" s="34">
        <f t="shared" si="85"/>
        <v>5140</v>
      </c>
      <c r="AE303" s="34">
        <f t="shared" si="86"/>
        <v>9060</v>
      </c>
      <c r="AF303" s="36">
        <f t="shared" si="87"/>
        <v>-23.59</v>
      </c>
      <c r="AG303" s="41">
        <f t="shared" si="88"/>
        <v>3896.41</v>
      </c>
      <c r="AH303" s="70">
        <f t="shared" si="89"/>
        <v>0.75805642023346298</v>
      </c>
    </row>
    <row r="304" spans="2:34" x14ac:dyDescent="0.4">
      <c r="B304" s="38" t="s">
        <v>495</v>
      </c>
      <c r="C304" s="34">
        <v>1</v>
      </c>
      <c r="D304" s="34">
        <v>5220</v>
      </c>
      <c r="E304" s="37">
        <v>45803</v>
      </c>
      <c r="F304" s="34">
        <v>9060</v>
      </c>
      <c r="G304" s="35">
        <v>45833</v>
      </c>
      <c r="H304" s="34">
        <f t="shared" si="72"/>
        <v>0</v>
      </c>
      <c r="I304" s="34">
        <f t="shared" si="73"/>
        <v>10</v>
      </c>
      <c r="J304" s="39">
        <f t="shared" si="90"/>
        <v>13.59</v>
      </c>
      <c r="K304" s="34"/>
      <c r="L304" s="40">
        <f t="shared" si="75"/>
        <v>31</v>
      </c>
      <c r="M304" s="34">
        <f t="shared" si="76"/>
        <v>5220</v>
      </c>
      <c r="N304" s="34">
        <f t="shared" si="77"/>
        <v>9060</v>
      </c>
      <c r="O304" s="36">
        <f t="shared" si="78"/>
        <v>-23.59</v>
      </c>
      <c r="P304" s="41">
        <f t="shared" si="79"/>
        <v>3816.41</v>
      </c>
      <c r="Q304" s="70">
        <f t="shared" si="80"/>
        <v>0.7311130268199233</v>
      </c>
      <c r="S304" s="38" t="s">
        <v>495</v>
      </c>
      <c r="T304" s="34">
        <v>1</v>
      </c>
      <c r="U304" s="34">
        <v>5220</v>
      </c>
      <c r="V304" s="37">
        <v>45803</v>
      </c>
      <c r="W304" s="34">
        <v>9060</v>
      </c>
      <c r="X304" s="35">
        <v>45833</v>
      </c>
      <c r="Y304" s="34">
        <f t="shared" si="81"/>
        <v>0</v>
      </c>
      <c r="Z304" s="34">
        <f t="shared" si="82"/>
        <v>10</v>
      </c>
      <c r="AA304" s="39">
        <f t="shared" si="91"/>
        <v>13.59</v>
      </c>
      <c r="AB304" s="34"/>
      <c r="AC304" s="40">
        <f t="shared" si="84"/>
        <v>31</v>
      </c>
      <c r="AD304" s="34">
        <f t="shared" si="85"/>
        <v>5220</v>
      </c>
      <c r="AE304" s="34">
        <f t="shared" si="86"/>
        <v>9060</v>
      </c>
      <c r="AF304" s="36">
        <f t="shared" si="87"/>
        <v>-23.59</v>
      </c>
      <c r="AG304" s="41">
        <f t="shared" si="88"/>
        <v>3816.41</v>
      </c>
      <c r="AH304" s="70">
        <f t="shared" si="89"/>
        <v>0.7311130268199233</v>
      </c>
    </row>
    <row r="305" spans="2:34" x14ac:dyDescent="0.4">
      <c r="B305" s="38" t="s">
        <v>495</v>
      </c>
      <c r="C305" s="34">
        <v>1</v>
      </c>
      <c r="D305" s="34">
        <v>5800</v>
      </c>
      <c r="E305" s="37">
        <v>45810</v>
      </c>
      <c r="F305" s="34">
        <v>9060</v>
      </c>
      <c r="G305" s="35">
        <v>45833</v>
      </c>
      <c r="H305" s="34">
        <f t="shared" si="72"/>
        <v>10</v>
      </c>
      <c r="I305" s="34">
        <f t="shared" si="73"/>
        <v>10</v>
      </c>
      <c r="J305" s="39">
        <f t="shared" si="90"/>
        <v>13.59</v>
      </c>
      <c r="K305" s="34"/>
      <c r="L305" s="40">
        <f t="shared" si="75"/>
        <v>24</v>
      </c>
      <c r="M305" s="34">
        <f t="shared" si="76"/>
        <v>5800</v>
      </c>
      <c r="N305" s="34">
        <f t="shared" si="77"/>
        <v>9060</v>
      </c>
      <c r="O305" s="36">
        <f t="shared" si="78"/>
        <v>-33.590000000000003</v>
      </c>
      <c r="P305" s="41">
        <f t="shared" si="79"/>
        <v>3226.41</v>
      </c>
      <c r="Q305" s="70">
        <f t="shared" si="80"/>
        <v>0.55627758620689649</v>
      </c>
      <c r="S305" s="38" t="s">
        <v>495</v>
      </c>
      <c r="T305" s="34">
        <v>1</v>
      </c>
      <c r="U305" s="34">
        <v>5800</v>
      </c>
      <c r="V305" s="37">
        <v>45810</v>
      </c>
      <c r="W305" s="34">
        <v>9060</v>
      </c>
      <c r="X305" s="35">
        <v>45833</v>
      </c>
      <c r="Y305" s="34">
        <f t="shared" si="81"/>
        <v>10</v>
      </c>
      <c r="Z305" s="34">
        <f t="shared" si="82"/>
        <v>10</v>
      </c>
      <c r="AA305" s="39">
        <f t="shared" si="91"/>
        <v>13.59</v>
      </c>
      <c r="AB305" s="34"/>
      <c r="AC305" s="40">
        <f t="shared" si="84"/>
        <v>24</v>
      </c>
      <c r="AD305" s="34">
        <f t="shared" si="85"/>
        <v>5800</v>
      </c>
      <c r="AE305" s="34">
        <f t="shared" si="86"/>
        <v>9060</v>
      </c>
      <c r="AF305" s="36">
        <f t="shared" si="87"/>
        <v>-33.590000000000003</v>
      </c>
      <c r="AG305" s="41">
        <f t="shared" si="88"/>
        <v>3226.41</v>
      </c>
      <c r="AH305" s="70">
        <f t="shared" si="89"/>
        <v>0.55627758620689649</v>
      </c>
    </row>
    <row r="306" spans="2:34" x14ac:dyDescent="0.4">
      <c r="B306" s="38" t="s">
        <v>495</v>
      </c>
      <c r="C306" s="34">
        <v>1</v>
      </c>
      <c r="D306" s="34">
        <v>6590</v>
      </c>
      <c r="E306" s="37">
        <v>45817</v>
      </c>
      <c r="F306" s="34">
        <v>9060</v>
      </c>
      <c r="G306" s="35">
        <v>45833</v>
      </c>
      <c r="H306" s="34">
        <f t="shared" si="72"/>
        <v>10</v>
      </c>
      <c r="I306" s="34">
        <f t="shared" si="73"/>
        <v>10</v>
      </c>
      <c r="J306" s="39">
        <f t="shared" si="90"/>
        <v>13.59</v>
      </c>
      <c r="K306" s="34"/>
      <c r="L306" s="40">
        <f t="shared" si="75"/>
        <v>17</v>
      </c>
      <c r="M306" s="34">
        <f t="shared" si="76"/>
        <v>6590</v>
      </c>
      <c r="N306" s="34">
        <f t="shared" si="77"/>
        <v>9060</v>
      </c>
      <c r="O306" s="36">
        <f t="shared" si="78"/>
        <v>-33.590000000000003</v>
      </c>
      <c r="P306" s="41">
        <f t="shared" si="79"/>
        <v>2436.41</v>
      </c>
      <c r="Q306" s="70">
        <f t="shared" si="80"/>
        <v>0.36971320182094081</v>
      </c>
      <c r="S306" s="38" t="s">
        <v>495</v>
      </c>
      <c r="T306" s="34">
        <v>1</v>
      </c>
      <c r="U306" s="34">
        <v>6590</v>
      </c>
      <c r="V306" s="37">
        <v>45817</v>
      </c>
      <c r="W306" s="34">
        <v>9060</v>
      </c>
      <c r="X306" s="35">
        <v>45833</v>
      </c>
      <c r="Y306" s="34">
        <f t="shared" si="81"/>
        <v>10</v>
      </c>
      <c r="Z306" s="34">
        <f t="shared" si="82"/>
        <v>10</v>
      </c>
      <c r="AA306" s="39">
        <f t="shared" si="91"/>
        <v>13.59</v>
      </c>
      <c r="AB306" s="34"/>
      <c r="AC306" s="40">
        <f t="shared" si="84"/>
        <v>17</v>
      </c>
      <c r="AD306" s="34">
        <f t="shared" si="85"/>
        <v>6590</v>
      </c>
      <c r="AE306" s="34">
        <f t="shared" si="86"/>
        <v>9060</v>
      </c>
      <c r="AF306" s="36">
        <f t="shared" si="87"/>
        <v>-33.590000000000003</v>
      </c>
      <c r="AG306" s="41">
        <f t="shared" si="88"/>
        <v>2436.41</v>
      </c>
      <c r="AH306" s="70">
        <f t="shared" si="89"/>
        <v>0.36971320182094081</v>
      </c>
    </row>
    <row r="307" spans="2:34" x14ac:dyDescent="0.4">
      <c r="B307" s="38" t="s">
        <v>495</v>
      </c>
      <c r="C307" s="34">
        <v>1</v>
      </c>
      <c r="D307" s="34">
        <v>7870</v>
      </c>
      <c r="E307" s="37">
        <v>45824</v>
      </c>
      <c r="F307" s="34">
        <v>9060</v>
      </c>
      <c r="G307" s="35">
        <v>45833</v>
      </c>
      <c r="H307" s="34">
        <f t="shared" si="72"/>
        <v>10</v>
      </c>
      <c r="I307" s="34">
        <f t="shared" si="73"/>
        <v>10</v>
      </c>
      <c r="J307" s="39">
        <f t="shared" si="90"/>
        <v>13.59</v>
      </c>
      <c r="K307" s="34"/>
      <c r="L307" s="40">
        <f t="shared" si="75"/>
        <v>10</v>
      </c>
      <c r="M307" s="34">
        <f t="shared" si="76"/>
        <v>7870</v>
      </c>
      <c r="N307" s="34">
        <f t="shared" si="77"/>
        <v>9060</v>
      </c>
      <c r="O307" s="36">
        <f t="shared" si="78"/>
        <v>-33.590000000000003</v>
      </c>
      <c r="P307" s="41">
        <f t="shared" si="79"/>
        <v>1156.4100000000001</v>
      </c>
      <c r="Q307" s="70">
        <f t="shared" si="80"/>
        <v>0.14693900889453623</v>
      </c>
      <c r="S307" s="38" t="s">
        <v>495</v>
      </c>
      <c r="T307" s="34">
        <v>1</v>
      </c>
      <c r="U307" s="34">
        <v>7870</v>
      </c>
      <c r="V307" s="37">
        <v>45824</v>
      </c>
      <c r="W307" s="34">
        <v>9060</v>
      </c>
      <c r="X307" s="35">
        <v>45833</v>
      </c>
      <c r="Y307" s="34">
        <f t="shared" si="81"/>
        <v>10</v>
      </c>
      <c r="Z307" s="34">
        <f t="shared" si="82"/>
        <v>10</v>
      </c>
      <c r="AA307" s="39">
        <f t="shared" si="91"/>
        <v>13.59</v>
      </c>
      <c r="AB307" s="34"/>
      <c r="AC307" s="40">
        <f t="shared" si="84"/>
        <v>10</v>
      </c>
      <c r="AD307" s="34">
        <f t="shared" si="85"/>
        <v>7870</v>
      </c>
      <c r="AE307" s="34">
        <f t="shared" si="86"/>
        <v>9060</v>
      </c>
      <c r="AF307" s="36">
        <f t="shared" si="87"/>
        <v>-33.590000000000003</v>
      </c>
      <c r="AG307" s="41">
        <f t="shared" si="88"/>
        <v>1156.4100000000001</v>
      </c>
      <c r="AH307" s="70">
        <f t="shared" si="89"/>
        <v>0.14693900889453623</v>
      </c>
    </row>
    <row r="308" spans="2:34" x14ac:dyDescent="0.4">
      <c r="B308" s="38" t="s">
        <v>495</v>
      </c>
      <c r="C308" s="34">
        <v>1</v>
      </c>
      <c r="D308" s="34">
        <v>7850</v>
      </c>
      <c r="E308" s="37">
        <v>45831</v>
      </c>
      <c r="F308" s="34">
        <v>9060</v>
      </c>
      <c r="G308" s="35">
        <v>45833</v>
      </c>
      <c r="H308" s="34">
        <f t="shared" si="72"/>
        <v>10</v>
      </c>
      <c r="I308" s="34">
        <f t="shared" si="73"/>
        <v>10</v>
      </c>
      <c r="J308" s="39">
        <f t="shared" si="90"/>
        <v>13.59</v>
      </c>
      <c r="K308" s="34"/>
      <c r="L308" s="40">
        <f t="shared" si="75"/>
        <v>3</v>
      </c>
      <c r="M308" s="34">
        <f t="shared" si="76"/>
        <v>7850</v>
      </c>
      <c r="N308" s="34">
        <f t="shared" si="77"/>
        <v>9060</v>
      </c>
      <c r="O308" s="36">
        <f t="shared" si="78"/>
        <v>-33.590000000000003</v>
      </c>
      <c r="P308" s="41">
        <f t="shared" si="79"/>
        <v>1176.4100000000001</v>
      </c>
      <c r="Q308" s="70">
        <f t="shared" si="80"/>
        <v>0.14986114649681528</v>
      </c>
      <c r="S308" s="38" t="s">
        <v>495</v>
      </c>
      <c r="T308" s="34">
        <v>1</v>
      </c>
      <c r="U308" s="34">
        <v>7850</v>
      </c>
      <c r="V308" s="37">
        <v>45831</v>
      </c>
      <c r="W308" s="34">
        <v>9060</v>
      </c>
      <c r="X308" s="35">
        <v>45833</v>
      </c>
      <c r="Y308" s="34">
        <f t="shared" si="81"/>
        <v>10</v>
      </c>
      <c r="Z308" s="34">
        <f t="shared" si="82"/>
        <v>10</v>
      </c>
      <c r="AA308" s="39">
        <f t="shared" si="91"/>
        <v>13.59</v>
      </c>
      <c r="AB308" s="34"/>
      <c r="AC308" s="40">
        <f t="shared" si="84"/>
        <v>3</v>
      </c>
      <c r="AD308" s="34">
        <f t="shared" si="85"/>
        <v>7850</v>
      </c>
      <c r="AE308" s="34">
        <f t="shared" si="86"/>
        <v>9060</v>
      </c>
      <c r="AF308" s="36">
        <f t="shared" si="87"/>
        <v>-33.590000000000003</v>
      </c>
      <c r="AG308" s="41">
        <f t="shared" si="88"/>
        <v>1176.4100000000001</v>
      </c>
      <c r="AH308" s="70">
        <f t="shared" si="89"/>
        <v>0.14986114649681528</v>
      </c>
    </row>
    <row r="309" spans="2:34" x14ac:dyDescent="0.4">
      <c r="B309" s="38" t="s">
        <v>495</v>
      </c>
      <c r="C309" s="34">
        <v>1</v>
      </c>
      <c r="D309" s="34">
        <v>8380</v>
      </c>
      <c r="E309" s="37">
        <v>45838</v>
      </c>
      <c r="F309" s="34">
        <v>10500</v>
      </c>
      <c r="G309" s="35">
        <v>45950</v>
      </c>
      <c r="H309" s="34">
        <f t="shared" si="72"/>
        <v>10</v>
      </c>
      <c r="I309" s="34">
        <f t="shared" si="73"/>
        <v>10</v>
      </c>
      <c r="J309" s="39">
        <f t="shared" si="90"/>
        <v>15.75</v>
      </c>
      <c r="K309" s="34"/>
      <c r="L309" s="40">
        <f t="shared" si="75"/>
        <v>113</v>
      </c>
      <c r="M309" s="34">
        <f t="shared" si="76"/>
        <v>8380</v>
      </c>
      <c r="N309" s="34">
        <f t="shared" si="77"/>
        <v>10500</v>
      </c>
      <c r="O309" s="36">
        <f t="shared" si="78"/>
        <v>-35.75</v>
      </c>
      <c r="P309" s="41">
        <f t="shared" si="79"/>
        <v>2084.25</v>
      </c>
      <c r="Q309" s="70">
        <f t="shared" si="80"/>
        <v>0.24871718377088306</v>
      </c>
      <c r="S309" s="38" t="s">
        <v>495</v>
      </c>
      <c r="T309" s="34">
        <v>1</v>
      </c>
      <c r="U309" s="34">
        <v>8380</v>
      </c>
      <c r="V309" s="37">
        <v>45838</v>
      </c>
      <c r="W309" s="34">
        <v>10500</v>
      </c>
      <c r="X309" s="35">
        <v>45950</v>
      </c>
      <c r="Y309" s="34">
        <f t="shared" si="81"/>
        <v>10</v>
      </c>
      <c r="Z309" s="34">
        <f t="shared" si="82"/>
        <v>10</v>
      </c>
      <c r="AA309" s="39">
        <f t="shared" si="91"/>
        <v>15.75</v>
      </c>
      <c r="AB309" s="34"/>
      <c r="AC309" s="40">
        <f t="shared" si="84"/>
        <v>113</v>
      </c>
      <c r="AD309" s="34">
        <f t="shared" si="85"/>
        <v>8380</v>
      </c>
      <c r="AE309" s="34">
        <f t="shared" si="86"/>
        <v>10500</v>
      </c>
      <c r="AF309" s="36">
        <f t="shared" si="87"/>
        <v>-35.75</v>
      </c>
      <c r="AG309" s="41">
        <f t="shared" si="88"/>
        <v>2084.25</v>
      </c>
      <c r="AH309" s="70">
        <f t="shared" si="89"/>
        <v>0.24871718377088306</v>
      </c>
    </row>
    <row r="310" spans="2:34" x14ac:dyDescent="0.4">
      <c r="B310" s="38" t="s">
        <v>495</v>
      </c>
      <c r="C310" s="34">
        <v>1</v>
      </c>
      <c r="D310" s="34">
        <v>7850</v>
      </c>
      <c r="E310" s="37">
        <v>45845</v>
      </c>
      <c r="F310" s="34">
        <v>10500</v>
      </c>
      <c r="G310" s="35">
        <v>45950</v>
      </c>
      <c r="H310" s="34">
        <f t="shared" si="72"/>
        <v>10</v>
      </c>
      <c r="I310" s="34">
        <f t="shared" si="73"/>
        <v>10</v>
      </c>
      <c r="J310" s="39">
        <f t="shared" si="90"/>
        <v>15.75</v>
      </c>
      <c r="K310" s="34"/>
      <c r="L310" s="40">
        <f t="shared" si="75"/>
        <v>106</v>
      </c>
      <c r="M310" s="34">
        <f t="shared" si="76"/>
        <v>7850</v>
      </c>
      <c r="N310" s="34">
        <f t="shared" si="77"/>
        <v>10500</v>
      </c>
      <c r="O310" s="36">
        <f t="shared" si="78"/>
        <v>-35.75</v>
      </c>
      <c r="P310" s="41">
        <f t="shared" si="79"/>
        <v>2614.25</v>
      </c>
      <c r="Q310" s="70">
        <f t="shared" si="80"/>
        <v>0.33302547770700636</v>
      </c>
      <c r="S310" s="38" t="s">
        <v>495</v>
      </c>
      <c r="T310" s="34">
        <v>1</v>
      </c>
      <c r="U310" s="34">
        <v>7850</v>
      </c>
      <c r="V310" s="37">
        <v>45845</v>
      </c>
      <c r="W310" s="34">
        <v>10500</v>
      </c>
      <c r="X310" s="35">
        <v>45950</v>
      </c>
      <c r="Y310" s="34">
        <f t="shared" si="81"/>
        <v>10</v>
      </c>
      <c r="Z310" s="34">
        <f t="shared" si="82"/>
        <v>10</v>
      </c>
      <c r="AA310" s="39">
        <f t="shared" si="91"/>
        <v>15.75</v>
      </c>
      <c r="AB310" s="34"/>
      <c r="AC310" s="40">
        <f t="shared" si="84"/>
        <v>106</v>
      </c>
      <c r="AD310" s="34">
        <f t="shared" si="85"/>
        <v>7850</v>
      </c>
      <c r="AE310" s="34">
        <f t="shared" si="86"/>
        <v>10500</v>
      </c>
      <c r="AF310" s="36">
        <f t="shared" si="87"/>
        <v>-35.75</v>
      </c>
      <c r="AG310" s="41">
        <f t="shared" si="88"/>
        <v>2614.25</v>
      </c>
      <c r="AH310" s="70">
        <f t="shared" si="89"/>
        <v>0.33302547770700636</v>
      </c>
    </row>
    <row r="311" spans="2:34" x14ac:dyDescent="0.4">
      <c r="B311" s="38" t="s">
        <v>495</v>
      </c>
      <c r="C311" s="34">
        <v>1</v>
      </c>
      <c r="D311" s="34">
        <v>9690</v>
      </c>
      <c r="E311" s="37">
        <v>45852</v>
      </c>
      <c r="F311" s="34">
        <v>10500</v>
      </c>
      <c r="G311" s="35">
        <v>45950</v>
      </c>
      <c r="H311" s="34">
        <f t="shared" si="72"/>
        <v>10</v>
      </c>
      <c r="I311" s="34">
        <f t="shared" si="73"/>
        <v>10</v>
      </c>
      <c r="J311" s="39">
        <f t="shared" si="90"/>
        <v>15.75</v>
      </c>
      <c r="K311" s="34"/>
      <c r="L311" s="40">
        <f t="shared" si="75"/>
        <v>99</v>
      </c>
      <c r="M311" s="34">
        <f t="shared" si="76"/>
        <v>9690</v>
      </c>
      <c r="N311" s="34">
        <f t="shared" si="77"/>
        <v>10500</v>
      </c>
      <c r="O311" s="36">
        <f t="shared" si="78"/>
        <v>-35.75</v>
      </c>
      <c r="P311" s="41">
        <f t="shared" si="79"/>
        <v>774.25</v>
      </c>
      <c r="Q311" s="70">
        <f t="shared" si="80"/>
        <v>7.9901960784313719E-2</v>
      </c>
      <c r="S311" s="38" t="s">
        <v>495</v>
      </c>
      <c r="T311" s="34">
        <v>1</v>
      </c>
      <c r="U311" s="34">
        <v>9690</v>
      </c>
      <c r="V311" s="37">
        <v>45852</v>
      </c>
      <c r="W311" s="34">
        <v>10500</v>
      </c>
      <c r="X311" s="35">
        <v>45950</v>
      </c>
      <c r="Y311" s="34">
        <f t="shared" si="81"/>
        <v>10</v>
      </c>
      <c r="Z311" s="34">
        <f t="shared" si="82"/>
        <v>10</v>
      </c>
      <c r="AA311" s="39">
        <f t="shared" si="91"/>
        <v>15.75</v>
      </c>
      <c r="AB311" s="34"/>
      <c r="AC311" s="40">
        <f t="shared" si="84"/>
        <v>99</v>
      </c>
      <c r="AD311" s="34">
        <f t="shared" si="85"/>
        <v>9690</v>
      </c>
      <c r="AE311" s="34">
        <f t="shared" si="86"/>
        <v>10500</v>
      </c>
      <c r="AF311" s="36">
        <f t="shared" si="87"/>
        <v>-35.75</v>
      </c>
      <c r="AG311" s="41">
        <f t="shared" si="88"/>
        <v>774.25</v>
      </c>
      <c r="AH311" s="70">
        <f t="shared" si="89"/>
        <v>7.9901960784313719E-2</v>
      </c>
    </row>
    <row r="312" spans="2:34" x14ac:dyDescent="0.4">
      <c r="B312" s="38" t="s">
        <v>495</v>
      </c>
      <c r="C312" s="34">
        <v>1</v>
      </c>
      <c r="D312" s="34">
        <v>8980</v>
      </c>
      <c r="E312" s="37">
        <v>45859</v>
      </c>
      <c r="F312" s="34">
        <v>10500</v>
      </c>
      <c r="G312" s="35">
        <v>45950</v>
      </c>
      <c r="H312" s="34">
        <f t="shared" si="72"/>
        <v>10</v>
      </c>
      <c r="I312" s="34">
        <f t="shared" si="73"/>
        <v>10</v>
      </c>
      <c r="J312" s="39">
        <f t="shared" si="90"/>
        <v>15.75</v>
      </c>
      <c r="K312" s="34"/>
      <c r="L312" s="40">
        <f t="shared" si="75"/>
        <v>92</v>
      </c>
      <c r="M312" s="34">
        <f t="shared" si="76"/>
        <v>8980</v>
      </c>
      <c r="N312" s="34">
        <f t="shared" si="77"/>
        <v>10500</v>
      </c>
      <c r="O312" s="36">
        <f t="shared" si="78"/>
        <v>-35.75</v>
      </c>
      <c r="P312" s="41">
        <f t="shared" si="79"/>
        <v>1484.25</v>
      </c>
      <c r="Q312" s="70">
        <f t="shared" si="80"/>
        <v>0.16528396436525614</v>
      </c>
      <c r="S312" s="38" t="s">
        <v>495</v>
      </c>
      <c r="T312" s="34">
        <v>1</v>
      </c>
      <c r="U312" s="34">
        <v>8980</v>
      </c>
      <c r="V312" s="37">
        <v>45859</v>
      </c>
      <c r="W312" s="34">
        <v>10500</v>
      </c>
      <c r="X312" s="35">
        <v>45950</v>
      </c>
      <c r="Y312" s="34">
        <f t="shared" si="81"/>
        <v>10</v>
      </c>
      <c r="Z312" s="34">
        <f t="shared" si="82"/>
        <v>10</v>
      </c>
      <c r="AA312" s="39">
        <f t="shared" si="91"/>
        <v>15.75</v>
      </c>
      <c r="AB312" s="34"/>
      <c r="AC312" s="40">
        <f t="shared" si="84"/>
        <v>92</v>
      </c>
      <c r="AD312" s="34">
        <f t="shared" si="85"/>
        <v>8980</v>
      </c>
      <c r="AE312" s="34">
        <f t="shared" si="86"/>
        <v>10500</v>
      </c>
      <c r="AF312" s="36">
        <f t="shared" si="87"/>
        <v>-35.75</v>
      </c>
      <c r="AG312" s="41">
        <f t="shared" si="88"/>
        <v>1484.25</v>
      </c>
      <c r="AH312" s="70">
        <f t="shared" si="89"/>
        <v>0.16528396436525614</v>
      </c>
    </row>
    <row r="313" spans="2:34" x14ac:dyDescent="0.4">
      <c r="B313" s="38" t="s">
        <v>495</v>
      </c>
      <c r="C313" s="34">
        <v>1</v>
      </c>
      <c r="D313" s="34">
        <v>8900</v>
      </c>
      <c r="E313" s="37">
        <v>45866</v>
      </c>
      <c r="F313" s="34">
        <v>10500</v>
      </c>
      <c r="G313" s="35">
        <v>45950</v>
      </c>
      <c r="H313" s="34">
        <f t="shared" si="72"/>
        <v>10</v>
      </c>
      <c r="I313" s="34">
        <f t="shared" si="73"/>
        <v>10</v>
      </c>
      <c r="J313" s="39">
        <f t="shared" si="90"/>
        <v>15.75</v>
      </c>
      <c r="K313" s="34"/>
      <c r="L313" s="40">
        <f t="shared" si="75"/>
        <v>85</v>
      </c>
      <c r="M313" s="34">
        <f t="shared" si="76"/>
        <v>8900</v>
      </c>
      <c r="N313" s="34">
        <f t="shared" si="77"/>
        <v>10500</v>
      </c>
      <c r="O313" s="36">
        <f t="shared" si="78"/>
        <v>-35.75</v>
      </c>
      <c r="P313" s="41">
        <f t="shared" si="79"/>
        <v>1564.25</v>
      </c>
      <c r="Q313" s="70">
        <f t="shared" si="80"/>
        <v>0.17575842696629213</v>
      </c>
      <c r="S313" s="38" t="s">
        <v>495</v>
      </c>
      <c r="T313" s="34">
        <v>1</v>
      </c>
      <c r="U313" s="34">
        <v>8900</v>
      </c>
      <c r="V313" s="37">
        <v>45866</v>
      </c>
      <c r="W313" s="34">
        <v>10500</v>
      </c>
      <c r="X313" s="35">
        <v>45950</v>
      </c>
      <c r="Y313" s="34">
        <f t="shared" si="81"/>
        <v>10</v>
      </c>
      <c r="Z313" s="34">
        <f t="shared" si="82"/>
        <v>10</v>
      </c>
      <c r="AA313" s="39">
        <f t="shared" si="91"/>
        <v>15.75</v>
      </c>
      <c r="AB313" s="34"/>
      <c r="AC313" s="40">
        <f t="shared" si="84"/>
        <v>85</v>
      </c>
      <c r="AD313" s="34">
        <f t="shared" si="85"/>
        <v>8900</v>
      </c>
      <c r="AE313" s="34">
        <f t="shared" si="86"/>
        <v>10500</v>
      </c>
      <c r="AF313" s="36">
        <f t="shared" si="87"/>
        <v>-35.75</v>
      </c>
      <c r="AG313" s="41">
        <f t="shared" si="88"/>
        <v>1564.25</v>
      </c>
      <c r="AH313" s="70">
        <f t="shared" si="89"/>
        <v>0.17575842696629213</v>
      </c>
    </row>
    <row r="314" spans="2:34" x14ac:dyDescent="0.4">
      <c r="B314" s="38" t="s">
        <v>495</v>
      </c>
      <c r="C314" s="34">
        <v>1</v>
      </c>
      <c r="D314" s="34">
        <v>8000</v>
      </c>
      <c r="E314" s="37">
        <v>45873</v>
      </c>
      <c r="F314" s="34">
        <v>10500</v>
      </c>
      <c r="G314" s="35">
        <v>45950</v>
      </c>
      <c r="H314" s="34">
        <f t="shared" si="72"/>
        <v>10</v>
      </c>
      <c r="I314" s="34">
        <f t="shared" si="73"/>
        <v>10</v>
      </c>
      <c r="J314" s="39">
        <f t="shared" si="90"/>
        <v>15.75</v>
      </c>
      <c r="K314" s="34"/>
      <c r="L314" s="40">
        <f t="shared" si="75"/>
        <v>78</v>
      </c>
      <c r="M314" s="34">
        <f t="shared" si="76"/>
        <v>8000</v>
      </c>
      <c r="N314" s="34">
        <f t="shared" si="77"/>
        <v>10500</v>
      </c>
      <c r="O314" s="36">
        <f t="shared" si="78"/>
        <v>-35.75</v>
      </c>
      <c r="P314" s="41">
        <f t="shared" si="79"/>
        <v>2464.25</v>
      </c>
      <c r="Q314" s="70">
        <f t="shared" si="80"/>
        <v>0.30803124999999998</v>
      </c>
      <c r="S314" s="38" t="s">
        <v>495</v>
      </c>
      <c r="T314" s="34">
        <v>1</v>
      </c>
      <c r="U314" s="34">
        <v>8000</v>
      </c>
      <c r="V314" s="37">
        <v>45873</v>
      </c>
      <c r="W314" s="34">
        <v>10500</v>
      </c>
      <c r="X314" s="35">
        <v>45950</v>
      </c>
      <c r="Y314" s="34">
        <f t="shared" si="81"/>
        <v>10</v>
      </c>
      <c r="Z314" s="34">
        <f t="shared" si="82"/>
        <v>10</v>
      </c>
      <c r="AA314" s="39">
        <f t="shared" si="91"/>
        <v>15.75</v>
      </c>
      <c r="AB314" s="34"/>
      <c r="AC314" s="40">
        <f t="shared" si="84"/>
        <v>78</v>
      </c>
      <c r="AD314" s="34">
        <f t="shared" si="85"/>
        <v>8000</v>
      </c>
      <c r="AE314" s="34">
        <f t="shared" si="86"/>
        <v>10500</v>
      </c>
      <c r="AF314" s="36">
        <f t="shared" si="87"/>
        <v>-35.75</v>
      </c>
      <c r="AG314" s="41">
        <f t="shared" si="88"/>
        <v>2464.25</v>
      </c>
      <c r="AH314" s="70">
        <f t="shared" si="89"/>
        <v>0.30803124999999998</v>
      </c>
    </row>
    <row r="315" spans="2:34" x14ac:dyDescent="0.4">
      <c r="B315" s="38" t="s">
        <v>495</v>
      </c>
      <c r="C315" s="34">
        <v>1</v>
      </c>
      <c r="D315" s="34">
        <v>8250</v>
      </c>
      <c r="E315" s="37">
        <v>45880</v>
      </c>
      <c r="F315" s="34">
        <v>10500</v>
      </c>
      <c r="G315" s="35">
        <v>45950</v>
      </c>
      <c r="H315" s="34">
        <f t="shared" si="72"/>
        <v>10</v>
      </c>
      <c r="I315" s="34">
        <f t="shared" si="73"/>
        <v>10</v>
      </c>
      <c r="J315" s="39">
        <f t="shared" si="90"/>
        <v>15.75</v>
      </c>
      <c r="K315" s="34"/>
      <c r="L315" s="40">
        <f t="shared" si="75"/>
        <v>71</v>
      </c>
      <c r="M315" s="34">
        <f t="shared" si="76"/>
        <v>8250</v>
      </c>
      <c r="N315" s="34">
        <f t="shared" si="77"/>
        <v>10500</v>
      </c>
      <c r="O315" s="36">
        <f t="shared" si="78"/>
        <v>-35.75</v>
      </c>
      <c r="P315" s="41">
        <f t="shared" si="79"/>
        <v>2214.25</v>
      </c>
      <c r="Q315" s="70">
        <f t="shared" si="80"/>
        <v>0.26839393939393941</v>
      </c>
      <c r="S315" s="38" t="s">
        <v>495</v>
      </c>
      <c r="T315" s="34">
        <v>1</v>
      </c>
      <c r="U315" s="34">
        <v>8250</v>
      </c>
      <c r="V315" s="37">
        <v>45880</v>
      </c>
      <c r="W315" s="34">
        <v>10500</v>
      </c>
      <c r="X315" s="35">
        <v>45950</v>
      </c>
      <c r="Y315" s="34">
        <f t="shared" si="81"/>
        <v>10</v>
      </c>
      <c r="Z315" s="34">
        <f t="shared" si="82"/>
        <v>10</v>
      </c>
      <c r="AA315" s="39">
        <f t="shared" si="91"/>
        <v>15.75</v>
      </c>
      <c r="AB315" s="34"/>
      <c r="AC315" s="40">
        <f t="shared" si="84"/>
        <v>71</v>
      </c>
      <c r="AD315" s="34">
        <f t="shared" si="85"/>
        <v>8250</v>
      </c>
      <c r="AE315" s="34">
        <f t="shared" si="86"/>
        <v>10500</v>
      </c>
      <c r="AF315" s="36">
        <f t="shared" si="87"/>
        <v>-35.75</v>
      </c>
      <c r="AG315" s="41">
        <f t="shared" si="88"/>
        <v>2214.25</v>
      </c>
      <c r="AH315" s="70">
        <f t="shared" si="89"/>
        <v>0.26839393939393941</v>
      </c>
    </row>
    <row r="316" spans="2:34" x14ac:dyDescent="0.4">
      <c r="B316" s="38" t="s">
        <v>495</v>
      </c>
      <c r="C316" s="34">
        <v>1</v>
      </c>
      <c r="D316" s="34">
        <v>8380</v>
      </c>
      <c r="E316" s="37">
        <v>45887</v>
      </c>
      <c r="F316" s="34">
        <v>10500</v>
      </c>
      <c r="G316" s="35">
        <v>45950</v>
      </c>
      <c r="H316" s="34">
        <f t="shared" si="72"/>
        <v>10</v>
      </c>
      <c r="I316" s="34">
        <f t="shared" si="73"/>
        <v>10</v>
      </c>
      <c r="J316" s="39">
        <f t="shared" si="90"/>
        <v>15.75</v>
      </c>
      <c r="K316" s="34"/>
      <c r="L316" s="40">
        <f t="shared" si="75"/>
        <v>64</v>
      </c>
      <c r="M316" s="34">
        <f t="shared" si="76"/>
        <v>8380</v>
      </c>
      <c r="N316" s="34">
        <f t="shared" si="77"/>
        <v>10500</v>
      </c>
      <c r="O316" s="36">
        <f t="shared" si="78"/>
        <v>-35.75</v>
      </c>
      <c r="P316" s="41">
        <f t="shared" si="79"/>
        <v>2084.25</v>
      </c>
      <c r="Q316" s="70">
        <f t="shared" si="80"/>
        <v>0.24871718377088306</v>
      </c>
      <c r="S316" s="38" t="s">
        <v>495</v>
      </c>
      <c r="T316" s="34">
        <v>1</v>
      </c>
      <c r="U316" s="34">
        <v>8380</v>
      </c>
      <c r="V316" s="37">
        <v>45887</v>
      </c>
      <c r="W316" s="34">
        <v>10500</v>
      </c>
      <c r="X316" s="35">
        <v>45950</v>
      </c>
      <c r="Y316" s="34">
        <f t="shared" si="81"/>
        <v>10</v>
      </c>
      <c r="Z316" s="34">
        <f t="shared" si="82"/>
        <v>10</v>
      </c>
      <c r="AA316" s="39">
        <f t="shared" si="91"/>
        <v>15.75</v>
      </c>
      <c r="AB316" s="34"/>
      <c r="AC316" s="40">
        <f t="shared" si="84"/>
        <v>64</v>
      </c>
      <c r="AD316" s="34">
        <f t="shared" si="85"/>
        <v>8380</v>
      </c>
      <c r="AE316" s="34">
        <f t="shared" si="86"/>
        <v>10500</v>
      </c>
      <c r="AF316" s="36">
        <f t="shared" si="87"/>
        <v>-35.75</v>
      </c>
      <c r="AG316" s="41">
        <f t="shared" si="88"/>
        <v>2084.25</v>
      </c>
      <c r="AH316" s="70">
        <f t="shared" si="89"/>
        <v>0.24871718377088306</v>
      </c>
    </row>
    <row r="317" spans="2:34" x14ac:dyDescent="0.4">
      <c r="B317" s="38" t="s">
        <v>495</v>
      </c>
      <c r="C317" s="34">
        <v>1</v>
      </c>
      <c r="D317" s="34">
        <v>7950</v>
      </c>
      <c r="E317" s="37">
        <v>45894</v>
      </c>
      <c r="F317" s="34">
        <v>10500</v>
      </c>
      <c r="G317" s="35">
        <v>45950</v>
      </c>
      <c r="H317" s="34">
        <f t="shared" si="72"/>
        <v>10</v>
      </c>
      <c r="I317" s="34">
        <f t="shared" si="73"/>
        <v>10</v>
      </c>
      <c r="J317" s="39">
        <f t="shared" si="90"/>
        <v>15.75</v>
      </c>
      <c r="K317" s="34"/>
      <c r="L317" s="40">
        <f t="shared" si="75"/>
        <v>57</v>
      </c>
      <c r="M317" s="34">
        <f t="shared" si="76"/>
        <v>7950</v>
      </c>
      <c r="N317" s="34">
        <f t="shared" si="77"/>
        <v>10500</v>
      </c>
      <c r="O317" s="36">
        <f t="shared" si="78"/>
        <v>-35.75</v>
      </c>
      <c r="P317" s="41">
        <f t="shared" si="79"/>
        <v>2514.25</v>
      </c>
      <c r="Q317" s="70">
        <f t="shared" si="80"/>
        <v>0.31625786163522013</v>
      </c>
      <c r="S317" s="38" t="s">
        <v>495</v>
      </c>
      <c r="T317" s="34">
        <v>1</v>
      </c>
      <c r="U317" s="34">
        <v>7950</v>
      </c>
      <c r="V317" s="37">
        <v>45894</v>
      </c>
      <c r="W317" s="34">
        <v>10500</v>
      </c>
      <c r="X317" s="35">
        <v>45950</v>
      </c>
      <c r="Y317" s="34">
        <f t="shared" si="81"/>
        <v>10</v>
      </c>
      <c r="Z317" s="34">
        <f t="shared" si="82"/>
        <v>10</v>
      </c>
      <c r="AA317" s="39">
        <f t="shared" si="91"/>
        <v>15.75</v>
      </c>
      <c r="AB317" s="34"/>
      <c r="AC317" s="40">
        <f t="shared" si="84"/>
        <v>57</v>
      </c>
      <c r="AD317" s="34">
        <f t="shared" si="85"/>
        <v>7950</v>
      </c>
      <c r="AE317" s="34">
        <f t="shared" si="86"/>
        <v>10500</v>
      </c>
      <c r="AF317" s="36">
        <f t="shared" si="87"/>
        <v>-35.75</v>
      </c>
      <c r="AG317" s="41">
        <f t="shared" si="88"/>
        <v>2514.25</v>
      </c>
      <c r="AH317" s="70">
        <f t="shared" si="89"/>
        <v>0.31625786163522013</v>
      </c>
    </row>
    <row r="318" spans="2:34" x14ac:dyDescent="0.4">
      <c r="B318" s="38" t="s">
        <v>495</v>
      </c>
      <c r="C318" s="34">
        <v>1</v>
      </c>
      <c r="D318" s="34">
        <v>8380</v>
      </c>
      <c r="E318" s="37">
        <v>45901</v>
      </c>
      <c r="F318" s="34">
        <v>10500</v>
      </c>
      <c r="G318" s="35">
        <v>45950</v>
      </c>
      <c r="H318" s="34">
        <f t="shared" si="72"/>
        <v>10</v>
      </c>
      <c r="I318" s="34">
        <f t="shared" si="73"/>
        <v>10</v>
      </c>
      <c r="J318" s="39">
        <f t="shared" si="90"/>
        <v>15.75</v>
      </c>
      <c r="K318" s="34"/>
      <c r="L318" s="40">
        <f t="shared" si="75"/>
        <v>50</v>
      </c>
      <c r="M318" s="34">
        <f t="shared" si="76"/>
        <v>8380</v>
      </c>
      <c r="N318" s="34">
        <f t="shared" si="77"/>
        <v>10500</v>
      </c>
      <c r="O318" s="36">
        <f t="shared" si="78"/>
        <v>-35.75</v>
      </c>
      <c r="P318" s="41">
        <f t="shared" si="79"/>
        <v>2084.25</v>
      </c>
      <c r="Q318" s="70">
        <f t="shared" si="80"/>
        <v>0.24871718377088306</v>
      </c>
      <c r="S318" s="38" t="s">
        <v>495</v>
      </c>
      <c r="T318" s="34">
        <v>1</v>
      </c>
      <c r="U318" s="34">
        <v>8380</v>
      </c>
      <c r="V318" s="37">
        <v>45901</v>
      </c>
      <c r="W318" s="34">
        <v>10500</v>
      </c>
      <c r="X318" s="35">
        <v>45950</v>
      </c>
      <c r="Y318" s="34">
        <f t="shared" si="81"/>
        <v>10</v>
      </c>
      <c r="Z318" s="34">
        <f t="shared" si="82"/>
        <v>10</v>
      </c>
      <c r="AA318" s="39">
        <f t="shared" si="91"/>
        <v>15.75</v>
      </c>
      <c r="AB318" s="34"/>
      <c r="AC318" s="40">
        <f t="shared" si="84"/>
        <v>50</v>
      </c>
      <c r="AD318" s="34">
        <f t="shared" si="85"/>
        <v>8380</v>
      </c>
      <c r="AE318" s="34">
        <f t="shared" si="86"/>
        <v>10500</v>
      </c>
      <c r="AF318" s="36">
        <f t="shared" si="87"/>
        <v>-35.75</v>
      </c>
      <c r="AG318" s="41">
        <f t="shared" si="88"/>
        <v>2084.25</v>
      </c>
      <c r="AH318" s="70">
        <f t="shared" si="89"/>
        <v>0.24871718377088306</v>
      </c>
    </row>
    <row r="319" spans="2:34" x14ac:dyDescent="0.4">
      <c r="B319" s="38" t="s">
        <v>495</v>
      </c>
      <c r="C319" s="34">
        <v>1</v>
      </c>
      <c r="D319" s="34">
        <v>8420</v>
      </c>
      <c r="E319" s="37">
        <v>45908</v>
      </c>
      <c r="F319" s="34">
        <v>10500</v>
      </c>
      <c r="G319" s="35">
        <v>45950</v>
      </c>
      <c r="H319" s="34">
        <f t="shared" si="72"/>
        <v>10</v>
      </c>
      <c r="I319" s="34">
        <f t="shared" si="73"/>
        <v>10</v>
      </c>
      <c r="J319" s="39">
        <f t="shared" si="90"/>
        <v>15.75</v>
      </c>
      <c r="K319" s="34"/>
      <c r="L319" s="40">
        <f t="shared" si="75"/>
        <v>43</v>
      </c>
      <c r="M319" s="34">
        <f t="shared" si="76"/>
        <v>8420</v>
      </c>
      <c r="N319" s="34">
        <f t="shared" si="77"/>
        <v>10500</v>
      </c>
      <c r="O319" s="36">
        <f t="shared" si="78"/>
        <v>-35.75</v>
      </c>
      <c r="P319" s="41">
        <f t="shared" si="79"/>
        <v>2044.25</v>
      </c>
      <c r="Q319" s="70">
        <f t="shared" si="80"/>
        <v>0.24278503562945369</v>
      </c>
      <c r="S319" s="38" t="s">
        <v>495</v>
      </c>
      <c r="T319" s="34">
        <v>1</v>
      </c>
      <c r="U319" s="34">
        <v>8420</v>
      </c>
      <c r="V319" s="37">
        <v>45908</v>
      </c>
      <c r="W319" s="34">
        <v>10500</v>
      </c>
      <c r="X319" s="35">
        <v>45950</v>
      </c>
      <c r="Y319" s="34">
        <f t="shared" si="81"/>
        <v>10</v>
      </c>
      <c r="Z319" s="34">
        <f t="shared" si="82"/>
        <v>10</v>
      </c>
      <c r="AA319" s="39">
        <f t="shared" si="91"/>
        <v>15.75</v>
      </c>
      <c r="AB319" s="34"/>
      <c r="AC319" s="40">
        <f t="shared" si="84"/>
        <v>43</v>
      </c>
      <c r="AD319" s="34">
        <f t="shared" si="85"/>
        <v>8420</v>
      </c>
      <c r="AE319" s="34">
        <f t="shared" si="86"/>
        <v>10500</v>
      </c>
      <c r="AF319" s="36">
        <f t="shared" si="87"/>
        <v>-35.75</v>
      </c>
      <c r="AG319" s="41">
        <f t="shared" si="88"/>
        <v>2044.25</v>
      </c>
      <c r="AH319" s="70">
        <f t="shared" si="89"/>
        <v>0.24278503562945369</v>
      </c>
    </row>
    <row r="320" spans="2:34" x14ac:dyDescent="0.4">
      <c r="B320" s="38" t="s">
        <v>495</v>
      </c>
      <c r="C320" s="34">
        <v>1</v>
      </c>
      <c r="D320" s="34">
        <v>9510</v>
      </c>
      <c r="E320" s="37">
        <v>45915</v>
      </c>
      <c r="F320" s="34">
        <v>10500</v>
      </c>
      <c r="G320" s="35">
        <v>45950</v>
      </c>
      <c r="H320" s="34">
        <f t="shared" si="72"/>
        <v>10</v>
      </c>
      <c r="I320" s="34">
        <f t="shared" si="73"/>
        <v>10</v>
      </c>
      <c r="J320" s="39">
        <f t="shared" si="90"/>
        <v>15.75</v>
      </c>
      <c r="K320" s="34"/>
      <c r="L320" s="40">
        <f t="shared" si="75"/>
        <v>36</v>
      </c>
      <c r="M320" s="34">
        <f t="shared" si="76"/>
        <v>9510</v>
      </c>
      <c r="N320" s="34">
        <f t="shared" si="77"/>
        <v>10500</v>
      </c>
      <c r="O320" s="36">
        <f t="shared" si="78"/>
        <v>-35.75</v>
      </c>
      <c r="P320" s="41">
        <f t="shared" si="79"/>
        <v>954.25</v>
      </c>
      <c r="Q320" s="70">
        <f t="shared" si="80"/>
        <v>0.10034174553101997</v>
      </c>
      <c r="S320" s="38" t="s">
        <v>495</v>
      </c>
      <c r="T320" s="34">
        <v>1</v>
      </c>
      <c r="U320" s="34">
        <v>9510</v>
      </c>
      <c r="V320" s="37">
        <v>45915</v>
      </c>
      <c r="W320" s="34">
        <v>10500</v>
      </c>
      <c r="X320" s="35">
        <v>45950</v>
      </c>
      <c r="Y320" s="34">
        <f t="shared" si="81"/>
        <v>10</v>
      </c>
      <c r="Z320" s="34">
        <f t="shared" si="82"/>
        <v>10</v>
      </c>
      <c r="AA320" s="39">
        <f t="shared" si="91"/>
        <v>15.75</v>
      </c>
      <c r="AB320" s="34"/>
      <c r="AC320" s="40">
        <f t="shared" si="84"/>
        <v>36</v>
      </c>
      <c r="AD320" s="34">
        <f t="shared" si="85"/>
        <v>9510</v>
      </c>
      <c r="AE320" s="34">
        <f t="shared" si="86"/>
        <v>10500</v>
      </c>
      <c r="AF320" s="36">
        <f t="shared" si="87"/>
        <v>-35.75</v>
      </c>
      <c r="AG320" s="41">
        <f t="shared" si="88"/>
        <v>954.25</v>
      </c>
      <c r="AH320" s="70">
        <f t="shared" si="89"/>
        <v>0.10034174553101997</v>
      </c>
    </row>
    <row r="321" spans="2:34" x14ac:dyDescent="0.4">
      <c r="B321" s="38" t="s">
        <v>495</v>
      </c>
      <c r="C321" s="34">
        <v>1</v>
      </c>
      <c r="D321" s="34">
        <v>9730</v>
      </c>
      <c r="E321" s="37">
        <v>45922</v>
      </c>
      <c r="F321" s="34">
        <v>10500</v>
      </c>
      <c r="G321" s="35">
        <v>45950</v>
      </c>
      <c r="H321" s="34">
        <f t="shared" si="72"/>
        <v>10</v>
      </c>
      <c r="I321" s="34">
        <f t="shared" si="73"/>
        <v>10</v>
      </c>
      <c r="J321" s="39">
        <f t="shared" si="90"/>
        <v>15.75</v>
      </c>
      <c r="K321" s="34"/>
      <c r="L321" s="40">
        <f t="shared" si="75"/>
        <v>29</v>
      </c>
      <c r="M321" s="34">
        <f t="shared" si="76"/>
        <v>9730</v>
      </c>
      <c r="N321" s="34">
        <f t="shared" si="77"/>
        <v>10500</v>
      </c>
      <c r="O321" s="36">
        <f t="shared" si="78"/>
        <v>-35.75</v>
      </c>
      <c r="P321" s="41">
        <f t="shared" si="79"/>
        <v>734.25</v>
      </c>
      <c r="Q321" s="70">
        <f t="shared" si="80"/>
        <v>7.5462487153134639E-2</v>
      </c>
      <c r="S321" s="38" t="s">
        <v>495</v>
      </c>
      <c r="T321" s="34">
        <v>1</v>
      </c>
      <c r="U321" s="34">
        <v>9730</v>
      </c>
      <c r="V321" s="37">
        <v>45922</v>
      </c>
      <c r="W321" s="34">
        <v>10500</v>
      </c>
      <c r="X321" s="35">
        <v>45950</v>
      </c>
      <c r="Y321" s="34">
        <f t="shared" si="81"/>
        <v>10</v>
      </c>
      <c r="Z321" s="34">
        <f t="shared" si="82"/>
        <v>10</v>
      </c>
      <c r="AA321" s="39">
        <f t="shared" si="91"/>
        <v>15.75</v>
      </c>
      <c r="AB321" s="34"/>
      <c r="AC321" s="40">
        <f t="shared" si="84"/>
        <v>29</v>
      </c>
      <c r="AD321" s="34">
        <f t="shared" si="85"/>
        <v>9730</v>
      </c>
      <c r="AE321" s="34">
        <f t="shared" si="86"/>
        <v>10500</v>
      </c>
      <c r="AF321" s="36">
        <f t="shared" si="87"/>
        <v>-35.75</v>
      </c>
      <c r="AG321" s="41">
        <f t="shared" si="88"/>
        <v>734.25</v>
      </c>
      <c r="AH321" s="70">
        <f t="shared" si="89"/>
        <v>7.5462487153134639E-2</v>
      </c>
    </row>
    <row r="322" spans="2:34" x14ac:dyDescent="0.4">
      <c r="B322" s="38" t="s">
        <v>495</v>
      </c>
      <c r="C322" s="34">
        <v>1</v>
      </c>
      <c r="D322" s="34">
        <v>9340</v>
      </c>
      <c r="E322" s="37">
        <v>45929</v>
      </c>
      <c r="F322" s="34">
        <v>10500</v>
      </c>
      <c r="G322" s="35">
        <v>45950</v>
      </c>
      <c r="H322" s="34">
        <f t="shared" si="72"/>
        <v>10</v>
      </c>
      <c r="I322" s="34">
        <f t="shared" si="73"/>
        <v>10</v>
      </c>
      <c r="J322" s="39">
        <f t="shared" si="90"/>
        <v>15.75</v>
      </c>
      <c r="K322" s="34"/>
      <c r="L322" s="40">
        <f t="shared" si="75"/>
        <v>22</v>
      </c>
      <c r="M322" s="34">
        <f t="shared" si="76"/>
        <v>9340</v>
      </c>
      <c r="N322" s="34">
        <f t="shared" si="77"/>
        <v>10500</v>
      </c>
      <c r="O322" s="36">
        <f t="shared" si="78"/>
        <v>-35.75</v>
      </c>
      <c r="P322" s="41">
        <f t="shared" si="79"/>
        <v>1124.25</v>
      </c>
      <c r="Q322" s="70">
        <f t="shared" si="80"/>
        <v>0.1203693790149893</v>
      </c>
      <c r="S322" s="38" t="s">
        <v>495</v>
      </c>
      <c r="T322" s="34">
        <v>1</v>
      </c>
      <c r="U322" s="34">
        <v>9340</v>
      </c>
      <c r="V322" s="37">
        <v>45929</v>
      </c>
      <c r="W322" s="34">
        <v>10500</v>
      </c>
      <c r="X322" s="35">
        <v>45950</v>
      </c>
      <c r="Y322" s="34">
        <f t="shared" si="81"/>
        <v>10</v>
      </c>
      <c r="Z322" s="34">
        <f t="shared" si="82"/>
        <v>10</v>
      </c>
      <c r="AA322" s="39">
        <f t="shared" si="91"/>
        <v>15.75</v>
      </c>
      <c r="AB322" s="34"/>
      <c r="AC322" s="40">
        <f t="shared" si="84"/>
        <v>22</v>
      </c>
      <c r="AD322" s="34">
        <f t="shared" si="85"/>
        <v>9340</v>
      </c>
      <c r="AE322" s="34">
        <f t="shared" si="86"/>
        <v>10500</v>
      </c>
      <c r="AF322" s="36">
        <f t="shared" si="87"/>
        <v>-35.75</v>
      </c>
      <c r="AG322" s="41">
        <f t="shared" si="88"/>
        <v>1124.25</v>
      </c>
      <c r="AH322" s="70">
        <f t="shared" si="89"/>
        <v>0.1203693790149893</v>
      </c>
    </row>
    <row r="323" spans="2:34" x14ac:dyDescent="0.4">
      <c r="B323" s="38" t="s">
        <v>495</v>
      </c>
      <c r="C323" s="34">
        <v>1</v>
      </c>
      <c r="D323" s="34">
        <v>9900</v>
      </c>
      <c r="E323" s="37">
        <v>45940</v>
      </c>
      <c r="F323" s="34">
        <v>10500</v>
      </c>
      <c r="G323" s="35">
        <v>45950</v>
      </c>
      <c r="H323" s="34">
        <f t="shared" si="72"/>
        <v>10</v>
      </c>
      <c r="I323" s="34">
        <f t="shared" si="73"/>
        <v>10</v>
      </c>
      <c r="J323" s="39">
        <f t="shared" si="90"/>
        <v>15.75</v>
      </c>
      <c r="K323" s="34"/>
      <c r="L323" s="40">
        <f t="shared" si="75"/>
        <v>11</v>
      </c>
      <c r="M323" s="34">
        <f t="shared" si="76"/>
        <v>9900</v>
      </c>
      <c r="N323" s="34">
        <f t="shared" si="77"/>
        <v>10500</v>
      </c>
      <c r="O323" s="36">
        <f t="shared" si="78"/>
        <v>-35.75</v>
      </c>
      <c r="P323" s="41">
        <f t="shared" si="79"/>
        <v>564.25</v>
      </c>
      <c r="Q323" s="70">
        <f t="shared" si="80"/>
        <v>5.6994949494949494E-2</v>
      </c>
      <c r="S323" s="38" t="s">
        <v>495</v>
      </c>
      <c r="T323" s="34">
        <v>1</v>
      </c>
      <c r="U323" s="34">
        <v>9900</v>
      </c>
      <c r="V323" s="37">
        <v>45940</v>
      </c>
      <c r="W323" s="34">
        <v>10500</v>
      </c>
      <c r="X323" s="35">
        <v>45950</v>
      </c>
      <c r="Y323" s="34">
        <f t="shared" si="81"/>
        <v>10</v>
      </c>
      <c r="Z323" s="34">
        <f t="shared" si="82"/>
        <v>10</v>
      </c>
      <c r="AA323" s="39">
        <f t="shared" si="91"/>
        <v>15.75</v>
      </c>
      <c r="AB323" s="34"/>
      <c r="AC323" s="40">
        <f t="shared" si="84"/>
        <v>11</v>
      </c>
      <c r="AD323" s="34">
        <f t="shared" si="85"/>
        <v>9900</v>
      </c>
      <c r="AE323" s="34">
        <f t="shared" si="86"/>
        <v>10500</v>
      </c>
      <c r="AF323" s="36">
        <f t="shared" si="87"/>
        <v>-35.75</v>
      </c>
      <c r="AG323" s="41">
        <f t="shared" si="88"/>
        <v>564.25</v>
      </c>
      <c r="AH323" s="70">
        <f t="shared" si="89"/>
        <v>5.6994949494949494E-2</v>
      </c>
    </row>
    <row r="324" spans="2:34" x14ac:dyDescent="0.4">
      <c r="B324" s="38" t="s">
        <v>495</v>
      </c>
      <c r="C324" s="34">
        <v>1</v>
      </c>
      <c r="D324" s="34">
        <v>9540</v>
      </c>
      <c r="E324" s="37">
        <v>45943</v>
      </c>
      <c r="F324" s="34">
        <v>10500</v>
      </c>
      <c r="G324" s="35">
        <v>45950</v>
      </c>
      <c r="H324" s="34">
        <f t="shared" si="72"/>
        <v>10</v>
      </c>
      <c r="I324" s="34">
        <f t="shared" si="73"/>
        <v>10</v>
      </c>
      <c r="J324" s="39">
        <f t="shared" si="90"/>
        <v>15.75</v>
      </c>
      <c r="K324" s="34"/>
      <c r="L324" s="40">
        <f t="shared" si="75"/>
        <v>8</v>
      </c>
      <c r="M324" s="34">
        <f t="shared" si="76"/>
        <v>9540</v>
      </c>
      <c r="N324" s="34">
        <f t="shared" si="77"/>
        <v>10500</v>
      </c>
      <c r="O324" s="36">
        <f t="shared" si="78"/>
        <v>-35.75</v>
      </c>
      <c r="P324" s="41">
        <f t="shared" si="79"/>
        <v>924.25</v>
      </c>
      <c r="Q324" s="70">
        <f t="shared" si="80"/>
        <v>9.6881551362683435E-2</v>
      </c>
      <c r="S324" s="38" t="s">
        <v>495</v>
      </c>
      <c r="T324" s="34">
        <v>1</v>
      </c>
      <c r="U324" s="34">
        <v>9540</v>
      </c>
      <c r="V324" s="37">
        <v>45943</v>
      </c>
      <c r="W324" s="34">
        <v>10500</v>
      </c>
      <c r="X324" s="35">
        <v>45950</v>
      </c>
      <c r="Y324" s="34">
        <f t="shared" si="81"/>
        <v>10</v>
      </c>
      <c r="Z324" s="34">
        <f t="shared" si="82"/>
        <v>10</v>
      </c>
      <c r="AA324" s="39">
        <f t="shared" si="91"/>
        <v>15.75</v>
      </c>
      <c r="AB324" s="34"/>
      <c r="AC324" s="40">
        <f t="shared" si="84"/>
        <v>8</v>
      </c>
      <c r="AD324" s="34">
        <f t="shared" si="85"/>
        <v>9540</v>
      </c>
      <c r="AE324" s="34">
        <f t="shared" si="86"/>
        <v>10500</v>
      </c>
      <c r="AF324" s="36">
        <f t="shared" si="87"/>
        <v>-35.75</v>
      </c>
      <c r="AG324" s="41">
        <f t="shared" si="88"/>
        <v>924.25</v>
      </c>
      <c r="AH324" s="70">
        <f t="shared" si="89"/>
        <v>9.6881551362683435E-2</v>
      </c>
    </row>
    <row r="325" spans="2:34" x14ac:dyDescent="0.4">
      <c r="B325" s="38" t="s">
        <v>495</v>
      </c>
      <c r="C325" s="34">
        <v>1</v>
      </c>
      <c r="D325" s="34">
        <v>9630</v>
      </c>
      <c r="E325" s="37">
        <v>45950</v>
      </c>
      <c r="F325" s="34">
        <v>10500</v>
      </c>
      <c r="G325" s="35">
        <v>45950</v>
      </c>
      <c r="H325" s="34">
        <f t="shared" si="72"/>
        <v>10</v>
      </c>
      <c r="I325" s="34">
        <f t="shared" si="73"/>
        <v>10</v>
      </c>
      <c r="J325" s="39">
        <f t="shared" si="90"/>
        <v>15.75</v>
      </c>
      <c r="K325" s="34"/>
      <c r="L325" s="40">
        <f t="shared" si="75"/>
        <v>1</v>
      </c>
      <c r="M325" s="34">
        <f t="shared" si="76"/>
        <v>9630</v>
      </c>
      <c r="N325" s="34">
        <f t="shared" si="77"/>
        <v>10500</v>
      </c>
      <c r="O325" s="36">
        <f t="shared" si="78"/>
        <v>-35.75</v>
      </c>
      <c r="P325" s="41">
        <f t="shared" si="79"/>
        <v>834.25</v>
      </c>
      <c r="Q325" s="70">
        <f t="shared" si="80"/>
        <v>8.6630321910695737E-2</v>
      </c>
      <c r="S325" s="38" t="s">
        <v>495</v>
      </c>
      <c r="T325" s="34">
        <v>1</v>
      </c>
      <c r="U325" s="34">
        <v>9630</v>
      </c>
      <c r="V325" s="37">
        <v>45950</v>
      </c>
      <c r="W325" s="34">
        <v>10500</v>
      </c>
      <c r="X325" s="35">
        <v>45950</v>
      </c>
      <c r="Y325" s="34">
        <f t="shared" si="81"/>
        <v>10</v>
      </c>
      <c r="Z325" s="34">
        <f t="shared" si="82"/>
        <v>10</v>
      </c>
      <c r="AA325" s="39">
        <f t="shared" si="91"/>
        <v>15.75</v>
      </c>
      <c r="AB325" s="34"/>
      <c r="AC325" s="40">
        <f t="shared" si="84"/>
        <v>1</v>
      </c>
      <c r="AD325" s="34">
        <f t="shared" si="85"/>
        <v>9630</v>
      </c>
      <c r="AE325" s="34">
        <f t="shared" si="86"/>
        <v>10500</v>
      </c>
      <c r="AF325" s="36">
        <f t="shared" si="87"/>
        <v>-35.75</v>
      </c>
      <c r="AG325" s="41">
        <f t="shared" si="88"/>
        <v>834.25</v>
      </c>
      <c r="AH325" s="70">
        <f t="shared" si="89"/>
        <v>8.6630321910695737E-2</v>
      </c>
    </row>
    <row r="326" spans="2:34" x14ac:dyDescent="0.4">
      <c r="B326" s="38" t="s">
        <v>495</v>
      </c>
      <c r="C326" s="34">
        <v>1</v>
      </c>
      <c r="D326" s="34">
        <v>10500</v>
      </c>
      <c r="E326" s="37">
        <v>45957</v>
      </c>
      <c r="F326" s="34">
        <v>19800</v>
      </c>
      <c r="G326" s="35">
        <v>45701</v>
      </c>
      <c r="H326" s="34">
        <f t="shared" si="72"/>
        <v>10</v>
      </c>
      <c r="I326" s="34">
        <f t="shared" si="73"/>
        <v>30</v>
      </c>
      <c r="J326" s="39">
        <f t="shared" ref="J326:J348" si="92">N326*0.002</f>
        <v>39.6</v>
      </c>
      <c r="K326" s="34"/>
      <c r="L326" s="40">
        <f t="shared" si="75"/>
        <v>-255</v>
      </c>
      <c r="M326" s="34">
        <f t="shared" si="76"/>
        <v>10500</v>
      </c>
      <c r="N326" s="34">
        <f t="shared" si="77"/>
        <v>19800</v>
      </c>
      <c r="O326" s="36">
        <f t="shared" si="78"/>
        <v>-79.599999999999994</v>
      </c>
      <c r="P326" s="41">
        <f t="shared" si="79"/>
        <v>9220.4</v>
      </c>
      <c r="Q326" s="70">
        <f t="shared" si="80"/>
        <v>0.87813333333333332</v>
      </c>
      <c r="S326" s="38" t="s">
        <v>495</v>
      </c>
      <c r="T326" s="34">
        <v>1</v>
      </c>
      <c r="U326" s="34">
        <v>10500</v>
      </c>
      <c r="V326" s="37">
        <v>45957</v>
      </c>
      <c r="W326" s="34">
        <v>19800</v>
      </c>
      <c r="X326" s="35">
        <v>45701</v>
      </c>
      <c r="Y326" s="34">
        <f t="shared" si="81"/>
        <v>10</v>
      </c>
      <c r="Z326" s="34">
        <f t="shared" si="82"/>
        <v>30</v>
      </c>
      <c r="AA326" s="39">
        <f t="shared" ref="AA326:AA348" si="93">AE326*0.002</f>
        <v>39.6</v>
      </c>
      <c r="AB326" s="34"/>
      <c r="AC326" s="40">
        <f t="shared" si="84"/>
        <v>-255</v>
      </c>
      <c r="AD326" s="34">
        <f t="shared" si="85"/>
        <v>10500</v>
      </c>
      <c r="AE326" s="34">
        <f t="shared" si="86"/>
        <v>19800</v>
      </c>
      <c r="AF326" s="36">
        <f t="shared" si="87"/>
        <v>-79.599999999999994</v>
      </c>
      <c r="AG326" s="41">
        <f t="shared" si="88"/>
        <v>9220.4</v>
      </c>
      <c r="AH326" s="70">
        <f t="shared" si="89"/>
        <v>0.87813333333333332</v>
      </c>
    </row>
    <row r="327" spans="2:34" x14ac:dyDescent="0.4">
      <c r="B327" s="38" t="s">
        <v>495</v>
      </c>
      <c r="C327" s="34">
        <v>1</v>
      </c>
      <c r="D327" s="34">
        <v>10950</v>
      </c>
      <c r="E327" s="37">
        <v>45964</v>
      </c>
      <c r="F327" s="34">
        <v>19800</v>
      </c>
      <c r="G327" s="35">
        <v>45701</v>
      </c>
      <c r="H327" s="34">
        <f t="shared" si="72"/>
        <v>20</v>
      </c>
      <c r="I327" s="34">
        <f t="shared" si="73"/>
        <v>30</v>
      </c>
      <c r="J327" s="39">
        <f t="shared" si="92"/>
        <v>39.6</v>
      </c>
      <c r="K327" s="34"/>
      <c r="L327" s="40">
        <f t="shared" si="75"/>
        <v>-262</v>
      </c>
      <c r="M327" s="34">
        <f t="shared" si="76"/>
        <v>10950</v>
      </c>
      <c r="N327" s="34">
        <f t="shared" si="77"/>
        <v>19800</v>
      </c>
      <c r="O327" s="36">
        <f t="shared" si="78"/>
        <v>-89.6</v>
      </c>
      <c r="P327" s="41">
        <f t="shared" si="79"/>
        <v>8760.4</v>
      </c>
      <c r="Q327" s="70">
        <f t="shared" si="80"/>
        <v>0.80003652968036532</v>
      </c>
      <c r="S327" s="38" t="s">
        <v>495</v>
      </c>
      <c r="T327" s="34">
        <v>1</v>
      </c>
      <c r="U327" s="34">
        <v>10950</v>
      </c>
      <c r="V327" s="37">
        <v>45964</v>
      </c>
      <c r="W327" s="34">
        <v>19800</v>
      </c>
      <c r="X327" s="35">
        <v>45701</v>
      </c>
      <c r="Y327" s="34">
        <f t="shared" si="81"/>
        <v>20</v>
      </c>
      <c r="Z327" s="34">
        <f t="shared" si="82"/>
        <v>30</v>
      </c>
      <c r="AA327" s="39">
        <f t="shared" si="93"/>
        <v>39.6</v>
      </c>
      <c r="AB327" s="34"/>
      <c r="AC327" s="40">
        <f t="shared" si="84"/>
        <v>-262</v>
      </c>
      <c r="AD327" s="34">
        <f t="shared" si="85"/>
        <v>10950</v>
      </c>
      <c r="AE327" s="34">
        <f t="shared" si="86"/>
        <v>19800</v>
      </c>
      <c r="AF327" s="36">
        <f t="shared" si="87"/>
        <v>-89.6</v>
      </c>
      <c r="AG327" s="41">
        <f t="shared" si="88"/>
        <v>8760.4</v>
      </c>
      <c r="AH327" s="70">
        <f t="shared" si="89"/>
        <v>0.80003652968036532</v>
      </c>
    </row>
    <row r="328" spans="2:34" x14ac:dyDescent="0.4">
      <c r="B328" s="38" t="s">
        <v>495</v>
      </c>
      <c r="C328" s="34">
        <v>1</v>
      </c>
      <c r="D328" s="34">
        <v>10000</v>
      </c>
      <c r="E328" s="37">
        <v>45971</v>
      </c>
      <c r="F328" s="34">
        <v>19800</v>
      </c>
      <c r="G328" s="35">
        <v>45701</v>
      </c>
      <c r="H328" s="34">
        <f t="shared" si="72"/>
        <v>10</v>
      </c>
      <c r="I328" s="34">
        <f t="shared" si="73"/>
        <v>30</v>
      </c>
      <c r="J328" s="39">
        <f t="shared" si="92"/>
        <v>39.6</v>
      </c>
      <c r="K328" s="34"/>
      <c r="L328" s="40">
        <f t="shared" si="75"/>
        <v>-269</v>
      </c>
      <c r="M328" s="34">
        <f t="shared" si="76"/>
        <v>10000</v>
      </c>
      <c r="N328" s="34">
        <f t="shared" si="77"/>
        <v>19800</v>
      </c>
      <c r="O328" s="36">
        <f t="shared" si="78"/>
        <v>-79.599999999999994</v>
      </c>
      <c r="P328" s="41">
        <f t="shared" si="79"/>
        <v>9720.4</v>
      </c>
      <c r="Q328" s="70">
        <f t="shared" si="80"/>
        <v>0.97204000000000002</v>
      </c>
      <c r="S328" s="38" t="s">
        <v>495</v>
      </c>
      <c r="T328" s="34">
        <v>1</v>
      </c>
      <c r="U328" s="34">
        <v>10000</v>
      </c>
      <c r="V328" s="37">
        <v>45971</v>
      </c>
      <c r="W328" s="34">
        <v>19800</v>
      </c>
      <c r="X328" s="35">
        <v>45701</v>
      </c>
      <c r="Y328" s="34">
        <f t="shared" si="81"/>
        <v>10</v>
      </c>
      <c r="Z328" s="34">
        <f t="shared" si="82"/>
        <v>30</v>
      </c>
      <c r="AA328" s="39">
        <f t="shared" si="93"/>
        <v>39.6</v>
      </c>
      <c r="AB328" s="34"/>
      <c r="AC328" s="40">
        <f t="shared" si="84"/>
        <v>-269</v>
      </c>
      <c r="AD328" s="34">
        <f t="shared" si="85"/>
        <v>10000</v>
      </c>
      <c r="AE328" s="34">
        <f t="shared" si="86"/>
        <v>19800</v>
      </c>
      <c r="AF328" s="36">
        <f t="shared" si="87"/>
        <v>-79.599999999999994</v>
      </c>
      <c r="AG328" s="41">
        <f t="shared" si="88"/>
        <v>9720.4</v>
      </c>
      <c r="AH328" s="70">
        <f t="shared" si="89"/>
        <v>0.97204000000000002</v>
      </c>
    </row>
    <row r="329" spans="2:34" x14ac:dyDescent="0.4">
      <c r="B329" s="38" t="s">
        <v>495</v>
      </c>
      <c r="C329" s="34">
        <v>1</v>
      </c>
      <c r="D329" s="34">
        <v>10040</v>
      </c>
      <c r="E329" s="37">
        <v>45978</v>
      </c>
      <c r="F329" s="34">
        <v>19800</v>
      </c>
      <c r="G329" s="35">
        <v>45701</v>
      </c>
      <c r="H329" s="34">
        <f t="shared" si="72"/>
        <v>10</v>
      </c>
      <c r="I329" s="34">
        <f t="shared" si="73"/>
        <v>30</v>
      </c>
      <c r="J329" s="39">
        <f t="shared" si="92"/>
        <v>39.6</v>
      </c>
      <c r="K329" s="34"/>
      <c r="L329" s="40">
        <f t="shared" si="75"/>
        <v>-276</v>
      </c>
      <c r="M329" s="34">
        <f t="shared" si="76"/>
        <v>10040</v>
      </c>
      <c r="N329" s="34">
        <f t="shared" si="77"/>
        <v>19800</v>
      </c>
      <c r="O329" s="36">
        <f t="shared" si="78"/>
        <v>-79.599999999999994</v>
      </c>
      <c r="P329" s="41">
        <f t="shared" si="79"/>
        <v>9680.4</v>
      </c>
      <c r="Q329" s="70">
        <f t="shared" si="80"/>
        <v>0.96418326693227085</v>
      </c>
      <c r="S329" s="38" t="s">
        <v>495</v>
      </c>
      <c r="T329" s="34">
        <v>1</v>
      </c>
      <c r="U329" s="34">
        <v>10040</v>
      </c>
      <c r="V329" s="37">
        <v>45978</v>
      </c>
      <c r="W329" s="34">
        <v>19800</v>
      </c>
      <c r="X329" s="35">
        <v>45701</v>
      </c>
      <c r="Y329" s="34">
        <f t="shared" si="81"/>
        <v>10</v>
      </c>
      <c r="Z329" s="34">
        <f t="shared" si="82"/>
        <v>30</v>
      </c>
      <c r="AA329" s="39">
        <f t="shared" si="93"/>
        <v>39.6</v>
      </c>
      <c r="AB329" s="34"/>
      <c r="AC329" s="40">
        <f t="shared" si="84"/>
        <v>-276</v>
      </c>
      <c r="AD329" s="34">
        <f t="shared" si="85"/>
        <v>10040</v>
      </c>
      <c r="AE329" s="34">
        <f t="shared" si="86"/>
        <v>19800</v>
      </c>
      <c r="AF329" s="36">
        <f t="shared" si="87"/>
        <v>-79.599999999999994</v>
      </c>
      <c r="AG329" s="41">
        <f t="shared" si="88"/>
        <v>9680.4</v>
      </c>
      <c r="AH329" s="70">
        <f t="shared" si="89"/>
        <v>0.96418326693227085</v>
      </c>
    </row>
    <row r="330" spans="2:34" x14ac:dyDescent="0.4">
      <c r="B330" s="38" t="s">
        <v>495</v>
      </c>
      <c r="C330" s="34">
        <v>1</v>
      </c>
      <c r="D330" s="34">
        <v>9890</v>
      </c>
      <c r="E330" s="37">
        <v>45985</v>
      </c>
      <c r="F330" s="34">
        <v>19800</v>
      </c>
      <c r="G330" s="35">
        <v>45701</v>
      </c>
      <c r="H330" s="34">
        <f t="shared" si="72"/>
        <v>10</v>
      </c>
      <c r="I330" s="34">
        <f t="shared" si="73"/>
        <v>30</v>
      </c>
      <c r="J330" s="39">
        <f t="shared" si="92"/>
        <v>39.6</v>
      </c>
      <c r="K330" s="34"/>
      <c r="L330" s="40">
        <f t="shared" si="75"/>
        <v>-283</v>
      </c>
      <c r="M330" s="34">
        <f t="shared" si="76"/>
        <v>9890</v>
      </c>
      <c r="N330" s="34">
        <f t="shared" si="77"/>
        <v>19800</v>
      </c>
      <c r="O330" s="36">
        <f t="shared" si="78"/>
        <v>-79.599999999999994</v>
      </c>
      <c r="P330" s="41">
        <f t="shared" si="79"/>
        <v>9830.4</v>
      </c>
      <c r="Q330" s="70">
        <f t="shared" si="80"/>
        <v>0.99397371081900909</v>
      </c>
      <c r="S330" s="38" t="s">
        <v>495</v>
      </c>
      <c r="T330" s="34">
        <v>1</v>
      </c>
      <c r="U330" s="34">
        <v>9890</v>
      </c>
      <c r="V330" s="37">
        <v>45985</v>
      </c>
      <c r="W330" s="34">
        <v>19800</v>
      </c>
      <c r="X330" s="35">
        <v>45701</v>
      </c>
      <c r="Y330" s="34">
        <f t="shared" si="81"/>
        <v>10</v>
      </c>
      <c r="Z330" s="34">
        <f t="shared" si="82"/>
        <v>30</v>
      </c>
      <c r="AA330" s="39">
        <f t="shared" si="93"/>
        <v>39.6</v>
      </c>
      <c r="AB330" s="34"/>
      <c r="AC330" s="40">
        <f t="shared" si="84"/>
        <v>-283</v>
      </c>
      <c r="AD330" s="34">
        <f t="shared" si="85"/>
        <v>9890</v>
      </c>
      <c r="AE330" s="34">
        <f t="shared" si="86"/>
        <v>19800</v>
      </c>
      <c r="AF330" s="36">
        <f t="shared" si="87"/>
        <v>-79.599999999999994</v>
      </c>
      <c r="AG330" s="41">
        <f t="shared" si="88"/>
        <v>9830.4</v>
      </c>
      <c r="AH330" s="70">
        <f t="shared" si="89"/>
        <v>0.99397371081900909</v>
      </c>
    </row>
    <row r="331" spans="2:34" x14ac:dyDescent="0.4">
      <c r="B331" s="38" t="s">
        <v>495</v>
      </c>
      <c r="C331" s="34">
        <v>1</v>
      </c>
      <c r="D331" s="34">
        <v>9890</v>
      </c>
      <c r="E331" s="37">
        <v>45992</v>
      </c>
      <c r="F331" s="34">
        <v>19800</v>
      </c>
      <c r="G331" s="35">
        <v>45701</v>
      </c>
      <c r="H331" s="34">
        <f t="shared" si="72"/>
        <v>10</v>
      </c>
      <c r="I331" s="34">
        <f t="shared" si="73"/>
        <v>30</v>
      </c>
      <c r="J331" s="39">
        <f t="shared" si="92"/>
        <v>39.6</v>
      </c>
      <c r="K331" s="34"/>
      <c r="L331" s="40">
        <f t="shared" si="75"/>
        <v>-290</v>
      </c>
      <c r="M331" s="34">
        <f t="shared" si="76"/>
        <v>9890</v>
      </c>
      <c r="N331" s="34">
        <f t="shared" si="77"/>
        <v>19800</v>
      </c>
      <c r="O331" s="36">
        <f t="shared" si="78"/>
        <v>-79.599999999999994</v>
      </c>
      <c r="P331" s="41">
        <f t="shared" si="79"/>
        <v>9830.4</v>
      </c>
      <c r="Q331" s="70">
        <f t="shared" si="80"/>
        <v>0.99397371081900909</v>
      </c>
      <c r="S331" s="38" t="s">
        <v>495</v>
      </c>
      <c r="T331" s="34">
        <v>1</v>
      </c>
      <c r="U331" s="34">
        <v>9890</v>
      </c>
      <c r="V331" s="37">
        <v>45992</v>
      </c>
      <c r="W331" s="34">
        <v>19800</v>
      </c>
      <c r="X331" s="35">
        <v>45701</v>
      </c>
      <c r="Y331" s="34">
        <f t="shared" si="81"/>
        <v>10</v>
      </c>
      <c r="Z331" s="34">
        <f t="shared" si="82"/>
        <v>30</v>
      </c>
      <c r="AA331" s="39">
        <f t="shared" si="93"/>
        <v>39.6</v>
      </c>
      <c r="AB331" s="34"/>
      <c r="AC331" s="40">
        <f t="shared" si="84"/>
        <v>-290</v>
      </c>
      <c r="AD331" s="34">
        <f t="shared" si="85"/>
        <v>9890</v>
      </c>
      <c r="AE331" s="34">
        <f t="shared" si="86"/>
        <v>19800</v>
      </c>
      <c r="AF331" s="36">
        <f t="shared" si="87"/>
        <v>-79.599999999999994</v>
      </c>
      <c r="AG331" s="41">
        <f t="shared" si="88"/>
        <v>9830.4</v>
      </c>
      <c r="AH331" s="70">
        <f t="shared" si="89"/>
        <v>0.99397371081900909</v>
      </c>
    </row>
    <row r="332" spans="2:34" x14ac:dyDescent="0.4">
      <c r="B332" s="38" t="s">
        <v>495</v>
      </c>
      <c r="C332" s="34">
        <v>1</v>
      </c>
      <c r="D332" s="34">
        <v>10050</v>
      </c>
      <c r="E332" s="37">
        <v>45999</v>
      </c>
      <c r="F332" s="34">
        <v>19800</v>
      </c>
      <c r="G332" s="35">
        <v>45701</v>
      </c>
      <c r="H332" s="34">
        <f t="shared" si="72"/>
        <v>10</v>
      </c>
      <c r="I332" s="34">
        <f t="shared" si="73"/>
        <v>30</v>
      </c>
      <c r="J332" s="39">
        <f t="shared" si="92"/>
        <v>39.6</v>
      </c>
      <c r="K332" s="34"/>
      <c r="L332" s="40">
        <f t="shared" si="75"/>
        <v>-297</v>
      </c>
      <c r="M332" s="34">
        <f t="shared" si="76"/>
        <v>10050</v>
      </c>
      <c r="N332" s="34">
        <f t="shared" si="77"/>
        <v>19800</v>
      </c>
      <c r="O332" s="36">
        <f t="shared" si="78"/>
        <v>-79.599999999999994</v>
      </c>
      <c r="P332" s="41">
        <f t="shared" si="79"/>
        <v>9670.4</v>
      </c>
      <c r="Q332" s="70">
        <f t="shared" si="80"/>
        <v>0.96222885572139305</v>
      </c>
      <c r="S332" s="38" t="s">
        <v>495</v>
      </c>
      <c r="T332" s="34">
        <v>1</v>
      </c>
      <c r="U332" s="34">
        <v>10050</v>
      </c>
      <c r="V332" s="37">
        <v>45999</v>
      </c>
      <c r="W332" s="34">
        <v>19800</v>
      </c>
      <c r="X332" s="35">
        <v>45701</v>
      </c>
      <c r="Y332" s="34">
        <f t="shared" si="81"/>
        <v>10</v>
      </c>
      <c r="Z332" s="34">
        <f t="shared" si="82"/>
        <v>30</v>
      </c>
      <c r="AA332" s="39">
        <f t="shared" si="93"/>
        <v>39.6</v>
      </c>
      <c r="AB332" s="34"/>
      <c r="AC332" s="40">
        <f t="shared" si="84"/>
        <v>-297</v>
      </c>
      <c r="AD332" s="34">
        <f t="shared" si="85"/>
        <v>10050</v>
      </c>
      <c r="AE332" s="34">
        <f t="shared" si="86"/>
        <v>19800</v>
      </c>
      <c r="AF332" s="36">
        <f t="shared" si="87"/>
        <v>-79.599999999999994</v>
      </c>
      <c r="AG332" s="41">
        <f t="shared" si="88"/>
        <v>9670.4</v>
      </c>
      <c r="AH332" s="70">
        <f t="shared" si="89"/>
        <v>0.96222885572139305</v>
      </c>
    </row>
    <row r="333" spans="2:34" x14ac:dyDescent="0.4">
      <c r="B333" s="38" t="s">
        <v>495</v>
      </c>
      <c r="C333" s="34">
        <v>1</v>
      </c>
      <c r="D333" s="34">
        <v>10020</v>
      </c>
      <c r="E333" s="37">
        <v>46006</v>
      </c>
      <c r="F333" s="34">
        <v>19800</v>
      </c>
      <c r="G333" s="35">
        <v>45701</v>
      </c>
      <c r="H333" s="34">
        <f t="shared" si="72"/>
        <v>10</v>
      </c>
      <c r="I333" s="34">
        <f t="shared" si="73"/>
        <v>30</v>
      </c>
      <c r="J333" s="39">
        <f t="shared" si="92"/>
        <v>39.6</v>
      </c>
      <c r="K333" s="34"/>
      <c r="L333" s="40">
        <f t="shared" si="75"/>
        <v>-304</v>
      </c>
      <c r="M333" s="34">
        <f t="shared" si="76"/>
        <v>10020</v>
      </c>
      <c r="N333" s="34">
        <f t="shared" si="77"/>
        <v>19800</v>
      </c>
      <c r="O333" s="36">
        <f t="shared" si="78"/>
        <v>-79.599999999999994</v>
      </c>
      <c r="P333" s="41">
        <f t="shared" si="79"/>
        <v>9700.4</v>
      </c>
      <c r="Q333" s="70">
        <f t="shared" si="80"/>
        <v>0.96810379241516964</v>
      </c>
      <c r="S333" s="38" t="s">
        <v>495</v>
      </c>
      <c r="T333" s="34">
        <v>1</v>
      </c>
      <c r="U333" s="34">
        <v>10020</v>
      </c>
      <c r="V333" s="37">
        <v>46006</v>
      </c>
      <c r="W333" s="34">
        <v>19800</v>
      </c>
      <c r="X333" s="35">
        <v>45701</v>
      </c>
      <c r="Y333" s="34">
        <f t="shared" si="81"/>
        <v>10</v>
      </c>
      <c r="Z333" s="34">
        <f t="shared" si="82"/>
        <v>30</v>
      </c>
      <c r="AA333" s="39">
        <f t="shared" si="93"/>
        <v>39.6</v>
      </c>
      <c r="AB333" s="34"/>
      <c r="AC333" s="40">
        <f t="shared" si="84"/>
        <v>-304</v>
      </c>
      <c r="AD333" s="34">
        <f t="shared" si="85"/>
        <v>10020</v>
      </c>
      <c r="AE333" s="34">
        <f t="shared" si="86"/>
        <v>19800</v>
      </c>
      <c r="AF333" s="36">
        <f t="shared" si="87"/>
        <v>-79.599999999999994</v>
      </c>
      <c r="AG333" s="41">
        <f t="shared" si="88"/>
        <v>9700.4</v>
      </c>
      <c r="AH333" s="70">
        <f t="shared" si="89"/>
        <v>0.96810379241516964</v>
      </c>
    </row>
    <row r="334" spans="2:34" x14ac:dyDescent="0.4">
      <c r="B334" s="38" t="s">
        <v>495</v>
      </c>
      <c r="C334" s="34">
        <v>1</v>
      </c>
      <c r="D334" s="34">
        <v>10820</v>
      </c>
      <c r="E334" s="37">
        <v>46013</v>
      </c>
      <c r="F334" s="34">
        <v>19800</v>
      </c>
      <c r="G334" s="35">
        <v>45701</v>
      </c>
      <c r="H334" s="34">
        <f t="shared" si="72"/>
        <v>20</v>
      </c>
      <c r="I334" s="34">
        <f t="shared" si="73"/>
        <v>30</v>
      </c>
      <c r="J334" s="39">
        <f t="shared" si="92"/>
        <v>39.6</v>
      </c>
      <c r="K334" s="34"/>
      <c r="L334" s="40">
        <f t="shared" si="75"/>
        <v>-311</v>
      </c>
      <c r="M334" s="34">
        <f t="shared" si="76"/>
        <v>10820</v>
      </c>
      <c r="N334" s="34">
        <f t="shared" si="77"/>
        <v>19800</v>
      </c>
      <c r="O334" s="36">
        <f t="shared" si="78"/>
        <v>-89.6</v>
      </c>
      <c r="P334" s="41">
        <f t="shared" si="79"/>
        <v>8890.4</v>
      </c>
      <c r="Q334" s="70">
        <f t="shared" si="80"/>
        <v>0.82166358595194078</v>
      </c>
      <c r="S334" s="38" t="s">
        <v>495</v>
      </c>
      <c r="T334" s="34">
        <v>1</v>
      </c>
      <c r="U334" s="34">
        <v>10820</v>
      </c>
      <c r="V334" s="37">
        <v>46013</v>
      </c>
      <c r="W334" s="34">
        <v>19800</v>
      </c>
      <c r="X334" s="35">
        <v>45701</v>
      </c>
      <c r="Y334" s="34">
        <f t="shared" si="81"/>
        <v>20</v>
      </c>
      <c r="Z334" s="34">
        <f t="shared" si="82"/>
        <v>30</v>
      </c>
      <c r="AA334" s="39">
        <f t="shared" si="93"/>
        <v>39.6</v>
      </c>
      <c r="AB334" s="34"/>
      <c r="AC334" s="40">
        <f t="shared" si="84"/>
        <v>-311</v>
      </c>
      <c r="AD334" s="34">
        <f t="shared" si="85"/>
        <v>10820</v>
      </c>
      <c r="AE334" s="34">
        <f t="shared" si="86"/>
        <v>19800</v>
      </c>
      <c r="AF334" s="36">
        <f t="shared" si="87"/>
        <v>-89.6</v>
      </c>
      <c r="AG334" s="41">
        <f t="shared" si="88"/>
        <v>8890.4</v>
      </c>
      <c r="AH334" s="70">
        <f t="shared" si="89"/>
        <v>0.82166358595194078</v>
      </c>
    </row>
    <row r="335" spans="2:34" x14ac:dyDescent="0.4">
      <c r="B335" s="38" t="s">
        <v>495</v>
      </c>
      <c r="C335" s="34">
        <v>1</v>
      </c>
      <c r="D335" s="34">
        <v>11230</v>
      </c>
      <c r="E335" s="37">
        <v>46020</v>
      </c>
      <c r="F335" s="34">
        <v>19800</v>
      </c>
      <c r="G335" s="35">
        <v>45701</v>
      </c>
      <c r="H335" s="34">
        <f t="shared" si="72"/>
        <v>20</v>
      </c>
      <c r="I335" s="34">
        <f t="shared" si="73"/>
        <v>30</v>
      </c>
      <c r="J335" s="39">
        <f t="shared" si="92"/>
        <v>39.6</v>
      </c>
      <c r="K335" s="34"/>
      <c r="L335" s="40">
        <f t="shared" si="75"/>
        <v>-318</v>
      </c>
      <c r="M335" s="34">
        <f t="shared" si="76"/>
        <v>11230</v>
      </c>
      <c r="N335" s="34">
        <f t="shared" si="77"/>
        <v>19800</v>
      </c>
      <c r="O335" s="36">
        <f t="shared" si="78"/>
        <v>-89.6</v>
      </c>
      <c r="P335" s="41">
        <f t="shared" si="79"/>
        <v>8480.4</v>
      </c>
      <c r="Q335" s="70">
        <f t="shared" si="80"/>
        <v>0.75515583259127339</v>
      </c>
      <c r="S335" s="38" t="s">
        <v>495</v>
      </c>
      <c r="T335" s="34">
        <v>1</v>
      </c>
      <c r="U335" s="34">
        <v>11230</v>
      </c>
      <c r="V335" s="37">
        <v>46020</v>
      </c>
      <c r="W335" s="34">
        <v>19800</v>
      </c>
      <c r="X335" s="35">
        <v>45701</v>
      </c>
      <c r="Y335" s="34">
        <f t="shared" si="81"/>
        <v>20</v>
      </c>
      <c r="Z335" s="34">
        <f t="shared" si="82"/>
        <v>30</v>
      </c>
      <c r="AA335" s="39">
        <f t="shared" si="93"/>
        <v>39.6</v>
      </c>
      <c r="AB335" s="34"/>
      <c r="AC335" s="40">
        <f t="shared" si="84"/>
        <v>-318</v>
      </c>
      <c r="AD335" s="34">
        <f t="shared" si="85"/>
        <v>11230</v>
      </c>
      <c r="AE335" s="34">
        <f t="shared" si="86"/>
        <v>19800</v>
      </c>
      <c r="AF335" s="36">
        <f t="shared" si="87"/>
        <v>-89.6</v>
      </c>
      <c r="AG335" s="41">
        <f t="shared" si="88"/>
        <v>8480.4</v>
      </c>
      <c r="AH335" s="70">
        <f t="shared" si="89"/>
        <v>0.75515583259127339</v>
      </c>
    </row>
    <row r="336" spans="2:34" x14ac:dyDescent="0.4">
      <c r="B336" s="38" t="s">
        <v>495</v>
      </c>
      <c r="C336" s="34">
        <v>1</v>
      </c>
      <c r="D336" s="34">
        <v>11560</v>
      </c>
      <c r="E336" s="37">
        <v>46027</v>
      </c>
      <c r="F336" s="34">
        <v>19800</v>
      </c>
      <c r="G336" s="35">
        <v>45701</v>
      </c>
      <c r="H336" s="34">
        <f t="shared" si="72"/>
        <v>20</v>
      </c>
      <c r="I336" s="34">
        <f t="shared" si="73"/>
        <v>30</v>
      </c>
      <c r="J336" s="39">
        <f t="shared" si="92"/>
        <v>39.6</v>
      </c>
      <c r="K336" s="34"/>
      <c r="L336" s="40">
        <f t="shared" si="75"/>
        <v>-325</v>
      </c>
      <c r="M336" s="34">
        <f t="shared" si="76"/>
        <v>11560</v>
      </c>
      <c r="N336" s="34">
        <f t="shared" si="77"/>
        <v>19800</v>
      </c>
      <c r="O336" s="36">
        <f t="shared" si="78"/>
        <v>-89.6</v>
      </c>
      <c r="P336" s="41">
        <f t="shared" si="79"/>
        <v>8150.4</v>
      </c>
      <c r="Q336" s="70">
        <f t="shared" si="80"/>
        <v>0.70505190311418686</v>
      </c>
      <c r="S336" s="38" t="s">
        <v>495</v>
      </c>
      <c r="T336" s="34">
        <v>1</v>
      </c>
      <c r="U336" s="34">
        <v>11560</v>
      </c>
      <c r="V336" s="37">
        <v>46027</v>
      </c>
      <c r="W336" s="34">
        <v>19800</v>
      </c>
      <c r="X336" s="35">
        <v>45701</v>
      </c>
      <c r="Y336" s="34">
        <f t="shared" si="81"/>
        <v>20</v>
      </c>
      <c r="Z336" s="34">
        <f t="shared" si="82"/>
        <v>30</v>
      </c>
      <c r="AA336" s="39">
        <f t="shared" si="93"/>
        <v>39.6</v>
      </c>
      <c r="AB336" s="34"/>
      <c r="AC336" s="40">
        <f t="shared" si="84"/>
        <v>-325</v>
      </c>
      <c r="AD336" s="34">
        <f t="shared" si="85"/>
        <v>11560</v>
      </c>
      <c r="AE336" s="34">
        <f t="shared" si="86"/>
        <v>19800</v>
      </c>
      <c r="AF336" s="36">
        <f t="shared" si="87"/>
        <v>-89.6</v>
      </c>
      <c r="AG336" s="41">
        <f t="shared" si="88"/>
        <v>8150.4</v>
      </c>
      <c r="AH336" s="70">
        <f t="shared" si="89"/>
        <v>0.70505190311418686</v>
      </c>
    </row>
    <row r="337" spans="2:34" x14ac:dyDescent="0.4">
      <c r="B337" s="38" t="s">
        <v>495</v>
      </c>
      <c r="C337" s="34">
        <v>1</v>
      </c>
      <c r="D337" s="34">
        <v>12230</v>
      </c>
      <c r="E337" s="37">
        <v>46034</v>
      </c>
      <c r="F337" s="34">
        <v>19800</v>
      </c>
      <c r="G337" s="35">
        <v>45701</v>
      </c>
      <c r="H337" s="34">
        <f t="shared" si="72"/>
        <v>20</v>
      </c>
      <c r="I337" s="34">
        <f t="shared" si="73"/>
        <v>30</v>
      </c>
      <c r="J337" s="39">
        <f t="shared" si="92"/>
        <v>39.6</v>
      </c>
      <c r="K337" s="34"/>
      <c r="L337" s="40">
        <f t="shared" si="75"/>
        <v>-332</v>
      </c>
      <c r="M337" s="34">
        <f t="shared" si="76"/>
        <v>12230</v>
      </c>
      <c r="N337" s="34">
        <f t="shared" si="77"/>
        <v>19800</v>
      </c>
      <c r="O337" s="36">
        <f t="shared" si="78"/>
        <v>-89.6</v>
      </c>
      <c r="P337" s="41">
        <f t="shared" si="79"/>
        <v>7480.4</v>
      </c>
      <c r="Q337" s="70">
        <f t="shared" si="80"/>
        <v>0.61164349959116926</v>
      </c>
      <c r="S337" s="38" t="s">
        <v>495</v>
      </c>
      <c r="T337" s="34">
        <v>1</v>
      </c>
      <c r="U337" s="34">
        <v>12230</v>
      </c>
      <c r="V337" s="37">
        <v>46034</v>
      </c>
      <c r="W337" s="34">
        <v>19800</v>
      </c>
      <c r="X337" s="35">
        <v>45701</v>
      </c>
      <c r="Y337" s="34">
        <f t="shared" si="81"/>
        <v>20</v>
      </c>
      <c r="Z337" s="34">
        <f t="shared" si="82"/>
        <v>30</v>
      </c>
      <c r="AA337" s="39">
        <f t="shared" si="93"/>
        <v>39.6</v>
      </c>
      <c r="AB337" s="34"/>
      <c r="AC337" s="40">
        <f t="shared" si="84"/>
        <v>-332</v>
      </c>
      <c r="AD337" s="34">
        <f t="shared" si="85"/>
        <v>12230</v>
      </c>
      <c r="AE337" s="34">
        <f t="shared" si="86"/>
        <v>19800</v>
      </c>
      <c r="AF337" s="36">
        <f t="shared" si="87"/>
        <v>-89.6</v>
      </c>
      <c r="AG337" s="41">
        <f t="shared" si="88"/>
        <v>7480.4</v>
      </c>
      <c r="AH337" s="70">
        <f t="shared" si="89"/>
        <v>0.61164349959116926</v>
      </c>
    </row>
    <row r="338" spans="2:34" x14ac:dyDescent="0.4">
      <c r="B338" s="38" t="s">
        <v>495</v>
      </c>
      <c r="C338" s="34">
        <v>1</v>
      </c>
      <c r="D338" s="34">
        <v>13190</v>
      </c>
      <c r="E338" s="37">
        <v>46041</v>
      </c>
      <c r="F338" s="34">
        <v>19800</v>
      </c>
      <c r="G338" s="35">
        <v>45701</v>
      </c>
      <c r="H338" s="34">
        <f t="shared" si="72"/>
        <v>20</v>
      </c>
      <c r="I338" s="34">
        <f t="shared" si="73"/>
        <v>30</v>
      </c>
      <c r="J338" s="39">
        <f t="shared" si="92"/>
        <v>39.6</v>
      </c>
      <c r="K338" s="34"/>
      <c r="L338" s="40">
        <f t="shared" si="75"/>
        <v>-339</v>
      </c>
      <c r="M338" s="34">
        <f t="shared" si="76"/>
        <v>13190</v>
      </c>
      <c r="N338" s="34">
        <f t="shared" si="77"/>
        <v>19800</v>
      </c>
      <c r="O338" s="36">
        <f t="shared" si="78"/>
        <v>-89.6</v>
      </c>
      <c r="P338" s="41">
        <f t="shared" si="79"/>
        <v>6520.4</v>
      </c>
      <c r="Q338" s="70">
        <f t="shared" si="80"/>
        <v>0.49434420015163</v>
      </c>
      <c r="S338" s="38" t="s">
        <v>495</v>
      </c>
      <c r="T338" s="34">
        <v>1</v>
      </c>
      <c r="U338" s="34">
        <v>13190</v>
      </c>
      <c r="V338" s="37">
        <v>46041</v>
      </c>
      <c r="W338" s="34">
        <v>19800</v>
      </c>
      <c r="X338" s="35">
        <v>45701</v>
      </c>
      <c r="Y338" s="34">
        <f t="shared" si="81"/>
        <v>20</v>
      </c>
      <c r="Z338" s="34">
        <f t="shared" si="82"/>
        <v>30</v>
      </c>
      <c r="AA338" s="39">
        <f t="shared" si="93"/>
        <v>39.6</v>
      </c>
      <c r="AB338" s="34"/>
      <c r="AC338" s="40">
        <f t="shared" si="84"/>
        <v>-339</v>
      </c>
      <c r="AD338" s="34">
        <f t="shared" si="85"/>
        <v>13190</v>
      </c>
      <c r="AE338" s="34">
        <f t="shared" si="86"/>
        <v>19800</v>
      </c>
      <c r="AF338" s="36">
        <f t="shared" si="87"/>
        <v>-89.6</v>
      </c>
      <c r="AG338" s="41">
        <f t="shared" si="88"/>
        <v>6520.4</v>
      </c>
      <c r="AH338" s="70">
        <f t="shared" si="89"/>
        <v>0.49434420015163</v>
      </c>
    </row>
    <row r="339" spans="2:34" x14ac:dyDescent="0.4">
      <c r="B339" s="38" t="s">
        <v>495</v>
      </c>
      <c r="C339" s="34">
        <v>1</v>
      </c>
      <c r="D339" s="34">
        <v>13250</v>
      </c>
      <c r="E339" s="37">
        <v>46048</v>
      </c>
      <c r="F339" s="34">
        <v>19800</v>
      </c>
      <c r="G339" s="35">
        <v>45701</v>
      </c>
      <c r="H339" s="34">
        <f t="shared" si="72"/>
        <v>20</v>
      </c>
      <c r="I339" s="34">
        <f t="shared" si="73"/>
        <v>30</v>
      </c>
      <c r="J339" s="39">
        <f t="shared" si="92"/>
        <v>39.6</v>
      </c>
      <c r="K339" s="34"/>
      <c r="L339" s="40">
        <f t="shared" si="75"/>
        <v>-346</v>
      </c>
      <c r="M339" s="34">
        <f t="shared" si="76"/>
        <v>13250</v>
      </c>
      <c r="N339" s="34">
        <f t="shared" si="77"/>
        <v>19800</v>
      </c>
      <c r="O339" s="36">
        <f t="shared" si="78"/>
        <v>-89.6</v>
      </c>
      <c r="P339" s="41">
        <f t="shared" si="79"/>
        <v>6460.4</v>
      </c>
      <c r="Q339" s="70">
        <f t="shared" si="80"/>
        <v>0.48757735849056599</v>
      </c>
      <c r="S339" s="38" t="s">
        <v>495</v>
      </c>
      <c r="T339" s="34">
        <v>1</v>
      </c>
      <c r="U339" s="34">
        <v>13250</v>
      </c>
      <c r="V339" s="37">
        <v>46048</v>
      </c>
      <c r="W339" s="34">
        <v>19800</v>
      </c>
      <c r="X339" s="35">
        <v>45701</v>
      </c>
      <c r="Y339" s="34">
        <f t="shared" si="81"/>
        <v>20</v>
      </c>
      <c r="Z339" s="34">
        <f t="shared" si="82"/>
        <v>30</v>
      </c>
      <c r="AA339" s="39">
        <f t="shared" si="93"/>
        <v>39.6</v>
      </c>
      <c r="AB339" s="34"/>
      <c r="AC339" s="40">
        <f t="shared" si="84"/>
        <v>-346</v>
      </c>
      <c r="AD339" s="34">
        <f t="shared" si="85"/>
        <v>13250</v>
      </c>
      <c r="AE339" s="34">
        <f t="shared" si="86"/>
        <v>19800</v>
      </c>
      <c r="AF339" s="36">
        <f t="shared" si="87"/>
        <v>-89.6</v>
      </c>
      <c r="AG339" s="41">
        <f t="shared" si="88"/>
        <v>6460.4</v>
      </c>
      <c r="AH339" s="70">
        <f t="shared" si="89"/>
        <v>0.48757735849056599</v>
      </c>
    </row>
    <row r="340" spans="2:34" x14ac:dyDescent="0.4">
      <c r="B340" s="38" t="s">
        <v>495</v>
      </c>
      <c r="C340" s="34">
        <v>1</v>
      </c>
      <c r="D340" s="34">
        <v>16020</v>
      </c>
      <c r="E340" s="37">
        <v>46055</v>
      </c>
      <c r="F340" s="34">
        <v>19800</v>
      </c>
      <c r="G340" s="35">
        <v>45701</v>
      </c>
      <c r="H340" s="34">
        <f t="shared" si="72"/>
        <v>30</v>
      </c>
      <c r="I340" s="34">
        <f t="shared" si="73"/>
        <v>30</v>
      </c>
      <c r="J340" s="39">
        <f t="shared" si="92"/>
        <v>39.6</v>
      </c>
      <c r="K340" s="34"/>
      <c r="L340" s="40">
        <f t="shared" si="75"/>
        <v>-353</v>
      </c>
      <c r="M340" s="34">
        <f t="shared" si="76"/>
        <v>16020</v>
      </c>
      <c r="N340" s="34">
        <f t="shared" si="77"/>
        <v>19800</v>
      </c>
      <c r="O340" s="36">
        <f t="shared" si="78"/>
        <v>-99.6</v>
      </c>
      <c r="P340" s="41">
        <f t="shared" si="79"/>
        <v>3680.4</v>
      </c>
      <c r="Q340" s="70">
        <f t="shared" si="80"/>
        <v>0.22973782771535581</v>
      </c>
      <c r="S340" s="38" t="s">
        <v>495</v>
      </c>
      <c r="T340" s="34">
        <v>1</v>
      </c>
      <c r="U340" s="34">
        <v>16020</v>
      </c>
      <c r="V340" s="37">
        <v>46055</v>
      </c>
      <c r="W340" s="34">
        <v>19800</v>
      </c>
      <c r="X340" s="35">
        <v>45701</v>
      </c>
      <c r="Y340" s="34">
        <f t="shared" si="81"/>
        <v>30</v>
      </c>
      <c r="Z340" s="34">
        <f t="shared" si="82"/>
        <v>30</v>
      </c>
      <c r="AA340" s="39">
        <f t="shared" si="93"/>
        <v>39.6</v>
      </c>
      <c r="AB340" s="34"/>
      <c r="AC340" s="40">
        <f t="shared" si="84"/>
        <v>-353</v>
      </c>
      <c r="AD340" s="34">
        <f t="shared" si="85"/>
        <v>16020</v>
      </c>
      <c r="AE340" s="34">
        <f t="shared" si="86"/>
        <v>19800</v>
      </c>
      <c r="AF340" s="36">
        <f t="shared" si="87"/>
        <v>-99.6</v>
      </c>
      <c r="AG340" s="41">
        <f t="shared" si="88"/>
        <v>3680.4</v>
      </c>
      <c r="AH340" s="70">
        <f t="shared" si="89"/>
        <v>0.22973782771535581</v>
      </c>
    </row>
    <row r="341" spans="2:34" x14ac:dyDescent="0.4">
      <c r="B341" s="38" t="s">
        <v>495</v>
      </c>
      <c r="C341" s="34">
        <v>1</v>
      </c>
      <c r="D341" s="34">
        <v>16810</v>
      </c>
      <c r="E341" s="37">
        <v>46062</v>
      </c>
      <c r="F341" s="34">
        <v>19800</v>
      </c>
      <c r="G341" s="35">
        <v>45701</v>
      </c>
      <c r="H341" s="34">
        <f t="shared" ref="H341:H353" si="94">ROUNDDOWN(M341*0.001891639,-1)</f>
        <v>30</v>
      </c>
      <c r="I341" s="34">
        <f t="shared" ref="I341:I353" si="95">ROUNDDOWN(N341*0.001891639,-1)</f>
        <v>30</v>
      </c>
      <c r="J341" s="39">
        <f t="shared" si="92"/>
        <v>39.6</v>
      </c>
      <c r="K341" s="34"/>
      <c r="L341" s="40">
        <f t="shared" ref="L341:L372" si="96">G341-E341+1</f>
        <v>-360</v>
      </c>
      <c r="M341" s="34">
        <f t="shared" ref="M341:M372" si="97">C341*D341</f>
        <v>16810</v>
      </c>
      <c r="N341" s="34">
        <f t="shared" ref="N341:N372" si="98">C341*F341</f>
        <v>19800</v>
      </c>
      <c r="O341" s="36">
        <f t="shared" ref="O341:O372" si="99">K341-H341-I341-J341</f>
        <v>-99.6</v>
      </c>
      <c r="P341" s="41">
        <f t="shared" ref="P341:P404" si="100">IF(N341=0,0,N341-M341+O341)</f>
        <v>2890.4</v>
      </c>
      <c r="Q341" s="70">
        <f t="shared" ref="Q341:Q404" si="101">P341/M341</f>
        <v>0.17194527067221893</v>
      </c>
      <c r="S341" s="38" t="s">
        <v>495</v>
      </c>
      <c r="T341" s="34">
        <v>1</v>
      </c>
      <c r="U341" s="34">
        <v>16810</v>
      </c>
      <c r="V341" s="37">
        <v>46062</v>
      </c>
      <c r="W341" s="34">
        <v>19800</v>
      </c>
      <c r="X341" s="35">
        <v>45701</v>
      </c>
      <c r="Y341" s="34">
        <f t="shared" ref="Y341:Y353" si="102">ROUNDDOWN(AD341*0.001891639,-1)</f>
        <v>30</v>
      </c>
      <c r="Z341" s="34">
        <f t="shared" ref="Z341:Z353" si="103">ROUNDDOWN(AE341*0.001891639,-1)</f>
        <v>30</v>
      </c>
      <c r="AA341" s="39">
        <f t="shared" si="93"/>
        <v>39.6</v>
      </c>
      <c r="AB341" s="34"/>
      <c r="AC341" s="40">
        <f t="shared" ref="AC341:AC372" si="104">X341-V341+1</f>
        <v>-360</v>
      </c>
      <c r="AD341" s="34">
        <f t="shared" ref="AD341:AD372" si="105">T341*U341</f>
        <v>16810</v>
      </c>
      <c r="AE341" s="34">
        <f t="shared" ref="AE341:AE372" si="106">T341*W341</f>
        <v>19800</v>
      </c>
      <c r="AF341" s="36">
        <f t="shared" ref="AF341:AF372" si="107">AB341-Y341-Z341-AA341</f>
        <v>-99.6</v>
      </c>
      <c r="AG341" s="41">
        <f t="shared" ref="AG341:AG404" si="108">IF(AE341=0,0,AE341-AD341+AF341)</f>
        <v>2890.4</v>
      </c>
      <c r="AH341" s="70">
        <f t="shared" ref="AH341:AH404" si="109">AG341/AD341</f>
        <v>0.17194527067221893</v>
      </c>
    </row>
    <row r="342" spans="2:34" x14ac:dyDescent="0.4">
      <c r="B342" s="38" t="s">
        <v>495</v>
      </c>
      <c r="C342" s="34">
        <v>1</v>
      </c>
      <c r="D342" s="34">
        <v>23000</v>
      </c>
      <c r="E342" s="37">
        <v>46076</v>
      </c>
      <c r="F342" s="34"/>
      <c r="G342" s="35"/>
      <c r="H342" s="34">
        <f t="shared" si="94"/>
        <v>40</v>
      </c>
      <c r="I342" s="34">
        <f t="shared" si="95"/>
        <v>0</v>
      </c>
      <c r="J342" s="39">
        <f t="shared" si="92"/>
        <v>0</v>
      </c>
      <c r="K342" s="34"/>
      <c r="L342" s="40">
        <f t="shared" si="96"/>
        <v>-46075</v>
      </c>
      <c r="M342" s="34">
        <f t="shared" si="97"/>
        <v>23000</v>
      </c>
      <c r="N342" s="34">
        <f t="shared" si="98"/>
        <v>0</v>
      </c>
      <c r="O342" s="36">
        <f t="shared" si="99"/>
        <v>-40</v>
      </c>
      <c r="P342" s="41">
        <f t="shared" si="100"/>
        <v>0</v>
      </c>
      <c r="Q342" s="70">
        <f t="shared" si="101"/>
        <v>0</v>
      </c>
      <c r="S342" s="38" t="s">
        <v>495</v>
      </c>
      <c r="T342" s="34">
        <v>1</v>
      </c>
      <c r="U342" s="34">
        <v>23000</v>
      </c>
      <c r="V342" s="37">
        <v>46076</v>
      </c>
      <c r="W342" s="34"/>
      <c r="X342" s="35"/>
      <c r="Y342" s="34">
        <f t="shared" si="102"/>
        <v>40</v>
      </c>
      <c r="Z342" s="34">
        <f t="shared" si="103"/>
        <v>0</v>
      </c>
      <c r="AA342" s="39">
        <f t="shared" si="93"/>
        <v>0</v>
      </c>
      <c r="AB342" s="34"/>
      <c r="AC342" s="40">
        <f t="shared" si="104"/>
        <v>-46075</v>
      </c>
      <c r="AD342" s="34">
        <f t="shared" si="105"/>
        <v>23000</v>
      </c>
      <c r="AE342" s="34">
        <f t="shared" si="106"/>
        <v>0</v>
      </c>
      <c r="AF342" s="36">
        <f t="shared" si="107"/>
        <v>-40</v>
      </c>
      <c r="AG342" s="41">
        <f t="shared" si="108"/>
        <v>0</v>
      </c>
      <c r="AH342" s="70">
        <f t="shared" si="109"/>
        <v>0</v>
      </c>
    </row>
    <row r="343" spans="2:34" x14ac:dyDescent="0.4">
      <c r="B343" s="38" t="s">
        <v>495</v>
      </c>
      <c r="C343" s="34">
        <v>1</v>
      </c>
      <c r="D343" s="34">
        <v>22000</v>
      </c>
      <c r="E343" s="37">
        <v>46084</v>
      </c>
      <c r="F343" s="34"/>
      <c r="G343" s="35"/>
      <c r="H343" s="34">
        <f t="shared" si="94"/>
        <v>40</v>
      </c>
      <c r="I343" s="34">
        <f t="shared" si="95"/>
        <v>0</v>
      </c>
      <c r="J343" s="39">
        <f t="shared" si="92"/>
        <v>0</v>
      </c>
      <c r="K343" s="34"/>
      <c r="L343" s="40">
        <f t="shared" si="96"/>
        <v>-46083</v>
      </c>
      <c r="M343" s="34">
        <f t="shared" si="97"/>
        <v>22000</v>
      </c>
      <c r="N343" s="34">
        <f t="shared" si="98"/>
        <v>0</v>
      </c>
      <c r="O343" s="36">
        <f t="shared" si="99"/>
        <v>-40</v>
      </c>
      <c r="P343" s="41">
        <f t="shared" si="100"/>
        <v>0</v>
      </c>
      <c r="Q343" s="70">
        <f t="shared" si="101"/>
        <v>0</v>
      </c>
      <c r="S343" s="38" t="s">
        <v>495</v>
      </c>
      <c r="T343" s="34">
        <v>1</v>
      </c>
      <c r="U343" s="34">
        <v>22000</v>
      </c>
      <c r="V343" s="37">
        <v>46084</v>
      </c>
      <c r="W343" s="34"/>
      <c r="X343" s="35"/>
      <c r="Y343" s="34">
        <f t="shared" si="102"/>
        <v>40</v>
      </c>
      <c r="Z343" s="34">
        <f t="shared" si="103"/>
        <v>0</v>
      </c>
      <c r="AA343" s="39">
        <f t="shared" si="93"/>
        <v>0</v>
      </c>
      <c r="AB343" s="34"/>
      <c r="AC343" s="40">
        <f t="shared" si="104"/>
        <v>-46083</v>
      </c>
      <c r="AD343" s="34">
        <f t="shared" si="105"/>
        <v>22000</v>
      </c>
      <c r="AE343" s="34">
        <f t="shared" si="106"/>
        <v>0</v>
      </c>
      <c r="AF343" s="36">
        <f t="shared" si="107"/>
        <v>-40</v>
      </c>
      <c r="AG343" s="41">
        <f t="shared" si="108"/>
        <v>0</v>
      </c>
      <c r="AH343" s="70">
        <f t="shared" si="109"/>
        <v>0</v>
      </c>
    </row>
    <row r="344" spans="2:34" x14ac:dyDescent="0.4">
      <c r="B344" s="38" t="s">
        <v>495</v>
      </c>
      <c r="C344" s="34">
        <v>1</v>
      </c>
      <c r="D344" s="34">
        <v>19670</v>
      </c>
      <c r="E344" s="37">
        <v>46090</v>
      </c>
      <c r="F344" s="34"/>
      <c r="G344" s="35"/>
      <c r="H344" s="34">
        <f t="shared" si="94"/>
        <v>30</v>
      </c>
      <c r="I344" s="34">
        <f t="shared" si="95"/>
        <v>0</v>
      </c>
      <c r="J344" s="39">
        <f t="shared" si="92"/>
        <v>0</v>
      </c>
      <c r="K344" s="34"/>
      <c r="L344" s="40">
        <f t="shared" si="96"/>
        <v>-46089</v>
      </c>
      <c r="M344" s="34">
        <f t="shared" si="97"/>
        <v>19670</v>
      </c>
      <c r="N344" s="34">
        <f t="shared" si="98"/>
        <v>0</v>
      </c>
      <c r="O344" s="36">
        <f t="shared" si="99"/>
        <v>-30</v>
      </c>
      <c r="P344" s="41">
        <f t="shared" si="100"/>
        <v>0</v>
      </c>
      <c r="Q344" s="70">
        <f t="shared" si="101"/>
        <v>0</v>
      </c>
      <c r="S344" s="38" t="s">
        <v>495</v>
      </c>
      <c r="T344" s="34">
        <v>1</v>
      </c>
      <c r="U344" s="34">
        <v>19670</v>
      </c>
      <c r="V344" s="37">
        <v>46090</v>
      </c>
      <c r="W344" s="34"/>
      <c r="X344" s="35"/>
      <c r="Y344" s="34">
        <f t="shared" si="102"/>
        <v>30</v>
      </c>
      <c r="Z344" s="34">
        <f t="shared" si="103"/>
        <v>0</v>
      </c>
      <c r="AA344" s="39">
        <f t="shared" si="93"/>
        <v>0</v>
      </c>
      <c r="AB344" s="34"/>
      <c r="AC344" s="40">
        <f t="shared" si="104"/>
        <v>-46089</v>
      </c>
      <c r="AD344" s="34">
        <f t="shared" si="105"/>
        <v>19670</v>
      </c>
      <c r="AE344" s="34">
        <f t="shared" si="106"/>
        <v>0</v>
      </c>
      <c r="AF344" s="36">
        <f t="shared" si="107"/>
        <v>-30</v>
      </c>
      <c r="AG344" s="41">
        <f t="shared" si="108"/>
        <v>0</v>
      </c>
      <c r="AH344" s="70">
        <f t="shared" si="109"/>
        <v>0</v>
      </c>
    </row>
    <row r="345" spans="2:34" x14ac:dyDescent="0.4">
      <c r="B345" s="38" t="s">
        <v>495</v>
      </c>
      <c r="C345" s="34">
        <v>1</v>
      </c>
      <c r="D345" s="34">
        <v>21700</v>
      </c>
      <c r="E345" s="37">
        <v>46097</v>
      </c>
      <c r="F345" s="34"/>
      <c r="G345" s="35"/>
      <c r="H345" s="34">
        <f t="shared" si="94"/>
        <v>40</v>
      </c>
      <c r="I345" s="34">
        <f t="shared" si="95"/>
        <v>0</v>
      </c>
      <c r="J345" s="39">
        <f t="shared" si="92"/>
        <v>0</v>
      </c>
      <c r="K345" s="34"/>
      <c r="L345" s="40">
        <f t="shared" si="96"/>
        <v>-46096</v>
      </c>
      <c r="M345" s="34">
        <f t="shared" si="97"/>
        <v>21700</v>
      </c>
      <c r="N345" s="34">
        <f t="shared" si="98"/>
        <v>0</v>
      </c>
      <c r="O345" s="36">
        <f t="shared" si="99"/>
        <v>-40</v>
      </c>
      <c r="P345" s="41">
        <f t="shared" si="100"/>
        <v>0</v>
      </c>
      <c r="Q345" s="70">
        <f t="shared" si="101"/>
        <v>0</v>
      </c>
      <c r="S345" s="38" t="s">
        <v>495</v>
      </c>
      <c r="T345" s="34">
        <v>1</v>
      </c>
      <c r="U345" s="34">
        <v>21700</v>
      </c>
      <c r="V345" s="37">
        <v>46097</v>
      </c>
      <c r="W345" s="34"/>
      <c r="X345" s="35"/>
      <c r="Y345" s="34">
        <f t="shared" si="102"/>
        <v>40</v>
      </c>
      <c r="Z345" s="34">
        <f t="shared" si="103"/>
        <v>0</v>
      </c>
      <c r="AA345" s="39">
        <f t="shared" si="93"/>
        <v>0</v>
      </c>
      <c r="AB345" s="34"/>
      <c r="AC345" s="40">
        <f t="shared" si="104"/>
        <v>-46096</v>
      </c>
      <c r="AD345" s="34">
        <f t="shared" si="105"/>
        <v>21700</v>
      </c>
      <c r="AE345" s="34">
        <f t="shared" si="106"/>
        <v>0</v>
      </c>
      <c r="AF345" s="36">
        <f t="shared" si="107"/>
        <v>-40</v>
      </c>
      <c r="AG345" s="41">
        <f t="shared" si="108"/>
        <v>0</v>
      </c>
      <c r="AH345" s="70">
        <f t="shared" si="109"/>
        <v>0</v>
      </c>
    </row>
    <row r="346" spans="2:34" x14ac:dyDescent="0.4">
      <c r="B346" s="38" t="s">
        <v>495</v>
      </c>
      <c r="C346" s="34">
        <v>1</v>
      </c>
      <c r="D346" s="34">
        <v>20850</v>
      </c>
      <c r="E346" s="37">
        <v>46104</v>
      </c>
      <c r="F346" s="34"/>
      <c r="G346" s="35"/>
      <c r="H346" s="34">
        <f t="shared" si="94"/>
        <v>30</v>
      </c>
      <c r="I346" s="34">
        <f t="shared" si="95"/>
        <v>0</v>
      </c>
      <c r="J346" s="39">
        <f t="shared" si="92"/>
        <v>0</v>
      </c>
      <c r="K346" s="34"/>
      <c r="L346" s="40">
        <f t="shared" si="96"/>
        <v>-46103</v>
      </c>
      <c r="M346" s="34">
        <f t="shared" si="97"/>
        <v>20850</v>
      </c>
      <c r="N346" s="34">
        <f t="shared" si="98"/>
        <v>0</v>
      </c>
      <c r="O346" s="36">
        <f t="shared" si="99"/>
        <v>-30</v>
      </c>
      <c r="P346" s="41">
        <f t="shared" si="100"/>
        <v>0</v>
      </c>
      <c r="Q346" s="70">
        <f t="shared" si="101"/>
        <v>0</v>
      </c>
      <c r="S346" s="38" t="s">
        <v>495</v>
      </c>
      <c r="T346" s="34">
        <v>1</v>
      </c>
      <c r="U346" s="34">
        <v>20850</v>
      </c>
      <c r="V346" s="37">
        <v>46104</v>
      </c>
      <c r="W346" s="34"/>
      <c r="X346" s="35"/>
      <c r="Y346" s="34">
        <f t="shared" si="102"/>
        <v>30</v>
      </c>
      <c r="Z346" s="34">
        <f t="shared" si="103"/>
        <v>0</v>
      </c>
      <c r="AA346" s="39">
        <f t="shared" si="93"/>
        <v>0</v>
      </c>
      <c r="AB346" s="34"/>
      <c r="AC346" s="40">
        <f t="shared" si="104"/>
        <v>-46103</v>
      </c>
      <c r="AD346" s="34">
        <f t="shared" si="105"/>
        <v>20850</v>
      </c>
      <c r="AE346" s="34">
        <f t="shared" si="106"/>
        <v>0</v>
      </c>
      <c r="AF346" s="36">
        <f t="shared" si="107"/>
        <v>-30</v>
      </c>
      <c r="AG346" s="41">
        <f t="shared" si="108"/>
        <v>0</v>
      </c>
      <c r="AH346" s="70">
        <f t="shared" si="109"/>
        <v>0</v>
      </c>
    </row>
    <row r="347" spans="2:34" x14ac:dyDescent="0.4">
      <c r="B347" s="38" t="s">
        <v>495</v>
      </c>
      <c r="C347" s="34">
        <v>1</v>
      </c>
      <c r="D347" s="34">
        <v>19540</v>
      </c>
      <c r="E347" s="37">
        <v>46111</v>
      </c>
      <c r="F347" s="34"/>
      <c r="G347" s="35"/>
      <c r="H347" s="34">
        <f t="shared" si="94"/>
        <v>30</v>
      </c>
      <c r="I347" s="34">
        <f t="shared" si="95"/>
        <v>0</v>
      </c>
      <c r="J347" s="39">
        <f t="shared" si="92"/>
        <v>0</v>
      </c>
      <c r="K347" s="34"/>
      <c r="L347" s="40">
        <f t="shared" si="96"/>
        <v>-46110</v>
      </c>
      <c r="M347" s="34">
        <f t="shared" si="97"/>
        <v>19540</v>
      </c>
      <c r="N347" s="34">
        <f t="shared" si="98"/>
        <v>0</v>
      </c>
      <c r="O347" s="36">
        <f t="shared" si="99"/>
        <v>-30</v>
      </c>
      <c r="P347" s="41">
        <f t="shared" si="100"/>
        <v>0</v>
      </c>
      <c r="Q347" s="70">
        <f t="shared" si="101"/>
        <v>0</v>
      </c>
      <c r="S347" s="38" t="s">
        <v>495</v>
      </c>
      <c r="T347" s="34">
        <v>1</v>
      </c>
      <c r="U347" s="34">
        <v>19540</v>
      </c>
      <c r="V347" s="37">
        <v>46111</v>
      </c>
      <c r="W347" s="34"/>
      <c r="X347" s="35"/>
      <c r="Y347" s="34">
        <f t="shared" si="102"/>
        <v>30</v>
      </c>
      <c r="Z347" s="34">
        <f t="shared" si="103"/>
        <v>0</v>
      </c>
      <c r="AA347" s="39">
        <f t="shared" si="93"/>
        <v>0</v>
      </c>
      <c r="AB347" s="34"/>
      <c r="AC347" s="40">
        <f t="shared" si="104"/>
        <v>-46110</v>
      </c>
      <c r="AD347" s="34">
        <f t="shared" si="105"/>
        <v>19540</v>
      </c>
      <c r="AE347" s="34">
        <f t="shared" si="106"/>
        <v>0</v>
      </c>
      <c r="AF347" s="36">
        <f t="shared" si="107"/>
        <v>-30</v>
      </c>
      <c r="AG347" s="41">
        <f t="shared" si="108"/>
        <v>0</v>
      </c>
      <c r="AH347" s="70">
        <f t="shared" si="109"/>
        <v>0</v>
      </c>
    </row>
    <row r="348" spans="2:34" x14ac:dyDescent="0.4">
      <c r="B348" s="38" t="s">
        <v>495</v>
      </c>
      <c r="C348" s="34">
        <v>1</v>
      </c>
      <c r="D348" s="34">
        <v>19570</v>
      </c>
      <c r="E348" s="37">
        <v>46118</v>
      </c>
      <c r="F348" s="34"/>
      <c r="G348" s="35"/>
      <c r="H348" s="34">
        <f t="shared" si="94"/>
        <v>30</v>
      </c>
      <c r="I348" s="34">
        <f t="shared" si="95"/>
        <v>0</v>
      </c>
      <c r="J348" s="39">
        <f t="shared" si="92"/>
        <v>0</v>
      </c>
      <c r="K348" s="34"/>
      <c r="L348" s="40">
        <f t="shared" si="96"/>
        <v>-46117</v>
      </c>
      <c r="M348" s="34">
        <f t="shared" si="97"/>
        <v>19570</v>
      </c>
      <c r="N348" s="34">
        <f t="shared" si="98"/>
        <v>0</v>
      </c>
      <c r="O348" s="36">
        <f t="shared" si="99"/>
        <v>-30</v>
      </c>
      <c r="P348" s="41">
        <f t="shared" si="100"/>
        <v>0</v>
      </c>
      <c r="Q348" s="70">
        <f t="shared" si="101"/>
        <v>0</v>
      </c>
      <c r="S348" s="38" t="s">
        <v>495</v>
      </c>
      <c r="T348" s="34">
        <v>1</v>
      </c>
      <c r="U348" s="34">
        <v>19570</v>
      </c>
      <c r="V348" s="37">
        <v>46118</v>
      </c>
      <c r="W348" s="34"/>
      <c r="X348" s="35"/>
      <c r="Y348" s="34">
        <f t="shared" si="102"/>
        <v>30</v>
      </c>
      <c r="Z348" s="34">
        <f t="shared" si="103"/>
        <v>0</v>
      </c>
      <c r="AA348" s="39">
        <f t="shared" si="93"/>
        <v>0</v>
      </c>
      <c r="AB348" s="34"/>
      <c r="AC348" s="40">
        <f t="shared" si="104"/>
        <v>-46117</v>
      </c>
      <c r="AD348" s="34">
        <f t="shared" si="105"/>
        <v>19570</v>
      </c>
      <c r="AE348" s="34">
        <f t="shared" si="106"/>
        <v>0</v>
      </c>
      <c r="AF348" s="36">
        <f t="shared" si="107"/>
        <v>-30</v>
      </c>
      <c r="AG348" s="41">
        <f t="shared" si="108"/>
        <v>0</v>
      </c>
      <c r="AH348" s="70">
        <f t="shared" si="109"/>
        <v>0</v>
      </c>
    </row>
    <row r="349" spans="2:34" x14ac:dyDescent="0.4">
      <c r="B349" s="38" t="s">
        <v>219</v>
      </c>
      <c r="C349" s="34">
        <v>3</v>
      </c>
      <c r="D349" s="34">
        <v>524000</v>
      </c>
      <c r="E349" s="37">
        <v>45958</v>
      </c>
      <c r="F349" s="34">
        <v>636000</v>
      </c>
      <c r="G349" s="35">
        <v>46020</v>
      </c>
      <c r="H349" s="34">
        <f t="shared" si="94"/>
        <v>2970</v>
      </c>
      <c r="I349" s="34">
        <f t="shared" si="95"/>
        <v>3600</v>
      </c>
      <c r="J349" s="39">
        <f t="shared" ref="J349:J356" si="110">N349*0.0015</f>
        <v>2862</v>
      </c>
      <c r="K349" s="34">
        <f>375*C349</f>
        <v>1125</v>
      </c>
      <c r="L349" s="40">
        <f t="shared" si="96"/>
        <v>63</v>
      </c>
      <c r="M349" s="34">
        <f t="shared" si="97"/>
        <v>1572000</v>
      </c>
      <c r="N349" s="34">
        <f t="shared" si="98"/>
        <v>1908000</v>
      </c>
      <c r="O349" s="36">
        <f t="shared" si="99"/>
        <v>-8307</v>
      </c>
      <c r="P349" s="41">
        <f t="shared" si="100"/>
        <v>327693</v>
      </c>
      <c r="Q349" s="70">
        <f t="shared" si="101"/>
        <v>0.208456106870229</v>
      </c>
      <c r="S349" s="38" t="s">
        <v>219</v>
      </c>
      <c r="T349" s="34">
        <v>3</v>
      </c>
      <c r="U349" s="34">
        <v>524000</v>
      </c>
      <c r="V349" s="37">
        <v>45958</v>
      </c>
      <c r="W349" s="34">
        <v>636000</v>
      </c>
      <c r="X349" s="35">
        <v>46020</v>
      </c>
      <c r="Y349" s="34">
        <f t="shared" si="102"/>
        <v>2970</v>
      </c>
      <c r="Z349" s="34">
        <f t="shared" si="103"/>
        <v>3600</v>
      </c>
      <c r="AA349" s="39">
        <f t="shared" ref="AA349:AA356" si="111">AE349*0.0015</f>
        <v>2862</v>
      </c>
      <c r="AB349" s="34">
        <f>375*T349</f>
        <v>1125</v>
      </c>
      <c r="AC349" s="40">
        <f t="shared" si="104"/>
        <v>63</v>
      </c>
      <c r="AD349" s="34">
        <f t="shared" si="105"/>
        <v>1572000</v>
      </c>
      <c r="AE349" s="34">
        <f t="shared" si="106"/>
        <v>1908000</v>
      </c>
      <c r="AF349" s="36">
        <f t="shared" si="107"/>
        <v>-8307</v>
      </c>
      <c r="AG349" s="41">
        <f t="shared" si="108"/>
        <v>327693</v>
      </c>
      <c r="AH349" s="70">
        <f t="shared" si="109"/>
        <v>0.208456106870229</v>
      </c>
    </row>
    <row r="350" spans="2:34" x14ac:dyDescent="0.4">
      <c r="B350" s="38" t="s">
        <v>219</v>
      </c>
      <c r="C350" s="34">
        <v>2</v>
      </c>
      <c r="D350" s="34">
        <v>518000</v>
      </c>
      <c r="E350" s="37">
        <v>45958</v>
      </c>
      <c r="F350" s="34">
        <v>636000</v>
      </c>
      <c r="G350" s="35">
        <v>46020</v>
      </c>
      <c r="H350" s="34">
        <f t="shared" si="94"/>
        <v>1950</v>
      </c>
      <c r="I350" s="34">
        <f t="shared" si="95"/>
        <v>2400</v>
      </c>
      <c r="J350" s="39">
        <f t="shared" si="110"/>
        <v>1908</v>
      </c>
      <c r="K350" s="34">
        <f>375*C350</f>
        <v>750</v>
      </c>
      <c r="L350" s="40">
        <f t="shared" si="96"/>
        <v>63</v>
      </c>
      <c r="M350" s="34">
        <f t="shared" si="97"/>
        <v>1036000</v>
      </c>
      <c r="N350" s="34">
        <f t="shared" si="98"/>
        <v>1272000</v>
      </c>
      <c r="O350" s="36">
        <f t="shared" si="99"/>
        <v>-5508</v>
      </c>
      <c r="P350" s="41">
        <f t="shared" si="100"/>
        <v>230492</v>
      </c>
      <c r="Q350" s="70">
        <f t="shared" si="101"/>
        <v>0.22248262548262548</v>
      </c>
      <c r="S350" s="38" t="s">
        <v>219</v>
      </c>
      <c r="T350" s="34">
        <v>2</v>
      </c>
      <c r="U350" s="34">
        <v>518000</v>
      </c>
      <c r="V350" s="37">
        <v>45958</v>
      </c>
      <c r="W350" s="34">
        <v>636000</v>
      </c>
      <c r="X350" s="35">
        <v>46020</v>
      </c>
      <c r="Y350" s="34">
        <f t="shared" si="102"/>
        <v>1950</v>
      </c>
      <c r="Z350" s="34">
        <f t="shared" si="103"/>
        <v>2400</v>
      </c>
      <c r="AA350" s="39">
        <f t="shared" si="111"/>
        <v>1908</v>
      </c>
      <c r="AB350" s="34">
        <f>375*T350</f>
        <v>750</v>
      </c>
      <c r="AC350" s="40">
        <f t="shared" si="104"/>
        <v>63</v>
      </c>
      <c r="AD350" s="34">
        <f t="shared" si="105"/>
        <v>1036000</v>
      </c>
      <c r="AE350" s="34">
        <f t="shared" si="106"/>
        <v>1272000</v>
      </c>
      <c r="AF350" s="36">
        <f t="shared" si="107"/>
        <v>-5508</v>
      </c>
      <c r="AG350" s="41">
        <f t="shared" si="108"/>
        <v>230492</v>
      </c>
      <c r="AH350" s="70">
        <f t="shared" si="109"/>
        <v>0.22248262548262548</v>
      </c>
    </row>
    <row r="351" spans="2:34" x14ac:dyDescent="0.4">
      <c r="B351" s="38" t="s">
        <v>219</v>
      </c>
      <c r="C351" s="34">
        <v>2</v>
      </c>
      <c r="D351" s="34">
        <v>512000</v>
      </c>
      <c r="E351" s="37">
        <v>45958</v>
      </c>
      <c r="F351" s="34">
        <v>636000</v>
      </c>
      <c r="G351" s="35">
        <v>46020</v>
      </c>
      <c r="H351" s="34">
        <f t="shared" si="94"/>
        <v>1930</v>
      </c>
      <c r="I351" s="34">
        <f t="shared" si="95"/>
        <v>2400</v>
      </c>
      <c r="J351" s="39">
        <f t="shared" si="110"/>
        <v>1908</v>
      </c>
      <c r="K351" s="34">
        <f>375*C351</f>
        <v>750</v>
      </c>
      <c r="L351" s="40">
        <f t="shared" si="96"/>
        <v>63</v>
      </c>
      <c r="M351" s="34">
        <f t="shared" si="97"/>
        <v>1024000</v>
      </c>
      <c r="N351" s="34">
        <f t="shared" si="98"/>
        <v>1272000</v>
      </c>
      <c r="O351" s="36">
        <f t="shared" si="99"/>
        <v>-5488</v>
      </c>
      <c r="P351" s="41">
        <f t="shared" si="100"/>
        <v>242512</v>
      </c>
      <c r="Q351" s="70">
        <f t="shared" si="101"/>
        <v>0.236828125</v>
      </c>
      <c r="S351" s="38" t="s">
        <v>219</v>
      </c>
      <c r="T351" s="34">
        <v>2</v>
      </c>
      <c r="U351" s="34">
        <v>512000</v>
      </c>
      <c r="V351" s="37">
        <v>45958</v>
      </c>
      <c r="W351" s="34">
        <v>636000</v>
      </c>
      <c r="X351" s="35">
        <v>46020</v>
      </c>
      <c r="Y351" s="34">
        <f t="shared" si="102"/>
        <v>1930</v>
      </c>
      <c r="Z351" s="34">
        <f t="shared" si="103"/>
        <v>2400</v>
      </c>
      <c r="AA351" s="39">
        <f t="shared" si="111"/>
        <v>1908</v>
      </c>
      <c r="AB351" s="34">
        <f>375*T351</f>
        <v>750</v>
      </c>
      <c r="AC351" s="40">
        <f t="shared" si="104"/>
        <v>63</v>
      </c>
      <c r="AD351" s="34">
        <f t="shared" si="105"/>
        <v>1024000</v>
      </c>
      <c r="AE351" s="34">
        <f t="shared" si="106"/>
        <v>1272000</v>
      </c>
      <c r="AF351" s="36">
        <f t="shared" si="107"/>
        <v>-5488</v>
      </c>
      <c r="AG351" s="41">
        <f t="shared" si="108"/>
        <v>242512</v>
      </c>
      <c r="AH351" s="70">
        <f t="shared" si="109"/>
        <v>0.236828125</v>
      </c>
    </row>
    <row r="352" spans="2:34" x14ac:dyDescent="0.4">
      <c r="B352" s="38" t="s">
        <v>282</v>
      </c>
      <c r="C352" s="34">
        <v>6</v>
      </c>
      <c r="D352" s="34">
        <v>176000</v>
      </c>
      <c r="E352" s="37">
        <v>46044</v>
      </c>
      <c r="F352" s="34">
        <v>215000</v>
      </c>
      <c r="G352" s="35">
        <v>46048</v>
      </c>
      <c r="H352" s="34">
        <f t="shared" si="94"/>
        <v>1990</v>
      </c>
      <c r="I352" s="34">
        <f t="shared" si="95"/>
        <v>2440</v>
      </c>
      <c r="J352" s="39">
        <f t="shared" si="110"/>
        <v>1935</v>
      </c>
      <c r="K352" s="34"/>
      <c r="L352" s="40">
        <f t="shared" si="96"/>
        <v>5</v>
      </c>
      <c r="M352" s="34">
        <f t="shared" si="97"/>
        <v>1056000</v>
      </c>
      <c r="N352" s="34">
        <f t="shared" si="98"/>
        <v>1290000</v>
      </c>
      <c r="O352" s="36">
        <f t="shared" si="99"/>
        <v>-6365</v>
      </c>
      <c r="P352" s="41">
        <f t="shared" si="100"/>
        <v>227635</v>
      </c>
      <c r="Q352" s="70">
        <f t="shared" si="101"/>
        <v>0.21556344696969698</v>
      </c>
      <c r="S352" s="38" t="s">
        <v>282</v>
      </c>
      <c r="T352" s="34">
        <v>6</v>
      </c>
      <c r="U352" s="34">
        <v>176000</v>
      </c>
      <c r="V352" s="37">
        <v>46044</v>
      </c>
      <c r="W352" s="34">
        <v>215000</v>
      </c>
      <c r="X352" s="35">
        <v>46048</v>
      </c>
      <c r="Y352" s="34">
        <f t="shared" si="102"/>
        <v>1990</v>
      </c>
      <c r="Z352" s="34">
        <f t="shared" si="103"/>
        <v>2440</v>
      </c>
      <c r="AA352" s="39">
        <f t="shared" si="111"/>
        <v>1935</v>
      </c>
      <c r="AB352" s="34"/>
      <c r="AC352" s="40">
        <f t="shared" si="104"/>
        <v>5</v>
      </c>
      <c r="AD352" s="34">
        <f t="shared" si="105"/>
        <v>1056000</v>
      </c>
      <c r="AE352" s="34">
        <f t="shared" si="106"/>
        <v>1290000</v>
      </c>
      <c r="AF352" s="36">
        <f t="shared" si="107"/>
        <v>-6365</v>
      </c>
      <c r="AG352" s="41">
        <f t="shared" si="108"/>
        <v>227635</v>
      </c>
      <c r="AH352" s="70">
        <f t="shared" si="109"/>
        <v>0.21556344696969698</v>
      </c>
    </row>
    <row r="353" spans="1:34" x14ac:dyDescent="0.4">
      <c r="B353" s="38" t="s">
        <v>111</v>
      </c>
      <c r="C353" s="34">
        <v>10</v>
      </c>
      <c r="D353" s="34">
        <v>24700</v>
      </c>
      <c r="E353" s="37">
        <v>45985</v>
      </c>
      <c r="F353" s="34">
        <v>34100</v>
      </c>
      <c r="G353" s="35">
        <v>46000</v>
      </c>
      <c r="H353" s="34">
        <f t="shared" si="94"/>
        <v>460</v>
      </c>
      <c r="I353" s="34">
        <f t="shared" si="95"/>
        <v>640</v>
      </c>
      <c r="J353" s="39">
        <f t="shared" si="110"/>
        <v>511.5</v>
      </c>
      <c r="K353" s="34"/>
      <c r="L353" s="40">
        <f t="shared" si="96"/>
        <v>16</v>
      </c>
      <c r="M353" s="34">
        <f t="shared" si="97"/>
        <v>247000</v>
      </c>
      <c r="N353" s="34">
        <f t="shared" si="98"/>
        <v>341000</v>
      </c>
      <c r="O353" s="36">
        <f t="shared" si="99"/>
        <v>-1611.5</v>
      </c>
      <c r="P353" s="41">
        <f t="shared" si="100"/>
        <v>92388.5</v>
      </c>
      <c r="Q353" s="70">
        <f t="shared" si="101"/>
        <v>0.37404251012145751</v>
      </c>
      <c r="S353" s="38" t="s">
        <v>111</v>
      </c>
      <c r="T353" s="34">
        <v>10</v>
      </c>
      <c r="U353" s="34">
        <v>24700</v>
      </c>
      <c r="V353" s="37">
        <v>45985</v>
      </c>
      <c r="W353" s="34">
        <v>34100</v>
      </c>
      <c r="X353" s="35">
        <v>46000</v>
      </c>
      <c r="Y353" s="34">
        <f t="shared" si="102"/>
        <v>460</v>
      </c>
      <c r="Z353" s="34">
        <f t="shared" si="103"/>
        <v>640</v>
      </c>
      <c r="AA353" s="39">
        <f t="shared" si="111"/>
        <v>511.5</v>
      </c>
      <c r="AB353" s="34"/>
      <c r="AC353" s="40">
        <f t="shared" si="104"/>
        <v>16</v>
      </c>
      <c r="AD353" s="34">
        <f t="shared" si="105"/>
        <v>247000</v>
      </c>
      <c r="AE353" s="34">
        <f t="shared" si="106"/>
        <v>341000</v>
      </c>
      <c r="AF353" s="36">
        <f t="shared" si="107"/>
        <v>-1611.5</v>
      </c>
      <c r="AG353" s="41">
        <f t="shared" si="108"/>
        <v>92388.5</v>
      </c>
      <c r="AH353" s="70">
        <f t="shared" si="109"/>
        <v>0.37404251012145751</v>
      </c>
    </row>
    <row r="354" spans="1:34" x14ac:dyDescent="0.4">
      <c r="B354" s="38" t="s">
        <v>292</v>
      </c>
      <c r="C354" s="34">
        <v>3</v>
      </c>
      <c r="D354" s="34">
        <v>73300</v>
      </c>
      <c r="E354" s="37">
        <v>44316</v>
      </c>
      <c r="F354" s="34">
        <v>83200</v>
      </c>
      <c r="G354" s="35">
        <v>46008</v>
      </c>
      <c r="H354" s="34">
        <f>ROUNDDOWN(M354*0.004991639,-1)</f>
        <v>1090</v>
      </c>
      <c r="I354" s="34">
        <f t="shared" ref="I354:I372" si="112">ROUNDDOWN(N354*0.001891639,-1)</f>
        <v>470</v>
      </c>
      <c r="J354" s="39">
        <f t="shared" si="110"/>
        <v>374.40000000000003</v>
      </c>
      <c r="K354" s="34">
        <f>361*C354+361*C354+362*C354+361*C354+361*C354+361*C354+362*C354+361*C354+361*C354+361*C354+362*C354+364*C354+365*C354+367*C354+370*C354</f>
        <v>16320</v>
      </c>
      <c r="L354" s="40">
        <f t="shared" si="96"/>
        <v>1693</v>
      </c>
      <c r="M354" s="34">
        <f t="shared" si="97"/>
        <v>219900</v>
      </c>
      <c r="N354" s="34">
        <f t="shared" si="98"/>
        <v>249600</v>
      </c>
      <c r="O354" s="36">
        <f t="shared" si="99"/>
        <v>14385.6</v>
      </c>
      <c r="P354" s="41">
        <f t="shared" si="100"/>
        <v>44085.599999999999</v>
      </c>
      <c r="Q354" s="70">
        <f t="shared" si="101"/>
        <v>0.20048021828103682</v>
      </c>
      <c r="S354" s="38" t="s">
        <v>292</v>
      </c>
      <c r="T354" s="34">
        <v>3</v>
      </c>
      <c r="U354" s="34">
        <v>73300</v>
      </c>
      <c r="V354" s="37">
        <v>44316</v>
      </c>
      <c r="W354" s="34">
        <v>83200</v>
      </c>
      <c r="X354" s="35">
        <v>46008</v>
      </c>
      <c r="Y354" s="34">
        <f>ROUNDDOWN(AD354*0.004991639,-1)</f>
        <v>1090</v>
      </c>
      <c r="Z354" s="34">
        <f t="shared" ref="Z354:Z372" si="113">ROUNDDOWN(AE354*0.001891639,-1)</f>
        <v>470</v>
      </c>
      <c r="AA354" s="39">
        <f t="shared" si="111"/>
        <v>374.40000000000003</v>
      </c>
      <c r="AB354" s="34">
        <f>361*T354+361*T354+362*T354+361*T354+361*T354+361*T354+362*T354+361*T354+361*T354+361*T354+362*T354+364*T354+365*T354+367*T354+370*T354</f>
        <v>16320</v>
      </c>
      <c r="AC354" s="40">
        <f t="shared" si="104"/>
        <v>1693</v>
      </c>
      <c r="AD354" s="34">
        <f t="shared" si="105"/>
        <v>219900</v>
      </c>
      <c r="AE354" s="34">
        <f t="shared" si="106"/>
        <v>249600</v>
      </c>
      <c r="AF354" s="36">
        <f t="shared" si="107"/>
        <v>14385.6</v>
      </c>
      <c r="AG354" s="41">
        <f t="shared" si="108"/>
        <v>44085.599999999999</v>
      </c>
      <c r="AH354" s="70">
        <f t="shared" si="109"/>
        <v>0.20048021828103682</v>
      </c>
    </row>
    <row r="355" spans="1:34" x14ac:dyDescent="0.4">
      <c r="B355" s="38" t="s">
        <v>292</v>
      </c>
      <c r="C355" s="34">
        <v>3</v>
      </c>
      <c r="D355" s="34">
        <v>63200</v>
      </c>
      <c r="E355" s="37">
        <v>44631</v>
      </c>
      <c r="F355" s="34">
        <v>83200</v>
      </c>
      <c r="G355" s="35">
        <v>46008</v>
      </c>
      <c r="H355" s="34">
        <f t="shared" ref="H355:H372" si="114">ROUNDDOWN(M355*0.001891639,-1)</f>
        <v>350</v>
      </c>
      <c r="I355" s="34">
        <f t="shared" si="112"/>
        <v>470</v>
      </c>
      <c r="J355" s="39">
        <f t="shared" si="110"/>
        <v>374.40000000000003</v>
      </c>
      <c r="K355" s="34">
        <f>361*C355+361*C355+361*C355+362*C355+361*C355+361*C355+361*C355+362*C355+364*C355+365*C355+367*C355+370*C355</f>
        <v>13068</v>
      </c>
      <c r="L355" s="40">
        <f t="shared" si="96"/>
        <v>1378</v>
      </c>
      <c r="M355" s="34">
        <f t="shared" si="97"/>
        <v>189600</v>
      </c>
      <c r="N355" s="34">
        <f t="shared" si="98"/>
        <v>249600</v>
      </c>
      <c r="O355" s="36">
        <f t="shared" si="99"/>
        <v>11873.6</v>
      </c>
      <c r="P355" s="41">
        <f t="shared" si="100"/>
        <v>71873.600000000006</v>
      </c>
      <c r="Q355" s="70">
        <f t="shared" si="101"/>
        <v>0.37908016877637135</v>
      </c>
      <c r="S355" s="38" t="s">
        <v>292</v>
      </c>
      <c r="T355" s="34">
        <v>3</v>
      </c>
      <c r="U355" s="34">
        <v>63200</v>
      </c>
      <c r="V355" s="37">
        <v>44631</v>
      </c>
      <c r="W355" s="34">
        <v>83200</v>
      </c>
      <c r="X355" s="35">
        <v>46008</v>
      </c>
      <c r="Y355" s="34">
        <f t="shared" ref="Y355:Y372" si="115">ROUNDDOWN(AD355*0.001891639,-1)</f>
        <v>350</v>
      </c>
      <c r="Z355" s="34">
        <f t="shared" si="113"/>
        <v>470</v>
      </c>
      <c r="AA355" s="39">
        <f t="shared" si="111"/>
        <v>374.40000000000003</v>
      </c>
      <c r="AB355" s="34">
        <f>361*T355+361*T355+361*T355+362*T355+361*T355+361*T355+361*T355+362*T355+364*T355+365*T355+367*T355+370*T355</f>
        <v>13068</v>
      </c>
      <c r="AC355" s="40">
        <f t="shared" si="104"/>
        <v>1378</v>
      </c>
      <c r="AD355" s="34">
        <f t="shared" si="105"/>
        <v>189600</v>
      </c>
      <c r="AE355" s="34">
        <f t="shared" si="106"/>
        <v>249600</v>
      </c>
      <c r="AF355" s="36">
        <f t="shared" si="107"/>
        <v>11873.6</v>
      </c>
      <c r="AG355" s="41">
        <f t="shared" si="108"/>
        <v>71873.600000000006</v>
      </c>
      <c r="AH355" s="70">
        <f t="shared" si="109"/>
        <v>0.37908016877637135</v>
      </c>
    </row>
    <row r="356" spans="1:34" x14ac:dyDescent="0.4">
      <c r="B356" s="38" t="s">
        <v>292</v>
      </c>
      <c r="C356" s="34">
        <v>2</v>
      </c>
      <c r="D356" s="34">
        <v>44900</v>
      </c>
      <c r="E356" s="37">
        <v>45800</v>
      </c>
      <c r="F356" s="34">
        <v>83200</v>
      </c>
      <c r="G356" s="35">
        <v>46008</v>
      </c>
      <c r="H356" s="34">
        <f t="shared" si="114"/>
        <v>160</v>
      </c>
      <c r="I356" s="34">
        <f t="shared" si="112"/>
        <v>310</v>
      </c>
      <c r="J356" s="39">
        <f t="shared" si="110"/>
        <v>249.6</v>
      </c>
      <c r="K356" s="34">
        <f>367*C356+370*C356</f>
        <v>1474</v>
      </c>
      <c r="L356" s="40">
        <f t="shared" si="96"/>
        <v>209</v>
      </c>
      <c r="M356" s="34">
        <f t="shared" si="97"/>
        <v>89800</v>
      </c>
      <c r="N356" s="34">
        <f t="shared" si="98"/>
        <v>166400</v>
      </c>
      <c r="O356" s="36">
        <f t="shared" si="99"/>
        <v>754.4</v>
      </c>
      <c r="P356" s="41">
        <f t="shared" si="100"/>
        <v>77354.399999999994</v>
      </c>
      <c r="Q356" s="70">
        <f t="shared" si="101"/>
        <v>0.86140757238307342</v>
      </c>
      <c r="S356" s="38" t="s">
        <v>292</v>
      </c>
      <c r="T356" s="34">
        <v>2</v>
      </c>
      <c r="U356" s="34">
        <v>44900</v>
      </c>
      <c r="V356" s="37">
        <v>45800</v>
      </c>
      <c r="W356" s="34">
        <v>83200</v>
      </c>
      <c r="X356" s="35">
        <v>46008</v>
      </c>
      <c r="Y356" s="34">
        <f t="shared" si="115"/>
        <v>160</v>
      </c>
      <c r="Z356" s="34">
        <f t="shared" si="113"/>
        <v>310</v>
      </c>
      <c r="AA356" s="39">
        <f t="shared" si="111"/>
        <v>249.6</v>
      </c>
      <c r="AB356" s="34">
        <f>367*T356+370*T356</f>
        <v>1474</v>
      </c>
      <c r="AC356" s="40">
        <f t="shared" si="104"/>
        <v>209</v>
      </c>
      <c r="AD356" s="34">
        <f t="shared" si="105"/>
        <v>89800</v>
      </c>
      <c r="AE356" s="34">
        <f t="shared" si="106"/>
        <v>166400</v>
      </c>
      <c r="AF356" s="36">
        <f t="shared" si="107"/>
        <v>754.4</v>
      </c>
      <c r="AG356" s="41">
        <f t="shared" si="108"/>
        <v>77354.399999999994</v>
      </c>
      <c r="AH356" s="70">
        <f t="shared" si="109"/>
        <v>0.86140757238307342</v>
      </c>
    </row>
    <row r="357" spans="1:34" x14ac:dyDescent="0.4">
      <c r="B357" s="38" t="s">
        <v>593</v>
      </c>
      <c r="C357" s="34">
        <v>10</v>
      </c>
      <c r="D357" s="34">
        <v>49500</v>
      </c>
      <c r="E357" s="37">
        <v>45940</v>
      </c>
      <c r="F357" s="34">
        <v>56500</v>
      </c>
      <c r="G357" s="35">
        <v>46056</v>
      </c>
      <c r="H357" s="34">
        <f t="shared" si="114"/>
        <v>930</v>
      </c>
      <c r="I357" s="34">
        <f t="shared" si="112"/>
        <v>1060</v>
      </c>
      <c r="J357" s="39">
        <f>N357*0.002</f>
        <v>1130</v>
      </c>
      <c r="K357" s="34"/>
      <c r="L357" s="40">
        <f t="shared" si="96"/>
        <v>117</v>
      </c>
      <c r="M357" s="34">
        <f t="shared" si="97"/>
        <v>495000</v>
      </c>
      <c r="N357" s="34">
        <f t="shared" si="98"/>
        <v>565000</v>
      </c>
      <c r="O357" s="36">
        <f t="shared" si="99"/>
        <v>-3120</v>
      </c>
      <c r="P357" s="41">
        <f t="shared" si="100"/>
        <v>66880</v>
      </c>
      <c r="Q357" s="70">
        <f t="shared" si="101"/>
        <v>0.1351111111111111</v>
      </c>
      <c r="S357" s="38" t="s">
        <v>593</v>
      </c>
      <c r="T357" s="34">
        <v>10</v>
      </c>
      <c r="U357" s="34">
        <v>49500</v>
      </c>
      <c r="V357" s="37">
        <v>45940</v>
      </c>
      <c r="W357" s="34">
        <v>56500</v>
      </c>
      <c r="X357" s="35">
        <v>46056</v>
      </c>
      <c r="Y357" s="34">
        <f t="shared" si="115"/>
        <v>930</v>
      </c>
      <c r="Z357" s="34">
        <f t="shared" si="113"/>
        <v>1060</v>
      </c>
      <c r="AA357" s="39">
        <f>AE357*0.002</f>
        <v>1130</v>
      </c>
      <c r="AB357" s="34"/>
      <c r="AC357" s="40">
        <f t="shared" si="104"/>
        <v>117</v>
      </c>
      <c r="AD357" s="34">
        <f t="shared" si="105"/>
        <v>495000</v>
      </c>
      <c r="AE357" s="34">
        <f t="shared" si="106"/>
        <v>565000</v>
      </c>
      <c r="AF357" s="36">
        <f t="shared" si="107"/>
        <v>-3120</v>
      </c>
      <c r="AG357" s="41">
        <f t="shared" si="108"/>
        <v>66880</v>
      </c>
      <c r="AH357" s="70">
        <f t="shared" si="109"/>
        <v>0.1351111111111111</v>
      </c>
    </row>
    <row r="358" spans="1:34" x14ac:dyDescent="0.4">
      <c r="B358" s="38" t="s">
        <v>147</v>
      </c>
      <c r="C358" s="34">
        <v>14</v>
      </c>
      <c r="D358" s="34">
        <v>52000</v>
      </c>
      <c r="E358" s="37">
        <v>45957</v>
      </c>
      <c r="F358" s="34">
        <v>57300</v>
      </c>
      <c r="G358" s="35">
        <v>45958</v>
      </c>
      <c r="H358" s="34">
        <f t="shared" si="114"/>
        <v>1370</v>
      </c>
      <c r="I358" s="34">
        <f t="shared" si="112"/>
        <v>1510</v>
      </c>
      <c r="J358" s="39">
        <f t="shared" ref="J358:J363" si="116">N358*0.0015</f>
        <v>1203.3</v>
      </c>
      <c r="K358" s="34"/>
      <c r="L358" s="40">
        <f t="shared" si="96"/>
        <v>2</v>
      </c>
      <c r="M358" s="34">
        <f t="shared" si="97"/>
        <v>728000</v>
      </c>
      <c r="N358" s="34">
        <f t="shared" si="98"/>
        <v>802200</v>
      </c>
      <c r="O358" s="36">
        <f t="shared" si="99"/>
        <v>-4083.3</v>
      </c>
      <c r="P358" s="41">
        <f t="shared" si="100"/>
        <v>70116.7</v>
      </c>
      <c r="Q358" s="70">
        <f t="shared" si="101"/>
        <v>9.6314148351648352E-2</v>
      </c>
      <c r="S358" s="38" t="s">
        <v>147</v>
      </c>
      <c r="T358" s="34">
        <v>14</v>
      </c>
      <c r="U358" s="34">
        <v>52000</v>
      </c>
      <c r="V358" s="37">
        <v>45957</v>
      </c>
      <c r="W358" s="34">
        <v>57300</v>
      </c>
      <c r="X358" s="35">
        <v>45958</v>
      </c>
      <c r="Y358" s="34">
        <f t="shared" si="115"/>
        <v>1370</v>
      </c>
      <c r="Z358" s="34">
        <f t="shared" si="113"/>
        <v>1510</v>
      </c>
      <c r="AA358" s="39">
        <f t="shared" ref="AA358:AA363" si="117">AE358*0.0015</f>
        <v>1203.3</v>
      </c>
      <c r="AB358" s="34"/>
      <c r="AC358" s="40">
        <f t="shared" si="104"/>
        <v>2</v>
      </c>
      <c r="AD358" s="34">
        <f t="shared" si="105"/>
        <v>728000</v>
      </c>
      <c r="AE358" s="34">
        <f t="shared" si="106"/>
        <v>802200</v>
      </c>
      <c r="AF358" s="36">
        <f t="shared" si="107"/>
        <v>-4083.3</v>
      </c>
      <c r="AG358" s="41">
        <f t="shared" si="108"/>
        <v>70116.7</v>
      </c>
      <c r="AH358" s="70">
        <f t="shared" si="109"/>
        <v>9.6314148351648352E-2</v>
      </c>
    </row>
    <row r="359" spans="1:34" x14ac:dyDescent="0.4">
      <c r="B359" s="38" t="s">
        <v>147</v>
      </c>
      <c r="C359" s="34">
        <v>6</v>
      </c>
      <c r="D359" s="34">
        <v>51400</v>
      </c>
      <c r="E359" s="37">
        <v>45958</v>
      </c>
      <c r="F359" s="34">
        <v>57300</v>
      </c>
      <c r="G359" s="35">
        <v>45958</v>
      </c>
      <c r="H359" s="34">
        <f t="shared" si="114"/>
        <v>580</v>
      </c>
      <c r="I359" s="34">
        <f t="shared" si="112"/>
        <v>650</v>
      </c>
      <c r="J359" s="39">
        <f t="shared" si="116"/>
        <v>515.70000000000005</v>
      </c>
      <c r="K359" s="34"/>
      <c r="L359" s="40">
        <f t="shared" si="96"/>
        <v>1</v>
      </c>
      <c r="M359" s="34">
        <f t="shared" si="97"/>
        <v>308400</v>
      </c>
      <c r="N359" s="34">
        <f t="shared" si="98"/>
        <v>343800</v>
      </c>
      <c r="O359" s="36">
        <f t="shared" si="99"/>
        <v>-1745.7</v>
      </c>
      <c r="P359" s="41">
        <f t="shared" si="100"/>
        <v>33654.300000000003</v>
      </c>
      <c r="Q359" s="70">
        <f t="shared" si="101"/>
        <v>0.10912548638132297</v>
      </c>
      <c r="S359" s="38" t="s">
        <v>147</v>
      </c>
      <c r="T359" s="34">
        <v>6</v>
      </c>
      <c r="U359" s="34">
        <v>51400</v>
      </c>
      <c r="V359" s="37">
        <v>45958</v>
      </c>
      <c r="W359" s="34">
        <v>57300</v>
      </c>
      <c r="X359" s="35">
        <v>45958</v>
      </c>
      <c r="Y359" s="34">
        <f t="shared" si="115"/>
        <v>580</v>
      </c>
      <c r="Z359" s="34">
        <f t="shared" si="113"/>
        <v>650</v>
      </c>
      <c r="AA359" s="39">
        <f t="shared" si="117"/>
        <v>515.70000000000005</v>
      </c>
      <c r="AB359" s="34"/>
      <c r="AC359" s="40">
        <f t="shared" si="104"/>
        <v>1</v>
      </c>
      <c r="AD359" s="34">
        <f t="shared" si="105"/>
        <v>308400</v>
      </c>
      <c r="AE359" s="34">
        <f t="shared" si="106"/>
        <v>343800</v>
      </c>
      <c r="AF359" s="36">
        <f t="shared" si="107"/>
        <v>-1745.7</v>
      </c>
      <c r="AG359" s="41">
        <f t="shared" si="108"/>
        <v>33654.300000000003</v>
      </c>
      <c r="AH359" s="70">
        <f t="shared" si="109"/>
        <v>0.10912548638132297</v>
      </c>
    </row>
    <row r="360" spans="1:34" x14ac:dyDescent="0.4">
      <c r="B360" s="38" t="s">
        <v>349</v>
      </c>
      <c r="C360" s="34">
        <v>3</v>
      </c>
      <c r="D360" s="34">
        <v>221000</v>
      </c>
      <c r="E360" s="37">
        <v>45880</v>
      </c>
      <c r="F360" s="34">
        <v>236000</v>
      </c>
      <c r="G360" s="35">
        <v>45929</v>
      </c>
      <c r="H360" s="34">
        <f t="shared" si="114"/>
        <v>1250</v>
      </c>
      <c r="I360" s="34">
        <f t="shared" si="112"/>
        <v>1330</v>
      </c>
      <c r="J360" s="39">
        <f t="shared" si="116"/>
        <v>1062</v>
      </c>
      <c r="K360" s="34"/>
      <c r="L360" s="40">
        <f t="shared" si="96"/>
        <v>50</v>
      </c>
      <c r="M360" s="34">
        <f t="shared" si="97"/>
        <v>663000</v>
      </c>
      <c r="N360" s="34">
        <f t="shared" si="98"/>
        <v>708000</v>
      </c>
      <c r="O360" s="36">
        <f t="shared" si="99"/>
        <v>-3642</v>
      </c>
      <c r="P360" s="41">
        <f t="shared" si="100"/>
        <v>41358</v>
      </c>
      <c r="Q360" s="70">
        <f t="shared" si="101"/>
        <v>6.2380090497737559E-2</v>
      </c>
      <c r="S360" s="38" t="s">
        <v>349</v>
      </c>
      <c r="T360" s="34">
        <v>3</v>
      </c>
      <c r="U360" s="34">
        <v>221000</v>
      </c>
      <c r="V360" s="37">
        <v>45880</v>
      </c>
      <c r="W360" s="34">
        <v>236000</v>
      </c>
      <c r="X360" s="35">
        <v>45929</v>
      </c>
      <c r="Y360" s="34">
        <f t="shared" si="115"/>
        <v>1250</v>
      </c>
      <c r="Z360" s="34">
        <f t="shared" si="113"/>
        <v>1330</v>
      </c>
      <c r="AA360" s="39">
        <f t="shared" si="117"/>
        <v>1062</v>
      </c>
      <c r="AB360" s="34"/>
      <c r="AC360" s="40">
        <f t="shared" si="104"/>
        <v>50</v>
      </c>
      <c r="AD360" s="34">
        <f t="shared" si="105"/>
        <v>663000</v>
      </c>
      <c r="AE360" s="34">
        <f t="shared" si="106"/>
        <v>708000</v>
      </c>
      <c r="AF360" s="36">
        <f t="shared" si="107"/>
        <v>-3642</v>
      </c>
      <c r="AG360" s="41">
        <f t="shared" si="108"/>
        <v>41358</v>
      </c>
      <c r="AH360" s="70">
        <f t="shared" si="109"/>
        <v>6.2380090497737559E-2</v>
      </c>
    </row>
    <row r="361" spans="1:34" x14ac:dyDescent="0.4">
      <c r="B361" s="38" t="s">
        <v>146</v>
      </c>
      <c r="C361" s="34">
        <v>50</v>
      </c>
      <c r="D361" s="34">
        <v>10050</v>
      </c>
      <c r="E361" s="37">
        <v>45932</v>
      </c>
      <c r="F361" s="34">
        <v>12500</v>
      </c>
      <c r="G361" s="35">
        <v>46000</v>
      </c>
      <c r="H361" s="34">
        <f t="shared" si="114"/>
        <v>950</v>
      </c>
      <c r="I361" s="34">
        <f t="shared" si="112"/>
        <v>1180</v>
      </c>
      <c r="J361" s="39">
        <f t="shared" si="116"/>
        <v>937.5</v>
      </c>
      <c r="K361" s="34"/>
      <c r="L361" s="40">
        <f t="shared" si="96"/>
        <v>69</v>
      </c>
      <c r="M361" s="34">
        <f t="shared" si="97"/>
        <v>502500</v>
      </c>
      <c r="N361" s="34">
        <f t="shared" si="98"/>
        <v>625000</v>
      </c>
      <c r="O361" s="36">
        <f t="shared" si="99"/>
        <v>-3067.5</v>
      </c>
      <c r="P361" s="41">
        <f t="shared" si="100"/>
        <v>119432.5</v>
      </c>
      <c r="Q361" s="70">
        <f t="shared" si="101"/>
        <v>0.23767661691542288</v>
      </c>
      <c r="S361" s="38" t="s">
        <v>146</v>
      </c>
      <c r="T361" s="34">
        <v>50</v>
      </c>
      <c r="U361" s="34">
        <v>10050</v>
      </c>
      <c r="V361" s="37">
        <v>45932</v>
      </c>
      <c r="W361" s="34">
        <v>12500</v>
      </c>
      <c r="X361" s="35">
        <v>46000</v>
      </c>
      <c r="Y361" s="34">
        <f t="shared" si="115"/>
        <v>950</v>
      </c>
      <c r="Z361" s="34">
        <f t="shared" si="113"/>
        <v>1180</v>
      </c>
      <c r="AA361" s="39">
        <f t="shared" si="117"/>
        <v>937.5</v>
      </c>
      <c r="AB361" s="34"/>
      <c r="AC361" s="40">
        <f t="shared" si="104"/>
        <v>69</v>
      </c>
      <c r="AD361" s="34">
        <f t="shared" si="105"/>
        <v>502500</v>
      </c>
      <c r="AE361" s="34">
        <f t="shared" si="106"/>
        <v>625000</v>
      </c>
      <c r="AF361" s="36">
        <f t="shared" si="107"/>
        <v>-3067.5</v>
      </c>
      <c r="AG361" s="41">
        <f t="shared" si="108"/>
        <v>119432.5</v>
      </c>
      <c r="AH361" s="70">
        <f t="shared" si="109"/>
        <v>0.23767661691542288</v>
      </c>
    </row>
    <row r="362" spans="1:34" x14ac:dyDescent="0.4">
      <c r="B362" s="38" t="s">
        <v>578</v>
      </c>
      <c r="C362" s="34">
        <v>2</v>
      </c>
      <c r="D362" s="34">
        <v>89200</v>
      </c>
      <c r="E362" s="37">
        <v>44440</v>
      </c>
      <c r="F362" s="34">
        <v>93200</v>
      </c>
      <c r="G362" s="35">
        <v>45932</v>
      </c>
      <c r="H362" s="34">
        <f t="shared" si="114"/>
        <v>330</v>
      </c>
      <c r="I362" s="34">
        <f t="shared" si="112"/>
        <v>350</v>
      </c>
      <c r="J362" s="39">
        <f t="shared" si="116"/>
        <v>279.60000000000002</v>
      </c>
      <c r="K362" s="34">
        <f>450*C362+123*C362+217*C362+477*C362</f>
        <v>2534</v>
      </c>
      <c r="L362" s="40">
        <f t="shared" si="96"/>
        <v>1493</v>
      </c>
      <c r="M362" s="34">
        <f t="shared" si="97"/>
        <v>178400</v>
      </c>
      <c r="N362" s="34">
        <f t="shared" si="98"/>
        <v>186400</v>
      </c>
      <c r="O362" s="36">
        <f t="shared" si="99"/>
        <v>1574.4</v>
      </c>
      <c r="P362" s="41">
        <f t="shared" si="100"/>
        <v>9574.4</v>
      </c>
      <c r="Q362" s="70">
        <f t="shared" si="101"/>
        <v>5.3668161434977574E-2</v>
      </c>
      <c r="S362" s="38" t="s">
        <v>578</v>
      </c>
      <c r="T362" s="34">
        <v>2</v>
      </c>
      <c r="U362" s="34">
        <v>89200</v>
      </c>
      <c r="V362" s="37">
        <v>44440</v>
      </c>
      <c r="W362" s="34">
        <v>93200</v>
      </c>
      <c r="X362" s="35">
        <v>45932</v>
      </c>
      <c r="Y362" s="34">
        <f t="shared" si="115"/>
        <v>330</v>
      </c>
      <c r="Z362" s="34">
        <f t="shared" si="113"/>
        <v>350</v>
      </c>
      <c r="AA362" s="39">
        <f t="shared" si="117"/>
        <v>279.60000000000002</v>
      </c>
      <c r="AB362" s="34">
        <f>450*T362+123*T362+217*T362+477*T362</f>
        <v>2534</v>
      </c>
      <c r="AC362" s="40">
        <f t="shared" si="104"/>
        <v>1493</v>
      </c>
      <c r="AD362" s="34">
        <f t="shared" si="105"/>
        <v>178400</v>
      </c>
      <c r="AE362" s="34">
        <f t="shared" si="106"/>
        <v>186400</v>
      </c>
      <c r="AF362" s="36">
        <f t="shared" si="107"/>
        <v>1574.4</v>
      </c>
      <c r="AG362" s="41">
        <f t="shared" si="108"/>
        <v>9574.4</v>
      </c>
      <c r="AH362" s="70">
        <f t="shared" si="109"/>
        <v>5.3668161434977574E-2</v>
      </c>
    </row>
    <row r="363" spans="1:34" x14ac:dyDescent="0.4">
      <c r="B363" s="38" t="s">
        <v>578</v>
      </c>
      <c r="C363" s="34">
        <v>1</v>
      </c>
      <c r="D363" s="34">
        <v>76900</v>
      </c>
      <c r="E363" s="37">
        <v>45902</v>
      </c>
      <c r="F363" s="34">
        <v>93200</v>
      </c>
      <c r="G363" s="35">
        <v>45932</v>
      </c>
      <c r="H363" s="34">
        <f t="shared" si="114"/>
        <v>140</v>
      </c>
      <c r="I363" s="34">
        <f t="shared" si="112"/>
        <v>170</v>
      </c>
      <c r="J363" s="39">
        <f t="shared" si="116"/>
        <v>139.80000000000001</v>
      </c>
      <c r="K363" s="34">
        <f>477*C363</f>
        <v>477</v>
      </c>
      <c r="L363" s="40">
        <f t="shared" si="96"/>
        <v>31</v>
      </c>
      <c r="M363" s="34">
        <f t="shared" si="97"/>
        <v>76900</v>
      </c>
      <c r="N363" s="34">
        <f t="shared" si="98"/>
        <v>93200</v>
      </c>
      <c r="O363" s="36">
        <f t="shared" si="99"/>
        <v>27.199999999999989</v>
      </c>
      <c r="P363" s="41">
        <f t="shared" si="100"/>
        <v>16327.2</v>
      </c>
      <c r="Q363" s="70">
        <f t="shared" si="101"/>
        <v>0.21231729518855658</v>
      </c>
      <c r="S363" s="38" t="s">
        <v>578</v>
      </c>
      <c r="T363" s="34">
        <v>1</v>
      </c>
      <c r="U363" s="34">
        <v>76900</v>
      </c>
      <c r="V363" s="37">
        <v>45902</v>
      </c>
      <c r="W363" s="34">
        <v>93200</v>
      </c>
      <c r="X363" s="35">
        <v>45932</v>
      </c>
      <c r="Y363" s="34">
        <f t="shared" si="115"/>
        <v>140</v>
      </c>
      <c r="Z363" s="34">
        <f t="shared" si="113"/>
        <v>170</v>
      </c>
      <c r="AA363" s="39">
        <f t="shared" si="117"/>
        <v>139.80000000000001</v>
      </c>
      <c r="AB363" s="34">
        <f>477*T363</f>
        <v>477</v>
      </c>
      <c r="AC363" s="40">
        <f t="shared" si="104"/>
        <v>31</v>
      </c>
      <c r="AD363" s="34">
        <f t="shared" si="105"/>
        <v>76900</v>
      </c>
      <c r="AE363" s="34">
        <f t="shared" si="106"/>
        <v>93200</v>
      </c>
      <c r="AF363" s="36">
        <f t="shared" si="107"/>
        <v>27.199999999999989</v>
      </c>
      <c r="AG363" s="41">
        <f t="shared" si="108"/>
        <v>16327.2</v>
      </c>
      <c r="AH363" s="70">
        <f t="shared" si="109"/>
        <v>0.21231729518855658</v>
      </c>
    </row>
    <row r="364" spans="1:34" x14ac:dyDescent="0.4">
      <c r="A364" t="s">
        <v>594</v>
      </c>
      <c r="B364" s="38" t="s">
        <v>468</v>
      </c>
      <c r="C364" s="34">
        <v>1</v>
      </c>
      <c r="D364" s="34">
        <f>44500-4305</f>
        <v>40195</v>
      </c>
      <c r="E364" s="37">
        <v>44351</v>
      </c>
      <c r="F364" s="34">
        <v>9.9999999999999998E-13</v>
      </c>
      <c r="G364" s="35">
        <v>45023</v>
      </c>
      <c r="H364" s="34">
        <f t="shared" si="114"/>
        <v>70</v>
      </c>
      <c r="I364" s="34">
        <f t="shared" si="112"/>
        <v>0</v>
      </c>
      <c r="J364" s="39">
        <f>N364*0.002</f>
        <v>2.0000000000000002E-15</v>
      </c>
      <c r="K364" s="34">
        <v>201</v>
      </c>
      <c r="L364" s="40">
        <f t="shared" si="96"/>
        <v>673</v>
      </c>
      <c r="M364" s="34">
        <f t="shared" si="97"/>
        <v>40195</v>
      </c>
      <c r="N364" s="34">
        <f t="shared" si="98"/>
        <v>9.9999999999999998E-13</v>
      </c>
      <c r="O364" s="36">
        <f t="shared" si="99"/>
        <v>131</v>
      </c>
      <c r="P364" s="41">
        <f t="shared" si="100"/>
        <v>-40064</v>
      </c>
      <c r="Q364" s="70">
        <f t="shared" si="101"/>
        <v>-0.99674088817017037</v>
      </c>
      <c r="S364" s="38" t="s">
        <v>468</v>
      </c>
      <c r="T364" s="34">
        <v>1</v>
      </c>
      <c r="U364" s="34">
        <f>44500-4305</f>
        <v>40195</v>
      </c>
      <c r="V364" s="37">
        <v>44351</v>
      </c>
      <c r="W364" s="34">
        <v>9.9999999999999998E-13</v>
      </c>
      <c r="X364" s="35">
        <v>45023</v>
      </c>
      <c r="Y364" s="34">
        <f t="shared" si="115"/>
        <v>70</v>
      </c>
      <c r="Z364" s="34">
        <f t="shared" si="113"/>
        <v>0</v>
      </c>
      <c r="AA364" s="39">
        <f>AE364*0.002</f>
        <v>2.0000000000000002E-15</v>
      </c>
      <c r="AB364" s="34">
        <v>201</v>
      </c>
      <c r="AC364" s="40">
        <f t="shared" si="104"/>
        <v>673</v>
      </c>
      <c r="AD364" s="34">
        <f t="shared" si="105"/>
        <v>40195</v>
      </c>
      <c r="AE364" s="34">
        <f t="shared" si="106"/>
        <v>9.9999999999999998E-13</v>
      </c>
      <c r="AF364" s="36">
        <f t="shared" si="107"/>
        <v>131</v>
      </c>
      <c r="AG364" s="41">
        <f t="shared" si="108"/>
        <v>-40064</v>
      </c>
      <c r="AH364" s="70">
        <f t="shared" si="109"/>
        <v>-0.99674088817017037</v>
      </c>
    </row>
    <row r="365" spans="1:34" x14ac:dyDescent="0.4">
      <c r="B365" s="38" t="s">
        <v>468</v>
      </c>
      <c r="C365" s="34">
        <v>2</v>
      </c>
      <c r="D365" s="34">
        <f>44500-4305</f>
        <v>40195</v>
      </c>
      <c r="E365" s="37">
        <v>44351</v>
      </c>
      <c r="F365" s="34">
        <v>57000</v>
      </c>
      <c r="G365" s="35">
        <v>46072</v>
      </c>
      <c r="H365" s="34">
        <f t="shared" si="114"/>
        <v>150</v>
      </c>
      <c r="I365" s="34">
        <f t="shared" si="112"/>
        <v>210</v>
      </c>
      <c r="J365" s="39">
        <f>N365*0.002</f>
        <v>228</v>
      </c>
      <c r="K365" s="34">
        <f>15602+300*C365+300*C365</f>
        <v>16802</v>
      </c>
      <c r="L365" s="40">
        <f t="shared" si="96"/>
        <v>1722</v>
      </c>
      <c r="M365" s="34">
        <f t="shared" si="97"/>
        <v>80390</v>
      </c>
      <c r="N365" s="34">
        <f t="shared" si="98"/>
        <v>114000</v>
      </c>
      <c r="O365" s="36">
        <f t="shared" si="99"/>
        <v>16214</v>
      </c>
      <c r="P365" s="41">
        <f t="shared" si="100"/>
        <v>49824</v>
      </c>
      <c r="Q365" s="70">
        <f t="shared" si="101"/>
        <v>0.61977857942530168</v>
      </c>
      <c r="S365" s="38" t="s">
        <v>468</v>
      </c>
      <c r="T365" s="34">
        <v>2</v>
      </c>
      <c r="U365" s="34">
        <f>44500-4305</f>
        <v>40195</v>
      </c>
      <c r="V365" s="37">
        <v>44351</v>
      </c>
      <c r="W365" s="34">
        <v>57000</v>
      </c>
      <c r="X365" s="35">
        <v>46072</v>
      </c>
      <c r="Y365" s="34">
        <f t="shared" si="115"/>
        <v>150</v>
      </c>
      <c r="Z365" s="34">
        <f t="shared" si="113"/>
        <v>210</v>
      </c>
      <c r="AA365" s="39">
        <f>AE365*0.002</f>
        <v>228</v>
      </c>
      <c r="AB365" s="34">
        <f>15602+300*T365+300*T365</f>
        <v>16802</v>
      </c>
      <c r="AC365" s="40">
        <f t="shared" si="104"/>
        <v>1722</v>
      </c>
      <c r="AD365" s="34">
        <f t="shared" si="105"/>
        <v>80390</v>
      </c>
      <c r="AE365" s="34">
        <f t="shared" si="106"/>
        <v>114000</v>
      </c>
      <c r="AF365" s="36">
        <f t="shared" si="107"/>
        <v>16214</v>
      </c>
      <c r="AG365" s="41">
        <f t="shared" si="108"/>
        <v>49824</v>
      </c>
      <c r="AH365" s="70">
        <f t="shared" si="109"/>
        <v>0.61977857942530168</v>
      </c>
    </row>
    <row r="366" spans="1:34" x14ac:dyDescent="0.4">
      <c r="B366" s="38" t="s">
        <v>468</v>
      </c>
      <c r="C366" s="34">
        <v>2</v>
      </c>
      <c r="D366" s="34">
        <f>43600-4305</f>
        <v>39295</v>
      </c>
      <c r="E366" s="37">
        <v>44356</v>
      </c>
      <c r="F366" s="34">
        <v>57000</v>
      </c>
      <c r="G366" s="35">
        <v>46072</v>
      </c>
      <c r="H366" s="34">
        <f t="shared" si="114"/>
        <v>140</v>
      </c>
      <c r="I366" s="34">
        <f t="shared" si="112"/>
        <v>210</v>
      </c>
      <c r="J366" s="39">
        <f>N366*0.002</f>
        <v>228</v>
      </c>
      <c r="K366" s="34">
        <f>300*C366+300*C366</f>
        <v>1200</v>
      </c>
      <c r="L366" s="40">
        <f t="shared" si="96"/>
        <v>1717</v>
      </c>
      <c r="M366" s="34">
        <f t="shared" si="97"/>
        <v>78590</v>
      </c>
      <c r="N366" s="34">
        <f t="shared" si="98"/>
        <v>114000</v>
      </c>
      <c r="O366" s="36">
        <f t="shared" si="99"/>
        <v>622</v>
      </c>
      <c r="P366" s="41">
        <f t="shared" si="100"/>
        <v>36032</v>
      </c>
      <c r="Q366" s="70">
        <f t="shared" si="101"/>
        <v>0.45848072273826185</v>
      </c>
      <c r="S366" s="38" t="s">
        <v>468</v>
      </c>
      <c r="T366" s="34">
        <v>2</v>
      </c>
      <c r="U366" s="34">
        <f>43600-4305</f>
        <v>39295</v>
      </c>
      <c r="V366" s="37">
        <v>44356</v>
      </c>
      <c r="W366" s="34">
        <v>57000</v>
      </c>
      <c r="X366" s="35">
        <v>46072</v>
      </c>
      <c r="Y366" s="34">
        <f t="shared" si="115"/>
        <v>140</v>
      </c>
      <c r="Z366" s="34">
        <f t="shared" si="113"/>
        <v>210</v>
      </c>
      <c r="AA366" s="39">
        <f>AE366*0.002</f>
        <v>228</v>
      </c>
      <c r="AB366" s="34">
        <f>300*T366+300*T366</f>
        <v>1200</v>
      </c>
      <c r="AC366" s="40">
        <f t="shared" si="104"/>
        <v>1717</v>
      </c>
      <c r="AD366" s="34">
        <f t="shared" si="105"/>
        <v>78590</v>
      </c>
      <c r="AE366" s="34">
        <f t="shared" si="106"/>
        <v>114000</v>
      </c>
      <c r="AF366" s="36">
        <f t="shared" si="107"/>
        <v>622</v>
      </c>
      <c r="AG366" s="41">
        <f t="shared" si="108"/>
        <v>36032</v>
      </c>
      <c r="AH366" s="70">
        <f t="shared" si="109"/>
        <v>0.45848072273826185</v>
      </c>
    </row>
    <row r="367" spans="1:34" x14ac:dyDescent="0.4">
      <c r="B367" s="38" t="s">
        <v>468</v>
      </c>
      <c r="C367" s="34">
        <v>2</v>
      </c>
      <c r="D367" s="34">
        <f>38300-4305</f>
        <v>33995</v>
      </c>
      <c r="E367" s="37">
        <v>44411</v>
      </c>
      <c r="F367" s="34">
        <v>57000</v>
      </c>
      <c r="G367" s="35">
        <v>46072</v>
      </c>
      <c r="H367" s="34">
        <f t="shared" si="114"/>
        <v>120</v>
      </c>
      <c r="I367" s="34">
        <f t="shared" si="112"/>
        <v>210</v>
      </c>
      <c r="J367" s="39">
        <f>N367*0.002</f>
        <v>228</v>
      </c>
      <c r="K367" s="34">
        <f>300*C367+300*C367</f>
        <v>1200</v>
      </c>
      <c r="L367" s="40">
        <f t="shared" si="96"/>
        <v>1662</v>
      </c>
      <c r="M367" s="34">
        <f t="shared" si="97"/>
        <v>67990</v>
      </c>
      <c r="N367" s="34">
        <f t="shared" si="98"/>
        <v>114000</v>
      </c>
      <c r="O367" s="36">
        <f t="shared" si="99"/>
        <v>642</v>
      </c>
      <c r="P367" s="41">
        <f t="shared" si="100"/>
        <v>46652</v>
      </c>
      <c r="Q367" s="70">
        <f t="shared" si="101"/>
        <v>0.68615972937196645</v>
      </c>
      <c r="S367" s="38" t="s">
        <v>468</v>
      </c>
      <c r="T367" s="34">
        <v>2</v>
      </c>
      <c r="U367" s="34">
        <f>38300-4305</f>
        <v>33995</v>
      </c>
      <c r="V367" s="37">
        <v>44411</v>
      </c>
      <c r="W367" s="34">
        <v>57000</v>
      </c>
      <c r="X367" s="35">
        <v>46072</v>
      </c>
      <c r="Y367" s="34">
        <f t="shared" si="115"/>
        <v>120</v>
      </c>
      <c r="Z367" s="34">
        <f t="shared" si="113"/>
        <v>210</v>
      </c>
      <c r="AA367" s="39">
        <f>AE367*0.002</f>
        <v>228</v>
      </c>
      <c r="AB367" s="34">
        <f>300*T367+300*T367</f>
        <v>1200</v>
      </c>
      <c r="AC367" s="40">
        <f t="shared" si="104"/>
        <v>1662</v>
      </c>
      <c r="AD367" s="34">
        <f t="shared" si="105"/>
        <v>67990</v>
      </c>
      <c r="AE367" s="34">
        <f t="shared" si="106"/>
        <v>114000</v>
      </c>
      <c r="AF367" s="36">
        <f t="shared" si="107"/>
        <v>642</v>
      </c>
      <c r="AG367" s="41">
        <f t="shared" si="108"/>
        <v>46652</v>
      </c>
      <c r="AH367" s="70">
        <f t="shared" si="109"/>
        <v>0.68615972937196645</v>
      </c>
    </row>
    <row r="368" spans="1:34" x14ac:dyDescent="0.4">
      <c r="B368" s="38" t="s">
        <v>133</v>
      </c>
      <c r="C368" s="34">
        <v>1</v>
      </c>
      <c r="D368" s="34">
        <v>881000</v>
      </c>
      <c r="E368" s="37">
        <v>45880</v>
      </c>
      <c r="F368" s="34">
        <v>924000</v>
      </c>
      <c r="G368" s="35">
        <v>45901</v>
      </c>
      <c r="H368" s="34">
        <f t="shared" si="114"/>
        <v>1660</v>
      </c>
      <c r="I368" s="34">
        <f t="shared" si="112"/>
        <v>1740</v>
      </c>
      <c r="J368" s="39">
        <f>N368*0.0015</f>
        <v>1386</v>
      </c>
      <c r="K368" s="34"/>
      <c r="L368" s="40">
        <f t="shared" si="96"/>
        <v>22</v>
      </c>
      <c r="M368" s="34">
        <f t="shared" si="97"/>
        <v>881000</v>
      </c>
      <c r="N368" s="34">
        <f t="shared" si="98"/>
        <v>924000</v>
      </c>
      <c r="O368" s="36">
        <f t="shared" si="99"/>
        <v>-4786</v>
      </c>
      <c r="P368" s="41">
        <f t="shared" si="100"/>
        <v>38214</v>
      </c>
      <c r="Q368" s="70">
        <f t="shared" si="101"/>
        <v>4.3375709421112373E-2</v>
      </c>
      <c r="S368" s="38" t="s">
        <v>133</v>
      </c>
      <c r="T368" s="34">
        <v>1</v>
      </c>
      <c r="U368" s="34">
        <v>881000</v>
      </c>
      <c r="V368" s="37">
        <v>45880</v>
      </c>
      <c r="W368" s="34">
        <v>924000</v>
      </c>
      <c r="X368" s="35">
        <v>45901</v>
      </c>
      <c r="Y368" s="34">
        <f t="shared" si="115"/>
        <v>1660</v>
      </c>
      <c r="Z368" s="34">
        <f t="shared" si="113"/>
        <v>1740</v>
      </c>
      <c r="AA368" s="39">
        <f>AE368*0.0015</f>
        <v>1386</v>
      </c>
      <c r="AB368" s="34"/>
      <c r="AC368" s="40">
        <f t="shared" si="104"/>
        <v>22</v>
      </c>
      <c r="AD368" s="34">
        <f t="shared" si="105"/>
        <v>881000</v>
      </c>
      <c r="AE368" s="34">
        <f t="shared" si="106"/>
        <v>924000</v>
      </c>
      <c r="AF368" s="36">
        <f t="shared" si="107"/>
        <v>-4786</v>
      </c>
      <c r="AG368" s="41">
        <f t="shared" si="108"/>
        <v>38214</v>
      </c>
      <c r="AH368" s="70">
        <f t="shared" si="109"/>
        <v>4.3375709421112373E-2</v>
      </c>
    </row>
    <row r="369" spans="2:34" x14ac:dyDescent="0.4">
      <c r="B369" s="38" t="s">
        <v>139</v>
      </c>
      <c r="C369" s="34">
        <v>2</v>
      </c>
      <c r="D369" s="34">
        <v>500000</v>
      </c>
      <c r="E369" s="37">
        <v>46048</v>
      </c>
      <c r="F369" s="34">
        <v>548000</v>
      </c>
      <c r="G369" s="35">
        <v>46099</v>
      </c>
      <c r="H369" s="34">
        <f t="shared" si="114"/>
        <v>1890</v>
      </c>
      <c r="I369" s="34">
        <f t="shared" si="112"/>
        <v>2070</v>
      </c>
      <c r="J369" s="39">
        <f>N369*0.002</f>
        <v>2192</v>
      </c>
      <c r="K369" s="34"/>
      <c r="L369" s="40">
        <f t="shared" si="96"/>
        <v>52</v>
      </c>
      <c r="M369" s="34">
        <f t="shared" si="97"/>
        <v>1000000</v>
      </c>
      <c r="N369" s="34">
        <f t="shared" si="98"/>
        <v>1096000</v>
      </c>
      <c r="O369" s="36">
        <f t="shared" si="99"/>
        <v>-6152</v>
      </c>
      <c r="P369" s="41">
        <f t="shared" si="100"/>
        <v>89848</v>
      </c>
      <c r="Q369" s="70">
        <f t="shared" si="101"/>
        <v>8.9847999999999997E-2</v>
      </c>
      <c r="S369" s="38" t="s">
        <v>139</v>
      </c>
      <c r="T369" s="34">
        <v>2</v>
      </c>
      <c r="U369" s="34">
        <v>500000</v>
      </c>
      <c r="V369" s="37">
        <v>46048</v>
      </c>
      <c r="W369" s="34">
        <v>548000</v>
      </c>
      <c r="X369" s="35">
        <v>46099</v>
      </c>
      <c r="Y369" s="34">
        <f t="shared" si="115"/>
        <v>1890</v>
      </c>
      <c r="Z369" s="34">
        <f t="shared" si="113"/>
        <v>2070</v>
      </c>
      <c r="AA369" s="39">
        <f>AE369*0.002</f>
        <v>2192</v>
      </c>
      <c r="AB369" s="34"/>
      <c r="AC369" s="40">
        <f t="shared" si="104"/>
        <v>52</v>
      </c>
      <c r="AD369" s="34">
        <f t="shared" si="105"/>
        <v>1000000</v>
      </c>
      <c r="AE369" s="34">
        <f t="shared" si="106"/>
        <v>1096000</v>
      </c>
      <c r="AF369" s="36">
        <f t="shared" si="107"/>
        <v>-6152</v>
      </c>
      <c r="AG369" s="41">
        <f t="shared" si="108"/>
        <v>89848</v>
      </c>
      <c r="AH369" s="70">
        <f t="shared" si="109"/>
        <v>8.9847999999999997E-2</v>
      </c>
    </row>
    <row r="370" spans="2:34" x14ac:dyDescent="0.4">
      <c r="B370" s="38" t="s">
        <v>139</v>
      </c>
      <c r="C370" s="34">
        <v>2</v>
      </c>
      <c r="D370" s="34">
        <v>498000</v>
      </c>
      <c r="E370" s="37">
        <v>46055</v>
      </c>
      <c r="F370" s="34">
        <v>548000</v>
      </c>
      <c r="G370" s="35">
        <v>46099</v>
      </c>
      <c r="H370" s="34">
        <f t="shared" si="114"/>
        <v>1880</v>
      </c>
      <c r="I370" s="34">
        <f t="shared" si="112"/>
        <v>2070</v>
      </c>
      <c r="J370" s="39">
        <f>N370*0.002</f>
        <v>2192</v>
      </c>
      <c r="K370" s="34"/>
      <c r="L370" s="40">
        <f t="shared" si="96"/>
        <v>45</v>
      </c>
      <c r="M370" s="34">
        <f t="shared" si="97"/>
        <v>996000</v>
      </c>
      <c r="N370" s="34">
        <f t="shared" si="98"/>
        <v>1096000</v>
      </c>
      <c r="O370" s="36">
        <f t="shared" si="99"/>
        <v>-6142</v>
      </c>
      <c r="P370" s="41">
        <f t="shared" si="100"/>
        <v>93858</v>
      </c>
      <c r="Q370" s="70">
        <f t="shared" si="101"/>
        <v>9.4234939759036143E-2</v>
      </c>
      <c r="S370" s="38" t="s">
        <v>139</v>
      </c>
      <c r="T370" s="34">
        <v>2</v>
      </c>
      <c r="U370" s="34">
        <v>498000</v>
      </c>
      <c r="V370" s="37">
        <v>46055</v>
      </c>
      <c r="W370" s="34">
        <v>548000</v>
      </c>
      <c r="X370" s="35">
        <v>46099</v>
      </c>
      <c r="Y370" s="34">
        <f t="shared" si="115"/>
        <v>1880</v>
      </c>
      <c r="Z370" s="34">
        <f t="shared" si="113"/>
        <v>2070</v>
      </c>
      <c r="AA370" s="39">
        <f>AE370*0.002</f>
        <v>2192</v>
      </c>
      <c r="AB370" s="34"/>
      <c r="AC370" s="40">
        <f t="shared" si="104"/>
        <v>45</v>
      </c>
      <c r="AD370" s="34">
        <f t="shared" si="105"/>
        <v>996000</v>
      </c>
      <c r="AE370" s="34">
        <f t="shared" si="106"/>
        <v>1096000</v>
      </c>
      <c r="AF370" s="36">
        <f t="shared" si="107"/>
        <v>-6142</v>
      </c>
      <c r="AG370" s="41">
        <f t="shared" si="108"/>
        <v>93858</v>
      </c>
      <c r="AH370" s="70">
        <f t="shared" si="109"/>
        <v>9.4234939759036143E-2</v>
      </c>
    </row>
    <row r="371" spans="2:34" x14ac:dyDescent="0.4">
      <c r="B371" s="38"/>
      <c r="C371" s="34"/>
      <c r="D371" s="34"/>
      <c r="E371" s="37"/>
      <c r="F371" s="34"/>
      <c r="G371" s="35"/>
      <c r="H371" s="34">
        <f t="shared" si="114"/>
        <v>0</v>
      </c>
      <c r="I371" s="34">
        <f t="shared" si="112"/>
        <v>0</v>
      </c>
      <c r="J371" s="39">
        <f>N371*0.002</f>
        <v>0</v>
      </c>
      <c r="K371" s="34"/>
      <c r="L371" s="40">
        <f t="shared" si="96"/>
        <v>1</v>
      </c>
      <c r="M371" s="34">
        <f t="shared" si="97"/>
        <v>0</v>
      </c>
      <c r="N371" s="34">
        <f t="shared" si="98"/>
        <v>0</v>
      </c>
      <c r="O371" s="36">
        <f t="shared" si="99"/>
        <v>0</v>
      </c>
      <c r="P371" s="41">
        <f t="shared" si="100"/>
        <v>0</v>
      </c>
      <c r="Q371" s="70" t="e">
        <f t="shared" si="101"/>
        <v>#DIV/0!</v>
      </c>
      <c r="S371" s="38"/>
      <c r="T371" s="34"/>
      <c r="U371" s="34"/>
      <c r="V371" s="37"/>
      <c r="W371" s="34"/>
      <c r="X371" s="35"/>
      <c r="Y371" s="34">
        <f t="shared" si="115"/>
        <v>0</v>
      </c>
      <c r="Z371" s="34">
        <f t="shared" si="113"/>
        <v>0</v>
      </c>
      <c r="AA371" s="39">
        <f>AE371*0.002</f>
        <v>0</v>
      </c>
      <c r="AB371" s="34"/>
      <c r="AC371" s="40">
        <f t="shared" si="104"/>
        <v>1</v>
      </c>
      <c r="AD371" s="34">
        <f t="shared" si="105"/>
        <v>0</v>
      </c>
      <c r="AE371" s="34">
        <f t="shared" si="106"/>
        <v>0</v>
      </c>
      <c r="AF371" s="36">
        <f t="shared" si="107"/>
        <v>0</v>
      </c>
      <c r="AG371" s="41">
        <f t="shared" si="108"/>
        <v>0</v>
      </c>
      <c r="AH371" s="70" t="e">
        <f t="shared" si="109"/>
        <v>#DIV/0!</v>
      </c>
    </row>
    <row r="372" spans="2:34" x14ac:dyDescent="0.4">
      <c r="B372" s="38"/>
      <c r="C372" s="34"/>
      <c r="D372" s="34"/>
      <c r="E372" s="37"/>
      <c r="F372" s="34"/>
      <c r="G372" s="35"/>
      <c r="H372" s="34">
        <f t="shared" si="114"/>
        <v>0</v>
      </c>
      <c r="I372" s="34">
        <f t="shared" si="112"/>
        <v>0</v>
      </c>
      <c r="J372" s="39">
        <f>N372*0.002</f>
        <v>0</v>
      </c>
      <c r="K372" s="34"/>
      <c r="L372" s="40">
        <f t="shared" si="96"/>
        <v>1</v>
      </c>
      <c r="M372" s="34">
        <f t="shared" si="97"/>
        <v>0</v>
      </c>
      <c r="N372" s="34">
        <f t="shared" si="98"/>
        <v>0</v>
      </c>
      <c r="O372" s="36">
        <f t="shared" si="99"/>
        <v>0</v>
      </c>
      <c r="P372" s="41">
        <f t="shared" si="100"/>
        <v>0</v>
      </c>
      <c r="Q372" s="70" t="e">
        <f t="shared" si="101"/>
        <v>#DIV/0!</v>
      </c>
      <c r="S372" s="38"/>
      <c r="T372" s="34"/>
      <c r="U372" s="34"/>
      <c r="V372" s="37"/>
      <c r="W372" s="34"/>
      <c r="X372" s="35"/>
      <c r="Y372" s="34">
        <f t="shared" si="115"/>
        <v>0</v>
      </c>
      <c r="Z372" s="34">
        <f t="shared" si="113"/>
        <v>0</v>
      </c>
      <c r="AA372" s="39">
        <f>AE372*0.002</f>
        <v>0</v>
      </c>
      <c r="AB372" s="34"/>
      <c r="AC372" s="40">
        <f t="shared" si="104"/>
        <v>1</v>
      </c>
      <c r="AD372" s="34">
        <f t="shared" si="105"/>
        <v>0</v>
      </c>
      <c r="AE372" s="34">
        <f t="shared" si="106"/>
        <v>0</v>
      </c>
      <c r="AF372" s="36">
        <f t="shared" si="107"/>
        <v>0</v>
      </c>
      <c r="AG372" s="41">
        <f t="shared" si="108"/>
        <v>0</v>
      </c>
      <c r="AH372" s="70" t="e">
        <f t="shared" si="109"/>
        <v>#DIV/0!</v>
      </c>
    </row>
    <row r="373" spans="2:34" x14ac:dyDescent="0.4">
      <c r="B373" t="s">
        <v>595</v>
      </c>
    </row>
    <row r="374" spans="2:34" x14ac:dyDescent="0.4">
      <c r="B374" t="s">
        <v>596</v>
      </c>
      <c r="S374" t="s">
        <v>597</v>
      </c>
    </row>
    <row r="375" spans="2:34" x14ac:dyDescent="0.4">
      <c r="B375" t="s">
        <v>598</v>
      </c>
    </row>
    <row r="376" spans="2:34" x14ac:dyDescent="0.4">
      <c r="B376" t="s">
        <v>599</v>
      </c>
      <c r="S376" t="s">
        <v>596</v>
      </c>
    </row>
    <row r="377" spans="2:34" x14ac:dyDescent="0.4">
      <c r="B377" t="s">
        <v>597</v>
      </c>
      <c r="S377" t="s">
        <v>598</v>
      </c>
    </row>
    <row r="379" spans="2:34" x14ac:dyDescent="0.4">
      <c r="B379" s="18" t="s">
        <v>600</v>
      </c>
    </row>
    <row r="380" spans="2:34" x14ac:dyDescent="0.4">
      <c r="B380" s="96" t="s">
        <v>601</v>
      </c>
    </row>
    <row r="381" spans="2:34" x14ac:dyDescent="0.4">
      <c r="B381" s="96" t="s">
        <v>602</v>
      </c>
    </row>
    <row r="382" spans="2:34" x14ac:dyDescent="0.4">
      <c r="B382" t="s">
        <v>603</v>
      </c>
    </row>
    <row r="383" spans="2:34" x14ac:dyDescent="0.4">
      <c r="B383" s="97" t="s">
        <v>604</v>
      </c>
    </row>
    <row r="384" spans="2:34" x14ac:dyDescent="0.4">
      <c r="B384" t="s">
        <v>605</v>
      </c>
    </row>
    <row r="385" spans="2:17" x14ac:dyDescent="0.4">
      <c r="B385" t="s">
        <v>606</v>
      </c>
    </row>
    <row r="391" spans="2:17" ht="21" customHeight="1" x14ac:dyDescent="0.4">
      <c r="B391" s="98" t="s">
        <v>125</v>
      </c>
    </row>
    <row r="392" spans="2:17" ht="18" customHeight="1" thickBot="1" x14ac:dyDescent="0.45">
      <c r="C392" t="s">
        <v>555</v>
      </c>
      <c r="K392" t="s">
        <v>557</v>
      </c>
    </row>
    <row r="393" spans="2:17" ht="18" customHeight="1" thickTop="1" x14ac:dyDescent="0.4">
      <c r="B393" s="114"/>
      <c r="C393" s="115" t="s">
        <v>607</v>
      </c>
      <c r="D393" s="116" t="s">
        <v>608</v>
      </c>
      <c r="E393" s="115" t="s">
        <v>609</v>
      </c>
      <c r="F393" s="117" t="s">
        <v>610</v>
      </c>
      <c r="G393" s="115" t="s">
        <v>611</v>
      </c>
      <c r="H393" s="118" t="s">
        <v>612</v>
      </c>
      <c r="I393" s="119" t="s">
        <v>613</v>
      </c>
      <c r="K393" s="120" t="s">
        <v>607</v>
      </c>
      <c r="L393" s="116" t="s">
        <v>608</v>
      </c>
      <c r="M393" s="115" t="s">
        <v>609</v>
      </c>
      <c r="N393" s="117" t="s">
        <v>610</v>
      </c>
      <c r="O393" s="115" t="s">
        <v>611</v>
      </c>
      <c r="P393" s="118" t="s">
        <v>612</v>
      </c>
      <c r="Q393" s="119" t="s">
        <v>613</v>
      </c>
    </row>
    <row r="394" spans="2:17" x14ac:dyDescent="0.4">
      <c r="B394" s="110">
        <v>44315</v>
      </c>
      <c r="C394" s="122">
        <f>SUMIF($B$6:$B$75,$B394,$D$6:$D$75)</f>
        <v>500000</v>
      </c>
      <c r="D394" s="111">
        <f>SUMIF($B$6:$B$75,$B394,$E$6:$E$75)</f>
        <v>0</v>
      </c>
      <c r="E394" s="2">
        <f>SUMIF($G$353:$G$376,$B394,$J$353:$J$376)+SUMIF($E$353:$E$376,$B394,$H$353:$H$376)+SUMIF($G$353:$G$376,$B394,$I$353:$I$376)</f>
        <v>0</v>
      </c>
      <c r="F394" s="112">
        <f t="shared" ref="F394:F457" si="118">20000000-C394</f>
        <v>19500000</v>
      </c>
      <c r="G394" s="2">
        <f>SUMIF($E$353:$E$376,$B394,$M$353:$M$376)</f>
        <v>0</v>
      </c>
      <c r="H394" s="113">
        <f>SUMIF($G$353:$G$376,$B394,$N$353:$N$376)</f>
        <v>0</v>
      </c>
      <c r="I394" s="121">
        <f t="shared" ref="I394:I457" si="119">C394+D394-G394-E394+H394</f>
        <v>500000</v>
      </c>
      <c r="K394" s="123">
        <f>SUMIF($B$6:$B$75,$B394,$D$6:$D$75)</f>
        <v>500000</v>
      </c>
      <c r="L394" s="111">
        <f>SUMIF($B$6:$B$75,$B394,$E$6:$E$75)</f>
        <v>0</v>
      </c>
      <c r="M394" s="2">
        <f>SUMIF($G$353:$G$376,$B394,$J$353:$J$376)+SUMIF($E$353:$E$376,$B394,$H$353:$H$376)+SUMIF($G$353:$G$376,$B394,$I$353:$I$376)</f>
        <v>0</v>
      </c>
      <c r="N394" s="112">
        <f t="shared" ref="N394:N457" si="120">20000000-K394</f>
        <v>19500000</v>
      </c>
      <c r="O394" s="2">
        <f>SUMIF($E$353:$E$376,$B394,$M$353:$M$376)</f>
        <v>0</v>
      </c>
      <c r="P394" s="113">
        <f>SUMIF($G$353:$G$376,$B394,$N$353:$N$376)</f>
        <v>0</v>
      </c>
      <c r="Q394" s="121">
        <f t="shared" ref="Q394:Q457" si="121">K394+L394-O394-M394+P394</f>
        <v>500000</v>
      </c>
    </row>
    <row r="395" spans="2:17" hidden="1" x14ac:dyDescent="0.4">
      <c r="B395" s="110">
        <v>44316</v>
      </c>
      <c r="C395" s="122">
        <f t="shared" ref="C395:C458" si="122">SUMIF($B$6:$B$75,$B395,$D$6:$D$75)+C394</f>
        <v>500000</v>
      </c>
      <c r="D395" s="111">
        <f t="shared" ref="D395:D458" si="123">SUMIF($B$6:$B$75,$B395,$E$6:$E$75)+D394</f>
        <v>0</v>
      </c>
      <c r="E395" s="2">
        <f t="shared" ref="E395:E458" si="124">SUMIF($G$353:$G$376,$B395,$J$353:$J$376)+SUMIF($E$353:$E$376,$B395,$H$353:$H$376)+SUMIF($G$353:$G$376,$B395,$I$353:$I$376)+E394</f>
        <v>1090</v>
      </c>
      <c r="F395" s="112">
        <f t="shared" si="118"/>
        <v>19500000</v>
      </c>
      <c r="G395" s="2">
        <f t="shared" ref="G395:G458" si="125">SUMIF($E$353:$E$376,$B395,$M$353:$M$376)+G394</f>
        <v>219900</v>
      </c>
      <c r="H395" s="113">
        <f t="shared" ref="H395:H458" si="126">SUMIF($G$353:$G$376,$B395,$N$353:$N$376)+H394</f>
        <v>0</v>
      </c>
      <c r="I395" s="121">
        <f t="shared" si="119"/>
        <v>279010</v>
      </c>
      <c r="K395" s="123">
        <f t="shared" ref="K395:K458" si="127">SUMIF($B$6:$B$75,$B395,$D$6:$D$75)+K394</f>
        <v>500000</v>
      </c>
      <c r="L395" s="111">
        <f t="shared" ref="L395:L458" si="128">SUMIF($B$6:$B$75,$B395,$E$6:$E$75)+L394</f>
        <v>0</v>
      </c>
      <c r="M395" s="2">
        <f t="shared" ref="M395:M458" si="129">SUMIF($G$353:$G$376,$B395,$J$353:$J$376)+SUMIF($E$353:$E$376,$B395,$H$353:$H$376)+SUMIF($G$353:$G$376,$B395,$I$353:$I$376)+M394</f>
        <v>1090</v>
      </c>
      <c r="N395" s="112">
        <f t="shared" si="120"/>
        <v>19500000</v>
      </c>
      <c r="O395" s="2">
        <f t="shared" ref="O395:O458" si="130">SUMIF($E$353:$E$376,$B395,$M$353:$M$376)+O394</f>
        <v>219900</v>
      </c>
      <c r="P395" s="113">
        <f t="shared" ref="P395:P458" si="131">SUMIF($G$353:$G$376,$B395,$N$353:$N$376)+P394</f>
        <v>0</v>
      </c>
      <c r="Q395" s="121">
        <f t="shared" si="121"/>
        <v>279010</v>
      </c>
    </row>
    <row r="396" spans="2:17" x14ac:dyDescent="0.4">
      <c r="B396" s="110">
        <v>44317</v>
      </c>
      <c r="C396" s="122">
        <f t="shared" si="122"/>
        <v>500000</v>
      </c>
      <c r="D396" s="111">
        <f t="shared" si="123"/>
        <v>0</v>
      </c>
      <c r="E396" s="2">
        <f t="shared" si="124"/>
        <v>1090</v>
      </c>
      <c r="F396" s="112">
        <f t="shared" si="118"/>
        <v>19500000</v>
      </c>
      <c r="G396" s="2">
        <f t="shared" si="125"/>
        <v>219900</v>
      </c>
      <c r="H396" s="113">
        <f t="shared" si="126"/>
        <v>0</v>
      </c>
      <c r="I396" s="121">
        <f t="shared" si="119"/>
        <v>279010</v>
      </c>
      <c r="K396" s="123">
        <f t="shared" si="127"/>
        <v>500000</v>
      </c>
      <c r="L396" s="111">
        <f t="shared" si="128"/>
        <v>0</v>
      </c>
      <c r="M396" s="2">
        <f t="shared" si="129"/>
        <v>1090</v>
      </c>
      <c r="N396" s="112">
        <f t="shared" si="120"/>
        <v>19500000</v>
      </c>
      <c r="O396" s="2">
        <f t="shared" si="130"/>
        <v>219900</v>
      </c>
      <c r="P396" s="113">
        <f t="shared" si="131"/>
        <v>0</v>
      </c>
      <c r="Q396" s="121">
        <f t="shared" si="121"/>
        <v>279010</v>
      </c>
    </row>
    <row r="397" spans="2:17" hidden="1" x14ac:dyDescent="0.4">
      <c r="B397" s="110">
        <v>44318</v>
      </c>
      <c r="C397" s="122">
        <f t="shared" si="122"/>
        <v>500000</v>
      </c>
      <c r="D397" s="111">
        <f t="shared" si="123"/>
        <v>0</v>
      </c>
      <c r="E397" s="2">
        <f t="shared" si="124"/>
        <v>1090</v>
      </c>
      <c r="F397" s="112">
        <f t="shared" si="118"/>
        <v>19500000</v>
      </c>
      <c r="G397" s="2">
        <f t="shared" si="125"/>
        <v>219900</v>
      </c>
      <c r="H397" s="113">
        <f t="shared" si="126"/>
        <v>0</v>
      </c>
      <c r="I397" s="121">
        <f t="shared" si="119"/>
        <v>279010</v>
      </c>
      <c r="K397" s="123">
        <f t="shared" si="127"/>
        <v>500000</v>
      </c>
      <c r="L397" s="111">
        <f t="shared" si="128"/>
        <v>0</v>
      </c>
      <c r="M397" s="2">
        <f t="shared" si="129"/>
        <v>1090</v>
      </c>
      <c r="N397" s="112">
        <f t="shared" si="120"/>
        <v>19500000</v>
      </c>
      <c r="O397" s="2">
        <f t="shared" si="130"/>
        <v>219900</v>
      </c>
      <c r="P397" s="113">
        <f t="shared" si="131"/>
        <v>0</v>
      </c>
      <c r="Q397" s="121">
        <f t="shared" si="121"/>
        <v>279010</v>
      </c>
    </row>
    <row r="398" spans="2:17" hidden="1" x14ac:dyDescent="0.4">
      <c r="B398" s="110">
        <v>44319</v>
      </c>
      <c r="C398" s="122">
        <f t="shared" si="122"/>
        <v>500000</v>
      </c>
      <c r="D398" s="111">
        <f t="shared" si="123"/>
        <v>0</v>
      </c>
      <c r="E398" s="2">
        <f t="shared" si="124"/>
        <v>1090</v>
      </c>
      <c r="F398" s="112">
        <f t="shared" si="118"/>
        <v>19500000</v>
      </c>
      <c r="G398" s="2">
        <f t="shared" si="125"/>
        <v>219900</v>
      </c>
      <c r="H398" s="113">
        <f t="shared" si="126"/>
        <v>0</v>
      </c>
      <c r="I398" s="121">
        <f t="shared" si="119"/>
        <v>279010</v>
      </c>
      <c r="K398" s="123">
        <f t="shared" si="127"/>
        <v>500000</v>
      </c>
      <c r="L398" s="111">
        <f t="shared" si="128"/>
        <v>0</v>
      </c>
      <c r="M398" s="2">
        <f t="shared" si="129"/>
        <v>1090</v>
      </c>
      <c r="N398" s="112">
        <f t="shared" si="120"/>
        <v>19500000</v>
      </c>
      <c r="O398" s="2">
        <f t="shared" si="130"/>
        <v>219900</v>
      </c>
      <c r="P398" s="113">
        <f t="shared" si="131"/>
        <v>0</v>
      </c>
      <c r="Q398" s="121">
        <f t="shared" si="121"/>
        <v>279010</v>
      </c>
    </row>
    <row r="399" spans="2:17" hidden="1" x14ac:dyDescent="0.4">
      <c r="B399" s="110">
        <v>44320</v>
      </c>
      <c r="C399" s="122">
        <f t="shared" si="122"/>
        <v>500000</v>
      </c>
      <c r="D399" s="111">
        <f t="shared" si="123"/>
        <v>0</v>
      </c>
      <c r="E399" s="2">
        <f t="shared" si="124"/>
        <v>1090</v>
      </c>
      <c r="F399" s="112">
        <f t="shared" si="118"/>
        <v>19500000</v>
      </c>
      <c r="G399" s="2">
        <f t="shared" si="125"/>
        <v>219900</v>
      </c>
      <c r="H399" s="113">
        <f t="shared" si="126"/>
        <v>0</v>
      </c>
      <c r="I399" s="121">
        <f t="shared" si="119"/>
        <v>279010</v>
      </c>
      <c r="K399" s="123">
        <f t="shared" si="127"/>
        <v>500000</v>
      </c>
      <c r="L399" s="111">
        <f t="shared" si="128"/>
        <v>0</v>
      </c>
      <c r="M399" s="2">
        <f t="shared" si="129"/>
        <v>1090</v>
      </c>
      <c r="N399" s="112">
        <f t="shared" si="120"/>
        <v>19500000</v>
      </c>
      <c r="O399" s="2">
        <f t="shared" si="130"/>
        <v>219900</v>
      </c>
      <c r="P399" s="113">
        <f t="shared" si="131"/>
        <v>0</v>
      </c>
      <c r="Q399" s="121">
        <f t="shared" si="121"/>
        <v>279010</v>
      </c>
    </row>
    <row r="400" spans="2:17" hidden="1" x14ac:dyDescent="0.4">
      <c r="B400" s="110">
        <v>44321</v>
      </c>
      <c r="C400" s="122">
        <f t="shared" si="122"/>
        <v>500000</v>
      </c>
      <c r="D400" s="111">
        <f t="shared" si="123"/>
        <v>0</v>
      </c>
      <c r="E400" s="2">
        <f t="shared" si="124"/>
        <v>1090</v>
      </c>
      <c r="F400" s="112">
        <f t="shared" si="118"/>
        <v>19500000</v>
      </c>
      <c r="G400" s="2">
        <f t="shared" si="125"/>
        <v>219900</v>
      </c>
      <c r="H400" s="113">
        <f t="shared" si="126"/>
        <v>0</v>
      </c>
      <c r="I400" s="121">
        <f t="shared" si="119"/>
        <v>279010</v>
      </c>
      <c r="K400" s="123">
        <f t="shared" si="127"/>
        <v>500000</v>
      </c>
      <c r="L400" s="111">
        <f t="shared" si="128"/>
        <v>0</v>
      </c>
      <c r="M400" s="2">
        <f t="shared" si="129"/>
        <v>1090</v>
      </c>
      <c r="N400" s="112">
        <f t="shared" si="120"/>
        <v>19500000</v>
      </c>
      <c r="O400" s="2">
        <f t="shared" si="130"/>
        <v>219900</v>
      </c>
      <c r="P400" s="113">
        <f t="shared" si="131"/>
        <v>0</v>
      </c>
      <c r="Q400" s="121">
        <f t="shared" si="121"/>
        <v>279010</v>
      </c>
    </row>
    <row r="401" spans="2:17" hidden="1" x14ac:dyDescent="0.4">
      <c r="B401" s="110">
        <v>44322</v>
      </c>
      <c r="C401" s="122">
        <f t="shared" si="122"/>
        <v>500000</v>
      </c>
      <c r="D401" s="111">
        <f t="shared" si="123"/>
        <v>0</v>
      </c>
      <c r="E401" s="2">
        <f t="shared" si="124"/>
        <v>1090</v>
      </c>
      <c r="F401" s="112">
        <f t="shared" si="118"/>
        <v>19500000</v>
      </c>
      <c r="G401" s="2">
        <f t="shared" si="125"/>
        <v>219900</v>
      </c>
      <c r="H401" s="113">
        <f t="shared" si="126"/>
        <v>0</v>
      </c>
      <c r="I401" s="121">
        <f t="shared" si="119"/>
        <v>279010</v>
      </c>
      <c r="K401" s="123">
        <f t="shared" si="127"/>
        <v>500000</v>
      </c>
      <c r="L401" s="111">
        <f t="shared" si="128"/>
        <v>0</v>
      </c>
      <c r="M401" s="2">
        <f t="shared" si="129"/>
        <v>1090</v>
      </c>
      <c r="N401" s="112">
        <f t="shared" si="120"/>
        <v>19500000</v>
      </c>
      <c r="O401" s="2">
        <f t="shared" si="130"/>
        <v>219900</v>
      </c>
      <c r="P401" s="113">
        <f t="shared" si="131"/>
        <v>0</v>
      </c>
      <c r="Q401" s="121">
        <f t="shared" si="121"/>
        <v>279010</v>
      </c>
    </row>
    <row r="402" spans="2:17" hidden="1" x14ac:dyDescent="0.4">
      <c r="B402" s="110">
        <v>44323</v>
      </c>
      <c r="C402" s="122">
        <f t="shared" si="122"/>
        <v>500000</v>
      </c>
      <c r="D402" s="111">
        <f t="shared" si="123"/>
        <v>0</v>
      </c>
      <c r="E402" s="2">
        <f t="shared" si="124"/>
        <v>1090</v>
      </c>
      <c r="F402" s="112">
        <f t="shared" si="118"/>
        <v>19500000</v>
      </c>
      <c r="G402" s="2">
        <f t="shared" si="125"/>
        <v>219900</v>
      </c>
      <c r="H402" s="113">
        <f t="shared" si="126"/>
        <v>0</v>
      </c>
      <c r="I402" s="121">
        <f t="shared" si="119"/>
        <v>279010</v>
      </c>
      <c r="K402" s="123">
        <f t="shared" si="127"/>
        <v>500000</v>
      </c>
      <c r="L402" s="111">
        <f t="shared" si="128"/>
        <v>0</v>
      </c>
      <c r="M402" s="2">
        <f t="shared" si="129"/>
        <v>1090</v>
      </c>
      <c r="N402" s="112">
        <f t="shared" si="120"/>
        <v>19500000</v>
      </c>
      <c r="O402" s="2">
        <f t="shared" si="130"/>
        <v>219900</v>
      </c>
      <c r="P402" s="113">
        <f t="shared" si="131"/>
        <v>0</v>
      </c>
      <c r="Q402" s="121">
        <f t="shared" si="121"/>
        <v>279010</v>
      </c>
    </row>
    <row r="403" spans="2:17" hidden="1" x14ac:dyDescent="0.4">
      <c r="B403" s="110">
        <v>44324</v>
      </c>
      <c r="C403" s="122">
        <f t="shared" si="122"/>
        <v>500000</v>
      </c>
      <c r="D403" s="111">
        <f t="shared" si="123"/>
        <v>0</v>
      </c>
      <c r="E403" s="2">
        <f t="shared" si="124"/>
        <v>1090</v>
      </c>
      <c r="F403" s="112">
        <f t="shared" si="118"/>
        <v>19500000</v>
      </c>
      <c r="G403" s="2">
        <f t="shared" si="125"/>
        <v>219900</v>
      </c>
      <c r="H403" s="113">
        <f t="shared" si="126"/>
        <v>0</v>
      </c>
      <c r="I403" s="121">
        <f t="shared" si="119"/>
        <v>279010</v>
      </c>
      <c r="K403" s="123">
        <f t="shared" si="127"/>
        <v>500000</v>
      </c>
      <c r="L403" s="111">
        <f t="shared" si="128"/>
        <v>0</v>
      </c>
      <c r="M403" s="2">
        <f t="shared" si="129"/>
        <v>1090</v>
      </c>
      <c r="N403" s="112">
        <f t="shared" si="120"/>
        <v>19500000</v>
      </c>
      <c r="O403" s="2">
        <f t="shared" si="130"/>
        <v>219900</v>
      </c>
      <c r="P403" s="113">
        <f t="shared" si="131"/>
        <v>0</v>
      </c>
      <c r="Q403" s="121">
        <f t="shared" si="121"/>
        <v>279010</v>
      </c>
    </row>
    <row r="404" spans="2:17" hidden="1" x14ac:dyDescent="0.4">
      <c r="B404" s="110">
        <v>44325</v>
      </c>
      <c r="C404" s="122">
        <f t="shared" si="122"/>
        <v>500000</v>
      </c>
      <c r="D404" s="111">
        <f t="shared" si="123"/>
        <v>0</v>
      </c>
      <c r="E404" s="2">
        <f t="shared" si="124"/>
        <v>1090</v>
      </c>
      <c r="F404" s="112">
        <f t="shared" si="118"/>
        <v>19500000</v>
      </c>
      <c r="G404" s="2">
        <f t="shared" si="125"/>
        <v>219900</v>
      </c>
      <c r="H404" s="113">
        <f t="shared" si="126"/>
        <v>0</v>
      </c>
      <c r="I404" s="121">
        <f t="shared" si="119"/>
        <v>279010</v>
      </c>
      <c r="K404" s="123">
        <f t="shared" si="127"/>
        <v>500000</v>
      </c>
      <c r="L404" s="111">
        <f t="shared" si="128"/>
        <v>0</v>
      </c>
      <c r="M404" s="2">
        <f t="shared" si="129"/>
        <v>1090</v>
      </c>
      <c r="N404" s="112">
        <f t="shared" si="120"/>
        <v>19500000</v>
      </c>
      <c r="O404" s="2">
        <f t="shared" si="130"/>
        <v>219900</v>
      </c>
      <c r="P404" s="113">
        <f t="shared" si="131"/>
        <v>0</v>
      </c>
      <c r="Q404" s="121">
        <f t="shared" si="121"/>
        <v>279010</v>
      </c>
    </row>
    <row r="405" spans="2:17" hidden="1" x14ac:dyDescent="0.4">
      <c r="B405" s="110">
        <v>44326</v>
      </c>
      <c r="C405" s="122">
        <f t="shared" si="122"/>
        <v>500000</v>
      </c>
      <c r="D405" s="111">
        <f t="shared" si="123"/>
        <v>0</v>
      </c>
      <c r="E405" s="2">
        <f t="shared" si="124"/>
        <v>1090</v>
      </c>
      <c r="F405" s="112">
        <f t="shared" si="118"/>
        <v>19500000</v>
      </c>
      <c r="G405" s="2">
        <f t="shared" si="125"/>
        <v>219900</v>
      </c>
      <c r="H405" s="113">
        <f t="shared" si="126"/>
        <v>0</v>
      </c>
      <c r="I405" s="121">
        <f t="shared" si="119"/>
        <v>279010</v>
      </c>
      <c r="K405" s="123">
        <f t="shared" si="127"/>
        <v>500000</v>
      </c>
      <c r="L405" s="111">
        <f t="shared" si="128"/>
        <v>0</v>
      </c>
      <c r="M405" s="2">
        <f t="shared" si="129"/>
        <v>1090</v>
      </c>
      <c r="N405" s="112">
        <f t="shared" si="120"/>
        <v>19500000</v>
      </c>
      <c r="O405" s="2">
        <f t="shared" si="130"/>
        <v>219900</v>
      </c>
      <c r="P405" s="113">
        <f t="shared" si="131"/>
        <v>0</v>
      </c>
      <c r="Q405" s="121">
        <f t="shared" si="121"/>
        <v>279010</v>
      </c>
    </row>
    <row r="406" spans="2:17" hidden="1" x14ac:dyDescent="0.4">
      <c r="B406" s="110">
        <v>44327</v>
      </c>
      <c r="C406" s="122">
        <f t="shared" si="122"/>
        <v>500000</v>
      </c>
      <c r="D406" s="111">
        <f t="shared" si="123"/>
        <v>0</v>
      </c>
      <c r="E406" s="2">
        <f t="shared" si="124"/>
        <v>1090</v>
      </c>
      <c r="F406" s="112">
        <f t="shared" si="118"/>
        <v>19500000</v>
      </c>
      <c r="G406" s="2">
        <f t="shared" si="125"/>
        <v>219900</v>
      </c>
      <c r="H406" s="113">
        <f t="shared" si="126"/>
        <v>0</v>
      </c>
      <c r="I406" s="121">
        <f t="shared" si="119"/>
        <v>279010</v>
      </c>
      <c r="K406" s="123">
        <f t="shared" si="127"/>
        <v>500000</v>
      </c>
      <c r="L406" s="111">
        <f t="shared" si="128"/>
        <v>0</v>
      </c>
      <c r="M406" s="2">
        <f t="shared" si="129"/>
        <v>1090</v>
      </c>
      <c r="N406" s="112">
        <f t="shared" si="120"/>
        <v>19500000</v>
      </c>
      <c r="O406" s="2">
        <f t="shared" si="130"/>
        <v>219900</v>
      </c>
      <c r="P406" s="113">
        <f t="shared" si="131"/>
        <v>0</v>
      </c>
      <c r="Q406" s="121">
        <f t="shared" si="121"/>
        <v>279010</v>
      </c>
    </row>
    <row r="407" spans="2:17" hidden="1" x14ac:dyDescent="0.4">
      <c r="B407" s="110">
        <v>44328</v>
      </c>
      <c r="C407" s="122">
        <f t="shared" si="122"/>
        <v>500000</v>
      </c>
      <c r="D407" s="111">
        <f t="shared" si="123"/>
        <v>0</v>
      </c>
      <c r="E407" s="2">
        <f t="shared" si="124"/>
        <v>1090</v>
      </c>
      <c r="F407" s="112">
        <f t="shared" si="118"/>
        <v>19500000</v>
      </c>
      <c r="G407" s="2">
        <f t="shared" si="125"/>
        <v>219900</v>
      </c>
      <c r="H407" s="113">
        <f t="shared" si="126"/>
        <v>0</v>
      </c>
      <c r="I407" s="121">
        <f t="shared" si="119"/>
        <v>279010</v>
      </c>
      <c r="K407" s="123">
        <f t="shared" si="127"/>
        <v>500000</v>
      </c>
      <c r="L407" s="111">
        <f t="shared" si="128"/>
        <v>0</v>
      </c>
      <c r="M407" s="2">
        <f t="shared" si="129"/>
        <v>1090</v>
      </c>
      <c r="N407" s="112">
        <f t="shared" si="120"/>
        <v>19500000</v>
      </c>
      <c r="O407" s="2">
        <f t="shared" si="130"/>
        <v>219900</v>
      </c>
      <c r="P407" s="113">
        <f t="shared" si="131"/>
        <v>0</v>
      </c>
      <c r="Q407" s="121">
        <f t="shared" si="121"/>
        <v>279010</v>
      </c>
    </row>
    <row r="408" spans="2:17" hidden="1" x14ac:dyDescent="0.4">
      <c r="B408" s="110">
        <v>44329</v>
      </c>
      <c r="C408" s="122">
        <f t="shared" si="122"/>
        <v>500000</v>
      </c>
      <c r="D408" s="111">
        <f t="shared" si="123"/>
        <v>0</v>
      </c>
      <c r="E408" s="2">
        <f t="shared" si="124"/>
        <v>1090</v>
      </c>
      <c r="F408" s="112">
        <f t="shared" si="118"/>
        <v>19500000</v>
      </c>
      <c r="G408" s="2">
        <f t="shared" si="125"/>
        <v>219900</v>
      </c>
      <c r="H408" s="113">
        <f t="shared" si="126"/>
        <v>0</v>
      </c>
      <c r="I408" s="121">
        <f t="shared" si="119"/>
        <v>279010</v>
      </c>
      <c r="K408" s="123">
        <f t="shared" si="127"/>
        <v>500000</v>
      </c>
      <c r="L408" s="111">
        <f t="shared" si="128"/>
        <v>0</v>
      </c>
      <c r="M408" s="2">
        <f t="shared" si="129"/>
        <v>1090</v>
      </c>
      <c r="N408" s="112">
        <f t="shared" si="120"/>
        <v>19500000</v>
      </c>
      <c r="O408" s="2">
        <f t="shared" si="130"/>
        <v>219900</v>
      </c>
      <c r="P408" s="113">
        <f t="shared" si="131"/>
        <v>0</v>
      </c>
      <c r="Q408" s="121">
        <f t="shared" si="121"/>
        <v>279010</v>
      </c>
    </row>
    <row r="409" spans="2:17" hidden="1" x14ac:dyDescent="0.4">
      <c r="B409" s="110">
        <v>44330</v>
      </c>
      <c r="C409" s="122">
        <f t="shared" si="122"/>
        <v>500000</v>
      </c>
      <c r="D409" s="111">
        <f t="shared" si="123"/>
        <v>0</v>
      </c>
      <c r="E409" s="2">
        <f t="shared" si="124"/>
        <v>1090</v>
      </c>
      <c r="F409" s="112">
        <f t="shared" si="118"/>
        <v>19500000</v>
      </c>
      <c r="G409" s="2">
        <f t="shared" si="125"/>
        <v>219900</v>
      </c>
      <c r="H409" s="113">
        <f t="shared" si="126"/>
        <v>0</v>
      </c>
      <c r="I409" s="121">
        <f t="shared" si="119"/>
        <v>279010</v>
      </c>
      <c r="K409" s="123">
        <f t="shared" si="127"/>
        <v>500000</v>
      </c>
      <c r="L409" s="111">
        <f t="shared" si="128"/>
        <v>0</v>
      </c>
      <c r="M409" s="2">
        <f t="shared" si="129"/>
        <v>1090</v>
      </c>
      <c r="N409" s="112">
        <f t="shared" si="120"/>
        <v>19500000</v>
      </c>
      <c r="O409" s="2">
        <f t="shared" si="130"/>
        <v>219900</v>
      </c>
      <c r="P409" s="113">
        <f t="shared" si="131"/>
        <v>0</v>
      </c>
      <c r="Q409" s="121">
        <f t="shared" si="121"/>
        <v>279010</v>
      </c>
    </row>
    <row r="410" spans="2:17" hidden="1" x14ac:dyDescent="0.4">
      <c r="B410" s="110">
        <v>44331</v>
      </c>
      <c r="C410" s="122">
        <f t="shared" si="122"/>
        <v>500000</v>
      </c>
      <c r="D410" s="111">
        <f t="shared" si="123"/>
        <v>0</v>
      </c>
      <c r="E410" s="2">
        <f t="shared" si="124"/>
        <v>1090</v>
      </c>
      <c r="F410" s="112">
        <f t="shared" si="118"/>
        <v>19500000</v>
      </c>
      <c r="G410" s="2">
        <f t="shared" si="125"/>
        <v>219900</v>
      </c>
      <c r="H410" s="113">
        <f t="shared" si="126"/>
        <v>0</v>
      </c>
      <c r="I410" s="121">
        <f t="shared" si="119"/>
        <v>279010</v>
      </c>
      <c r="K410" s="123">
        <f t="shared" si="127"/>
        <v>500000</v>
      </c>
      <c r="L410" s="111">
        <f t="shared" si="128"/>
        <v>0</v>
      </c>
      <c r="M410" s="2">
        <f t="shared" si="129"/>
        <v>1090</v>
      </c>
      <c r="N410" s="112">
        <f t="shared" si="120"/>
        <v>19500000</v>
      </c>
      <c r="O410" s="2">
        <f t="shared" si="130"/>
        <v>219900</v>
      </c>
      <c r="P410" s="113">
        <f t="shared" si="131"/>
        <v>0</v>
      </c>
      <c r="Q410" s="121">
        <f t="shared" si="121"/>
        <v>279010</v>
      </c>
    </row>
    <row r="411" spans="2:17" hidden="1" x14ac:dyDescent="0.4">
      <c r="B411" s="110">
        <v>44332</v>
      </c>
      <c r="C411" s="122">
        <f t="shared" si="122"/>
        <v>500000</v>
      </c>
      <c r="D411" s="111">
        <f t="shared" si="123"/>
        <v>0</v>
      </c>
      <c r="E411" s="2">
        <f t="shared" si="124"/>
        <v>1090</v>
      </c>
      <c r="F411" s="112">
        <f t="shared" si="118"/>
        <v>19500000</v>
      </c>
      <c r="G411" s="2">
        <f t="shared" si="125"/>
        <v>219900</v>
      </c>
      <c r="H411" s="113">
        <f t="shared" si="126"/>
        <v>0</v>
      </c>
      <c r="I411" s="121">
        <f t="shared" si="119"/>
        <v>279010</v>
      </c>
      <c r="K411" s="123">
        <f t="shared" si="127"/>
        <v>500000</v>
      </c>
      <c r="L411" s="111">
        <f t="shared" si="128"/>
        <v>0</v>
      </c>
      <c r="M411" s="2">
        <f t="shared" si="129"/>
        <v>1090</v>
      </c>
      <c r="N411" s="112">
        <f t="shared" si="120"/>
        <v>19500000</v>
      </c>
      <c r="O411" s="2">
        <f t="shared" si="130"/>
        <v>219900</v>
      </c>
      <c r="P411" s="113">
        <f t="shared" si="131"/>
        <v>0</v>
      </c>
      <c r="Q411" s="121">
        <f t="shared" si="121"/>
        <v>279010</v>
      </c>
    </row>
    <row r="412" spans="2:17" hidden="1" x14ac:dyDescent="0.4">
      <c r="B412" s="110">
        <v>44333</v>
      </c>
      <c r="C412" s="122">
        <f t="shared" si="122"/>
        <v>500000</v>
      </c>
      <c r="D412" s="111">
        <f t="shared" si="123"/>
        <v>0</v>
      </c>
      <c r="E412" s="2">
        <f t="shared" si="124"/>
        <v>1090</v>
      </c>
      <c r="F412" s="112">
        <f t="shared" si="118"/>
        <v>19500000</v>
      </c>
      <c r="G412" s="2">
        <f t="shared" si="125"/>
        <v>219900</v>
      </c>
      <c r="H412" s="113">
        <f t="shared" si="126"/>
        <v>0</v>
      </c>
      <c r="I412" s="121">
        <f t="shared" si="119"/>
        <v>279010</v>
      </c>
      <c r="K412" s="123">
        <f t="shared" si="127"/>
        <v>500000</v>
      </c>
      <c r="L412" s="111">
        <f t="shared" si="128"/>
        <v>0</v>
      </c>
      <c r="M412" s="2">
        <f t="shared" si="129"/>
        <v>1090</v>
      </c>
      <c r="N412" s="112">
        <f t="shared" si="120"/>
        <v>19500000</v>
      </c>
      <c r="O412" s="2">
        <f t="shared" si="130"/>
        <v>219900</v>
      </c>
      <c r="P412" s="113">
        <f t="shared" si="131"/>
        <v>0</v>
      </c>
      <c r="Q412" s="121">
        <f t="shared" si="121"/>
        <v>279010</v>
      </c>
    </row>
    <row r="413" spans="2:17" hidden="1" x14ac:dyDescent="0.4">
      <c r="B413" s="110">
        <v>44334</v>
      </c>
      <c r="C413" s="122">
        <f t="shared" si="122"/>
        <v>500000</v>
      </c>
      <c r="D413" s="111">
        <f t="shared" si="123"/>
        <v>0</v>
      </c>
      <c r="E413" s="2">
        <f t="shared" si="124"/>
        <v>1090</v>
      </c>
      <c r="F413" s="112">
        <f t="shared" si="118"/>
        <v>19500000</v>
      </c>
      <c r="G413" s="2">
        <f t="shared" si="125"/>
        <v>219900</v>
      </c>
      <c r="H413" s="113">
        <f t="shared" si="126"/>
        <v>0</v>
      </c>
      <c r="I413" s="121">
        <f t="shared" si="119"/>
        <v>279010</v>
      </c>
      <c r="K413" s="123">
        <f t="shared" si="127"/>
        <v>500000</v>
      </c>
      <c r="L413" s="111">
        <f t="shared" si="128"/>
        <v>0</v>
      </c>
      <c r="M413" s="2">
        <f t="shared" si="129"/>
        <v>1090</v>
      </c>
      <c r="N413" s="112">
        <f t="shared" si="120"/>
        <v>19500000</v>
      </c>
      <c r="O413" s="2">
        <f t="shared" si="130"/>
        <v>219900</v>
      </c>
      <c r="P413" s="113">
        <f t="shared" si="131"/>
        <v>0</v>
      </c>
      <c r="Q413" s="121">
        <f t="shared" si="121"/>
        <v>279010</v>
      </c>
    </row>
    <row r="414" spans="2:17" hidden="1" x14ac:dyDescent="0.4">
      <c r="B414" s="110">
        <v>44335</v>
      </c>
      <c r="C414" s="122">
        <f t="shared" si="122"/>
        <v>500000</v>
      </c>
      <c r="D414" s="111">
        <f t="shared" si="123"/>
        <v>0</v>
      </c>
      <c r="E414" s="2">
        <f t="shared" si="124"/>
        <v>1090</v>
      </c>
      <c r="F414" s="112">
        <f t="shared" si="118"/>
        <v>19500000</v>
      </c>
      <c r="G414" s="2">
        <f t="shared" si="125"/>
        <v>219900</v>
      </c>
      <c r="H414" s="113">
        <f t="shared" si="126"/>
        <v>0</v>
      </c>
      <c r="I414" s="121">
        <f t="shared" si="119"/>
        <v>279010</v>
      </c>
      <c r="K414" s="123">
        <f t="shared" si="127"/>
        <v>500000</v>
      </c>
      <c r="L414" s="111">
        <f t="shared" si="128"/>
        <v>0</v>
      </c>
      <c r="M414" s="2">
        <f t="shared" si="129"/>
        <v>1090</v>
      </c>
      <c r="N414" s="112">
        <f t="shared" si="120"/>
        <v>19500000</v>
      </c>
      <c r="O414" s="2">
        <f t="shared" si="130"/>
        <v>219900</v>
      </c>
      <c r="P414" s="113">
        <f t="shared" si="131"/>
        <v>0</v>
      </c>
      <c r="Q414" s="121">
        <f t="shared" si="121"/>
        <v>279010</v>
      </c>
    </row>
    <row r="415" spans="2:17" hidden="1" x14ac:dyDescent="0.4">
      <c r="B415" s="110">
        <v>44336</v>
      </c>
      <c r="C415" s="122">
        <f t="shared" si="122"/>
        <v>500000</v>
      </c>
      <c r="D415" s="111">
        <f t="shared" si="123"/>
        <v>0</v>
      </c>
      <c r="E415" s="2">
        <f t="shared" si="124"/>
        <v>1090</v>
      </c>
      <c r="F415" s="112">
        <f t="shared" si="118"/>
        <v>19500000</v>
      </c>
      <c r="G415" s="2">
        <f t="shared" si="125"/>
        <v>219900</v>
      </c>
      <c r="H415" s="113">
        <f t="shared" si="126"/>
        <v>0</v>
      </c>
      <c r="I415" s="121">
        <f t="shared" si="119"/>
        <v>279010</v>
      </c>
      <c r="K415" s="123">
        <f t="shared" si="127"/>
        <v>500000</v>
      </c>
      <c r="L415" s="111">
        <f t="shared" si="128"/>
        <v>0</v>
      </c>
      <c r="M415" s="2">
        <f t="shared" si="129"/>
        <v>1090</v>
      </c>
      <c r="N415" s="112">
        <f t="shared" si="120"/>
        <v>19500000</v>
      </c>
      <c r="O415" s="2">
        <f t="shared" si="130"/>
        <v>219900</v>
      </c>
      <c r="P415" s="113">
        <f t="shared" si="131"/>
        <v>0</v>
      </c>
      <c r="Q415" s="121">
        <f t="shared" si="121"/>
        <v>279010</v>
      </c>
    </row>
    <row r="416" spans="2:17" hidden="1" x14ac:dyDescent="0.4">
      <c r="B416" s="110">
        <v>44337</v>
      </c>
      <c r="C416" s="122">
        <f t="shared" si="122"/>
        <v>500000</v>
      </c>
      <c r="D416" s="111">
        <f t="shared" si="123"/>
        <v>0</v>
      </c>
      <c r="E416" s="2">
        <f t="shared" si="124"/>
        <v>1090</v>
      </c>
      <c r="F416" s="112">
        <f t="shared" si="118"/>
        <v>19500000</v>
      </c>
      <c r="G416" s="2">
        <f t="shared" si="125"/>
        <v>219900</v>
      </c>
      <c r="H416" s="113">
        <f t="shared" si="126"/>
        <v>0</v>
      </c>
      <c r="I416" s="121">
        <f t="shared" si="119"/>
        <v>279010</v>
      </c>
      <c r="K416" s="123">
        <f t="shared" si="127"/>
        <v>500000</v>
      </c>
      <c r="L416" s="111">
        <f t="shared" si="128"/>
        <v>0</v>
      </c>
      <c r="M416" s="2">
        <f t="shared" si="129"/>
        <v>1090</v>
      </c>
      <c r="N416" s="112">
        <f t="shared" si="120"/>
        <v>19500000</v>
      </c>
      <c r="O416" s="2">
        <f t="shared" si="130"/>
        <v>219900</v>
      </c>
      <c r="P416" s="113">
        <f t="shared" si="131"/>
        <v>0</v>
      </c>
      <c r="Q416" s="121">
        <f t="shared" si="121"/>
        <v>279010</v>
      </c>
    </row>
    <row r="417" spans="2:17" hidden="1" x14ac:dyDescent="0.4">
      <c r="B417" s="110">
        <v>44338</v>
      </c>
      <c r="C417" s="122">
        <f t="shared" si="122"/>
        <v>500000</v>
      </c>
      <c r="D417" s="111">
        <f t="shared" si="123"/>
        <v>0</v>
      </c>
      <c r="E417" s="2">
        <f t="shared" si="124"/>
        <v>1090</v>
      </c>
      <c r="F417" s="112">
        <f t="shared" si="118"/>
        <v>19500000</v>
      </c>
      <c r="G417" s="2">
        <f t="shared" si="125"/>
        <v>219900</v>
      </c>
      <c r="H417" s="113">
        <f t="shared" si="126"/>
        <v>0</v>
      </c>
      <c r="I417" s="121">
        <f t="shared" si="119"/>
        <v>279010</v>
      </c>
      <c r="K417" s="123">
        <f t="shared" si="127"/>
        <v>500000</v>
      </c>
      <c r="L417" s="111">
        <f t="shared" si="128"/>
        <v>0</v>
      </c>
      <c r="M417" s="2">
        <f t="shared" si="129"/>
        <v>1090</v>
      </c>
      <c r="N417" s="112">
        <f t="shared" si="120"/>
        <v>19500000</v>
      </c>
      <c r="O417" s="2">
        <f t="shared" si="130"/>
        <v>219900</v>
      </c>
      <c r="P417" s="113">
        <f t="shared" si="131"/>
        <v>0</v>
      </c>
      <c r="Q417" s="121">
        <f t="shared" si="121"/>
        <v>279010</v>
      </c>
    </row>
    <row r="418" spans="2:17" hidden="1" x14ac:dyDescent="0.4">
      <c r="B418" s="110">
        <v>44339</v>
      </c>
      <c r="C418" s="122">
        <f t="shared" si="122"/>
        <v>500000</v>
      </c>
      <c r="D418" s="111">
        <f t="shared" si="123"/>
        <v>0</v>
      </c>
      <c r="E418" s="2">
        <f t="shared" si="124"/>
        <v>1090</v>
      </c>
      <c r="F418" s="112">
        <f t="shared" si="118"/>
        <v>19500000</v>
      </c>
      <c r="G418" s="2">
        <f t="shared" si="125"/>
        <v>219900</v>
      </c>
      <c r="H418" s="113">
        <f t="shared" si="126"/>
        <v>0</v>
      </c>
      <c r="I418" s="121">
        <f t="shared" si="119"/>
        <v>279010</v>
      </c>
      <c r="K418" s="123">
        <f t="shared" si="127"/>
        <v>500000</v>
      </c>
      <c r="L418" s="111">
        <f t="shared" si="128"/>
        <v>0</v>
      </c>
      <c r="M418" s="2">
        <f t="shared" si="129"/>
        <v>1090</v>
      </c>
      <c r="N418" s="112">
        <f t="shared" si="120"/>
        <v>19500000</v>
      </c>
      <c r="O418" s="2">
        <f t="shared" si="130"/>
        <v>219900</v>
      </c>
      <c r="P418" s="113">
        <f t="shared" si="131"/>
        <v>0</v>
      </c>
      <c r="Q418" s="121">
        <f t="shared" si="121"/>
        <v>279010</v>
      </c>
    </row>
    <row r="419" spans="2:17" hidden="1" x14ac:dyDescent="0.4">
      <c r="B419" s="110">
        <v>44340</v>
      </c>
      <c r="C419" s="122">
        <f t="shared" si="122"/>
        <v>500000</v>
      </c>
      <c r="D419" s="111">
        <f t="shared" si="123"/>
        <v>0</v>
      </c>
      <c r="E419" s="2">
        <f t="shared" si="124"/>
        <v>1090</v>
      </c>
      <c r="F419" s="112">
        <f t="shared" si="118"/>
        <v>19500000</v>
      </c>
      <c r="G419" s="2">
        <f t="shared" si="125"/>
        <v>219900</v>
      </c>
      <c r="H419" s="113">
        <f t="shared" si="126"/>
        <v>0</v>
      </c>
      <c r="I419" s="121">
        <f t="shared" si="119"/>
        <v>279010</v>
      </c>
      <c r="K419" s="123">
        <f t="shared" si="127"/>
        <v>500000</v>
      </c>
      <c r="L419" s="111">
        <f t="shared" si="128"/>
        <v>0</v>
      </c>
      <c r="M419" s="2">
        <f t="shared" si="129"/>
        <v>1090</v>
      </c>
      <c r="N419" s="112">
        <f t="shared" si="120"/>
        <v>19500000</v>
      </c>
      <c r="O419" s="2">
        <f t="shared" si="130"/>
        <v>219900</v>
      </c>
      <c r="P419" s="113">
        <f t="shared" si="131"/>
        <v>0</v>
      </c>
      <c r="Q419" s="121">
        <f t="shared" si="121"/>
        <v>279010</v>
      </c>
    </row>
    <row r="420" spans="2:17" hidden="1" x14ac:dyDescent="0.4">
      <c r="B420" s="110">
        <v>44341</v>
      </c>
      <c r="C420" s="122">
        <f t="shared" si="122"/>
        <v>500000</v>
      </c>
      <c r="D420" s="111">
        <f t="shared" si="123"/>
        <v>0</v>
      </c>
      <c r="E420" s="2">
        <f t="shared" si="124"/>
        <v>1090</v>
      </c>
      <c r="F420" s="112">
        <f t="shared" si="118"/>
        <v>19500000</v>
      </c>
      <c r="G420" s="2">
        <f t="shared" si="125"/>
        <v>219900</v>
      </c>
      <c r="H420" s="113">
        <f t="shared" si="126"/>
        <v>0</v>
      </c>
      <c r="I420" s="121">
        <f t="shared" si="119"/>
        <v>279010</v>
      </c>
      <c r="K420" s="123">
        <f t="shared" si="127"/>
        <v>500000</v>
      </c>
      <c r="L420" s="111">
        <f t="shared" si="128"/>
        <v>0</v>
      </c>
      <c r="M420" s="2">
        <f t="shared" si="129"/>
        <v>1090</v>
      </c>
      <c r="N420" s="112">
        <f t="shared" si="120"/>
        <v>19500000</v>
      </c>
      <c r="O420" s="2">
        <f t="shared" si="130"/>
        <v>219900</v>
      </c>
      <c r="P420" s="113">
        <f t="shared" si="131"/>
        <v>0</v>
      </c>
      <c r="Q420" s="121">
        <f t="shared" si="121"/>
        <v>279010</v>
      </c>
    </row>
    <row r="421" spans="2:17" hidden="1" x14ac:dyDescent="0.4">
      <c r="B421" s="110">
        <v>44342</v>
      </c>
      <c r="C421" s="122">
        <f t="shared" si="122"/>
        <v>500000</v>
      </c>
      <c r="D421" s="111">
        <f t="shared" si="123"/>
        <v>0</v>
      </c>
      <c r="E421" s="2">
        <f t="shared" si="124"/>
        <v>1090</v>
      </c>
      <c r="F421" s="112">
        <f t="shared" si="118"/>
        <v>19500000</v>
      </c>
      <c r="G421" s="2">
        <f t="shared" si="125"/>
        <v>219900</v>
      </c>
      <c r="H421" s="113">
        <f t="shared" si="126"/>
        <v>0</v>
      </c>
      <c r="I421" s="121">
        <f t="shared" si="119"/>
        <v>279010</v>
      </c>
      <c r="K421" s="123">
        <f t="shared" si="127"/>
        <v>500000</v>
      </c>
      <c r="L421" s="111">
        <f t="shared" si="128"/>
        <v>0</v>
      </c>
      <c r="M421" s="2">
        <f t="shared" si="129"/>
        <v>1090</v>
      </c>
      <c r="N421" s="112">
        <f t="shared" si="120"/>
        <v>19500000</v>
      </c>
      <c r="O421" s="2">
        <f t="shared" si="130"/>
        <v>219900</v>
      </c>
      <c r="P421" s="113">
        <f t="shared" si="131"/>
        <v>0</v>
      </c>
      <c r="Q421" s="121">
        <f t="shared" si="121"/>
        <v>279010</v>
      </c>
    </row>
    <row r="422" spans="2:17" hidden="1" x14ac:dyDescent="0.4">
      <c r="B422" s="110">
        <v>44343</v>
      </c>
      <c r="C422" s="122">
        <f t="shared" si="122"/>
        <v>500000</v>
      </c>
      <c r="D422" s="111">
        <f t="shared" si="123"/>
        <v>0</v>
      </c>
      <c r="E422" s="2">
        <f t="shared" si="124"/>
        <v>1090</v>
      </c>
      <c r="F422" s="112">
        <f t="shared" si="118"/>
        <v>19500000</v>
      </c>
      <c r="G422" s="2">
        <f t="shared" si="125"/>
        <v>219900</v>
      </c>
      <c r="H422" s="113">
        <f t="shared" si="126"/>
        <v>0</v>
      </c>
      <c r="I422" s="121">
        <f t="shared" si="119"/>
        <v>279010</v>
      </c>
      <c r="K422" s="123">
        <f t="shared" si="127"/>
        <v>500000</v>
      </c>
      <c r="L422" s="111">
        <f t="shared" si="128"/>
        <v>0</v>
      </c>
      <c r="M422" s="2">
        <f t="shared" si="129"/>
        <v>1090</v>
      </c>
      <c r="N422" s="112">
        <f t="shared" si="120"/>
        <v>19500000</v>
      </c>
      <c r="O422" s="2">
        <f t="shared" si="130"/>
        <v>219900</v>
      </c>
      <c r="P422" s="113">
        <f t="shared" si="131"/>
        <v>0</v>
      </c>
      <c r="Q422" s="121">
        <f t="shared" si="121"/>
        <v>279010</v>
      </c>
    </row>
    <row r="423" spans="2:17" hidden="1" x14ac:dyDescent="0.4">
      <c r="B423" s="110">
        <v>44344</v>
      </c>
      <c r="C423" s="122">
        <f t="shared" si="122"/>
        <v>500000</v>
      </c>
      <c r="D423" s="111">
        <f t="shared" si="123"/>
        <v>0</v>
      </c>
      <c r="E423" s="2">
        <f t="shared" si="124"/>
        <v>1090</v>
      </c>
      <c r="F423" s="112">
        <f t="shared" si="118"/>
        <v>19500000</v>
      </c>
      <c r="G423" s="2">
        <f t="shared" si="125"/>
        <v>219900</v>
      </c>
      <c r="H423" s="113">
        <f t="shared" si="126"/>
        <v>0</v>
      </c>
      <c r="I423" s="121">
        <f t="shared" si="119"/>
        <v>279010</v>
      </c>
      <c r="K423" s="123">
        <f t="shared" si="127"/>
        <v>500000</v>
      </c>
      <c r="L423" s="111">
        <f t="shared" si="128"/>
        <v>0</v>
      </c>
      <c r="M423" s="2">
        <f t="shared" si="129"/>
        <v>1090</v>
      </c>
      <c r="N423" s="112">
        <f t="shared" si="120"/>
        <v>19500000</v>
      </c>
      <c r="O423" s="2">
        <f t="shared" si="130"/>
        <v>219900</v>
      </c>
      <c r="P423" s="113">
        <f t="shared" si="131"/>
        <v>0</v>
      </c>
      <c r="Q423" s="121">
        <f t="shared" si="121"/>
        <v>279010</v>
      </c>
    </row>
    <row r="424" spans="2:17" hidden="1" x14ac:dyDescent="0.4">
      <c r="B424" s="110">
        <v>44345</v>
      </c>
      <c r="C424" s="122">
        <f t="shared" si="122"/>
        <v>500000</v>
      </c>
      <c r="D424" s="111">
        <f t="shared" si="123"/>
        <v>0</v>
      </c>
      <c r="E424" s="2">
        <f t="shared" si="124"/>
        <v>1090</v>
      </c>
      <c r="F424" s="112">
        <f t="shared" si="118"/>
        <v>19500000</v>
      </c>
      <c r="G424" s="2">
        <f t="shared" si="125"/>
        <v>219900</v>
      </c>
      <c r="H424" s="113">
        <f t="shared" si="126"/>
        <v>0</v>
      </c>
      <c r="I424" s="121">
        <f t="shared" si="119"/>
        <v>279010</v>
      </c>
      <c r="K424" s="123">
        <f t="shared" si="127"/>
        <v>500000</v>
      </c>
      <c r="L424" s="111">
        <f t="shared" si="128"/>
        <v>0</v>
      </c>
      <c r="M424" s="2">
        <f t="shared" si="129"/>
        <v>1090</v>
      </c>
      <c r="N424" s="112">
        <f t="shared" si="120"/>
        <v>19500000</v>
      </c>
      <c r="O424" s="2">
        <f t="shared" si="130"/>
        <v>219900</v>
      </c>
      <c r="P424" s="113">
        <f t="shared" si="131"/>
        <v>0</v>
      </c>
      <c r="Q424" s="121">
        <f t="shared" si="121"/>
        <v>279010</v>
      </c>
    </row>
    <row r="425" spans="2:17" hidden="1" x14ac:dyDescent="0.4">
      <c r="B425" s="110">
        <v>44346</v>
      </c>
      <c r="C425" s="122">
        <f t="shared" si="122"/>
        <v>500000</v>
      </c>
      <c r="D425" s="111">
        <f t="shared" si="123"/>
        <v>0</v>
      </c>
      <c r="E425" s="2">
        <f t="shared" si="124"/>
        <v>1090</v>
      </c>
      <c r="F425" s="112">
        <f t="shared" si="118"/>
        <v>19500000</v>
      </c>
      <c r="G425" s="2">
        <f t="shared" si="125"/>
        <v>219900</v>
      </c>
      <c r="H425" s="113">
        <f t="shared" si="126"/>
        <v>0</v>
      </c>
      <c r="I425" s="121">
        <f t="shared" si="119"/>
        <v>279010</v>
      </c>
      <c r="K425" s="123">
        <f t="shared" si="127"/>
        <v>500000</v>
      </c>
      <c r="L425" s="111">
        <f t="shared" si="128"/>
        <v>0</v>
      </c>
      <c r="M425" s="2">
        <f t="shared" si="129"/>
        <v>1090</v>
      </c>
      <c r="N425" s="112">
        <f t="shared" si="120"/>
        <v>19500000</v>
      </c>
      <c r="O425" s="2">
        <f t="shared" si="130"/>
        <v>219900</v>
      </c>
      <c r="P425" s="113">
        <f t="shared" si="131"/>
        <v>0</v>
      </c>
      <c r="Q425" s="121">
        <f t="shared" si="121"/>
        <v>279010</v>
      </c>
    </row>
    <row r="426" spans="2:17" hidden="1" x14ac:dyDescent="0.4">
      <c r="B426" s="110">
        <v>44347</v>
      </c>
      <c r="C426" s="122">
        <f t="shared" si="122"/>
        <v>500000</v>
      </c>
      <c r="D426" s="111">
        <f t="shared" si="123"/>
        <v>0</v>
      </c>
      <c r="E426" s="2">
        <f t="shared" si="124"/>
        <v>1090</v>
      </c>
      <c r="F426" s="112">
        <f t="shared" si="118"/>
        <v>19500000</v>
      </c>
      <c r="G426" s="2">
        <f t="shared" si="125"/>
        <v>219900</v>
      </c>
      <c r="H426" s="113">
        <f t="shared" si="126"/>
        <v>0</v>
      </c>
      <c r="I426" s="121">
        <f t="shared" si="119"/>
        <v>279010</v>
      </c>
      <c r="K426" s="123">
        <f t="shared" si="127"/>
        <v>500000</v>
      </c>
      <c r="L426" s="111">
        <f t="shared" si="128"/>
        <v>0</v>
      </c>
      <c r="M426" s="2">
        <f t="shared" si="129"/>
        <v>1090</v>
      </c>
      <c r="N426" s="112">
        <f t="shared" si="120"/>
        <v>19500000</v>
      </c>
      <c r="O426" s="2">
        <f t="shared" si="130"/>
        <v>219900</v>
      </c>
      <c r="P426" s="113">
        <f t="shared" si="131"/>
        <v>0</v>
      </c>
      <c r="Q426" s="121">
        <f t="shared" si="121"/>
        <v>279010</v>
      </c>
    </row>
    <row r="427" spans="2:17" x14ac:dyDescent="0.4">
      <c r="B427" s="110">
        <v>44348</v>
      </c>
      <c r="C427" s="122">
        <f t="shared" si="122"/>
        <v>500000</v>
      </c>
      <c r="D427" s="111">
        <f t="shared" si="123"/>
        <v>0</v>
      </c>
      <c r="E427" s="2">
        <f t="shared" si="124"/>
        <v>1090</v>
      </c>
      <c r="F427" s="112">
        <f t="shared" si="118"/>
        <v>19500000</v>
      </c>
      <c r="G427" s="2">
        <f t="shared" si="125"/>
        <v>219900</v>
      </c>
      <c r="H427" s="113">
        <f t="shared" si="126"/>
        <v>0</v>
      </c>
      <c r="I427" s="121">
        <f t="shared" si="119"/>
        <v>279010</v>
      </c>
      <c r="K427" s="123">
        <f t="shared" si="127"/>
        <v>500000</v>
      </c>
      <c r="L427" s="111">
        <f t="shared" si="128"/>
        <v>0</v>
      </c>
      <c r="M427" s="2">
        <f t="shared" si="129"/>
        <v>1090</v>
      </c>
      <c r="N427" s="112">
        <f t="shared" si="120"/>
        <v>19500000</v>
      </c>
      <c r="O427" s="2">
        <f t="shared" si="130"/>
        <v>219900</v>
      </c>
      <c r="P427" s="113">
        <f t="shared" si="131"/>
        <v>0</v>
      </c>
      <c r="Q427" s="121">
        <f t="shared" si="121"/>
        <v>279010</v>
      </c>
    </row>
    <row r="428" spans="2:17" hidden="1" x14ac:dyDescent="0.4">
      <c r="B428" s="110">
        <v>44349</v>
      </c>
      <c r="C428" s="122">
        <f t="shared" si="122"/>
        <v>500000</v>
      </c>
      <c r="D428" s="111">
        <f t="shared" si="123"/>
        <v>0</v>
      </c>
      <c r="E428" s="2">
        <f t="shared" si="124"/>
        <v>1090</v>
      </c>
      <c r="F428" s="112">
        <f t="shared" si="118"/>
        <v>19500000</v>
      </c>
      <c r="G428" s="2">
        <f t="shared" si="125"/>
        <v>219900</v>
      </c>
      <c r="H428" s="113">
        <f t="shared" si="126"/>
        <v>0</v>
      </c>
      <c r="I428" s="121">
        <f t="shared" si="119"/>
        <v>279010</v>
      </c>
      <c r="K428" s="123">
        <f t="shared" si="127"/>
        <v>500000</v>
      </c>
      <c r="L428" s="111">
        <f t="shared" si="128"/>
        <v>0</v>
      </c>
      <c r="M428" s="2">
        <f t="shared" si="129"/>
        <v>1090</v>
      </c>
      <c r="N428" s="112">
        <f t="shared" si="120"/>
        <v>19500000</v>
      </c>
      <c r="O428" s="2">
        <f t="shared" si="130"/>
        <v>219900</v>
      </c>
      <c r="P428" s="113">
        <f t="shared" si="131"/>
        <v>0</v>
      </c>
      <c r="Q428" s="121">
        <f t="shared" si="121"/>
        <v>279010</v>
      </c>
    </row>
    <row r="429" spans="2:17" hidden="1" x14ac:dyDescent="0.4">
      <c r="B429" s="110">
        <v>44350</v>
      </c>
      <c r="C429" s="122">
        <f t="shared" si="122"/>
        <v>500000</v>
      </c>
      <c r="D429" s="111">
        <f t="shared" si="123"/>
        <v>0</v>
      </c>
      <c r="E429" s="2">
        <f t="shared" si="124"/>
        <v>1090</v>
      </c>
      <c r="F429" s="112">
        <f t="shared" si="118"/>
        <v>19500000</v>
      </c>
      <c r="G429" s="2">
        <f t="shared" si="125"/>
        <v>219900</v>
      </c>
      <c r="H429" s="113">
        <f t="shared" si="126"/>
        <v>0</v>
      </c>
      <c r="I429" s="121">
        <f t="shared" si="119"/>
        <v>279010</v>
      </c>
      <c r="K429" s="123">
        <f t="shared" si="127"/>
        <v>500000</v>
      </c>
      <c r="L429" s="111">
        <f t="shared" si="128"/>
        <v>0</v>
      </c>
      <c r="M429" s="2">
        <f t="shared" si="129"/>
        <v>1090</v>
      </c>
      <c r="N429" s="112">
        <f t="shared" si="120"/>
        <v>19500000</v>
      </c>
      <c r="O429" s="2">
        <f t="shared" si="130"/>
        <v>219900</v>
      </c>
      <c r="P429" s="113">
        <f t="shared" si="131"/>
        <v>0</v>
      </c>
      <c r="Q429" s="121">
        <f t="shared" si="121"/>
        <v>279010</v>
      </c>
    </row>
    <row r="430" spans="2:17" hidden="1" x14ac:dyDescent="0.4">
      <c r="B430" s="110">
        <v>44351</v>
      </c>
      <c r="C430" s="122">
        <f t="shared" si="122"/>
        <v>600000</v>
      </c>
      <c r="D430" s="111">
        <f t="shared" si="123"/>
        <v>0</v>
      </c>
      <c r="E430" s="2">
        <f t="shared" si="124"/>
        <v>1310</v>
      </c>
      <c r="F430" s="112">
        <f t="shared" si="118"/>
        <v>19400000</v>
      </c>
      <c r="G430" s="2">
        <f t="shared" si="125"/>
        <v>340485</v>
      </c>
      <c r="H430" s="113">
        <f t="shared" si="126"/>
        <v>0</v>
      </c>
      <c r="I430" s="121">
        <f t="shared" si="119"/>
        <v>258205</v>
      </c>
      <c r="K430" s="123">
        <f t="shared" si="127"/>
        <v>600000</v>
      </c>
      <c r="L430" s="111">
        <f t="shared" si="128"/>
        <v>0</v>
      </c>
      <c r="M430" s="2">
        <f t="shared" si="129"/>
        <v>1310</v>
      </c>
      <c r="N430" s="112">
        <f t="shared" si="120"/>
        <v>19400000</v>
      </c>
      <c r="O430" s="2">
        <f t="shared" si="130"/>
        <v>340485</v>
      </c>
      <c r="P430" s="113">
        <f t="shared" si="131"/>
        <v>0</v>
      </c>
      <c r="Q430" s="121">
        <f t="shared" si="121"/>
        <v>258205</v>
      </c>
    </row>
    <row r="431" spans="2:17" hidden="1" x14ac:dyDescent="0.4">
      <c r="B431" s="110">
        <v>44352</v>
      </c>
      <c r="C431" s="122">
        <f t="shared" si="122"/>
        <v>600000</v>
      </c>
      <c r="D431" s="111">
        <f t="shared" si="123"/>
        <v>0</v>
      </c>
      <c r="E431" s="2">
        <f t="shared" si="124"/>
        <v>1310</v>
      </c>
      <c r="F431" s="112">
        <f t="shared" si="118"/>
        <v>19400000</v>
      </c>
      <c r="G431" s="2">
        <f t="shared" si="125"/>
        <v>340485</v>
      </c>
      <c r="H431" s="113">
        <f t="shared" si="126"/>
        <v>0</v>
      </c>
      <c r="I431" s="121">
        <f t="shared" si="119"/>
        <v>258205</v>
      </c>
      <c r="K431" s="123">
        <f t="shared" si="127"/>
        <v>600000</v>
      </c>
      <c r="L431" s="111">
        <f t="shared" si="128"/>
        <v>0</v>
      </c>
      <c r="M431" s="2">
        <f t="shared" si="129"/>
        <v>1310</v>
      </c>
      <c r="N431" s="112">
        <f t="shared" si="120"/>
        <v>19400000</v>
      </c>
      <c r="O431" s="2">
        <f t="shared" si="130"/>
        <v>340485</v>
      </c>
      <c r="P431" s="113">
        <f t="shared" si="131"/>
        <v>0</v>
      </c>
      <c r="Q431" s="121">
        <f t="shared" si="121"/>
        <v>258205</v>
      </c>
    </row>
    <row r="432" spans="2:17" hidden="1" x14ac:dyDescent="0.4">
      <c r="B432" s="110">
        <v>44353</v>
      </c>
      <c r="C432" s="122">
        <f t="shared" si="122"/>
        <v>600000</v>
      </c>
      <c r="D432" s="111">
        <f t="shared" si="123"/>
        <v>0</v>
      </c>
      <c r="E432" s="2">
        <f t="shared" si="124"/>
        <v>1310</v>
      </c>
      <c r="F432" s="112">
        <f t="shared" si="118"/>
        <v>19400000</v>
      </c>
      <c r="G432" s="2">
        <f t="shared" si="125"/>
        <v>340485</v>
      </c>
      <c r="H432" s="113">
        <f t="shared" si="126"/>
        <v>0</v>
      </c>
      <c r="I432" s="121">
        <f t="shared" si="119"/>
        <v>258205</v>
      </c>
      <c r="K432" s="123">
        <f t="shared" si="127"/>
        <v>600000</v>
      </c>
      <c r="L432" s="111">
        <f t="shared" si="128"/>
        <v>0</v>
      </c>
      <c r="M432" s="2">
        <f t="shared" si="129"/>
        <v>1310</v>
      </c>
      <c r="N432" s="112">
        <f t="shared" si="120"/>
        <v>19400000</v>
      </c>
      <c r="O432" s="2">
        <f t="shared" si="130"/>
        <v>340485</v>
      </c>
      <c r="P432" s="113">
        <f t="shared" si="131"/>
        <v>0</v>
      </c>
      <c r="Q432" s="121">
        <f t="shared" si="121"/>
        <v>258205</v>
      </c>
    </row>
    <row r="433" spans="2:17" hidden="1" x14ac:dyDescent="0.4">
      <c r="B433" s="110">
        <v>44354</v>
      </c>
      <c r="C433" s="122">
        <f t="shared" si="122"/>
        <v>600000</v>
      </c>
      <c r="D433" s="111">
        <f t="shared" si="123"/>
        <v>16</v>
      </c>
      <c r="E433" s="2">
        <f t="shared" si="124"/>
        <v>1310</v>
      </c>
      <c r="F433" s="112">
        <f t="shared" si="118"/>
        <v>19400000</v>
      </c>
      <c r="G433" s="2">
        <f t="shared" si="125"/>
        <v>340485</v>
      </c>
      <c r="H433" s="113">
        <f t="shared" si="126"/>
        <v>0</v>
      </c>
      <c r="I433" s="121">
        <f t="shared" si="119"/>
        <v>258221</v>
      </c>
      <c r="K433" s="123">
        <f t="shared" si="127"/>
        <v>600000</v>
      </c>
      <c r="L433" s="111">
        <f t="shared" si="128"/>
        <v>16</v>
      </c>
      <c r="M433" s="2">
        <f t="shared" si="129"/>
        <v>1310</v>
      </c>
      <c r="N433" s="112">
        <f t="shared" si="120"/>
        <v>19400000</v>
      </c>
      <c r="O433" s="2">
        <f t="shared" si="130"/>
        <v>340485</v>
      </c>
      <c r="P433" s="113">
        <f t="shared" si="131"/>
        <v>0</v>
      </c>
      <c r="Q433" s="121">
        <f t="shared" si="121"/>
        <v>258221</v>
      </c>
    </row>
    <row r="434" spans="2:17" hidden="1" x14ac:dyDescent="0.4">
      <c r="B434" s="110">
        <v>44355</v>
      </c>
      <c r="C434" s="122">
        <f t="shared" si="122"/>
        <v>600000</v>
      </c>
      <c r="D434" s="111">
        <f t="shared" si="123"/>
        <v>16</v>
      </c>
      <c r="E434" s="2">
        <f t="shared" si="124"/>
        <v>1310</v>
      </c>
      <c r="F434" s="112">
        <f t="shared" si="118"/>
        <v>19400000</v>
      </c>
      <c r="G434" s="2">
        <f t="shared" si="125"/>
        <v>340485</v>
      </c>
      <c r="H434" s="113">
        <f t="shared" si="126"/>
        <v>0</v>
      </c>
      <c r="I434" s="121">
        <f t="shared" si="119"/>
        <v>258221</v>
      </c>
      <c r="K434" s="123">
        <f t="shared" si="127"/>
        <v>600000</v>
      </c>
      <c r="L434" s="111">
        <f t="shared" si="128"/>
        <v>16</v>
      </c>
      <c r="M434" s="2">
        <f t="shared" si="129"/>
        <v>1310</v>
      </c>
      <c r="N434" s="112">
        <f t="shared" si="120"/>
        <v>19400000</v>
      </c>
      <c r="O434" s="2">
        <f t="shared" si="130"/>
        <v>340485</v>
      </c>
      <c r="P434" s="113">
        <f t="shared" si="131"/>
        <v>0</v>
      </c>
      <c r="Q434" s="121">
        <f t="shared" si="121"/>
        <v>258221</v>
      </c>
    </row>
    <row r="435" spans="2:17" hidden="1" x14ac:dyDescent="0.4">
      <c r="B435" s="110">
        <v>44356</v>
      </c>
      <c r="C435" s="122">
        <f t="shared" si="122"/>
        <v>600000</v>
      </c>
      <c r="D435" s="111">
        <f t="shared" si="123"/>
        <v>16</v>
      </c>
      <c r="E435" s="2">
        <f t="shared" si="124"/>
        <v>1450</v>
      </c>
      <c r="F435" s="112">
        <f t="shared" si="118"/>
        <v>19400000</v>
      </c>
      <c r="G435" s="2">
        <f t="shared" si="125"/>
        <v>419075</v>
      </c>
      <c r="H435" s="113">
        <f t="shared" si="126"/>
        <v>0</v>
      </c>
      <c r="I435" s="121">
        <f t="shared" si="119"/>
        <v>179491</v>
      </c>
      <c r="K435" s="123">
        <f t="shared" si="127"/>
        <v>600000</v>
      </c>
      <c r="L435" s="111">
        <f t="shared" si="128"/>
        <v>16</v>
      </c>
      <c r="M435" s="2">
        <f t="shared" si="129"/>
        <v>1450</v>
      </c>
      <c r="N435" s="112">
        <f t="shared" si="120"/>
        <v>19400000</v>
      </c>
      <c r="O435" s="2">
        <f t="shared" si="130"/>
        <v>419075</v>
      </c>
      <c r="P435" s="113">
        <f t="shared" si="131"/>
        <v>0</v>
      </c>
      <c r="Q435" s="121">
        <f t="shared" si="121"/>
        <v>179491</v>
      </c>
    </row>
    <row r="436" spans="2:17" hidden="1" x14ac:dyDescent="0.4">
      <c r="B436" s="110">
        <v>44357</v>
      </c>
      <c r="C436" s="122">
        <f t="shared" si="122"/>
        <v>600000</v>
      </c>
      <c r="D436" s="111">
        <f t="shared" si="123"/>
        <v>16</v>
      </c>
      <c r="E436" s="2">
        <f t="shared" si="124"/>
        <v>1450</v>
      </c>
      <c r="F436" s="112">
        <f t="shared" si="118"/>
        <v>19400000</v>
      </c>
      <c r="G436" s="2">
        <f t="shared" si="125"/>
        <v>419075</v>
      </c>
      <c r="H436" s="113">
        <f t="shared" si="126"/>
        <v>0</v>
      </c>
      <c r="I436" s="121">
        <f t="shared" si="119"/>
        <v>179491</v>
      </c>
      <c r="K436" s="123">
        <f t="shared" si="127"/>
        <v>600000</v>
      </c>
      <c r="L436" s="111">
        <f t="shared" si="128"/>
        <v>16</v>
      </c>
      <c r="M436" s="2">
        <f t="shared" si="129"/>
        <v>1450</v>
      </c>
      <c r="N436" s="112">
        <f t="shared" si="120"/>
        <v>19400000</v>
      </c>
      <c r="O436" s="2">
        <f t="shared" si="130"/>
        <v>419075</v>
      </c>
      <c r="P436" s="113">
        <f t="shared" si="131"/>
        <v>0</v>
      </c>
      <c r="Q436" s="121">
        <f t="shared" si="121"/>
        <v>179491</v>
      </c>
    </row>
    <row r="437" spans="2:17" hidden="1" x14ac:dyDescent="0.4">
      <c r="B437" s="110">
        <v>44358</v>
      </c>
      <c r="C437" s="122">
        <f t="shared" si="122"/>
        <v>600000</v>
      </c>
      <c r="D437" s="111">
        <f t="shared" si="123"/>
        <v>16</v>
      </c>
      <c r="E437" s="2">
        <f t="shared" si="124"/>
        <v>1450</v>
      </c>
      <c r="F437" s="112">
        <f t="shared" si="118"/>
        <v>19400000</v>
      </c>
      <c r="G437" s="2">
        <f t="shared" si="125"/>
        <v>419075</v>
      </c>
      <c r="H437" s="113">
        <f t="shared" si="126"/>
        <v>0</v>
      </c>
      <c r="I437" s="121">
        <f t="shared" si="119"/>
        <v>179491</v>
      </c>
      <c r="K437" s="123">
        <f t="shared" si="127"/>
        <v>600000</v>
      </c>
      <c r="L437" s="111">
        <f t="shared" si="128"/>
        <v>16</v>
      </c>
      <c r="M437" s="2">
        <f t="shared" si="129"/>
        <v>1450</v>
      </c>
      <c r="N437" s="112">
        <f t="shared" si="120"/>
        <v>19400000</v>
      </c>
      <c r="O437" s="2">
        <f t="shared" si="130"/>
        <v>419075</v>
      </c>
      <c r="P437" s="113">
        <f t="shared" si="131"/>
        <v>0</v>
      </c>
      <c r="Q437" s="121">
        <f t="shared" si="121"/>
        <v>179491</v>
      </c>
    </row>
    <row r="438" spans="2:17" hidden="1" x14ac:dyDescent="0.4">
      <c r="B438" s="110">
        <v>44359</v>
      </c>
      <c r="C438" s="122">
        <f t="shared" si="122"/>
        <v>600000</v>
      </c>
      <c r="D438" s="111">
        <f t="shared" si="123"/>
        <v>16</v>
      </c>
      <c r="E438" s="2">
        <f t="shared" si="124"/>
        <v>1450</v>
      </c>
      <c r="F438" s="112">
        <f t="shared" si="118"/>
        <v>19400000</v>
      </c>
      <c r="G438" s="2">
        <f t="shared" si="125"/>
        <v>419075</v>
      </c>
      <c r="H438" s="113">
        <f t="shared" si="126"/>
        <v>0</v>
      </c>
      <c r="I438" s="121">
        <f t="shared" si="119"/>
        <v>179491</v>
      </c>
      <c r="K438" s="123">
        <f t="shared" si="127"/>
        <v>600000</v>
      </c>
      <c r="L438" s="111">
        <f t="shared" si="128"/>
        <v>16</v>
      </c>
      <c r="M438" s="2">
        <f t="shared" si="129"/>
        <v>1450</v>
      </c>
      <c r="N438" s="112">
        <f t="shared" si="120"/>
        <v>19400000</v>
      </c>
      <c r="O438" s="2">
        <f t="shared" si="130"/>
        <v>419075</v>
      </c>
      <c r="P438" s="113">
        <f t="shared" si="131"/>
        <v>0</v>
      </c>
      <c r="Q438" s="121">
        <f t="shared" si="121"/>
        <v>179491</v>
      </c>
    </row>
    <row r="439" spans="2:17" hidden="1" x14ac:dyDescent="0.4">
      <c r="B439" s="110">
        <v>44360</v>
      </c>
      <c r="C439" s="122">
        <f t="shared" si="122"/>
        <v>600000</v>
      </c>
      <c r="D439" s="111">
        <f t="shared" si="123"/>
        <v>16</v>
      </c>
      <c r="E439" s="2">
        <f t="shared" si="124"/>
        <v>1450</v>
      </c>
      <c r="F439" s="112">
        <f t="shared" si="118"/>
        <v>19400000</v>
      </c>
      <c r="G439" s="2">
        <f t="shared" si="125"/>
        <v>419075</v>
      </c>
      <c r="H439" s="113">
        <f t="shared" si="126"/>
        <v>0</v>
      </c>
      <c r="I439" s="121">
        <f t="shared" si="119"/>
        <v>179491</v>
      </c>
      <c r="K439" s="123">
        <f t="shared" si="127"/>
        <v>600000</v>
      </c>
      <c r="L439" s="111">
        <f t="shared" si="128"/>
        <v>16</v>
      </c>
      <c r="M439" s="2">
        <f t="shared" si="129"/>
        <v>1450</v>
      </c>
      <c r="N439" s="112">
        <f t="shared" si="120"/>
        <v>19400000</v>
      </c>
      <c r="O439" s="2">
        <f t="shared" si="130"/>
        <v>419075</v>
      </c>
      <c r="P439" s="113">
        <f t="shared" si="131"/>
        <v>0</v>
      </c>
      <c r="Q439" s="121">
        <f t="shared" si="121"/>
        <v>179491</v>
      </c>
    </row>
    <row r="440" spans="2:17" hidden="1" x14ac:dyDescent="0.4">
      <c r="B440" s="110">
        <v>44361</v>
      </c>
      <c r="C440" s="122">
        <f t="shared" si="122"/>
        <v>600000</v>
      </c>
      <c r="D440" s="111">
        <f t="shared" si="123"/>
        <v>16</v>
      </c>
      <c r="E440" s="2">
        <f t="shared" si="124"/>
        <v>1450</v>
      </c>
      <c r="F440" s="112">
        <f t="shared" si="118"/>
        <v>19400000</v>
      </c>
      <c r="G440" s="2">
        <f t="shared" si="125"/>
        <v>419075</v>
      </c>
      <c r="H440" s="113">
        <f t="shared" si="126"/>
        <v>0</v>
      </c>
      <c r="I440" s="121">
        <f t="shared" si="119"/>
        <v>179491</v>
      </c>
      <c r="K440" s="123">
        <f t="shared" si="127"/>
        <v>600000</v>
      </c>
      <c r="L440" s="111">
        <f t="shared" si="128"/>
        <v>16</v>
      </c>
      <c r="M440" s="2">
        <f t="shared" si="129"/>
        <v>1450</v>
      </c>
      <c r="N440" s="112">
        <f t="shared" si="120"/>
        <v>19400000</v>
      </c>
      <c r="O440" s="2">
        <f t="shared" si="130"/>
        <v>419075</v>
      </c>
      <c r="P440" s="113">
        <f t="shared" si="131"/>
        <v>0</v>
      </c>
      <c r="Q440" s="121">
        <f t="shared" si="121"/>
        <v>179491</v>
      </c>
    </row>
    <row r="441" spans="2:17" hidden="1" x14ac:dyDescent="0.4">
      <c r="B441" s="110">
        <v>44362</v>
      </c>
      <c r="C441" s="122">
        <f t="shared" si="122"/>
        <v>600000</v>
      </c>
      <c r="D441" s="111">
        <f t="shared" si="123"/>
        <v>16</v>
      </c>
      <c r="E441" s="2">
        <f t="shared" si="124"/>
        <v>1450</v>
      </c>
      <c r="F441" s="112">
        <f t="shared" si="118"/>
        <v>19400000</v>
      </c>
      <c r="G441" s="2">
        <f t="shared" si="125"/>
        <v>419075</v>
      </c>
      <c r="H441" s="113">
        <f t="shared" si="126"/>
        <v>0</v>
      </c>
      <c r="I441" s="121">
        <f t="shared" si="119"/>
        <v>179491</v>
      </c>
      <c r="K441" s="123">
        <f t="shared" si="127"/>
        <v>600000</v>
      </c>
      <c r="L441" s="111">
        <f t="shared" si="128"/>
        <v>16</v>
      </c>
      <c r="M441" s="2">
        <f t="shared" si="129"/>
        <v>1450</v>
      </c>
      <c r="N441" s="112">
        <f t="shared" si="120"/>
        <v>19400000</v>
      </c>
      <c r="O441" s="2">
        <f t="shared" si="130"/>
        <v>419075</v>
      </c>
      <c r="P441" s="113">
        <f t="shared" si="131"/>
        <v>0</v>
      </c>
      <c r="Q441" s="121">
        <f t="shared" si="121"/>
        <v>179491</v>
      </c>
    </row>
    <row r="442" spans="2:17" hidden="1" x14ac:dyDescent="0.4">
      <c r="B442" s="110">
        <v>44363</v>
      </c>
      <c r="C442" s="122">
        <f t="shared" si="122"/>
        <v>600000</v>
      </c>
      <c r="D442" s="111">
        <f t="shared" si="123"/>
        <v>16</v>
      </c>
      <c r="E442" s="2">
        <f t="shared" si="124"/>
        <v>1450</v>
      </c>
      <c r="F442" s="112">
        <f t="shared" si="118"/>
        <v>19400000</v>
      </c>
      <c r="G442" s="2">
        <f t="shared" si="125"/>
        <v>419075</v>
      </c>
      <c r="H442" s="113">
        <f t="shared" si="126"/>
        <v>0</v>
      </c>
      <c r="I442" s="121">
        <f t="shared" si="119"/>
        <v>179491</v>
      </c>
      <c r="K442" s="123">
        <f t="shared" si="127"/>
        <v>600000</v>
      </c>
      <c r="L442" s="111">
        <f t="shared" si="128"/>
        <v>16</v>
      </c>
      <c r="M442" s="2">
        <f t="shared" si="129"/>
        <v>1450</v>
      </c>
      <c r="N442" s="112">
        <f t="shared" si="120"/>
        <v>19400000</v>
      </c>
      <c r="O442" s="2">
        <f t="shared" si="130"/>
        <v>419075</v>
      </c>
      <c r="P442" s="113">
        <f t="shared" si="131"/>
        <v>0</v>
      </c>
      <c r="Q442" s="121">
        <f t="shared" si="121"/>
        <v>179491</v>
      </c>
    </row>
    <row r="443" spans="2:17" hidden="1" x14ac:dyDescent="0.4">
      <c r="B443" s="110">
        <v>44364</v>
      </c>
      <c r="C443" s="122">
        <f t="shared" si="122"/>
        <v>600000</v>
      </c>
      <c r="D443" s="111">
        <f t="shared" si="123"/>
        <v>16</v>
      </c>
      <c r="E443" s="2">
        <f t="shared" si="124"/>
        <v>1450</v>
      </c>
      <c r="F443" s="112">
        <f t="shared" si="118"/>
        <v>19400000</v>
      </c>
      <c r="G443" s="2">
        <f t="shared" si="125"/>
        <v>419075</v>
      </c>
      <c r="H443" s="113">
        <f t="shared" si="126"/>
        <v>0</v>
      </c>
      <c r="I443" s="121">
        <f t="shared" si="119"/>
        <v>179491</v>
      </c>
      <c r="K443" s="123">
        <f t="shared" si="127"/>
        <v>600000</v>
      </c>
      <c r="L443" s="111">
        <f t="shared" si="128"/>
        <v>16</v>
      </c>
      <c r="M443" s="2">
        <f t="shared" si="129"/>
        <v>1450</v>
      </c>
      <c r="N443" s="112">
        <f t="shared" si="120"/>
        <v>19400000</v>
      </c>
      <c r="O443" s="2">
        <f t="shared" si="130"/>
        <v>419075</v>
      </c>
      <c r="P443" s="113">
        <f t="shared" si="131"/>
        <v>0</v>
      </c>
      <c r="Q443" s="121">
        <f t="shared" si="121"/>
        <v>179491</v>
      </c>
    </row>
    <row r="444" spans="2:17" hidden="1" x14ac:dyDescent="0.4">
      <c r="B444" s="110">
        <v>44365</v>
      </c>
      <c r="C444" s="122">
        <f t="shared" si="122"/>
        <v>600000</v>
      </c>
      <c r="D444" s="111">
        <f t="shared" si="123"/>
        <v>16</v>
      </c>
      <c r="E444" s="2">
        <f t="shared" si="124"/>
        <v>1450</v>
      </c>
      <c r="F444" s="112">
        <f t="shared" si="118"/>
        <v>19400000</v>
      </c>
      <c r="G444" s="2">
        <f t="shared" si="125"/>
        <v>419075</v>
      </c>
      <c r="H444" s="113">
        <f t="shared" si="126"/>
        <v>0</v>
      </c>
      <c r="I444" s="121">
        <f t="shared" si="119"/>
        <v>179491</v>
      </c>
      <c r="K444" s="123">
        <f t="shared" si="127"/>
        <v>600000</v>
      </c>
      <c r="L444" s="111">
        <f t="shared" si="128"/>
        <v>16</v>
      </c>
      <c r="M444" s="2">
        <f t="shared" si="129"/>
        <v>1450</v>
      </c>
      <c r="N444" s="112">
        <f t="shared" si="120"/>
        <v>19400000</v>
      </c>
      <c r="O444" s="2">
        <f t="shared" si="130"/>
        <v>419075</v>
      </c>
      <c r="P444" s="113">
        <f t="shared" si="131"/>
        <v>0</v>
      </c>
      <c r="Q444" s="121">
        <f t="shared" si="121"/>
        <v>179491</v>
      </c>
    </row>
    <row r="445" spans="2:17" hidden="1" x14ac:dyDescent="0.4">
      <c r="B445" s="110">
        <v>44366</v>
      </c>
      <c r="C445" s="122">
        <f t="shared" si="122"/>
        <v>600000</v>
      </c>
      <c r="D445" s="111">
        <f t="shared" si="123"/>
        <v>16</v>
      </c>
      <c r="E445" s="2">
        <f t="shared" si="124"/>
        <v>1450</v>
      </c>
      <c r="F445" s="112">
        <f t="shared" si="118"/>
        <v>19400000</v>
      </c>
      <c r="G445" s="2">
        <f t="shared" si="125"/>
        <v>419075</v>
      </c>
      <c r="H445" s="113">
        <f t="shared" si="126"/>
        <v>0</v>
      </c>
      <c r="I445" s="121">
        <f t="shared" si="119"/>
        <v>179491</v>
      </c>
      <c r="K445" s="123">
        <f t="shared" si="127"/>
        <v>600000</v>
      </c>
      <c r="L445" s="111">
        <f t="shared" si="128"/>
        <v>16</v>
      </c>
      <c r="M445" s="2">
        <f t="shared" si="129"/>
        <v>1450</v>
      </c>
      <c r="N445" s="112">
        <f t="shared" si="120"/>
        <v>19400000</v>
      </c>
      <c r="O445" s="2">
        <f t="shared" si="130"/>
        <v>419075</v>
      </c>
      <c r="P445" s="113">
        <f t="shared" si="131"/>
        <v>0</v>
      </c>
      <c r="Q445" s="121">
        <f t="shared" si="121"/>
        <v>179491</v>
      </c>
    </row>
    <row r="446" spans="2:17" hidden="1" x14ac:dyDescent="0.4">
      <c r="B446" s="110">
        <v>44367</v>
      </c>
      <c r="C446" s="122">
        <f t="shared" si="122"/>
        <v>600000</v>
      </c>
      <c r="D446" s="111">
        <f t="shared" si="123"/>
        <v>16</v>
      </c>
      <c r="E446" s="2">
        <f t="shared" si="124"/>
        <v>1450</v>
      </c>
      <c r="F446" s="112">
        <f t="shared" si="118"/>
        <v>19400000</v>
      </c>
      <c r="G446" s="2">
        <f t="shared" si="125"/>
        <v>419075</v>
      </c>
      <c r="H446" s="113">
        <f t="shared" si="126"/>
        <v>0</v>
      </c>
      <c r="I446" s="121">
        <f t="shared" si="119"/>
        <v>179491</v>
      </c>
      <c r="K446" s="123">
        <f t="shared" si="127"/>
        <v>600000</v>
      </c>
      <c r="L446" s="111">
        <f t="shared" si="128"/>
        <v>16</v>
      </c>
      <c r="M446" s="2">
        <f t="shared" si="129"/>
        <v>1450</v>
      </c>
      <c r="N446" s="112">
        <f t="shared" si="120"/>
        <v>19400000</v>
      </c>
      <c r="O446" s="2">
        <f t="shared" si="130"/>
        <v>419075</v>
      </c>
      <c r="P446" s="113">
        <f t="shared" si="131"/>
        <v>0</v>
      </c>
      <c r="Q446" s="121">
        <f t="shared" si="121"/>
        <v>179491</v>
      </c>
    </row>
    <row r="447" spans="2:17" hidden="1" x14ac:dyDescent="0.4">
      <c r="B447" s="110">
        <v>44368</v>
      </c>
      <c r="C447" s="122">
        <f t="shared" si="122"/>
        <v>600000</v>
      </c>
      <c r="D447" s="111">
        <f t="shared" si="123"/>
        <v>16</v>
      </c>
      <c r="E447" s="2">
        <f t="shared" si="124"/>
        <v>1450</v>
      </c>
      <c r="F447" s="112">
        <f t="shared" si="118"/>
        <v>19400000</v>
      </c>
      <c r="G447" s="2">
        <f t="shared" si="125"/>
        <v>419075</v>
      </c>
      <c r="H447" s="113">
        <f t="shared" si="126"/>
        <v>0</v>
      </c>
      <c r="I447" s="121">
        <f t="shared" si="119"/>
        <v>179491</v>
      </c>
      <c r="K447" s="123">
        <f t="shared" si="127"/>
        <v>600000</v>
      </c>
      <c r="L447" s="111">
        <f t="shared" si="128"/>
        <v>16</v>
      </c>
      <c r="M447" s="2">
        <f t="shared" si="129"/>
        <v>1450</v>
      </c>
      <c r="N447" s="112">
        <f t="shared" si="120"/>
        <v>19400000</v>
      </c>
      <c r="O447" s="2">
        <f t="shared" si="130"/>
        <v>419075</v>
      </c>
      <c r="P447" s="113">
        <f t="shared" si="131"/>
        <v>0</v>
      </c>
      <c r="Q447" s="121">
        <f t="shared" si="121"/>
        <v>179491</v>
      </c>
    </row>
    <row r="448" spans="2:17" hidden="1" x14ac:dyDescent="0.4">
      <c r="B448" s="110">
        <v>44369</v>
      </c>
      <c r="C448" s="122">
        <f t="shared" si="122"/>
        <v>600000</v>
      </c>
      <c r="D448" s="111">
        <f t="shared" si="123"/>
        <v>16</v>
      </c>
      <c r="E448" s="2">
        <f t="shared" si="124"/>
        <v>1450</v>
      </c>
      <c r="F448" s="112">
        <f t="shared" si="118"/>
        <v>19400000</v>
      </c>
      <c r="G448" s="2">
        <f t="shared" si="125"/>
        <v>419075</v>
      </c>
      <c r="H448" s="113">
        <f t="shared" si="126"/>
        <v>0</v>
      </c>
      <c r="I448" s="121">
        <f t="shared" si="119"/>
        <v>179491</v>
      </c>
      <c r="K448" s="123">
        <f t="shared" si="127"/>
        <v>600000</v>
      </c>
      <c r="L448" s="111">
        <f t="shared" si="128"/>
        <v>16</v>
      </c>
      <c r="M448" s="2">
        <f t="shared" si="129"/>
        <v>1450</v>
      </c>
      <c r="N448" s="112">
        <f t="shared" si="120"/>
        <v>19400000</v>
      </c>
      <c r="O448" s="2">
        <f t="shared" si="130"/>
        <v>419075</v>
      </c>
      <c r="P448" s="113">
        <f t="shared" si="131"/>
        <v>0</v>
      </c>
      <c r="Q448" s="121">
        <f t="shared" si="121"/>
        <v>179491</v>
      </c>
    </row>
    <row r="449" spans="2:17" hidden="1" x14ac:dyDescent="0.4">
      <c r="B449" s="110">
        <v>44370</v>
      </c>
      <c r="C449" s="122">
        <f t="shared" si="122"/>
        <v>600000</v>
      </c>
      <c r="D449" s="111">
        <f t="shared" si="123"/>
        <v>16</v>
      </c>
      <c r="E449" s="2">
        <f t="shared" si="124"/>
        <v>1450</v>
      </c>
      <c r="F449" s="112">
        <f t="shared" si="118"/>
        <v>19400000</v>
      </c>
      <c r="G449" s="2">
        <f t="shared" si="125"/>
        <v>419075</v>
      </c>
      <c r="H449" s="113">
        <f t="shared" si="126"/>
        <v>0</v>
      </c>
      <c r="I449" s="121">
        <f t="shared" si="119"/>
        <v>179491</v>
      </c>
      <c r="K449" s="123">
        <f t="shared" si="127"/>
        <v>600000</v>
      </c>
      <c r="L449" s="111">
        <f t="shared" si="128"/>
        <v>16</v>
      </c>
      <c r="M449" s="2">
        <f t="shared" si="129"/>
        <v>1450</v>
      </c>
      <c r="N449" s="112">
        <f t="shared" si="120"/>
        <v>19400000</v>
      </c>
      <c r="O449" s="2">
        <f t="shared" si="130"/>
        <v>419075</v>
      </c>
      <c r="P449" s="113">
        <f t="shared" si="131"/>
        <v>0</v>
      </c>
      <c r="Q449" s="121">
        <f t="shared" si="121"/>
        <v>179491</v>
      </c>
    </row>
    <row r="450" spans="2:17" hidden="1" x14ac:dyDescent="0.4">
      <c r="B450" s="110">
        <v>44371</v>
      </c>
      <c r="C450" s="122">
        <f t="shared" si="122"/>
        <v>600000</v>
      </c>
      <c r="D450" s="111">
        <f t="shared" si="123"/>
        <v>16</v>
      </c>
      <c r="E450" s="2">
        <f t="shared" si="124"/>
        <v>1450</v>
      </c>
      <c r="F450" s="112">
        <f t="shared" si="118"/>
        <v>19400000</v>
      </c>
      <c r="G450" s="2">
        <f t="shared" si="125"/>
        <v>419075</v>
      </c>
      <c r="H450" s="113">
        <f t="shared" si="126"/>
        <v>0</v>
      </c>
      <c r="I450" s="121">
        <f t="shared" si="119"/>
        <v>179491</v>
      </c>
      <c r="K450" s="123">
        <f t="shared" si="127"/>
        <v>600000</v>
      </c>
      <c r="L450" s="111">
        <f t="shared" si="128"/>
        <v>16</v>
      </c>
      <c r="M450" s="2">
        <f t="shared" si="129"/>
        <v>1450</v>
      </c>
      <c r="N450" s="112">
        <f t="shared" si="120"/>
        <v>19400000</v>
      </c>
      <c r="O450" s="2">
        <f t="shared" si="130"/>
        <v>419075</v>
      </c>
      <c r="P450" s="113">
        <f t="shared" si="131"/>
        <v>0</v>
      </c>
      <c r="Q450" s="121">
        <f t="shared" si="121"/>
        <v>179491</v>
      </c>
    </row>
    <row r="451" spans="2:17" hidden="1" x14ac:dyDescent="0.4">
      <c r="B451" s="110">
        <v>44372</v>
      </c>
      <c r="C451" s="122">
        <f t="shared" si="122"/>
        <v>600000</v>
      </c>
      <c r="D451" s="111">
        <f t="shared" si="123"/>
        <v>16</v>
      </c>
      <c r="E451" s="2">
        <f t="shared" si="124"/>
        <v>1450</v>
      </c>
      <c r="F451" s="112">
        <f t="shared" si="118"/>
        <v>19400000</v>
      </c>
      <c r="G451" s="2">
        <f t="shared" si="125"/>
        <v>419075</v>
      </c>
      <c r="H451" s="113">
        <f t="shared" si="126"/>
        <v>0</v>
      </c>
      <c r="I451" s="121">
        <f t="shared" si="119"/>
        <v>179491</v>
      </c>
      <c r="K451" s="123">
        <f t="shared" si="127"/>
        <v>600000</v>
      </c>
      <c r="L451" s="111">
        <f t="shared" si="128"/>
        <v>16</v>
      </c>
      <c r="M451" s="2">
        <f t="shared" si="129"/>
        <v>1450</v>
      </c>
      <c r="N451" s="112">
        <f t="shared" si="120"/>
        <v>19400000</v>
      </c>
      <c r="O451" s="2">
        <f t="shared" si="130"/>
        <v>419075</v>
      </c>
      <c r="P451" s="113">
        <f t="shared" si="131"/>
        <v>0</v>
      </c>
      <c r="Q451" s="121">
        <f t="shared" si="121"/>
        <v>179491</v>
      </c>
    </row>
    <row r="452" spans="2:17" hidden="1" x14ac:dyDescent="0.4">
      <c r="B452" s="110">
        <v>44373</v>
      </c>
      <c r="C452" s="122">
        <f t="shared" si="122"/>
        <v>600000</v>
      </c>
      <c r="D452" s="111">
        <f t="shared" si="123"/>
        <v>16</v>
      </c>
      <c r="E452" s="2">
        <f t="shared" si="124"/>
        <v>1450</v>
      </c>
      <c r="F452" s="112">
        <f t="shared" si="118"/>
        <v>19400000</v>
      </c>
      <c r="G452" s="2">
        <f t="shared" si="125"/>
        <v>419075</v>
      </c>
      <c r="H452" s="113">
        <f t="shared" si="126"/>
        <v>0</v>
      </c>
      <c r="I452" s="121">
        <f t="shared" si="119"/>
        <v>179491</v>
      </c>
      <c r="K452" s="123">
        <f t="shared" si="127"/>
        <v>600000</v>
      </c>
      <c r="L452" s="111">
        <f t="shared" si="128"/>
        <v>16</v>
      </c>
      <c r="M452" s="2">
        <f t="shared" si="129"/>
        <v>1450</v>
      </c>
      <c r="N452" s="112">
        <f t="shared" si="120"/>
        <v>19400000</v>
      </c>
      <c r="O452" s="2">
        <f t="shared" si="130"/>
        <v>419075</v>
      </c>
      <c r="P452" s="113">
        <f t="shared" si="131"/>
        <v>0</v>
      </c>
      <c r="Q452" s="121">
        <f t="shared" si="121"/>
        <v>179491</v>
      </c>
    </row>
    <row r="453" spans="2:17" hidden="1" x14ac:dyDescent="0.4">
      <c r="B453" s="110">
        <v>44374</v>
      </c>
      <c r="C453" s="122">
        <f t="shared" si="122"/>
        <v>600000</v>
      </c>
      <c r="D453" s="111">
        <f t="shared" si="123"/>
        <v>16</v>
      </c>
      <c r="E453" s="2">
        <f t="shared" si="124"/>
        <v>1450</v>
      </c>
      <c r="F453" s="112">
        <f t="shared" si="118"/>
        <v>19400000</v>
      </c>
      <c r="G453" s="2">
        <f t="shared" si="125"/>
        <v>419075</v>
      </c>
      <c r="H453" s="113">
        <f t="shared" si="126"/>
        <v>0</v>
      </c>
      <c r="I453" s="121">
        <f t="shared" si="119"/>
        <v>179491</v>
      </c>
      <c r="K453" s="123">
        <f t="shared" si="127"/>
        <v>600000</v>
      </c>
      <c r="L453" s="111">
        <f t="shared" si="128"/>
        <v>16</v>
      </c>
      <c r="M453" s="2">
        <f t="shared" si="129"/>
        <v>1450</v>
      </c>
      <c r="N453" s="112">
        <f t="shared" si="120"/>
        <v>19400000</v>
      </c>
      <c r="O453" s="2">
        <f t="shared" si="130"/>
        <v>419075</v>
      </c>
      <c r="P453" s="113">
        <f t="shared" si="131"/>
        <v>0</v>
      </c>
      <c r="Q453" s="121">
        <f t="shared" si="121"/>
        <v>179491</v>
      </c>
    </row>
    <row r="454" spans="2:17" hidden="1" x14ac:dyDescent="0.4">
      <c r="B454" s="110">
        <v>44375</v>
      </c>
      <c r="C454" s="122">
        <f t="shared" si="122"/>
        <v>600000</v>
      </c>
      <c r="D454" s="111">
        <f t="shared" si="123"/>
        <v>16</v>
      </c>
      <c r="E454" s="2">
        <f t="shared" si="124"/>
        <v>1450</v>
      </c>
      <c r="F454" s="112">
        <f t="shared" si="118"/>
        <v>19400000</v>
      </c>
      <c r="G454" s="2">
        <f t="shared" si="125"/>
        <v>419075</v>
      </c>
      <c r="H454" s="113">
        <f t="shared" si="126"/>
        <v>0</v>
      </c>
      <c r="I454" s="121">
        <f t="shared" si="119"/>
        <v>179491</v>
      </c>
      <c r="K454" s="123">
        <f t="shared" si="127"/>
        <v>600000</v>
      </c>
      <c r="L454" s="111">
        <f t="shared" si="128"/>
        <v>16</v>
      </c>
      <c r="M454" s="2">
        <f t="shared" si="129"/>
        <v>1450</v>
      </c>
      <c r="N454" s="112">
        <f t="shared" si="120"/>
        <v>19400000</v>
      </c>
      <c r="O454" s="2">
        <f t="shared" si="130"/>
        <v>419075</v>
      </c>
      <c r="P454" s="113">
        <f t="shared" si="131"/>
        <v>0</v>
      </c>
      <c r="Q454" s="121">
        <f t="shared" si="121"/>
        <v>179491</v>
      </c>
    </row>
    <row r="455" spans="2:17" hidden="1" x14ac:dyDescent="0.4">
      <c r="B455" s="110">
        <v>44376</v>
      </c>
      <c r="C455" s="122">
        <f t="shared" si="122"/>
        <v>600000</v>
      </c>
      <c r="D455" s="111">
        <f t="shared" si="123"/>
        <v>16</v>
      </c>
      <c r="E455" s="2">
        <f t="shared" si="124"/>
        <v>1450</v>
      </c>
      <c r="F455" s="112">
        <f t="shared" si="118"/>
        <v>19400000</v>
      </c>
      <c r="G455" s="2">
        <f t="shared" si="125"/>
        <v>419075</v>
      </c>
      <c r="H455" s="113">
        <f t="shared" si="126"/>
        <v>0</v>
      </c>
      <c r="I455" s="121">
        <f t="shared" si="119"/>
        <v>179491</v>
      </c>
      <c r="K455" s="123">
        <f t="shared" si="127"/>
        <v>600000</v>
      </c>
      <c r="L455" s="111">
        <f t="shared" si="128"/>
        <v>16</v>
      </c>
      <c r="M455" s="2">
        <f t="shared" si="129"/>
        <v>1450</v>
      </c>
      <c r="N455" s="112">
        <f t="shared" si="120"/>
        <v>19400000</v>
      </c>
      <c r="O455" s="2">
        <f t="shared" si="130"/>
        <v>419075</v>
      </c>
      <c r="P455" s="113">
        <f t="shared" si="131"/>
        <v>0</v>
      </c>
      <c r="Q455" s="121">
        <f t="shared" si="121"/>
        <v>179491</v>
      </c>
    </row>
    <row r="456" spans="2:17" hidden="1" x14ac:dyDescent="0.4">
      <c r="B456" s="110">
        <v>44377</v>
      </c>
      <c r="C456" s="122">
        <f t="shared" si="122"/>
        <v>600000</v>
      </c>
      <c r="D456" s="111">
        <f t="shared" si="123"/>
        <v>16</v>
      </c>
      <c r="E456" s="2">
        <f t="shared" si="124"/>
        <v>1450</v>
      </c>
      <c r="F456" s="112">
        <f t="shared" si="118"/>
        <v>19400000</v>
      </c>
      <c r="G456" s="2">
        <f t="shared" si="125"/>
        <v>419075</v>
      </c>
      <c r="H456" s="113">
        <f t="shared" si="126"/>
        <v>0</v>
      </c>
      <c r="I456" s="121">
        <f t="shared" si="119"/>
        <v>179491</v>
      </c>
      <c r="K456" s="123">
        <f t="shared" si="127"/>
        <v>600000</v>
      </c>
      <c r="L456" s="111">
        <f t="shared" si="128"/>
        <v>16</v>
      </c>
      <c r="M456" s="2">
        <f t="shared" si="129"/>
        <v>1450</v>
      </c>
      <c r="N456" s="112">
        <f t="shared" si="120"/>
        <v>19400000</v>
      </c>
      <c r="O456" s="2">
        <f t="shared" si="130"/>
        <v>419075</v>
      </c>
      <c r="P456" s="113">
        <f t="shared" si="131"/>
        <v>0</v>
      </c>
      <c r="Q456" s="121">
        <f t="shared" si="121"/>
        <v>179491</v>
      </c>
    </row>
    <row r="457" spans="2:17" x14ac:dyDescent="0.4">
      <c r="B457" s="110">
        <v>44378</v>
      </c>
      <c r="C457" s="122">
        <f t="shared" si="122"/>
        <v>600000</v>
      </c>
      <c r="D457" s="111">
        <f t="shared" si="123"/>
        <v>16</v>
      </c>
      <c r="E457" s="2">
        <f t="shared" si="124"/>
        <v>1450</v>
      </c>
      <c r="F457" s="112">
        <f t="shared" si="118"/>
        <v>19400000</v>
      </c>
      <c r="G457" s="2">
        <f t="shared" si="125"/>
        <v>419075</v>
      </c>
      <c r="H457" s="113">
        <f t="shared" si="126"/>
        <v>0</v>
      </c>
      <c r="I457" s="121">
        <f t="shared" si="119"/>
        <v>179491</v>
      </c>
      <c r="K457" s="123">
        <f t="shared" si="127"/>
        <v>600000</v>
      </c>
      <c r="L457" s="111">
        <f t="shared" si="128"/>
        <v>16</v>
      </c>
      <c r="M457" s="2">
        <f t="shared" si="129"/>
        <v>1450</v>
      </c>
      <c r="N457" s="112">
        <f t="shared" si="120"/>
        <v>19400000</v>
      </c>
      <c r="O457" s="2">
        <f t="shared" si="130"/>
        <v>419075</v>
      </c>
      <c r="P457" s="113">
        <f t="shared" si="131"/>
        <v>0</v>
      </c>
      <c r="Q457" s="121">
        <f t="shared" si="121"/>
        <v>179491</v>
      </c>
    </row>
    <row r="458" spans="2:17" hidden="1" x14ac:dyDescent="0.4">
      <c r="B458" s="110">
        <v>44379</v>
      </c>
      <c r="C458" s="122">
        <f t="shared" si="122"/>
        <v>600000</v>
      </c>
      <c r="D458" s="111">
        <f t="shared" si="123"/>
        <v>16</v>
      </c>
      <c r="E458" s="2">
        <f t="shared" si="124"/>
        <v>1450</v>
      </c>
      <c r="F458" s="112">
        <f t="shared" ref="F458:F521" si="132">20000000-C458</f>
        <v>19400000</v>
      </c>
      <c r="G458" s="2">
        <f t="shared" si="125"/>
        <v>419075</v>
      </c>
      <c r="H458" s="113">
        <f t="shared" si="126"/>
        <v>0</v>
      </c>
      <c r="I458" s="121">
        <f t="shared" ref="I458:I521" si="133">C458+D458-G458-E458+H458</f>
        <v>179491</v>
      </c>
      <c r="K458" s="123">
        <f t="shared" si="127"/>
        <v>600000</v>
      </c>
      <c r="L458" s="111">
        <f t="shared" si="128"/>
        <v>16</v>
      </c>
      <c r="M458" s="2">
        <f t="shared" si="129"/>
        <v>1450</v>
      </c>
      <c r="N458" s="112">
        <f t="shared" ref="N458:N521" si="134">20000000-K458</f>
        <v>19400000</v>
      </c>
      <c r="O458" s="2">
        <f t="shared" si="130"/>
        <v>419075</v>
      </c>
      <c r="P458" s="113">
        <f t="shared" si="131"/>
        <v>0</v>
      </c>
      <c r="Q458" s="121">
        <f t="shared" ref="Q458:Q521" si="135">K458+L458-O458-M458+P458</f>
        <v>179491</v>
      </c>
    </row>
    <row r="459" spans="2:17" hidden="1" x14ac:dyDescent="0.4">
      <c r="B459" s="110">
        <v>44380</v>
      </c>
      <c r="C459" s="122">
        <f t="shared" ref="C459:C522" si="136">SUMIF($B$6:$B$75,$B459,$D$6:$D$75)+C458</f>
        <v>600000</v>
      </c>
      <c r="D459" s="111">
        <f t="shared" ref="D459:D522" si="137">SUMIF($B$6:$B$75,$B459,$E$6:$E$75)+D458</f>
        <v>16</v>
      </c>
      <c r="E459" s="2">
        <f t="shared" ref="E459:E522" si="138">SUMIF($G$353:$G$376,$B459,$J$353:$J$376)+SUMIF($E$353:$E$376,$B459,$H$353:$H$376)+SUMIF($G$353:$G$376,$B459,$I$353:$I$376)+E458</f>
        <v>1450</v>
      </c>
      <c r="F459" s="112">
        <f t="shared" si="132"/>
        <v>19400000</v>
      </c>
      <c r="G459" s="2">
        <f t="shared" ref="G459:G522" si="139">SUMIF($E$353:$E$376,$B459,$M$353:$M$376)+G458</f>
        <v>419075</v>
      </c>
      <c r="H459" s="113">
        <f t="shared" ref="H459:H522" si="140">SUMIF($G$353:$G$376,$B459,$N$353:$N$376)+H458</f>
        <v>0</v>
      </c>
      <c r="I459" s="121">
        <f t="shared" si="133"/>
        <v>179491</v>
      </c>
      <c r="K459" s="123">
        <f t="shared" ref="K459:K522" si="141">SUMIF($B$6:$B$75,$B459,$D$6:$D$75)+K458</f>
        <v>600000</v>
      </c>
      <c r="L459" s="111">
        <f t="shared" ref="L459:L522" si="142">SUMIF($B$6:$B$75,$B459,$E$6:$E$75)+L458</f>
        <v>16</v>
      </c>
      <c r="M459" s="2">
        <f t="shared" ref="M459:M522" si="143">SUMIF($G$353:$G$376,$B459,$J$353:$J$376)+SUMIF($E$353:$E$376,$B459,$H$353:$H$376)+SUMIF($G$353:$G$376,$B459,$I$353:$I$376)+M458</f>
        <v>1450</v>
      </c>
      <c r="N459" s="112">
        <f t="shared" si="134"/>
        <v>19400000</v>
      </c>
      <c r="O459" s="2">
        <f t="shared" ref="O459:O522" si="144">SUMIF($E$353:$E$376,$B459,$M$353:$M$376)+O458</f>
        <v>419075</v>
      </c>
      <c r="P459" s="113">
        <f t="shared" ref="P459:P522" si="145">SUMIF($G$353:$G$376,$B459,$N$353:$N$376)+P458</f>
        <v>0</v>
      </c>
      <c r="Q459" s="121">
        <f t="shared" si="135"/>
        <v>179491</v>
      </c>
    </row>
    <row r="460" spans="2:17" hidden="1" x14ac:dyDescent="0.4">
      <c r="B460" s="110">
        <v>44381</v>
      </c>
      <c r="C460" s="122">
        <f t="shared" si="136"/>
        <v>600000</v>
      </c>
      <c r="D460" s="111">
        <f t="shared" si="137"/>
        <v>16</v>
      </c>
      <c r="E460" s="2">
        <f t="shared" si="138"/>
        <v>1450</v>
      </c>
      <c r="F460" s="112">
        <f t="shared" si="132"/>
        <v>19400000</v>
      </c>
      <c r="G460" s="2">
        <f t="shared" si="139"/>
        <v>419075</v>
      </c>
      <c r="H460" s="113">
        <f t="shared" si="140"/>
        <v>0</v>
      </c>
      <c r="I460" s="121">
        <f t="shared" si="133"/>
        <v>179491</v>
      </c>
      <c r="K460" s="123">
        <f t="shared" si="141"/>
        <v>600000</v>
      </c>
      <c r="L460" s="111">
        <f t="shared" si="142"/>
        <v>16</v>
      </c>
      <c r="M460" s="2">
        <f t="shared" si="143"/>
        <v>1450</v>
      </c>
      <c r="N460" s="112">
        <f t="shared" si="134"/>
        <v>19400000</v>
      </c>
      <c r="O460" s="2">
        <f t="shared" si="144"/>
        <v>419075</v>
      </c>
      <c r="P460" s="113">
        <f t="shared" si="145"/>
        <v>0</v>
      </c>
      <c r="Q460" s="121">
        <f t="shared" si="135"/>
        <v>179491</v>
      </c>
    </row>
    <row r="461" spans="2:17" hidden="1" x14ac:dyDescent="0.4">
      <c r="B461" s="110">
        <v>44382</v>
      </c>
      <c r="C461" s="122">
        <f t="shared" si="136"/>
        <v>600000</v>
      </c>
      <c r="D461" s="111">
        <f t="shared" si="137"/>
        <v>16</v>
      </c>
      <c r="E461" s="2">
        <f t="shared" si="138"/>
        <v>1450</v>
      </c>
      <c r="F461" s="112">
        <f t="shared" si="132"/>
        <v>19400000</v>
      </c>
      <c r="G461" s="2">
        <f t="shared" si="139"/>
        <v>419075</v>
      </c>
      <c r="H461" s="113">
        <f t="shared" si="140"/>
        <v>0</v>
      </c>
      <c r="I461" s="121">
        <f t="shared" si="133"/>
        <v>179491</v>
      </c>
      <c r="K461" s="123">
        <f t="shared" si="141"/>
        <v>600000</v>
      </c>
      <c r="L461" s="111">
        <f t="shared" si="142"/>
        <v>16</v>
      </c>
      <c r="M461" s="2">
        <f t="shared" si="143"/>
        <v>1450</v>
      </c>
      <c r="N461" s="112">
        <f t="shared" si="134"/>
        <v>19400000</v>
      </c>
      <c r="O461" s="2">
        <f t="shared" si="144"/>
        <v>419075</v>
      </c>
      <c r="P461" s="113">
        <f t="shared" si="145"/>
        <v>0</v>
      </c>
      <c r="Q461" s="121">
        <f t="shared" si="135"/>
        <v>179491</v>
      </c>
    </row>
    <row r="462" spans="2:17" hidden="1" x14ac:dyDescent="0.4">
      <c r="B462" s="110">
        <v>44383</v>
      </c>
      <c r="C462" s="122">
        <f t="shared" si="136"/>
        <v>600000</v>
      </c>
      <c r="D462" s="111">
        <f t="shared" si="137"/>
        <v>16</v>
      </c>
      <c r="E462" s="2">
        <f t="shared" si="138"/>
        <v>1450</v>
      </c>
      <c r="F462" s="112">
        <f t="shared" si="132"/>
        <v>19400000</v>
      </c>
      <c r="G462" s="2">
        <f t="shared" si="139"/>
        <v>419075</v>
      </c>
      <c r="H462" s="113">
        <f t="shared" si="140"/>
        <v>0</v>
      </c>
      <c r="I462" s="121">
        <f t="shared" si="133"/>
        <v>179491</v>
      </c>
      <c r="K462" s="123">
        <f t="shared" si="141"/>
        <v>600000</v>
      </c>
      <c r="L462" s="111">
        <f t="shared" si="142"/>
        <v>16</v>
      </c>
      <c r="M462" s="2">
        <f t="shared" si="143"/>
        <v>1450</v>
      </c>
      <c r="N462" s="112">
        <f t="shared" si="134"/>
        <v>19400000</v>
      </c>
      <c r="O462" s="2">
        <f t="shared" si="144"/>
        <v>419075</v>
      </c>
      <c r="P462" s="113">
        <f t="shared" si="145"/>
        <v>0</v>
      </c>
      <c r="Q462" s="121">
        <f t="shared" si="135"/>
        <v>179491</v>
      </c>
    </row>
    <row r="463" spans="2:17" hidden="1" x14ac:dyDescent="0.4">
      <c r="B463" s="110">
        <v>44384</v>
      </c>
      <c r="C463" s="122">
        <f t="shared" si="136"/>
        <v>600000</v>
      </c>
      <c r="D463" s="111">
        <f t="shared" si="137"/>
        <v>16</v>
      </c>
      <c r="E463" s="2">
        <f t="shared" si="138"/>
        <v>1450</v>
      </c>
      <c r="F463" s="112">
        <f t="shared" si="132"/>
        <v>19400000</v>
      </c>
      <c r="G463" s="2">
        <f t="shared" si="139"/>
        <v>419075</v>
      </c>
      <c r="H463" s="113">
        <f t="shared" si="140"/>
        <v>0</v>
      </c>
      <c r="I463" s="121">
        <f t="shared" si="133"/>
        <v>179491</v>
      </c>
      <c r="K463" s="123">
        <f t="shared" si="141"/>
        <v>600000</v>
      </c>
      <c r="L463" s="111">
        <f t="shared" si="142"/>
        <v>16</v>
      </c>
      <c r="M463" s="2">
        <f t="shared" si="143"/>
        <v>1450</v>
      </c>
      <c r="N463" s="112">
        <f t="shared" si="134"/>
        <v>19400000</v>
      </c>
      <c r="O463" s="2">
        <f t="shared" si="144"/>
        <v>419075</v>
      </c>
      <c r="P463" s="113">
        <f t="shared" si="145"/>
        <v>0</v>
      </c>
      <c r="Q463" s="121">
        <f t="shared" si="135"/>
        <v>179491</v>
      </c>
    </row>
    <row r="464" spans="2:17" hidden="1" x14ac:dyDescent="0.4">
      <c r="B464" s="110">
        <v>44385</v>
      </c>
      <c r="C464" s="122">
        <f t="shared" si="136"/>
        <v>600000</v>
      </c>
      <c r="D464" s="111">
        <f t="shared" si="137"/>
        <v>16</v>
      </c>
      <c r="E464" s="2">
        <f t="shared" si="138"/>
        <v>1450</v>
      </c>
      <c r="F464" s="112">
        <f t="shared" si="132"/>
        <v>19400000</v>
      </c>
      <c r="G464" s="2">
        <f t="shared" si="139"/>
        <v>419075</v>
      </c>
      <c r="H464" s="113">
        <f t="shared" si="140"/>
        <v>0</v>
      </c>
      <c r="I464" s="121">
        <f t="shared" si="133"/>
        <v>179491</v>
      </c>
      <c r="K464" s="123">
        <f t="shared" si="141"/>
        <v>600000</v>
      </c>
      <c r="L464" s="111">
        <f t="shared" si="142"/>
        <v>16</v>
      </c>
      <c r="M464" s="2">
        <f t="shared" si="143"/>
        <v>1450</v>
      </c>
      <c r="N464" s="112">
        <f t="shared" si="134"/>
        <v>19400000</v>
      </c>
      <c r="O464" s="2">
        <f t="shared" si="144"/>
        <v>419075</v>
      </c>
      <c r="P464" s="113">
        <f t="shared" si="145"/>
        <v>0</v>
      </c>
      <c r="Q464" s="121">
        <f t="shared" si="135"/>
        <v>179491</v>
      </c>
    </row>
    <row r="465" spans="2:17" hidden="1" x14ac:dyDescent="0.4">
      <c r="B465" s="110">
        <v>44386</v>
      </c>
      <c r="C465" s="122">
        <f t="shared" si="136"/>
        <v>600000</v>
      </c>
      <c r="D465" s="111">
        <f t="shared" si="137"/>
        <v>16</v>
      </c>
      <c r="E465" s="2">
        <f t="shared" si="138"/>
        <v>1450</v>
      </c>
      <c r="F465" s="112">
        <f t="shared" si="132"/>
        <v>19400000</v>
      </c>
      <c r="G465" s="2">
        <f t="shared" si="139"/>
        <v>419075</v>
      </c>
      <c r="H465" s="113">
        <f t="shared" si="140"/>
        <v>0</v>
      </c>
      <c r="I465" s="121">
        <f t="shared" si="133"/>
        <v>179491</v>
      </c>
      <c r="K465" s="123">
        <f t="shared" si="141"/>
        <v>600000</v>
      </c>
      <c r="L465" s="111">
        <f t="shared" si="142"/>
        <v>16</v>
      </c>
      <c r="M465" s="2">
        <f t="shared" si="143"/>
        <v>1450</v>
      </c>
      <c r="N465" s="112">
        <f t="shared" si="134"/>
        <v>19400000</v>
      </c>
      <c r="O465" s="2">
        <f t="shared" si="144"/>
        <v>419075</v>
      </c>
      <c r="P465" s="113">
        <f t="shared" si="145"/>
        <v>0</v>
      </c>
      <c r="Q465" s="121">
        <f t="shared" si="135"/>
        <v>179491</v>
      </c>
    </row>
    <row r="466" spans="2:17" hidden="1" x14ac:dyDescent="0.4">
      <c r="B466" s="110">
        <v>44387</v>
      </c>
      <c r="C466" s="122">
        <f t="shared" si="136"/>
        <v>600000</v>
      </c>
      <c r="D466" s="111">
        <f t="shared" si="137"/>
        <v>16</v>
      </c>
      <c r="E466" s="2">
        <f t="shared" si="138"/>
        <v>1450</v>
      </c>
      <c r="F466" s="112">
        <f t="shared" si="132"/>
        <v>19400000</v>
      </c>
      <c r="G466" s="2">
        <f t="shared" si="139"/>
        <v>419075</v>
      </c>
      <c r="H466" s="113">
        <f t="shared" si="140"/>
        <v>0</v>
      </c>
      <c r="I466" s="121">
        <f t="shared" si="133"/>
        <v>179491</v>
      </c>
      <c r="K466" s="123">
        <f t="shared" si="141"/>
        <v>600000</v>
      </c>
      <c r="L466" s="111">
        <f t="shared" si="142"/>
        <v>16</v>
      </c>
      <c r="M466" s="2">
        <f t="shared" si="143"/>
        <v>1450</v>
      </c>
      <c r="N466" s="112">
        <f t="shared" si="134"/>
        <v>19400000</v>
      </c>
      <c r="O466" s="2">
        <f t="shared" si="144"/>
        <v>419075</v>
      </c>
      <c r="P466" s="113">
        <f t="shared" si="145"/>
        <v>0</v>
      </c>
      <c r="Q466" s="121">
        <f t="shared" si="135"/>
        <v>179491</v>
      </c>
    </row>
    <row r="467" spans="2:17" hidden="1" x14ac:dyDescent="0.4">
      <c r="B467" s="110">
        <v>44388</v>
      </c>
      <c r="C467" s="122">
        <f t="shared" si="136"/>
        <v>600000</v>
      </c>
      <c r="D467" s="111">
        <f t="shared" si="137"/>
        <v>16</v>
      </c>
      <c r="E467" s="2">
        <f t="shared" si="138"/>
        <v>1450</v>
      </c>
      <c r="F467" s="112">
        <f t="shared" si="132"/>
        <v>19400000</v>
      </c>
      <c r="G467" s="2">
        <f t="shared" si="139"/>
        <v>419075</v>
      </c>
      <c r="H467" s="113">
        <f t="shared" si="140"/>
        <v>0</v>
      </c>
      <c r="I467" s="121">
        <f t="shared" si="133"/>
        <v>179491</v>
      </c>
      <c r="K467" s="123">
        <f t="shared" si="141"/>
        <v>600000</v>
      </c>
      <c r="L467" s="111">
        <f t="shared" si="142"/>
        <v>16</v>
      </c>
      <c r="M467" s="2">
        <f t="shared" si="143"/>
        <v>1450</v>
      </c>
      <c r="N467" s="112">
        <f t="shared" si="134"/>
        <v>19400000</v>
      </c>
      <c r="O467" s="2">
        <f t="shared" si="144"/>
        <v>419075</v>
      </c>
      <c r="P467" s="113">
        <f t="shared" si="145"/>
        <v>0</v>
      </c>
      <c r="Q467" s="121">
        <f t="shared" si="135"/>
        <v>179491</v>
      </c>
    </row>
    <row r="468" spans="2:17" hidden="1" x14ac:dyDescent="0.4">
      <c r="B468" s="110">
        <v>44389</v>
      </c>
      <c r="C468" s="122">
        <f t="shared" si="136"/>
        <v>600000</v>
      </c>
      <c r="D468" s="111">
        <f t="shared" si="137"/>
        <v>16</v>
      </c>
      <c r="E468" s="2">
        <f t="shared" si="138"/>
        <v>1450</v>
      </c>
      <c r="F468" s="112">
        <f t="shared" si="132"/>
        <v>19400000</v>
      </c>
      <c r="G468" s="2">
        <f t="shared" si="139"/>
        <v>419075</v>
      </c>
      <c r="H468" s="113">
        <f t="shared" si="140"/>
        <v>0</v>
      </c>
      <c r="I468" s="121">
        <f t="shared" si="133"/>
        <v>179491</v>
      </c>
      <c r="K468" s="123">
        <f t="shared" si="141"/>
        <v>600000</v>
      </c>
      <c r="L468" s="111">
        <f t="shared" si="142"/>
        <v>16</v>
      </c>
      <c r="M468" s="2">
        <f t="shared" si="143"/>
        <v>1450</v>
      </c>
      <c r="N468" s="112">
        <f t="shared" si="134"/>
        <v>19400000</v>
      </c>
      <c r="O468" s="2">
        <f t="shared" si="144"/>
        <v>419075</v>
      </c>
      <c r="P468" s="113">
        <f t="shared" si="145"/>
        <v>0</v>
      </c>
      <c r="Q468" s="121">
        <f t="shared" si="135"/>
        <v>179491</v>
      </c>
    </row>
    <row r="469" spans="2:17" hidden="1" x14ac:dyDescent="0.4">
      <c r="B469" s="110">
        <v>44390</v>
      </c>
      <c r="C469" s="122">
        <f t="shared" si="136"/>
        <v>600000</v>
      </c>
      <c r="D469" s="111">
        <f t="shared" si="137"/>
        <v>16</v>
      </c>
      <c r="E469" s="2">
        <f t="shared" si="138"/>
        <v>1450</v>
      </c>
      <c r="F469" s="112">
        <f t="shared" si="132"/>
        <v>19400000</v>
      </c>
      <c r="G469" s="2">
        <f t="shared" si="139"/>
        <v>419075</v>
      </c>
      <c r="H469" s="113">
        <f t="shared" si="140"/>
        <v>0</v>
      </c>
      <c r="I469" s="121">
        <f t="shared" si="133"/>
        <v>179491</v>
      </c>
      <c r="K469" s="123">
        <f t="shared" si="141"/>
        <v>600000</v>
      </c>
      <c r="L469" s="111">
        <f t="shared" si="142"/>
        <v>16</v>
      </c>
      <c r="M469" s="2">
        <f t="shared" si="143"/>
        <v>1450</v>
      </c>
      <c r="N469" s="112">
        <f t="shared" si="134"/>
        <v>19400000</v>
      </c>
      <c r="O469" s="2">
        <f t="shared" si="144"/>
        <v>419075</v>
      </c>
      <c r="P469" s="113">
        <f t="shared" si="145"/>
        <v>0</v>
      </c>
      <c r="Q469" s="121">
        <f t="shared" si="135"/>
        <v>179491</v>
      </c>
    </row>
    <row r="470" spans="2:17" hidden="1" x14ac:dyDescent="0.4">
      <c r="B470" s="110">
        <v>44391</v>
      </c>
      <c r="C470" s="122">
        <f t="shared" si="136"/>
        <v>600000</v>
      </c>
      <c r="D470" s="111">
        <f t="shared" si="137"/>
        <v>16</v>
      </c>
      <c r="E470" s="2">
        <f t="shared" si="138"/>
        <v>1450</v>
      </c>
      <c r="F470" s="112">
        <f t="shared" si="132"/>
        <v>19400000</v>
      </c>
      <c r="G470" s="2">
        <f t="shared" si="139"/>
        <v>419075</v>
      </c>
      <c r="H470" s="113">
        <f t="shared" si="140"/>
        <v>0</v>
      </c>
      <c r="I470" s="121">
        <f t="shared" si="133"/>
        <v>179491</v>
      </c>
      <c r="K470" s="123">
        <f t="shared" si="141"/>
        <v>600000</v>
      </c>
      <c r="L470" s="111">
        <f t="shared" si="142"/>
        <v>16</v>
      </c>
      <c r="M470" s="2">
        <f t="shared" si="143"/>
        <v>1450</v>
      </c>
      <c r="N470" s="112">
        <f t="shared" si="134"/>
        <v>19400000</v>
      </c>
      <c r="O470" s="2">
        <f t="shared" si="144"/>
        <v>419075</v>
      </c>
      <c r="P470" s="113">
        <f t="shared" si="145"/>
        <v>0</v>
      </c>
      <c r="Q470" s="121">
        <f t="shared" si="135"/>
        <v>179491</v>
      </c>
    </row>
    <row r="471" spans="2:17" hidden="1" x14ac:dyDescent="0.4">
      <c r="B471" s="110">
        <v>44392</v>
      </c>
      <c r="C471" s="122">
        <f t="shared" si="136"/>
        <v>600000</v>
      </c>
      <c r="D471" s="111">
        <f t="shared" si="137"/>
        <v>16</v>
      </c>
      <c r="E471" s="2">
        <f t="shared" si="138"/>
        <v>1450</v>
      </c>
      <c r="F471" s="112">
        <f t="shared" si="132"/>
        <v>19400000</v>
      </c>
      <c r="G471" s="2">
        <f t="shared" si="139"/>
        <v>419075</v>
      </c>
      <c r="H471" s="113">
        <f t="shared" si="140"/>
        <v>0</v>
      </c>
      <c r="I471" s="121">
        <f t="shared" si="133"/>
        <v>179491</v>
      </c>
      <c r="K471" s="123">
        <f t="shared" si="141"/>
        <v>600000</v>
      </c>
      <c r="L471" s="111">
        <f t="shared" si="142"/>
        <v>16</v>
      </c>
      <c r="M471" s="2">
        <f t="shared" si="143"/>
        <v>1450</v>
      </c>
      <c r="N471" s="112">
        <f t="shared" si="134"/>
        <v>19400000</v>
      </c>
      <c r="O471" s="2">
        <f t="shared" si="144"/>
        <v>419075</v>
      </c>
      <c r="P471" s="113">
        <f t="shared" si="145"/>
        <v>0</v>
      </c>
      <c r="Q471" s="121">
        <f t="shared" si="135"/>
        <v>179491</v>
      </c>
    </row>
    <row r="472" spans="2:17" hidden="1" x14ac:dyDescent="0.4">
      <c r="B472" s="110">
        <v>44393</v>
      </c>
      <c r="C472" s="122">
        <f t="shared" si="136"/>
        <v>600000</v>
      </c>
      <c r="D472" s="111">
        <f t="shared" si="137"/>
        <v>16</v>
      </c>
      <c r="E472" s="2">
        <f t="shared" si="138"/>
        <v>1450</v>
      </c>
      <c r="F472" s="112">
        <f t="shared" si="132"/>
        <v>19400000</v>
      </c>
      <c r="G472" s="2">
        <f t="shared" si="139"/>
        <v>419075</v>
      </c>
      <c r="H472" s="113">
        <f t="shared" si="140"/>
        <v>0</v>
      </c>
      <c r="I472" s="121">
        <f t="shared" si="133"/>
        <v>179491</v>
      </c>
      <c r="K472" s="123">
        <f t="shared" si="141"/>
        <v>600000</v>
      </c>
      <c r="L472" s="111">
        <f t="shared" si="142"/>
        <v>16</v>
      </c>
      <c r="M472" s="2">
        <f t="shared" si="143"/>
        <v>1450</v>
      </c>
      <c r="N472" s="112">
        <f t="shared" si="134"/>
        <v>19400000</v>
      </c>
      <c r="O472" s="2">
        <f t="shared" si="144"/>
        <v>419075</v>
      </c>
      <c r="P472" s="113">
        <f t="shared" si="145"/>
        <v>0</v>
      </c>
      <c r="Q472" s="121">
        <f t="shared" si="135"/>
        <v>179491</v>
      </c>
    </row>
    <row r="473" spans="2:17" hidden="1" x14ac:dyDescent="0.4">
      <c r="B473" s="110">
        <v>44394</v>
      </c>
      <c r="C473" s="122">
        <f t="shared" si="136"/>
        <v>600000</v>
      </c>
      <c r="D473" s="111">
        <f t="shared" si="137"/>
        <v>16</v>
      </c>
      <c r="E473" s="2">
        <f t="shared" si="138"/>
        <v>1450</v>
      </c>
      <c r="F473" s="112">
        <f t="shared" si="132"/>
        <v>19400000</v>
      </c>
      <c r="G473" s="2">
        <f t="shared" si="139"/>
        <v>419075</v>
      </c>
      <c r="H473" s="113">
        <f t="shared" si="140"/>
        <v>0</v>
      </c>
      <c r="I473" s="121">
        <f t="shared" si="133"/>
        <v>179491</v>
      </c>
      <c r="K473" s="123">
        <f t="shared" si="141"/>
        <v>600000</v>
      </c>
      <c r="L473" s="111">
        <f t="shared" si="142"/>
        <v>16</v>
      </c>
      <c r="M473" s="2">
        <f t="shared" si="143"/>
        <v>1450</v>
      </c>
      <c r="N473" s="112">
        <f t="shared" si="134"/>
        <v>19400000</v>
      </c>
      <c r="O473" s="2">
        <f t="shared" si="144"/>
        <v>419075</v>
      </c>
      <c r="P473" s="113">
        <f t="shared" si="145"/>
        <v>0</v>
      </c>
      <c r="Q473" s="121">
        <f t="shared" si="135"/>
        <v>179491</v>
      </c>
    </row>
    <row r="474" spans="2:17" hidden="1" x14ac:dyDescent="0.4">
      <c r="B474" s="110">
        <v>44395</v>
      </c>
      <c r="C474" s="122">
        <f t="shared" si="136"/>
        <v>600000</v>
      </c>
      <c r="D474" s="111">
        <f t="shared" si="137"/>
        <v>16</v>
      </c>
      <c r="E474" s="2">
        <f t="shared" si="138"/>
        <v>1450</v>
      </c>
      <c r="F474" s="112">
        <f t="shared" si="132"/>
        <v>19400000</v>
      </c>
      <c r="G474" s="2">
        <f t="shared" si="139"/>
        <v>419075</v>
      </c>
      <c r="H474" s="113">
        <f t="shared" si="140"/>
        <v>0</v>
      </c>
      <c r="I474" s="121">
        <f t="shared" si="133"/>
        <v>179491</v>
      </c>
      <c r="K474" s="123">
        <f t="shared" si="141"/>
        <v>600000</v>
      </c>
      <c r="L474" s="111">
        <f t="shared" si="142"/>
        <v>16</v>
      </c>
      <c r="M474" s="2">
        <f t="shared" si="143"/>
        <v>1450</v>
      </c>
      <c r="N474" s="112">
        <f t="shared" si="134"/>
        <v>19400000</v>
      </c>
      <c r="O474" s="2">
        <f t="shared" si="144"/>
        <v>419075</v>
      </c>
      <c r="P474" s="113">
        <f t="shared" si="145"/>
        <v>0</v>
      </c>
      <c r="Q474" s="121">
        <f t="shared" si="135"/>
        <v>179491</v>
      </c>
    </row>
    <row r="475" spans="2:17" hidden="1" x14ac:dyDescent="0.4">
      <c r="B475" s="110">
        <v>44396</v>
      </c>
      <c r="C475" s="122">
        <f t="shared" si="136"/>
        <v>600000</v>
      </c>
      <c r="D475" s="111">
        <f t="shared" si="137"/>
        <v>16</v>
      </c>
      <c r="E475" s="2">
        <f t="shared" si="138"/>
        <v>1450</v>
      </c>
      <c r="F475" s="112">
        <f t="shared" si="132"/>
        <v>19400000</v>
      </c>
      <c r="G475" s="2">
        <f t="shared" si="139"/>
        <v>419075</v>
      </c>
      <c r="H475" s="113">
        <f t="shared" si="140"/>
        <v>0</v>
      </c>
      <c r="I475" s="121">
        <f t="shared" si="133"/>
        <v>179491</v>
      </c>
      <c r="K475" s="123">
        <f t="shared" si="141"/>
        <v>600000</v>
      </c>
      <c r="L475" s="111">
        <f t="shared" si="142"/>
        <v>16</v>
      </c>
      <c r="M475" s="2">
        <f t="shared" si="143"/>
        <v>1450</v>
      </c>
      <c r="N475" s="112">
        <f t="shared" si="134"/>
        <v>19400000</v>
      </c>
      <c r="O475" s="2">
        <f t="shared" si="144"/>
        <v>419075</v>
      </c>
      <c r="P475" s="113">
        <f t="shared" si="145"/>
        <v>0</v>
      </c>
      <c r="Q475" s="121">
        <f t="shared" si="135"/>
        <v>179491</v>
      </c>
    </row>
    <row r="476" spans="2:17" hidden="1" x14ac:dyDescent="0.4">
      <c r="B476" s="110">
        <v>44397</v>
      </c>
      <c r="C476" s="122">
        <f t="shared" si="136"/>
        <v>600000</v>
      </c>
      <c r="D476" s="111">
        <f t="shared" si="137"/>
        <v>16</v>
      </c>
      <c r="E476" s="2">
        <f t="shared" si="138"/>
        <v>1450</v>
      </c>
      <c r="F476" s="112">
        <f t="shared" si="132"/>
        <v>19400000</v>
      </c>
      <c r="G476" s="2">
        <f t="shared" si="139"/>
        <v>419075</v>
      </c>
      <c r="H476" s="113">
        <f t="shared" si="140"/>
        <v>0</v>
      </c>
      <c r="I476" s="121">
        <f t="shared" si="133"/>
        <v>179491</v>
      </c>
      <c r="K476" s="123">
        <f t="shared" si="141"/>
        <v>600000</v>
      </c>
      <c r="L476" s="111">
        <f t="shared" si="142"/>
        <v>16</v>
      </c>
      <c r="M476" s="2">
        <f t="shared" si="143"/>
        <v>1450</v>
      </c>
      <c r="N476" s="112">
        <f t="shared" si="134"/>
        <v>19400000</v>
      </c>
      <c r="O476" s="2">
        <f t="shared" si="144"/>
        <v>419075</v>
      </c>
      <c r="P476" s="113">
        <f t="shared" si="145"/>
        <v>0</v>
      </c>
      <c r="Q476" s="121">
        <f t="shared" si="135"/>
        <v>179491</v>
      </c>
    </row>
    <row r="477" spans="2:17" hidden="1" x14ac:dyDescent="0.4">
      <c r="B477" s="110">
        <v>44398</v>
      </c>
      <c r="C477" s="122">
        <f t="shared" si="136"/>
        <v>600000</v>
      </c>
      <c r="D477" s="111">
        <f t="shared" si="137"/>
        <v>16</v>
      </c>
      <c r="E477" s="2">
        <f t="shared" si="138"/>
        <v>1450</v>
      </c>
      <c r="F477" s="112">
        <f t="shared" si="132"/>
        <v>19400000</v>
      </c>
      <c r="G477" s="2">
        <f t="shared" si="139"/>
        <v>419075</v>
      </c>
      <c r="H477" s="113">
        <f t="shared" si="140"/>
        <v>0</v>
      </c>
      <c r="I477" s="121">
        <f t="shared" si="133"/>
        <v>179491</v>
      </c>
      <c r="K477" s="123">
        <f t="shared" si="141"/>
        <v>600000</v>
      </c>
      <c r="L477" s="111">
        <f t="shared" si="142"/>
        <v>16</v>
      </c>
      <c r="M477" s="2">
        <f t="shared" si="143"/>
        <v>1450</v>
      </c>
      <c r="N477" s="112">
        <f t="shared" si="134"/>
        <v>19400000</v>
      </c>
      <c r="O477" s="2">
        <f t="shared" si="144"/>
        <v>419075</v>
      </c>
      <c r="P477" s="113">
        <f t="shared" si="145"/>
        <v>0</v>
      </c>
      <c r="Q477" s="121">
        <f t="shared" si="135"/>
        <v>179491</v>
      </c>
    </row>
    <row r="478" spans="2:17" hidden="1" x14ac:dyDescent="0.4">
      <c r="B478" s="110">
        <v>44399</v>
      </c>
      <c r="C478" s="122">
        <f t="shared" si="136"/>
        <v>600000</v>
      </c>
      <c r="D478" s="111">
        <f t="shared" si="137"/>
        <v>16</v>
      </c>
      <c r="E478" s="2">
        <f t="shared" si="138"/>
        <v>1450</v>
      </c>
      <c r="F478" s="112">
        <f t="shared" si="132"/>
        <v>19400000</v>
      </c>
      <c r="G478" s="2">
        <f t="shared" si="139"/>
        <v>419075</v>
      </c>
      <c r="H478" s="113">
        <f t="shared" si="140"/>
        <v>0</v>
      </c>
      <c r="I478" s="121">
        <f t="shared" si="133"/>
        <v>179491</v>
      </c>
      <c r="K478" s="123">
        <f t="shared" si="141"/>
        <v>600000</v>
      </c>
      <c r="L478" s="111">
        <f t="shared" si="142"/>
        <v>16</v>
      </c>
      <c r="M478" s="2">
        <f t="shared" si="143"/>
        <v>1450</v>
      </c>
      <c r="N478" s="112">
        <f t="shared" si="134"/>
        <v>19400000</v>
      </c>
      <c r="O478" s="2">
        <f t="shared" si="144"/>
        <v>419075</v>
      </c>
      <c r="P478" s="113">
        <f t="shared" si="145"/>
        <v>0</v>
      </c>
      <c r="Q478" s="121">
        <f t="shared" si="135"/>
        <v>179491</v>
      </c>
    </row>
    <row r="479" spans="2:17" hidden="1" x14ac:dyDescent="0.4">
      <c r="B479" s="110">
        <v>44400</v>
      </c>
      <c r="C479" s="122">
        <f t="shared" si="136"/>
        <v>700000</v>
      </c>
      <c r="D479" s="111">
        <f t="shared" si="137"/>
        <v>16</v>
      </c>
      <c r="E479" s="2">
        <f t="shared" si="138"/>
        <v>1450</v>
      </c>
      <c r="F479" s="112">
        <f t="shared" si="132"/>
        <v>19300000</v>
      </c>
      <c r="G479" s="2">
        <f t="shared" si="139"/>
        <v>419075</v>
      </c>
      <c r="H479" s="113">
        <f t="shared" si="140"/>
        <v>0</v>
      </c>
      <c r="I479" s="121">
        <f t="shared" si="133"/>
        <v>279491</v>
      </c>
      <c r="K479" s="123">
        <f t="shared" si="141"/>
        <v>700000</v>
      </c>
      <c r="L479" s="111">
        <f t="shared" si="142"/>
        <v>16</v>
      </c>
      <c r="M479" s="2">
        <f t="shared" si="143"/>
        <v>1450</v>
      </c>
      <c r="N479" s="112">
        <f t="shared" si="134"/>
        <v>19300000</v>
      </c>
      <c r="O479" s="2">
        <f t="shared" si="144"/>
        <v>419075</v>
      </c>
      <c r="P479" s="113">
        <f t="shared" si="145"/>
        <v>0</v>
      </c>
      <c r="Q479" s="121">
        <f t="shared" si="135"/>
        <v>279491</v>
      </c>
    </row>
    <row r="480" spans="2:17" hidden="1" x14ac:dyDescent="0.4">
      <c r="B480" s="110">
        <v>44401</v>
      </c>
      <c r="C480" s="122">
        <f t="shared" si="136"/>
        <v>700000</v>
      </c>
      <c r="D480" s="111">
        <f t="shared" si="137"/>
        <v>16</v>
      </c>
      <c r="E480" s="2">
        <f t="shared" si="138"/>
        <v>1450</v>
      </c>
      <c r="F480" s="112">
        <f t="shared" si="132"/>
        <v>19300000</v>
      </c>
      <c r="G480" s="2">
        <f t="shared" si="139"/>
        <v>419075</v>
      </c>
      <c r="H480" s="113">
        <f t="shared" si="140"/>
        <v>0</v>
      </c>
      <c r="I480" s="121">
        <f t="shared" si="133"/>
        <v>279491</v>
      </c>
      <c r="K480" s="123">
        <f t="shared" si="141"/>
        <v>700000</v>
      </c>
      <c r="L480" s="111">
        <f t="shared" si="142"/>
        <v>16</v>
      </c>
      <c r="M480" s="2">
        <f t="shared" si="143"/>
        <v>1450</v>
      </c>
      <c r="N480" s="112">
        <f t="shared" si="134"/>
        <v>19300000</v>
      </c>
      <c r="O480" s="2">
        <f t="shared" si="144"/>
        <v>419075</v>
      </c>
      <c r="P480" s="113">
        <f t="shared" si="145"/>
        <v>0</v>
      </c>
      <c r="Q480" s="121">
        <f t="shared" si="135"/>
        <v>279491</v>
      </c>
    </row>
    <row r="481" spans="2:17" hidden="1" x14ac:dyDescent="0.4">
      <c r="B481" s="110">
        <v>44402</v>
      </c>
      <c r="C481" s="122">
        <f t="shared" si="136"/>
        <v>700000</v>
      </c>
      <c r="D481" s="111">
        <f t="shared" si="137"/>
        <v>16</v>
      </c>
      <c r="E481" s="2">
        <f t="shared" si="138"/>
        <v>1450</v>
      </c>
      <c r="F481" s="112">
        <f t="shared" si="132"/>
        <v>19300000</v>
      </c>
      <c r="G481" s="2">
        <f t="shared" si="139"/>
        <v>419075</v>
      </c>
      <c r="H481" s="113">
        <f t="shared" si="140"/>
        <v>0</v>
      </c>
      <c r="I481" s="121">
        <f t="shared" si="133"/>
        <v>279491</v>
      </c>
      <c r="K481" s="123">
        <f t="shared" si="141"/>
        <v>700000</v>
      </c>
      <c r="L481" s="111">
        <f t="shared" si="142"/>
        <v>16</v>
      </c>
      <c r="M481" s="2">
        <f t="shared" si="143"/>
        <v>1450</v>
      </c>
      <c r="N481" s="112">
        <f t="shared" si="134"/>
        <v>19300000</v>
      </c>
      <c r="O481" s="2">
        <f t="shared" si="144"/>
        <v>419075</v>
      </c>
      <c r="P481" s="113">
        <f t="shared" si="145"/>
        <v>0</v>
      </c>
      <c r="Q481" s="121">
        <f t="shared" si="135"/>
        <v>279491</v>
      </c>
    </row>
    <row r="482" spans="2:17" hidden="1" x14ac:dyDescent="0.4">
      <c r="B482" s="110">
        <v>44403</v>
      </c>
      <c r="C482" s="122">
        <f t="shared" si="136"/>
        <v>700000</v>
      </c>
      <c r="D482" s="111">
        <f t="shared" si="137"/>
        <v>16</v>
      </c>
      <c r="E482" s="2">
        <f t="shared" si="138"/>
        <v>1450</v>
      </c>
      <c r="F482" s="112">
        <f t="shared" si="132"/>
        <v>19300000</v>
      </c>
      <c r="G482" s="2">
        <f t="shared" si="139"/>
        <v>419075</v>
      </c>
      <c r="H482" s="113">
        <f t="shared" si="140"/>
        <v>0</v>
      </c>
      <c r="I482" s="121">
        <f t="shared" si="133"/>
        <v>279491</v>
      </c>
      <c r="K482" s="123">
        <f t="shared" si="141"/>
        <v>700000</v>
      </c>
      <c r="L482" s="111">
        <f t="shared" si="142"/>
        <v>16</v>
      </c>
      <c r="M482" s="2">
        <f t="shared" si="143"/>
        <v>1450</v>
      </c>
      <c r="N482" s="112">
        <f t="shared" si="134"/>
        <v>19300000</v>
      </c>
      <c r="O482" s="2">
        <f t="shared" si="144"/>
        <v>419075</v>
      </c>
      <c r="P482" s="113">
        <f t="shared" si="145"/>
        <v>0</v>
      </c>
      <c r="Q482" s="121">
        <f t="shared" si="135"/>
        <v>279491</v>
      </c>
    </row>
    <row r="483" spans="2:17" hidden="1" x14ac:dyDescent="0.4">
      <c r="B483" s="110">
        <v>44404</v>
      </c>
      <c r="C483" s="122">
        <f t="shared" si="136"/>
        <v>700000</v>
      </c>
      <c r="D483" s="111">
        <f t="shared" si="137"/>
        <v>16</v>
      </c>
      <c r="E483" s="2">
        <f t="shared" si="138"/>
        <v>1450</v>
      </c>
      <c r="F483" s="112">
        <f t="shared" si="132"/>
        <v>19300000</v>
      </c>
      <c r="G483" s="2">
        <f t="shared" si="139"/>
        <v>419075</v>
      </c>
      <c r="H483" s="113">
        <f t="shared" si="140"/>
        <v>0</v>
      </c>
      <c r="I483" s="121">
        <f t="shared" si="133"/>
        <v>279491</v>
      </c>
      <c r="K483" s="123">
        <f t="shared" si="141"/>
        <v>700000</v>
      </c>
      <c r="L483" s="111">
        <f t="shared" si="142"/>
        <v>16</v>
      </c>
      <c r="M483" s="2">
        <f t="shared" si="143"/>
        <v>1450</v>
      </c>
      <c r="N483" s="112">
        <f t="shared" si="134"/>
        <v>19300000</v>
      </c>
      <c r="O483" s="2">
        <f t="shared" si="144"/>
        <v>419075</v>
      </c>
      <c r="P483" s="113">
        <f t="shared" si="145"/>
        <v>0</v>
      </c>
      <c r="Q483" s="121">
        <f t="shared" si="135"/>
        <v>279491</v>
      </c>
    </row>
    <row r="484" spans="2:17" hidden="1" x14ac:dyDescent="0.4">
      <c r="B484" s="110">
        <v>44405</v>
      </c>
      <c r="C484" s="122">
        <f t="shared" si="136"/>
        <v>700000</v>
      </c>
      <c r="D484" s="111">
        <f t="shared" si="137"/>
        <v>16</v>
      </c>
      <c r="E484" s="2">
        <f t="shared" si="138"/>
        <v>1450</v>
      </c>
      <c r="F484" s="112">
        <f t="shared" si="132"/>
        <v>19300000</v>
      </c>
      <c r="G484" s="2">
        <f t="shared" si="139"/>
        <v>419075</v>
      </c>
      <c r="H484" s="113">
        <f t="shared" si="140"/>
        <v>0</v>
      </c>
      <c r="I484" s="121">
        <f t="shared" si="133"/>
        <v>279491</v>
      </c>
      <c r="K484" s="123">
        <f t="shared" si="141"/>
        <v>700000</v>
      </c>
      <c r="L484" s="111">
        <f t="shared" si="142"/>
        <v>16</v>
      </c>
      <c r="M484" s="2">
        <f t="shared" si="143"/>
        <v>1450</v>
      </c>
      <c r="N484" s="112">
        <f t="shared" si="134"/>
        <v>19300000</v>
      </c>
      <c r="O484" s="2">
        <f t="shared" si="144"/>
        <v>419075</v>
      </c>
      <c r="P484" s="113">
        <f t="shared" si="145"/>
        <v>0</v>
      </c>
      <c r="Q484" s="121">
        <f t="shared" si="135"/>
        <v>279491</v>
      </c>
    </row>
    <row r="485" spans="2:17" hidden="1" x14ac:dyDescent="0.4">
      <c r="B485" s="110">
        <v>44406</v>
      </c>
      <c r="C485" s="122">
        <f t="shared" si="136"/>
        <v>700000</v>
      </c>
      <c r="D485" s="111">
        <f t="shared" si="137"/>
        <v>16</v>
      </c>
      <c r="E485" s="2">
        <f t="shared" si="138"/>
        <v>1450</v>
      </c>
      <c r="F485" s="112">
        <f t="shared" si="132"/>
        <v>19300000</v>
      </c>
      <c r="G485" s="2">
        <f t="shared" si="139"/>
        <v>419075</v>
      </c>
      <c r="H485" s="113">
        <f t="shared" si="140"/>
        <v>0</v>
      </c>
      <c r="I485" s="121">
        <f t="shared" si="133"/>
        <v>279491</v>
      </c>
      <c r="K485" s="123">
        <f t="shared" si="141"/>
        <v>700000</v>
      </c>
      <c r="L485" s="111">
        <f t="shared" si="142"/>
        <v>16</v>
      </c>
      <c r="M485" s="2">
        <f t="shared" si="143"/>
        <v>1450</v>
      </c>
      <c r="N485" s="112">
        <f t="shared" si="134"/>
        <v>19300000</v>
      </c>
      <c r="O485" s="2">
        <f t="shared" si="144"/>
        <v>419075</v>
      </c>
      <c r="P485" s="113">
        <f t="shared" si="145"/>
        <v>0</v>
      </c>
      <c r="Q485" s="121">
        <f t="shared" si="135"/>
        <v>279491</v>
      </c>
    </row>
    <row r="486" spans="2:17" hidden="1" x14ac:dyDescent="0.4">
      <c r="B486" s="110">
        <v>44407</v>
      </c>
      <c r="C486" s="122">
        <f t="shared" si="136"/>
        <v>700000</v>
      </c>
      <c r="D486" s="111">
        <f t="shared" si="137"/>
        <v>16</v>
      </c>
      <c r="E486" s="2">
        <f t="shared" si="138"/>
        <v>1450</v>
      </c>
      <c r="F486" s="112">
        <f t="shared" si="132"/>
        <v>19300000</v>
      </c>
      <c r="G486" s="2">
        <f t="shared" si="139"/>
        <v>419075</v>
      </c>
      <c r="H486" s="113">
        <f t="shared" si="140"/>
        <v>0</v>
      </c>
      <c r="I486" s="121">
        <f t="shared" si="133"/>
        <v>279491</v>
      </c>
      <c r="K486" s="123">
        <f t="shared" si="141"/>
        <v>700000</v>
      </c>
      <c r="L486" s="111">
        <f t="shared" si="142"/>
        <v>16</v>
      </c>
      <c r="M486" s="2">
        <f t="shared" si="143"/>
        <v>1450</v>
      </c>
      <c r="N486" s="112">
        <f t="shared" si="134"/>
        <v>19300000</v>
      </c>
      <c r="O486" s="2">
        <f t="shared" si="144"/>
        <v>419075</v>
      </c>
      <c r="P486" s="113">
        <f t="shared" si="145"/>
        <v>0</v>
      </c>
      <c r="Q486" s="121">
        <f t="shared" si="135"/>
        <v>279491</v>
      </c>
    </row>
    <row r="487" spans="2:17" hidden="1" x14ac:dyDescent="0.4">
      <c r="B487" s="110">
        <v>44408</v>
      </c>
      <c r="C487" s="122">
        <f t="shared" si="136"/>
        <v>700000</v>
      </c>
      <c r="D487" s="111">
        <f t="shared" si="137"/>
        <v>16</v>
      </c>
      <c r="E487" s="2">
        <f t="shared" si="138"/>
        <v>1450</v>
      </c>
      <c r="F487" s="112">
        <f t="shared" si="132"/>
        <v>19300000</v>
      </c>
      <c r="G487" s="2">
        <f t="shared" si="139"/>
        <v>419075</v>
      </c>
      <c r="H487" s="113">
        <f t="shared" si="140"/>
        <v>0</v>
      </c>
      <c r="I487" s="121">
        <f t="shared" si="133"/>
        <v>279491</v>
      </c>
      <c r="K487" s="123">
        <f t="shared" si="141"/>
        <v>700000</v>
      </c>
      <c r="L487" s="111">
        <f t="shared" si="142"/>
        <v>16</v>
      </c>
      <c r="M487" s="2">
        <f t="shared" si="143"/>
        <v>1450</v>
      </c>
      <c r="N487" s="112">
        <f t="shared" si="134"/>
        <v>19300000</v>
      </c>
      <c r="O487" s="2">
        <f t="shared" si="144"/>
        <v>419075</v>
      </c>
      <c r="P487" s="113">
        <f t="shared" si="145"/>
        <v>0</v>
      </c>
      <c r="Q487" s="121">
        <f t="shared" si="135"/>
        <v>279491</v>
      </c>
    </row>
    <row r="488" spans="2:17" x14ac:dyDescent="0.4">
      <c r="B488" s="110">
        <v>44409</v>
      </c>
      <c r="C488" s="122">
        <f t="shared" si="136"/>
        <v>700000</v>
      </c>
      <c r="D488" s="111">
        <f t="shared" si="137"/>
        <v>16</v>
      </c>
      <c r="E488" s="2">
        <f t="shared" si="138"/>
        <v>1450</v>
      </c>
      <c r="F488" s="112">
        <f t="shared" si="132"/>
        <v>19300000</v>
      </c>
      <c r="G488" s="2">
        <f t="shared" si="139"/>
        <v>419075</v>
      </c>
      <c r="H488" s="113">
        <f t="shared" si="140"/>
        <v>0</v>
      </c>
      <c r="I488" s="121">
        <f t="shared" si="133"/>
        <v>279491</v>
      </c>
      <c r="K488" s="123">
        <f t="shared" si="141"/>
        <v>700000</v>
      </c>
      <c r="L488" s="111">
        <f t="shared" si="142"/>
        <v>16</v>
      </c>
      <c r="M488" s="2">
        <f t="shared" si="143"/>
        <v>1450</v>
      </c>
      <c r="N488" s="112">
        <f t="shared" si="134"/>
        <v>19300000</v>
      </c>
      <c r="O488" s="2">
        <f t="shared" si="144"/>
        <v>419075</v>
      </c>
      <c r="P488" s="113">
        <f t="shared" si="145"/>
        <v>0</v>
      </c>
      <c r="Q488" s="121">
        <f t="shared" si="135"/>
        <v>279491</v>
      </c>
    </row>
    <row r="489" spans="2:17" hidden="1" x14ac:dyDescent="0.4">
      <c r="B489" s="110">
        <v>44410</v>
      </c>
      <c r="C489" s="122">
        <f t="shared" si="136"/>
        <v>700000</v>
      </c>
      <c r="D489" s="111">
        <f t="shared" si="137"/>
        <v>16</v>
      </c>
      <c r="E489" s="2">
        <f t="shared" si="138"/>
        <v>1450</v>
      </c>
      <c r="F489" s="112">
        <f t="shared" si="132"/>
        <v>19300000</v>
      </c>
      <c r="G489" s="2">
        <f t="shared" si="139"/>
        <v>419075</v>
      </c>
      <c r="H489" s="113">
        <f t="shared" si="140"/>
        <v>0</v>
      </c>
      <c r="I489" s="121">
        <f t="shared" si="133"/>
        <v>279491</v>
      </c>
      <c r="K489" s="123">
        <f t="shared" si="141"/>
        <v>700000</v>
      </c>
      <c r="L489" s="111">
        <f t="shared" si="142"/>
        <v>16</v>
      </c>
      <c r="M489" s="2">
        <f t="shared" si="143"/>
        <v>1450</v>
      </c>
      <c r="N489" s="112">
        <f t="shared" si="134"/>
        <v>19300000</v>
      </c>
      <c r="O489" s="2">
        <f t="shared" si="144"/>
        <v>419075</v>
      </c>
      <c r="P489" s="113">
        <f t="shared" si="145"/>
        <v>0</v>
      </c>
      <c r="Q489" s="121">
        <f t="shared" si="135"/>
        <v>279491</v>
      </c>
    </row>
    <row r="490" spans="2:17" hidden="1" x14ac:dyDescent="0.4">
      <c r="B490" s="110">
        <v>44411</v>
      </c>
      <c r="C490" s="122">
        <f t="shared" si="136"/>
        <v>800000</v>
      </c>
      <c r="D490" s="111">
        <f t="shared" si="137"/>
        <v>16</v>
      </c>
      <c r="E490" s="2">
        <f t="shared" si="138"/>
        <v>1570</v>
      </c>
      <c r="F490" s="112">
        <f t="shared" si="132"/>
        <v>19200000</v>
      </c>
      <c r="G490" s="2">
        <f t="shared" si="139"/>
        <v>487065</v>
      </c>
      <c r="H490" s="113">
        <f t="shared" si="140"/>
        <v>0</v>
      </c>
      <c r="I490" s="121">
        <f t="shared" si="133"/>
        <v>311381</v>
      </c>
      <c r="K490" s="123">
        <f t="shared" si="141"/>
        <v>800000</v>
      </c>
      <c r="L490" s="111">
        <f t="shared" si="142"/>
        <v>16</v>
      </c>
      <c r="M490" s="2">
        <f t="shared" si="143"/>
        <v>1570</v>
      </c>
      <c r="N490" s="112">
        <f t="shared" si="134"/>
        <v>19200000</v>
      </c>
      <c r="O490" s="2">
        <f t="shared" si="144"/>
        <v>487065</v>
      </c>
      <c r="P490" s="113">
        <f t="shared" si="145"/>
        <v>0</v>
      </c>
      <c r="Q490" s="121">
        <f t="shared" si="135"/>
        <v>311381</v>
      </c>
    </row>
    <row r="491" spans="2:17" hidden="1" x14ac:dyDescent="0.4">
      <c r="B491" s="110">
        <v>44412</v>
      </c>
      <c r="C491" s="122">
        <f t="shared" si="136"/>
        <v>800000</v>
      </c>
      <c r="D491" s="111">
        <f t="shared" si="137"/>
        <v>16</v>
      </c>
      <c r="E491" s="2">
        <f t="shared" si="138"/>
        <v>1570</v>
      </c>
      <c r="F491" s="112">
        <f t="shared" si="132"/>
        <v>19200000</v>
      </c>
      <c r="G491" s="2">
        <f t="shared" si="139"/>
        <v>487065</v>
      </c>
      <c r="H491" s="113">
        <f t="shared" si="140"/>
        <v>0</v>
      </c>
      <c r="I491" s="121">
        <f t="shared" si="133"/>
        <v>311381</v>
      </c>
      <c r="K491" s="123">
        <f t="shared" si="141"/>
        <v>800000</v>
      </c>
      <c r="L491" s="111">
        <f t="shared" si="142"/>
        <v>16</v>
      </c>
      <c r="M491" s="2">
        <f t="shared" si="143"/>
        <v>1570</v>
      </c>
      <c r="N491" s="112">
        <f t="shared" si="134"/>
        <v>19200000</v>
      </c>
      <c r="O491" s="2">
        <f t="shared" si="144"/>
        <v>487065</v>
      </c>
      <c r="P491" s="113">
        <f t="shared" si="145"/>
        <v>0</v>
      </c>
      <c r="Q491" s="121">
        <f t="shared" si="135"/>
        <v>311381</v>
      </c>
    </row>
    <row r="492" spans="2:17" hidden="1" x14ac:dyDescent="0.4">
      <c r="B492" s="110">
        <v>44413</v>
      </c>
      <c r="C492" s="122">
        <f t="shared" si="136"/>
        <v>800000</v>
      </c>
      <c r="D492" s="111">
        <f t="shared" si="137"/>
        <v>16</v>
      </c>
      <c r="E492" s="2">
        <f t="shared" si="138"/>
        <v>1570</v>
      </c>
      <c r="F492" s="112">
        <f t="shared" si="132"/>
        <v>19200000</v>
      </c>
      <c r="G492" s="2">
        <f t="shared" si="139"/>
        <v>487065</v>
      </c>
      <c r="H492" s="113">
        <f t="shared" si="140"/>
        <v>0</v>
      </c>
      <c r="I492" s="121">
        <f t="shared" si="133"/>
        <v>311381</v>
      </c>
      <c r="K492" s="123">
        <f t="shared" si="141"/>
        <v>800000</v>
      </c>
      <c r="L492" s="111">
        <f t="shared" si="142"/>
        <v>16</v>
      </c>
      <c r="M492" s="2">
        <f t="shared" si="143"/>
        <v>1570</v>
      </c>
      <c r="N492" s="112">
        <f t="shared" si="134"/>
        <v>19200000</v>
      </c>
      <c r="O492" s="2">
        <f t="shared" si="144"/>
        <v>487065</v>
      </c>
      <c r="P492" s="113">
        <f t="shared" si="145"/>
        <v>0</v>
      </c>
      <c r="Q492" s="121">
        <f t="shared" si="135"/>
        <v>311381</v>
      </c>
    </row>
    <row r="493" spans="2:17" hidden="1" x14ac:dyDescent="0.4">
      <c r="B493" s="110">
        <v>44414</v>
      </c>
      <c r="C493" s="122">
        <f t="shared" si="136"/>
        <v>800000</v>
      </c>
      <c r="D493" s="111">
        <f t="shared" si="137"/>
        <v>16</v>
      </c>
      <c r="E493" s="2">
        <f t="shared" si="138"/>
        <v>1570</v>
      </c>
      <c r="F493" s="112">
        <f t="shared" si="132"/>
        <v>19200000</v>
      </c>
      <c r="G493" s="2">
        <f t="shared" si="139"/>
        <v>487065</v>
      </c>
      <c r="H493" s="113">
        <f t="shared" si="140"/>
        <v>0</v>
      </c>
      <c r="I493" s="121">
        <f t="shared" si="133"/>
        <v>311381</v>
      </c>
      <c r="K493" s="123">
        <f t="shared" si="141"/>
        <v>800000</v>
      </c>
      <c r="L493" s="111">
        <f t="shared" si="142"/>
        <v>16</v>
      </c>
      <c r="M493" s="2">
        <f t="shared" si="143"/>
        <v>1570</v>
      </c>
      <c r="N493" s="112">
        <f t="shared" si="134"/>
        <v>19200000</v>
      </c>
      <c r="O493" s="2">
        <f t="shared" si="144"/>
        <v>487065</v>
      </c>
      <c r="P493" s="113">
        <f t="shared" si="145"/>
        <v>0</v>
      </c>
      <c r="Q493" s="121">
        <f t="shared" si="135"/>
        <v>311381</v>
      </c>
    </row>
    <row r="494" spans="2:17" hidden="1" x14ac:dyDescent="0.4">
      <c r="B494" s="110">
        <v>44415</v>
      </c>
      <c r="C494" s="122">
        <f t="shared" si="136"/>
        <v>800000</v>
      </c>
      <c r="D494" s="111">
        <f t="shared" si="137"/>
        <v>16</v>
      </c>
      <c r="E494" s="2">
        <f t="shared" si="138"/>
        <v>1570</v>
      </c>
      <c r="F494" s="112">
        <f t="shared" si="132"/>
        <v>19200000</v>
      </c>
      <c r="G494" s="2">
        <f t="shared" si="139"/>
        <v>487065</v>
      </c>
      <c r="H494" s="113">
        <f t="shared" si="140"/>
        <v>0</v>
      </c>
      <c r="I494" s="121">
        <f t="shared" si="133"/>
        <v>311381</v>
      </c>
      <c r="K494" s="123">
        <f t="shared" si="141"/>
        <v>800000</v>
      </c>
      <c r="L494" s="111">
        <f t="shared" si="142"/>
        <v>16</v>
      </c>
      <c r="M494" s="2">
        <f t="shared" si="143"/>
        <v>1570</v>
      </c>
      <c r="N494" s="112">
        <f t="shared" si="134"/>
        <v>19200000</v>
      </c>
      <c r="O494" s="2">
        <f t="shared" si="144"/>
        <v>487065</v>
      </c>
      <c r="P494" s="113">
        <f t="shared" si="145"/>
        <v>0</v>
      </c>
      <c r="Q494" s="121">
        <f t="shared" si="135"/>
        <v>311381</v>
      </c>
    </row>
    <row r="495" spans="2:17" hidden="1" x14ac:dyDescent="0.4">
      <c r="B495" s="110">
        <v>44416</v>
      </c>
      <c r="C495" s="122">
        <f t="shared" si="136"/>
        <v>800000</v>
      </c>
      <c r="D495" s="111">
        <f t="shared" si="137"/>
        <v>16</v>
      </c>
      <c r="E495" s="2">
        <f t="shared" si="138"/>
        <v>1570</v>
      </c>
      <c r="F495" s="112">
        <f t="shared" si="132"/>
        <v>19200000</v>
      </c>
      <c r="G495" s="2">
        <f t="shared" si="139"/>
        <v>487065</v>
      </c>
      <c r="H495" s="113">
        <f t="shared" si="140"/>
        <v>0</v>
      </c>
      <c r="I495" s="121">
        <f t="shared" si="133"/>
        <v>311381</v>
      </c>
      <c r="K495" s="123">
        <f t="shared" si="141"/>
        <v>800000</v>
      </c>
      <c r="L495" s="111">
        <f t="shared" si="142"/>
        <v>16</v>
      </c>
      <c r="M495" s="2">
        <f t="shared" si="143"/>
        <v>1570</v>
      </c>
      <c r="N495" s="112">
        <f t="shared" si="134"/>
        <v>19200000</v>
      </c>
      <c r="O495" s="2">
        <f t="shared" si="144"/>
        <v>487065</v>
      </c>
      <c r="P495" s="113">
        <f t="shared" si="145"/>
        <v>0</v>
      </c>
      <c r="Q495" s="121">
        <f t="shared" si="135"/>
        <v>311381</v>
      </c>
    </row>
    <row r="496" spans="2:17" hidden="1" x14ac:dyDescent="0.4">
      <c r="B496" s="110">
        <v>44417</v>
      </c>
      <c r="C496" s="122">
        <f t="shared" si="136"/>
        <v>800000</v>
      </c>
      <c r="D496" s="111">
        <f t="shared" si="137"/>
        <v>16</v>
      </c>
      <c r="E496" s="2">
        <f t="shared" si="138"/>
        <v>1570</v>
      </c>
      <c r="F496" s="112">
        <f t="shared" si="132"/>
        <v>19200000</v>
      </c>
      <c r="G496" s="2">
        <f t="shared" si="139"/>
        <v>487065</v>
      </c>
      <c r="H496" s="113">
        <f t="shared" si="140"/>
        <v>0</v>
      </c>
      <c r="I496" s="121">
        <f t="shared" si="133"/>
        <v>311381</v>
      </c>
      <c r="K496" s="123">
        <f t="shared" si="141"/>
        <v>800000</v>
      </c>
      <c r="L496" s="111">
        <f t="shared" si="142"/>
        <v>16</v>
      </c>
      <c r="M496" s="2">
        <f t="shared" si="143"/>
        <v>1570</v>
      </c>
      <c r="N496" s="112">
        <f t="shared" si="134"/>
        <v>19200000</v>
      </c>
      <c r="O496" s="2">
        <f t="shared" si="144"/>
        <v>487065</v>
      </c>
      <c r="P496" s="113">
        <f t="shared" si="145"/>
        <v>0</v>
      </c>
      <c r="Q496" s="121">
        <f t="shared" si="135"/>
        <v>311381</v>
      </c>
    </row>
    <row r="497" spans="2:17" hidden="1" x14ac:dyDescent="0.4">
      <c r="B497" s="110">
        <v>44418</v>
      </c>
      <c r="C497" s="122">
        <f t="shared" si="136"/>
        <v>800000</v>
      </c>
      <c r="D497" s="111">
        <f t="shared" si="137"/>
        <v>16</v>
      </c>
      <c r="E497" s="2">
        <f t="shared" si="138"/>
        <v>1570</v>
      </c>
      <c r="F497" s="112">
        <f t="shared" si="132"/>
        <v>19200000</v>
      </c>
      <c r="G497" s="2">
        <f t="shared" si="139"/>
        <v>487065</v>
      </c>
      <c r="H497" s="113">
        <f t="shared" si="140"/>
        <v>0</v>
      </c>
      <c r="I497" s="121">
        <f t="shared" si="133"/>
        <v>311381</v>
      </c>
      <c r="K497" s="123">
        <f t="shared" si="141"/>
        <v>800000</v>
      </c>
      <c r="L497" s="111">
        <f t="shared" si="142"/>
        <v>16</v>
      </c>
      <c r="M497" s="2">
        <f t="shared" si="143"/>
        <v>1570</v>
      </c>
      <c r="N497" s="112">
        <f t="shared" si="134"/>
        <v>19200000</v>
      </c>
      <c r="O497" s="2">
        <f t="shared" si="144"/>
        <v>487065</v>
      </c>
      <c r="P497" s="113">
        <f t="shared" si="145"/>
        <v>0</v>
      </c>
      <c r="Q497" s="121">
        <f t="shared" si="135"/>
        <v>311381</v>
      </c>
    </row>
    <row r="498" spans="2:17" hidden="1" x14ac:dyDescent="0.4">
      <c r="B498" s="110">
        <v>44419</v>
      </c>
      <c r="C498" s="122">
        <f t="shared" si="136"/>
        <v>800000</v>
      </c>
      <c r="D498" s="111">
        <f t="shared" si="137"/>
        <v>16</v>
      </c>
      <c r="E498" s="2">
        <f t="shared" si="138"/>
        <v>1570</v>
      </c>
      <c r="F498" s="112">
        <f t="shared" si="132"/>
        <v>19200000</v>
      </c>
      <c r="G498" s="2">
        <f t="shared" si="139"/>
        <v>487065</v>
      </c>
      <c r="H498" s="113">
        <f t="shared" si="140"/>
        <v>0</v>
      </c>
      <c r="I498" s="121">
        <f t="shared" si="133"/>
        <v>311381</v>
      </c>
      <c r="K498" s="123">
        <f t="shared" si="141"/>
        <v>800000</v>
      </c>
      <c r="L498" s="111">
        <f t="shared" si="142"/>
        <v>16</v>
      </c>
      <c r="M498" s="2">
        <f t="shared" si="143"/>
        <v>1570</v>
      </c>
      <c r="N498" s="112">
        <f t="shared" si="134"/>
        <v>19200000</v>
      </c>
      <c r="O498" s="2">
        <f t="shared" si="144"/>
        <v>487065</v>
      </c>
      <c r="P498" s="113">
        <f t="shared" si="145"/>
        <v>0</v>
      </c>
      <c r="Q498" s="121">
        <f t="shared" si="135"/>
        <v>311381</v>
      </c>
    </row>
    <row r="499" spans="2:17" hidden="1" x14ac:dyDescent="0.4">
      <c r="B499" s="110">
        <v>44420</v>
      </c>
      <c r="C499" s="122">
        <f t="shared" si="136"/>
        <v>800000</v>
      </c>
      <c r="D499" s="111">
        <f t="shared" si="137"/>
        <v>16</v>
      </c>
      <c r="E499" s="2">
        <f t="shared" si="138"/>
        <v>1570</v>
      </c>
      <c r="F499" s="112">
        <f t="shared" si="132"/>
        <v>19200000</v>
      </c>
      <c r="G499" s="2">
        <f t="shared" si="139"/>
        <v>487065</v>
      </c>
      <c r="H499" s="113">
        <f t="shared" si="140"/>
        <v>0</v>
      </c>
      <c r="I499" s="121">
        <f t="shared" si="133"/>
        <v>311381</v>
      </c>
      <c r="K499" s="123">
        <f t="shared" si="141"/>
        <v>800000</v>
      </c>
      <c r="L499" s="111">
        <f t="shared" si="142"/>
        <v>16</v>
      </c>
      <c r="M499" s="2">
        <f t="shared" si="143"/>
        <v>1570</v>
      </c>
      <c r="N499" s="112">
        <f t="shared" si="134"/>
        <v>19200000</v>
      </c>
      <c r="O499" s="2">
        <f t="shared" si="144"/>
        <v>487065</v>
      </c>
      <c r="P499" s="113">
        <f t="shared" si="145"/>
        <v>0</v>
      </c>
      <c r="Q499" s="121">
        <f t="shared" si="135"/>
        <v>311381</v>
      </c>
    </row>
    <row r="500" spans="2:17" hidden="1" x14ac:dyDescent="0.4">
      <c r="B500" s="110">
        <v>44421</v>
      </c>
      <c r="C500" s="122">
        <f t="shared" si="136"/>
        <v>800000</v>
      </c>
      <c r="D500" s="111">
        <f t="shared" si="137"/>
        <v>16</v>
      </c>
      <c r="E500" s="2">
        <f t="shared" si="138"/>
        <v>1570</v>
      </c>
      <c r="F500" s="112">
        <f t="shared" si="132"/>
        <v>19200000</v>
      </c>
      <c r="G500" s="2">
        <f t="shared" si="139"/>
        <v>487065</v>
      </c>
      <c r="H500" s="113">
        <f t="shared" si="140"/>
        <v>0</v>
      </c>
      <c r="I500" s="121">
        <f t="shared" si="133"/>
        <v>311381</v>
      </c>
      <c r="K500" s="123">
        <f t="shared" si="141"/>
        <v>800000</v>
      </c>
      <c r="L500" s="111">
        <f t="shared" si="142"/>
        <v>16</v>
      </c>
      <c r="M500" s="2">
        <f t="shared" si="143"/>
        <v>1570</v>
      </c>
      <c r="N500" s="112">
        <f t="shared" si="134"/>
        <v>19200000</v>
      </c>
      <c r="O500" s="2">
        <f t="shared" si="144"/>
        <v>487065</v>
      </c>
      <c r="P500" s="113">
        <f t="shared" si="145"/>
        <v>0</v>
      </c>
      <c r="Q500" s="121">
        <f t="shared" si="135"/>
        <v>311381</v>
      </c>
    </row>
    <row r="501" spans="2:17" hidden="1" x14ac:dyDescent="0.4">
      <c r="B501" s="110">
        <v>44422</v>
      </c>
      <c r="C501" s="122">
        <f t="shared" si="136"/>
        <v>800000</v>
      </c>
      <c r="D501" s="111">
        <f t="shared" si="137"/>
        <v>16</v>
      </c>
      <c r="E501" s="2">
        <f t="shared" si="138"/>
        <v>1570</v>
      </c>
      <c r="F501" s="112">
        <f t="shared" si="132"/>
        <v>19200000</v>
      </c>
      <c r="G501" s="2">
        <f t="shared" si="139"/>
        <v>487065</v>
      </c>
      <c r="H501" s="113">
        <f t="shared" si="140"/>
        <v>0</v>
      </c>
      <c r="I501" s="121">
        <f t="shared" si="133"/>
        <v>311381</v>
      </c>
      <c r="K501" s="123">
        <f t="shared" si="141"/>
        <v>800000</v>
      </c>
      <c r="L501" s="111">
        <f t="shared" si="142"/>
        <v>16</v>
      </c>
      <c r="M501" s="2">
        <f t="shared" si="143"/>
        <v>1570</v>
      </c>
      <c r="N501" s="112">
        <f t="shared" si="134"/>
        <v>19200000</v>
      </c>
      <c r="O501" s="2">
        <f t="shared" si="144"/>
        <v>487065</v>
      </c>
      <c r="P501" s="113">
        <f t="shared" si="145"/>
        <v>0</v>
      </c>
      <c r="Q501" s="121">
        <f t="shared" si="135"/>
        <v>311381</v>
      </c>
    </row>
    <row r="502" spans="2:17" hidden="1" x14ac:dyDescent="0.4">
      <c r="B502" s="110">
        <v>44423</v>
      </c>
      <c r="C502" s="122">
        <f t="shared" si="136"/>
        <v>800000</v>
      </c>
      <c r="D502" s="111">
        <f t="shared" si="137"/>
        <v>16</v>
      </c>
      <c r="E502" s="2">
        <f t="shared" si="138"/>
        <v>1570</v>
      </c>
      <c r="F502" s="112">
        <f t="shared" si="132"/>
        <v>19200000</v>
      </c>
      <c r="G502" s="2">
        <f t="shared" si="139"/>
        <v>487065</v>
      </c>
      <c r="H502" s="113">
        <f t="shared" si="140"/>
        <v>0</v>
      </c>
      <c r="I502" s="121">
        <f t="shared" si="133"/>
        <v>311381</v>
      </c>
      <c r="K502" s="123">
        <f t="shared" si="141"/>
        <v>800000</v>
      </c>
      <c r="L502" s="111">
        <f t="shared" si="142"/>
        <v>16</v>
      </c>
      <c r="M502" s="2">
        <f t="shared" si="143"/>
        <v>1570</v>
      </c>
      <c r="N502" s="112">
        <f t="shared" si="134"/>
        <v>19200000</v>
      </c>
      <c r="O502" s="2">
        <f t="shared" si="144"/>
        <v>487065</v>
      </c>
      <c r="P502" s="113">
        <f t="shared" si="145"/>
        <v>0</v>
      </c>
      <c r="Q502" s="121">
        <f t="shared" si="135"/>
        <v>311381</v>
      </c>
    </row>
    <row r="503" spans="2:17" hidden="1" x14ac:dyDescent="0.4">
      <c r="B503" s="110">
        <v>44424</v>
      </c>
      <c r="C503" s="122">
        <f t="shared" si="136"/>
        <v>800000</v>
      </c>
      <c r="D503" s="111">
        <f t="shared" si="137"/>
        <v>16</v>
      </c>
      <c r="E503" s="2">
        <f t="shared" si="138"/>
        <v>1570</v>
      </c>
      <c r="F503" s="112">
        <f t="shared" si="132"/>
        <v>19200000</v>
      </c>
      <c r="G503" s="2">
        <f t="shared" si="139"/>
        <v>487065</v>
      </c>
      <c r="H503" s="113">
        <f t="shared" si="140"/>
        <v>0</v>
      </c>
      <c r="I503" s="121">
        <f t="shared" si="133"/>
        <v>311381</v>
      </c>
      <c r="K503" s="123">
        <f t="shared" si="141"/>
        <v>800000</v>
      </c>
      <c r="L503" s="111">
        <f t="shared" si="142"/>
        <v>16</v>
      </c>
      <c r="M503" s="2">
        <f t="shared" si="143"/>
        <v>1570</v>
      </c>
      <c r="N503" s="112">
        <f t="shared" si="134"/>
        <v>19200000</v>
      </c>
      <c r="O503" s="2">
        <f t="shared" si="144"/>
        <v>487065</v>
      </c>
      <c r="P503" s="113">
        <f t="shared" si="145"/>
        <v>0</v>
      </c>
      <c r="Q503" s="121">
        <f t="shared" si="135"/>
        <v>311381</v>
      </c>
    </row>
    <row r="504" spans="2:17" hidden="1" x14ac:dyDescent="0.4">
      <c r="B504" s="110">
        <v>44425</v>
      </c>
      <c r="C504" s="122">
        <f t="shared" si="136"/>
        <v>800000</v>
      </c>
      <c r="D504" s="111">
        <f t="shared" si="137"/>
        <v>16</v>
      </c>
      <c r="E504" s="2">
        <f t="shared" si="138"/>
        <v>1570</v>
      </c>
      <c r="F504" s="112">
        <f t="shared" si="132"/>
        <v>19200000</v>
      </c>
      <c r="G504" s="2">
        <f t="shared" si="139"/>
        <v>487065</v>
      </c>
      <c r="H504" s="113">
        <f t="shared" si="140"/>
        <v>0</v>
      </c>
      <c r="I504" s="121">
        <f t="shared" si="133"/>
        <v>311381</v>
      </c>
      <c r="K504" s="123">
        <f t="shared" si="141"/>
        <v>800000</v>
      </c>
      <c r="L504" s="111">
        <f t="shared" si="142"/>
        <v>16</v>
      </c>
      <c r="M504" s="2">
        <f t="shared" si="143"/>
        <v>1570</v>
      </c>
      <c r="N504" s="112">
        <f t="shared" si="134"/>
        <v>19200000</v>
      </c>
      <c r="O504" s="2">
        <f t="shared" si="144"/>
        <v>487065</v>
      </c>
      <c r="P504" s="113">
        <f t="shared" si="145"/>
        <v>0</v>
      </c>
      <c r="Q504" s="121">
        <f t="shared" si="135"/>
        <v>311381</v>
      </c>
    </row>
    <row r="505" spans="2:17" hidden="1" x14ac:dyDescent="0.4">
      <c r="B505" s="110">
        <v>44426</v>
      </c>
      <c r="C505" s="122">
        <f t="shared" si="136"/>
        <v>800000</v>
      </c>
      <c r="D505" s="111">
        <f t="shared" si="137"/>
        <v>1099</v>
      </c>
      <c r="E505" s="2">
        <f t="shared" si="138"/>
        <v>1570</v>
      </c>
      <c r="F505" s="112">
        <f t="shared" si="132"/>
        <v>19200000</v>
      </c>
      <c r="G505" s="2">
        <f t="shared" si="139"/>
        <v>487065</v>
      </c>
      <c r="H505" s="113">
        <f t="shared" si="140"/>
        <v>0</v>
      </c>
      <c r="I505" s="121">
        <f t="shared" si="133"/>
        <v>312464</v>
      </c>
      <c r="K505" s="123">
        <f t="shared" si="141"/>
        <v>800000</v>
      </c>
      <c r="L505" s="111">
        <f t="shared" si="142"/>
        <v>1099</v>
      </c>
      <c r="M505" s="2">
        <f t="shared" si="143"/>
        <v>1570</v>
      </c>
      <c r="N505" s="112">
        <f t="shared" si="134"/>
        <v>19200000</v>
      </c>
      <c r="O505" s="2">
        <f t="shared" si="144"/>
        <v>487065</v>
      </c>
      <c r="P505" s="113">
        <f t="shared" si="145"/>
        <v>0</v>
      </c>
      <c r="Q505" s="121">
        <f t="shared" si="135"/>
        <v>312464</v>
      </c>
    </row>
    <row r="506" spans="2:17" hidden="1" x14ac:dyDescent="0.4">
      <c r="B506" s="110">
        <v>44427</v>
      </c>
      <c r="C506" s="122">
        <f t="shared" si="136"/>
        <v>800000</v>
      </c>
      <c r="D506" s="111">
        <f t="shared" si="137"/>
        <v>1099</v>
      </c>
      <c r="E506" s="2">
        <f t="shared" si="138"/>
        <v>1570</v>
      </c>
      <c r="F506" s="112">
        <f t="shared" si="132"/>
        <v>19200000</v>
      </c>
      <c r="G506" s="2">
        <f t="shared" si="139"/>
        <v>487065</v>
      </c>
      <c r="H506" s="113">
        <f t="shared" si="140"/>
        <v>0</v>
      </c>
      <c r="I506" s="121">
        <f t="shared" si="133"/>
        <v>312464</v>
      </c>
      <c r="K506" s="123">
        <f t="shared" si="141"/>
        <v>800000</v>
      </c>
      <c r="L506" s="111">
        <f t="shared" si="142"/>
        <v>1099</v>
      </c>
      <c r="M506" s="2">
        <f t="shared" si="143"/>
        <v>1570</v>
      </c>
      <c r="N506" s="112">
        <f t="shared" si="134"/>
        <v>19200000</v>
      </c>
      <c r="O506" s="2">
        <f t="shared" si="144"/>
        <v>487065</v>
      </c>
      <c r="P506" s="113">
        <f t="shared" si="145"/>
        <v>0</v>
      </c>
      <c r="Q506" s="121">
        <f t="shared" si="135"/>
        <v>312464</v>
      </c>
    </row>
    <row r="507" spans="2:17" hidden="1" x14ac:dyDescent="0.4">
      <c r="B507" s="110">
        <v>44428</v>
      </c>
      <c r="C507" s="122">
        <f t="shared" si="136"/>
        <v>800000</v>
      </c>
      <c r="D507" s="111">
        <f t="shared" si="137"/>
        <v>1099</v>
      </c>
      <c r="E507" s="2">
        <f t="shared" si="138"/>
        <v>1570</v>
      </c>
      <c r="F507" s="112">
        <f t="shared" si="132"/>
        <v>19200000</v>
      </c>
      <c r="G507" s="2">
        <f t="shared" si="139"/>
        <v>487065</v>
      </c>
      <c r="H507" s="113">
        <f t="shared" si="140"/>
        <v>0</v>
      </c>
      <c r="I507" s="121">
        <f t="shared" si="133"/>
        <v>312464</v>
      </c>
      <c r="K507" s="123">
        <f t="shared" si="141"/>
        <v>800000</v>
      </c>
      <c r="L507" s="111">
        <f t="shared" si="142"/>
        <v>1099</v>
      </c>
      <c r="M507" s="2">
        <f t="shared" si="143"/>
        <v>1570</v>
      </c>
      <c r="N507" s="112">
        <f t="shared" si="134"/>
        <v>19200000</v>
      </c>
      <c r="O507" s="2">
        <f t="shared" si="144"/>
        <v>487065</v>
      </c>
      <c r="P507" s="113">
        <f t="shared" si="145"/>
        <v>0</v>
      </c>
      <c r="Q507" s="121">
        <f t="shared" si="135"/>
        <v>312464</v>
      </c>
    </row>
    <row r="508" spans="2:17" hidden="1" x14ac:dyDescent="0.4">
      <c r="B508" s="110">
        <v>44429</v>
      </c>
      <c r="C508" s="122">
        <f t="shared" si="136"/>
        <v>800000</v>
      </c>
      <c r="D508" s="111">
        <f t="shared" si="137"/>
        <v>1099</v>
      </c>
      <c r="E508" s="2">
        <f t="shared" si="138"/>
        <v>1570</v>
      </c>
      <c r="F508" s="112">
        <f t="shared" si="132"/>
        <v>19200000</v>
      </c>
      <c r="G508" s="2">
        <f t="shared" si="139"/>
        <v>487065</v>
      </c>
      <c r="H508" s="113">
        <f t="shared" si="140"/>
        <v>0</v>
      </c>
      <c r="I508" s="121">
        <f t="shared" si="133"/>
        <v>312464</v>
      </c>
      <c r="K508" s="123">
        <f t="shared" si="141"/>
        <v>800000</v>
      </c>
      <c r="L508" s="111">
        <f t="shared" si="142"/>
        <v>1099</v>
      </c>
      <c r="M508" s="2">
        <f t="shared" si="143"/>
        <v>1570</v>
      </c>
      <c r="N508" s="112">
        <f t="shared" si="134"/>
        <v>19200000</v>
      </c>
      <c r="O508" s="2">
        <f t="shared" si="144"/>
        <v>487065</v>
      </c>
      <c r="P508" s="113">
        <f t="shared" si="145"/>
        <v>0</v>
      </c>
      <c r="Q508" s="121">
        <f t="shared" si="135"/>
        <v>312464</v>
      </c>
    </row>
    <row r="509" spans="2:17" hidden="1" x14ac:dyDescent="0.4">
      <c r="B509" s="110">
        <v>44430</v>
      </c>
      <c r="C509" s="122">
        <f t="shared" si="136"/>
        <v>800000</v>
      </c>
      <c r="D509" s="111">
        <f t="shared" si="137"/>
        <v>1099</v>
      </c>
      <c r="E509" s="2">
        <f t="shared" si="138"/>
        <v>1570</v>
      </c>
      <c r="F509" s="112">
        <f t="shared" si="132"/>
        <v>19200000</v>
      </c>
      <c r="G509" s="2">
        <f t="shared" si="139"/>
        <v>487065</v>
      </c>
      <c r="H509" s="113">
        <f t="shared" si="140"/>
        <v>0</v>
      </c>
      <c r="I509" s="121">
        <f t="shared" si="133"/>
        <v>312464</v>
      </c>
      <c r="K509" s="123">
        <f t="shared" si="141"/>
        <v>800000</v>
      </c>
      <c r="L509" s="111">
        <f t="shared" si="142"/>
        <v>1099</v>
      </c>
      <c r="M509" s="2">
        <f t="shared" si="143"/>
        <v>1570</v>
      </c>
      <c r="N509" s="112">
        <f t="shared" si="134"/>
        <v>19200000</v>
      </c>
      <c r="O509" s="2">
        <f t="shared" si="144"/>
        <v>487065</v>
      </c>
      <c r="P509" s="113">
        <f t="shared" si="145"/>
        <v>0</v>
      </c>
      <c r="Q509" s="121">
        <f t="shared" si="135"/>
        <v>312464</v>
      </c>
    </row>
    <row r="510" spans="2:17" hidden="1" x14ac:dyDescent="0.4">
      <c r="B510" s="110">
        <v>44431</v>
      </c>
      <c r="C510" s="122">
        <f t="shared" si="136"/>
        <v>800000</v>
      </c>
      <c r="D510" s="111">
        <f t="shared" si="137"/>
        <v>1099</v>
      </c>
      <c r="E510" s="2">
        <f t="shared" si="138"/>
        <v>1570</v>
      </c>
      <c r="F510" s="112">
        <f t="shared" si="132"/>
        <v>19200000</v>
      </c>
      <c r="G510" s="2">
        <f t="shared" si="139"/>
        <v>487065</v>
      </c>
      <c r="H510" s="113">
        <f t="shared" si="140"/>
        <v>0</v>
      </c>
      <c r="I510" s="121">
        <f t="shared" si="133"/>
        <v>312464</v>
      </c>
      <c r="K510" s="123">
        <f t="shared" si="141"/>
        <v>800000</v>
      </c>
      <c r="L510" s="111">
        <f t="shared" si="142"/>
        <v>1099</v>
      </c>
      <c r="M510" s="2">
        <f t="shared" si="143"/>
        <v>1570</v>
      </c>
      <c r="N510" s="112">
        <f t="shared" si="134"/>
        <v>19200000</v>
      </c>
      <c r="O510" s="2">
        <f t="shared" si="144"/>
        <v>487065</v>
      </c>
      <c r="P510" s="113">
        <f t="shared" si="145"/>
        <v>0</v>
      </c>
      <c r="Q510" s="121">
        <f t="shared" si="135"/>
        <v>312464</v>
      </c>
    </row>
    <row r="511" spans="2:17" hidden="1" x14ac:dyDescent="0.4">
      <c r="B511" s="110">
        <v>44432</v>
      </c>
      <c r="C511" s="122">
        <f t="shared" si="136"/>
        <v>800000</v>
      </c>
      <c r="D511" s="111">
        <f t="shared" si="137"/>
        <v>1099</v>
      </c>
      <c r="E511" s="2">
        <f t="shared" si="138"/>
        <v>1570</v>
      </c>
      <c r="F511" s="112">
        <f t="shared" si="132"/>
        <v>19200000</v>
      </c>
      <c r="G511" s="2">
        <f t="shared" si="139"/>
        <v>487065</v>
      </c>
      <c r="H511" s="113">
        <f t="shared" si="140"/>
        <v>0</v>
      </c>
      <c r="I511" s="121">
        <f t="shared" si="133"/>
        <v>312464</v>
      </c>
      <c r="K511" s="123">
        <f t="shared" si="141"/>
        <v>800000</v>
      </c>
      <c r="L511" s="111">
        <f t="shared" si="142"/>
        <v>1099</v>
      </c>
      <c r="M511" s="2">
        <f t="shared" si="143"/>
        <v>1570</v>
      </c>
      <c r="N511" s="112">
        <f t="shared" si="134"/>
        <v>19200000</v>
      </c>
      <c r="O511" s="2">
        <f t="shared" si="144"/>
        <v>487065</v>
      </c>
      <c r="P511" s="113">
        <f t="shared" si="145"/>
        <v>0</v>
      </c>
      <c r="Q511" s="121">
        <f t="shared" si="135"/>
        <v>312464</v>
      </c>
    </row>
    <row r="512" spans="2:17" hidden="1" x14ac:dyDescent="0.4">
      <c r="B512" s="110">
        <v>44433</v>
      </c>
      <c r="C512" s="122">
        <f t="shared" si="136"/>
        <v>800000</v>
      </c>
      <c r="D512" s="111">
        <f t="shared" si="137"/>
        <v>1099</v>
      </c>
      <c r="E512" s="2">
        <f t="shared" si="138"/>
        <v>1570</v>
      </c>
      <c r="F512" s="112">
        <f t="shared" si="132"/>
        <v>19200000</v>
      </c>
      <c r="G512" s="2">
        <f t="shared" si="139"/>
        <v>487065</v>
      </c>
      <c r="H512" s="113">
        <f t="shared" si="140"/>
        <v>0</v>
      </c>
      <c r="I512" s="121">
        <f t="shared" si="133"/>
        <v>312464</v>
      </c>
      <c r="K512" s="123">
        <f t="shared" si="141"/>
        <v>800000</v>
      </c>
      <c r="L512" s="111">
        <f t="shared" si="142"/>
        <v>1099</v>
      </c>
      <c r="M512" s="2">
        <f t="shared" si="143"/>
        <v>1570</v>
      </c>
      <c r="N512" s="112">
        <f t="shared" si="134"/>
        <v>19200000</v>
      </c>
      <c r="O512" s="2">
        <f t="shared" si="144"/>
        <v>487065</v>
      </c>
      <c r="P512" s="113">
        <f t="shared" si="145"/>
        <v>0</v>
      </c>
      <c r="Q512" s="121">
        <f t="shared" si="135"/>
        <v>312464</v>
      </c>
    </row>
    <row r="513" spans="2:17" hidden="1" x14ac:dyDescent="0.4">
      <c r="B513" s="110">
        <v>44434</v>
      </c>
      <c r="C513" s="122">
        <f t="shared" si="136"/>
        <v>800000</v>
      </c>
      <c r="D513" s="111">
        <f t="shared" si="137"/>
        <v>1099</v>
      </c>
      <c r="E513" s="2">
        <f t="shared" si="138"/>
        <v>1570</v>
      </c>
      <c r="F513" s="112">
        <f t="shared" si="132"/>
        <v>19200000</v>
      </c>
      <c r="G513" s="2">
        <f t="shared" si="139"/>
        <v>487065</v>
      </c>
      <c r="H513" s="113">
        <f t="shared" si="140"/>
        <v>0</v>
      </c>
      <c r="I513" s="121">
        <f t="shared" si="133"/>
        <v>312464</v>
      </c>
      <c r="K513" s="123">
        <f t="shared" si="141"/>
        <v>800000</v>
      </c>
      <c r="L513" s="111">
        <f t="shared" si="142"/>
        <v>1099</v>
      </c>
      <c r="M513" s="2">
        <f t="shared" si="143"/>
        <v>1570</v>
      </c>
      <c r="N513" s="112">
        <f t="shared" si="134"/>
        <v>19200000</v>
      </c>
      <c r="O513" s="2">
        <f t="shared" si="144"/>
        <v>487065</v>
      </c>
      <c r="P513" s="113">
        <f t="shared" si="145"/>
        <v>0</v>
      </c>
      <c r="Q513" s="121">
        <f t="shared" si="135"/>
        <v>312464</v>
      </c>
    </row>
    <row r="514" spans="2:17" hidden="1" x14ac:dyDescent="0.4">
      <c r="B514" s="110">
        <v>44435</v>
      </c>
      <c r="C514" s="122">
        <f t="shared" si="136"/>
        <v>800000</v>
      </c>
      <c r="D514" s="111">
        <f t="shared" si="137"/>
        <v>1099</v>
      </c>
      <c r="E514" s="2">
        <f t="shared" si="138"/>
        <v>1570</v>
      </c>
      <c r="F514" s="112">
        <f t="shared" si="132"/>
        <v>19200000</v>
      </c>
      <c r="G514" s="2">
        <f t="shared" si="139"/>
        <v>487065</v>
      </c>
      <c r="H514" s="113">
        <f t="shared" si="140"/>
        <v>0</v>
      </c>
      <c r="I514" s="121">
        <f t="shared" si="133"/>
        <v>312464</v>
      </c>
      <c r="K514" s="123">
        <f t="shared" si="141"/>
        <v>800000</v>
      </c>
      <c r="L514" s="111">
        <f t="shared" si="142"/>
        <v>1099</v>
      </c>
      <c r="M514" s="2">
        <f t="shared" si="143"/>
        <v>1570</v>
      </c>
      <c r="N514" s="112">
        <f t="shared" si="134"/>
        <v>19200000</v>
      </c>
      <c r="O514" s="2">
        <f t="shared" si="144"/>
        <v>487065</v>
      </c>
      <c r="P514" s="113">
        <f t="shared" si="145"/>
        <v>0</v>
      </c>
      <c r="Q514" s="121">
        <f t="shared" si="135"/>
        <v>312464</v>
      </c>
    </row>
    <row r="515" spans="2:17" hidden="1" x14ac:dyDescent="0.4">
      <c r="B515" s="110">
        <v>44436</v>
      </c>
      <c r="C515" s="122">
        <f t="shared" si="136"/>
        <v>800000</v>
      </c>
      <c r="D515" s="111">
        <f t="shared" si="137"/>
        <v>1099</v>
      </c>
      <c r="E515" s="2">
        <f t="shared" si="138"/>
        <v>1570</v>
      </c>
      <c r="F515" s="112">
        <f t="shared" si="132"/>
        <v>19200000</v>
      </c>
      <c r="G515" s="2">
        <f t="shared" si="139"/>
        <v>487065</v>
      </c>
      <c r="H515" s="113">
        <f t="shared" si="140"/>
        <v>0</v>
      </c>
      <c r="I515" s="121">
        <f t="shared" si="133"/>
        <v>312464</v>
      </c>
      <c r="K515" s="123">
        <f t="shared" si="141"/>
        <v>800000</v>
      </c>
      <c r="L515" s="111">
        <f t="shared" si="142"/>
        <v>1099</v>
      </c>
      <c r="M515" s="2">
        <f t="shared" si="143"/>
        <v>1570</v>
      </c>
      <c r="N515" s="112">
        <f t="shared" si="134"/>
        <v>19200000</v>
      </c>
      <c r="O515" s="2">
        <f t="shared" si="144"/>
        <v>487065</v>
      </c>
      <c r="P515" s="113">
        <f t="shared" si="145"/>
        <v>0</v>
      </c>
      <c r="Q515" s="121">
        <f t="shared" si="135"/>
        <v>312464</v>
      </c>
    </row>
    <row r="516" spans="2:17" hidden="1" x14ac:dyDescent="0.4">
      <c r="B516" s="110">
        <v>44437</v>
      </c>
      <c r="C516" s="122">
        <f t="shared" si="136"/>
        <v>800000</v>
      </c>
      <c r="D516" s="111">
        <f t="shared" si="137"/>
        <v>1099</v>
      </c>
      <c r="E516" s="2">
        <f t="shared" si="138"/>
        <v>1570</v>
      </c>
      <c r="F516" s="112">
        <f t="shared" si="132"/>
        <v>19200000</v>
      </c>
      <c r="G516" s="2">
        <f t="shared" si="139"/>
        <v>487065</v>
      </c>
      <c r="H516" s="113">
        <f t="shared" si="140"/>
        <v>0</v>
      </c>
      <c r="I516" s="121">
        <f t="shared" si="133"/>
        <v>312464</v>
      </c>
      <c r="K516" s="123">
        <f t="shared" si="141"/>
        <v>800000</v>
      </c>
      <c r="L516" s="111">
        <f t="shared" si="142"/>
        <v>1099</v>
      </c>
      <c r="M516" s="2">
        <f t="shared" si="143"/>
        <v>1570</v>
      </c>
      <c r="N516" s="112">
        <f t="shared" si="134"/>
        <v>19200000</v>
      </c>
      <c r="O516" s="2">
        <f t="shared" si="144"/>
        <v>487065</v>
      </c>
      <c r="P516" s="113">
        <f t="shared" si="145"/>
        <v>0</v>
      </c>
      <c r="Q516" s="121">
        <f t="shared" si="135"/>
        <v>312464</v>
      </c>
    </row>
    <row r="517" spans="2:17" hidden="1" x14ac:dyDescent="0.4">
      <c r="B517" s="110">
        <v>44438</v>
      </c>
      <c r="C517" s="122">
        <f t="shared" si="136"/>
        <v>800000</v>
      </c>
      <c r="D517" s="111">
        <f t="shared" si="137"/>
        <v>1099</v>
      </c>
      <c r="E517" s="2">
        <f t="shared" si="138"/>
        <v>1570</v>
      </c>
      <c r="F517" s="112">
        <f t="shared" si="132"/>
        <v>19200000</v>
      </c>
      <c r="G517" s="2">
        <f t="shared" si="139"/>
        <v>487065</v>
      </c>
      <c r="H517" s="113">
        <f t="shared" si="140"/>
        <v>0</v>
      </c>
      <c r="I517" s="121">
        <f t="shared" si="133"/>
        <v>312464</v>
      </c>
      <c r="K517" s="123">
        <f t="shared" si="141"/>
        <v>800000</v>
      </c>
      <c r="L517" s="111">
        <f t="shared" si="142"/>
        <v>1099</v>
      </c>
      <c r="M517" s="2">
        <f t="shared" si="143"/>
        <v>1570</v>
      </c>
      <c r="N517" s="112">
        <f t="shared" si="134"/>
        <v>19200000</v>
      </c>
      <c r="O517" s="2">
        <f t="shared" si="144"/>
        <v>487065</v>
      </c>
      <c r="P517" s="113">
        <f t="shared" si="145"/>
        <v>0</v>
      </c>
      <c r="Q517" s="121">
        <f t="shared" si="135"/>
        <v>312464</v>
      </c>
    </row>
    <row r="518" spans="2:17" hidden="1" x14ac:dyDescent="0.4">
      <c r="B518" s="110">
        <v>44439</v>
      </c>
      <c r="C518" s="122">
        <f t="shared" si="136"/>
        <v>800000</v>
      </c>
      <c r="D518" s="111">
        <f t="shared" si="137"/>
        <v>1099</v>
      </c>
      <c r="E518" s="2">
        <f t="shared" si="138"/>
        <v>1570</v>
      </c>
      <c r="F518" s="112">
        <f t="shared" si="132"/>
        <v>19200000</v>
      </c>
      <c r="G518" s="2">
        <f t="shared" si="139"/>
        <v>487065</v>
      </c>
      <c r="H518" s="113">
        <f t="shared" si="140"/>
        <v>0</v>
      </c>
      <c r="I518" s="121">
        <f t="shared" si="133"/>
        <v>312464</v>
      </c>
      <c r="K518" s="123">
        <f t="shared" si="141"/>
        <v>800000</v>
      </c>
      <c r="L518" s="111">
        <f t="shared" si="142"/>
        <v>1099</v>
      </c>
      <c r="M518" s="2">
        <f t="shared" si="143"/>
        <v>1570</v>
      </c>
      <c r="N518" s="112">
        <f t="shared" si="134"/>
        <v>19200000</v>
      </c>
      <c r="O518" s="2">
        <f t="shared" si="144"/>
        <v>487065</v>
      </c>
      <c r="P518" s="113">
        <f t="shared" si="145"/>
        <v>0</v>
      </c>
      <c r="Q518" s="121">
        <f t="shared" si="135"/>
        <v>312464</v>
      </c>
    </row>
    <row r="519" spans="2:17" x14ac:dyDescent="0.4">
      <c r="B519" s="110">
        <v>44440</v>
      </c>
      <c r="C519" s="122">
        <f t="shared" si="136"/>
        <v>900000</v>
      </c>
      <c r="D519" s="111">
        <f t="shared" si="137"/>
        <v>1099</v>
      </c>
      <c r="E519" s="2">
        <f t="shared" si="138"/>
        <v>1900</v>
      </c>
      <c r="F519" s="112">
        <f t="shared" si="132"/>
        <v>19100000</v>
      </c>
      <c r="G519" s="2">
        <f t="shared" si="139"/>
        <v>665465</v>
      </c>
      <c r="H519" s="113">
        <f t="shared" si="140"/>
        <v>0</v>
      </c>
      <c r="I519" s="121">
        <f t="shared" si="133"/>
        <v>233734</v>
      </c>
      <c r="K519" s="123">
        <f t="shared" si="141"/>
        <v>900000</v>
      </c>
      <c r="L519" s="111">
        <f t="shared" si="142"/>
        <v>1099</v>
      </c>
      <c r="M519" s="2">
        <f t="shared" si="143"/>
        <v>1900</v>
      </c>
      <c r="N519" s="112">
        <f t="shared" si="134"/>
        <v>19100000</v>
      </c>
      <c r="O519" s="2">
        <f t="shared" si="144"/>
        <v>665465</v>
      </c>
      <c r="P519" s="113">
        <f t="shared" si="145"/>
        <v>0</v>
      </c>
      <c r="Q519" s="121">
        <f t="shared" si="135"/>
        <v>233734</v>
      </c>
    </row>
    <row r="520" spans="2:17" hidden="1" x14ac:dyDescent="0.4">
      <c r="B520" s="110">
        <v>44441</v>
      </c>
      <c r="C520" s="122">
        <f t="shared" si="136"/>
        <v>900000</v>
      </c>
      <c r="D520" s="111">
        <f t="shared" si="137"/>
        <v>1099</v>
      </c>
      <c r="E520" s="2">
        <f t="shared" si="138"/>
        <v>1900</v>
      </c>
      <c r="F520" s="112">
        <f t="shared" si="132"/>
        <v>19100000</v>
      </c>
      <c r="G520" s="2">
        <f t="shared" si="139"/>
        <v>665465</v>
      </c>
      <c r="H520" s="113">
        <f t="shared" si="140"/>
        <v>0</v>
      </c>
      <c r="I520" s="121">
        <f t="shared" si="133"/>
        <v>233734</v>
      </c>
      <c r="K520" s="123">
        <f t="shared" si="141"/>
        <v>900000</v>
      </c>
      <c r="L520" s="111">
        <f t="shared" si="142"/>
        <v>1099</v>
      </c>
      <c r="M520" s="2">
        <f t="shared" si="143"/>
        <v>1900</v>
      </c>
      <c r="N520" s="112">
        <f t="shared" si="134"/>
        <v>19100000</v>
      </c>
      <c r="O520" s="2">
        <f t="shared" si="144"/>
        <v>665465</v>
      </c>
      <c r="P520" s="113">
        <f t="shared" si="145"/>
        <v>0</v>
      </c>
      <c r="Q520" s="121">
        <f t="shared" si="135"/>
        <v>233734</v>
      </c>
    </row>
    <row r="521" spans="2:17" hidden="1" x14ac:dyDescent="0.4">
      <c r="B521" s="110">
        <v>44442</v>
      </c>
      <c r="C521" s="122">
        <f t="shared" si="136"/>
        <v>900000</v>
      </c>
      <c r="D521" s="111">
        <f t="shared" si="137"/>
        <v>1099</v>
      </c>
      <c r="E521" s="2">
        <f t="shared" si="138"/>
        <v>1900</v>
      </c>
      <c r="F521" s="112">
        <f t="shared" si="132"/>
        <v>19100000</v>
      </c>
      <c r="G521" s="2">
        <f t="shared" si="139"/>
        <v>665465</v>
      </c>
      <c r="H521" s="113">
        <f t="shared" si="140"/>
        <v>0</v>
      </c>
      <c r="I521" s="121">
        <f t="shared" si="133"/>
        <v>233734</v>
      </c>
      <c r="K521" s="123">
        <f t="shared" si="141"/>
        <v>900000</v>
      </c>
      <c r="L521" s="111">
        <f t="shared" si="142"/>
        <v>1099</v>
      </c>
      <c r="M521" s="2">
        <f t="shared" si="143"/>
        <v>1900</v>
      </c>
      <c r="N521" s="112">
        <f t="shared" si="134"/>
        <v>19100000</v>
      </c>
      <c r="O521" s="2">
        <f t="shared" si="144"/>
        <v>665465</v>
      </c>
      <c r="P521" s="113">
        <f t="shared" si="145"/>
        <v>0</v>
      </c>
      <c r="Q521" s="121">
        <f t="shared" si="135"/>
        <v>233734</v>
      </c>
    </row>
    <row r="522" spans="2:17" hidden="1" x14ac:dyDescent="0.4">
      <c r="B522" s="110">
        <v>44443</v>
      </c>
      <c r="C522" s="122">
        <f t="shared" si="136"/>
        <v>900000</v>
      </c>
      <c r="D522" s="111">
        <f t="shared" si="137"/>
        <v>1099</v>
      </c>
      <c r="E522" s="2">
        <f t="shared" si="138"/>
        <v>1900</v>
      </c>
      <c r="F522" s="112">
        <f t="shared" ref="F522:F585" si="146">20000000-C522</f>
        <v>19100000</v>
      </c>
      <c r="G522" s="2">
        <f t="shared" si="139"/>
        <v>665465</v>
      </c>
      <c r="H522" s="113">
        <f t="shared" si="140"/>
        <v>0</v>
      </c>
      <c r="I522" s="121">
        <f t="shared" ref="I522:I585" si="147">C522+D522-G522-E522+H522</f>
        <v>233734</v>
      </c>
      <c r="K522" s="123">
        <f t="shared" si="141"/>
        <v>900000</v>
      </c>
      <c r="L522" s="111">
        <f t="shared" si="142"/>
        <v>1099</v>
      </c>
      <c r="M522" s="2">
        <f t="shared" si="143"/>
        <v>1900</v>
      </c>
      <c r="N522" s="112">
        <f t="shared" ref="N522:N585" si="148">20000000-K522</f>
        <v>19100000</v>
      </c>
      <c r="O522" s="2">
        <f t="shared" si="144"/>
        <v>665465</v>
      </c>
      <c r="P522" s="113">
        <f t="shared" si="145"/>
        <v>0</v>
      </c>
      <c r="Q522" s="121">
        <f t="shared" ref="Q522:Q585" si="149">K522+L522-O522-M522+P522</f>
        <v>233734</v>
      </c>
    </row>
    <row r="523" spans="2:17" hidden="1" x14ac:dyDescent="0.4">
      <c r="B523" s="110">
        <v>44444</v>
      </c>
      <c r="C523" s="122">
        <f t="shared" ref="C523:C586" si="150">SUMIF($B$6:$B$75,$B523,$D$6:$D$75)+C522</f>
        <v>900000</v>
      </c>
      <c r="D523" s="111">
        <f t="shared" ref="D523:D586" si="151">SUMIF($B$6:$B$75,$B523,$E$6:$E$75)+D522</f>
        <v>1099</v>
      </c>
      <c r="E523" s="2">
        <f t="shared" ref="E523:E586" si="152">SUMIF($G$353:$G$376,$B523,$J$353:$J$376)+SUMIF($E$353:$E$376,$B523,$H$353:$H$376)+SUMIF($G$353:$G$376,$B523,$I$353:$I$376)+E522</f>
        <v>1900</v>
      </c>
      <c r="F523" s="112">
        <f t="shared" si="146"/>
        <v>19100000</v>
      </c>
      <c r="G523" s="2">
        <f t="shared" ref="G523:G586" si="153">SUMIF($E$353:$E$376,$B523,$M$353:$M$376)+G522</f>
        <v>665465</v>
      </c>
      <c r="H523" s="113">
        <f t="shared" ref="H523:H586" si="154">SUMIF($G$353:$G$376,$B523,$N$353:$N$376)+H522</f>
        <v>0</v>
      </c>
      <c r="I523" s="121">
        <f t="shared" si="147"/>
        <v>233734</v>
      </c>
      <c r="K523" s="123">
        <f t="shared" ref="K523:K586" si="155">SUMIF($B$6:$B$75,$B523,$D$6:$D$75)+K522</f>
        <v>900000</v>
      </c>
      <c r="L523" s="111">
        <f t="shared" ref="L523:L586" si="156">SUMIF($B$6:$B$75,$B523,$E$6:$E$75)+L522</f>
        <v>1099</v>
      </c>
      <c r="M523" s="2">
        <f t="shared" ref="M523:M586" si="157">SUMIF($G$353:$G$376,$B523,$J$353:$J$376)+SUMIF($E$353:$E$376,$B523,$H$353:$H$376)+SUMIF($G$353:$G$376,$B523,$I$353:$I$376)+M522</f>
        <v>1900</v>
      </c>
      <c r="N523" s="112">
        <f t="shared" si="148"/>
        <v>19100000</v>
      </c>
      <c r="O523" s="2">
        <f t="shared" ref="O523:O586" si="158">SUMIF($E$353:$E$376,$B523,$M$353:$M$376)+O522</f>
        <v>665465</v>
      </c>
      <c r="P523" s="113">
        <f t="shared" ref="P523:P586" si="159">SUMIF($G$353:$G$376,$B523,$N$353:$N$376)+P522</f>
        <v>0</v>
      </c>
      <c r="Q523" s="121">
        <f t="shared" si="149"/>
        <v>233734</v>
      </c>
    </row>
    <row r="524" spans="2:17" hidden="1" x14ac:dyDescent="0.4">
      <c r="B524" s="110">
        <v>44445</v>
      </c>
      <c r="C524" s="122">
        <f t="shared" si="150"/>
        <v>900000</v>
      </c>
      <c r="D524" s="111">
        <f t="shared" si="151"/>
        <v>1126</v>
      </c>
      <c r="E524" s="2">
        <f t="shared" si="152"/>
        <v>1900</v>
      </c>
      <c r="F524" s="112">
        <f t="shared" si="146"/>
        <v>19100000</v>
      </c>
      <c r="G524" s="2">
        <f t="shared" si="153"/>
        <v>665465</v>
      </c>
      <c r="H524" s="113">
        <f t="shared" si="154"/>
        <v>0</v>
      </c>
      <c r="I524" s="121">
        <f t="shared" si="147"/>
        <v>233761</v>
      </c>
      <c r="K524" s="123">
        <f t="shared" si="155"/>
        <v>900000</v>
      </c>
      <c r="L524" s="111">
        <f t="shared" si="156"/>
        <v>1126</v>
      </c>
      <c r="M524" s="2">
        <f t="shared" si="157"/>
        <v>1900</v>
      </c>
      <c r="N524" s="112">
        <f t="shared" si="148"/>
        <v>19100000</v>
      </c>
      <c r="O524" s="2">
        <f t="shared" si="158"/>
        <v>665465</v>
      </c>
      <c r="P524" s="113">
        <f t="shared" si="159"/>
        <v>0</v>
      </c>
      <c r="Q524" s="121">
        <f t="shared" si="149"/>
        <v>233761</v>
      </c>
    </row>
    <row r="525" spans="2:17" hidden="1" x14ac:dyDescent="0.4">
      <c r="B525" s="110">
        <v>44446</v>
      </c>
      <c r="C525" s="122">
        <f t="shared" si="150"/>
        <v>900000</v>
      </c>
      <c r="D525" s="111">
        <f t="shared" si="151"/>
        <v>1126</v>
      </c>
      <c r="E525" s="2">
        <f t="shared" si="152"/>
        <v>1900</v>
      </c>
      <c r="F525" s="112">
        <f t="shared" si="146"/>
        <v>19100000</v>
      </c>
      <c r="G525" s="2">
        <f t="shared" si="153"/>
        <v>665465</v>
      </c>
      <c r="H525" s="113">
        <f t="shared" si="154"/>
        <v>0</v>
      </c>
      <c r="I525" s="121">
        <f t="shared" si="147"/>
        <v>233761</v>
      </c>
      <c r="K525" s="123">
        <f t="shared" si="155"/>
        <v>900000</v>
      </c>
      <c r="L525" s="111">
        <f t="shared" si="156"/>
        <v>1126</v>
      </c>
      <c r="M525" s="2">
        <f t="shared" si="157"/>
        <v>1900</v>
      </c>
      <c r="N525" s="112">
        <f t="shared" si="148"/>
        <v>19100000</v>
      </c>
      <c r="O525" s="2">
        <f t="shared" si="158"/>
        <v>665465</v>
      </c>
      <c r="P525" s="113">
        <f t="shared" si="159"/>
        <v>0</v>
      </c>
      <c r="Q525" s="121">
        <f t="shared" si="149"/>
        <v>233761</v>
      </c>
    </row>
    <row r="526" spans="2:17" hidden="1" x14ac:dyDescent="0.4">
      <c r="B526" s="110">
        <v>44447</v>
      </c>
      <c r="C526" s="122">
        <f t="shared" si="150"/>
        <v>900000</v>
      </c>
      <c r="D526" s="111">
        <f t="shared" si="151"/>
        <v>1126</v>
      </c>
      <c r="E526" s="2">
        <f t="shared" si="152"/>
        <v>1900</v>
      </c>
      <c r="F526" s="112">
        <f t="shared" si="146"/>
        <v>19100000</v>
      </c>
      <c r="G526" s="2">
        <f t="shared" si="153"/>
        <v>665465</v>
      </c>
      <c r="H526" s="113">
        <f t="shared" si="154"/>
        <v>0</v>
      </c>
      <c r="I526" s="121">
        <f t="shared" si="147"/>
        <v>233761</v>
      </c>
      <c r="K526" s="123">
        <f t="shared" si="155"/>
        <v>900000</v>
      </c>
      <c r="L526" s="111">
        <f t="shared" si="156"/>
        <v>1126</v>
      </c>
      <c r="M526" s="2">
        <f t="shared" si="157"/>
        <v>1900</v>
      </c>
      <c r="N526" s="112">
        <f t="shared" si="148"/>
        <v>19100000</v>
      </c>
      <c r="O526" s="2">
        <f t="shared" si="158"/>
        <v>665465</v>
      </c>
      <c r="P526" s="113">
        <f t="shared" si="159"/>
        <v>0</v>
      </c>
      <c r="Q526" s="121">
        <f t="shared" si="149"/>
        <v>233761</v>
      </c>
    </row>
    <row r="527" spans="2:17" hidden="1" x14ac:dyDescent="0.4">
      <c r="B527" s="110">
        <v>44448</v>
      </c>
      <c r="C527" s="122">
        <f t="shared" si="150"/>
        <v>900000</v>
      </c>
      <c r="D527" s="111">
        <f t="shared" si="151"/>
        <v>1126</v>
      </c>
      <c r="E527" s="2">
        <f t="shared" si="152"/>
        <v>1900</v>
      </c>
      <c r="F527" s="112">
        <f t="shared" si="146"/>
        <v>19100000</v>
      </c>
      <c r="G527" s="2">
        <f t="shared" si="153"/>
        <v>665465</v>
      </c>
      <c r="H527" s="113">
        <f t="shared" si="154"/>
        <v>0</v>
      </c>
      <c r="I527" s="121">
        <f t="shared" si="147"/>
        <v>233761</v>
      </c>
      <c r="K527" s="123">
        <f t="shared" si="155"/>
        <v>900000</v>
      </c>
      <c r="L527" s="111">
        <f t="shared" si="156"/>
        <v>1126</v>
      </c>
      <c r="M527" s="2">
        <f t="shared" si="157"/>
        <v>1900</v>
      </c>
      <c r="N527" s="112">
        <f t="shared" si="148"/>
        <v>19100000</v>
      </c>
      <c r="O527" s="2">
        <f t="shared" si="158"/>
        <v>665465</v>
      </c>
      <c r="P527" s="113">
        <f t="shared" si="159"/>
        <v>0</v>
      </c>
      <c r="Q527" s="121">
        <f t="shared" si="149"/>
        <v>233761</v>
      </c>
    </row>
    <row r="528" spans="2:17" hidden="1" x14ac:dyDescent="0.4">
      <c r="B528" s="110">
        <v>44449</v>
      </c>
      <c r="C528" s="122">
        <f t="shared" si="150"/>
        <v>900000</v>
      </c>
      <c r="D528" s="111">
        <f t="shared" si="151"/>
        <v>1126</v>
      </c>
      <c r="E528" s="2">
        <f t="shared" si="152"/>
        <v>1900</v>
      </c>
      <c r="F528" s="112">
        <f t="shared" si="146"/>
        <v>19100000</v>
      </c>
      <c r="G528" s="2">
        <f t="shared" si="153"/>
        <v>665465</v>
      </c>
      <c r="H528" s="113">
        <f t="shared" si="154"/>
        <v>0</v>
      </c>
      <c r="I528" s="121">
        <f t="shared" si="147"/>
        <v>233761</v>
      </c>
      <c r="K528" s="123">
        <f t="shared" si="155"/>
        <v>900000</v>
      </c>
      <c r="L528" s="111">
        <f t="shared" si="156"/>
        <v>1126</v>
      </c>
      <c r="M528" s="2">
        <f t="shared" si="157"/>
        <v>1900</v>
      </c>
      <c r="N528" s="112">
        <f t="shared" si="148"/>
        <v>19100000</v>
      </c>
      <c r="O528" s="2">
        <f t="shared" si="158"/>
        <v>665465</v>
      </c>
      <c r="P528" s="113">
        <f t="shared" si="159"/>
        <v>0</v>
      </c>
      <c r="Q528" s="121">
        <f t="shared" si="149"/>
        <v>233761</v>
      </c>
    </row>
    <row r="529" spans="2:17" hidden="1" x14ac:dyDescent="0.4">
      <c r="B529" s="110">
        <v>44450</v>
      </c>
      <c r="C529" s="122">
        <f t="shared" si="150"/>
        <v>900000</v>
      </c>
      <c r="D529" s="111">
        <f t="shared" si="151"/>
        <v>1126</v>
      </c>
      <c r="E529" s="2">
        <f t="shared" si="152"/>
        <v>1900</v>
      </c>
      <c r="F529" s="112">
        <f t="shared" si="146"/>
        <v>19100000</v>
      </c>
      <c r="G529" s="2">
        <f t="shared" si="153"/>
        <v>665465</v>
      </c>
      <c r="H529" s="113">
        <f t="shared" si="154"/>
        <v>0</v>
      </c>
      <c r="I529" s="121">
        <f t="shared" si="147"/>
        <v>233761</v>
      </c>
      <c r="K529" s="123">
        <f t="shared" si="155"/>
        <v>900000</v>
      </c>
      <c r="L529" s="111">
        <f t="shared" si="156"/>
        <v>1126</v>
      </c>
      <c r="M529" s="2">
        <f t="shared" si="157"/>
        <v>1900</v>
      </c>
      <c r="N529" s="112">
        <f t="shared" si="148"/>
        <v>19100000</v>
      </c>
      <c r="O529" s="2">
        <f t="shared" si="158"/>
        <v>665465</v>
      </c>
      <c r="P529" s="113">
        <f t="shared" si="159"/>
        <v>0</v>
      </c>
      <c r="Q529" s="121">
        <f t="shared" si="149"/>
        <v>233761</v>
      </c>
    </row>
    <row r="530" spans="2:17" hidden="1" x14ac:dyDescent="0.4">
      <c r="B530" s="110">
        <v>44451</v>
      </c>
      <c r="C530" s="122">
        <f t="shared" si="150"/>
        <v>900000</v>
      </c>
      <c r="D530" s="111">
        <f t="shared" si="151"/>
        <v>1126</v>
      </c>
      <c r="E530" s="2">
        <f t="shared" si="152"/>
        <v>1900</v>
      </c>
      <c r="F530" s="112">
        <f t="shared" si="146"/>
        <v>19100000</v>
      </c>
      <c r="G530" s="2">
        <f t="shared" si="153"/>
        <v>665465</v>
      </c>
      <c r="H530" s="113">
        <f t="shared" si="154"/>
        <v>0</v>
      </c>
      <c r="I530" s="121">
        <f t="shared" si="147"/>
        <v>233761</v>
      </c>
      <c r="K530" s="123">
        <f t="shared" si="155"/>
        <v>900000</v>
      </c>
      <c r="L530" s="111">
        <f t="shared" si="156"/>
        <v>1126</v>
      </c>
      <c r="M530" s="2">
        <f t="shared" si="157"/>
        <v>1900</v>
      </c>
      <c r="N530" s="112">
        <f t="shared" si="148"/>
        <v>19100000</v>
      </c>
      <c r="O530" s="2">
        <f t="shared" si="158"/>
        <v>665465</v>
      </c>
      <c r="P530" s="113">
        <f t="shared" si="159"/>
        <v>0</v>
      </c>
      <c r="Q530" s="121">
        <f t="shared" si="149"/>
        <v>233761</v>
      </c>
    </row>
    <row r="531" spans="2:17" hidden="1" x14ac:dyDescent="0.4">
      <c r="B531" s="110">
        <v>44452</v>
      </c>
      <c r="C531" s="122">
        <f t="shared" si="150"/>
        <v>900000</v>
      </c>
      <c r="D531" s="111">
        <f t="shared" si="151"/>
        <v>1126</v>
      </c>
      <c r="E531" s="2">
        <f t="shared" si="152"/>
        <v>1900</v>
      </c>
      <c r="F531" s="112">
        <f t="shared" si="146"/>
        <v>19100000</v>
      </c>
      <c r="G531" s="2">
        <f t="shared" si="153"/>
        <v>665465</v>
      </c>
      <c r="H531" s="113">
        <f t="shared" si="154"/>
        <v>0</v>
      </c>
      <c r="I531" s="121">
        <f t="shared" si="147"/>
        <v>233761</v>
      </c>
      <c r="K531" s="123">
        <f t="shared" si="155"/>
        <v>900000</v>
      </c>
      <c r="L531" s="111">
        <f t="shared" si="156"/>
        <v>1126</v>
      </c>
      <c r="M531" s="2">
        <f t="shared" si="157"/>
        <v>1900</v>
      </c>
      <c r="N531" s="112">
        <f t="shared" si="148"/>
        <v>19100000</v>
      </c>
      <c r="O531" s="2">
        <f t="shared" si="158"/>
        <v>665465</v>
      </c>
      <c r="P531" s="113">
        <f t="shared" si="159"/>
        <v>0</v>
      </c>
      <c r="Q531" s="121">
        <f t="shared" si="149"/>
        <v>233761</v>
      </c>
    </row>
    <row r="532" spans="2:17" hidden="1" x14ac:dyDescent="0.4">
      <c r="B532" s="110">
        <v>44453</v>
      </c>
      <c r="C532" s="122">
        <f t="shared" si="150"/>
        <v>900000</v>
      </c>
      <c r="D532" s="111">
        <f t="shared" si="151"/>
        <v>1126</v>
      </c>
      <c r="E532" s="2">
        <f t="shared" si="152"/>
        <v>1900</v>
      </c>
      <c r="F532" s="112">
        <f t="shared" si="146"/>
        <v>19100000</v>
      </c>
      <c r="G532" s="2">
        <f t="shared" si="153"/>
        <v>665465</v>
      </c>
      <c r="H532" s="113">
        <f t="shared" si="154"/>
        <v>0</v>
      </c>
      <c r="I532" s="121">
        <f t="shared" si="147"/>
        <v>233761</v>
      </c>
      <c r="K532" s="123">
        <f t="shared" si="155"/>
        <v>900000</v>
      </c>
      <c r="L532" s="111">
        <f t="shared" si="156"/>
        <v>1126</v>
      </c>
      <c r="M532" s="2">
        <f t="shared" si="157"/>
        <v>1900</v>
      </c>
      <c r="N532" s="112">
        <f t="shared" si="148"/>
        <v>19100000</v>
      </c>
      <c r="O532" s="2">
        <f t="shared" si="158"/>
        <v>665465</v>
      </c>
      <c r="P532" s="113">
        <f t="shared" si="159"/>
        <v>0</v>
      </c>
      <c r="Q532" s="121">
        <f t="shared" si="149"/>
        <v>233761</v>
      </c>
    </row>
    <row r="533" spans="2:17" hidden="1" x14ac:dyDescent="0.4">
      <c r="B533" s="110">
        <v>44454</v>
      </c>
      <c r="C533" s="122">
        <f t="shared" si="150"/>
        <v>900000</v>
      </c>
      <c r="D533" s="111">
        <f t="shared" si="151"/>
        <v>1126</v>
      </c>
      <c r="E533" s="2">
        <f t="shared" si="152"/>
        <v>1900</v>
      </c>
      <c r="F533" s="112">
        <f t="shared" si="146"/>
        <v>19100000</v>
      </c>
      <c r="G533" s="2">
        <f t="shared" si="153"/>
        <v>665465</v>
      </c>
      <c r="H533" s="113">
        <f t="shared" si="154"/>
        <v>0</v>
      </c>
      <c r="I533" s="121">
        <f t="shared" si="147"/>
        <v>233761</v>
      </c>
      <c r="K533" s="123">
        <f t="shared" si="155"/>
        <v>900000</v>
      </c>
      <c r="L533" s="111">
        <f t="shared" si="156"/>
        <v>1126</v>
      </c>
      <c r="M533" s="2">
        <f t="shared" si="157"/>
        <v>1900</v>
      </c>
      <c r="N533" s="112">
        <f t="shared" si="148"/>
        <v>19100000</v>
      </c>
      <c r="O533" s="2">
        <f t="shared" si="158"/>
        <v>665465</v>
      </c>
      <c r="P533" s="113">
        <f t="shared" si="159"/>
        <v>0</v>
      </c>
      <c r="Q533" s="121">
        <f t="shared" si="149"/>
        <v>233761</v>
      </c>
    </row>
    <row r="534" spans="2:17" hidden="1" x14ac:dyDescent="0.4">
      <c r="B534" s="110">
        <v>44455</v>
      </c>
      <c r="C534" s="122">
        <f t="shared" si="150"/>
        <v>900000</v>
      </c>
      <c r="D534" s="111">
        <f t="shared" si="151"/>
        <v>1126</v>
      </c>
      <c r="E534" s="2">
        <f t="shared" si="152"/>
        <v>1900</v>
      </c>
      <c r="F534" s="112">
        <f t="shared" si="146"/>
        <v>19100000</v>
      </c>
      <c r="G534" s="2">
        <f t="shared" si="153"/>
        <v>665465</v>
      </c>
      <c r="H534" s="113">
        <f t="shared" si="154"/>
        <v>0</v>
      </c>
      <c r="I534" s="121">
        <f t="shared" si="147"/>
        <v>233761</v>
      </c>
      <c r="K534" s="123">
        <f t="shared" si="155"/>
        <v>900000</v>
      </c>
      <c r="L534" s="111">
        <f t="shared" si="156"/>
        <v>1126</v>
      </c>
      <c r="M534" s="2">
        <f t="shared" si="157"/>
        <v>1900</v>
      </c>
      <c r="N534" s="112">
        <f t="shared" si="148"/>
        <v>19100000</v>
      </c>
      <c r="O534" s="2">
        <f t="shared" si="158"/>
        <v>665465</v>
      </c>
      <c r="P534" s="113">
        <f t="shared" si="159"/>
        <v>0</v>
      </c>
      <c r="Q534" s="121">
        <f t="shared" si="149"/>
        <v>233761</v>
      </c>
    </row>
    <row r="535" spans="2:17" hidden="1" x14ac:dyDescent="0.4">
      <c r="B535" s="110">
        <v>44456</v>
      </c>
      <c r="C535" s="122">
        <f t="shared" si="150"/>
        <v>900000</v>
      </c>
      <c r="D535" s="111">
        <f t="shared" si="151"/>
        <v>1126</v>
      </c>
      <c r="E535" s="2">
        <f t="shared" si="152"/>
        <v>1900</v>
      </c>
      <c r="F535" s="112">
        <f t="shared" si="146"/>
        <v>19100000</v>
      </c>
      <c r="G535" s="2">
        <f t="shared" si="153"/>
        <v>665465</v>
      </c>
      <c r="H535" s="113">
        <f t="shared" si="154"/>
        <v>0</v>
      </c>
      <c r="I535" s="121">
        <f t="shared" si="147"/>
        <v>233761</v>
      </c>
      <c r="K535" s="123">
        <f t="shared" si="155"/>
        <v>900000</v>
      </c>
      <c r="L535" s="111">
        <f t="shared" si="156"/>
        <v>1126</v>
      </c>
      <c r="M535" s="2">
        <f t="shared" si="157"/>
        <v>1900</v>
      </c>
      <c r="N535" s="112">
        <f t="shared" si="148"/>
        <v>19100000</v>
      </c>
      <c r="O535" s="2">
        <f t="shared" si="158"/>
        <v>665465</v>
      </c>
      <c r="P535" s="113">
        <f t="shared" si="159"/>
        <v>0</v>
      </c>
      <c r="Q535" s="121">
        <f t="shared" si="149"/>
        <v>233761</v>
      </c>
    </row>
    <row r="536" spans="2:17" hidden="1" x14ac:dyDescent="0.4">
      <c r="B536" s="110">
        <v>44457</v>
      </c>
      <c r="C536" s="122">
        <f t="shared" si="150"/>
        <v>900000</v>
      </c>
      <c r="D536" s="111">
        <f t="shared" si="151"/>
        <v>1126</v>
      </c>
      <c r="E536" s="2">
        <f t="shared" si="152"/>
        <v>1900</v>
      </c>
      <c r="F536" s="112">
        <f t="shared" si="146"/>
        <v>19100000</v>
      </c>
      <c r="G536" s="2">
        <f t="shared" si="153"/>
        <v>665465</v>
      </c>
      <c r="H536" s="113">
        <f t="shared" si="154"/>
        <v>0</v>
      </c>
      <c r="I536" s="121">
        <f t="shared" si="147"/>
        <v>233761</v>
      </c>
      <c r="K536" s="123">
        <f t="shared" si="155"/>
        <v>900000</v>
      </c>
      <c r="L536" s="111">
        <f t="shared" si="156"/>
        <v>1126</v>
      </c>
      <c r="M536" s="2">
        <f t="shared" si="157"/>
        <v>1900</v>
      </c>
      <c r="N536" s="112">
        <f t="shared" si="148"/>
        <v>19100000</v>
      </c>
      <c r="O536" s="2">
        <f t="shared" si="158"/>
        <v>665465</v>
      </c>
      <c r="P536" s="113">
        <f t="shared" si="159"/>
        <v>0</v>
      </c>
      <c r="Q536" s="121">
        <f t="shared" si="149"/>
        <v>233761</v>
      </c>
    </row>
    <row r="537" spans="2:17" hidden="1" x14ac:dyDescent="0.4">
      <c r="B537" s="110">
        <v>44458</v>
      </c>
      <c r="C537" s="122">
        <f t="shared" si="150"/>
        <v>900000</v>
      </c>
      <c r="D537" s="111">
        <f t="shared" si="151"/>
        <v>1126</v>
      </c>
      <c r="E537" s="2">
        <f t="shared" si="152"/>
        <v>1900</v>
      </c>
      <c r="F537" s="112">
        <f t="shared" si="146"/>
        <v>19100000</v>
      </c>
      <c r="G537" s="2">
        <f t="shared" si="153"/>
        <v>665465</v>
      </c>
      <c r="H537" s="113">
        <f t="shared" si="154"/>
        <v>0</v>
      </c>
      <c r="I537" s="121">
        <f t="shared" si="147"/>
        <v>233761</v>
      </c>
      <c r="K537" s="123">
        <f t="shared" si="155"/>
        <v>900000</v>
      </c>
      <c r="L537" s="111">
        <f t="shared" si="156"/>
        <v>1126</v>
      </c>
      <c r="M537" s="2">
        <f t="shared" si="157"/>
        <v>1900</v>
      </c>
      <c r="N537" s="112">
        <f t="shared" si="148"/>
        <v>19100000</v>
      </c>
      <c r="O537" s="2">
        <f t="shared" si="158"/>
        <v>665465</v>
      </c>
      <c r="P537" s="113">
        <f t="shared" si="159"/>
        <v>0</v>
      </c>
      <c r="Q537" s="121">
        <f t="shared" si="149"/>
        <v>233761</v>
      </c>
    </row>
    <row r="538" spans="2:17" hidden="1" x14ac:dyDescent="0.4">
      <c r="B538" s="110">
        <v>44459</v>
      </c>
      <c r="C538" s="122">
        <f t="shared" si="150"/>
        <v>900000</v>
      </c>
      <c r="D538" s="111">
        <f t="shared" si="151"/>
        <v>1126</v>
      </c>
      <c r="E538" s="2">
        <f t="shared" si="152"/>
        <v>1900</v>
      </c>
      <c r="F538" s="112">
        <f t="shared" si="146"/>
        <v>19100000</v>
      </c>
      <c r="G538" s="2">
        <f t="shared" si="153"/>
        <v>665465</v>
      </c>
      <c r="H538" s="113">
        <f t="shared" si="154"/>
        <v>0</v>
      </c>
      <c r="I538" s="121">
        <f t="shared" si="147"/>
        <v>233761</v>
      </c>
      <c r="K538" s="123">
        <f t="shared" si="155"/>
        <v>900000</v>
      </c>
      <c r="L538" s="111">
        <f t="shared" si="156"/>
        <v>1126</v>
      </c>
      <c r="M538" s="2">
        <f t="shared" si="157"/>
        <v>1900</v>
      </c>
      <c r="N538" s="112">
        <f t="shared" si="148"/>
        <v>19100000</v>
      </c>
      <c r="O538" s="2">
        <f t="shared" si="158"/>
        <v>665465</v>
      </c>
      <c r="P538" s="113">
        <f t="shared" si="159"/>
        <v>0</v>
      </c>
      <c r="Q538" s="121">
        <f t="shared" si="149"/>
        <v>233761</v>
      </c>
    </row>
    <row r="539" spans="2:17" hidden="1" x14ac:dyDescent="0.4">
      <c r="B539" s="110">
        <v>44460</v>
      </c>
      <c r="C539" s="122">
        <f t="shared" si="150"/>
        <v>900000</v>
      </c>
      <c r="D539" s="111">
        <f t="shared" si="151"/>
        <v>1126</v>
      </c>
      <c r="E539" s="2">
        <f t="shared" si="152"/>
        <v>1900</v>
      </c>
      <c r="F539" s="112">
        <f t="shared" si="146"/>
        <v>19100000</v>
      </c>
      <c r="G539" s="2">
        <f t="shared" si="153"/>
        <v>665465</v>
      </c>
      <c r="H539" s="113">
        <f t="shared" si="154"/>
        <v>0</v>
      </c>
      <c r="I539" s="121">
        <f t="shared" si="147"/>
        <v>233761</v>
      </c>
      <c r="K539" s="123">
        <f t="shared" si="155"/>
        <v>900000</v>
      </c>
      <c r="L539" s="111">
        <f t="shared" si="156"/>
        <v>1126</v>
      </c>
      <c r="M539" s="2">
        <f t="shared" si="157"/>
        <v>1900</v>
      </c>
      <c r="N539" s="112">
        <f t="shared" si="148"/>
        <v>19100000</v>
      </c>
      <c r="O539" s="2">
        <f t="shared" si="158"/>
        <v>665465</v>
      </c>
      <c r="P539" s="113">
        <f t="shared" si="159"/>
        <v>0</v>
      </c>
      <c r="Q539" s="121">
        <f t="shared" si="149"/>
        <v>233761</v>
      </c>
    </row>
    <row r="540" spans="2:17" hidden="1" x14ac:dyDescent="0.4">
      <c r="B540" s="110">
        <v>44461</v>
      </c>
      <c r="C540" s="122">
        <f t="shared" si="150"/>
        <v>900000</v>
      </c>
      <c r="D540" s="111">
        <f t="shared" si="151"/>
        <v>1126</v>
      </c>
      <c r="E540" s="2">
        <f t="shared" si="152"/>
        <v>1900</v>
      </c>
      <c r="F540" s="112">
        <f t="shared" si="146"/>
        <v>19100000</v>
      </c>
      <c r="G540" s="2">
        <f t="shared" si="153"/>
        <v>665465</v>
      </c>
      <c r="H540" s="113">
        <f t="shared" si="154"/>
        <v>0</v>
      </c>
      <c r="I540" s="121">
        <f t="shared" si="147"/>
        <v>233761</v>
      </c>
      <c r="K540" s="123">
        <f t="shared" si="155"/>
        <v>900000</v>
      </c>
      <c r="L540" s="111">
        <f t="shared" si="156"/>
        <v>1126</v>
      </c>
      <c r="M540" s="2">
        <f t="shared" si="157"/>
        <v>1900</v>
      </c>
      <c r="N540" s="112">
        <f t="shared" si="148"/>
        <v>19100000</v>
      </c>
      <c r="O540" s="2">
        <f t="shared" si="158"/>
        <v>665465</v>
      </c>
      <c r="P540" s="113">
        <f t="shared" si="159"/>
        <v>0</v>
      </c>
      <c r="Q540" s="121">
        <f t="shared" si="149"/>
        <v>233761</v>
      </c>
    </row>
    <row r="541" spans="2:17" hidden="1" x14ac:dyDescent="0.4">
      <c r="B541" s="110">
        <v>44462</v>
      </c>
      <c r="C541" s="122">
        <f t="shared" si="150"/>
        <v>900000</v>
      </c>
      <c r="D541" s="111">
        <f t="shared" si="151"/>
        <v>1126</v>
      </c>
      <c r="E541" s="2">
        <f t="shared" si="152"/>
        <v>1900</v>
      </c>
      <c r="F541" s="112">
        <f t="shared" si="146"/>
        <v>19100000</v>
      </c>
      <c r="G541" s="2">
        <f t="shared" si="153"/>
        <v>665465</v>
      </c>
      <c r="H541" s="113">
        <f t="shared" si="154"/>
        <v>0</v>
      </c>
      <c r="I541" s="121">
        <f t="shared" si="147"/>
        <v>233761</v>
      </c>
      <c r="K541" s="123">
        <f t="shared" si="155"/>
        <v>900000</v>
      </c>
      <c r="L541" s="111">
        <f t="shared" si="156"/>
        <v>1126</v>
      </c>
      <c r="M541" s="2">
        <f t="shared" si="157"/>
        <v>1900</v>
      </c>
      <c r="N541" s="112">
        <f t="shared" si="148"/>
        <v>19100000</v>
      </c>
      <c r="O541" s="2">
        <f t="shared" si="158"/>
        <v>665465</v>
      </c>
      <c r="P541" s="113">
        <f t="shared" si="159"/>
        <v>0</v>
      </c>
      <c r="Q541" s="121">
        <f t="shared" si="149"/>
        <v>233761</v>
      </c>
    </row>
    <row r="542" spans="2:17" hidden="1" x14ac:dyDescent="0.4">
      <c r="B542" s="110">
        <v>44463</v>
      </c>
      <c r="C542" s="122">
        <f t="shared" si="150"/>
        <v>900000</v>
      </c>
      <c r="D542" s="111">
        <f t="shared" si="151"/>
        <v>1126</v>
      </c>
      <c r="E542" s="2">
        <f t="shared" si="152"/>
        <v>1900</v>
      </c>
      <c r="F542" s="112">
        <f t="shared" si="146"/>
        <v>19100000</v>
      </c>
      <c r="G542" s="2">
        <f t="shared" si="153"/>
        <v>665465</v>
      </c>
      <c r="H542" s="113">
        <f t="shared" si="154"/>
        <v>0</v>
      </c>
      <c r="I542" s="121">
        <f t="shared" si="147"/>
        <v>233761</v>
      </c>
      <c r="K542" s="123">
        <f t="shared" si="155"/>
        <v>900000</v>
      </c>
      <c r="L542" s="111">
        <f t="shared" si="156"/>
        <v>1126</v>
      </c>
      <c r="M542" s="2">
        <f t="shared" si="157"/>
        <v>1900</v>
      </c>
      <c r="N542" s="112">
        <f t="shared" si="148"/>
        <v>19100000</v>
      </c>
      <c r="O542" s="2">
        <f t="shared" si="158"/>
        <v>665465</v>
      </c>
      <c r="P542" s="113">
        <f t="shared" si="159"/>
        <v>0</v>
      </c>
      <c r="Q542" s="121">
        <f t="shared" si="149"/>
        <v>233761</v>
      </c>
    </row>
    <row r="543" spans="2:17" hidden="1" x14ac:dyDescent="0.4">
      <c r="B543" s="110">
        <v>44464</v>
      </c>
      <c r="C543" s="122">
        <f t="shared" si="150"/>
        <v>900000</v>
      </c>
      <c r="D543" s="111">
        <f t="shared" si="151"/>
        <v>1126</v>
      </c>
      <c r="E543" s="2">
        <f t="shared" si="152"/>
        <v>1900</v>
      </c>
      <c r="F543" s="112">
        <f t="shared" si="146"/>
        <v>19100000</v>
      </c>
      <c r="G543" s="2">
        <f t="shared" si="153"/>
        <v>665465</v>
      </c>
      <c r="H543" s="113">
        <f t="shared" si="154"/>
        <v>0</v>
      </c>
      <c r="I543" s="121">
        <f t="shared" si="147"/>
        <v>233761</v>
      </c>
      <c r="K543" s="123">
        <f t="shared" si="155"/>
        <v>900000</v>
      </c>
      <c r="L543" s="111">
        <f t="shared" si="156"/>
        <v>1126</v>
      </c>
      <c r="M543" s="2">
        <f t="shared" si="157"/>
        <v>1900</v>
      </c>
      <c r="N543" s="112">
        <f t="shared" si="148"/>
        <v>19100000</v>
      </c>
      <c r="O543" s="2">
        <f t="shared" si="158"/>
        <v>665465</v>
      </c>
      <c r="P543" s="113">
        <f t="shared" si="159"/>
        <v>0</v>
      </c>
      <c r="Q543" s="121">
        <f t="shared" si="149"/>
        <v>233761</v>
      </c>
    </row>
    <row r="544" spans="2:17" hidden="1" x14ac:dyDescent="0.4">
      <c r="B544" s="110">
        <v>44465</v>
      </c>
      <c r="C544" s="122">
        <f t="shared" si="150"/>
        <v>900000</v>
      </c>
      <c r="D544" s="111">
        <f t="shared" si="151"/>
        <v>1126</v>
      </c>
      <c r="E544" s="2">
        <f t="shared" si="152"/>
        <v>1900</v>
      </c>
      <c r="F544" s="112">
        <f t="shared" si="146"/>
        <v>19100000</v>
      </c>
      <c r="G544" s="2">
        <f t="shared" si="153"/>
        <v>665465</v>
      </c>
      <c r="H544" s="113">
        <f t="shared" si="154"/>
        <v>0</v>
      </c>
      <c r="I544" s="121">
        <f t="shared" si="147"/>
        <v>233761</v>
      </c>
      <c r="K544" s="123">
        <f t="shared" si="155"/>
        <v>900000</v>
      </c>
      <c r="L544" s="111">
        <f t="shared" si="156"/>
        <v>1126</v>
      </c>
      <c r="M544" s="2">
        <f t="shared" si="157"/>
        <v>1900</v>
      </c>
      <c r="N544" s="112">
        <f t="shared" si="148"/>
        <v>19100000</v>
      </c>
      <c r="O544" s="2">
        <f t="shared" si="158"/>
        <v>665465</v>
      </c>
      <c r="P544" s="113">
        <f t="shared" si="159"/>
        <v>0</v>
      </c>
      <c r="Q544" s="121">
        <f t="shared" si="149"/>
        <v>233761</v>
      </c>
    </row>
    <row r="545" spans="2:17" hidden="1" x14ac:dyDescent="0.4">
      <c r="B545" s="110">
        <v>44466</v>
      </c>
      <c r="C545" s="122">
        <f t="shared" si="150"/>
        <v>900000</v>
      </c>
      <c r="D545" s="111">
        <f t="shared" si="151"/>
        <v>1126</v>
      </c>
      <c r="E545" s="2">
        <f t="shared" si="152"/>
        <v>1900</v>
      </c>
      <c r="F545" s="112">
        <f t="shared" si="146"/>
        <v>19100000</v>
      </c>
      <c r="G545" s="2">
        <f t="shared" si="153"/>
        <v>665465</v>
      </c>
      <c r="H545" s="113">
        <f t="shared" si="154"/>
        <v>0</v>
      </c>
      <c r="I545" s="121">
        <f t="shared" si="147"/>
        <v>233761</v>
      </c>
      <c r="K545" s="123">
        <f t="shared" si="155"/>
        <v>900000</v>
      </c>
      <c r="L545" s="111">
        <f t="shared" si="156"/>
        <v>1126</v>
      </c>
      <c r="M545" s="2">
        <f t="shared" si="157"/>
        <v>1900</v>
      </c>
      <c r="N545" s="112">
        <f t="shared" si="148"/>
        <v>19100000</v>
      </c>
      <c r="O545" s="2">
        <f t="shared" si="158"/>
        <v>665465</v>
      </c>
      <c r="P545" s="113">
        <f t="shared" si="159"/>
        <v>0</v>
      </c>
      <c r="Q545" s="121">
        <f t="shared" si="149"/>
        <v>233761</v>
      </c>
    </row>
    <row r="546" spans="2:17" hidden="1" x14ac:dyDescent="0.4">
      <c r="B546" s="110">
        <v>44467</v>
      </c>
      <c r="C546" s="122">
        <f t="shared" si="150"/>
        <v>900000</v>
      </c>
      <c r="D546" s="111">
        <f t="shared" si="151"/>
        <v>1126</v>
      </c>
      <c r="E546" s="2">
        <f t="shared" si="152"/>
        <v>1900</v>
      </c>
      <c r="F546" s="112">
        <f t="shared" si="146"/>
        <v>19100000</v>
      </c>
      <c r="G546" s="2">
        <f t="shared" si="153"/>
        <v>665465</v>
      </c>
      <c r="H546" s="113">
        <f t="shared" si="154"/>
        <v>0</v>
      </c>
      <c r="I546" s="121">
        <f t="shared" si="147"/>
        <v>233761</v>
      </c>
      <c r="K546" s="123">
        <f t="shared" si="155"/>
        <v>900000</v>
      </c>
      <c r="L546" s="111">
        <f t="shared" si="156"/>
        <v>1126</v>
      </c>
      <c r="M546" s="2">
        <f t="shared" si="157"/>
        <v>1900</v>
      </c>
      <c r="N546" s="112">
        <f t="shared" si="148"/>
        <v>19100000</v>
      </c>
      <c r="O546" s="2">
        <f t="shared" si="158"/>
        <v>665465</v>
      </c>
      <c r="P546" s="113">
        <f t="shared" si="159"/>
        <v>0</v>
      </c>
      <c r="Q546" s="121">
        <f t="shared" si="149"/>
        <v>233761</v>
      </c>
    </row>
    <row r="547" spans="2:17" hidden="1" x14ac:dyDescent="0.4">
      <c r="B547" s="110">
        <v>44468</v>
      </c>
      <c r="C547" s="122">
        <f t="shared" si="150"/>
        <v>900000</v>
      </c>
      <c r="D547" s="111">
        <f t="shared" si="151"/>
        <v>1126</v>
      </c>
      <c r="E547" s="2">
        <f t="shared" si="152"/>
        <v>1900</v>
      </c>
      <c r="F547" s="112">
        <f t="shared" si="146"/>
        <v>19100000</v>
      </c>
      <c r="G547" s="2">
        <f t="shared" si="153"/>
        <v>665465</v>
      </c>
      <c r="H547" s="113">
        <f t="shared" si="154"/>
        <v>0</v>
      </c>
      <c r="I547" s="121">
        <f t="shared" si="147"/>
        <v>233761</v>
      </c>
      <c r="K547" s="123">
        <f t="shared" si="155"/>
        <v>900000</v>
      </c>
      <c r="L547" s="111">
        <f t="shared" si="156"/>
        <v>1126</v>
      </c>
      <c r="M547" s="2">
        <f t="shared" si="157"/>
        <v>1900</v>
      </c>
      <c r="N547" s="112">
        <f t="shared" si="148"/>
        <v>19100000</v>
      </c>
      <c r="O547" s="2">
        <f t="shared" si="158"/>
        <v>665465</v>
      </c>
      <c r="P547" s="113">
        <f t="shared" si="159"/>
        <v>0</v>
      </c>
      <c r="Q547" s="121">
        <f t="shared" si="149"/>
        <v>233761</v>
      </c>
    </row>
    <row r="548" spans="2:17" hidden="1" x14ac:dyDescent="0.4">
      <c r="B548" s="110">
        <v>44469</v>
      </c>
      <c r="C548" s="122">
        <f t="shared" si="150"/>
        <v>900000</v>
      </c>
      <c r="D548" s="111">
        <f t="shared" si="151"/>
        <v>1126</v>
      </c>
      <c r="E548" s="2">
        <f t="shared" si="152"/>
        <v>1900</v>
      </c>
      <c r="F548" s="112">
        <f t="shared" si="146"/>
        <v>19100000</v>
      </c>
      <c r="G548" s="2">
        <f t="shared" si="153"/>
        <v>665465</v>
      </c>
      <c r="H548" s="113">
        <f t="shared" si="154"/>
        <v>0</v>
      </c>
      <c r="I548" s="121">
        <f t="shared" si="147"/>
        <v>233761</v>
      </c>
      <c r="K548" s="123">
        <f t="shared" si="155"/>
        <v>900000</v>
      </c>
      <c r="L548" s="111">
        <f t="shared" si="156"/>
        <v>1126</v>
      </c>
      <c r="M548" s="2">
        <f t="shared" si="157"/>
        <v>1900</v>
      </c>
      <c r="N548" s="112">
        <f t="shared" si="148"/>
        <v>19100000</v>
      </c>
      <c r="O548" s="2">
        <f t="shared" si="158"/>
        <v>665465</v>
      </c>
      <c r="P548" s="113">
        <f t="shared" si="159"/>
        <v>0</v>
      </c>
      <c r="Q548" s="121">
        <f t="shared" si="149"/>
        <v>233761</v>
      </c>
    </row>
    <row r="549" spans="2:17" x14ac:dyDescent="0.4">
      <c r="B549" s="110">
        <v>44470</v>
      </c>
      <c r="C549" s="122">
        <f t="shared" si="150"/>
        <v>1000000</v>
      </c>
      <c r="D549" s="111">
        <f t="shared" si="151"/>
        <v>1126</v>
      </c>
      <c r="E549" s="2">
        <f t="shared" si="152"/>
        <v>1900</v>
      </c>
      <c r="F549" s="112">
        <f t="shared" si="146"/>
        <v>19000000</v>
      </c>
      <c r="G549" s="2">
        <f t="shared" si="153"/>
        <v>665465</v>
      </c>
      <c r="H549" s="113">
        <f t="shared" si="154"/>
        <v>0</v>
      </c>
      <c r="I549" s="121">
        <f t="shared" si="147"/>
        <v>333761</v>
      </c>
      <c r="K549" s="123">
        <f t="shared" si="155"/>
        <v>1000000</v>
      </c>
      <c r="L549" s="111">
        <f t="shared" si="156"/>
        <v>1126</v>
      </c>
      <c r="M549" s="2">
        <f t="shared" si="157"/>
        <v>1900</v>
      </c>
      <c r="N549" s="112">
        <f t="shared" si="148"/>
        <v>19000000</v>
      </c>
      <c r="O549" s="2">
        <f t="shared" si="158"/>
        <v>665465</v>
      </c>
      <c r="P549" s="113">
        <f t="shared" si="159"/>
        <v>0</v>
      </c>
      <c r="Q549" s="121">
        <f t="shared" si="149"/>
        <v>333761</v>
      </c>
    </row>
    <row r="550" spans="2:17" hidden="1" x14ac:dyDescent="0.4">
      <c r="B550" s="110">
        <v>44471</v>
      </c>
      <c r="C550" s="122">
        <f t="shared" si="150"/>
        <v>1000000</v>
      </c>
      <c r="D550" s="111">
        <f t="shared" si="151"/>
        <v>1126</v>
      </c>
      <c r="E550" s="2">
        <f t="shared" si="152"/>
        <v>1900</v>
      </c>
      <c r="F550" s="112">
        <f t="shared" si="146"/>
        <v>19000000</v>
      </c>
      <c r="G550" s="2">
        <f t="shared" si="153"/>
        <v>665465</v>
      </c>
      <c r="H550" s="113">
        <f t="shared" si="154"/>
        <v>0</v>
      </c>
      <c r="I550" s="121">
        <f t="shared" si="147"/>
        <v>333761</v>
      </c>
      <c r="K550" s="123">
        <f t="shared" si="155"/>
        <v>1000000</v>
      </c>
      <c r="L550" s="111">
        <f t="shared" si="156"/>
        <v>1126</v>
      </c>
      <c r="M550" s="2">
        <f t="shared" si="157"/>
        <v>1900</v>
      </c>
      <c r="N550" s="112">
        <f t="shared" si="148"/>
        <v>19000000</v>
      </c>
      <c r="O550" s="2">
        <f t="shared" si="158"/>
        <v>665465</v>
      </c>
      <c r="P550" s="113">
        <f t="shared" si="159"/>
        <v>0</v>
      </c>
      <c r="Q550" s="121">
        <f t="shared" si="149"/>
        <v>333761</v>
      </c>
    </row>
    <row r="551" spans="2:17" hidden="1" x14ac:dyDescent="0.4">
      <c r="B551" s="110">
        <v>44472</v>
      </c>
      <c r="C551" s="122">
        <f t="shared" si="150"/>
        <v>1000000</v>
      </c>
      <c r="D551" s="111">
        <f t="shared" si="151"/>
        <v>1126</v>
      </c>
      <c r="E551" s="2">
        <f t="shared" si="152"/>
        <v>1900</v>
      </c>
      <c r="F551" s="112">
        <f t="shared" si="146"/>
        <v>19000000</v>
      </c>
      <c r="G551" s="2">
        <f t="shared" si="153"/>
        <v>665465</v>
      </c>
      <c r="H551" s="113">
        <f t="shared" si="154"/>
        <v>0</v>
      </c>
      <c r="I551" s="121">
        <f t="shared" si="147"/>
        <v>333761</v>
      </c>
      <c r="K551" s="123">
        <f t="shared" si="155"/>
        <v>1000000</v>
      </c>
      <c r="L551" s="111">
        <f t="shared" si="156"/>
        <v>1126</v>
      </c>
      <c r="M551" s="2">
        <f t="shared" si="157"/>
        <v>1900</v>
      </c>
      <c r="N551" s="112">
        <f t="shared" si="148"/>
        <v>19000000</v>
      </c>
      <c r="O551" s="2">
        <f t="shared" si="158"/>
        <v>665465</v>
      </c>
      <c r="P551" s="113">
        <f t="shared" si="159"/>
        <v>0</v>
      </c>
      <c r="Q551" s="121">
        <f t="shared" si="149"/>
        <v>333761</v>
      </c>
    </row>
    <row r="552" spans="2:17" hidden="1" x14ac:dyDescent="0.4">
      <c r="B552" s="110">
        <v>44473</v>
      </c>
      <c r="C552" s="122">
        <f t="shared" si="150"/>
        <v>1000000</v>
      </c>
      <c r="D552" s="111">
        <f t="shared" si="151"/>
        <v>1126</v>
      </c>
      <c r="E552" s="2">
        <f t="shared" si="152"/>
        <v>1900</v>
      </c>
      <c r="F552" s="112">
        <f t="shared" si="146"/>
        <v>19000000</v>
      </c>
      <c r="G552" s="2">
        <f t="shared" si="153"/>
        <v>665465</v>
      </c>
      <c r="H552" s="113">
        <f t="shared" si="154"/>
        <v>0</v>
      </c>
      <c r="I552" s="121">
        <f t="shared" si="147"/>
        <v>333761</v>
      </c>
      <c r="K552" s="123">
        <f t="shared" si="155"/>
        <v>1000000</v>
      </c>
      <c r="L552" s="111">
        <f t="shared" si="156"/>
        <v>1126</v>
      </c>
      <c r="M552" s="2">
        <f t="shared" si="157"/>
        <v>1900</v>
      </c>
      <c r="N552" s="112">
        <f t="shared" si="148"/>
        <v>19000000</v>
      </c>
      <c r="O552" s="2">
        <f t="shared" si="158"/>
        <v>665465</v>
      </c>
      <c r="P552" s="113">
        <f t="shared" si="159"/>
        <v>0</v>
      </c>
      <c r="Q552" s="121">
        <f t="shared" si="149"/>
        <v>333761</v>
      </c>
    </row>
    <row r="553" spans="2:17" hidden="1" x14ac:dyDescent="0.4">
      <c r="B553" s="110">
        <v>44474</v>
      </c>
      <c r="C553" s="122">
        <f t="shared" si="150"/>
        <v>1000000</v>
      </c>
      <c r="D553" s="111">
        <f t="shared" si="151"/>
        <v>1126</v>
      </c>
      <c r="E553" s="2">
        <f t="shared" si="152"/>
        <v>1900</v>
      </c>
      <c r="F553" s="112">
        <f t="shared" si="146"/>
        <v>19000000</v>
      </c>
      <c r="G553" s="2">
        <f t="shared" si="153"/>
        <v>665465</v>
      </c>
      <c r="H553" s="113">
        <f t="shared" si="154"/>
        <v>0</v>
      </c>
      <c r="I553" s="121">
        <f t="shared" si="147"/>
        <v>333761</v>
      </c>
      <c r="K553" s="123">
        <f t="shared" si="155"/>
        <v>1000000</v>
      </c>
      <c r="L553" s="111">
        <f t="shared" si="156"/>
        <v>1126</v>
      </c>
      <c r="M553" s="2">
        <f t="shared" si="157"/>
        <v>1900</v>
      </c>
      <c r="N553" s="112">
        <f t="shared" si="148"/>
        <v>19000000</v>
      </c>
      <c r="O553" s="2">
        <f t="shared" si="158"/>
        <v>665465</v>
      </c>
      <c r="P553" s="113">
        <f t="shared" si="159"/>
        <v>0</v>
      </c>
      <c r="Q553" s="121">
        <f t="shared" si="149"/>
        <v>333761</v>
      </c>
    </row>
    <row r="554" spans="2:17" hidden="1" x14ac:dyDescent="0.4">
      <c r="B554" s="110">
        <v>44475</v>
      </c>
      <c r="C554" s="122">
        <f t="shared" si="150"/>
        <v>1000000</v>
      </c>
      <c r="D554" s="111">
        <f t="shared" si="151"/>
        <v>1126</v>
      </c>
      <c r="E554" s="2">
        <f t="shared" si="152"/>
        <v>1900</v>
      </c>
      <c r="F554" s="112">
        <f t="shared" si="146"/>
        <v>19000000</v>
      </c>
      <c r="G554" s="2">
        <f t="shared" si="153"/>
        <v>665465</v>
      </c>
      <c r="H554" s="113">
        <f t="shared" si="154"/>
        <v>0</v>
      </c>
      <c r="I554" s="121">
        <f t="shared" si="147"/>
        <v>333761</v>
      </c>
      <c r="K554" s="123">
        <f t="shared" si="155"/>
        <v>1000000</v>
      </c>
      <c r="L554" s="111">
        <f t="shared" si="156"/>
        <v>1126</v>
      </c>
      <c r="M554" s="2">
        <f t="shared" si="157"/>
        <v>1900</v>
      </c>
      <c r="N554" s="112">
        <f t="shared" si="148"/>
        <v>19000000</v>
      </c>
      <c r="O554" s="2">
        <f t="shared" si="158"/>
        <v>665465</v>
      </c>
      <c r="P554" s="113">
        <f t="shared" si="159"/>
        <v>0</v>
      </c>
      <c r="Q554" s="121">
        <f t="shared" si="149"/>
        <v>333761</v>
      </c>
    </row>
    <row r="555" spans="2:17" hidden="1" x14ac:dyDescent="0.4">
      <c r="B555" s="110">
        <v>44476</v>
      </c>
      <c r="C555" s="122">
        <f t="shared" si="150"/>
        <v>1000000</v>
      </c>
      <c r="D555" s="111">
        <f t="shared" si="151"/>
        <v>1126</v>
      </c>
      <c r="E555" s="2">
        <f t="shared" si="152"/>
        <v>1900</v>
      </c>
      <c r="F555" s="112">
        <f t="shared" si="146"/>
        <v>19000000</v>
      </c>
      <c r="G555" s="2">
        <f t="shared" si="153"/>
        <v>665465</v>
      </c>
      <c r="H555" s="113">
        <f t="shared" si="154"/>
        <v>0</v>
      </c>
      <c r="I555" s="121">
        <f t="shared" si="147"/>
        <v>333761</v>
      </c>
      <c r="K555" s="123">
        <f t="shared" si="155"/>
        <v>1000000</v>
      </c>
      <c r="L555" s="111">
        <f t="shared" si="156"/>
        <v>1126</v>
      </c>
      <c r="M555" s="2">
        <f t="shared" si="157"/>
        <v>1900</v>
      </c>
      <c r="N555" s="112">
        <f t="shared" si="148"/>
        <v>19000000</v>
      </c>
      <c r="O555" s="2">
        <f t="shared" si="158"/>
        <v>665465</v>
      </c>
      <c r="P555" s="113">
        <f t="shared" si="159"/>
        <v>0</v>
      </c>
      <c r="Q555" s="121">
        <f t="shared" si="149"/>
        <v>333761</v>
      </c>
    </row>
    <row r="556" spans="2:17" hidden="1" x14ac:dyDescent="0.4">
      <c r="B556" s="110">
        <v>44477</v>
      </c>
      <c r="C556" s="122">
        <f t="shared" si="150"/>
        <v>1000000</v>
      </c>
      <c r="D556" s="111">
        <f t="shared" si="151"/>
        <v>1126</v>
      </c>
      <c r="E556" s="2">
        <f t="shared" si="152"/>
        <v>1900</v>
      </c>
      <c r="F556" s="112">
        <f t="shared" si="146"/>
        <v>19000000</v>
      </c>
      <c r="G556" s="2">
        <f t="shared" si="153"/>
        <v>665465</v>
      </c>
      <c r="H556" s="113">
        <f t="shared" si="154"/>
        <v>0</v>
      </c>
      <c r="I556" s="121">
        <f t="shared" si="147"/>
        <v>333761</v>
      </c>
      <c r="K556" s="123">
        <f t="shared" si="155"/>
        <v>1000000</v>
      </c>
      <c r="L556" s="111">
        <f t="shared" si="156"/>
        <v>1126</v>
      </c>
      <c r="M556" s="2">
        <f t="shared" si="157"/>
        <v>1900</v>
      </c>
      <c r="N556" s="112">
        <f t="shared" si="148"/>
        <v>19000000</v>
      </c>
      <c r="O556" s="2">
        <f t="shared" si="158"/>
        <v>665465</v>
      </c>
      <c r="P556" s="113">
        <f t="shared" si="159"/>
        <v>0</v>
      </c>
      <c r="Q556" s="121">
        <f t="shared" si="149"/>
        <v>333761</v>
      </c>
    </row>
    <row r="557" spans="2:17" hidden="1" x14ac:dyDescent="0.4">
      <c r="B557" s="110">
        <v>44478</v>
      </c>
      <c r="C557" s="122">
        <f t="shared" si="150"/>
        <v>1000000</v>
      </c>
      <c r="D557" s="111">
        <f t="shared" si="151"/>
        <v>1126</v>
      </c>
      <c r="E557" s="2">
        <f t="shared" si="152"/>
        <v>1900</v>
      </c>
      <c r="F557" s="112">
        <f t="shared" si="146"/>
        <v>19000000</v>
      </c>
      <c r="G557" s="2">
        <f t="shared" si="153"/>
        <v>665465</v>
      </c>
      <c r="H557" s="113">
        <f t="shared" si="154"/>
        <v>0</v>
      </c>
      <c r="I557" s="121">
        <f t="shared" si="147"/>
        <v>333761</v>
      </c>
      <c r="K557" s="123">
        <f t="shared" si="155"/>
        <v>1000000</v>
      </c>
      <c r="L557" s="111">
        <f t="shared" si="156"/>
        <v>1126</v>
      </c>
      <c r="M557" s="2">
        <f t="shared" si="157"/>
        <v>1900</v>
      </c>
      <c r="N557" s="112">
        <f t="shared" si="148"/>
        <v>19000000</v>
      </c>
      <c r="O557" s="2">
        <f t="shared" si="158"/>
        <v>665465</v>
      </c>
      <c r="P557" s="113">
        <f t="shared" si="159"/>
        <v>0</v>
      </c>
      <c r="Q557" s="121">
        <f t="shared" si="149"/>
        <v>333761</v>
      </c>
    </row>
    <row r="558" spans="2:17" hidden="1" x14ac:dyDescent="0.4">
      <c r="B558" s="110">
        <v>44479</v>
      </c>
      <c r="C558" s="122">
        <f t="shared" si="150"/>
        <v>1000000</v>
      </c>
      <c r="D558" s="111">
        <f t="shared" si="151"/>
        <v>1126</v>
      </c>
      <c r="E558" s="2">
        <f t="shared" si="152"/>
        <v>1900</v>
      </c>
      <c r="F558" s="112">
        <f t="shared" si="146"/>
        <v>19000000</v>
      </c>
      <c r="G558" s="2">
        <f t="shared" si="153"/>
        <v>665465</v>
      </c>
      <c r="H558" s="113">
        <f t="shared" si="154"/>
        <v>0</v>
      </c>
      <c r="I558" s="121">
        <f t="shared" si="147"/>
        <v>333761</v>
      </c>
      <c r="K558" s="123">
        <f t="shared" si="155"/>
        <v>1000000</v>
      </c>
      <c r="L558" s="111">
        <f t="shared" si="156"/>
        <v>1126</v>
      </c>
      <c r="M558" s="2">
        <f t="shared" si="157"/>
        <v>1900</v>
      </c>
      <c r="N558" s="112">
        <f t="shared" si="148"/>
        <v>19000000</v>
      </c>
      <c r="O558" s="2">
        <f t="shared" si="158"/>
        <v>665465</v>
      </c>
      <c r="P558" s="113">
        <f t="shared" si="159"/>
        <v>0</v>
      </c>
      <c r="Q558" s="121">
        <f t="shared" si="149"/>
        <v>333761</v>
      </c>
    </row>
    <row r="559" spans="2:17" hidden="1" x14ac:dyDescent="0.4">
      <c r="B559" s="110">
        <v>44480</v>
      </c>
      <c r="C559" s="122">
        <f t="shared" si="150"/>
        <v>1000000</v>
      </c>
      <c r="D559" s="111">
        <f t="shared" si="151"/>
        <v>1126</v>
      </c>
      <c r="E559" s="2">
        <f t="shared" si="152"/>
        <v>1900</v>
      </c>
      <c r="F559" s="112">
        <f t="shared" si="146"/>
        <v>19000000</v>
      </c>
      <c r="G559" s="2">
        <f t="shared" si="153"/>
        <v>665465</v>
      </c>
      <c r="H559" s="113">
        <f t="shared" si="154"/>
        <v>0</v>
      </c>
      <c r="I559" s="121">
        <f t="shared" si="147"/>
        <v>333761</v>
      </c>
      <c r="K559" s="123">
        <f t="shared" si="155"/>
        <v>1000000</v>
      </c>
      <c r="L559" s="111">
        <f t="shared" si="156"/>
        <v>1126</v>
      </c>
      <c r="M559" s="2">
        <f t="shared" si="157"/>
        <v>1900</v>
      </c>
      <c r="N559" s="112">
        <f t="shared" si="148"/>
        <v>19000000</v>
      </c>
      <c r="O559" s="2">
        <f t="shared" si="158"/>
        <v>665465</v>
      </c>
      <c r="P559" s="113">
        <f t="shared" si="159"/>
        <v>0</v>
      </c>
      <c r="Q559" s="121">
        <f t="shared" si="149"/>
        <v>333761</v>
      </c>
    </row>
    <row r="560" spans="2:17" hidden="1" x14ac:dyDescent="0.4">
      <c r="B560" s="110">
        <v>44481</v>
      </c>
      <c r="C560" s="122">
        <f t="shared" si="150"/>
        <v>1000000</v>
      </c>
      <c r="D560" s="111">
        <f t="shared" si="151"/>
        <v>1126</v>
      </c>
      <c r="E560" s="2">
        <f t="shared" si="152"/>
        <v>1900</v>
      </c>
      <c r="F560" s="112">
        <f t="shared" si="146"/>
        <v>19000000</v>
      </c>
      <c r="G560" s="2">
        <f t="shared" si="153"/>
        <v>665465</v>
      </c>
      <c r="H560" s="113">
        <f t="shared" si="154"/>
        <v>0</v>
      </c>
      <c r="I560" s="121">
        <f t="shared" si="147"/>
        <v>333761</v>
      </c>
      <c r="K560" s="123">
        <f t="shared" si="155"/>
        <v>1000000</v>
      </c>
      <c r="L560" s="111">
        <f t="shared" si="156"/>
        <v>1126</v>
      </c>
      <c r="M560" s="2">
        <f t="shared" si="157"/>
        <v>1900</v>
      </c>
      <c r="N560" s="112">
        <f t="shared" si="148"/>
        <v>19000000</v>
      </c>
      <c r="O560" s="2">
        <f t="shared" si="158"/>
        <v>665465</v>
      </c>
      <c r="P560" s="113">
        <f t="shared" si="159"/>
        <v>0</v>
      </c>
      <c r="Q560" s="121">
        <f t="shared" si="149"/>
        <v>333761</v>
      </c>
    </row>
    <row r="561" spans="2:17" hidden="1" x14ac:dyDescent="0.4">
      <c r="B561" s="110">
        <v>44482</v>
      </c>
      <c r="C561" s="122">
        <f t="shared" si="150"/>
        <v>1000000</v>
      </c>
      <c r="D561" s="111">
        <f t="shared" si="151"/>
        <v>1126</v>
      </c>
      <c r="E561" s="2">
        <f t="shared" si="152"/>
        <v>1900</v>
      </c>
      <c r="F561" s="112">
        <f t="shared" si="146"/>
        <v>19000000</v>
      </c>
      <c r="G561" s="2">
        <f t="shared" si="153"/>
        <v>665465</v>
      </c>
      <c r="H561" s="113">
        <f t="shared" si="154"/>
        <v>0</v>
      </c>
      <c r="I561" s="121">
        <f t="shared" si="147"/>
        <v>333761</v>
      </c>
      <c r="K561" s="123">
        <f t="shared" si="155"/>
        <v>1000000</v>
      </c>
      <c r="L561" s="111">
        <f t="shared" si="156"/>
        <v>1126</v>
      </c>
      <c r="M561" s="2">
        <f t="shared" si="157"/>
        <v>1900</v>
      </c>
      <c r="N561" s="112">
        <f t="shared" si="148"/>
        <v>19000000</v>
      </c>
      <c r="O561" s="2">
        <f t="shared" si="158"/>
        <v>665465</v>
      </c>
      <c r="P561" s="113">
        <f t="shared" si="159"/>
        <v>0</v>
      </c>
      <c r="Q561" s="121">
        <f t="shared" si="149"/>
        <v>333761</v>
      </c>
    </row>
    <row r="562" spans="2:17" hidden="1" x14ac:dyDescent="0.4">
      <c r="B562" s="110">
        <v>44483</v>
      </c>
      <c r="C562" s="122">
        <f t="shared" si="150"/>
        <v>1000000</v>
      </c>
      <c r="D562" s="111">
        <f t="shared" si="151"/>
        <v>1126</v>
      </c>
      <c r="E562" s="2">
        <f t="shared" si="152"/>
        <v>1900</v>
      </c>
      <c r="F562" s="112">
        <f t="shared" si="146"/>
        <v>19000000</v>
      </c>
      <c r="G562" s="2">
        <f t="shared" si="153"/>
        <v>665465</v>
      </c>
      <c r="H562" s="113">
        <f t="shared" si="154"/>
        <v>0</v>
      </c>
      <c r="I562" s="121">
        <f t="shared" si="147"/>
        <v>333761</v>
      </c>
      <c r="K562" s="123">
        <f t="shared" si="155"/>
        <v>1000000</v>
      </c>
      <c r="L562" s="111">
        <f t="shared" si="156"/>
        <v>1126</v>
      </c>
      <c r="M562" s="2">
        <f t="shared" si="157"/>
        <v>1900</v>
      </c>
      <c r="N562" s="112">
        <f t="shared" si="148"/>
        <v>19000000</v>
      </c>
      <c r="O562" s="2">
        <f t="shared" si="158"/>
        <v>665465</v>
      </c>
      <c r="P562" s="113">
        <f t="shared" si="159"/>
        <v>0</v>
      </c>
      <c r="Q562" s="121">
        <f t="shared" si="149"/>
        <v>333761</v>
      </c>
    </row>
    <row r="563" spans="2:17" hidden="1" x14ac:dyDescent="0.4">
      <c r="B563" s="110">
        <v>44484</v>
      </c>
      <c r="C563" s="122">
        <f t="shared" si="150"/>
        <v>1000000</v>
      </c>
      <c r="D563" s="111">
        <f t="shared" si="151"/>
        <v>1126</v>
      </c>
      <c r="E563" s="2">
        <f t="shared" si="152"/>
        <v>1900</v>
      </c>
      <c r="F563" s="112">
        <f t="shared" si="146"/>
        <v>19000000</v>
      </c>
      <c r="G563" s="2">
        <f t="shared" si="153"/>
        <v>665465</v>
      </c>
      <c r="H563" s="113">
        <f t="shared" si="154"/>
        <v>0</v>
      </c>
      <c r="I563" s="121">
        <f t="shared" si="147"/>
        <v>333761</v>
      </c>
      <c r="K563" s="123">
        <f t="shared" si="155"/>
        <v>1000000</v>
      </c>
      <c r="L563" s="111">
        <f t="shared" si="156"/>
        <v>1126</v>
      </c>
      <c r="M563" s="2">
        <f t="shared" si="157"/>
        <v>1900</v>
      </c>
      <c r="N563" s="112">
        <f t="shared" si="148"/>
        <v>19000000</v>
      </c>
      <c r="O563" s="2">
        <f t="shared" si="158"/>
        <v>665465</v>
      </c>
      <c r="P563" s="113">
        <f t="shared" si="159"/>
        <v>0</v>
      </c>
      <c r="Q563" s="121">
        <f t="shared" si="149"/>
        <v>333761</v>
      </c>
    </row>
    <row r="564" spans="2:17" hidden="1" x14ac:dyDescent="0.4">
      <c r="B564" s="110">
        <v>44485</v>
      </c>
      <c r="C564" s="122">
        <f t="shared" si="150"/>
        <v>1000000</v>
      </c>
      <c r="D564" s="111">
        <f t="shared" si="151"/>
        <v>1126</v>
      </c>
      <c r="E564" s="2">
        <f t="shared" si="152"/>
        <v>1900</v>
      </c>
      <c r="F564" s="112">
        <f t="shared" si="146"/>
        <v>19000000</v>
      </c>
      <c r="G564" s="2">
        <f t="shared" si="153"/>
        <v>665465</v>
      </c>
      <c r="H564" s="113">
        <f t="shared" si="154"/>
        <v>0</v>
      </c>
      <c r="I564" s="121">
        <f t="shared" si="147"/>
        <v>333761</v>
      </c>
      <c r="K564" s="123">
        <f t="shared" si="155"/>
        <v>1000000</v>
      </c>
      <c r="L564" s="111">
        <f t="shared" si="156"/>
        <v>1126</v>
      </c>
      <c r="M564" s="2">
        <f t="shared" si="157"/>
        <v>1900</v>
      </c>
      <c r="N564" s="112">
        <f t="shared" si="148"/>
        <v>19000000</v>
      </c>
      <c r="O564" s="2">
        <f t="shared" si="158"/>
        <v>665465</v>
      </c>
      <c r="P564" s="113">
        <f t="shared" si="159"/>
        <v>0</v>
      </c>
      <c r="Q564" s="121">
        <f t="shared" si="149"/>
        <v>333761</v>
      </c>
    </row>
    <row r="565" spans="2:17" hidden="1" x14ac:dyDescent="0.4">
      <c r="B565" s="110">
        <v>44486</v>
      </c>
      <c r="C565" s="122">
        <f t="shared" si="150"/>
        <v>1000000</v>
      </c>
      <c r="D565" s="111">
        <f t="shared" si="151"/>
        <v>1126</v>
      </c>
      <c r="E565" s="2">
        <f t="shared" si="152"/>
        <v>1900</v>
      </c>
      <c r="F565" s="112">
        <f t="shared" si="146"/>
        <v>19000000</v>
      </c>
      <c r="G565" s="2">
        <f t="shared" si="153"/>
        <v>665465</v>
      </c>
      <c r="H565" s="113">
        <f t="shared" si="154"/>
        <v>0</v>
      </c>
      <c r="I565" s="121">
        <f t="shared" si="147"/>
        <v>333761</v>
      </c>
      <c r="K565" s="123">
        <f t="shared" si="155"/>
        <v>1000000</v>
      </c>
      <c r="L565" s="111">
        <f t="shared" si="156"/>
        <v>1126</v>
      </c>
      <c r="M565" s="2">
        <f t="shared" si="157"/>
        <v>1900</v>
      </c>
      <c r="N565" s="112">
        <f t="shared" si="148"/>
        <v>19000000</v>
      </c>
      <c r="O565" s="2">
        <f t="shared" si="158"/>
        <v>665465</v>
      </c>
      <c r="P565" s="113">
        <f t="shared" si="159"/>
        <v>0</v>
      </c>
      <c r="Q565" s="121">
        <f t="shared" si="149"/>
        <v>333761</v>
      </c>
    </row>
    <row r="566" spans="2:17" hidden="1" x14ac:dyDescent="0.4">
      <c r="B566" s="110">
        <v>44487</v>
      </c>
      <c r="C566" s="122">
        <f t="shared" si="150"/>
        <v>1000000</v>
      </c>
      <c r="D566" s="111">
        <f t="shared" si="151"/>
        <v>1126</v>
      </c>
      <c r="E566" s="2">
        <f t="shared" si="152"/>
        <v>1900</v>
      </c>
      <c r="F566" s="112">
        <f t="shared" si="146"/>
        <v>19000000</v>
      </c>
      <c r="G566" s="2">
        <f t="shared" si="153"/>
        <v>665465</v>
      </c>
      <c r="H566" s="113">
        <f t="shared" si="154"/>
        <v>0</v>
      </c>
      <c r="I566" s="121">
        <f t="shared" si="147"/>
        <v>333761</v>
      </c>
      <c r="K566" s="123">
        <f t="shared" si="155"/>
        <v>1000000</v>
      </c>
      <c r="L566" s="111">
        <f t="shared" si="156"/>
        <v>1126</v>
      </c>
      <c r="M566" s="2">
        <f t="shared" si="157"/>
        <v>1900</v>
      </c>
      <c r="N566" s="112">
        <f t="shared" si="148"/>
        <v>19000000</v>
      </c>
      <c r="O566" s="2">
        <f t="shared" si="158"/>
        <v>665465</v>
      </c>
      <c r="P566" s="113">
        <f t="shared" si="159"/>
        <v>0</v>
      </c>
      <c r="Q566" s="121">
        <f t="shared" si="149"/>
        <v>333761</v>
      </c>
    </row>
    <row r="567" spans="2:17" hidden="1" x14ac:dyDescent="0.4">
      <c r="B567" s="110">
        <v>44488</v>
      </c>
      <c r="C567" s="122">
        <f t="shared" si="150"/>
        <v>1000000</v>
      </c>
      <c r="D567" s="111">
        <f t="shared" si="151"/>
        <v>1126</v>
      </c>
      <c r="E567" s="2">
        <f t="shared" si="152"/>
        <v>1900</v>
      </c>
      <c r="F567" s="112">
        <f t="shared" si="146"/>
        <v>19000000</v>
      </c>
      <c r="G567" s="2">
        <f t="shared" si="153"/>
        <v>665465</v>
      </c>
      <c r="H567" s="113">
        <f t="shared" si="154"/>
        <v>0</v>
      </c>
      <c r="I567" s="121">
        <f t="shared" si="147"/>
        <v>333761</v>
      </c>
      <c r="K567" s="123">
        <f t="shared" si="155"/>
        <v>1000000</v>
      </c>
      <c r="L567" s="111">
        <f t="shared" si="156"/>
        <v>1126</v>
      </c>
      <c r="M567" s="2">
        <f t="shared" si="157"/>
        <v>1900</v>
      </c>
      <c r="N567" s="112">
        <f t="shared" si="148"/>
        <v>19000000</v>
      </c>
      <c r="O567" s="2">
        <f t="shared" si="158"/>
        <v>665465</v>
      </c>
      <c r="P567" s="113">
        <f t="shared" si="159"/>
        <v>0</v>
      </c>
      <c r="Q567" s="121">
        <f t="shared" si="149"/>
        <v>333761</v>
      </c>
    </row>
    <row r="568" spans="2:17" hidden="1" x14ac:dyDescent="0.4">
      <c r="B568" s="110">
        <v>44489</v>
      </c>
      <c r="C568" s="122">
        <f t="shared" si="150"/>
        <v>1000000</v>
      </c>
      <c r="D568" s="111">
        <f t="shared" si="151"/>
        <v>1126</v>
      </c>
      <c r="E568" s="2">
        <f t="shared" si="152"/>
        <v>1900</v>
      </c>
      <c r="F568" s="112">
        <f t="shared" si="146"/>
        <v>19000000</v>
      </c>
      <c r="G568" s="2">
        <f t="shared" si="153"/>
        <v>665465</v>
      </c>
      <c r="H568" s="113">
        <f t="shared" si="154"/>
        <v>0</v>
      </c>
      <c r="I568" s="121">
        <f t="shared" si="147"/>
        <v>333761</v>
      </c>
      <c r="K568" s="123">
        <f t="shared" si="155"/>
        <v>1000000</v>
      </c>
      <c r="L568" s="111">
        <f t="shared" si="156"/>
        <v>1126</v>
      </c>
      <c r="M568" s="2">
        <f t="shared" si="157"/>
        <v>1900</v>
      </c>
      <c r="N568" s="112">
        <f t="shared" si="148"/>
        <v>19000000</v>
      </c>
      <c r="O568" s="2">
        <f t="shared" si="158"/>
        <v>665465</v>
      </c>
      <c r="P568" s="113">
        <f t="shared" si="159"/>
        <v>0</v>
      </c>
      <c r="Q568" s="121">
        <f t="shared" si="149"/>
        <v>333761</v>
      </c>
    </row>
    <row r="569" spans="2:17" hidden="1" x14ac:dyDescent="0.4">
      <c r="B569" s="110">
        <v>44490</v>
      </c>
      <c r="C569" s="122">
        <f t="shared" si="150"/>
        <v>1000000</v>
      </c>
      <c r="D569" s="111">
        <f t="shared" si="151"/>
        <v>1126</v>
      </c>
      <c r="E569" s="2">
        <f t="shared" si="152"/>
        <v>1900</v>
      </c>
      <c r="F569" s="112">
        <f t="shared" si="146"/>
        <v>19000000</v>
      </c>
      <c r="G569" s="2">
        <f t="shared" si="153"/>
        <v>665465</v>
      </c>
      <c r="H569" s="113">
        <f t="shared" si="154"/>
        <v>0</v>
      </c>
      <c r="I569" s="121">
        <f t="shared" si="147"/>
        <v>333761</v>
      </c>
      <c r="K569" s="123">
        <f t="shared" si="155"/>
        <v>1000000</v>
      </c>
      <c r="L569" s="111">
        <f t="shared" si="156"/>
        <v>1126</v>
      </c>
      <c r="M569" s="2">
        <f t="shared" si="157"/>
        <v>1900</v>
      </c>
      <c r="N569" s="112">
        <f t="shared" si="148"/>
        <v>19000000</v>
      </c>
      <c r="O569" s="2">
        <f t="shared" si="158"/>
        <v>665465</v>
      </c>
      <c r="P569" s="113">
        <f t="shared" si="159"/>
        <v>0</v>
      </c>
      <c r="Q569" s="121">
        <f t="shared" si="149"/>
        <v>333761</v>
      </c>
    </row>
    <row r="570" spans="2:17" hidden="1" x14ac:dyDescent="0.4">
      <c r="B570" s="110">
        <v>44491</v>
      </c>
      <c r="C570" s="122">
        <f t="shared" si="150"/>
        <v>1000000</v>
      </c>
      <c r="D570" s="111">
        <f t="shared" si="151"/>
        <v>1126</v>
      </c>
      <c r="E570" s="2">
        <f t="shared" si="152"/>
        <v>1900</v>
      </c>
      <c r="F570" s="112">
        <f t="shared" si="146"/>
        <v>19000000</v>
      </c>
      <c r="G570" s="2">
        <f t="shared" si="153"/>
        <v>665465</v>
      </c>
      <c r="H570" s="113">
        <f t="shared" si="154"/>
        <v>0</v>
      </c>
      <c r="I570" s="121">
        <f t="shared" si="147"/>
        <v>333761</v>
      </c>
      <c r="K570" s="123">
        <f t="shared" si="155"/>
        <v>1000000</v>
      </c>
      <c r="L570" s="111">
        <f t="shared" si="156"/>
        <v>1126</v>
      </c>
      <c r="M570" s="2">
        <f t="shared" si="157"/>
        <v>1900</v>
      </c>
      <c r="N570" s="112">
        <f t="shared" si="148"/>
        <v>19000000</v>
      </c>
      <c r="O570" s="2">
        <f t="shared" si="158"/>
        <v>665465</v>
      </c>
      <c r="P570" s="113">
        <f t="shared" si="159"/>
        <v>0</v>
      </c>
      <c r="Q570" s="121">
        <f t="shared" si="149"/>
        <v>333761</v>
      </c>
    </row>
    <row r="571" spans="2:17" hidden="1" x14ac:dyDescent="0.4">
      <c r="B571" s="110">
        <v>44492</v>
      </c>
      <c r="C571" s="122">
        <f t="shared" si="150"/>
        <v>1000000</v>
      </c>
      <c r="D571" s="111">
        <f t="shared" si="151"/>
        <v>1126</v>
      </c>
      <c r="E571" s="2">
        <f t="shared" si="152"/>
        <v>1900</v>
      </c>
      <c r="F571" s="112">
        <f t="shared" si="146"/>
        <v>19000000</v>
      </c>
      <c r="G571" s="2">
        <f t="shared" si="153"/>
        <v>665465</v>
      </c>
      <c r="H571" s="113">
        <f t="shared" si="154"/>
        <v>0</v>
      </c>
      <c r="I571" s="121">
        <f t="shared" si="147"/>
        <v>333761</v>
      </c>
      <c r="K571" s="123">
        <f t="shared" si="155"/>
        <v>1000000</v>
      </c>
      <c r="L571" s="111">
        <f t="shared" si="156"/>
        <v>1126</v>
      </c>
      <c r="M571" s="2">
        <f t="shared" si="157"/>
        <v>1900</v>
      </c>
      <c r="N571" s="112">
        <f t="shared" si="148"/>
        <v>19000000</v>
      </c>
      <c r="O571" s="2">
        <f t="shared" si="158"/>
        <v>665465</v>
      </c>
      <c r="P571" s="113">
        <f t="shared" si="159"/>
        <v>0</v>
      </c>
      <c r="Q571" s="121">
        <f t="shared" si="149"/>
        <v>333761</v>
      </c>
    </row>
    <row r="572" spans="2:17" hidden="1" x14ac:dyDescent="0.4">
      <c r="B572" s="110">
        <v>44493</v>
      </c>
      <c r="C572" s="122">
        <f t="shared" si="150"/>
        <v>1000000</v>
      </c>
      <c r="D572" s="111">
        <f t="shared" si="151"/>
        <v>1126</v>
      </c>
      <c r="E572" s="2">
        <f t="shared" si="152"/>
        <v>1900</v>
      </c>
      <c r="F572" s="112">
        <f t="shared" si="146"/>
        <v>19000000</v>
      </c>
      <c r="G572" s="2">
        <f t="shared" si="153"/>
        <v>665465</v>
      </c>
      <c r="H572" s="113">
        <f t="shared" si="154"/>
        <v>0</v>
      </c>
      <c r="I572" s="121">
        <f t="shared" si="147"/>
        <v>333761</v>
      </c>
      <c r="K572" s="123">
        <f t="shared" si="155"/>
        <v>1000000</v>
      </c>
      <c r="L572" s="111">
        <f t="shared" si="156"/>
        <v>1126</v>
      </c>
      <c r="M572" s="2">
        <f t="shared" si="157"/>
        <v>1900</v>
      </c>
      <c r="N572" s="112">
        <f t="shared" si="148"/>
        <v>19000000</v>
      </c>
      <c r="O572" s="2">
        <f t="shared" si="158"/>
        <v>665465</v>
      </c>
      <c r="P572" s="113">
        <f t="shared" si="159"/>
        <v>0</v>
      </c>
      <c r="Q572" s="121">
        <f t="shared" si="149"/>
        <v>333761</v>
      </c>
    </row>
    <row r="573" spans="2:17" hidden="1" x14ac:dyDescent="0.4">
      <c r="B573" s="110">
        <v>44494</v>
      </c>
      <c r="C573" s="122">
        <f t="shared" si="150"/>
        <v>1000000</v>
      </c>
      <c r="D573" s="111">
        <f t="shared" si="151"/>
        <v>1126</v>
      </c>
      <c r="E573" s="2">
        <f t="shared" si="152"/>
        <v>1900</v>
      </c>
      <c r="F573" s="112">
        <f t="shared" si="146"/>
        <v>19000000</v>
      </c>
      <c r="G573" s="2">
        <f t="shared" si="153"/>
        <v>665465</v>
      </c>
      <c r="H573" s="113">
        <f t="shared" si="154"/>
        <v>0</v>
      </c>
      <c r="I573" s="121">
        <f t="shared" si="147"/>
        <v>333761</v>
      </c>
      <c r="K573" s="123">
        <f t="shared" si="155"/>
        <v>1000000</v>
      </c>
      <c r="L573" s="111">
        <f t="shared" si="156"/>
        <v>1126</v>
      </c>
      <c r="M573" s="2">
        <f t="shared" si="157"/>
        <v>1900</v>
      </c>
      <c r="N573" s="112">
        <f t="shared" si="148"/>
        <v>19000000</v>
      </c>
      <c r="O573" s="2">
        <f t="shared" si="158"/>
        <v>665465</v>
      </c>
      <c r="P573" s="113">
        <f t="shared" si="159"/>
        <v>0</v>
      </c>
      <c r="Q573" s="121">
        <f t="shared" si="149"/>
        <v>333761</v>
      </c>
    </row>
    <row r="574" spans="2:17" hidden="1" x14ac:dyDescent="0.4">
      <c r="B574" s="110">
        <v>44495</v>
      </c>
      <c r="C574" s="122">
        <f t="shared" si="150"/>
        <v>1000000</v>
      </c>
      <c r="D574" s="111">
        <f t="shared" si="151"/>
        <v>1126</v>
      </c>
      <c r="E574" s="2">
        <f t="shared" si="152"/>
        <v>1900</v>
      </c>
      <c r="F574" s="112">
        <f t="shared" si="146"/>
        <v>19000000</v>
      </c>
      <c r="G574" s="2">
        <f t="shared" si="153"/>
        <v>665465</v>
      </c>
      <c r="H574" s="113">
        <f t="shared" si="154"/>
        <v>0</v>
      </c>
      <c r="I574" s="121">
        <f t="shared" si="147"/>
        <v>333761</v>
      </c>
      <c r="K574" s="123">
        <f t="shared" si="155"/>
        <v>1000000</v>
      </c>
      <c r="L574" s="111">
        <f t="shared" si="156"/>
        <v>1126</v>
      </c>
      <c r="M574" s="2">
        <f t="shared" si="157"/>
        <v>1900</v>
      </c>
      <c r="N574" s="112">
        <f t="shared" si="148"/>
        <v>19000000</v>
      </c>
      <c r="O574" s="2">
        <f t="shared" si="158"/>
        <v>665465</v>
      </c>
      <c r="P574" s="113">
        <f t="shared" si="159"/>
        <v>0</v>
      </c>
      <c r="Q574" s="121">
        <f t="shared" si="149"/>
        <v>333761</v>
      </c>
    </row>
    <row r="575" spans="2:17" hidden="1" x14ac:dyDescent="0.4">
      <c r="B575" s="110">
        <v>44496</v>
      </c>
      <c r="C575" s="122">
        <f t="shared" si="150"/>
        <v>1000000</v>
      </c>
      <c r="D575" s="111">
        <f t="shared" si="151"/>
        <v>1126</v>
      </c>
      <c r="E575" s="2">
        <f t="shared" si="152"/>
        <v>1900</v>
      </c>
      <c r="F575" s="112">
        <f t="shared" si="146"/>
        <v>19000000</v>
      </c>
      <c r="G575" s="2">
        <f t="shared" si="153"/>
        <v>665465</v>
      </c>
      <c r="H575" s="113">
        <f t="shared" si="154"/>
        <v>0</v>
      </c>
      <c r="I575" s="121">
        <f t="shared" si="147"/>
        <v>333761</v>
      </c>
      <c r="K575" s="123">
        <f t="shared" si="155"/>
        <v>1000000</v>
      </c>
      <c r="L575" s="111">
        <f t="shared" si="156"/>
        <v>1126</v>
      </c>
      <c r="M575" s="2">
        <f t="shared" si="157"/>
        <v>1900</v>
      </c>
      <c r="N575" s="112">
        <f t="shared" si="148"/>
        <v>19000000</v>
      </c>
      <c r="O575" s="2">
        <f t="shared" si="158"/>
        <v>665465</v>
      </c>
      <c r="P575" s="113">
        <f t="shared" si="159"/>
        <v>0</v>
      </c>
      <c r="Q575" s="121">
        <f t="shared" si="149"/>
        <v>333761</v>
      </c>
    </row>
    <row r="576" spans="2:17" hidden="1" x14ac:dyDescent="0.4">
      <c r="B576" s="110">
        <v>44497</v>
      </c>
      <c r="C576" s="122">
        <f t="shared" si="150"/>
        <v>1000000</v>
      </c>
      <c r="D576" s="111">
        <f t="shared" si="151"/>
        <v>1126</v>
      </c>
      <c r="E576" s="2">
        <f t="shared" si="152"/>
        <v>1900</v>
      </c>
      <c r="F576" s="112">
        <f t="shared" si="146"/>
        <v>19000000</v>
      </c>
      <c r="G576" s="2">
        <f t="shared" si="153"/>
        <v>665465</v>
      </c>
      <c r="H576" s="113">
        <f t="shared" si="154"/>
        <v>0</v>
      </c>
      <c r="I576" s="121">
        <f t="shared" si="147"/>
        <v>333761</v>
      </c>
      <c r="K576" s="123">
        <f t="shared" si="155"/>
        <v>1000000</v>
      </c>
      <c r="L576" s="111">
        <f t="shared" si="156"/>
        <v>1126</v>
      </c>
      <c r="M576" s="2">
        <f t="shared" si="157"/>
        <v>1900</v>
      </c>
      <c r="N576" s="112">
        <f t="shared" si="148"/>
        <v>19000000</v>
      </c>
      <c r="O576" s="2">
        <f t="shared" si="158"/>
        <v>665465</v>
      </c>
      <c r="P576" s="113">
        <f t="shared" si="159"/>
        <v>0</v>
      </c>
      <c r="Q576" s="121">
        <f t="shared" si="149"/>
        <v>333761</v>
      </c>
    </row>
    <row r="577" spans="2:17" hidden="1" x14ac:dyDescent="0.4">
      <c r="B577" s="110">
        <v>44498</v>
      </c>
      <c r="C577" s="122">
        <f t="shared" si="150"/>
        <v>1000000</v>
      </c>
      <c r="D577" s="111">
        <f t="shared" si="151"/>
        <v>1126</v>
      </c>
      <c r="E577" s="2">
        <f t="shared" si="152"/>
        <v>1900</v>
      </c>
      <c r="F577" s="112">
        <f t="shared" si="146"/>
        <v>19000000</v>
      </c>
      <c r="G577" s="2">
        <f t="shared" si="153"/>
        <v>665465</v>
      </c>
      <c r="H577" s="113">
        <f t="shared" si="154"/>
        <v>0</v>
      </c>
      <c r="I577" s="121">
        <f t="shared" si="147"/>
        <v>333761</v>
      </c>
      <c r="K577" s="123">
        <f t="shared" si="155"/>
        <v>1000000</v>
      </c>
      <c r="L577" s="111">
        <f t="shared" si="156"/>
        <v>1126</v>
      </c>
      <c r="M577" s="2">
        <f t="shared" si="157"/>
        <v>1900</v>
      </c>
      <c r="N577" s="112">
        <f t="shared" si="148"/>
        <v>19000000</v>
      </c>
      <c r="O577" s="2">
        <f t="shared" si="158"/>
        <v>665465</v>
      </c>
      <c r="P577" s="113">
        <f t="shared" si="159"/>
        <v>0</v>
      </c>
      <c r="Q577" s="121">
        <f t="shared" si="149"/>
        <v>333761</v>
      </c>
    </row>
    <row r="578" spans="2:17" hidden="1" x14ac:dyDescent="0.4">
      <c r="B578" s="110">
        <v>44499</v>
      </c>
      <c r="C578" s="122">
        <f t="shared" si="150"/>
        <v>1000000</v>
      </c>
      <c r="D578" s="111">
        <f t="shared" si="151"/>
        <v>1126</v>
      </c>
      <c r="E578" s="2">
        <f t="shared" si="152"/>
        <v>1900</v>
      </c>
      <c r="F578" s="112">
        <f t="shared" si="146"/>
        <v>19000000</v>
      </c>
      <c r="G578" s="2">
        <f t="shared" si="153"/>
        <v>665465</v>
      </c>
      <c r="H578" s="113">
        <f t="shared" si="154"/>
        <v>0</v>
      </c>
      <c r="I578" s="121">
        <f t="shared" si="147"/>
        <v>333761</v>
      </c>
      <c r="K578" s="123">
        <f t="shared" si="155"/>
        <v>1000000</v>
      </c>
      <c r="L578" s="111">
        <f t="shared" si="156"/>
        <v>1126</v>
      </c>
      <c r="M578" s="2">
        <f t="shared" si="157"/>
        <v>1900</v>
      </c>
      <c r="N578" s="112">
        <f t="shared" si="148"/>
        <v>19000000</v>
      </c>
      <c r="O578" s="2">
        <f t="shared" si="158"/>
        <v>665465</v>
      </c>
      <c r="P578" s="113">
        <f t="shared" si="159"/>
        <v>0</v>
      </c>
      <c r="Q578" s="121">
        <f t="shared" si="149"/>
        <v>333761</v>
      </c>
    </row>
    <row r="579" spans="2:17" hidden="1" x14ac:dyDescent="0.4">
      <c r="B579" s="110">
        <v>44500</v>
      </c>
      <c r="C579" s="122">
        <f t="shared" si="150"/>
        <v>1000000</v>
      </c>
      <c r="D579" s="111">
        <f t="shared" si="151"/>
        <v>1126</v>
      </c>
      <c r="E579" s="2">
        <f t="shared" si="152"/>
        <v>1900</v>
      </c>
      <c r="F579" s="112">
        <f t="shared" si="146"/>
        <v>19000000</v>
      </c>
      <c r="G579" s="2">
        <f t="shared" si="153"/>
        <v>665465</v>
      </c>
      <c r="H579" s="113">
        <f t="shared" si="154"/>
        <v>0</v>
      </c>
      <c r="I579" s="121">
        <f t="shared" si="147"/>
        <v>333761</v>
      </c>
      <c r="K579" s="123">
        <f t="shared" si="155"/>
        <v>1000000</v>
      </c>
      <c r="L579" s="111">
        <f t="shared" si="156"/>
        <v>1126</v>
      </c>
      <c r="M579" s="2">
        <f t="shared" si="157"/>
        <v>1900</v>
      </c>
      <c r="N579" s="112">
        <f t="shared" si="148"/>
        <v>19000000</v>
      </c>
      <c r="O579" s="2">
        <f t="shared" si="158"/>
        <v>665465</v>
      </c>
      <c r="P579" s="113">
        <f t="shared" si="159"/>
        <v>0</v>
      </c>
      <c r="Q579" s="121">
        <f t="shared" si="149"/>
        <v>333761</v>
      </c>
    </row>
    <row r="580" spans="2:17" x14ac:dyDescent="0.4">
      <c r="B580" s="110">
        <v>44501</v>
      </c>
      <c r="C580" s="122">
        <f t="shared" si="150"/>
        <v>1000000</v>
      </c>
      <c r="D580" s="111">
        <f t="shared" si="151"/>
        <v>1126</v>
      </c>
      <c r="E580" s="2">
        <f t="shared" si="152"/>
        <v>1900</v>
      </c>
      <c r="F580" s="112">
        <f t="shared" si="146"/>
        <v>19000000</v>
      </c>
      <c r="G580" s="2">
        <f t="shared" si="153"/>
        <v>665465</v>
      </c>
      <c r="H580" s="113">
        <f t="shared" si="154"/>
        <v>0</v>
      </c>
      <c r="I580" s="121">
        <f t="shared" si="147"/>
        <v>333761</v>
      </c>
      <c r="K580" s="123">
        <f t="shared" si="155"/>
        <v>1000000</v>
      </c>
      <c r="L580" s="111">
        <f t="shared" si="156"/>
        <v>1126</v>
      </c>
      <c r="M580" s="2">
        <f t="shared" si="157"/>
        <v>1900</v>
      </c>
      <c r="N580" s="112">
        <f t="shared" si="148"/>
        <v>19000000</v>
      </c>
      <c r="O580" s="2">
        <f t="shared" si="158"/>
        <v>665465</v>
      </c>
      <c r="P580" s="113">
        <f t="shared" si="159"/>
        <v>0</v>
      </c>
      <c r="Q580" s="121">
        <f t="shared" si="149"/>
        <v>333761</v>
      </c>
    </row>
    <row r="581" spans="2:17" hidden="1" x14ac:dyDescent="0.4">
      <c r="B581" s="110">
        <v>44502</v>
      </c>
      <c r="C581" s="122">
        <f t="shared" si="150"/>
        <v>1000000</v>
      </c>
      <c r="D581" s="111">
        <f t="shared" si="151"/>
        <v>1126</v>
      </c>
      <c r="E581" s="2">
        <f t="shared" si="152"/>
        <v>1900</v>
      </c>
      <c r="F581" s="112">
        <f t="shared" si="146"/>
        <v>19000000</v>
      </c>
      <c r="G581" s="2">
        <f t="shared" si="153"/>
        <v>665465</v>
      </c>
      <c r="H581" s="113">
        <f t="shared" si="154"/>
        <v>0</v>
      </c>
      <c r="I581" s="121">
        <f t="shared" si="147"/>
        <v>333761</v>
      </c>
      <c r="K581" s="123">
        <f t="shared" si="155"/>
        <v>1000000</v>
      </c>
      <c r="L581" s="111">
        <f t="shared" si="156"/>
        <v>1126</v>
      </c>
      <c r="M581" s="2">
        <f t="shared" si="157"/>
        <v>1900</v>
      </c>
      <c r="N581" s="112">
        <f t="shared" si="148"/>
        <v>19000000</v>
      </c>
      <c r="O581" s="2">
        <f t="shared" si="158"/>
        <v>665465</v>
      </c>
      <c r="P581" s="113">
        <f t="shared" si="159"/>
        <v>0</v>
      </c>
      <c r="Q581" s="121">
        <f t="shared" si="149"/>
        <v>333761</v>
      </c>
    </row>
    <row r="582" spans="2:17" hidden="1" x14ac:dyDescent="0.4">
      <c r="B582" s="110">
        <v>44503</v>
      </c>
      <c r="C582" s="122">
        <f t="shared" si="150"/>
        <v>1000000</v>
      </c>
      <c r="D582" s="111">
        <f t="shared" si="151"/>
        <v>1126</v>
      </c>
      <c r="E582" s="2">
        <f t="shared" si="152"/>
        <v>1900</v>
      </c>
      <c r="F582" s="112">
        <f t="shared" si="146"/>
        <v>19000000</v>
      </c>
      <c r="G582" s="2">
        <f t="shared" si="153"/>
        <v>665465</v>
      </c>
      <c r="H582" s="113">
        <f t="shared" si="154"/>
        <v>0</v>
      </c>
      <c r="I582" s="121">
        <f t="shared" si="147"/>
        <v>333761</v>
      </c>
      <c r="K582" s="123">
        <f t="shared" si="155"/>
        <v>1000000</v>
      </c>
      <c r="L582" s="111">
        <f t="shared" si="156"/>
        <v>1126</v>
      </c>
      <c r="M582" s="2">
        <f t="shared" si="157"/>
        <v>1900</v>
      </c>
      <c r="N582" s="112">
        <f t="shared" si="148"/>
        <v>19000000</v>
      </c>
      <c r="O582" s="2">
        <f t="shared" si="158"/>
        <v>665465</v>
      </c>
      <c r="P582" s="113">
        <f t="shared" si="159"/>
        <v>0</v>
      </c>
      <c r="Q582" s="121">
        <f t="shared" si="149"/>
        <v>333761</v>
      </c>
    </row>
    <row r="583" spans="2:17" hidden="1" x14ac:dyDescent="0.4">
      <c r="B583" s="110">
        <v>44504</v>
      </c>
      <c r="C583" s="122">
        <f t="shared" si="150"/>
        <v>1000000</v>
      </c>
      <c r="D583" s="111">
        <f t="shared" si="151"/>
        <v>1126</v>
      </c>
      <c r="E583" s="2">
        <f t="shared" si="152"/>
        <v>1900</v>
      </c>
      <c r="F583" s="112">
        <f t="shared" si="146"/>
        <v>19000000</v>
      </c>
      <c r="G583" s="2">
        <f t="shared" si="153"/>
        <v>665465</v>
      </c>
      <c r="H583" s="113">
        <f t="shared" si="154"/>
        <v>0</v>
      </c>
      <c r="I583" s="121">
        <f t="shared" si="147"/>
        <v>333761</v>
      </c>
      <c r="K583" s="123">
        <f t="shared" si="155"/>
        <v>1000000</v>
      </c>
      <c r="L583" s="111">
        <f t="shared" si="156"/>
        <v>1126</v>
      </c>
      <c r="M583" s="2">
        <f t="shared" si="157"/>
        <v>1900</v>
      </c>
      <c r="N583" s="112">
        <f t="shared" si="148"/>
        <v>19000000</v>
      </c>
      <c r="O583" s="2">
        <f t="shared" si="158"/>
        <v>665465</v>
      </c>
      <c r="P583" s="113">
        <f t="shared" si="159"/>
        <v>0</v>
      </c>
      <c r="Q583" s="121">
        <f t="shared" si="149"/>
        <v>333761</v>
      </c>
    </row>
    <row r="584" spans="2:17" hidden="1" x14ac:dyDescent="0.4">
      <c r="B584" s="110">
        <v>44505</v>
      </c>
      <c r="C584" s="122">
        <f t="shared" si="150"/>
        <v>1000000</v>
      </c>
      <c r="D584" s="111">
        <f t="shared" si="151"/>
        <v>1126</v>
      </c>
      <c r="E584" s="2">
        <f t="shared" si="152"/>
        <v>1900</v>
      </c>
      <c r="F584" s="112">
        <f t="shared" si="146"/>
        <v>19000000</v>
      </c>
      <c r="G584" s="2">
        <f t="shared" si="153"/>
        <v>665465</v>
      </c>
      <c r="H584" s="113">
        <f t="shared" si="154"/>
        <v>0</v>
      </c>
      <c r="I584" s="121">
        <f t="shared" si="147"/>
        <v>333761</v>
      </c>
      <c r="K584" s="123">
        <f t="shared" si="155"/>
        <v>1000000</v>
      </c>
      <c r="L584" s="111">
        <f t="shared" si="156"/>
        <v>1126</v>
      </c>
      <c r="M584" s="2">
        <f t="shared" si="157"/>
        <v>1900</v>
      </c>
      <c r="N584" s="112">
        <f t="shared" si="148"/>
        <v>19000000</v>
      </c>
      <c r="O584" s="2">
        <f t="shared" si="158"/>
        <v>665465</v>
      </c>
      <c r="P584" s="113">
        <f t="shared" si="159"/>
        <v>0</v>
      </c>
      <c r="Q584" s="121">
        <f t="shared" si="149"/>
        <v>333761</v>
      </c>
    </row>
    <row r="585" spans="2:17" hidden="1" x14ac:dyDescent="0.4">
      <c r="B585" s="110">
        <v>44506</v>
      </c>
      <c r="C585" s="122">
        <f t="shared" si="150"/>
        <v>1000000</v>
      </c>
      <c r="D585" s="111">
        <f t="shared" si="151"/>
        <v>1126</v>
      </c>
      <c r="E585" s="2">
        <f t="shared" si="152"/>
        <v>1900</v>
      </c>
      <c r="F585" s="112">
        <f t="shared" si="146"/>
        <v>19000000</v>
      </c>
      <c r="G585" s="2">
        <f t="shared" si="153"/>
        <v>665465</v>
      </c>
      <c r="H585" s="113">
        <f t="shared" si="154"/>
        <v>0</v>
      </c>
      <c r="I585" s="121">
        <f t="shared" si="147"/>
        <v>333761</v>
      </c>
      <c r="K585" s="123">
        <f t="shared" si="155"/>
        <v>1000000</v>
      </c>
      <c r="L585" s="111">
        <f t="shared" si="156"/>
        <v>1126</v>
      </c>
      <c r="M585" s="2">
        <f t="shared" si="157"/>
        <v>1900</v>
      </c>
      <c r="N585" s="112">
        <f t="shared" si="148"/>
        <v>19000000</v>
      </c>
      <c r="O585" s="2">
        <f t="shared" si="158"/>
        <v>665465</v>
      </c>
      <c r="P585" s="113">
        <f t="shared" si="159"/>
        <v>0</v>
      </c>
      <c r="Q585" s="121">
        <f t="shared" si="149"/>
        <v>333761</v>
      </c>
    </row>
    <row r="586" spans="2:17" hidden="1" x14ac:dyDescent="0.4">
      <c r="B586" s="110">
        <v>44507</v>
      </c>
      <c r="C586" s="122">
        <f t="shared" si="150"/>
        <v>1000000</v>
      </c>
      <c r="D586" s="111">
        <f t="shared" si="151"/>
        <v>1126</v>
      </c>
      <c r="E586" s="2">
        <f t="shared" si="152"/>
        <v>1900</v>
      </c>
      <c r="F586" s="112">
        <f t="shared" ref="F586:F649" si="160">20000000-C586</f>
        <v>19000000</v>
      </c>
      <c r="G586" s="2">
        <f t="shared" si="153"/>
        <v>665465</v>
      </c>
      <c r="H586" s="113">
        <f t="shared" si="154"/>
        <v>0</v>
      </c>
      <c r="I586" s="121">
        <f t="shared" ref="I586:I649" si="161">C586+D586-G586-E586+H586</f>
        <v>333761</v>
      </c>
      <c r="K586" s="123">
        <f t="shared" si="155"/>
        <v>1000000</v>
      </c>
      <c r="L586" s="111">
        <f t="shared" si="156"/>
        <v>1126</v>
      </c>
      <c r="M586" s="2">
        <f t="shared" si="157"/>
        <v>1900</v>
      </c>
      <c r="N586" s="112">
        <f t="shared" ref="N586:N649" si="162">20000000-K586</f>
        <v>19000000</v>
      </c>
      <c r="O586" s="2">
        <f t="shared" si="158"/>
        <v>665465</v>
      </c>
      <c r="P586" s="113">
        <f t="shared" si="159"/>
        <v>0</v>
      </c>
      <c r="Q586" s="121">
        <f t="shared" ref="Q586:Q649" si="163">K586+L586-O586-M586+P586</f>
        <v>333761</v>
      </c>
    </row>
    <row r="587" spans="2:17" hidden="1" x14ac:dyDescent="0.4">
      <c r="B587" s="110">
        <v>44508</v>
      </c>
      <c r="C587" s="122">
        <f t="shared" ref="C587:C650" si="164">SUMIF($B$6:$B$75,$B587,$D$6:$D$75)+C586</f>
        <v>1000000</v>
      </c>
      <c r="D587" s="111">
        <f t="shared" ref="D587:D650" si="165">SUMIF($B$6:$B$75,$B587,$E$6:$E$75)+D586</f>
        <v>1126</v>
      </c>
      <c r="E587" s="2">
        <f t="shared" ref="E587:E650" si="166">SUMIF($G$353:$G$376,$B587,$J$353:$J$376)+SUMIF($E$353:$E$376,$B587,$H$353:$H$376)+SUMIF($G$353:$G$376,$B587,$I$353:$I$376)+E586</f>
        <v>1900</v>
      </c>
      <c r="F587" s="112">
        <f t="shared" si="160"/>
        <v>19000000</v>
      </c>
      <c r="G587" s="2">
        <f t="shared" ref="G587:G650" si="167">SUMIF($E$353:$E$376,$B587,$M$353:$M$376)+G586</f>
        <v>665465</v>
      </c>
      <c r="H587" s="113">
        <f t="shared" ref="H587:H650" si="168">SUMIF($G$353:$G$376,$B587,$N$353:$N$376)+H586</f>
        <v>0</v>
      </c>
      <c r="I587" s="121">
        <f t="shared" si="161"/>
        <v>333761</v>
      </c>
      <c r="K587" s="123">
        <f t="shared" ref="K587:K650" si="169">SUMIF($B$6:$B$75,$B587,$D$6:$D$75)+K586</f>
        <v>1000000</v>
      </c>
      <c r="L587" s="111">
        <f t="shared" ref="L587:L650" si="170">SUMIF($B$6:$B$75,$B587,$E$6:$E$75)+L586</f>
        <v>1126</v>
      </c>
      <c r="M587" s="2">
        <f t="shared" ref="M587:M650" si="171">SUMIF($G$353:$G$376,$B587,$J$353:$J$376)+SUMIF($E$353:$E$376,$B587,$H$353:$H$376)+SUMIF($G$353:$G$376,$B587,$I$353:$I$376)+M586</f>
        <v>1900</v>
      </c>
      <c r="N587" s="112">
        <f t="shared" si="162"/>
        <v>19000000</v>
      </c>
      <c r="O587" s="2">
        <f t="shared" ref="O587:O650" si="172">SUMIF($E$353:$E$376,$B587,$M$353:$M$376)+O586</f>
        <v>665465</v>
      </c>
      <c r="P587" s="113">
        <f t="shared" ref="P587:P650" si="173">SUMIF($G$353:$G$376,$B587,$N$353:$N$376)+P586</f>
        <v>0</v>
      </c>
      <c r="Q587" s="121">
        <f t="shared" si="163"/>
        <v>333761</v>
      </c>
    </row>
    <row r="588" spans="2:17" hidden="1" x14ac:dyDescent="0.4">
      <c r="B588" s="110">
        <v>44509</v>
      </c>
      <c r="C588" s="122">
        <f t="shared" si="164"/>
        <v>1000000</v>
      </c>
      <c r="D588" s="111">
        <f t="shared" si="165"/>
        <v>1126</v>
      </c>
      <c r="E588" s="2">
        <f t="shared" si="166"/>
        <v>1900</v>
      </c>
      <c r="F588" s="112">
        <f t="shared" si="160"/>
        <v>19000000</v>
      </c>
      <c r="G588" s="2">
        <f t="shared" si="167"/>
        <v>665465</v>
      </c>
      <c r="H588" s="113">
        <f t="shared" si="168"/>
        <v>0</v>
      </c>
      <c r="I588" s="121">
        <f t="shared" si="161"/>
        <v>333761</v>
      </c>
      <c r="K588" s="123">
        <f t="shared" si="169"/>
        <v>1000000</v>
      </c>
      <c r="L588" s="111">
        <f t="shared" si="170"/>
        <v>1126</v>
      </c>
      <c r="M588" s="2">
        <f t="shared" si="171"/>
        <v>1900</v>
      </c>
      <c r="N588" s="112">
        <f t="shared" si="162"/>
        <v>19000000</v>
      </c>
      <c r="O588" s="2">
        <f t="shared" si="172"/>
        <v>665465</v>
      </c>
      <c r="P588" s="113">
        <f t="shared" si="173"/>
        <v>0</v>
      </c>
      <c r="Q588" s="121">
        <f t="shared" si="163"/>
        <v>333761</v>
      </c>
    </row>
    <row r="589" spans="2:17" hidden="1" x14ac:dyDescent="0.4">
      <c r="B589" s="110">
        <v>44510</v>
      </c>
      <c r="C589" s="122">
        <f t="shared" si="164"/>
        <v>1000000</v>
      </c>
      <c r="D589" s="111">
        <f t="shared" si="165"/>
        <v>1126</v>
      </c>
      <c r="E589" s="2">
        <f t="shared" si="166"/>
        <v>1900</v>
      </c>
      <c r="F589" s="112">
        <f t="shared" si="160"/>
        <v>19000000</v>
      </c>
      <c r="G589" s="2">
        <f t="shared" si="167"/>
        <v>665465</v>
      </c>
      <c r="H589" s="113">
        <f t="shared" si="168"/>
        <v>0</v>
      </c>
      <c r="I589" s="121">
        <f t="shared" si="161"/>
        <v>333761</v>
      </c>
      <c r="K589" s="123">
        <f t="shared" si="169"/>
        <v>1000000</v>
      </c>
      <c r="L589" s="111">
        <f t="shared" si="170"/>
        <v>1126</v>
      </c>
      <c r="M589" s="2">
        <f t="shared" si="171"/>
        <v>1900</v>
      </c>
      <c r="N589" s="112">
        <f t="shared" si="162"/>
        <v>19000000</v>
      </c>
      <c r="O589" s="2">
        <f t="shared" si="172"/>
        <v>665465</v>
      </c>
      <c r="P589" s="113">
        <f t="shared" si="173"/>
        <v>0</v>
      </c>
      <c r="Q589" s="121">
        <f t="shared" si="163"/>
        <v>333761</v>
      </c>
    </row>
    <row r="590" spans="2:17" hidden="1" x14ac:dyDescent="0.4">
      <c r="B590" s="110">
        <v>44511</v>
      </c>
      <c r="C590" s="122">
        <f t="shared" si="164"/>
        <v>1000000</v>
      </c>
      <c r="D590" s="111">
        <f t="shared" si="165"/>
        <v>1126</v>
      </c>
      <c r="E590" s="2">
        <f t="shared" si="166"/>
        <v>1900</v>
      </c>
      <c r="F590" s="112">
        <f t="shared" si="160"/>
        <v>19000000</v>
      </c>
      <c r="G590" s="2">
        <f t="shared" si="167"/>
        <v>665465</v>
      </c>
      <c r="H590" s="113">
        <f t="shared" si="168"/>
        <v>0</v>
      </c>
      <c r="I590" s="121">
        <f t="shared" si="161"/>
        <v>333761</v>
      </c>
      <c r="K590" s="123">
        <f t="shared" si="169"/>
        <v>1000000</v>
      </c>
      <c r="L590" s="111">
        <f t="shared" si="170"/>
        <v>1126</v>
      </c>
      <c r="M590" s="2">
        <f t="shared" si="171"/>
        <v>1900</v>
      </c>
      <c r="N590" s="112">
        <f t="shared" si="162"/>
        <v>19000000</v>
      </c>
      <c r="O590" s="2">
        <f t="shared" si="172"/>
        <v>665465</v>
      </c>
      <c r="P590" s="113">
        <f t="shared" si="173"/>
        <v>0</v>
      </c>
      <c r="Q590" s="121">
        <f t="shared" si="163"/>
        <v>333761</v>
      </c>
    </row>
    <row r="591" spans="2:17" hidden="1" x14ac:dyDescent="0.4">
      <c r="B591" s="110">
        <v>44512</v>
      </c>
      <c r="C591" s="122">
        <f t="shared" si="164"/>
        <v>1000000</v>
      </c>
      <c r="D591" s="111">
        <f t="shared" si="165"/>
        <v>1126</v>
      </c>
      <c r="E591" s="2">
        <f t="shared" si="166"/>
        <v>1900</v>
      </c>
      <c r="F591" s="112">
        <f t="shared" si="160"/>
        <v>19000000</v>
      </c>
      <c r="G591" s="2">
        <f t="shared" si="167"/>
        <v>665465</v>
      </c>
      <c r="H591" s="113">
        <f t="shared" si="168"/>
        <v>0</v>
      </c>
      <c r="I591" s="121">
        <f t="shared" si="161"/>
        <v>333761</v>
      </c>
      <c r="K591" s="123">
        <f t="shared" si="169"/>
        <v>1000000</v>
      </c>
      <c r="L591" s="111">
        <f t="shared" si="170"/>
        <v>1126</v>
      </c>
      <c r="M591" s="2">
        <f t="shared" si="171"/>
        <v>1900</v>
      </c>
      <c r="N591" s="112">
        <f t="shared" si="162"/>
        <v>19000000</v>
      </c>
      <c r="O591" s="2">
        <f t="shared" si="172"/>
        <v>665465</v>
      </c>
      <c r="P591" s="113">
        <f t="shared" si="173"/>
        <v>0</v>
      </c>
      <c r="Q591" s="121">
        <f t="shared" si="163"/>
        <v>333761</v>
      </c>
    </row>
    <row r="592" spans="2:17" hidden="1" x14ac:dyDescent="0.4">
      <c r="B592" s="110">
        <v>44513</v>
      </c>
      <c r="C592" s="122">
        <f t="shared" si="164"/>
        <v>1000000</v>
      </c>
      <c r="D592" s="111">
        <f t="shared" si="165"/>
        <v>1126</v>
      </c>
      <c r="E592" s="2">
        <f t="shared" si="166"/>
        <v>1900</v>
      </c>
      <c r="F592" s="112">
        <f t="shared" si="160"/>
        <v>19000000</v>
      </c>
      <c r="G592" s="2">
        <f t="shared" si="167"/>
        <v>665465</v>
      </c>
      <c r="H592" s="113">
        <f t="shared" si="168"/>
        <v>0</v>
      </c>
      <c r="I592" s="121">
        <f t="shared" si="161"/>
        <v>333761</v>
      </c>
      <c r="K592" s="123">
        <f t="shared" si="169"/>
        <v>1000000</v>
      </c>
      <c r="L592" s="111">
        <f t="shared" si="170"/>
        <v>1126</v>
      </c>
      <c r="M592" s="2">
        <f t="shared" si="171"/>
        <v>1900</v>
      </c>
      <c r="N592" s="112">
        <f t="shared" si="162"/>
        <v>19000000</v>
      </c>
      <c r="O592" s="2">
        <f t="shared" si="172"/>
        <v>665465</v>
      </c>
      <c r="P592" s="113">
        <f t="shared" si="173"/>
        <v>0</v>
      </c>
      <c r="Q592" s="121">
        <f t="shared" si="163"/>
        <v>333761</v>
      </c>
    </row>
    <row r="593" spans="2:17" hidden="1" x14ac:dyDescent="0.4">
      <c r="B593" s="110">
        <v>44514</v>
      </c>
      <c r="C593" s="122">
        <f t="shared" si="164"/>
        <v>1000000</v>
      </c>
      <c r="D593" s="111">
        <f t="shared" si="165"/>
        <v>1126</v>
      </c>
      <c r="E593" s="2">
        <f t="shared" si="166"/>
        <v>1900</v>
      </c>
      <c r="F593" s="112">
        <f t="shared" si="160"/>
        <v>19000000</v>
      </c>
      <c r="G593" s="2">
        <f t="shared" si="167"/>
        <v>665465</v>
      </c>
      <c r="H593" s="113">
        <f t="shared" si="168"/>
        <v>0</v>
      </c>
      <c r="I593" s="121">
        <f t="shared" si="161"/>
        <v>333761</v>
      </c>
      <c r="K593" s="123">
        <f t="shared" si="169"/>
        <v>1000000</v>
      </c>
      <c r="L593" s="111">
        <f t="shared" si="170"/>
        <v>1126</v>
      </c>
      <c r="M593" s="2">
        <f t="shared" si="171"/>
        <v>1900</v>
      </c>
      <c r="N593" s="112">
        <f t="shared" si="162"/>
        <v>19000000</v>
      </c>
      <c r="O593" s="2">
        <f t="shared" si="172"/>
        <v>665465</v>
      </c>
      <c r="P593" s="113">
        <f t="shared" si="173"/>
        <v>0</v>
      </c>
      <c r="Q593" s="121">
        <f t="shared" si="163"/>
        <v>333761</v>
      </c>
    </row>
    <row r="594" spans="2:17" hidden="1" x14ac:dyDescent="0.4">
      <c r="B594" s="110">
        <v>44515</v>
      </c>
      <c r="C594" s="122">
        <f t="shared" si="164"/>
        <v>1000000</v>
      </c>
      <c r="D594" s="111">
        <f t="shared" si="165"/>
        <v>1126</v>
      </c>
      <c r="E594" s="2">
        <f t="shared" si="166"/>
        <v>1900</v>
      </c>
      <c r="F594" s="112">
        <f t="shared" si="160"/>
        <v>19000000</v>
      </c>
      <c r="G594" s="2">
        <f t="shared" si="167"/>
        <v>665465</v>
      </c>
      <c r="H594" s="113">
        <f t="shared" si="168"/>
        <v>0</v>
      </c>
      <c r="I594" s="121">
        <f t="shared" si="161"/>
        <v>333761</v>
      </c>
      <c r="K594" s="123">
        <f t="shared" si="169"/>
        <v>1000000</v>
      </c>
      <c r="L594" s="111">
        <f t="shared" si="170"/>
        <v>1126</v>
      </c>
      <c r="M594" s="2">
        <f t="shared" si="171"/>
        <v>1900</v>
      </c>
      <c r="N594" s="112">
        <f t="shared" si="162"/>
        <v>19000000</v>
      </c>
      <c r="O594" s="2">
        <f t="shared" si="172"/>
        <v>665465</v>
      </c>
      <c r="P594" s="113">
        <f t="shared" si="173"/>
        <v>0</v>
      </c>
      <c r="Q594" s="121">
        <f t="shared" si="163"/>
        <v>333761</v>
      </c>
    </row>
    <row r="595" spans="2:17" hidden="1" x14ac:dyDescent="0.4">
      <c r="B595" s="110">
        <v>44516</v>
      </c>
      <c r="C595" s="122">
        <f t="shared" si="164"/>
        <v>1000000</v>
      </c>
      <c r="D595" s="111">
        <f t="shared" si="165"/>
        <v>1126</v>
      </c>
      <c r="E595" s="2">
        <f t="shared" si="166"/>
        <v>1900</v>
      </c>
      <c r="F595" s="112">
        <f t="shared" si="160"/>
        <v>19000000</v>
      </c>
      <c r="G595" s="2">
        <f t="shared" si="167"/>
        <v>665465</v>
      </c>
      <c r="H595" s="113">
        <f t="shared" si="168"/>
        <v>0</v>
      </c>
      <c r="I595" s="121">
        <f t="shared" si="161"/>
        <v>333761</v>
      </c>
      <c r="K595" s="123">
        <f t="shared" si="169"/>
        <v>1000000</v>
      </c>
      <c r="L595" s="111">
        <f t="shared" si="170"/>
        <v>1126</v>
      </c>
      <c r="M595" s="2">
        <f t="shared" si="171"/>
        <v>1900</v>
      </c>
      <c r="N595" s="112">
        <f t="shared" si="162"/>
        <v>19000000</v>
      </c>
      <c r="O595" s="2">
        <f t="shared" si="172"/>
        <v>665465</v>
      </c>
      <c r="P595" s="113">
        <f t="shared" si="173"/>
        <v>0</v>
      </c>
      <c r="Q595" s="121">
        <f t="shared" si="163"/>
        <v>333761</v>
      </c>
    </row>
    <row r="596" spans="2:17" hidden="1" x14ac:dyDescent="0.4">
      <c r="B596" s="110">
        <v>44517</v>
      </c>
      <c r="C596" s="122">
        <f t="shared" si="164"/>
        <v>1000000</v>
      </c>
      <c r="D596" s="111">
        <f t="shared" si="165"/>
        <v>2209</v>
      </c>
      <c r="E596" s="2">
        <f t="shared" si="166"/>
        <v>1900</v>
      </c>
      <c r="F596" s="112">
        <f t="shared" si="160"/>
        <v>19000000</v>
      </c>
      <c r="G596" s="2">
        <f t="shared" si="167"/>
        <v>665465</v>
      </c>
      <c r="H596" s="113">
        <f t="shared" si="168"/>
        <v>0</v>
      </c>
      <c r="I596" s="121">
        <f t="shared" si="161"/>
        <v>334844</v>
      </c>
      <c r="K596" s="123">
        <f t="shared" si="169"/>
        <v>1000000</v>
      </c>
      <c r="L596" s="111">
        <f t="shared" si="170"/>
        <v>2209</v>
      </c>
      <c r="M596" s="2">
        <f t="shared" si="171"/>
        <v>1900</v>
      </c>
      <c r="N596" s="112">
        <f t="shared" si="162"/>
        <v>19000000</v>
      </c>
      <c r="O596" s="2">
        <f t="shared" si="172"/>
        <v>665465</v>
      </c>
      <c r="P596" s="113">
        <f t="shared" si="173"/>
        <v>0</v>
      </c>
      <c r="Q596" s="121">
        <f t="shared" si="163"/>
        <v>334844</v>
      </c>
    </row>
    <row r="597" spans="2:17" hidden="1" x14ac:dyDescent="0.4">
      <c r="B597" s="110">
        <v>44518</v>
      </c>
      <c r="C597" s="122">
        <f t="shared" si="164"/>
        <v>1000000</v>
      </c>
      <c r="D597" s="111">
        <f t="shared" si="165"/>
        <v>2209</v>
      </c>
      <c r="E597" s="2">
        <f t="shared" si="166"/>
        <v>1900</v>
      </c>
      <c r="F597" s="112">
        <f t="shared" si="160"/>
        <v>19000000</v>
      </c>
      <c r="G597" s="2">
        <f t="shared" si="167"/>
        <v>665465</v>
      </c>
      <c r="H597" s="113">
        <f t="shared" si="168"/>
        <v>0</v>
      </c>
      <c r="I597" s="121">
        <f t="shared" si="161"/>
        <v>334844</v>
      </c>
      <c r="K597" s="123">
        <f t="shared" si="169"/>
        <v>1000000</v>
      </c>
      <c r="L597" s="111">
        <f t="shared" si="170"/>
        <v>2209</v>
      </c>
      <c r="M597" s="2">
        <f t="shared" si="171"/>
        <v>1900</v>
      </c>
      <c r="N597" s="112">
        <f t="shared" si="162"/>
        <v>19000000</v>
      </c>
      <c r="O597" s="2">
        <f t="shared" si="172"/>
        <v>665465</v>
      </c>
      <c r="P597" s="113">
        <f t="shared" si="173"/>
        <v>0</v>
      </c>
      <c r="Q597" s="121">
        <f t="shared" si="163"/>
        <v>334844</v>
      </c>
    </row>
    <row r="598" spans="2:17" hidden="1" x14ac:dyDescent="0.4">
      <c r="B598" s="110">
        <v>44519</v>
      </c>
      <c r="C598" s="122">
        <f t="shared" si="164"/>
        <v>1000000</v>
      </c>
      <c r="D598" s="111">
        <f t="shared" si="165"/>
        <v>2209</v>
      </c>
      <c r="E598" s="2">
        <f t="shared" si="166"/>
        <v>1900</v>
      </c>
      <c r="F598" s="112">
        <f t="shared" si="160"/>
        <v>19000000</v>
      </c>
      <c r="G598" s="2">
        <f t="shared" si="167"/>
        <v>665465</v>
      </c>
      <c r="H598" s="113">
        <f t="shared" si="168"/>
        <v>0</v>
      </c>
      <c r="I598" s="121">
        <f t="shared" si="161"/>
        <v>334844</v>
      </c>
      <c r="K598" s="123">
        <f t="shared" si="169"/>
        <v>1000000</v>
      </c>
      <c r="L598" s="111">
        <f t="shared" si="170"/>
        <v>2209</v>
      </c>
      <c r="M598" s="2">
        <f t="shared" si="171"/>
        <v>1900</v>
      </c>
      <c r="N598" s="112">
        <f t="shared" si="162"/>
        <v>19000000</v>
      </c>
      <c r="O598" s="2">
        <f t="shared" si="172"/>
        <v>665465</v>
      </c>
      <c r="P598" s="113">
        <f t="shared" si="173"/>
        <v>0</v>
      </c>
      <c r="Q598" s="121">
        <f t="shared" si="163"/>
        <v>334844</v>
      </c>
    </row>
    <row r="599" spans="2:17" hidden="1" x14ac:dyDescent="0.4">
      <c r="B599" s="110">
        <v>44520</v>
      </c>
      <c r="C599" s="122">
        <f t="shared" si="164"/>
        <v>1000000</v>
      </c>
      <c r="D599" s="111">
        <f t="shared" si="165"/>
        <v>2209</v>
      </c>
      <c r="E599" s="2">
        <f t="shared" si="166"/>
        <v>1900</v>
      </c>
      <c r="F599" s="112">
        <f t="shared" si="160"/>
        <v>19000000</v>
      </c>
      <c r="G599" s="2">
        <f t="shared" si="167"/>
        <v>665465</v>
      </c>
      <c r="H599" s="113">
        <f t="shared" si="168"/>
        <v>0</v>
      </c>
      <c r="I599" s="121">
        <f t="shared" si="161"/>
        <v>334844</v>
      </c>
      <c r="K599" s="123">
        <f t="shared" si="169"/>
        <v>1000000</v>
      </c>
      <c r="L599" s="111">
        <f t="shared" si="170"/>
        <v>2209</v>
      </c>
      <c r="M599" s="2">
        <f t="shared" si="171"/>
        <v>1900</v>
      </c>
      <c r="N599" s="112">
        <f t="shared" si="162"/>
        <v>19000000</v>
      </c>
      <c r="O599" s="2">
        <f t="shared" si="172"/>
        <v>665465</v>
      </c>
      <c r="P599" s="113">
        <f t="shared" si="173"/>
        <v>0</v>
      </c>
      <c r="Q599" s="121">
        <f t="shared" si="163"/>
        <v>334844</v>
      </c>
    </row>
    <row r="600" spans="2:17" hidden="1" x14ac:dyDescent="0.4">
      <c r="B600" s="110">
        <v>44521</v>
      </c>
      <c r="C600" s="122">
        <f t="shared" si="164"/>
        <v>1000000</v>
      </c>
      <c r="D600" s="111">
        <f t="shared" si="165"/>
        <v>2209</v>
      </c>
      <c r="E600" s="2">
        <f t="shared" si="166"/>
        <v>1900</v>
      </c>
      <c r="F600" s="112">
        <f t="shared" si="160"/>
        <v>19000000</v>
      </c>
      <c r="G600" s="2">
        <f t="shared" si="167"/>
        <v>665465</v>
      </c>
      <c r="H600" s="113">
        <f t="shared" si="168"/>
        <v>0</v>
      </c>
      <c r="I600" s="121">
        <f t="shared" si="161"/>
        <v>334844</v>
      </c>
      <c r="K600" s="123">
        <f t="shared" si="169"/>
        <v>1000000</v>
      </c>
      <c r="L600" s="111">
        <f t="shared" si="170"/>
        <v>2209</v>
      </c>
      <c r="M600" s="2">
        <f t="shared" si="171"/>
        <v>1900</v>
      </c>
      <c r="N600" s="112">
        <f t="shared" si="162"/>
        <v>19000000</v>
      </c>
      <c r="O600" s="2">
        <f t="shared" si="172"/>
        <v>665465</v>
      </c>
      <c r="P600" s="113">
        <f t="shared" si="173"/>
        <v>0</v>
      </c>
      <c r="Q600" s="121">
        <f t="shared" si="163"/>
        <v>334844</v>
      </c>
    </row>
    <row r="601" spans="2:17" hidden="1" x14ac:dyDescent="0.4">
      <c r="B601" s="110">
        <v>44522</v>
      </c>
      <c r="C601" s="122">
        <f t="shared" si="164"/>
        <v>1000000</v>
      </c>
      <c r="D601" s="111">
        <f t="shared" si="165"/>
        <v>2209</v>
      </c>
      <c r="E601" s="2">
        <f t="shared" si="166"/>
        <v>1900</v>
      </c>
      <c r="F601" s="112">
        <f t="shared" si="160"/>
        <v>19000000</v>
      </c>
      <c r="G601" s="2">
        <f t="shared" si="167"/>
        <v>665465</v>
      </c>
      <c r="H601" s="113">
        <f t="shared" si="168"/>
        <v>0</v>
      </c>
      <c r="I601" s="121">
        <f t="shared" si="161"/>
        <v>334844</v>
      </c>
      <c r="K601" s="123">
        <f t="shared" si="169"/>
        <v>1000000</v>
      </c>
      <c r="L601" s="111">
        <f t="shared" si="170"/>
        <v>2209</v>
      </c>
      <c r="M601" s="2">
        <f t="shared" si="171"/>
        <v>1900</v>
      </c>
      <c r="N601" s="112">
        <f t="shared" si="162"/>
        <v>19000000</v>
      </c>
      <c r="O601" s="2">
        <f t="shared" si="172"/>
        <v>665465</v>
      </c>
      <c r="P601" s="113">
        <f t="shared" si="173"/>
        <v>0</v>
      </c>
      <c r="Q601" s="121">
        <f t="shared" si="163"/>
        <v>334844</v>
      </c>
    </row>
    <row r="602" spans="2:17" hidden="1" x14ac:dyDescent="0.4">
      <c r="B602" s="110">
        <v>44523</v>
      </c>
      <c r="C602" s="122">
        <f t="shared" si="164"/>
        <v>1000000</v>
      </c>
      <c r="D602" s="111">
        <f t="shared" si="165"/>
        <v>2209</v>
      </c>
      <c r="E602" s="2">
        <f t="shared" si="166"/>
        <v>1900</v>
      </c>
      <c r="F602" s="112">
        <f t="shared" si="160"/>
        <v>19000000</v>
      </c>
      <c r="G602" s="2">
        <f t="shared" si="167"/>
        <v>665465</v>
      </c>
      <c r="H602" s="113">
        <f t="shared" si="168"/>
        <v>0</v>
      </c>
      <c r="I602" s="121">
        <f t="shared" si="161"/>
        <v>334844</v>
      </c>
      <c r="K602" s="123">
        <f t="shared" si="169"/>
        <v>1000000</v>
      </c>
      <c r="L602" s="111">
        <f t="shared" si="170"/>
        <v>2209</v>
      </c>
      <c r="M602" s="2">
        <f t="shared" si="171"/>
        <v>1900</v>
      </c>
      <c r="N602" s="112">
        <f t="shared" si="162"/>
        <v>19000000</v>
      </c>
      <c r="O602" s="2">
        <f t="shared" si="172"/>
        <v>665465</v>
      </c>
      <c r="P602" s="113">
        <f t="shared" si="173"/>
        <v>0</v>
      </c>
      <c r="Q602" s="121">
        <f t="shared" si="163"/>
        <v>334844</v>
      </c>
    </row>
    <row r="603" spans="2:17" hidden="1" x14ac:dyDescent="0.4">
      <c r="B603" s="110">
        <v>44524</v>
      </c>
      <c r="C603" s="122">
        <f t="shared" si="164"/>
        <v>1000000</v>
      </c>
      <c r="D603" s="111">
        <f t="shared" si="165"/>
        <v>2209</v>
      </c>
      <c r="E603" s="2">
        <f t="shared" si="166"/>
        <v>1900</v>
      </c>
      <c r="F603" s="112">
        <f t="shared" si="160"/>
        <v>19000000</v>
      </c>
      <c r="G603" s="2">
        <f t="shared" si="167"/>
        <v>665465</v>
      </c>
      <c r="H603" s="113">
        <f t="shared" si="168"/>
        <v>0</v>
      </c>
      <c r="I603" s="121">
        <f t="shared" si="161"/>
        <v>334844</v>
      </c>
      <c r="K603" s="123">
        <f t="shared" si="169"/>
        <v>1000000</v>
      </c>
      <c r="L603" s="111">
        <f t="shared" si="170"/>
        <v>2209</v>
      </c>
      <c r="M603" s="2">
        <f t="shared" si="171"/>
        <v>1900</v>
      </c>
      <c r="N603" s="112">
        <f t="shared" si="162"/>
        <v>19000000</v>
      </c>
      <c r="O603" s="2">
        <f t="shared" si="172"/>
        <v>665465</v>
      </c>
      <c r="P603" s="113">
        <f t="shared" si="173"/>
        <v>0</v>
      </c>
      <c r="Q603" s="121">
        <f t="shared" si="163"/>
        <v>334844</v>
      </c>
    </row>
    <row r="604" spans="2:17" hidden="1" x14ac:dyDescent="0.4">
      <c r="B604" s="110">
        <v>44525</v>
      </c>
      <c r="C604" s="122">
        <f t="shared" si="164"/>
        <v>1000000</v>
      </c>
      <c r="D604" s="111">
        <f t="shared" si="165"/>
        <v>2209</v>
      </c>
      <c r="E604" s="2">
        <f t="shared" si="166"/>
        <v>1900</v>
      </c>
      <c r="F604" s="112">
        <f t="shared" si="160"/>
        <v>19000000</v>
      </c>
      <c r="G604" s="2">
        <f t="shared" si="167"/>
        <v>665465</v>
      </c>
      <c r="H604" s="113">
        <f t="shared" si="168"/>
        <v>0</v>
      </c>
      <c r="I604" s="121">
        <f t="shared" si="161"/>
        <v>334844</v>
      </c>
      <c r="K604" s="123">
        <f t="shared" si="169"/>
        <v>1000000</v>
      </c>
      <c r="L604" s="111">
        <f t="shared" si="170"/>
        <v>2209</v>
      </c>
      <c r="M604" s="2">
        <f t="shared" si="171"/>
        <v>1900</v>
      </c>
      <c r="N604" s="112">
        <f t="shared" si="162"/>
        <v>19000000</v>
      </c>
      <c r="O604" s="2">
        <f t="shared" si="172"/>
        <v>665465</v>
      </c>
      <c r="P604" s="113">
        <f t="shared" si="173"/>
        <v>0</v>
      </c>
      <c r="Q604" s="121">
        <f t="shared" si="163"/>
        <v>334844</v>
      </c>
    </row>
    <row r="605" spans="2:17" hidden="1" x14ac:dyDescent="0.4">
      <c r="B605" s="110">
        <v>44526</v>
      </c>
      <c r="C605" s="122">
        <f t="shared" si="164"/>
        <v>1000000</v>
      </c>
      <c r="D605" s="111">
        <f t="shared" si="165"/>
        <v>2209</v>
      </c>
      <c r="E605" s="2">
        <f t="shared" si="166"/>
        <v>1900</v>
      </c>
      <c r="F605" s="112">
        <f t="shared" si="160"/>
        <v>19000000</v>
      </c>
      <c r="G605" s="2">
        <f t="shared" si="167"/>
        <v>665465</v>
      </c>
      <c r="H605" s="113">
        <f t="shared" si="168"/>
        <v>0</v>
      </c>
      <c r="I605" s="121">
        <f t="shared" si="161"/>
        <v>334844</v>
      </c>
      <c r="K605" s="123">
        <f t="shared" si="169"/>
        <v>1000000</v>
      </c>
      <c r="L605" s="111">
        <f t="shared" si="170"/>
        <v>2209</v>
      </c>
      <c r="M605" s="2">
        <f t="shared" si="171"/>
        <v>1900</v>
      </c>
      <c r="N605" s="112">
        <f t="shared" si="162"/>
        <v>19000000</v>
      </c>
      <c r="O605" s="2">
        <f t="shared" si="172"/>
        <v>665465</v>
      </c>
      <c r="P605" s="113">
        <f t="shared" si="173"/>
        <v>0</v>
      </c>
      <c r="Q605" s="121">
        <f t="shared" si="163"/>
        <v>334844</v>
      </c>
    </row>
    <row r="606" spans="2:17" hidden="1" x14ac:dyDescent="0.4">
      <c r="B606" s="110">
        <v>44527</v>
      </c>
      <c r="C606" s="122">
        <f t="shared" si="164"/>
        <v>1000000</v>
      </c>
      <c r="D606" s="111">
        <f t="shared" si="165"/>
        <v>2209</v>
      </c>
      <c r="E606" s="2">
        <f t="shared" si="166"/>
        <v>1900</v>
      </c>
      <c r="F606" s="112">
        <f t="shared" si="160"/>
        <v>19000000</v>
      </c>
      <c r="G606" s="2">
        <f t="shared" si="167"/>
        <v>665465</v>
      </c>
      <c r="H606" s="113">
        <f t="shared" si="168"/>
        <v>0</v>
      </c>
      <c r="I606" s="121">
        <f t="shared" si="161"/>
        <v>334844</v>
      </c>
      <c r="K606" s="123">
        <f t="shared" si="169"/>
        <v>1000000</v>
      </c>
      <c r="L606" s="111">
        <f t="shared" si="170"/>
        <v>2209</v>
      </c>
      <c r="M606" s="2">
        <f t="shared" si="171"/>
        <v>1900</v>
      </c>
      <c r="N606" s="112">
        <f t="shared" si="162"/>
        <v>19000000</v>
      </c>
      <c r="O606" s="2">
        <f t="shared" si="172"/>
        <v>665465</v>
      </c>
      <c r="P606" s="113">
        <f t="shared" si="173"/>
        <v>0</v>
      </c>
      <c r="Q606" s="121">
        <f t="shared" si="163"/>
        <v>334844</v>
      </c>
    </row>
    <row r="607" spans="2:17" hidden="1" x14ac:dyDescent="0.4">
      <c r="B607" s="110">
        <v>44528</v>
      </c>
      <c r="C607" s="122">
        <f t="shared" si="164"/>
        <v>1000000</v>
      </c>
      <c r="D607" s="111">
        <f t="shared" si="165"/>
        <v>2209</v>
      </c>
      <c r="E607" s="2">
        <f t="shared" si="166"/>
        <v>1900</v>
      </c>
      <c r="F607" s="112">
        <f t="shared" si="160"/>
        <v>19000000</v>
      </c>
      <c r="G607" s="2">
        <f t="shared" si="167"/>
        <v>665465</v>
      </c>
      <c r="H607" s="113">
        <f t="shared" si="168"/>
        <v>0</v>
      </c>
      <c r="I607" s="121">
        <f t="shared" si="161"/>
        <v>334844</v>
      </c>
      <c r="K607" s="123">
        <f t="shared" si="169"/>
        <v>1000000</v>
      </c>
      <c r="L607" s="111">
        <f t="shared" si="170"/>
        <v>2209</v>
      </c>
      <c r="M607" s="2">
        <f t="shared" si="171"/>
        <v>1900</v>
      </c>
      <c r="N607" s="112">
        <f t="shared" si="162"/>
        <v>19000000</v>
      </c>
      <c r="O607" s="2">
        <f t="shared" si="172"/>
        <v>665465</v>
      </c>
      <c r="P607" s="113">
        <f t="shared" si="173"/>
        <v>0</v>
      </c>
      <c r="Q607" s="121">
        <f t="shared" si="163"/>
        <v>334844</v>
      </c>
    </row>
    <row r="608" spans="2:17" hidden="1" x14ac:dyDescent="0.4">
      <c r="B608" s="110">
        <v>44529</v>
      </c>
      <c r="C608" s="122">
        <f t="shared" si="164"/>
        <v>1000000</v>
      </c>
      <c r="D608" s="111">
        <f t="shared" si="165"/>
        <v>2209</v>
      </c>
      <c r="E608" s="2">
        <f t="shared" si="166"/>
        <v>1900</v>
      </c>
      <c r="F608" s="112">
        <f t="shared" si="160"/>
        <v>19000000</v>
      </c>
      <c r="G608" s="2">
        <f t="shared" si="167"/>
        <v>665465</v>
      </c>
      <c r="H608" s="113">
        <f t="shared" si="168"/>
        <v>0</v>
      </c>
      <c r="I608" s="121">
        <f t="shared" si="161"/>
        <v>334844</v>
      </c>
      <c r="K608" s="123">
        <f t="shared" si="169"/>
        <v>1000000</v>
      </c>
      <c r="L608" s="111">
        <f t="shared" si="170"/>
        <v>2209</v>
      </c>
      <c r="M608" s="2">
        <f t="shared" si="171"/>
        <v>1900</v>
      </c>
      <c r="N608" s="112">
        <f t="shared" si="162"/>
        <v>19000000</v>
      </c>
      <c r="O608" s="2">
        <f t="shared" si="172"/>
        <v>665465</v>
      </c>
      <c r="P608" s="113">
        <f t="shared" si="173"/>
        <v>0</v>
      </c>
      <c r="Q608" s="121">
        <f t="shared" si="163"/>
        <v>334844</v>
      </c>
    </row>
    <row r="609" spans="2:17" hidden="1" x14ac:dyDescent="0.4">
      <c r="B609" s="110">
        <v>44530</v>
      </c>
      <c r="C609" s="122">
        <f t="shared" si="164"/>
        <v>1000000</v>
      </c>
      <c r="D609" s="111">
        <f t="shared" si="165"/>
        <v>2209</v>
      </c>
      <c r="E609" s="2">
        <f t="shared" si="166"/>
        <v>1900</v>
      </c>
      <c r="F609" s="112">
        <f t="shared" si="160"/>
        <v>19000000</v>
      </c>
      <c r="G609" s="2">
        <f t="shared" si="167"/>
        <v>665465</v>
      </c>
      <c r="H609" s="113">
        <f t="shared" si="168"/>
        <v>0</v>
      </c>
      <c r="I609" s="121">
        <f t="shared" si="161"/>
        <v>334844</v>
      </c>
      <c r="K609" s="123">
        <f t="shared" si="169"/>
        <v>1000000</v>
      </c>
      <c r="L609" s="111">
        <f t="shared" si="170"/>
        <v>2209</v>
      </c>
      <c r="M609" s="2">
        <f t="shared" si="171"/>
        <v>1900</v>
      </c>
      <c r="N609" s="112">
        <f t="shared" si="162"/>
        <v>19000000</v>
      </c>
      <c r="O609" s="2">
        <f t="shared" si="172"/>
        <v>665465</v>
      </c>
      <c r="P609" s="113">
        <f t="shared" si="173"/>
        <v>0</v>
      </c>
      <c r="Q609" s="121">
        <f t="shared" si="163"/>
        <v>334844</v>
      </c>
    </row>
    <row r="610" spans="2:17" x14ac:dyDescent="0.4">
      <c r="B610" s="110">
        <v>44531</v>
      </c>
      <c r="C610" s="122">
        <f t="shared" si="164"/>
        <v>1000000</v>
      </c>
      <c r="D610" s="111">
        <f t="shared" si="165"/>
        <v>2209</v>
      </c>
      <c r="E610" s="2">
        <f t="shared" si="166"/>
        <v>1900</v>
      </c>
      <c r="F610" s="112">
        <f t="shared" si="160"/>
        <v>19000000</v>
      </c>
      <c r="G610" s="2">
        <f t="shared" si="167"/>
        <v>665465</v>
      </c>
      <c r="H610" s="113">
        <f t="shared" si="168"/>
        <v>0</v>
      </c>
      <c r="I610" s="121">
        <f t="shared" si="161"/>
        <v>334844</v>
      </c>
      <c r="K610" s="123">
        <f t="shared" si="169"/>
        <v>1000000</v>
      </c>
      <c r="L610" s="111">
        <f t="shared" si="170"/>
        <v>2209</v>
      </c>
      <c r="M610" s="2">
        <f t="shared" si="171"/>
        <v>1900</v>
      </c>
      <c r="N610" s="112">
        <f t="shared" si="162"/>
        <v>19000000</v>
      </c>
      <c r="O610" s="2">
        <f t="shared" si="172"/>
        <v>665465</v>
      </c>
      <c r="P610" s="113">
        <f t="shared" si="173"/>
        <v>0</v>
      </c>
      <c r="Q610" s="121">
        <f t="shared" si="163"/>
        <v>334844</v>
      </c>
    </row>
    <row r="611" spans="2:17" hidden="1" x14ac:dyDescent="0.4">
      <c r="B611" s="110">
        <v>44532</v>
      </c>
      <c r="C611" s="122">
        <f t="shared" si="164"/>
        <v>1000000</v>
      </c>
      <c r="D611" s="111">
        <f t="shared" si="165"/>
        <v>2209</v>
      </c>
      <c r="E611" s="2">
        <f t="shared" si="166"/>
        <v>1900</v>
      </c>
      <c r="F611" s="112">
        <f t="shared" si="160"/>
        <v>19000000</v>
      </c>
      <c r="G611" s="2">
        <f t="shared" si="167"/>
        <v>665465</v>
      </c>
      <c r="H611" s="113">
        <f t="shared" si="168"/>
        <v>0</v>
      </c>
      <c r="I611" s="121">
        <f t="shared" si="161"/>
        <v>334844</v>
      </c>
      <c r="K611" s="123">
        <f t="shared" si="169"/>
        <v>1000000</v>
      </c>
      <c r="L611" s="111">
        <f t="shared" si="170"/>
        <v>2209</v>
      </c>
      <c r="M611" s="2">
        <f t="shared" si="171"/>
        <v>1900</v>
      </c>
      <c r="N611" s="112">
        <f t="shared" si="162"/>
        <v>19000000</v>
      </c>
      <c r="O611" s="2">
        <f t="shared" si="172"/>
        <v>665465</v>
      </c>
      <c r="P611" s="113">
        <f t="shared" si="173"/>
        <v>0</v>
      </c>
      <c r="Q611" s="121">
        <f t="shared" si="163"/>
        <v>334844</v>
      </c>
    </row>
    <row r="612" spans="2:17" hidden="1" x14ac:dyDescent="0.4">
      <c r="B612" s="110">
        <v>44533</v>
      </c>
      <c r="C612" s="122">
        <f t="shared" si="164"/>
        <v>1000000</v>
      </c>
      <c r="D612" s="111">
        <f t="shared" si="165"/>
        <v>2209</v>
      </c>
      <c r="E612" s="2">
        <f t="shared" si="166"/>
        <v>1900</v>
      </c>
      <c r="F612" s="112">
        <f t="shared" si="160"/>
        <v>19000000</v>
      </c>
      <c r="G612" s="2">
        <f t="shared" si="167"/>
        <v>665465</v>
      </c>
      <c r="H612" s="113">
        <f t="shared" si="168"/>
        <v>0</v>
      </c>
      <c r="I612" s="121">
        <f t="shared" si="161"/>
        <v>334844</v>
      </c>
      <c r="K612" s="123">
        <f t="shared" si="169"/>
        <v>1000000</v>
      </c>
      <c r="L612" s="111">
        <f t="shared" si="170"/>
        <v>2209</v>
      </c>
      <c r="M612" s="2">
        <f t="shared" si="171"/>
        <v>1900</v>
      </c>
      <c r="N612" s="112">
        <f t="shared" si="162"/>
        <v>19000000</v>
      </c>
      <c r="O612" s="2">
        <f t="shared" si="172"/>
        <v>665465</v>
      </c>
      <c r="P612" s="113">
        <f t="shared" si="173"/>
        <v>0</v>
      </c>
      <c r="Q612" s="121">
        <f t="shared" si="163"/>
        <v>334844</v>
      </c>
    </row>
    <row r="613" spans="2:17" hidden="1" x14ac:dyDescent="0.4">
      <c r="B613" s="110">
        <v>44534</v>
      </c>
      <c r="C613" s="122">
        <f t="shared" si="164"/>
        <v>1000000</v>
      </c>
      <c r="D613" s="111">
        <f t="shared" si="165"/>
        <v>2209</v>
      </c>
      <c r="E613" s="2">
        <f t="shared" si="166"/>
        <v>1900</v>
      </c>
      <c r="F613" s="112">
        <f t="shared" si="160"/>
        <v>19000000</v>
      </c>
      <c r="G613" s="2">
        <f t="shared" si="167"/>
        <v>665465</v>
      </c>
      <c r="H613" s="113">
        <f t="shared" si="168"/>
        <v>0</v>
      </c>
      <c r="I613" s="121">
        <f t="shared" si="161"/>
        <v>334844</v>
      </c>
      <c r="K613" s="123">
        <f t="shared" si="169"/>
        <v>1000000</v>
      </c>
      <c r="L613" s="111">
        <f t="shared" si="170"/>
        <v>2209</v>
      </c>
      <c r="M613" s="2">
        <f t="shared" si="171"/>
        <v>1900</v>
      </c>
      <c r="N613" s="112">
        <f t="shared" si="162"/>
        <v>19000000</v>
      </c>
      <c r="O613" s="2">
        <f t="shared" si="172"/>
        <v>665465</v>
      </c>
      <c r="P613" s="113">
        <f t="shared" si="173"/>
        <v>0</v>
      </c>
      <c r="Q613" s="121">
        <f t="shared" si="163"/>
        <v>334844</v>
      </c>
    </row>
    <row r="614" spans="2:17" hidden="1" x14ac:dyDescent="0.4">
      <c r="B614" s="110">
        <v>44535</v>
      </c>
      <c r="C614" s="122">
        <f t="shared" si="164"/>
        <v>1000000</v>
      </c>
      <c r="D614" s="111">
        <f t="shared" si="165"/>
        <v>2209</v>
      </c>
      <c r="E614" s="2">
        <f t="shared" si="166"/>
        <v>1900</v>
      </c>
      <c r="F614" s="112">
        <f t="shared" si="160"/>
        <v>19000000</v>
      </c>
      <c r="G614" s="2">
        <f t="shared" si="167"/>
        <v>665465</v>
      </c>
      <c r="H614" s="113">
        <f t="shared" si="168"/>
        <v>0</v>
      </c>
      <c r="I614" s="121">
        <f t="shared" si="161"/>
        <v>334844</v>
      </c>
      <c r="K614" s="123">
        <f t="shared" si="169"/>
        <v>1000000</v>
      </c>
      <c r="L614" s="111">
        <f t="shared" si="170"/>
        <v>2209</v>
      </c>
      <c r="M614" s="2">
        <f t="shared" si="171"/>
        <v>1900</v>
      </c>
      <c r="N614" s="112">
        <f t="shared" si="162"/>
        <v>19000000</v>
      </c>
      <c r="O614" s="2">
        <f t="shared" si="172"/>
        <v>665465</v>
      </c>
      <c r="P614" s="113">
        <f t="shared" si="173"/>
        <v>0</v>
      </c>
      <c r="Q614" s="121">
        <f t="shared" si="163"/>
        <v>334844</v>
      </c>
    </row>
    <row r="615" spans="2:17" hidden="1" x14ac:dyDescent="0.4">
      <c r="B615" s="110">
        <v>44536</v>
      </c>
      <c r="C615" s="122">
        <f t="shared" si="164"/>
        <v>1000000</v>
      </c>
      <c r="D615" s="111">
        <f t="shared" si="165"/>
        <v>2231</v>
      </c>
      <c r="E615" s="2">
        <f t="shared" si="166"/>
        <v>1900</v>
      </c>
      <c r="F615" s="112">
        <f t="shared" si="160"/>
        <v>19000000</v>
      </c>
      <c r="G615" s="2">
        <f t="shared" si="167"/>
        <v>665465</v>
      </c>
      <c r="H615" s="113">
        <f t="shared" si="168"/>
        <v>0</v>
      </c>
      <c r="I615" s="121">
        <f t="shared" si="161"/>
        <v>334866</v>
      </c>
      <c r="K615" s="123">
        <f t="shared" si="169"/>
        <v>1000000</v>
      </c>
      <c r="L615" s="111">
        <f t="shared" si="170"/>
        <v>2231</v>
      </c>
      <c r="M615" s="2">
        <f t="shared" si="171"/>
        <v>1900</v>
      </c>
      <c r="N615" s="112">
        <f t="shared" si="162"/>
        <v>19000000</v>
      </c>
      <c r="O615" s="2">
        <f t="shared" si="172"/>
        <v>665465</v>
      </c>
      <c r="P615" s="113">
        <f t="shared" si="173"/>
        <v>0</v>
      </c>
      <c r="Q615" s="121">
        <f t="shared" si="163"/>
        <v>334866</v>
      </c>
    </row>
    <row r="616" spans="2:17" hidden="1" x14ac:dyDescent="0.4">
      <c r="B616" s="110">
        <v>44537</v>
      </c>
      <c r="C616" s="122">
        <f t="shared" si="164"/>
        <v>1000000</v>
      </c>
      <c r="D616" s="111">
        <f t="shared" si="165"/>
        <v>2231</v>
      </c>
      <c r="E616" s="2">
        <f t="shared" si="166"/>
        <v>1900</v>
      </c>
      <c r="F616" s="112">
        <f t="shared" si="160"/>
        <v>19000000</v>
      </c>
      <c r="G616" s="2">
        <f t="shared" si="167"/>
        <v>665465</v>
      </c>
      <c r="H616" s="113">
        <f t="shared" si="168"/>
        <v>0</v>
      </c>
      <c r="I616" s="121">
        <f t="shared" si="161"/>
        <v>334866</v>
      </c>
      <c r="K616" s="123">
        <f t="shared" si="169"/>
        <v>1000000</v>
      </c>
      <c r="L616" s="111">
        <f t="shared" si="170"/>
        <v>2231</v>
      </c>
      <c r="M616" s="2">
        <f t="shared" si="171"/>
        <v>1900</v>
      </c>
      <c r="N616" s="112">
        <f t="shared" si="162"/>
        <v>19000000</v>
      </c>
      <c r="O616" s="2">
        <f t="shared" si="172"/>
        <v>665465</v>
      </c>
      <c r="P616" s="113">
        <f t="shared" si="173"/>
        <v>0</v>
      </c>
      <c r="Q616" s="121">
        <f t="shared" si="163"/>
        <v>334866</v>
      </c>
    </row>
    <row r="617" spans="2:17" hidden="1" x14ac:dyDescent="0.4">
      <c r="B617" s="110">
        <v>44538</v>
      </c>
      <c r="C617" s="122">
        <f t="shared" si="164"/>
        <v>1000000</v>
      </c>
      <c r="D617" s="111">
        <f t="shared" si="165"/>
        <v>2231</v>
      </c>
      <c r="E617" s="2">
        <f t="shared" si="166"/>
        <v>1900</v>
      </c>
      <c r="F617" s="112">
        <f t="shared" si="160"/>
        <v>19000000</v>
      </c>
      <c r="G617" s="2">
        <f t="shared" si="167"/>
        <v>665465</v>
      </c>
      <c r="H617" s="113">
        <f t="shared" si="168"/>
        <v>0</v>
      </c>
      <c r="I617" s="121">
        <f t="shared" si="161"/>
        <v>334866</v>
      </c>
      <c r="K617" s="123">
        <f t="shared" si="169"/>
        <v>1000000</v>
      </c>
      <c r="L617" s="111">
        <f t="shared" si="170"/>
        <v>2231</v>
      </c>
      <c r="M617" s="2">
        <f t="shared" si="171"/>
        <v>1900</v>
      </c>
      <c r="N617" s="112">
        <f t="shared" si="162"/>
        <v>19000000</v>
      </c>
      <c r="O617" s="2">
        <f t="shared" si="172"/>
        <v>665465</v>
      </c>
      <c r="P617" s="113">
        <f t="shared" si="173"/>
        <v>0</v>
      </c>
      <c r="Q617" s="121">
        <f t="shared" si="163"/>
        <v>334866</v>
      </c>
    </row>
    <row r="618" spans="2:17" hidden="1" x14ac:dyDescent="0.4">
      <c r="B618" s="110">
        <v>44539</v>
      </c>
      <c r="C618" s="122">
        <f t="shared" si="164"/>
        <v>1000000</v>
      </c>
      <c r="D618" s="111">
        <f t="shared" si="165"/>
        <v>2231</v>
      </c>
      <c r="E618" s="2">
        <f t="shared" si="166"/>
        <v>1900</v>
      </c>
      <c r="F618" s="112">
        <f t="shared" si="160"/>
        <v>19000000</v>
      </c>
      <c r="G618" s="2">
        <f t="shared" si="167"/>
        <v>665465</v>
      </c>
      <c r="H618" s="113">
        <f t="shared" si="168"/>
        <v>0</v>
      </c>
      <c r="I618" s="121">
        <f t="shared" si="161"/>
        <v>334866</v>
      </c>
      <c r="K618" s="123">
        <f t="shared" si="169"/>
        <v>1000000</v>
      </c>
      <c r="L618" s="111">
        <f t="shared" si="170"/>
        <v>2231</v>
      </c>
      <c r="M618" s="2">
        <f t="shared" si="171"/>
        <v>1900</v>
      </c>
      <c r="N618" s="112">
        <f t="shared" si="162"/>
        <v>19000000</v>
      </c>
      <c r="O618" s="2">
        <f t="shared" si="172"/>
        <v>665465</v>
      </c>
      <c r="P618" s="113">
        <f t="shared" si="173"/>
        <v>0</v>
      </c>
      <c r="Q618" s="121">
        <f t="shared" si="163"/>
        <v>334866</v>
      </c>
    </row>
    <row r="619" spans="2:17" hidden="1" x14ac:dyDescent="0.4">
      <c r="B619" s="110">
        <v>44540</v>
      </c>
      <c r="C619" s="122">
        <f t="shared" si="164"/>
        <v>1000000</v>
      </c>
      <c r="D619" s="111">
        <f t="shared" si="165"/>
        <v>2231</v>
      </c>
      <c r="E619" s="2">
        <f t="shared" si="166"/>
        <v>1900</v>
      </c>
      <c r="F619" s="112">
        <f t="shared" si="160"/>
        <v>19000000</v>
      </c>
      <c r="G619" s="2">
        <f t="shared" si="167"/>
        <v>665465</v>
      </c>
      <c r="H619" s="113">
        <f t="shared" si="168"/>
        <v>0</v>
      </c>
      <c r="I619" s="121">
        <f t="shared" si="161"/>
        <v>334866</v>
      </c>
      <c r="K619" s="123">
        <f t="shared" si="169"/>
        <v>1000000</v>
      </c>
      <c r="L619" s="111">
        <f t="shared" si="170"/>
        <v>2231</v>
      </c>
      <c r="M619" s="2">
        <f t="shared" si="171"/>
        <v>1900</v>
      </c>
      <c r="N619" s="112">
        <f t="shared" si="162"/>
        <v>19000000</v>
      </c>
      <c r="O619" s="2">
        <f t="shared" si="172"/>
        <v>665465</v>
      </c>
      <c r="P619" s="113">
        <f t="shared" si="173"/>
        <v>0</v>
      </c>
      <c r="Q619" s="121">
        <f t="shared" si="163"/>
        <v>334866</v>
      </c>
    </row>
    <row r="620" spans="2:17" hidden="1" x14ac:dyDescent="0.4">
      <c r="B620" s="110">
        <v>44541</v>
      </c>
      <c r="C620" s="122">
        <f t="shared" si="164"/>
        <v>1000000</v>
      </c>
      <c r="D620" s="111">
        <f t="shared" si="165"/>
        <v>2231</v>
      </c>
      <c r="E620" s="2">
        <f t="shared" si="166"/>
        <v>1900</v>
      </c>
      <c r="F620" s="112">
        <f t="shared" si="160"/>
        <v>19000000</v>
      </c>
      <c r="G620" s="2">
        <f t="shared" si="167"/>
        <v>665465</v>
      </c>
      <c r="H620" s="113">
        <f t="shared" si="168"/>
        <v>0</v>
      </c>
      <c r="I620" s="121">
        <f t="shared" si="161"/>
        <v>334866</v>
      </c>
      <c r="K620" s="123">
        <f t="shared" si="169"/>
        <v>1000000</v>
      </c>
      <c r="L620" s="111">
        <f t="shared" si="170"/>
        <v>2231</v>
      </c>
      <c r="M620" s="2">
        <f t="shared" si="171"/>
        <v>1900</v>
      </c>
      <c r="N620" s="112">
        <f t="shared" si="162"/>
        <v>19000000</v>
      </c>
      <c r="O620" s="2">
        <f t="shared" si="172"/>
        <v>665465</v>
      </c>
      <c r="P620" s="113">
        <f t="shared" si="173"/>
        <v>0</v>
      </c>
      <c r="Q620" s="121">
        <f t="shared" si="163"/>
        <v>334866</v>
      </c>
    </row>
    <row r="621" spans="2:17" hidden="1" x14ac:dyDescent="0.4">
      <c r="B621" s="110">
        <v>44542</v>
      </c>
      <c r="C621" s="122">
        <f t="shared" si="164"/>
        <v>1000000</v>
      </c>
      <c r="D621" s="111">
        <f t="shared" si="165"/>
        <v>2231</v>
      </c>
      <c r="E621" s="2">
        <f t="shared" si="166"/>
        <v>1900</v>
      </c>
      <c r="F621" s="112">
        <f t="shared" si="160"/>
        <v>19000000</v>
      </c>
      <c r="G621" s="2">
        <f t="shared" si="167"/>
        <v>665465</v>
      </c>
      <c r="H621" s="113">
        <f t="shared" si="168"/>
        <v>0</v>
      </c>
      <c r="I621" s="121">
        <f t="shared" si="161"/>
        <v>334866</v>
      </c>
      <c r="K621" s="123">
        <f t="shared" si="169"/>
        <v>1000000</v>
      </c>
      <c r="L621" s="111">
        <f t="shared" si="170"/>
        <v>2231</v>
      </c>
      <c r="M621" s="2">
        <f t="shared" si="171"/>
        <v>1900</v>
      </c>
      <c r="N621" s="112">
        <f t="shared" si="162"/>
        <v>19000000</v>
      </c>
      <c r="O621" s="2">
        <f t="shared" si="172"/>
        <v>665465</v>
      </c>
      <c r="P621" s="113">
        <f t="shared" si="173"/>
        <v>0</v>
      </c>
      <c r="Q621" s="121">
        <f t="shared" si="163"/>
        <v>334866</v>
      </c>
    </row>
    <row r="622" spans="2:17" hidden="1" x14ac:dyDescent="0.4">
      <c r="B622" s="110">
        <v>44543</v>
      </c>
      <c r="C622" s="122">
        <f t="shared" si="164"/>
        <v>1000000</v>
      </c>
      <c r="D622" s="111">
        <f t="shared" si="165"/>
        <v>2231</v>
      </c>
      <c r="E622" s="2">
        <f t="shared" si="166"/>
        <v>1900</v>
      </c>
      <c r="F622" s="112">
        <f t="shared" si="160"/>
        <v>19000000</v>
      </c>
      <c r="G622" s="2">
        <f t="shared" si="167"/>
        <v>665465</v>
      </c>
      <c r="H622" s="113">
        <f t="shared" si="168"/>
        <v>0</v>
      </c>
      <c r="I622" s="121">
        <f t="shared" si="161"/>
        <v>334866</v>
      </c>
      <c r="K622" s="123">
        <f t="shared" si="169"/>
        <v>1000000</v>
      </c>
      <c r="L622" s="111">
        <f t="shared" si="170"/>
        <v>2231</v>
      </c>
      <c r="M622" s="2">
        <f t="shared" si="171"/>
        <v>1900</v>
      </c>
      <c r="N622" s="112">
        <f t="shared" si="162"/>
        <v>19000000</v>
      </c>
      <c r="O622" s="2">
        <f t="shared" si="172"/>
        <v>665465</v>
      </c>
      <c r="P622" s="113">
        <f t="shared" si="173"/>
        <v>0</v>
      </c>
      <c r="Q622" s="121">
        <f t="shared" si="163"/>
        <v>334866</v>
      </c>
    </row>
    <row r="623" spans="2:17" hidden="1" x14ac:dyDescent="0.4">
      <c r="B623" s="110">
        <v>44544</v>
      </c>
      <c r="C623" s="122">
        <f t="shared" si="164"/>
        <v>1000000</v>
      </c>
      <c r="D623" s="111">
        <f t="shared" si="165"/>
        <v>2231</v>
      </c>
      <c r="E623" s="2">
        <f t="shared" si="166"/>
        <v>1900</v>
      </c>
      <c r="F623" s="112">
        <f t="shared" si="160"/>
        <v>19000000</v>
      </c>
      <c r="G623" s="2">
        <f t="shared" si="167"/>
        <v>665465</v>
      </c>
      <c r="H623" s="113">
        <f t="shared" si="168"/>
        <v>0</v>
      </c>
      <c r="I623" s="121">
        <f t="shared" si="161"/>
        <v>334866</v>
      </c>
      <c r="K623" s="123">
        <f t="shared" si="169"/>
        <v>1000000</v>
      </c>
      <c r="L623" s="111">
        <f t="shared" si="170"/>
        <v>2231</v>
      </c>
      <c r="M623" s="2">
        <f t="shared" si="171"/>
        <v>1900</v>
      </c>
      <c r="N623" s="112">
        <f t="shared" si="162"/>
        <v>19000000</v>
      </c>
      <c r="O623" s="2">
        <f t="shared" si="172"/>
        <v>665465</v>
      </c>
      <c r="P623" s="113">
        <f t="shared" si="173"/>
        <v>0</v>
      </c>
      <c r="Q623" s="121">
        <f t="shared" si="163"/>
        <v>334866</v>
      </c>
    </row>
    <row r="624" spans="2:17" hidden="1" x14ac:dyDescent="0.4">
      <c r="B624" s="110">
        <v>44545</v>
      </c>
      <c r="C624" s="122">
        <f t="shared" si="164"/>
        <v>1000000</v>
      </c>
      <c r="D624" s="111">
        <f t="shared" si="165"/>
        <v>2231</v>
      </c>
      <c r="E624" s="2">
        <f t="shared" si="166"/>
        <v>1900</v>
      </c>
      <c r="F624" s="112">
        <f t="shared" si="160"/>
        <v>19000000</v>
      </c>
      <c r="G624" s="2">
        <f t="shared" si="167"/>
        <v>665465</v>
      </c>
      <c r="H624" s="113">
        <f t="shared" si="168"/>
        <v>0</v>
      </c>
      <c r="I624" s="121">
        <f t="shared" si="161"/>
        <v>334866</v>
      </c>
      <c r="K624" s="123">
        <f t="shared" si="169"/>
        <v>1000000</v>
      </c>
      <c r="L624" s="111">
        <f t="shared" si="170"/>
        <v>2231</v>
      </c>
      <c r="M624" s="2">
        <f t="shared" si="171"/>
        <v>1900</v>
      </c>
      <c r="N624" s="112">
        <f t="shared" si="162"/>
        <v>19000000</v>
      </c>
      <c r="O624" s="2">
        <f t="shared" si="172"/>
        <v>665465</v>
      </c>
      <c r="P624" s="113">
        <f t="shared" si="173"/>
        <v>0</v>
      </c>
      <c r="Q624" s="121">
        <f t="shared" si="163"/>
        <v>334866</v>
      </c>
    </row>
    <row r="625" spans="2:17" hidden="1" x14ac:dyDescent="0.4">
      <c r="B625" s="110">
        <v>44546</v>
      </c>
      <c r="C625" s="122">
        <f t="shared" si="164"/>
        <v>1000000</v>
      </c>
      <c r="D625" s="111">
        <f t="shared" si="165"/>
        <v>2231</v>
      </c>
      <c r="E625" s="2">
        <f t="shared" si="166"/>
        <v>1900</v>
      </c>
      <c r="F625" s="112">
        <f t="shared" si="160"/>
        <v>19000000</v>
      </c>
      <c r="G625" s="2">
        <f t="shared" si="167"/>
        <v>665465</v>
      </c>
      <c r="H625" s="113">
        <f t="shared" si="168"/>
        <v>0</v>
      </c>
      <c r="I625" s="121">
        <f t="shared" si="161"/>
        <v>334866</v>
      </c>
      <c r="K625" s="123">
        <f t="shared" si="169"/>
        <v>1000000</v>
      </c>
      <c r="L625" s="111">
        <f t="shared" si="170"/>
        <v>2231</v>
      </c>
      <c r="M625" s="2">
        <f t="shared" si="171"/>
        <v>1900</v>
      </c>
      <c r="N625" s="112">
        <f t="shared" si="162"/>
        <v>19000000</v>
      </c>
      <c r="O625" s="2">
        <f t="shared" si="172"/>
        <v>665465</v>
      </c>
      <c r="P625" s="113">
        <f t="shared" si="173"/>
        <v>0</v>
      </c>
      <c r="Q625" s="121">
        <f t="shared" si="163"/>
        <v>334866</v>
      </c>
    </row>
    <row r="626" spans="2:17" hidden="1" x14ac:dyDescent="0.4">
      <c r="B626" s="110">
        <v>44547</v>
      </c>
      <c r="C626" s="122">
        <f t="shared" si="164"/>
        <v>1000000</v>
      </c>
      <c r="D626" s="111">
        <f t="shared" si="165"/>
        <v>2231</v>
      </c>
      <c r="E626" s="2">
        <f t="shared" si="166"/>
        <v>1900</v>
      </c>
      <c r="F626" s="112">
        <f t="shared" si="160"/>
        <v>19000000</v>
      </c>
      <c r="G626" s="2">
        <f t="shared" si="167"/>
        <v>665465</v>
      </c>
      <c r="H626" s="113">
        <f t="shared" si="168"/>
        <v>0</v>
      </c>
      <c r="I626" s="121">
        <f t="shared" si="161"/>
        <v>334866</v>
      </c>
      <c r="K626" s="123">
        <f t="shared" si="169"/>
        <v>1000000</v>
      </c>
      <c r="L626" s="111">
        <f t="shared" si="170"/>
        <v>2231</v>
      </c>
      <c r="M626" s="2">
        <f t="shared" si="171"/>
        <v>1900</v>
      </c>
      <c r="N626" s="112">
        <f t="shared" si="162"/>
        <v>19000000</v>
      </c>
      <c r="O626" s="2">
        <f t="shared" si="172"/>
        <v>665465</v>
      </c>
      <c r="P626" s="113">
        <f t="shared" si="173"/>
        <v>0</v>
      </c>
      <c r="Q626" s="121">
        <f t="shared" si="163"/>
        <v>334866</v>
      </c>
    </row>
    <row r="627" spans="2:17" hidden="1" x14ac:dyDescent="0.4">
      <c r="B627" s="110">
        <v>44548</v>
      </c>
      <c r="C627" s="122">
        <f t="shared" si="164"/>
        <v>1000000</v>
      </c>
      <c r="D627" s="111">
        <f t="shared" si="165"/>
        <v>2231</v>
      </c>
      <c r="E627" s="2">
        <f t="shared" si="166"/>
        <v>1900</v>
      </c>
      <c r="F627" s="112">
        <f t="shared" si="160"/>
        <v>19000000</v>
      </c>
      <c r="G627" s="2">
        <f t="shared" si="167"/>
        <v>665465</v>
      </c>
      <c r="H627" s="113">
        <f t="shared" si="168"/>
        <v>0</v>
      </c>
      <c r="I627" s="121">
        <f t="shared" si="161"/>
        <v>334866</v>
      </c>
      <c r="K627" s="123">
        <f t="shared" si="169"/>
        <v>1000000</v>
      </c>
      <c r="L627" s="111">
        <f t="shared" si="170"/>
        <v>2231</v>
      </c>
      <c r="M627" s="2">
        <f t="shared" si="171"/>
        <v>1900</v>
      </c>
      <c r="N627" s="112">
        <f t="shared" si="162"/>
        <v>19000000</v>
      </c>
      <c r="O627" s="2">
        <f t="shared" si="172"/>
        <v>665465</v>
      </c>
      <c r="P627" s="113">
        <f t="shared" si="173"/>
        <v>0</v>
      </c>
      <c r="Q627" s="121">
        <f t="shared" si="163"/>
        <v>334866</v>
      </c>
    </row>
    <row r="628" spans="2:17" hidden="1" x14ac:dyDescent="0.4">
      <c r="B628" s="110">
        <v>44549</v>
      </c>
      <c r="C628" s="122">
        <f t="shared" si="164"/>
        <v>1000000</v>
      </c>
      <c r="D628" s="111">
        <f t="shared" si="165"/>
        <v>2231</v>
      </c>
      <c r="E628" s="2">
        <f t="shared" si="166"/>
        <v>1900</v>
      </c>
      <c r="F628" s="112">
        <f t="shared" si="160"/>
        <v>19000000</v>
      </c>
      <c r="G628" s="2">
        <f t="shared" si="167"/>
        <v>665465</v>
      </c>
      <c r="H628" s="113">
        <f t="shared" si="168"/>
        <v>0</v>
      </c>
      <c r="I628" s="121">
        <f t="shared" si="161"/>
        <v>334866</v>
      </c>
      <c r="K628" s="123">
        <f t="shared" si="169"/>
        <v>1000000</v>
      </c>
      <c r="L628" s="111">
        <f t="shared" si="170"/>
        <v>2231</v>
      </c>
      <c r="M628" s="2">
        <f t="shared" si="171"/>
        <v>1900</v>
      </c>
      <c r="N628" s="112">
        <f t="shared" si="162"/>
        <v>19000000</v>
      </c>
      <c r="O628" s="2">
        <f t="shared" si="172"/>
        <v>665465</v>
      </c>
      <c r="P628" s="113">
        <f t="shared" si="173"/>
        <v>0</v>
      </c>
      <c r="Q628" s="121">
        <f t="shared" si="163"/>
        <v>334866</v>
      </c>
    </row>
    <row r="629" spans="2:17" hidden="1" x14ac:dyDescent="0.4">
      <c r="B629" s="110">
        <v>44550</v>
      </c>
      <c r="C629" s="122">
        <f t="shared" si="164"/>
        <v>1000000</v>
      </c>
      <c r="D629" s="111">
        <f t="shared" si="165"/>
        <v>2231</v>
      </c>
      <c r="E629" s="2">
        <f t="shared" si="166"/>
        <v>1900</v>
      </c>
      <c r="F629" s="112">
        <f t="shared" si="160"/>
        <v>19000000</v>
      </c>
      <c r="G629" s="2">
        <f t="shared" si="167"/>
        <v>665465</v>
      </c>
      <c r="H629" s="113">
        <f t="shared" si="168"/>
        <v>0</v>
      </c>
      <c r="I629" s="121">
        <f t="shared" si="161"/>
        <v>334866</v>
      </c>
      <c r="K629" s="123">
        <f t="shared" si="169"/>
        <v>1000000</v>
      </c>
      <c r="L629" s="111">
        <f t="shared" si="170"/>
        <v>2231</v>
      </c>
      <c r="M629" s="2">
        <f t="shared" si="171"/>
        <v>1900</v>
      </c>
      <c r="N629" s="112">
        <f t="shared" si="162"/>
        <v>19000000</v>
      </c>
      <c r="O629" s="2">
        <f t="shared" si="172"/>
        <v>665465</v>
      </c>
      <c r="P629" s="113">
        <f t="shared" si="173"/>
        <v>0</v>
      </c>
      <c r="Q629" s="121">
        <f t="shared" si="163"/>
        <v>334866</v>
      </c>
    </row>
    <row r="630" spans="2:17" hidden="1" x14ac:dyDescent="0.4">
      <c r="B630" s="110">
        <v>44551</v>
      </c>
      <c r="C630" s="122">
        <f t="shared" si="164"/>
        <v>1000000</v>
      </c>
      <c r="D630" s="111">
        <f t="shared" si="165"/>
        <v>2231</v>
      </c>
      <c r="E630" s="2">
        <f t="shared" si="166"/>
        <v>1900</v>
      </c>
      <c r="F630" s="112">
        <f t="shared" si="160"/>
        <v>19000000</v>
      </c>
      <c r="G630" s="2">
        <f t="shared" si="167"/>
        <v>665465</v>
      </c>
      <c r="H630" s="113">
        <f t="shared" si="168"/>
        <v>0</v>
      </c>
      <c r="I630" s="121">
        <f t="shared" si="161"/>
        <v>334866</v>
      </c>
      <c r="K630" s="123">
        <f t="shared" si="169"/>
        <v>1000000</v>
      </c>
      <c r="L630" s="111">
        <f t="shared" si="170"/>
        <v>2231</v>
      </c>
      <c r="M630" s="2">
        <f t="shared" si="171"/>
        <v>1900</v>
      </c>
      <c r="N630" s="112">
        <f t="shared" si="162"/>
        <v>19000000</v>
      </c>
      <c r="O630" s="2">
        <f t="shared" si="172"/>
        <v>665465</v>
      </c>
      <c r="P630" s="113">
        <f t="shared" si="173"/>
        <v>0</v>
      </c>
      <c r="Q630" s="121">
        <f t="shared" si="163"/>
        <v>334866</v>
      </c>
    </row>
    <row r="631" spans="2:17" hidden="1" x14ac:dyDescent="0.4">
      <c r="B631" s="110">
        <v>44552</v>
      </c>
      <c r="C631" s="122">
        <f t="shared" si="164"/>
        <v>1000000</v>
      </c>
      <c r="D631" s="111">
        <f t="shared" si="165"/>
        <v>2231</v>
      </c>
      <c r="E631" s="2">
        <f t="shared" si="166"/>
        <v>1900</v>
      </c>
      <c r="F631" s="112">
        <f t="shared" si="160"/>
        <v>19000000</v>
      </c>
      <c r="G631" s="2">
        <f t="shared" si="167"/>
        <v>665465</v>
      </c>
      <c r="H631" s="113">
        <f t="shared" si="168"/>
        <v>0</v>
      </c>
      <c r="I631" s="121">
        <f t="shared" si="161"/>
        <v>334866</v>
      </c>
      <c r="K631" s="123">
        <f t="shared" si="169"/>
        <v>1000000</v>
      </c>
      <c r="L631" s="111">
        <f t="shared" si="170"/>
        <v>2231</v>
      </c>
      <c r="M631" s="2">
        <f t="shared" si="171"/>
        <v>1900</v>
      </c>
      <c r="N631" s="112">
        <f t="shared" si="162"/>
        <v>19000000</v>
      </c>
      <c r="O631" s="2">
        <f t="shared" si="172"/>
        <v>665465</v>
      </c>
      <c r="P631" s="113">
        <f t="shared" si="173"/>
        <v>0</v>
      </c>
      <c r="Q631" s="121">
        <f t="shared" si="163"/>
        <v>334866</v>
      </c>
    </row>
    <row r="632" spans="2:17" hidden="1" x14ac:dyDescent="0.4">
      <c r="B632" s="110">
        <v>44553</v>
      </c>
      <c r="C632" s="122">
        <f t="shared" si="164"/>
        <v>1000000</v>
      </c>
      <c r="D632" s="111">
        <f t="shared" si="165"/>
        <v>2231</v>
      </c>
      <c r="E632" s="2">
        <f t="shared" si="166"/>
        <v>1900</v>
      </c>
      <c r="F632" s="112">
        <f t="shared" si="160"/>
        <v>19000000</v>
      </c>
      <c r="G632" s="2">
        <f t="shared" si="167"/>
        <v>665465</v>
      </c>
      <c r="H632" s="113">
        <f t="shared" si="168"/>
        <v>0</v>
      </c>
      <c r="I632" s="121">
        <f t="shared" si="161"/>
        <v>334866</v>
      </c>
      <c r="K632" s="123">
        <f t="shared" si="169"/>
        <v>1000000</v>
      </c>
      <c r="L632" s="111">
        <f t="shared" si="170"/>
        <v>2231</v>
      </c>
      <c r="M632" s="2">
        <f t="shared" si="171"/>
        <v>1900</v>
      </c>
      <c r="N632" s="112">
        <f t="shared" si="162"/>
        <v>19000000</v>
      </c>
      <c r="O632" s="2">
        <f t="shared" si="172"/>
        <v>665465</v>
      </c>
      <c r="P632" s="113">
        <f t="shared" si="173"/>
        <v>0</v>
      </c>
      <c r="Q632" s="121">
        <f t="shared" si="163"/>
        <v>334866</v>
      </c>
    </row>
    <row r="633" spans="2:17" hidden="1" x14ac:dyDescent="0.4">
      <c r="B633" s="110">
        <v>44554</v>
      </c>
      <c r="C633" s="122">
        <f t="shared" si="164"/>
        <v>1000000</v>
      </c>
      <c r="D633" s="111">
        <f t="shared" si="165"/>
        <v>2231</v>
      </c>
      <c r="E633" s="2">
        <f t="shared" si="166"/>
        <v>1900</v>
      </c>
      <c r="F633" s="112">
        <f t="shared" si="160"/>
        <v>19000000</v>
      </c>
      <c r="G633" s="2">
        <f t="shared" si="167"/>
        <v>665465</v>
      </c>
      <c r="H633" s="113">
        <f t="shared" si="168"/>
        <v>0</v>
      </c>
      <c r="I633" s="121">
        <f t="shared" si="161"/>
        <v>334866</v>
      </c>
      <c r="K633" s="123">
        <f t="shared" si="169"/>
        <v>1000000</v>
      </c>
      <c r="L633" s="111">
        <f t="shared" si="170"/>
        <v>2231</v>
      </c>
      <c r="M633" s="2">
        <f t="shared" si="171"/>
        <v>1900</v>
      </c>
      <c r="N633" s="112">
        <f t="shared" si="162"/>
        <v>19000000</v>
      </c>
      <c r="O633" s="2">
        <f t="shared" si="172"/>
        <v>665465</v>
      </c>
      <c r="P633" s="113">
        <f t="shared" si="173"/>
        <v>0</v>
      </c>
      <c r="Q633" s="121">
        <f t="shared" si="163"/>
        <v>334866</v>
      </c>
    </row>
    <row r="634" spans="2:17" hidden="1" x14ac:dyDescent="0.4">
      <c r="B634" s="110">
        <v>44555</v>
      </c>
      <c r="C634" s="122">
        <f t="shared" si="164"/>
        <v>1000000</v>
      </c>
      <c r="D634" s="111">
        <f t="shared" si="165"/>
        <v>2231</v>
      </c>
      <c r="E634" s="2">
        <f t="shared" si="166"/>
        <v>1900</v>
      </c>
      <c r="F634" s="112">
        <f t="shared" si="160"/>
        <v>19000000</v>
      </c>
      <c r="G634" s="2">
        <f t="shared" si="167"/>
        <v>665465</v>
      </c>
      <c r="H634" s="113">
        <f t="shared" si="168"/>
        <v>0</v>
      </c>
      <c r="I634" s="121">
        <f t="shared" si="161"/>
        <v>334866</v>
      </c>
      <c r="K634" s="123">
        <f t="shared" si="169"/>
        <v>1000000</v>
      </c>
      <c r="L634" s="111">
        <f t="shared" si="170"/>
        <v>2231</v>
      </c>
      <c r="M634" s="2">
        <f t="shared" si="171"/>
        <v>1900</v>
      </c>
      <c r="N634" s="112">
        <f t="shared" si="162"/>
        <v>19000000</v>
      </c>
      <c r="O634" s="2">
        <f t="shared" si="172"/>
        <v>665465</v>
      </c>
      <c r="P634" s="113">
        <f t="shared" si="173"/>
        <v>0</v>
      </c>
      <c r="Q634" s="121">
        <f t="shared" si="163"/>
        <v>334866</v>
      </c>
    </row>
    <row r="635" spans="2:17" hidden="1" x14ac:dyDescent="0.4">
      <c r="B635" s="110">
        <v>44556</v>
      </c>
      <c r="C635" s="122">
        <f t="shared" si="164"/>
        <v>1000000</v>
      </c>
      <c r="D635" s="111">
        <f t="shared" si="165"/>
        <v>2231</v>
      </c>
      <c r="E635" s="2">
        <f t="shared" si="166"/>
        <v>1900</v>
      </c>
      <c r="F635" s="112">
        <f t="shared" si="160"/>
        <v>19000000</v>
      </c>
      <c r="G635" s="2">
        <f t="shared" si="167"/>
        <v>665465</v>
      </c>
      <c r="H635" s="113">
        <f t="shared" si="168"/>
        <v>0</v>
      </c>
      <c r="I635" s="121">
        <f t="shared" si="161"/>
        <v>334866</v>
      </c>
      <c r="K635" s="123">
        <f t="shared" si="169"/>
        <v>1000000</v>
      </c>
      <c r="L635" s="111">
        <f t="shared" si="170"/>
        <v>2231</v>
      </c>
      <c r="M635" s="2">
        <f t="shared" si="171"/>
        <v>1900</v>
      </c>
      <c r="N635" s="112">
        <f t="shared" si="162"/>
        <v>19000000</v>
      </c>
      <c r="O635" s="2">
        <f t="shared" si="172"/>
        <v>665465</v>
      </c>
      <c r="P635" s="113">
        <f t="shared" si="173"/>
        <v>0</v>
      </c>
      <c r="Q635" s="121">
        <f t="shared" si="163"/>
        <v>334866</v>
      </c>
    </row>
    <row r="636" spans="2:17" hidden="1" x14ac:dyDescent="0.4">
      <c r="B636" s="110">
        <v>44557</v>
      </c>
      <c r="C636" s="122">
        <f t="shared" si="164"/>
        <v>1000000</v>
      </c>
      <c r="D636" s="111">
        <f t="shared" si="165"/>
        <v>2231</v>
      </c>
      <c r="E636" s="2">
        <f t="shared" si="166"/>
        <v>1900</v>
      </c>
      <c r="F636" s="112">
        <f t="shared" si="160"/>
        <v>19000000</v>
      </c>
      <c r="G636" s="2">
        <f t="shared" si="167"/>
        <v>665465</v>
      </c>
      <c r="H636" s="113">
        <f t="shared" si="168"/>
        <v>0</v>
      </c>
      <c r="I636" s="121">
        <f t="shared" si="161"/>
        <v>334866</v>
      </c>
      <c r="K636" s="123">
        <f t="shared" si="169"/>
        <v>1000000</v>
      </c>
      <c r="L636" s="111">
        <f t="shared" si="170"/>
        <v>2231</v>
      </c>
      <c r="M636" s="2">
        <f t="shared" si="171"/>
        <v>1900</v>
      </c>
      <c r="N636" s="112">
        <f t="shared" si="162"/>
        <v>19000000</v>
      </c>
      <c r="O636" s="2">
        <f t="shared" si="172"/>
        <v>665465</v>
      </c>
      <c r="P636" s="113">
        <f t="shared" si="173"/>
        <v>0</v>
      </c>
      <c r="Q636" s="121">
        <f t="shared" si="163"/>
        <v>334866</v>
      </c>
    </row>
    <row r="637" spans="2:17" hidden="1" x14ac:dyDescent="0.4">
      <c r="B637" s="110">
        <v>44558</v>
      </c>
      <c r="C637" s="122">
        <f t="shared" si="164"/>
        <v>1000000</v>
      </c>
      <c r="D637" s="111">
        <f t="shared" si="165"/>
        <v>2231</v>
      </c>
      <c r="E637" s="2">
        <f t="shared" si="166"/>
        <v>1900</v>
      </c>
      <c r="F637" s="112">
        <f t="shared" si="160"/>
        <v>19000000</v>
      </c>
      <c r="G637" s="2">
        <f t="shared" si="167"/>
        <v>665465</v>
      </c>
      <c r="H637" s="113">
        <f t="shared" si="168"/>
        <v>0</v>
      </c>
      <c r="I637" s="121">
        <f t="shared" si="161"/>
        <v>334866</v>
      </c>
      <c r="K637" s="123">
        <f t="shared" si="169"/>
        <v>1000000</v>
      </c>
      <c r="L637" s="111">
        <f t="shared" si="170"/>
        <v>2231</v>
      </c>
      <c r="M637" s="2">
        <f t="shared" si="171"/>
        <v>1900</v>
      </c>
      <c r="N637" s="112">
        <f t="shared" si="162"/>
        <v>19000000</v>
      </c>
      <c r="O637" s="2">
        <f t="shared" si="172"/>
        <v>665465</v>
      </c>
      <c r="P637" s="113">
        <f t="shared" si="173"/>
        <v>0</v>
      </c>
      <c r="Q637" s="121">
        <f t="shared" si="163"/>
        <v>334866</v>
      </c>
    </row>
    <row r="638" spans="2:17" hidden="1" x14ac:dyDescent="0.4">
      <c r="B638" s="110">
        <v>44559</v>
      </c>
      <c r="C638" s="122">
        <f t="shared" si="164"/>
        <v>1000000</v>
      </c>
      <c r="D638" s="111">
        <f t="shared" si="165"/>
        <v>2231</v>
      </c>
      <c r="E638" s="2">
        <f t="shared" si="166"/>
        <v>1900</v>
      </c>
      <c r="F638" s="112">
        <f t="shared" si="160"/>
        <v>19000000</v>
      </c>
      <c r="G638" s="2">
        <f t="shared" si="167"/>
        <v>665465</v>
      </c>
      <c r="H638" s="113">
        <f t="shared" si="168"/>
        <v>0</v>
      </c>
      <c r="I638" s="121">
        <f t="shared" si="161"/>
        <v>334866</v>
      </c>
      <c r="K638" s="123">
        <f t="shared" si="169"/>
        <v>1000000</v>
      </c>
      <c r="L638" s="111">
        <f t="shared" si="170"/>
        <v>2231</v>
      </c>
      <c r="M638" s="2">
        <f t="shared" si="171"/>
        <v>1900</v>
      </c>
      <c r="N638" s="112">
        <f t="shared" si="162"/>
        <v>19000000</v>
      </c>
      <c r="O638" s="2">
        <f t="shared" si="172"/>
        <v>665465</v>
      </c>
      <c r="P638" s="113">
        <f t="shared" si="173"/>
        <v>0</v>
      </c>
      <c r="Q638" s="121">
        <f t="shared" si="163"/>
        <v>334866</v>
      </c>
    </row>
    <row r="639" spans="2:17" hidden="1" x14ac:dyDescent="0.4">
      <c r="B639" s="110">
        <v>44560</v>
      </c>
      <c r="C639" s="122">
        <f t="shared" si="164"/>
        <v>1000000</v>
      </c>
      <c r="D639" s="111">
        <f t="shared" si="165"/>
        <v>2231</v>
      </c>
      <c r="E639" s="2">
        <f t="shared" si="166"/>
        <v>1900</v>
      </c>
      <c r="F639" s="112">
        <f t="shared" si="160"/>
        <v>19000000</v>
      </c>
      <c r="G639" s="2">
        <f t="shared" si="167"/>
        <v>665465</v>
      </c>
      <c r="H639" s="113">
        <f t="shared" si="168"/>
        <v>0</v>
      </c>
      <c r="I639" s="121">
        <f t="shared" si="161"/>
        <v>334866</v>
      </c>
      <c r="K639" s="123">
        <f t="shared" si="169"/>
        <v>1000000</v>
      </c>
      <c r="L639" s="111">
        <f t="shared" si="170"/>
        <v>2231</v>
      </c>
      <c r="M639" s="2">
        <f t="shared" si="171"/>
        <v>1900</v>
      </c>
      <c r="N639" s="112">
        <f t="shared" si="162"/>
        <v>19000000</v>
      </c>
      <c r="O639" s="2">
        <f t="shared" si="172"/>
        <v>665465</v>
      </c>
      <c r="P639" s="113">
        <f t="shared" si="173"/>
        <v>0</v>
      </c>
      <c r="Q639" s="121">
        <f t="shared" si="163"/>
        <v>334866</v>
      </c>
    </row>
    <row r="640" spans="2:17" hidden="1" x14ac:dyDescent="0.4">
      <c r="B640" s="110">
        <v>44561</v>
      </c>
      <c r="C640" s="122">
        <f t="shared" si="164"/>
        <v>1000000</v>
      </c>
      <c r="D640" s="111">
        <f t="shared" si="165"/>
        <v>2231</v>
      </c>
      <c r="E640" s="2">
        <f t="shared" si="166"/>
        <v>1900</v>
      </c>
      <c r="F640" s="112">
        <f t="shared" si="160"/>
        <v>19000000</v>
      </c>
      <c r="G640" s="2">
        <f t="shared" si="167"/>
        <v>665465</v>
      </c>
      <c r="H640" s="113">
        <f t="shared" si="168"/>
        <v>0</v>
      </c>
      <c r="I640" s="121">
        <f t="shared" si="161"/>
        <v>334866</v>
      </c>
      <c r="K640" s="123">
        <f t="shared" si="169"/>
        <v>1000000</v>
      </c>
      <c r="L640" s="111">
        <f t="shared" si="170"/>
        <v>2231</v>
      </c>
      <c r="M640" s="2">
        <f t="shared" si="171"/>
        <v>1900</v>
      </c>
      <c r="N640" s="112">
        <f t="shared" si="162"/>
        <v>19000000</v>
      </c>
      <c r="O640" s="2">
        <f t="shared" si="172"/>
        <v>665465</v>
      </c>
      <c r="P640" s="113">
        <f t="shared" si="173"/>
        <v>0</v>
      </c>
      <c r="Q640" s="121">
        <f t="shared" si="163"/>
        <v>334866</v>
      </c>
    </row>
    <row r="641" spans="2:17" x14ac:dyDescent="0.4">
      <c r="B641" s="110">
        <v>44562</v>
      </c>
      <c r="C641" s="122">
        <f t="shared" si="164"/>
        <v>1000000</v>
      </c>
      <c r="D641" s="111">
        <f t="shared" si="165"/>
        <v>2231</v>
      </c>
      <c r="E641" s="2">
        <f t="shared" si="166"/>
        <v>1900</v>
      </c>
      <c r="F641" s="112">
        <f t="shared" si="160"/>
        <v>19000000</v>
      </c>
      <c r="G641" s="2">
        <f t="shared" si="167"/>
        <v>665465</v>
      </c>
      <c r="H641" s="113">
        <f t="shared" si="168"/>
        <v>0</v>
      </c>
      <c r="I641" s="121">
        <f t="shared" si="161"/>
        <v>334866</v>
      </c>
      <c r="K641" s="123">
        <f t="shared" si="169"/>
        <v>1000000</v>
      </c>
      <c r="L641" s="111">
        <f t="shared" si="170"/>
        <v>2231</v>
      </c>
      <c r="M641" s="2">
        <f t="shared" si="171"/>
        <v>1900</v>
      </c>
      <c r="N641" s="112">
        <f t="shared" si="162"/>
        <v>19000000</v>
      </c>
      <c r="O641" s="2">
        <f t="shared" si="172"/>
        <v>665465</v>
      </c>
      <c r="P641" s="113">
        <f t="shared" si="173"/>
        <v>0</v>
      </c>
      <c r="Q641" s="121">
        <f t="shared" si="163"/>
        <v>334866</v>
      </c>
    </row>
    <row r="642" spans="2:17" hidden="1" x14ac:dyDescent="0.4">
      <c r="B642" s="110">
        <v>44563</v>
      </c>
      <c r="C642" s="122">
        <f t="shared" si="164"/>
        <v>1000000</v>
      </c>
      <c r="D642" s="111">
        <f t="shared" si="165"/>
        <v>2231</v>
      </c>
      <c r="E642" s="2">
        <f t="shared" si="166"/>
        <v>1900</v>
      </c>
      <c r="F642" s="112">
        <f t="shared" si="160"/>
        <v>19000000</v>
      </c>
      <c r="G642" s="2">
        <f t="shared" si="167"/>
        <v>665465</v>
      </c>
      <c r="H642" s="113">
        <f t="shared" si="168"/>
        <v>0</v>
      </c>
      <c r="I642" s="121">
        <f t="shared" si="161"/>
        <v>334866</v>
      </c>
      <c r="K642" s="123">
        <f t="shared" si="169"/>
        <v>1000000</v>
      </c>
      <c r="L642" s="111">
        <f t="shared" si="170"/>
        <v>2231</v>
      </c>
      <c r="M642" s="2">
        <f t="shared" si="171"/>
        <v>1900</v>
      </c>
      <c r="N642" s="112">
        <f t="shared" si="162"/>
        <v>19000000</v>
      </c>
      <c r="O642" s="2">
        <f t="shared" si="172"/>
        <v>665465</v>
      </c>
      <c r="P642" s="113">
        <f t="shared" si="173"/>
        <v>0</v>
      </c>
      <c r="Q642" s="121">
        <f t="shared" si="163"/>
        <v>334866</v>
      </c>
    </row>
    <row r="643" spans="2:17" hidden="1" x14ac:dyDescent="0.4">
      <c r="B643" s="110">
        <v>44564</v>
      </c>
      <c r="C643" s="122">
        <f t="shared" si="164"/>
        <v>1000000</v>
      </c>
      <c r="D643" s="111">
        <f t="shared" si="165"/>
        <v>2231</v>
      </c>
      <c r="E643" s="2">
        <f t="shared" si="166"/>
        <v>1900</v>
      </c>
      <c r="F643" s="112">
        <f t="shared" si="160"/>
        <v>19000000</v>
      </c>
      <c r="G643" s="2">
        <f t="shared" si="167"/>
        <v>665465</v>
      </c>
      <c r="H643" s="113">
        <f t="shared" si="168"/>
        <v>0</v>
      </c>
      <c r="I643" s="121">
        <f t="shared" si="161"/>
        <v>334866</v>
      </c>
      <c r="K643" s="123">
        <f t="shared" si="169"/>
        <v>1000000</v>
      </c>
      <c r="L643" s="111">
        <f t="shared" si="170"/>
        <v>2231</v>
      </c>
      <c r="M643" s="2">
        <f t="shared" si="171"/>
        <v>1900</v>
      </c>
      <c r="N643" s="112">
        <f t="shared" si="162"/>
        <v>19000000</v>
      </c>
      <c r="O643" s="2">
        <f t="shared" si="172"/>
        <v>665465</v>
      </c>
      <c r="P643" s="113">
        <f t="shared" si="173"/>
        <v>0</v>
      </c>
      <c r="Q643" s="121">
        <f t="shared" si="163"/>
        <v>334866</v>
      </c>
    </row>
    <row r="644" spans="2:17" hidden="1" x14ac:dyDescent="0.4">
      <c r="B644" s="110">
        <v>44565</v>
      </c>
      <c r="C644" s="122">
        <f t="shared" si="164"/>
        <v>1000000</v>
      </c>
      <c r="D644" s="111">
        <f t="shared" si="165"/>
        <v>2231</v>
      </c>
      <c r="E644" s="2">
        <f t="shared" si="166"/>
        <v>1900</v>
      </c>
      <c r="F644" s="112">
        <f t="shared" si="160"/>
        <v>19000000</v>
      </c>
      <c r="G644" s="2">
        <f t="shared" si="167"/>
        <v>665465</v>
      </c>
      <c r="H644" s="113">
        <f t="shared" si="168"/>
        <v>0</v>
      </c>
      <c r="I644" s="121">
        <f t="shared" si="161"/>
        <v>334866</v>
      </c>
      <c r="K644" s="123">
        <f t="shared" si="169"/>
        <v>1000000</v>
      </c>
      <c r="L644" s="111">
        <f t="shared" si="170"/>
        <v>2231</v>
      </c>
      <c r="M644" s="2">
        <f t="shared" si="171"/>
        <v>1900</v>
      </c>
      <c r="N644" s="112">
        <f t="shared" si="162"/>
        <v>19000000</v>
      </c>
      <c r="O644" s="2">
        <f t="shared" si="172"/>
        <v>665465</v>
      </c>
      <c r="P644" s="113">
        <f t="shared" si="173"/>
        <v>0</v>
      </c>
      <c r="Q644" s="121">
        <f t="shared" si="163"/>
        <v>334866</v>
      </c>
    </row>
    <row r="645" spans="2:17" hidden="1" x14ac:dyDescent="0.4">
      <c r="B645" s="110">
        <v>44566</v>
      </c>
      <c r="C645" s="122">
        <f t="shared" si="164"/>
        <v>1000000</v>
      </c>
      <c r="D645" s="111">
        <f t="shared" si="165"/>
        <v>2231</v>
      </c>
      <c r="E645" s="2">
        <f t="shared" si="166"/>
        <v>1900</v>
      </c>
      <c r="F645" s="112">
        <f t="shared" si="160"/>
        <v>19000000</v>
      </c>
      <c r="G645" s="2">
        <f t="shared" si="167"/>
        <v>665465</v>
      </c>
      <c r="H645" s="113">
        <f t="shared" si="168"/>
        <v>0</v>
      </c>
      <c r="I645" s="121">
        <f t="shared" si="161"/>
        <v>334866</v>
      </c>
      <c r="K645" s="123">
        <f t="shared" si="169"/>
        <v>1000000</v>
      </c>
      <c r="L645" s="111">
        <f t="shared" si="170"/>
        <v>2231</v>
      </c>
      <c r="M645" s="2">
        <f t="shared" si="171"/>
        <v>1900</v>
      </c>
      <c r="N645" s="112">
        <f t="shared" si="162"/>
        <v>19000000</v>
      </c>
      <c r="O645" s="2">
        <f t="shared" si="172"/>
        <v>665465</v>
      </c>
      <c r="P645" s="113">
        <f t="shared" si="173"/>
        <v>0</v>
      </c>
      <c r="Q645" s="121">
        <f t="shared" si="163"/>
        <v>334866</v>
      </c>
    </row>
    <row r="646" spans="2:17" hidden="1" x14ac:dyDescent="0.4">
      <c r="B646" s="110">
        <v>44567</v>
      </c>
      <c r="C646" s="122">
        <f t="shared" si="164"/>
        <v>1000000</v>
      </c>
      <c r="D646" s="111">
        <f t="shared" si="165"/>
        <v>2231</v>
      </c>
      <c r="E646" s="2">
        <f t="shared" si="166"/>
        <v>1900</v>
      </c>
      <c r="F646" s="112">
        <f t="shared" si="160"/>
        <v>19000000</v>
      </c>
      <c r="G646" s="2">
        <f t="shared" si="167"/>
        <v>665465</v>
      </c>
      <c r="H646" s="113">
        <f t="shared" si="168"/>
        <v>0</v>
      </c>
      <c r="I646" s="121">
        <f t="shared" si="161"/>
        <v>334866</v>
      </c>
      <c r="K646" s="123">
        <f t="shared" si="169"/>
        <v>1000000</v>
      </c>
      <c r="L646" s="111">
        <f t="shared" si="170"/>
        <v>2231</v>
      </c>
      <c r="M646" s="2">
        <f t="shared" si="171"/>
        <v>1900</v>
      </c>
      <c r="N646" s="112">
        <f t="shared" si="162"/>
        <v>19000000</v>
      </c>
      <c r="O646" s="2">
        <f t="shared" si="172"/>
        <v>665465</v>
      </c>
      <c r="P646" s="113">
        <f t="shared" si="173"/>
        <v>0</v>
      </c>
      <c r="Q646" s="121">
        <f t="shared" si="163"/>
        <v>334866</v>
      </c>
    </row>
    <row r="647" spans="2:17" hidden="1" x14ac:dyDescent="0.4">
      <c r="B647" s="110">
        <v>44568</v>
      </c>
      <c r="C647" s="122">
        <f t="shared" si="164"/>
        <v>1000000</v>
      </c>
      <c r="D647" s="111">
        <f t="shared" si="165"/>
        <v>2231</v>
      </c>
      <c r="E647" s="2">
        <f t="shared" si="166"/>
        <v>1900</v>
      </c>
      <c r="F647" s="112">
        <f t="shared" si="160"/>
        <v>19000000</v>
      </c>
      <c r="G647" s="2">
        <f t="shared" si="167"/>
        <v>665465</v>
      </c>
      <c r="H647" s="113">
        <f t="shared" si="168"/>
        <v>0</v>
      </c>
      <c r="I647" s="121">
        <f t="shared" si="161"/>
        <v>334866</v>
      </c>
      <c r="K647" s="123">
        <f t="shared" si="169"/>
        <v>1000000</v>
      </c>
      <c r="L647" s="111">
        <f t="shared" si="170"/>
        <v>2231</v>
      </c>
      <c r="M647" s="2">
        <f t="shared" si="171"/>
        <v>1900</v>
      </c>
      <c r="N647" s="112">
        <f t="shared" si="162"/>
        <v>19000000</v>
      </c>
      <c r="O647" s="2">
        <f t="shared" si="172"/>
        <v>665465</v>
      </c>
      <c r="P647" s="113">
        <f t="shared" si="173"/>
        <v>0</v>
      </c>
      <c r="Q647" s="121">
        <f t="shared" si="163"/>
        <v>334866</v>
      </c>
    </row>
    <row r="648" spans="2:17" hidden="1" x14ac:dyDescent="0.4">
      <c r="B648" s="110">
        <v>44569</v>
      </c>
      <c r="C648" s="122">
        <f t="shared" si="164"/>
        <v>1000000</v>
      </c>
      <c r="D648" s="111">
        <f t="shared" si="165"/>
        <v>2231</v>
      </c>
      <c r="E648" s="2">
        <f t="shared" si="166"/>
        <v>1900</v>
      </c>
      <c r="F648" s="112">
        <f t="shared" si="160"/>
        <v>19000000</v>
      </c>
      <c r="G648" s="2">
        <f t="shared" si="167"/>
        <v>665465</v>
      </c>
      <c r="H648" s="113">
        <f t="shared" si="168"/>
        <v>0</v>
      </c>
      <c r="I648" s="121">
        <f t="shared" si="161"/>
        <v>334866</v>
      </c>
      <c r="K648" s="123">
        <f t="shared" si="169"/>
        <v>1000000</v>
      </c>
      <c r="L648" s="111">
        <f t="shared" si="170"/>
        <v>2231</v>
      </c>
      <c r="M648" s="2">
        <f t="shared" si="171"/>
        <v>1900</v>
      </c>
      <c r="N648" s="112">
        <f t="shared" si="162"/>
        <v>19000000</v>
      </c>
      <c r="O648" s="2">
        <f t="shared" si="172"/>
        <v>665465</v>
      </c>
      <c r="P648" s="113">
        <f t="shared" si="173"/>
        <v>0</v>
      </c>
      <c r="Q648" s="121">
        <f t="shared" si="163"/>
        <v>334866</v>
      </c>
    </row>
    <row r="649" spans="2:17" hidden="1" x14ac:dyDescent="0.4">
      <c r="B649" s="110">
        <v>44570</v>
      </c>
      <c r="C649" s="122">
        <f t="shared" si="164"/>
        <v>1000000</v>
      </c>
      <c r="D649" s="111">
        <f t="shared" si="165"/>
        <v>2231</v>
      </c>
      <c r="E649" s="2">
        <f t="shared" si="166"/>
        <v>1900</v>
      </c>
      <c r="F649" s="112">
        <f t="shared" si="160"/>
        <v>19000000</v>
      </c>
      <c r="G649" s="2">
        <f t="shared" si="167"/>
        <v>665465</v>
      </c>
      <c r="H649" s="113">
        <f t="shared" si="168"/>
        <v>0</v>
      </c>
      <c r="I649" s="121">
        <f t="shared" si="161"/>
        <v>334866</v>
      </c>
      <c r="K649" s="123">
        <f t="shared" si="169"/>
        <v>1000000</v>
      </c>
      <c r="L649" s="111">
        <f t="shared" si="170"/>
        <v>2231</v>
      </c>
      <c r="M649" s="2">
        <f t="shared" si="171"/>
        <v>1900</v>
      </c>
      <c r="N649" s="112">
        <f t="shared" si="162"/>
        <v>19000000</v>
      </c>
      <c r="O649" s="2">
        <f t="shared" si="172"/>
        <v>665465</v>
      </c>
      <c r="P649" s="113">
        <f t="shared" si="173"/>
        <v>0</v>
      </c>
      <c r="Q649" s="121">
        <f t="shared" si="163"/>
        <v>334866</v>
      </c>
    </row>
    <row r="650" spans="2:17" hidden="1" x14ac:dyDescent="0.4">
      <c r="B650" s="110">
        <v>44571</v>
      </c>
      <c r="C650" s="122">
        <f t="shared" si="164"/>
        <v>1000000</v>
      </c>
      <c r="D650" s="111">
        <f t="shared" si="165"/>
        <v>2231</v>
      </c>
      <c r="E650" s="2">
        <f t="shared" si="166"/>
        <v>1900</v>
      </c>
      <c r="F650" s="112">
        <f t="shared" ref="F650:F713" si="174">20000000-C650</f>
        <v>19000000</v>
      </c>
      <c r="G650" s="2">
        <f t="shared" si="167"/>
        <v>665465</v>
      </c>
      <c r="H650" s="113">
        <f t="shared" si="168"/>
        <v>0</v>
      </c>
      <c r="I650" s="121">
        <f t="shared" ref="I650:I713" si="175">C650+D650-G650-E650+H650</f>
        <v>334866</v>
      </c>
      <c r="K650" s="123">
        <f t="shared" si="169"/>
        <v>1000000</v>
      </c>
      <c r="L650" s="111">
        <f t="shared" si="170"/>
        <v>2231</v>
      </c>
      <c r="M650" s="2">
        <f t="shared" si="171"/>
        <v>1900</v>
      </c>
      <c r="N650" s="112">
        <f t="shared" ref="N650:N713" si="176">20000000-K650</f>
        <v>19000000</v>
      </c>
      <c r="O650" s="2">
        <f t="shared" si="172"/>
        <v>665465</v>
      </c>
      <c r="P650" s="113">
        <f t="shared" si="173"/>
        <v>0</v>
      </c>
      <c r="Q650" s="121">
        <f t="shared" ref="Q650:Q713" si="177">K650+L650-O650-M650+P650</f>
        <v>334866</v>
      </c>
    </row>
    <row r="651" spans="2:17" hidden="1" x14ac:dyDescent="0.4">
      <c r="B651" s="110">
        <v>44572</v>
      </c>
      <c r="C651" s="122">
        <f t="shared" ref="C651:C714" si="178">SUMIF($B$6:$B$75,$B651,$D$6:$D$75)+C650</f>
        <v>1000000</v>
      </c>
      <c r="D651" s="111">
        <f t="shared" ref="D651:D714" si="179">SUMIF($B$6:$B$75,$B651,$E$6:$E$75)+D650</f>
        <v>2231</v>
      </c>
      <c r="E651" s="2">
        <f t="shared" ref="E651:E714" si="180">SUMIF($G$353:$G$376,$B651,$J$353:$J$376)+SUMIF($E$353:$E$376,$B651,$H$353:$H$376)+SUMIF($G$353:$G$376,$B651,$I$353:$I$376)+E650</f>
        <v>1900</v>
      </c>
      <c r="F651" s="112">
        <f t="shared" si="174"/>
        <v>19000000</v>
      </c>
      <c r="G651" s="2">
        <f t="shared" ref="G651:G714" si="181">SUMIF($E$353:$E$376,$B651,$M$353:$M$376)+G650</f>
        <v>665465</v>
      </c>
      <c r="H651" s="113">
        <f t="shared" ref="H651:H714" si="182">SUMIF($G$353:$G$376,$B651,$N$353:$N$376)+H650</f>
        <v>0</v>
      </c>
      <c r="I651" s="121">
        <f t="shared" si="175"/>
        <v>334866</v>
      </c>
      <c r="K651" s="123">
        <f t="shared" ref="K651:K714" si="183">SUMIF($B$6:$B$75,$B651,$D$6:$D$75)+K650</f>
        <v>1000000</v>
      </c>
      <c r="L651" s="111">
        <f t="shared" ref="L651:L714" si="184">SUMIF($B$6:$B$75,$B651,$E$6:$E$75)+L650</f>
        <v>2231</v>
      </c>
      <c r="M651" s="2">
        <f t="shared" ref="M651:M714" si="185">SUMIF($G$353:$G$376,$B651,$J$353:$J$376)+SUMIF($E$353:$E$376,$B651,$H$353:$H$376)+SUMIF($G$353:$G$376,$B651,$I$353:$I$376)+M650</f>
        <v>1900</v>
      </c>
      <c r="N651" s="112">
        <f t="shared" si="176"/>
        <v>19000000</v>
      </c>
      <c r="O651" s="2">
        <f t="shared" ref="O651:O714" si="186">SUMIF($E$353:$E$376,$B651,$M$353:$M$376)+O650</f>
        <v>665465</v>
      </c>
      <c r="P651" s="113">
        <f t="shared" ref="P651:P714" si="187">SUMIF($G$353:$G$376,$B651,$N$353:$N$376)+P650</f>
        <v>0</v>
      </c>
      <c r="Q651" s="121">
        <f t="shared" si="177"/>
        <v>334866</v>
      </c>
    </row>
    <row r="652" spans="2:17" hidden="1" x14ac:dyDescent="0.4">
      <c r="B652" s="110">
        <v>44573</v>
      </c>
      <c r="C652" s="122">
        <f t="shared" si="178"/>
        <v>1000000</v>
      </c>
      <c r="D652" s="111">
        <f t="shared" si="179"/>
        <v>2231</v>
      </c>
      <c r="E652" s="2">
        <f t="shared" si="180"/>
        <v>1900</v>
      </c>
      <c r="F652" s="112">
        <f t="shared" si="174"/>
        <v>19000000</v>
      </c>
      <c r="G652" s="2">
        <f t="shared" si="181"/>
        <v>665465</v>
      </c>
      <c r="H652" s="113">
        <f t="shared" si="182"/>
        <v>0</v>
      </c>
      <c r="I652" s="121">
        <f t="shared" si="175"/>
        <v>334866</v>
      </c>
      <c r="K652" s="123">
        <f t="shared" si="183"/>
        <v>1000000</v>
      </c>
      <c r="L652" s="111">
        <f t="shared" si="184"/>
        <v>2231</v>
      </c>
      <c r="M652" s="2">
        <f t="shared" si="185"/>
        <v>1900</v>
      </c>
      <c r="N652" s="112">
        <f t="shared" si="176"/>
        <v>19000000</v>
      </c>
      <c r="O652" s="2">
        <f t="shared" si="186"/>
        <v>665465</v>
      </c>
      <c r="P652" s="113">
        <f t="shared" si="187"/>
        <v>0</v>
      </c>
      <c r="Q652" s="121">
        <f t="shared" si="177"/>
        <v>334866</v>
      </c>
    </row>
    <row r="653" spans="2:17" hidden="1" x14ac:dyDescent="0.4">
      <c r="B653" s="110">
        <v>44574</v>
      </c>
      <c r="C653" s="122">
        <f t="shared" si="178"/>
        <v>1000000</v>
      </c>
      <c r="D653" s="111">
        <f t="shared" si="179"/>
        <v>2231</v>
      </c>
      <c r="E653" s="2">
        <f t="shared" si="180"/>
        <v>1900</v>
      </c>
      <c r="F653" s="112">
        <f t="shared" si="174"/>
        <v>19000000</v>
      </c>
      <c r="G653" s="2">
        <f t="shared" si="181"/>
        <v>665465</v>
      </c>
      <c r="H653" s="113">
        <f t="shared" si="182"/>
        <v>0</v>
      </c>
      <c r="I653" s="121">
        <f t="shared" si="175"/>
        <v>334866</v>
      </c>
      <c r="K653" s="123">
        <f t="shared" si="183"/>
        <v>1000000</v>
      </c>
      <c r="L653" s="111">
        <f t="shared" si="184"/>
        <v>2231</v>
      </c>
      <c r="M653" s="2">
        <f t="shared" si="185"/>
        <v>1900</v>
      </c>
      <c r="N653" s="112">
        <f t="shared" si="176"/>
        <v>19000000</v>
      </c>
      <c r="O653" s="2">
        <f t="shared" si="186"/>
        <v>665465</v>
      </c>
      <c r="P653" s="113">
        <f t="shared" si="187"/>
        <v>0</v>
      </c>
      <c r="Q653" s="121">
        <f t="shared" si="177"/>
        <v>334866</v>
      </c>
    </row>
    <row r="654" spans="2:17" hidden="1" x14ac:dyDescent="0.4">
      <c r="B654" s="110">
        <v>44575</v>
      </c>
      <c r="C654" s="122">
        <f t="shared" si="178"/>
        <v>1000000</v>
      </c>
      <c r="D654" s="111">
        <f t="shared" si="179"/>
        <v>2231</v>
      </c>
      <c r="E654" s="2">
        <f t="shared" si="180"/>
        <v>1900</v>
      </c>
      <c r="F654" s="112">
        <f t="shared" si="174"/>
        <v>19000000</v>
      </c>
      <c r="G654" s="2">
        <f t="shared" si="181"/>
        <v>665465</v>
      </c>
      <c r="H654" s="113">
        <f t="shared" si="182"/>
        <v>0</v>
      </c>
      <c r="I654" s="121">
        <f t="shared" si="175"/>
        <v>334866</v>
      </c>
      <c r="K654" s="123">
        <f t="shared" si="183"/>
        <v>1000000</v>
      </c>
      <c r="L654" s="111">
        <f t="shared" si="184"/>
        <v>2231</v>
      </c>
      <c r="M654" s="2">
        <f t="shared" si="185"/>
        <v>1900</v>
      </c>
      <c r="N654" s="112">
        <f t="shared" si="176"/>
        <v>19000000</v>
      </c>
      <c r="O654" s="2">
        <f t="shared" si="186"/>
        <v>665465</v>
      </c>
      <c r="P654" s="113">
        <f t="shared" si="187"/>
        <v>0</v>
      </c>
      <c r="Q654" s="121">
        <f t="shared" si="177"/>
        <v>334866</v>
      </c>
    </row>
    <row r="655" spans="2:17" hidden="1" x14ac:dyDescent="0.4">
      <c r="B655" s="110">
        <v>44576</v>
      </c>
      <c r="C655" s="122">
        <f t="shared" si="178"/>
        <v>1000000</v>
      </c>
      <c r="D655" s="111">
        <f t="shared" si="179"/>
        <v>2231</v>
      </c>
      <c r="E655" s="2">
        <f t="shared" si="180"/>
        <v>1900</v>
      </c>
      <c r="F655" s="112">
        <f t="shared" si="174"/>
        <v>19000000</v>
      </c>
      <c r="G655" s="2">
        <f t="shared" si="181"/>
        <v>665465</v>
      </c>
      <c r="H655" s="113">
        <f t="shared" si="182"/>
        <v>0</v>
      </c>
      <c r="I655" s="121">
        <f t="shared" si="175"/>
        <v>334866</v>
      </c>
      <c r="K655" s="123">
        <f t="shared" si="183"/>
        <v>1000000</v>
      </c>
      <c r="L655" s="111">
        <f t="shared" si="184"/>
        <v>2231</v>
      </c>
      <c r="M655" s="2">
        <f t="shared" si="185"/>
        <v>1900</v>
      </c>
      <c r="N655" s="112">
        <f t="shared" si="176"/>
        <v>19000000</v>
      </c>
      <c r="O655" s="2">
        <f t="shared" si="186"/>
        <v>665465</v>
      </c>
      <c r="P655" s="113">
        <f t="shared" si="187"/>
        <v>0</v>
      </c>
      <c r="Q655" s="121">
        <f t="shared" si="177"/>
        <v>334866</v>
      </c>
    </row>
    <row r="656" spans="2:17" hidden="1" x14ac:dyDescent="0.4">
      <c r="B656" s="110">
        <v>44577</v>
      </c>
      <c r="C656" s="122">
        <f t="shared" si="178"/>
        <v>1000000</v>
      </c>
      <c r="D656" s="111">
        <f t="shared" si="179"/>
        <v>2231</v>
      </c>
      <c r="E656" s="2">
        <f t="shared" si="180"/>
        <v>1900</v>
      </c>
      <c r="F656" s="112">
        <f t="shared" si="174"/>
        <v>19000000</v>
      </c>
      <c r="G656" s="2">
        <f t="shared" si="181"/>
        <v>665465</v>
      </c>
      <c r="H656" s="113">
        <f t="shared" si="182"/>
        <v>0</v>
      </c>
      <c r="I656" s="121">
        <f t="shared" si="175"/>
        <v>334866</v>
      </c>
      <c r="K656" s="123">
        <f t="shared" si="183"/>
        <v>1000000</v>
      </c>
      <c r="L656" s="111">
        <f t="shared" si="184"/>
        <v>2231</v>
      </c>
      <c r="M656" s="2">
        <f t="shared" si="185"/>
        <v>1900</v>
      </c>
      <c r="N656" s="112">
        <f t="shared" si="176"/>
        <v>19000000</v>
      </c>
      <c r="O656" s="2">
        <f t="shared" si="186"/>
        <v>665465</v>
      </c>
      <c r="P656" s="113">
        <f t="shared" si="187"/>
        <v>0</v>
      </c>
      <c r="Q656" s="121">
        <f t="shared" si="177"/>
        <v>334866</v>
      </c>
    </row>
    <row r="657" spans="2:17" hidden="1" x14ac:dyDescent="0.4">
      <c r="B657" s="110">
        <v>44578</v>
      </c>
      <c r="C657" s="122">
        <f t="shared" si="178"/>
        <v>1000000</v>
      </c>
      <c r="D657" s="111">
        <f t="shared" si="179"/>
        <v>2231</v>
      </c>
      <c r="E657" s="2">
        <f t="shared" si="180"/>
        <v>1900</v>
      </c>
      <c r="F657" s="112">
        <f t="shared" si="174"/>
        <v>19000000</v>
      </c>
      <c r="G657" s="2">
        <f t="shared" si="181"/>
        <v>665465</v>
      </c>
      <c r="H657" s="113">
        <f t="shared" si="182"/>
        <v>0</v>
      </c>
      <c r="I657" s="121">
        <f t="shared" si="175"/>
        <v>334866</v>
      </c>
      <c r="K657" s="123">
        <f t="shared" si="183"/>
        <v>1000000</v>
      </c>
      <c r="L657" s="111">
        <f t="shared" si="184"/>
        <v>2231</v>
      </c>
      <c r="M657" s="2">
        <f t="shared" si="185"/>
        <v>1900</v>
      </c>
      <c r="N657" s="112">
        <f t="shared" si="176"/>
        <v>19000000</v>
      </c>
      <c r="O657" s="2">
        <f t="shared" si="186"/>
        <v>665465</v>
      </c>
      <c r="P657" s="113">
        <f t="shared" si="187"/>
        <v>0</v>
      </c>
      <c r="Q657" s="121">
        <f t="shared" si="177"/>
        <v>334866</v>
      </c>
    </row>
    <row r="658" spans="2:17" hidden="1" x14ac:dyDescent="0.4">
      <c r="B658" s="110">
        <v>44579</v>
      </c>
      <c r="C658" s="122">
        <f t="shared" si="178"/>
        <v>1000000</v>
      </c>
      <c r="D658" s="111">
        <f t="shared" si="179"/>
        <v>2231</v>
      </c>
      <c r="E658" s="2">
        <f t="shared" si="180"/>
        <v>1900</v>
      </c>
      <c r="F658" s="112">
        <f t="shared" si="174"/>
        <v>19000000</v>
      </c>
      <c r="G658" s="2">
        <f t="shared" si="181"/>
        <v>665465</v>
      </c>
      <c r="H658" s="113">
        <f t="shared" si="182"/>
        <v>0</v>
      </c>
      <c r="I658" s="121">
        <f t="shared" si="175"/>
        <v>334866</v>
      </c>
      <c r="K658" s="123">
        <f t="shared" si="183"/>
        <v>1000000</v>
      </c>
      <c r="L658" s="111">
        <f t="shared" si="184"/>
        <v>2231</v>
      </c>
      <c r="M658" s="2">
        <f t="shared" si="185"/>
        <v>1900</v>
      </c>
      <c r="N658" s="112">
        <f t="shared" si="176"/>
        <v>19000000</v>
      </c>
      <c r="O658" s="2">
        <f t="shared" si="186"/>
        <v>665465</v>
      </c>
      <c r="P658" s="113">
        <f t="shared" si="187"/>
        <v>0</v>
      </c>
      <c r="Q658" s="121">
        <f t="shared" si="177"/>
        <v>334866</v>
      </c>
    </row>
    <row r="659" spans="2:17" hidden="1" x14ac:dyDescent="0.4">
      <c r="B659" s="110">
        <v>44580</v>
      </c>
      <c r="C659" s="122">
        <f t="shared" si="178"/>
        <v>1000000</v>
      </c>
      <c r="D659" s="111">
        <f t="shared" si="179"/>
        <v>2231</v>
      </c>
      <c r="E659" s="2">
        <f t="shared" si="180"/>
        <v>1900</v>
      </c>
      <c r="F659" s="112">
        <f t="shared" si="174"/>
        <v>19000000</v>
      </c>
      <c r="G659" s="2">
        <f t="shared" si="181"/>
        <v>665465</v>
      </c>
      <c r="H659" s="113">
        <f t="shared" si="182"/>
        <v>0</v>
      </c>
      <c r="I659" s="121">
        <f t="shared" si="175"/>
        <v>334866</v>
      </c>
      <c r="K659" s="123">
        <f t="shared" si="183"/>
        <v>1000000</v>
      </c>
      <c r="L659" s="111">
        <f t="shared" si="184"/>
        <v>2231</v>
      </c>
      <c r="M659" s="2">
        <f t="shared" si="185"/>
        <v>1900</v>
      </c>
      <c r="N659" s="112">
        <f t="shared" si="176"/>
        <v>19000000</v>
      </c>
      <c r="O659" s="2">
        <f t="shared" si="186"/>
        <v>665465</v>
      </c>
      <c r="P659" s="113">
        <f t="shared" si="187"/>
        <v>0</v>
      </c>
      <c r="Q659" s="121">
        <f t="shared" si="177"/>
        <v>334866</v>
      </c>
    </row>
    <row r="660" spans="2:17" hidden="1" x14ac:dyDescent="0.4">
      <c r="B660" s="110">
        <v>44581</v>
      </c>
      <c r="C660" s="122">
        <f t="shared" si="178"/>
        <v>1000000</v>
      </c>
      <c r="D660" s="111">
        <f t="shared" si="179"/>
        <v>2231</v>
      </c>
      <c r="E660" s="2">
        <f t="shared" si="180"/>
        <v>1900</v>
      </c>
      <c r="F660" s="112">
        <f t="shared" si="174"/>
        <v>19000000</v>
      </c>
      <c r="G660" s="2">
        <f t="shared" si="181"/>
        <v>665465</v>
      </c>
      <c r="H660" s="113">
        <f t="shared" si="182"/>
        <v>0</v>
      </c>
      <c r="I660" s="121">
        <f t="shared" si="175"/>
        <v>334866</v>
      </c>
      <c r="K660" s="123">
        <f t="shared" si="183"/>
        <v>1000000</v>
      </c>
      <c r="L660" s="111">
        <f t="shared" si="184"/>
        <v>2231</v>
      </c>
      <c r="M660" s="2">
        <f t="shared" si="185"/>
        <v>1900</v>
      </c>
      <c r="N660" s="112">
        <f t="shared" si="176"/>
        <v>19000000</v>
      </c>
      <c r="O660" s="2">
        <f t="shared" si="186"/>
        <v>665465</v>
      </c>
      <c r="P660" s="113">
        <f t="shared" si="187"/>
        <v>0</v>
      </c>
      <c r="Q660" s="121">
        <f t="shared" si="177"/>
        <v>334866</v>
      </c>
    </row>
    <row r="661" spans="2:17" hidden="1" x14ac:dyDescent="0.4">
      <c r="B661" s="110">
        <v>44582</v>
      </c>
      <c r="C661" s="122">
        <f t="shared" si="178"/>
        <v>1000000</v>
      </c>
      <c r="D661" s="111">
        <f t="shared" si="179"/>
        <v>2231</v>
      </c>
      <c r="E661" s="2">
        <f t="shared" si="180"/>
        <v>1900</v>
      </c>
      <c r="F661" s="112">
        <f t="shared" si="174"/>
        <v>19000000</v>
      </c>
      <c r="G661" s="2">
        <f t="shared" si="181"/>
        <v>665465</v>
      </c>
      <c r="H661" s="113">
        <f t="shared" si="182"/>
        <v>0</v>
      </c>
      <c r="I661" s="121">
        <f t="shared" si="175"/>
        <v>334866</v>
      </c>
      <c r="K661" s="123">
        <f t="shared" si="183"/>
        <v>1000000</v>
      </c>
      <c r="L661" s="111">
        <f t="shared" si="184"/>
        <v>2231</v>
      </c>
      <c r="M661" s="2">
        <f t="shared" si="185"/>
        <v>1900</v>
      </c>
      <c r="N661" s="112">
        <f t="shared" si="176"/>
        <v>19000000</v>
      </c>
      <c r="O661" s="2">
        <f t="shared" si="186"/>
        <v>665465</v>
      </c>
      <c r="P661" s="113">
        <f t="shared" si="187"/>
        <v>0</v>
      </c>
      <c r="Q661" s="121">
        <f t="shared" si="177"/>
        <v>334866</v>
      </c>
    </row>
    <row r="662" spans="2:17" hidden="1" x14ac:dyDescent="0.4">
      <c r="B662" s="110">
        <v>44583</v>
      </c>
      <c r="C662" s="122">
        <f t="shared" si="178"/>
        <v>1000000</v>
      </c>
      <c r="D662" s="111">
        <f t="shared" si="179"/>
        <v>2231</v>
      </c>
      <c r="E662" s="2">
        <f t="shared" si="180"/>
        <v>1900</v>
      </c>
      <c r="F662" s="112">
        <f t="shared" si="174"/>
        <v>19000000</v>
      </c>
      <c r="G662" s="2">
        <f t="shared" si="181"/>
        <v>665465</v>
      </c>
      <c r="H662" s="113">
        <f t="shared" si="182"/>
        <v>0</v>
      </c>
      <c r="I662" s="121">
        <f t="shared" si="175"/>
        <v>334866</v>
      </c>
      <c r="K662" s="123">
        <f t="shared" si="183"/>
        <v>1000000</v>
      </c>
      <c r="L662" s="111">
        <f t="shared" si="184"/>
        <v>2231</v>
      </c>
      <c r="M662" s="2">
        <f t="shared" si="185"/>
        <v>1900</v>
      </c>
      <c r="N662" s="112">
        <f t="shared" si="176"/>
        <v>19000000</v>
      </c>
      <c r="O662" s="2">
        <f t="shared" si="186"/>
        <v>665465</v>
      </c>
      <c r="P662" s="113">
        <f t="shared" si="187"/>
        <v>0</v>
      </c>
      <c r="Q662" s="121">
        <f t="shared" si="177"/>
        <v>334866</v>
      </c>
    </row>
    <row r="663" spans="2:17" hidden="1" x14ac:dyDescent="0.4">
      <c r="B663" s="110">
        <v>44584</v>
      </c>
      <c r="C663" s="122">
        <f t="shared" si="178"/>
        <v>1000000</v>
      </c>
      <c r="D663" s="111">
        <f t="shared" si="179"/>
        <v>2231</v>
      </c>
      <c r="E663" s="2">
        <f t="shared" si="180"/>
        <v>1900</v>
      </c>
      <c r="F663" s="112">
        <f t="shared" si="174"/>
        <v>19000000</v>
      </c>
      <c r="G663" s="2">
        <f t="shared" si="181"/>
        <v>665465</v>
      </c>
      <c r="H663" s="113">
        <f t="shared" si="182"/>
        <v>0</v>
      </c>
      <c r="I663" s="121">
        <f t="shared" si="175"/>
        <v>334866</v>
      </c>
      <c r="K663" s="123">
        <f t="shared" si="183"/>
        <v>1000000</v>
      </c>
      <c r="L663" s="111">
        <f t="shared" si="184"/>
        <v>2231</v>
      </c>
      <c r="M663" s="2">
        <f t="shared" si="185"/>
        <v>1900</v>
      </c>
      <c r="N663" s="112">
        <f t="shared" si="176"/>
        <v>19000000</v>
      </c>
      <c r="O663" s="2">
        <f t="shared" si="186"/>
        <v>665465</v>
      </c>
      <c r="P663" s="113">
        <f t="shared" si="187"/>
        <v>0</v>
      </c>
      <c r="Q663" s="121">
        <f t="shared" si="177"/>
        <v>334866</v>
      </c>
    </row>
    <row r="664" spans="2:17" hidden="1" x14ac:dyDescent="0.4">
      <c r="B664" s="110">
        <v>44585</v>
      </c>
      <c r="C664" s="122">
        <f t="shared" si="178"/>
        <v>1000000</v>
      </c>
      <c r="D664" s="111">
        <f t="shared" si="179"/>
        <v>2231</v>
      </c>
      <c r="E664" s="2">
        <f t="shared" si="180"/>
        <v>1900</v>
      </c>
      <c r="F664" s="112">
        <f t="shared" si="174"/>
        <v>19000000</v>
      </c>
      <c r="G664" s="2">
        <f t="shared" si="181"/>
        <v>665465</v>
      </c>
      <c r="H664" s="113">
        <f t="shared" si="182"/>
        <v>0</v>
      </c>
      <c r="I664" s="121">
        <f t="shared" si="175"/>
        <v>334866</v>
      </c>
      <c r="K664" s="123">
        <f t="shared" si="183"/>
        <v>1000000</v>
      </c>
      <c r="L664" s="111">
        <f t="shared" si="184"/>
        <v>2231</v>
      </c>
      <c r="M664" s="2">
        <f t="shared" si="185"/>
        <v>1900</v>
      </c>
      <c r="N664" s="112">
        <f t="shared" si="176"/>
        <v>19000000</v>
      </c>
      <c r="O664" s="2">
        <f t="shared" si="186"/>
        <v>665465</v>
      </c>
      <c r="P664" s="113">
        <f t="shared" si="187"/>
        <v>0</v>
      </c>
      <c r="Q664" s="121">
        <f t="shared" si="177"/>
        <v>334866</v>
      </c>
    </row>
    <row r="665" spans="2:17" hidden="1" x14ac:dyDescent="0.4">
      <c r="B665" s="110">
        <v>44586</v>
      </c>
      <c r="C665" s="122">
        <f t="shared" si="178"/>
        <v>1000000</v>
      </c>
      <c r="D665" s="111">
        <f t="shared" si="179"/>
        <v>2231</v>
      </c>
      <c r="E665" s="2">
        <f t="shared" si="180"/>
        <v>1900</v>
      </c>
      <c r="F665" s="112">
        <f t="shared" si="174"/>
        <v>19000000</v>
      </c>
      <c r="G665" s="2">
        <f t="shared" si="181"/>
        <v>665465</v>
      </c>
      <c r="H665" s="113">
        <f t="shared" si="182"/>
        <v>0</v>
      </c>
      <c r="I665" s="121">
        <f t="shared" si="175"/>
        <v>334866</v>
      </c>
      <c r="K665" s="123">
        <f t="shared" si="183"/>
        <v>1000000</v>
      </c>
      <c r="L665" s="111">
        <f t="shared" si="184"/>
        <v>2231</v>
      </c>
      <c r="M665" s="2">
        <f t="shared" si="185"/>
        <v>1900</v>
      </c>
      <c r="N665" s="112">
        <f t="shared" si="176"/>
        <v>19000000</v>
      </c>
      <c r="O665" s="2">
        <f t="shared" si="186"/>
        <v>665465</v>
      </c>
      <c r="P665" s="113">
        <f t="shared" si="187"/>
        <v>0</v>
      </c>
      <c r="Q665" s="121">
        <f t="shared" si="177"/>
        <v>334866</v>
      </c>
    </row>
    <row r="666" spans="2:17" hidden="1" x14ac:dyDescent="0.4">
      <c r="B666" s="110">
        <v>44587</v>
      </c>
      <c r="C666" s="122">
        <f t="shared" si="178"/>
        <v>1000000</v>
      </c>
      <c r="D666" s="111">
        <f t="shared" si="179"/>
        <v>2231</v>
      </c>
      <c r="E666" s="2">
        <f t="shared" si="180"/>
        <v>1900</v>
      </c>
      <c r="F666" s="112">
        <f t="shared" si="174"/>
        <v>19000000</v>
      </c>
      <c r="G666" s="2">
        <f t="shared" si="181"/>
        <v>665465</v>
      </c>
      <c r="H666" s="113">
        <f t="shared" si="182"/>
        <v>0</v>
      </c>
      <c r="I666" s="121">
        <f t="shared" si="175"/>
        <v>334866</v>
      </c>
      <c r="K666" s="123">
        <f t="shared" si="183"/>
        <v>1000000</v>
      </c>
      <c r="L666" s="111">
        <f t="shared" si="184"/>
        <v>2231</v>
      </c>
      <c r="M666" s="2">
        <f t="shared" si="185"/>
        <v>1900</v>
      </c>
      <c r="N666" s="112">
        <f t="shared" si="176"/>
        <v>19000000</v>
      </c>
      <c r="O666" s="2">
        <f t="shared" si="186"/>
        <v>665465</v>
      </c>
      <c r="P666" s="113">
        <f t="shared" si="187"/>
        <v>0</v>
      </c>
      <c r="Q666" s="121">
        <f t="shared" si="177"/>
        <v>334866</v>
      </c>
    </row>
    <row r="667" spans="2:17" hidden="1" x14ac:dyDescent="0.4">
      <c r="B667" s="110">
        <v>44588</v>
      </c>
      <c r="C667" s="122">
        <f t="shared" si="178"/>
        <v>1000000</v>
      </c>
      <c r="D667" s="111">
        <f t="shared" si="179"/>
        <v>2231</v>
      </c>
      <c r="E667" s="2">
        <f t="shared" si="180"/>
        <v>1900</v>
      </c>
      <c r="F667" s="112">
        <f t="shared" si="174"/>
        <v>19000000</v>
      </c>
      <c r="G667" s="2">
        <f t="shared" si="181"/>
        <v>665465</v>
      </c>
      <c r="H667" s="113">
        <f t="shared" si="182"/>
        <v>0</v>
      </c>
      <c r="I667" s="121">
        <f t="shared" si="175"/>
        <v>334866</v>
      </c>
      <c r="K667" s="123">
        <f t="shared" si="183"/>
        <v>1000000</v>
      </c>
      <c r="L667" s="111">
        <f t="shared" si="184"/>
        <v>2231</v>
      </c>
      <c r="M667" s="2">
        <f t="shared" si="185"/>
        <v>1900</v>
      </c>
      <c r="N667" s="112">
        <f t="shared" si="176"/>
        <v>19000000</v>
      </c>
      <c r="O667" s="2">
        <f t="shared" si="186"/>
        <v>665465</v>
      </c>
      <c r="P667" s="113">
        <f t="shared" si="187"/>
        <v>0</v>
      </c>
      <c r="Q667" s="121">
        <f t="shared" si="177"/>
        <v>334866</v>
      </c>
    </row>
    <row r="668" spans="2:17" hidden="1" x14ac:dyDescent="0.4">
      <c r="B668" s="110">
        <v>44589</v>
      </c>
      <c r="C668" s="122">
        <f t="shared" si="178"/>
        <v>1000000</v>
      </c>
      <c r="D668" s="111">
        <f t="shared" si="179"/>
        <v>2231</v>
      </c>
      <c r="E668" s="2">
        <f t="shared" si="180"/>
        <v>1900</v>
      </c>
      <c r="F668" s="112">
        <f t="shared" si="174"/>
        <v>19000000</v>
      </c>
      <c r="G668" s="2">
        <f t="shared" si="181"/>
        <v>665465</v>
      </c>
      <c r="H668" s="113">
        <f t="shared" si="182"/>
        <v>0</v>
      </c>
      <c r="I668" s="121">
        <f t="shared" si="175"/>
        <v>334866</v>
      </c>
      <c r="K668" s="123">
        <f t="shared" si="183"/>
        <v>1000000</v>
      </c>
      <c r="L668" s="111">
        <f t="shared" si="184"/>
        <v>2231</v>
      </c>
      <c r="M668" s="2">
        <f t="shared" si="185"/>
        <v>1900</v>
      </c>
      <c r="N668" s="112">
        <f t="shared" si="176"/>
        <v>19000000</v>
      </c>
      <c r="O668" s="2">
        <f t="shared" si="186"/>
        <v>665465</v>
      </c>
      <c r="P668" s="113">
        <f t="shared" si="187"/>
        <v>0</v>
      </c>
      <c r="Q668" s="121">
        <f t="shared" si="177"/>
        <v>334866</v>
      </c>
    </row>
    <row r="669" spans="2:17" hidden="1" x14ac:dyDescent="0.4">
      <c r="B669" s="110">
        <v>44590</v>
      </c>
      <c r="C669" s="122">
        <f t="shared" si="178"/>
        <v>1000000</v>
      </c>
      <c r="D669" s="111">
        <f t="shared" si="179"/>
        <v>2231</v>
      </c>
      <c r="E669" s="2">
        <f t="shared" si="180"/>
        <v>1900</v>
      </c>
      <c r="F669" s="112">
        <f t="shared" si="174"/>
        <v>19000000</v>
      </c>
      <c r="G669" s="2">
        <f t="shared" si="181"/>
        <v>665465</v>
      </c>
      <c r="H669" s="113">
        <f t="shared" si="182"/>
        <v>0</v>
      </c>
      <c r="I669" s="121">
        <f t="shared" si="175"/>
        <v>334866</v>
      </c>
      <c r="K669" s="123">
        <f t="shared" si="183"/>
        <v>1000000</v>
      </c>
      <c r="L669" s="111">
        <f t="shared" si="184"/>
        <v>2231</v>
      </c>
      <c r="M669" s="2">
        <f t="shared" si="185"/>
        <v>1900</v>
      </c>
      <c r="N669" s="112">
        <f t="shared" si="176"/>
        <v>19000000</v>
      </c>
      <c r="O669" s="2">
        <f t="shared" si="186"/>
        <v>665465</v>
      </c>
      <c r="P669" s="113">
        <f t="shared" si="187"/>
        <v>0</v>
      </c>
      <c r="Q669" s="121">
        <f t="shared" si="177"/>
        <v>334866</v>
      </c>
    </row>
    <row r="670" spans="2:17" hidden="1" x14ac:dyDescent="0.4">
      <c r="B670" s="110">
        <v>44591</v>
      </c>
      <c r="C670" s="122">
        <f t="shared" si="178"/>
        <v>1000000</v>
      </c>
      <c r="D670" s="111">
        <f t="shared" si="179"/>
        <v>2231</v>
      </c>
      <c r="E670" s="2">
        <f t="shared" si="180"/>
        <v>1900</v>
      </c>
      <c r="F670" s="112">
        <f t="shared" si="174"/>
        <v>19000000</v>
      </c>
      <c r="G670" s="2">
        <f t="shared" si="181"/>
        <v>665465</v>
      </c>
      <c r="H670" s="113">
        <f t="shared" si="182"/>
        <v>0</v>
      </c>
      <c r="I670" s="121">
        <f t="shared" si="175"/>
        <v>334866</v>
      </c>
      <c r="K670" s="123">
        <f t="shared" si="183"/>
        <v>1000000</v>
      </c>
      <c r="L670" s="111">
        <f t="shared" si="184"/>
        <v>2231</v>
      </c>
      <c r="M670" s="2">
        <f t="shared" si="185"/>
        <v>1900</v>
      </c>
      <c r="N670" s="112">
        <f t="shared" si="176"/>
        <v>19000000</v>
      </c>
      <c r="O670" s="2">
        <f t="shared" si="186"/>
        <v>665465</v>
      </c>
      <c r="P670" s="113">
        <f t="shared" si="187"/>
        <v>0</v>
      </c>
      <c r="Q670" s="121">
        <f t="shared" si="177"/>
        <v>334866</v>
      </c>
    </row>
    <row r="671" spans="2:17" hidden="1" x14ac:dyDescent="0.4">
      <c r="B671" s="110">
        <v>44592</v>
      </c>
      <c r="C671" s="122">
        <f t="shared" si="178"/>
        <v>1000000</v>
      </c>
      <c r="D671" s="111">
        <f t="shared" si="179"/>
        <v>2231</v>
      </c>
      <c r="E671" s="2">
        <f t="shared" si="180"/>
        <v>1900</v>
      </c>
      <c r="F671" s="112">
        <f t="shared" si="174"/>
        <v>19000000</v>
      </c>
      <c r="G671" s="2">
        <f t="shared" si="181"/>
        <v>665465</v>
      </c>
      <c r="H671" s="113">
        <f t="shared" si="182"/>
        <v>0</v>
      </c>
      <c r="I671" s="121">
        <f t="shared" si="175"/>
        <v>334866</v>
      </c>
      <c r="K671" s="123">
        <f t="shared" si="183"/>
        <v>1000000</v>
      </c>
      <c r="L671" s="111">
        <f t="shared" si="184"/>
        <v>2231</v>
      </c>
      <c r="M671" s="2">
        <f t="shared" si="185"/>
        <v>1900</v>
      </c>
      <c r="N671" s="112">
        <f t="shared" si="176"/>
        <v>19000000</v>
      </c>
      <c r="O671" s="2">
        <f t="shared" si="186"/>
        <v>665465</v>
      </c>
      <c r="P671" s="113">
        <f t="shared" si="187"/>
        <v>0</v>
      </c>
      <c r="Q671" s="121">
        <f t="shared" si="177"/>
        <v>334866</v>
      </c>
    </row>
    <row r="672" spans="2:17" x14ac:dyDescent="0.4">
      <c r="B672" s="110">
        <v>44593</v>
      </c>
      <c r="C672" s="122">
        <f t="shared" si="178"/>
        <v>1000000</v>
      </c>
      <c r="D672" s="111">
        <f t="shared" si="179"/>
        <v>2231</v>
      </c>
      <c r="E672" s="2">
        <f t="shared" si="180"/>
        <v>1900</v>
      </c>
      <c r="F672" s="112">
        <f t="shared" si="174"/>
        <v>19000000</v>
      </c>
      <c r="G672" s="2">
        <f t="shared" si="181"/>
        <v>665465</v>
      </c>
      <c r="H672" s="113">
        <f t="shared" si="182"/>
        <v>0</v>
      </c>
      <c r="I672" s="121">
        <f t="shared" si="175"/>
        <v>334866</v>
      </c>
      <c r="K672" s="123">
        <f t="shared" si="183"/>
        <v>1000000</v>
      </c>
      <c r="L672" s="111">
        <f t="shared" si="184"/>
        <v>2231</v>
      </c>
      <c r="M672" s="2">
        <f t="shared" si="185"/>
        <v>1900</v>
      </c>
      <c r="N672" s="112">
        <f t="shared" si="176"/>
        <v>19000000</v>
      </c>
      <c r="O672" s="2">
        <f t="shared" si="186"/>
        <v>665465</v>
      </c>
      <c r="P672" s="113">
        <f t="shared" si="187"/>
        <v>0</v>
      </c>
      <c r="Q672" s="121">
        <f t="shared" si="177"/>
        <v>334866</v>
      </c>
    </row>
    <row r="673" spans="2:17" hidden="1" x14ac:dyDescent="0.4">
      <c r="B673" s="110">
        <v>44594</v>
      </c>
      <c r="C673" s="122">
        <f t="shared" si="178"/>
        <v>1000000</v>
      </c>
      <c r="D673" s="111">
        <f t="shared" si="179"/>
        <v>2231</v>
      </c>
      <c r="E673" s="2">
        <f t="shared" si="180"/>
        <v>1900</v>
      </c>
      <c r="F673" s="112">
        <f t="shared" si="174"/>
        <v>19000000</v>
      </c>
      <c r="G673" s="2">
        <f t="shared" si="181"/>
        <v>665465</v>
      </c>
      <c r="H673" s="113">
        <f t="shared" si="182"/>
        <v>0</v>
      </c>
      <c r="I673" s="121">
        <f t="shared" si="175"/>
        <v>334866</v>
      </c>
      <c r="K673" s="123">
        <f t="shared" si="183"/>
        <v>1000000</v>
      </c>
      <c r="L673" s="111">
        <f t="shared" si="184"/>
        <v>2231</v>
      </c>
      <c r="M673" s="2">
        <f t="shared" si="185"/>
        <v>1900</v>
      </c>
      <c r="N673" s="112">
        <f t="shared" si="176"/>
        <v>19000000</v>
      </c>
      <c r="O673" s="2">
        <f t="shared" si="186"/>
        <v>665465</v>
      </c>
      <c r="P673" s="113">
        <f t="shared" si="187"/>
        <v>0</v>
      </c>
      <c r="Q673" s="121">
        <f t="shared" si="177"/>
        <v>334866</v>
      </c>
    </row>
    <row r="674" spans="2:17" hidden="1" x14ac:dyDescent="0.4">
      <c r="B674" s="110">
        <v>44595</v>
      </c>
      <c r="C674" s="122">
        <f t="shared" si="178"/>
        <v>1000000</v>
      </c>
      <c r="D674" s="111">
        <f t="shared" si="179"/>
        <v>2231</v>
      </c>
      <c r="E674" s="2">
        <f t="shared" si="180"/>
        <v>1900</v>
      </c>
      <c r="F674" s="112">
        <f t="shared" si="174"/>
        <v>19000000</v>
      </c>
      <c r="G674" s="2">
        <f t="shared" si="181"/>
        <v>665465</v>
      </c>
      <c r="H674" s="113">
        <f t="shared" si="182"/>
        <v>0</v>
      </c>
      <c r="I674" s="121">
        <f t="shared" si="175"/>
        <v>334866</v>
      </c>
      <c r="K674" s="123">
        <f t="shared" si="183"/>
        <v>1000000</v>
      </c>
      <c r="L674" s="111">
        <f t="shared" si="184"/>
        <v>2231</v>
      </c>
      <c r="M674" s="2">
        <f t="shared" si="185"/>
        <v>1900</v>
      </c>
      <c r="N674" s="112">
        <f t="shared" si="176"/>
        <v>19000000</v>
      </c>
      <c r="O674" s="2">
        <f t="shared" si="186"/>
        <v>665465</v>
      </c>
      <c r="P674" s="113">
        <f t="shared" si="187"/>
        <v>0</v>
      </c>
      <c r="Q674" s="121">
        <f t="shared" si="177"/>
        <v>334866</v>
      </c>
    </row>
    <row r="675" spans="2:17" hidden="1" x14ac:dyDescent="0.4">
      <c r="B675" s="110">
        <v>44596</v>
      </c>
      <c r="C675" s="122">
        <f t="shared" si="178"/>
        <v>1000000</v>
      </c>
      <c r="D675" s="111">
        <f t="shared" si="179"/>
        <v>2231</v>
      </c>
      <c r="E675" s="2">
        <f t="shared" si="180"/>
        <v>1900</v>
      </c>
      <c r="F675" s="112">
        <f t="shared" si="174"/>
        <v>19000000</v>
      </c>
      <c r="G675" s="2">
        <f t="shared" si="181"/>
        <v>665465</v>
      </c>
      <c r="H675" s="113">
        <f t="shared" si="182"/>
        <v>0</v>
      </c>
      <c r="I675" s="121">
        <f t="shared" si="175"/>
        <v>334866</v>
      </c>
      <c r="K675" s="123">
        <f t="shared" si="183"/>
        <v>1000000</v>
      </c>
      <c r="L675" s="111">
        <f t="shared" si="184"/>
        <v>2231</v>
      </c>
      <c r="M675" s="2">
        <f t="shared" si="185"/>
        <v>1900</v>
      </c>
      <c r="N675" s="112">
        <f t="shared" si="176"/>
        <v>19000000</v>
      </c>
      <c r="O675" s="2">
        <f t="shared" si="186"/>
        <v>665465</v>
      </c>
      <c r="P675" s="113">
        <f t="shared" si="187"/>
        <v>0</v>
      </c>
      <c r="Q675" s="121">
        <f t="shared" si="177"/>
        <v>334866</v>
      </c>
    </row>
    <row r="676" spans="2:17" hidden="1" x14ac:dyDescent="0.4">
      <c r="B676" s="110">
        <v>44597</v>
      </c>
      <c r="C676" s="122">
        <f t="shared" si="178"/>
        <v>1000000</v>
      </c>
      <c r="D676" s="111">
        <f t="shared" si="179"/>
        <v>2231</v>
      </c>
      <c r="E676" s="2">
        <f t="shared" si="180"/>
        <v>1900</v>
      </c>
      <c r="F676" s="112">
        <f t="shared" si="174"/>
        <v>19000000</v>
      </c>
      <c r="G676" s="2">
        <f t="shared" si="181"/>
        <v>665465</v>
      </c>
      <c r="H676" s="113">
        <f t="shared" si="182"/>
        <v>0</v>
      </c>
      <c r="I676" s="121">
        <f t="shared" si="175"/>
        <v>334866</v>
      </c>
      <c r="K676" s="123">
        <f t="shared" si="183"/>
        <v>1000000</v>
      </c>
      <c r="L676" s="111">
        <f t="shared" si="184"/>
        <v>2231</v>
      </c>
      <c r="M676" s="2">
        <f t="shared" si="185"/>
        <v>1900</v>
      </c>
      <c r="N676" s="112">
        <f t="shared" si="176"/>
        <v>19000000</v>
      </c>
      <c r="O676" s="2">
        <f t="shared" si="186"/>
        <v>665465</v>
      </c>
      <c r="P676" s="113">
        <f t="shared" si="187"/>
        <v>0</v>
      </c>
      <c r="Q676" s="121">
        <f t="shared" si="177"/>
        <v>334866</v>
      </c>
    </row>
    <row r="677" spans="2:17" hidden="1" x14ac:dyDescent="0.4">
      <c r="B677" s="110">
        <v>44598</v>
      </c>
      <c r="C677" s="122">
        <f t="shared" si="178"/>
        <v>1000000</v>
      </c>
      <c r="D677" s="111">
        <f t="shared" si="179"/>
        <v>2231</v>
      </c>
      <c r="E677" s="2">
        <f t="shared" si="180"/>
        <v>1900</v>
      </c>
      <c r="F677" s="112">
        <f t="shared" si="174"/>
        <v>19000000</v>
      </c>
      <c r="G677" s="2">
        <f t="shared" si="181"/>
        <v>665465</v>
      </c>
      <c r="H677" s="113">
        <f t="shared" si="182"/>
        <v>0</v>
      </c>
      <c r="I677" s="121">
        <f t="shared" si="175"/>
        <v>334866</v>
      </c>
      <c r="K677" s="123">
        <f t="shared" si="183"/>
        <v>1000000</v>
      </c>
      <c r="L677" s="111">
        <f t="shared" si="184"/>
        <v>2231</v>
      </c>
      <c r="M677" s="2">
        <f t="shared" si="185"/>
        <v>1900</v>
      </c>
      <c r="N677" s="112">
        <f t="shared" si="176"/>
        <v>19000000</v>
      </c>
      <c r="O677" s="2">
        <f t="shared" si="186"/>
        <v>665465</v>
      </c>
      <c r="P677" s="113">
        <f t="shared" si="187"/>
        <v>0</v>
      </c>
      <c r="Q677" s="121">
        <f t="shared" si="177"/>
        <v>334866</v>
      </c>
    </row>
    <row r="678" spans="2:17" hidden="1" x14ac:dyDescent="0.4">
      <c r="B678" s="110">
        <v>44599</v>
      </c>
      <c r="C678" s="122">
        <f t="shared" si="178"/>
        <v>1000000</v>
      </c>
      <c r="D678" s="111">
        <f t="shared" si="179"/>
        <v>2231</v>
      </c>
      <c r="E678" s="2">
        <f t="shared" si="180"/>
        <v>1900</v>
      </c>
      <c r="F678" s="112">
        <f t="shared" si="174"/>
        <v>19000000</v>
      </c>
      <c r="G678" s="2">
        <f t="shared" si="181"/>
        <v>665465</v>
      </c>
      <c r="H678" s="113">
        <f t="shared" si="182"/>
        <v>0</v>
      </c>
      <c r="I678" s="121">
        <f t="shared" si="175"/>
        <v>334866</v>
      </c>
      <c r="K678" s="123">
        <f t="shared" si="183"/>
        <v>1000000</v>
      </c>
      <c r="L678" s="111">
        <f t="shared" si="184"/>
        <v>2231</v>
      </c>
      <c r="M678" s="2">
        <f t="shared" si="185"/>
        <v>1900</v>
      </c>
      <c r="N678" s="112">
        <f t="shared" si="176"/>
        <v>19000000</v>
      </c>
      <c r="O678" s="2">
        <f t="shared" si="186"/>
        <v>665465</v>
      </c>
      <c r="P678" s="113">
        <f t="shared" si="187"/>
        <v>0</v>
      </c>
      <c r="Q678" s="121">
        <f t="shared" si="177"/>
        <v>334866</v>
      </c>
    </row>
    <row r="679" spans="2:17" hidden="1" x14ac:dyDescent="0.4">
      <c r="B679" s="110">
        <v>44600</v>
      </c>
      <c r="C679" s="122">
        <f t="shared" si="178"/>
        <v>1000000</v>
      </c>
      <c r="D679" s="111">
        <f t="shared" si="179"/>
        <v>2231</v>
      </c>
      <c r="E679" s="2">
        <f t="shared" si="180"/>
        <v>1900</v>
      </c>
      <c r="F679" s="112">
        <f t="shared" si="174"/>
        <v>19000000</v>
      </c>
      <c r="G679" s="2">
        <f t="shared" si="181"/>
        <v>665465</v>
      </c>
      <c r="H679" s="113">
        <f t="shared" si="182"/>
        <v>0</v>
      </c>
      <c r="I679" s="121">
        <f t="shared" si="175"/>
        <v>334866</v>
      </c>
      <c r="K679" s="123">
        <f t="shared" si="183"/>
        <v>1000000</v>
      </c>
      <c r="L679" s="111">
        <f t="shared" si="184"/>
        <v>2231</v>
      </c>
      <c r="M679" s="2">
        <f t="shared" si="185"/>
        <v>1900</v>
      </c>
      <c r="N679" s="112">
        <f t="shared" si="176"/>
        <v>19000000</v>
      </c>
      <c r="O679" s="2">
        <f t="shared" si="186"/>
        <v>665465</v>
      </c>
      <c r="P679" s="113">
        <f t="shared" si="187"/>
        <v>0</v>
      </c>
      <c r="Q679" s="121">
        <f t="shared" si="177"/>
        <v>334866</v>
      </c>
    </row>
    <row r="680" spans="2:17" hidden="1" x14ac:dyDescent="0.4">
      <c r="B680" s="110">
        <v>44601</v>
      </c>
      <c r="C680" s="122">
        <f t="shared" si="178"/>
        <v>1000000</v>
      </c>
      <c r="D680" s="111">
        <f t="shared" si="179"/>
        <v>2231</v>
      </c>
      <c r="E680" s="2">
        <f t="shared" si="180"/>
        <v>1900</v>
      </c>
      <c r="F680" s="112">
        <f t="shared" si="174"/>
        <v>19000000</v>
      </c>
      <c r="G680" s="2">
        <f t="shared" si="181"/>
        <v>665465</v>
      </c>
      <c r="H680" s="113">
        <f t="shared" si="182"/>
        <v>0</v>
      </c>
      <c r="I680" s="121">
        <f t="shared" si="175"/>
        <v>334866</v>
      </c>
      <c r="K680" s="123">
        <f t="shared" si="183"/>
        <v>1000000</v>
      </c>
      <c r="L680" s="111">
        <f t="shared" si="184"/>
        <v>2231</v>
      </c>
      <c r="M680" s="2">
        <f t="shared" si="185"/>
        <v>1900</v>
      </c>
      <c r="N680" s="112">
        <f t="shared" si="176"/>
        <v>19000000</v>
      </c>
      <c r="O680" s="2">
        <f t="shared" si="186"/>
        <v>665465</v>
      </c>
      <c r="P680" s="113">
        <f t="shared" si="187"/>
        <v>0</v>
      </c>
      <c r="Q680" s="121">
        <f t="shared" si="177"/>
        <v>334866</v>
      </c>
    </row>
    <row r="681" spans="2:17" hidden="1" x14ac:dyDescent="0.4">
      <c r="B681" s="110">
        <v>44602</v>
      </c>
      <c r="C681" s="122">
        <f t="shared" si="178"/>
        <v>1000000</v>
      </c>
      <c r="D681" s="111">
        <f t="shared" si="179"/>
        <v>2231</v>
      </c>
      <c r="E681" s="2">
        <f t="shared" si="180"/>
        <v>1900</v>
      </c>
      <c r="F681" s="112">
        <f t="shared" si="174"/>
        <v>19000000</v>
      </c>
      <c r="G681" s="2">
        <f t="shared" si="181"/>
        <v>665465</v>
      </c>
      <c r="H681" s="113">
        <f t="shared" si="182"/>
        <v>0</v>
      </c>
      <c r="I681" s="121">
        <f t="shared" si="175"/>
        <v>334866</v>
      </c>
      <c r="K681" s="123">
        <f t="shared" si="183"/>
        <v>1000000</v>
      </c>
      <c r="L681" s="111">
        <f t="shared" si="184"/>
        <v>2231</v>
      </c>
      <c r="M681" s="2">
        <f t="shared" si="185"/>
        <v>1900</v>
      </c>
      <c r="N681" s="112">
        <f t="shared" si="176"/>
        <v>19000000</v>
      </c>
      <c r="O681" s="2">
        <f t="shared" si="186"/>
        <v>665465</v>
      </c>
      <c r="P681" s="113">
        <f t="shared" si="187"/>
        <v>0</v>
      </c>
      <c r="Q681" s="121">
        <f t="shared" si="177"/>
        <v>334866</v>
      </c>
    </row>
    <row r="682" spans="2:17" hidden="1" x14ac:dyDescent="0.4">
      <c r="B682" s="110">
        <v>44603</v>
      </c>
      <c r="C682" s="122">
        <f t="shared" si="178"/>
        <v>1000000</v>
      </c>
      <c r="D682" s="111">
        <f t="shared" si="179"/>
        <v>2231</v>
      </c>
      <c r="E682" s="2">
        <f t="shared" si="180"/>
        <v>1900</v>
      </c>
      <c r="F682" s="112">
        <f t="shared" si="174"/>
        <v>19000000</v>
      </c>
      <c r="G682" s="2">
        <f t="shared" si="181"/>
        <v>665465</v>
      </c>
      <c r="H682" s="113">
        <f t="shared" si="182"/>
        <v>0</v>
      </c>
      <c r="I682" s="121">
        <f t="shared" si="175"/>
        <v>334866</v>
      </c>
      <c r="K682" s="123">
        <f t="shared" si="183"/>
        <v>1000000</v>
      </c>
      <c r="L682" s="111">
        <f t="shared" si="184"/>
        <v>2231</v>
      </c>
      <c r="M682" s="2">
        <f t="shared" si="185"/>
        <v>1900</v>
      </c>
      <c r="N682" s="112">
        <f t="shared" si="176"/>
        <v>19000000</v>
      </c>
      <c r="O682" s="2">
        <f t="shared" si="186"/>
        <v>665465</v>
      </c>
      <c r="P682" s="113">
        <f t="shared" si="187"/>
        <v>0</v>
      </c>
      <c r="Q682" s="121">
        <f t="shared" si="177"/>
        <v>334866</v>
      </c>
    </row>
    <row r="683" spans="2:17" hidden="1" x14ac:dyDescent="0.4">
      <c r="B683" s="110">
        <v>44604</v>
      </c>
      <c r="C683" s="122">
        <f t="shared" si="178"/>
        <v>1000000</v>
      </c>
      <c r="D683" s="111">
        <f t="shared" si="179"/>
        <v>2231</v>
      </c>
      <c r="E683" s="2">
        <f t="shared" si="180"/>
        <v>1900</v>
      </c>
      <c r="F683" s="112">
        <f t="shared" si="174"/>
        <v>19000000</v>
      </c>
      <c r="G683" s="2">
        <f t="shared" si="181"/>
        <v>665465</v>
      </c>
      <c r="H683" s="113">
        <f t="shared" si="182"/>
        <v>0</v>
      </c>
      <c r="I683" s="121">
        <f t="shared" si="175"/>
        <v>334866</v>
      </c>
      <c r="K683" s="123">
        <f t="shared" si="183"/>
        <v>1000000</v>
      </c>
      <c r="L683" s="111">
        <f t="shared" si="184"/>
        <v>2231</v>
      </c>
      <c r="M683" s="2">
        <f t="shared" si="185"/>
        <v>1900</v>
      </c>
      <c r="N683" s="112">
        <f t="shared" si="176"/>
        <v>19000000</v>
      </c>
      <c r="O683" s="2">
        <f t="shared" si="186"/>
        <v>665465</v>
      </c>
      <c r="P683" s="113">
        <f t="shared" si="187"/>
        <v>0</v>
      </c>
      <c r="Q683" s="121">
        <f t="shared" si="177"/>
        <v>334866</v>
      </c>
    </row>
    <row r="684" spans="2:17" hidden="1" x14ac:dyDescent="0.4">
      <c r="B684" s="110">
        <v>44605</v>
      </c>
      <c r="C684" s="122">
        <f t="shared" si="178"/>
        <v>1000000</v>
      </c>
      <c r="D684" s="111">
        <f t="shared" si="179"/>
        <v>2231</v>
      </c>
      <c r="E684" s="2">
        <f t="shared" si="180"/>
        <v>1900</v>
      </c>
      <c r="F684" s="112">
        <f t="shared" si="174"/>
        <v>19000000</v>
      </c>
      <c r="G684" s="2">
        <f t="shared" si="181"/>
        <v>665465</v>
      </c>
      <c r="H684" s="113">
        <f t="shared" si="182"/>
        <v>0</v>
      </c>
      <c r="I684" s="121">
        <f t="shared" si="175"/>
        <v>334866</v>
      </c>
      <c r="K684" s="123">
        <f t="shared" si="183"/>
        <v>1000000</v>
      </c>
      <c r="L684" s="111">
        <f t="shared" si="184"/>
        <v>2231</v>
      </c>
      <c r="M684" s="2">
        <f t="shared" si="185"/>
        <v>1900</v>
      </c>
      <c r="N684" s="112">
        <f t="shared" si="176"/>
        <v>19000000</v>
      </c>
      <c r="O684" s="2">
        <f t="shared" si="186"/>
        <v>665465</v>
      </c>
      <c r="P684" s="113">
        <f t="shared" si="187"/>
        <v>0</v>
      </c>
      <c r="Q684" s="121">
        <f t="shared" si="177"/>
        <v>334866</v>
      </c>
    </row>
    <row r="685" spans="2:17" hidden="1" x14ac:dyDescent="0.4">
      <c r="B685" s="110">
        <v>44606</v>
      </c>
      <c r="C685" s="122">
        <f t="shared" si="178"/>
        <v>1000000</v>
      </c>
      <c r="D685" s="111">
        <f t="shared" si="179"/>
        <v>2231</v>
      </c>
      <c r="E685" s="2">
        <f t="shared" si="180"/>
        <v>1900</v>
      </c>
      <c r="F685" s="112">
        <f t="shared" si="174"/>
        <v>19000000</v>
      </c>
      <c r="G685" s="2">
        <f t="shared" si="181"/>
        <v>665465</v>
      </c>
      <c r="H685" s="113">
        <f t="shared" si="182"/>
        <v>0</v>
      </c>
      <c r="I685" s="121">
        <f t="shared" si="175"/>
        <v>334866</v>
      </c>
      <c r="K685" s="123">
        <f t="shared" si="183"/>
        <v>1000000</v>
      </c>
      <c r="L685" s="111">
        <f t="shared" si="184"/>
        <v>2231</v>
      </c>
      <c r="M685" s="2">
        <f t="shared" si="185"/>
        <v>1900</v>
      </c>
      <c r="N685" s="112">
        <f t="shared" si="176"/>
        <v>19000000</v>
      </c>
      <c r="O685" s="2">
        <f t="shared" si="186"/>
        <v>665465</v>
      </c>
      <c r="P685" s="113">
        <f t="shared" si="187"/>
        <v>0</v>
      </c>
      <c r="Q685" s="121">
        <f t="shared" si="177"/>
        <v>334866</v>
      </c>
    </row>
    <row r="686" spans="2:17" hidden="1" x14ac:dyDescent="0.4">
      <c r="B686" s="110">
        <v>44607</v>
      </c>
      <c r="C686" s="122">
        <f t="shared" si="178"/>
        <v>1000000</v>
      </c>
      <c r="D686" s="111">
        <f t="shared" si="179"/>
        <v>2231</v>
      </c>
      <c r="E686" s="2">
        <f t="shared" si="180"/>
        <v>1900</v>
      </c>
      <c r="F686" s="112">
        <f t="shared" si="174"/>
        <v>19000000</v>
      </c>
      <c r="G686" s="2">
        <f t="shared" si="181"/>
        <v>665465</v>
      </c>
      <c r="H686" s="113">
        <f t="shared" si="182"/>
        <v>0</v>
      </c>
      <c r="I686" s="121">
        <f t="shared" si="175"/>
        <v>334866</v>
      </c>
      <c r="K686" s="123">
        <f t="shared" si="183"/>
        <v>1000000</v>
      </c>
      <c r="L686" s="111">
        <f t="shared" si="184"/>
        <v>2231</v>
      </c>
      <c r="M686" s="2">
        <f t="shared" si="185"/>
        <v>1900</v>
      </c>
      <c r="N686" s="112">
        <f t="shared" si="176"/>
        <v>19000000</v>
      </c>
      <c r="O686" s="2">
        <f t="shared" si="186"/>
        <v>665465</v>
      </c>
      <c r="P686" s="113">
        <f t="shared" si="187"/>
        <v>0</v>
      </c>
      <c r="Q686" s="121">
        <f t="shared" si="177"/>
        <v>334866</v>
      </c>
    </row>
    <row r="687" spans="2:17" hidden="1" x14ac:dyDescent="0.4">
      <c r="B687" s="110">
        <v>44608</v>
      </c>
      <c r="C687" s="122">
        <f t="shared" si="178"/>
        <v>1000000</v>
      </c>
      <c r="D687" s="111">
        <f t="shared" si="179"/>
        <v>2231</v>
      </c>
      <c r="E687" s="2">
        <f t="shared" si="180"/>
        <v>1900</v>
      </c>
      <c r="F687" s="112">
        <f t="shared" si="174"/>
        <v>19000000</v>
      </c>
      <c r="G687" s="2">
        <f t="shared" si="181"/>
        <v>665465</v>
      </c>
      <c r="H687" s="113">
        <f t="shared" si="182"/>
        <v>0</v>
      </c>
      <c r="I687" s="121">
        <f t="shared" si="175"/>
        <v>334866</v>
      </c>
      <c r="K687" s="123">
        <f t="shared" si="183"/>
        <v>1000000</v>
      </c>
      <c r="L687" s="111">
        <f t="shared" si="184"/>
        <v>2231</v>
      </c>
      <c r="M687" s="2">
        <f t="shared" si="185"/>
        <v>1900</v>
      </c>
      <c r="N687" s="112">
        <f t="shared" si="176"/>
        <v>19000000</v>
      </c>
      <c r="O687" s="2">
        <f t="shared" si="186"/>
        <v>665465</v>
      </c>
      <c r="P687" s="113">
        <f t="shared" si="187"/>
        <v>0</v>
      </c>
      <c r="Q687" s="121">
        <f t="shared" si="177"/>
        <v>334866</v>
      </c>
    </row>
    <row r="688" spans="2:17" hidden="1" x14ac:dyDescent="0.4">
      <c r="B688" s="110">
        <v>44609</v>
      </c>
      <c r="C688" s="122">
        <f t="shared" si="178"/>
        <v>1000000</v>
      </c>
      <c r="D688" s="111">
        <f t="shared" si="179"/>
        <v>2231</v>
      </c>
      <c r="E688" s="2">
        <f t="shared" si="180"/>
        <v>1900</v>
      </c>
      <c r="F688" s="112">
        <f t="shared" si="174"/>
        <v>19000000</v>
      </c>
      <c r="G688" s="2">
        <f t="shared" si="181"/>
        <v>665465</v>
      </c>
      <c r="H688" s="113">
        <f t="shared" si="182"/>
        <v>0</v>
      </c>
      <c r="I688" s="121">
        <f t="shared" si="175"/>
        <v>334866</v>
      </c>
      <c r="K688" s="123">
        <f t="shared" si="183"/>
        <v>1000000</v>
      </c>
      <c r="L688" s="111">
        <f t="shared" si="184"/>
        <v>2231</v>
      </c>
      <c r="M688" s="2">
        <f t="shared" si="185"/>
        <v>1900</v>
      </c>
      <c r="N688" s="112">
        <f t="shared" si="176"/>
        <v>19000000</v>
      </c>
      <c r="O688" s="2">
        <f t="shared" si="186"/>
        <v>665465</v>
      </c>
      <c r="P688" s="113">
        <f t="shared" si="187"/>
        <v>0</v>
      </c>
      <c r="Q688" s="121">
        <f t="shared" si="177"/>
        <v>334866</v>
      </c>
    </row>
    <row r="689" spans="2:17" hidden="1" x14ac:dyDescent="0.4">
      <c r="B689" s="110">
        <v>44610</v>
      </c>
      <c r="C689" s="122">
        <f t="shared" si="178"/>
        <v>1000000</v>
      </c>
      <c r="D689" s="111">
        <f t="shared" si="179"/>
        <v>2231</v>
      </c>
      <c r="E689" s="2">
        <f t="shared" si="180"/>
        <v>1900</v>
      </c>
      <c r="F689" s="112">
        <f t="shared" si="174"/>
        <v>19000000</v>
      </c>
      <c r="G689" s="2">
        <f t="shared" si="181"/>
        <v>665465</v>
      </c>
      <c r="H689" s="113">
        <f t="shared" si="182"/>
        <v>0</v>
      </c>
      <c r="I689" s="121">
        <f t="shared" si="175"/>
        <v>334866</v>
      </c>
      <c r="K689" s="123">
        <f t="shared" si="183"/>
        <v>1000000</v>
      </c>
      <c r="L689" s="111">
        <f t="shared" si="184"/>
        <v>2231</v>
      </c>
      <c r="M689" s="2">
        <f t="shared" si="185"/>
        <v>1900</v>
      </c>
      <c r="N689" s="112">
        <f t="shared" si="176"/>
        <v>19000000</v>
      </c>
      <c r="O689" s="2">
        <f t="shared" si="186"/>
        <v>665465</v>
      </c>
      <c r="P689" s="113">
        <f t="shared" si="187"/>
        <v>0</v>
      </c>
      <c r="Q689" s="121">
        <f t="shared" si="177"/>
        <v>334866</v>
      </c>
    </row>
    <row r="690" spans="2:17" hidden="1" x14ac:dyDescent="0.4">
      <c r="B690" s="110">
        <v>44611</v>
      </c>
      <c r="C690" s="122">
        <f t="shared" si="178"/>
        <v>1000000</v>
      </c>
      <c r="D690" s="111">
        <f t="shared" si="179"/>
        <v>2231</v>
      </c>
      <c r="E690" s="2">
        <f t="shared" si="180"/>
        <v>1900</v>
      </c>
      <c r="F690" s="112">
        <f t="shared" si="174"/>
        <v>19000000</v>
      </c>
      <c r="G690" s="2">
        <f t="shared" si="181"/>
        <v>665465</v>
      </c>
      <c r="H690" s="113">
        <f t="shared" si="182"/>
        <v>0</v>
      </c>
      <c r="I690" s="121">
        <f t="shared" si="175"/>
        <v>334866</v>
      </c>
      <c r="K690" s="123">
        <f t="shared" si="183"/>
        <v>1000000</v>
      </c>
      <c r="L690" s="111">
        <f t="shared" si="184"/>
        <v>2231</v>
      </c>
      <c r="M690" s="2">
        <f t="shared" si="185"/>
        <v>1900</v>
      </c>
      <c r="N690" s="112">
        <f t="shared" si="176"/>
        <v>19000000</v>
      </c>
      <c r="O690" s="2">
        <f t="shared" si="186"/>
        <v>665465</v>
      </c>
      <c r="P690" s="113">
        <f t="shared" si="187"/>
        <v>0</v>
      </c>
      <c r="Q690" s="121">
        <f t="shared" si="177"/>
        <v>334866</v>
      </c>
    </row>
    <row r="691" spans="2:17" hidden="1" x14ac:dyDescent="0.4">
      <c r="B691" s="110">
        <v>44612</v>
      </c>
      <c r="C691" s="122">
        <f t="shared" si="178"/>
        <v>1000000</v>
      </c>
      <c r="D691" s="111">
        <f t="shared" si="179"/>
        <v>2231</v>
      </c>
      <c r="E691" s="2">
        <f t="shared" si="180"/>
        <v>1900</v>
      </c>
      <c r="F691" s="112">
        <f t="shared" si="174"/>
        <v>19000000</v>
      </c>
      <c r="G691" s="2">
        <f t="shared" si="181"/>
        <v>665465</v>
      </c>
      <c r="H691" s="113">
        <f t="shared" si="182"/>
        <v>0</v>
      </c>
      <c r="I691" s="121">
        <f t="shared" si="175"/>
        <v>334866</v>
      </c>
      <c r="K691" s="123">
        <f t="shared" si="183"/>
        <v>1000000</v>
      </c>
      <c r="L691" s="111">
        <f t="shared" si="184"/>
        <v>2231</v>
      </c>
      <c r="M691" s="2">
        <f t="shared" si="185"/>
        <v>1900</v>
      </c>
      <c r="N691" s="112">
        <f t="shared" si="176"/>
        <v>19000000</v>
      </c>
      <c r="O691" s="2">
        <f t="shared" si="186"/>
        <v>665465</v>
      </c>
      <c r="P691" s="113">
        <f t="shared" si="187"/>
        <v>0</v>
      </c>
      <c r="Q691" s="121">
        <f t="shared" si="177"/>
        <v>334866</v>
      </c>
    </row>
    <row r="692" spans="2:17" hidden="1" x14ac:dyDescent="0.4">
      <c r="B692" s="110">
        <v>44613</v>
      </c>
      <c r="C692" s="122">
        <f t="shared" si="178"/>
        <v>1000000</v>
      </c>
      <c r="D692" s="111">
        <f t="shared" si="179"/>
        <v>2231</v>
      </c>
      <c r="E692" s="2">
        <f t="shared" si="180"/>
        <v>1900</v>
      </c>
      <c r="F692" s="112">
        <f t="shared" si="174"/>
        <v>19000000</v>
      </c>
      <c r="G692" s="2">
        <f t="shared" si="181"/>
        <v>665465</v>
      </c>
      <c r="H692" s="113">
        <f t="shared" si="182"/>
        <v>0</v>
      </c>
      <c r="I692" s="121">
        <f t="shared" si="175"/>
        <v>334866</v>
      </c>
      <c r="K692" s="123">
        <f t="shared" si="183"/>
        <v>1000000</v>
      </c>
      <c r="L692" s="111">
        <f t="shared" si="184"/>
        <v>2231</v>
      </c>
      <c r="M692" s="2">
        <f t="shared" si="185"/>
        <v>1900</v>
      </c>
      <c r="N692" s="112">
        <f t="shared" si="176"/>
        <v>19000000</v>
      </c>
      <c r="O692" s="2">
        <f t="shared" si="186"/>
        <v>665465</v>
      </c>
      <c r="P692" s="113">
        <f t="shared" si="187"/>
        <v>0</v>
      </c>
      <c r="Q692" s="121">
        <f t="shared" si="177"/>
        <v>334866</v>
      </c>
    </row>
    <row r="693" spans="2:17" hidden="1" x14ac:dyDescent="0.4">
      <c r="B693" s="110">
        <v>44614</v>
      </c>
      <c r="C693" s="122">
        <f t="shared" si="178"/>
        <v>1000000</v>
      </c>
      <c r="D693" s="111">
        <f t="shared" si="179"/>
        <v>2231</v>
      </c>
      <c r="E693" s="2">
        <f t="shared" si="180"/>
        <v>1900</v>
      </c>
      <c r="F693" s="112">
        <f t="shared" si="174"/>
        <v>19000000</v>
      </c>
      <c r="G693" s="2">
        <f t="shared" si="181"/>
        <v>665465</v>
      </c>
      <c r="H693" s="113">
        <f t="shared" si="182"/>
        <v>0</v>
      </c>
      <c r="I693" s="121">
        <f t="shared" si="175"/>
        <v>334866</v>
      </c>
      <c r="K693" s="123">
        <f t="shared" si="183"/>
        <v>1000000</v>
      </c>
      <c r="L693" s="111">
        <f t="shared" si="184"/>
        <v>2231</v>
      </c>
      <c r="M693" s="2">
        <f t="shared" si="185"/>
        <v>1900</v>
      </c>
      <c r="N693" s="112">
        <f t="shared" si="176"/>
        <v>19000000</v>
      </c>
      <c r="O693" s="2">
        <f t="shared" si="186"/>
        <v>665465</v>
      </c>
      <c r="P693" s="113">
        <f t="shared" si="187"/>
        <v>0</v>
      </c>
      <c r="Q693" s="121">
        <f t="shared" si="177"/>
        <v>334866</v>
      </c>
    </row>
    <row r="694" spans="2:17" hidden="1" x14ac:dyDescent="0.4">
      <c r="B694" s="110">
        <v>44615</v>
      </c>
      <c r="C694" s="122">
        <f t="shared" si="178"/>
        <v>1000000</v>
      </c>
      <c r="D694" s="111">
        <f t="shared" si="179"/>
        <v>2231</v>
      </c>
      <c r="E694" s="2">
        <f t="shared" si="180"/>
        <v>1900</v>
      </c>
      <c r="F694" s="112">
        <f t="shared" si="174"/>
        <v>19000000</v>
      </c>
      <c r="G694" s="2">
        <f t="shared" si="181"/>
        <v>665465</v>
      </c>
      <c r="H694" s="113">
        <f t="shared" si="182"/>
        <v>0</v>
      </c>
      <c r="I694" s="121">
        <f t="shared" si="175"/>
        <v>334866</v>
      </c>
      <c r="K694" s="123">
        <f t="shared" si="183"/>
        <v>1000000</v>
      </c>
      <c r="L694" s="111">
        <f t="shared" si="184"/>
        <v>2231</v>
      </c>
      <c r="M694" s="2">
        <f t="shared" si="185"/>
        <v>1900</v>
      </c>
      <c r="N694" s="112">
        <f t="shared" si="176"/>
        <v>19000000</v>
      </c>
      <c r="O694" s="2">
        <f t="shared" si="186"/>
        <v>665465</v>
      </c>
      <c r="P694" s="113">
        <f t="shared" si="187"/>
        <v>0</v>
      </c>
      <c r="Q694" s="121">
        <f t="shared" si="177"/>
        <v>334866</v>
      </c>
    </row>
    <row r="695" spans="2:17" hidden="1" x14ac:dyDescent="0.4">
      <c r="B695" s="110">
        <v>44616</v>
      </c>
      <c r="C695" s="122">
        <f t="shared" si="178"/>
        <v>1000000</v>
      </c>
      <c r="D695" s="111">
        <f t="shared" si="179"/>
        <v>2231</v>
      </c>
      <c r="E695" s="2">
        <f t="shared" si="180"/>
        <v>1900</v>
      </c>
      <c r="F695" s="112">
        <f t="shared" si="174"/>
        <v>19000000</v>
      </c>
      <c r="G695" s="2">
        <f t="shared" si="181"/>
        <v>665465</v>
      </c>
      <c r="H695" s="113">
        <f t="shared" si="182"/>
        <v>0</v>
      </c>
      <c r="I695" s="121">
        <f t="shared" si="175"/>
        <v>334866</v>
      </c>
      <c r="K695" s="123">
        <f t="shared" si="183"/>
        <v>1000000</v>
      </c>
      <c r="L695" s="111">
        <f t="shared" si="184"/>
        <v>2231</v>
      </c>
      <c r="M695" s="2">
        <f t="shared" si="185"/>
        <v>1900</v>
      </c>
      <c r="N695" s="112">
        <f t="shared" si="176"/>
        <v>19000000</v>
      </c>
      <c r="O695" s="2">
        <f t="shared" si="186"/>
        <v>665465</v>
      </c>
      <c r="P695" s="113">
        <f t="shared" si="187"/>
        <v>0</v>
      </c>
      <c r="Q695" s="121">
        <f t="shared" si="177"/>
        <v>334866</v>
      </c>
    </row>
    <row r="696" spans="2:17" hidden="1" x14ac:dyDescent="0.4">
      <c r="B696" s="110">
        <v>44617</v>
      </c>
      <c r="C696" s="122">
        <f t="shared" si="178"/>
        <v>1000000</v>
      </c>
      <c r="D696" s="111">
        <f t="shared" si="179"/>
        <v>2231</v>
      </c>
      <c r="E696" s="2">
        <f t="shared" si="180"/>
        <v>1900</v>
      </c>
      <c r="F696" s="112">
        <f t="shared" si="174"/>
        <v>19000000</v>
      </c>
      <c r="G696" s="2">
        <f t="shared" si="181"/>
        <v>665465</v>
      </c>
      <c r="H696" s="113">
        <f t="shared" si="182"/>
        <v>0</v>
      </c>
      <c r="I696" s="121">
        <f t="shared" si="175"/>
        <v>334866</v>
      </c>
      <c r="K696" s="123">
        <f t="shared" si="183"/>
        <v>1000000</v>
      </c>
      <c r="L696" s="111">
        <f t="shared" si="184"/>
        <v>2231</v>
      </c>
      <c r="M696" s="2">
        <f t="shared" si="185"/>
        <v>1900</v>
      </c>
      <c r="N696" s="112">
        <f t="shared" si="176"/>
        <v>19000000</v>
      </c>
      <c r="O696" s="2">
        <f t="shared" si="186"/>
        <v>665465</v>
      </c>
      <c r="P696" s="113">
        <f t="shared" si="187"/>
        <v>0</v>
      </c>
      <c r="Q696" s="121">
        <f t="shared" si="177"/>
        <v>334866</v>
      </c>
    </row>
    <row r="697" spans="2:17" hidden="1" x14ac:dyDescent="0.4">
      <c r="B697" s="110">
        <v>44618</v>
      </c>
      <c r="C697" s="122">
        <f t="shared" si="178"/>
        <v>1000000</v>
      </c>
      <c r="D697" s="111">
        <f t="shared" si="179"/>
        <v>2231</v>
      </c>
      <c r="E697" s="2">
        <f t="shared" si="180"/>
        <v>1900</v>
      </c>
      <c r="F697" s="112">
        <f t="shared" si="174"/>
        <v>19000000</v>
      </c>
      <c r="G697" s="2">
        <f t="shared" si="181"/>
        <v>665465</v>
      </c>
      <c r="H697" s="113">
        <f t="shared" si="182"/>
        <v>0</v>
      </c>
      <c r="I697" s="121">
        <f t="shared" si="175"/>
        <v>334866</v>
      </c>
      <c r="K697" s="123">
        <f t="shared" si="183"/>
        <v>1000000</v>
      </c>
      <c r="L697" s="111">
        <f t="shared" si="184"/>
        <v>2231</v>
      </c>
      <c r="M697" s="2">
        <f t="shared" si="185"/>
        <v>1900</v>
      </c>
      <c r="N697" s="112">
        <f t="shared" si="176"/>
        <v>19000000</v>
      </c>
      <c r="O697" s="2">
        <f t="shared" si="186"/>
        <v>665465</v>
      </c>
      <c r="P697" s="113">
        <f t="shared" si="187"/>
        <v>0</v>
      </c>
      <c r="Q697" s="121">
        <f t="shared" si="177"/>
        <v>334866</v>
      </c>
    </row>
    <row r="698" spans="2:17" hidden="1" x14ac:dyDescent="0.4">
      <c r="B698" s="110">
        <v>44619</v>
      </c>
      <c r="C698" s="122">
        <f t="shared" si="178"/>
        <v>1000000</v>
      </c>
      <c r="D698" s="111">
        <f t="shared" si="179"/>
        <v>2231</v>
      </c>
      <c r="E698" s="2">
        <f t="shared" si="180"/>
        <v>1900</v>
      </c>
      <c r="F698" s="112">
        <f t="shared" si="174"/>
        <v>19000000</v>
      </c>
      <c r="G698" s="2">
        <f t="shared" si="181"/>
        <v>665465</v>
      </c>
      <c r="H698" s="113">
        <f t="shared" si="182"/>
        <v>0</v>
      </c>
      <c r="I698" s="121">
        <f t="shared" si="175"/>
        <v>334866</v>
      </c>
      <c r="K698" s="123">
        <f t="shared" si="183"/>
        <v>1000000</v>
      </c>
      <c r="L698" s="111">
        <f t="shared" si="184"/>
        <v>2231</v>
      </c>
      <c r="M698" s="2">
        <f t="shared" si="185"/>
        <v>1900</v>
      </c>
      <c r="N698" s="112">
        <f t="shared" si="176"/>
        <v>19000000</v>
      </c>
      <c r="O698" s="2">
        <f t="shared" si="186"/>
        <v>665465</v>
      </c>
      <c r="P698" s="113">
        <f t="shared" si="187"/>
        <v>0</v>
      </c>
      <c r="Q698" s="121">
        <f t="shared" si="177"/>
        <v>334866</v>
      </c>
    </row>
    <row r="699" spans="2:17" hidden="1" x14ac:dyDescent="0.4">
      <c r="B699" s="110">
        <v>44620</v>
      </c>
      <c r="C699" s="122">
        <f t="shared" si="178"/>
        <v>1000000</v>
      </c>
      <c r="D699" s="111">
        <f t="shared" si="179"/>
        <v>2231</v>
      </c>
      <c r="E699" s="2">
        <f t="shared" si="180"/>
        <v>1900</v>
      </c>
      <c r="F699" s="112">
        <f t="shared" si="174"/>
        <v>19000000</v>
      </c>
      <c r="G699" s="2">
        <f t="shared" si="181"/>
        <v>665465</v>
      </c>
      <c r="H699" s="113">
        <f t="shared" si="182"/>
        <v>0</v>
      </c>
      <c r="I699" s="121">
        <f t="shared" si="175"/>
        <v>334866</v>
      </c>
      <c r="K699" s="123">
        <f t="shared" si="183"/>
        <v>1000000</v>
      </c>
      <c r="L699" s="111">
        <f t="shared" si="184"/>
        <v>2231</v>
      </c>
      <c r="M699" s="2">
        <f t="shared" si="185"/>
        <v>1900</v>
      </c>
      <c r="N699" s="112">
        <f t="shared" si="176"/>
        <v>19000000</v>
      </c>
      <c r="O699" s="2">
        <f t="shared" si="186"/>
        <v>665465</v>
      </c>
      <c r="P699" s="113">
        <f t="shared" si="187"/>
        <v>0</v>
      </c>
      <c r="Q699" s="121">
        <f t="shared" si="177"/>
        <v>334866</v>
      </c>
    </row>
    <row r="700" spans="2:17" x14ac:dyDescent="0.4">
      <c r="B700" s="110">
        <v>44621</v>
      </c>
      <c r="C700" s="122">
        <f t="shared" si="178"/>
        <v>1000000</v>
      </c>
      <c r="D700" s="111">
        <f t="shared" si="179"/>
        <v>2231</v>
      </c>
      <c r="E700" s="2">
        <f t="shared" si="180"/>
        <v>1900</v>
      </c>
      <c r="F700" s="112">
        <f t="shared" si="174"/>
        <v>19000000</v>
      </c>
      <c r="G700" s="2">
        <f t="shared" si="181"/>
        <v>665465</v>
      </c>
      <c r="H700" s="113">
        <f t="shared" si="182"/>
        <v>0</v>
      </c>
      <c r="I700" s="121">
        <f t="shared" si="175"/>
        <v>334866</v>
      </c>
      <c r="K700" s="123">
        <f t="shared" si="183"/>
        <v>1000000</v>
      </c>
      <c r="L700" s="111">
        <f t="shared" si="184"/>
        <v>2231</v>
      </c>
      <c r="M700" s="2">
        <f t="shared" si="185"/>
        <v>1900</v>
      </c>
      <c r="N700" s="112">
        <f t="shared" si="176"/>
        <v>19000000</v>
      </c>
      <c r="O700" s="2">
        <f t="shared" si="186"/>
        <v>665465</v>
      </c>
      <c r="P700" s="113">
        <f t="shared" si="187"/>
        <v>0</v>
      </c>
      <c r="Q700" s="121">
        <f t="shared" si="177"/>
        <v>334866</v>
      </c>
    </row>
    <row r="701" spans="2:17" hidden="1" x14ac:dyDescent="0.4">
      <c r="B701" s="110">
        <v>44622</v>
      </c>
      <c r="C701" s="122">
        <f t="shared" si="178"/>
        <v>1000000</v>
      </c>
      <c r="D701" s="111">
        <f t="shared" si="179"/>
        <v>2252</v>
      </c>
      <c r="E701" s="2">
        <f t="shared" si="180"/>
        <v>1900</v>
      </c>
      <c r="F701" s="112">
        <f t="shared" si="174"/>
        <v>19000000</v>
      </c>
      <c r="G701" s="2">
        <f t="shared" si="181"/>
        <v>665465</v>
      </c>
      <c r="H701" s="113">
        <f t="shared" si="182"/>
        <v>0</v>
      </c>
      <c r="I701" s="121">
        <f t="shared" si="175"/>
        <v>334887</v>
      </c>
      <c r="K701" s="123">
        <f t="shared" si="183"/>
        <v>1000000</v>
      </c>
      <c r="L701" s="111">
        <f t="shared" si="184"/>
        <v>2252</v>
      </c>
      <c r="M701" s="2">
        <f t="shared" si="185"/>
        <v>1900</v>
      </c>
      <c r="N701" s="112">
        <f t="shared" si="176"/>
        <v>19000000</v>
      </c>
      <c r="O701" s="2">
        <f t="shared" si="186"/>
        <v>665465</v>
      </c>
      <c r="P701" s="113">
        <f t="shared" si="187"/>
        <v>0</v>
      </c>
      <c r="Q701" s="121">
        <f t="shared" si="177"/>
        <v>334887</v>
      </c>
    </row>
    <row r="702" spans="2:17" hidden="1" x14ac:dyDescent="0.4">
      <c r="B702" s="110">
        <v>44623</v>
      </c>
      <c r="C702" s="122">
        <f t="shared" si="178"/>
        <v>1000000</v>
      </c>
      <c r="D702" s="111">
        <f t="shared" si="179"/>
        <v>2252</v>
      </c>
      <c r="E702" s="2">
        <f t="shared" si="180"/>
        <v>1900</v>
      </c>
      <c r="F702" s="112">
        <f t="shared" si="174"/>
        <v>19000000</v>
      </c>
      <c r="G702" s="2">
        <f t="shared" si="181"/>
        <v>665465</v>
      </c>
      <c r="H702" s="113">
        <f t="shared" si="182"/>
        <v>0</v>
      </c>
      <c r="I702" s="121">
        <f t="shared" si="175"/>
        <v>334887</v>
      </c>
      <c r="K702" s="123">
        <f t="shared" si="183"/>
        <v>1000000</v>
      </c>
      <c r="L702" s="111">
        <f t="shared" si="184"/>
        <v>2252</v>
      </c>
      <c r="M702" s="2">
        <f t="shared" si="185"/>
        <v>1900</v>
      </c>
      <c r="N702" s="112">
        <f t="shared" si="176"/>
        <v>19000000</v>
      </c>
      <c r="O702" s="2">
        <f t="shared" si="186"/>
        <v>665465</v>
      </c>
      <c r="P702" s="113">
        <f t="shared" si="187"/>
        <v>0</v>
      </c>
      <c r="Q702" s="121">
        <f t="shared" si="177"/>
        <v>334887</v>
      </c>
    </row>
    <row r="703" spans="2:17" hidden="1" x14ac:dyDescent="0.4">
      <c r="B703" s="110">
        <v>44624</v>
      </c>
      <c r="C703" s="122">
        <f t="shared" si="178"/>
        <v>1000000</v>
      </c>
      <c r="D703" s="111">
        <f t="shared" si="179"/>
        <v>2252</v>
      </c>
      <c r="E703" s="2">
        <f t="shared" si="180"/>
        <v>1900</v>
      </c>
      <c r="F703" s="112">
        <f t="shared" si="174"/>
        <v>19000000</v>
      </c>
      <c r="G703" s="2">
        <f t="shared" si="181"/>
        <v>665465</v>
      </c>
      <c r="H703" s="113">
        <f t="shared" si="182"/>
        <v>0</v>
      </c>
      <c r="I703" s="121">
        <f t="shared" si="175"/>
        <v>334887</v>
      </c>
      <c r="K703" s="123">
        <f t="shared" si="183"/>
        <v>1000000</v>
      </c>
      <c r="L703" s="111">
        <f t="shared" si="184"/>
        <v>2252</v>
      </c>
      <c r="M703" s="2">
        <f t="shared" si="185"/>
        <v>1900</v>
      </c>
      <c r="N703" s="112">
        <f t="shared" si="176"/>
        <v>19000000</v>
      </c>
      <c r="O703" s="2">
        <f t="shared" si="186"/>
        <v>665465</v>
      </c>
      <c r="P703" s="113">
        <f t="shared" si="187"/>
        <v>0</v>
      </c>
      <c r="Q703" s="121">
        <f t="shared" si="177"/>
        <v>334887</v>
      </c>
    </row>
    <row r="704" spans="2:17" hidden="1" x14ac:dyDescent="0.4">
      <c r="B704" s="110">
        <v>44625</v>
      </c>
      <c r="C704" s="122">
        <f t="shared" si="178"/>
        <v>1000000</v>
      </c>
      <c r="D704" s="111">
        <f t="shared" si="179"/>
        <v>2252</v>
      </c>
      <c r="E704" s="2">
        <f t="shared" si="180"/>
        <v>1900</v>
      </c>
      <c r="F704" s="112">
        <f t="shared" si="174"/>
        <v>19000000</v>
      </c>
      <c r="G704" s="2">
        <f t="shared" si="181"/>
        <v>665465</v>
      </c>
      <c r="H704" s="113">
        <f t="shared" si="182"/>
        <v>0</v>
      </c>
      <c r="I704" s="121">
        <f t="shared" si="175"/>
        <v>334887</v>
      </c>
      <c r="K704" s="123">
        <f t="shared" si="183"/>
        <v>1000000</v>
      </c>
      <c r="L704" s="111">
        <f t="shared" si="184"/>
        <v>2252</v>
      </c>
      <c r="M704" s="2">
        <f t="shared" si="185"/>
        <v>1900</v>
      </c>
      <c r="N704" s="112">
        <f t="shared" si="176"/>
        <v>19000000</v>
      </c>
      <c r="O704" s="2">
        <f t="shared" si="186"/>
        <v>665465</v>
      </c>
      <c r="P704" s="113">
        <f t="shared" si="187"/>
        <v>0</v>
      </c>
      <c r="Q704" s="121">
        <f t="shared" si="177"/>
        <v>334887</v>
      </c>
    </row>
    <row r="705" spans="2:17" hidden="1" x14ac:dyDescent="0.4">
      <c r="B705" s="110">
        <v>44626</v>
      </c>
      <c r="C705" s="122">
        <f t="shared" si="178"/>
        <v>1000000</v>
      </c>
      <c r="D705" s="111">
        <f t="shared" si="179"/>
        <v>2252</v>
      </c>
      <c r="E705" s="2">
        <f t="shared" si="180"/>
        <v>1900</v>
      </c>
      <c r="F705" s="112">
        <f t="shared" si="174"/>
        <v>19000000</v>
      </c>
      <c r="G705" s="2">
        <f t="shared" si="181"/>
        <v>665465</v>
      </c>
      <c r="H705" s="113">
        <f t="shared" si="182"/>
        <v>0</v>
      </c>
      <c r="I705" s="121">
        <f t="shared" si="175"/>
        <v>334887</v>
      </c>
      <c r="K705" s="123">
        <f t="shared" si="183"/>
        <v>1000000</v>
      </c>
      <c r="L705" s="111">
        <f t="shared" si="184"/>
        <v>2252</v>
      </c>
      <c r="M705" s="2">
        <f t="shared" si="185"/>
        <v>1900</v>
      </c>
      <c r="N705" s="112">
        <f t="shared" si="176"/>
        <v>19000000</v>
      </c>
      <c r="O705" s="2">
        <f t="shared" si="186"/>
        <v>665465</v>
      </c>
      <c r="P705" s="113">
        <f t="shared" si="187"/>
        <v>0</v>
      </c>
      <c r="Q705" s="121">
        <f t="shared" si="177"/>
        <v>334887</v>
      </c>
    </row>
    <row r="706" spans="2:17" hidden="1" x14ac:dyDescent="0.4">
      <c r="B706" s="110">
        <v>44627</v>
      </c>
      <c r="C706" s="122">
        <f t="shared" si="178"/>
        <v>3000000</v>
      </c>
      <c r="D706" s="111">
        <f t="shared" si="179"/>
        <v>2252</v>
      </c>
      <c r="E706" s="2">
        <f t="shared" si="180"/>
        <v>1900</v>
      </c>
      <c r="F706" s="112">
        <f t="shared" si="174"/>
        <v>17000000</v>
      </c>
      <c r="G706" s="2">
        <f t="shared" si="181"/>
        <v>665465</v>
      </c>
      <c r="H706" s="113">
        <f t="shared" si="182"/>
        <v>0</v>
      </c>
      <c r="I706" s="121">
        <f t="shared" si="175"/>
        <v>2334887</v>
      </c>
      <c r="K706" s="123">
        <f t="shared" si="183"/>
        <v>3000000</v>
      </c>
      <c r="L706" s="111">
        <f t="shared" si="184"/>
        <v>2252</v>
      </c>
      <c r="M706" s="2">
        <f t="shared" si="185"/>
        <v>1900</v>
      </c>
      <c r="N706" s="112">
        <f t="shared" si="176"/>
        <v>17000000</v>
      </c>
      <c r="O706" s="2">
        <f t="shared" si="186"/>
        <v>665465</v>
      </c>
      <c r="P706" s="113">
        <f t="shared" si="187"/>
        <v>0</v>
      </c>
      <c r="Q706" s="121">
        <f t="shared" si="177"/>
        <v>2334887</v>
      </c>
    </row>
    <row r="707" spans="2:17" hidden="1" x14ac:dyDescent="0.4">
      <c r="B707" s="110">
        <v>44628</v>
      </c>
      <c r="C707" s="122">
        <f t="shared" si="178"/>
        <v>3000000</v>
      </c>
      <c r="D707" s="111">
        <f t="shared" si="179"/>
        <v>2252</v>
      </c>
      <c r="E707" s="2">
        <f t="shared" si="180"/>
        <v>1900</v>
      </c>
      <c r="F707" s="112">
        <f t="shared" si="174"/>
        <v>17000000</v>
      </c>
      <c r="G707" s="2">
        <f t="shared" si="181"/>
        <v>665465</v>
      </c>
      <c r="H707" s="113">
        <f t="shared" si="182"/>
        <v>0</v>
      </c>
      <c r="I707" s="121">
        <f t="shared" si="175"/>
        <v>2334887</v>
      </c>
      <c r="K707" s="123">
        <f t="shared" si="183"/>
        <v>3000000</v>
      </c>
      <c r="L707" s="111">
        <f t="shared" si="184"/>
        <v>2252</v>
      </c>
      <c r="M707" s="2">
        <f t="shared" si="185"/>
        <v>1900</v>
      </c>
      <c r="N707" s="112">
        <f t="shared" si="176"/>
        <v>17000000</v>
      </c>
      <c r="O707" s="2">
        <f t="shared" si="186"/>
        <v>665465</v>
      </c>
      <c r="P707" s="113">
        <f t="shared" si="187"/>
        <v>0</v>
      </c>
      <c r="Q707" s="121">
        <f t="shared" si="177"/>
        <v>2334887</v>
      </c>
    </row>
    <row r="708" spans="2:17" hidden="1" x14ac:dyDescent="0.4">
      <c r="B708" s="110">
        <v>44629</v>
      </c>
      <c r="C708" s="122">
        <f t="shared" si="178"/>
        <v>3000000</v>
      </c>
      <c r="D708" s="111">
        <f t="shared" si="179"/>
        <v>2252</v>
      </c>
      <c r="E708" s="2">
        <f t="shared" si="180"/>
        <v>1900</v>
      </c>
      <c r="F708" s="112">
        <f t="shared" si="174"/>
        <v>17000000</v>
      </c>
      <c r="G708" s="2">
        <f t="shared" si="181"/>
        <v>665465</v>
      </c>
      <c r="H708" s="113">
        <f t="shared" si="182"/>
        <v>0</v>
      </c>
      <c r="I708" s="121">
        <f t="shared" si="175"/>
        <v>2334887</v>
      </c>
      <c r="K708" s="123">
        <f t="shared" si="183"/>
        <v>3000000</v>
      </c>
      <c r="L708" s="111">
        <f t="shared" si="184"/>
        <v>2252</v>
      </c>
      <c r="M708" s="2">
        <f t="shared" si="185"/>
        <v>1900</v>
      </c>
      <c r="N708" s="112">
        <f t="shared" si="176"/>
        <v>17000000</v>
      </c>
      <c r="O708" s="2">
        <f t="shared" si="186"/>
        <v>665465</v>
      </c>
      <c r="P708" s="113">
        <f t="shared" si="187"/>
        <v>0</v>
      </c>
      <c r="Q708" s="121">
        <f t="shared" si="177"/>
        <v>2334887</v>
      </c>
    </row>
    <row r="709" spans="2:17" hidden="1" x14ac:dyDescent="0.4">
      <c r="B709" s="110">
        <v>44630</v>
      </c>
      <c r="C709" s="122">
        <f t="shared" si="178"/>
        <v>3000000</v>
      </c>
      <c r="D709" s="111">
        <f t="shared" si="179"/>
        <v>2252</v>
      </c>
      <c r="E709" s="2">
        <f t="shared" si="180"/>
        <v>1900</v>
      </c>
      <c r="F709" s="112">
        <f t="shared" si="174"/>
        <v>17000000</v>
      </c>
      <c r="G709" s="2">
        <f t="shared" si="181"/>
        <v>665465</v>
      </c>
      <c r="H709" s="113">
        <f t="shared" si="182"/>
        <v>0</v>
      </c>
      <c r="I709" s="121">
        <f t="shared" si="175"/>
        <v>2334887</v>
      </c>
      <c r="K709" s="123">
        <f t="shared" si="183"/>
        <v>3000000</v>
      </c>
      <c r="L709" s="111">
        <f t="shared" si="184"/>
        <v>2252</v>
      </c>
      <c r="M709" s="2">
        <f t="shared" si="185"/>
        <v>1900</v>
      </c>
      <c r="N709" s="112">
        <f t="shared" si="176"/>
        <v>17000000</v>
      </c>
      <c r="O709" s="2">
        <f t="shared" si="186"/>
        <v>665465</v>
      </c>
      <c r="P709" s="113">
        <f t="shared" si="187"/>
        <v>0</v>
      </c>
      <c r="Q709" s="121">
        <f t="shared" si="177"/>
        <v>2334887</v>
      </c>
    </row>
    <row r="710" spans="2:17" hidden="1" x14ac:dyDescent="0.4">
      <c r="B710" s="110">
        <v>44631</v>
      </c>
      <c r="C710" s="122">
        <f t="shared" si="178"/>
        <v>3000000</v>
      </c>
      <c r="D710" s="111">
        <f t="shared" si="179"/>
        <v>2252</v>
      </c>
      <c r="E710" s="2">
        <f t="shared" si="180"/>
        <v>2250</v>
      </c>
      <c r="F710" s="112">
        <f t="shared" si="174"/>
        <v>17000000</v>
      </c>
      <c r="G710" s="2">
        <f t="shared" si="181"/>
        <v>855065</v>
      </c>
      <c r="H710" s="113">
        <f t="shared" si="182"/>
        <v>0</v>
      </c>
      <c r="I710" s="121">
        <f t="shared" si="175"/>
        <v>2144937</v>
      </c>
      <c r="K710" s="123">
        <f t="shared" si="183"/>
        <v>3000000</v>
      </c>
      <c r="L710" s="111">
        <f t="shared" si="184"/>
        <v>2252</v>
      </c>
      <c r="M710" s="2">
        <f t="shared" si="185"/>
        <v>2250</v>
      </c>
      <c r="N710" s="112">
        <f t="shared" si="176"/>
        <v>17000000</v>
      </c>
      <c r="O710" s="2">
        <f t="shared" si="186"/>
        <v>855065</v>
      </c>
      <c r="P710" s="113">
        <f t="shared" si="187"/>
        <v>0</v>
      </c>
      <c r="Q710" s="121">
        <f t="shared" si="177"/>
        <v>2144937</v>
      </c>
    </row>
    <row r="711" spans="2:17" hidden="1" x14ac:dyDescent="0.4">
      <c r="B711" s="110">
        <v>44632</v>
      </c>
      <c r="C711" s="122">
        <f t="shared" si="178"/>
        <v>3000000</v>
      </c>
      <c r="D711" s="111">
        <f t="shared" si="179"/>
        <v>2252</v>
      </c>
      <c r="E711" s="2">
        <f t="shared" si="180"/>
        <v>2250</v>
      </c>
      <c r="F711" s="112">
        <f t="shared" si="174"/>
        <v>17000000</v>
      </c>
      <c r="G711" s="2">
        <f t="shared" si="181"/>
        <v>855065</v>
      </c>
      <c r="H711" s="113">
        <f t="shared" si="182"/>
        <v>0</v>
      </c>
      <c r="I711" s="121">
        <f t="shared" si="175"/>
        <v>2144937</v>
      </c>
      <c r="K711" s="123">
        <f t="shared" si="183"/>
        <v>3000000</v>
      </c>
      <c r="L711" s="111">
        <f t="shared" si="184"/>
        <v>2252</v>
      </c>
      <c r="M711" s="2">
        <f t="shared" si="185"/>
        <v>2250</v>
      </c>
      <c r="N711" s="112">
        <f t="shared" si="176"/>
        <v>17000000</v>
      </c>
      <c r="O711" s="2">
        <f t="shared" si="186"/>
        <v>855065</v>
      </c>
      <c r="P711" s="113">
        <f t="shared" si="187"/>
        <v>0</v>
      </c>
      <c r="Q711" s="121">
        <f t="shared" si="177"/>
        <v>2144937</v>
      </c>
    </row>
    <row r="712" spans="2:17" hidden="1" x14ac:dyDescent="0.4">
      <c r="B712" s="110">
        <v>44633</v>
      </c>
      <c r="C712" s="122">
        <f t="shared" si="178"/>
        <v>3000000</v>
      </c>
      <c r="D712" s="111">
        <f t="shared" si="179"/>
        <v>2252</v>
      </c>
      <c r="E712" s="2">
        <f t="shared" si="180"/>
        <v>2250</v>
      </c>
      <c r="F712" s="112">
        <f t="shared" si="174"/>
        <v>17000000</v>
      </c>
      <c r="G712" s="2">
        <f t="shared" si="181"/>
        <v>855065</v>
      </c>
      <c r="H712" s="113">
        <f t="shared" si="182"/>
        <v>0</v>
      </c>
      <c r="I712" s="121">
        <f t="shared" si="175"/>
        <v>2144937</v>
      </c>
      <c r="K712" s="123">
        <f t="shared" si="183"/>
        <v>3000000</v>
      </c>
      <c r="L712" s="111">
        <f t="shared" si="184"/>
        <v>2252</v>
      </c>
      <c r="M712" s="2">
        <f t="shared" si="185"/>
        <v>2250</v>
      </c>
      <c r="N712" s="112">
        <f t="shared" si="176"/>
        <v>17000000</v>
      </c>
      <c r="O712" s="2">
        <f t="shared" si="186"/>
        <v>855065</v>
      </c>
      <c r="P712" s="113">
        <f t="shared" si="187"/>
        <v>0</v>
      </c>
      <c r="Q712" s="121">
        <f t="shared" si="177"/>
        <v>2144937</v>
      </c>
    </row>
    <row r="713" spans="2:17" hidden="1" x14ac:dyDescent="0.4">
      <c r="B713" s="110">
        <v>44634</v>
      </c>
      <c r="C713" s="122">
        <f t="shared" si="178"/>
        <v>3000000</v>
      </c>
      <c r="D713" s="111">
        <f t="shared" si="179"/>
        <v>2252</v>
      </c>
      <c r="E713" s="2">
        <f t="shared" si="180"/>
        <v>2250</v>
      </c>
      <c r="F713" s="112">
        <f t="shared" si="174"/>
        <v>17000000</v>
      </c>
      <c r="G713" s="2">
        <f t="shared" si="181"/>
        <v>855065</v>
      </c>
      <c r="H713" s="113">
        <f t="shared" si="182"/>
        <v>0</v>
      </c>
      <c r="I713" s="121">
        <f t="shared" si="175"/>
        <v>2144937</v>
      </c>
      <c r="K713" s="123">
        <f t="shared" si="183"/>
        <v>3000000</v>
      </c>
      <c r="L713" s="111">
        <f t="shared" si="184"/>
        <v>2252</v>
      </c>
      <c r="M713" s="2">
        <f t="shared" si="185"/>
        <v>2250</v>
      </c>
      <c r="N713" s="112">
        <f t="shared" si="176"/>
        <v>17000000</v>
      </c>
      <c r="O713" s="2">
        <f t="shared" si="186"/>
        <v>855065</v>
      </c>
      <c r="P713" s="113">
        <f t="shared" si="187"/>
        <v>0</v>
      </c>
      <c r="Q713" s="121">
        <f t="shared" si="177"/>
        <v>2144937</v>
      </c>
    </row>
    <row r="714" spans="2:17" hidden="1" x14ac:dyDescent="0.4">
      <c r="B714" s="110">
        <v>44635</v>
      </c>
      <c r="C714" s="122">
        <f t="shared" si="178"/>
        <v>3000000</v>
      </c>
      <c r="D714" s="111">
        <f t="shared" si="179"/>
        <v>2252</v>
      </c>
      <c r="E714" s="2">
        <f t="shared" si="180"/>
        <v>2250</v>
      </c>
      <c r="F714" s="112">
        <f t="shared" ref="F714:F777" si="188">20000000-C714</f>
        <v>17000000</v>
      </c>
      <c r="G714" s="2">
        <f t="shared" si="181"/>
        <v>855065</v>
      </c>
      <c r="H714" s="113">
        <f t="shared" si="182"/>
        <v>0</v>
      </c>
      <c r="I714" s="121">
        <f t="shared" ref="I714:I777" si="189">C714+D714-G714-E714+H714</f>
        <v>2144937</v>
      </c>
      <c r="K714" s="123">
        <f t="shared" si="183"/>
        <v>3000000</v>
      </c>
      <c r="L714" s="111">
        <f t="shared" si="184"/>
        <v>2252</v>
      </c>
      <c r="M714" s="2">
        <f t="shared" si="185"/>
        <v>2250</v>
      </c>
      <c r="N714" s="112">
        <f t="shared" ref="N714:N777" si="190">20000000-K714</f>
        <v>17000000</v>
      </c>
      <c r="O714" s="2">
        <f t="shared" si="186"/>
        <v>855065</v>
      </c>
      <c r="P714" s="113">
        <f t="shared" si="187"/>
        <v>0</v>
      </c>
      <c r="Q714" s="121">
        <f t="shared" ref="Q714:Q777" si="191">K714+L714-O714-M714+P714</f>
        <v>2144937</v>
      </c>
    </row>
    <row r="715" spans="2:17" hidden="1" x14ac:dyDescent="0.4">
      <c r="B715" s="110">
        <v>44636</v>
      </c>
      <c r="C715" s="122">
        <f t="shared" ref="C715:C778" si="192">SUMIF($B$6:$B$75,$B715,$D$6:$D$75)+C714</f>
        <v>3000000</v>
      </c>
      <c r="D715" s="111">
        <f t="shared" ref="D715:D778" si="193">SUMIF($B$6:$B$75,$B715,$E$6:$E$75)+D714</f>
        <v>2252</v>
      </c>
      <c r="E715" s="2">
        <f t="shared" ref="E715:E778" si="194">SUMIF($G$353:$G$376,$B715,$J$353:$J$376)+SUMIF($E$353:$E$376,$B715,$H$353:$H$376)+SUMIF($G$353:$G$376,$B715,$I$353:$I$376)+E714</f>
        <v>2250</v>
      </c>
      <c r="F715" s="112">
        <f t="shared" si="188"/>
        <v>17000000</v>
      </c>
      <c r="G715" s="2">
        <f t="shared" ref="G715:G778" si="195">SUMIF($E$353:$E$376,$B715,$M$353:$M$376)+G714</f>
        <v>855065</v>
      </c>
      <c r="H715" s="113">
        <f t="shared" ref="H715:H778" si="196">SUMIF($G$353:$G$376,$B715,$N$353:$N$376)+H714</f>
        <v>0</v>
      </c>
      <c r="I715" s="121">
        <f t="shared" si="189"/>
        <v>2144937</v>
      </c>
      <c r="K715" s="123">
        <f t="shared" ref="K715:K778" si="197">SUMIF($B$6:$B$75,$B715,$D$6:$D$75)+K714</f>
        <v>3000000</v>
      </c>
      <c r="L715" s="111">
        <f t="shared" ref="L715:L778" si="198">SUMIF($B$6:$B$75,$B715,$E$6:$E$75)+L714</f>
        <v>2252</v>
      </c>
      <c r="M715" s="2">
        <f t="shared" ref="M715:M778" si="199">SUMIF($G$353:$G$376,$B715,$J$353:$J$376)+SUMIF($E$353:$E$376,$B715,$H$353:$H$376)+SUMIF($G$353:$G$376,$B715,$I$353:$I$376)+M714</f>
        <v>2250</v>
      </c>
      <c r="N715" s="112">
        <f t="shared" si="190"/>
        <v>17000000</v>
      </c>
      <c r="O715" s="2">
        <f t="shared" ref="O715:O778" si="200">SUMIF($E$353:$E$376,$B715,$M$353:$M$376)+O714</f>
        <v>855065</v>
      </c>
      <c r="P715" s="113">
        <f t="shared" ref="P715:P778" si="201">SUMIF($G$353:$G$376,$B715,$N$353:$N$376)+P714</f>
        <v>0</v>
      </c>
      <c r="Q715" s="121">
        <f t="shared" si="191"/>
        <v>2144937</v>
      </c>
    </row>
    <row r="716" spans="2:17" hidden="1" x14ac:dyDescent="0.4">
      <c r="B716" s="110">
        <v>44637</v>
      </c>
      <c r="C716" s="122">
        <f t="shared" si="192"/>
        <v>3000000</v>
      </c>
      <c r="D716" s="111">
        <f t="shared" si="193"/>
        <v>2252</v>
      </c>
      <c r="E716" s="2">
        <f t="shared" si="194"/>
        <v>2250</v>
      </c>
      <c r="F716" s="112">
        <f t="shared" si="188"/>
        <v>17000000</v>
      </c>
      <c r="G716" s="2">
        <f t="shared" si="195"/>
        <v>855065</v>
      </c>
      <c r="H716" s="113">
        <f t="shared" si="196"/>
        <v>0</v>
      </c>
      <c r="I716" s="121">
        <f t="shared" si="189"/>
        <v>2144937</v>
      </c>
      <c r="K716" s="123">
        <f t="shared" si="197"/>
        <v>3000000</v>
      </c>
      <c r="L716" s="111">
        <f t="shared" si="198"/>
        <v>2252</v>
      </c>
      <c r="M716" s="2">
        <f t="shared" si="199"/>
        <v>2250</v>
      </c>
      <c r="N716" s="112">
        <f t="shared" si="190"/>
        <v>17000000</v>
      </c>
      <c r="O716" s="2">
        <f t="shared" si="200"/>
        <v>855065</v>
      </c>
      <c r="P716" s="113">
        <f t="shared" si="201"/>
        <v>0</v>
      </c>
      <c r="Q716" s="121">
        <f t="shared" si="191"/>
        <v>2144937</v>
      </c>
    </row>
    <row r="717" spans="2:17" hidden="1" x14ac:dyDescent="0.4">
      <c r="B717" s="110">
        <v>44638</v>
      </c>
      <c r="C717" s="122">
        <f t="shared" si="192"/>
        <v>3000000</v>
      </c>
      <c r="D717" s="111">
        <f t="shared" si="193"/>
        <v>2252</v>
      </c>
      <c r="E717" s="2">
        <f t="shared" si="194"/>
        <v>2250</v>
      </c>
      <c r="F717" s="112">
        <f t="shared" si="188"/>
        <v>17000000</v>
      </c>
      <c r="G717" s="2">
        <f t="shared" si="195"/>
        <v>855065</v>
      </c>
      <c r="H717" s="113">
        <f t="shared" si="196"/>
        <v>0</v>
      </c>
      <c r="I717" s="121">
        <f t="shared" si="189"/>
        <v>2144937</v>
      </c>
      <c r="K717" s="123">
        <f t="shared" si="197"/>
        <v>3000000</v>
      </c>
      <c r="L717" s="111">
        <f t="shared" si="198"/>
        <v>2252</v>
      </c>
      <c r="M717" s="2">
        <f t="shared" si="199"/>
        <v>2250</v>
      </c>
      <c r="N717" s="112">
        <f t="shared" si="190"/>
        <v>17000000</v>
      </c>
      <c r="O717" s="2">
        <f t="shared" si="200"/>
        <v>855065</v>
      </c>
      <c r="P717" s="113">
        <f t="shared" si="201"/>
        <v>0</v>
      </c>
      <c r="Q717" s="121">
        <f t="shared" si="191"/>
        <v>2144937</v>
      </c>
    </row>
    <row r="718" spans="2:17" hidden="1" x14ac:dyDescent="0.4">
      <c r="B718" s="110">
        <v>44639</v>
      </c>
      <c r="C718" s="122">
        <f t="shared" si="192"/>
        <v>3000000</v>
      </c>
      <c r="D718" s="111">
        <f t="shared" si="193"/>
        <v>2252</v>
      </c>
      <c r="E718" s="2">
        <f t="shared" si="194"/>
        <v>2250</v>
      </c>
      <c r="F718" s="112">
        <f t="shared" si="188"/>
        <v>17000000</v>
      </c>
      <c r="G718" s="2">
        <f t="shared" si="195"/>
        <v>855065</v>
      </c>
      <c r="H718" s="113">
        <f t="shared" si="196"/>
        <v>0</v>
      </c>
      <c r="I718" s="121">
        <f t="shared" si="189"/>
        <v>2144937</v>
      </c>
      <c r="K718" s="123">
        <f t="shared" si="197"/>
        <v>3000000</v>
      </c>
      <c r="L718" s="111">
        <f t="shared" si="198"/>
        <v>2252</v>
      </c>
      <c r="M718" s="2">
        <f t="shared" si="199"/>
        <v>2250</v>
      </c>
      <c r="N718" s="112">
        <f t="shared" si="190"/>
        <v>17000000</v>
      </c>
      <c r="O718" s="2">
        <f t="shared" si="200"/>
        <v>855065</v>
      </c>
      <c r="P718" s="113">
        <f t="shared" si="201"/>
        <v>0</v>
      </c>
      <c r="Q718" s="121">
        <f t="shared" si="191"/>
        <v>2144937</v>
      </c>
    </row>
    <row r="719" spans="2:17" hidden="1" x14ac:dyDescent="0.4">
      <c r="B719" s="110">
        <v>44640</v>
      </c>
      <c r="C719" s="122">
        <f t="shared" si="192"/>
        <v>3000000</v>
      </c>
      <c r="D719" s="111">
        <f t="shared" si="193"/>
        <v>2252</v>
      </c>
      <c r="E719" s="2">
        <f t="shared" si="194"/>
        <v>2250</v>
      </c>
      <c r="F719" s="112">
        <f t="shared" si="188"/>
        <v>17000000</v>
      </c>
      <c r="G719" s="2">
        <f t="shared" si="195"/>
        <v>855065</v>
      </c>
      <c r="H719" s="113">
        <f t="shared" si="196"/>
        <v>0</v>
      </c>
      <c r="I719" s="121">
        <f t="shared" si="189"/>
        <v>2144937</v>
      </c>
      <c r="K719" s="123">
        <f t="shared" si="197"/>
        <v>3000000</v>
      </c>
      <c r="L719" s="111">
        <f t="shared" si="198"/>
        <v>2252</v>
      </c>
      <c r="M719" s="2">
        <f t="shared" si="199"/>
        <v>2250</v>
      </c>
      <c r="N719" s="112">
        <f t="shared" si="190"/>
        <v>17000000</v>
      </c>
      <c r="O719" s="2">
        <f t="shared" si="200"/>
        <v>855065</v>
      </c>
      <c r="P719" s="113">
        <f t="shared" si="201"/>
        <v>0</v>
      </c>
      <c r="Q719" s="121">
        <f t="shared" si="191"/>
        <v>2144937</v>
      </c>
    </row>
    <row r="720" spans="2:17" hidden="1" x14ac:dyDescent="0.4">
      <c r="B720" s="110">
        <v>44641</v>
      </c>
      <c r="C720" s="122">
        <f t="shared" si="192"/>
        <v>3000000</v>
      </c>
      <c r="D720" s="111">
        <f t="shared" si="193"/>
        <v>2252</v>
      </c>
      <c r="E720" s="2">
        <f t="shared" si="194"/>
        <v>2250</v>
      </c>
      <c r="F720" s="112">
        <f t="shared" si="188"/>
        <v>17000000</v>
      </c>
      <c r="G720" s="2">
        <f t="shared" si="195"/>
        <v>855065</v>
      </c>
      <c r="H720" s="113">
        <f t="shared" si="196"/>
        <v>0</v>
      </c>
      <c r="I720" s="121">
        <f t="shared" si="189"/>
        <v>2144937</v>
      </c>
      <c r="K720" s="123">
        <f t="shared" si="197"/>
        <v>3000000</v>
      </c>
      <c r="L720" s="111">
        <f t="shared" si="198"/>
        <v>2252</v>
      </c>
      <c r="M720" s="2">
        <f t="shared" si="199"/>
        <v>2250</v>
      </c>
      <c r="N720" s="112">
        <f t="shared" si="190"/>
        <v>17000000</v>
      </c>
      <c r="O720" s="2">
        <f t="shared" si="200"/>
        <v>855065</v>
      </c>
      <c r="P720" s="113">
        <f t="shared" si="201"/>
        <v>0</v>
      </c>
      <c r="Q720" s="121">
        <f t="shared" si="191"/>
        <v>2144937</v>
      </c>
    </row>
    <row r="721" spans="2:17" hidden="1" x14ac:dyDescent="0.4">
      <c r="B721" s="110">
        <v>44642</v>
      </c>
      <c r="C721" s="122">
        <f t="shared" si="192"/>
        <v>3000000</v>
      </c>
      <c r="D721" s="111">
        <f t="shared" si="193"/>
        <v>2252</v>
      </c>
      <c r="E721" s="2">
        <f t="shared" si="194"/>
        <v>2250</v>
      </c>
      <c r="F721" s="112">
        <f t="shared" si="188"/>
        <v>17000000</v>
      </c>
      <c r="G721" s="2">
        <f t="shared" si="195"/>
        <v>855065</v>
      </c>
      <c r="H721" s="113">
        <f t="shared" si="196"/>
        <v>0</v>
      </c>
      <c r="I721" s="121">
        <f t="shared" si="189"/>
        <v>2144937</v>
      </c>
      <c r="K721" s="123">
        <f t="shared" si="197"/>
        <v>3000000</v>
      </c>
      <c r="L721" s="111">
        <f t="shared" si="198"/>
        <v>2252</v>
      </c>
      <c r="M721" s="2">
        <f t="shared" si="199"/>
        <v>2250</v>
      </c>
      <c r="N721" s="112">
        <f t="shared" si="190"/>
        <v>17000000</v>
      </c>
      <c r="O721" s="2">
        <f t="shared" si="200"/>
        <v>855065</v>
      </c>
      <c r="P721" s="113">
        <f t="shared" si="201"/>
        <v>0</v>
      </c>
      <c r="Q721" s="121">
        <f t="shared" si="191"/>
        <v>2144937</v>
      </c>
    </row>
    <row r="722" spans="2:17" hidden="1" x14ac:dyDescent="0.4">
      <c r="B722" s="110">
        <v>44643</v>
      </c>
      <c r="C722" s="122">
        <f t="shared" si="192"/>
        <v>3000000</v>
      </c>
      <c r="D722" s="111">
        <f t="shared" si="193"/>
        <v>2252</v>
      </c>
      <c r="E722" s="2">
        <f t="shared" si="194"/>
        <v>2250</v>
      </c>
      <c r="F722" s="112">
        <f t="shared" si="188"/>
        <v>17000000</v>
      </c>
      <c r="G722" s="2">
        <f t="shared" si="195"/>
        <v>855065</v>
      </c>
      <c r="H722" s="113">
        <f t="shared" si="196"/>
        <v>0</v>
      </c>
      <c r="I722" s="121">
        <f t="shared" si="189"/>
        <v>2144937</v>
      </c>
      <c r="K722" s="123">
        <f t="shared" si="197"/>
        <v>3000000</v>
      </c>
      <c r="L722" s="111">
        <f t="shared" si="198"/>
        <v>2252</v>
      </c>
      <c r="M722" s="2">
        <f t="shared" si="199"/>
        <v>2250</v>
      </c>
      <c r="N722" s="112">
        <f t="shared" si="190"/>
        <v>17000000</v>
      </c>
      <c r="O722" s="2">
        <f t="shared" si="200"/>
        <v>855065</v>
      </c>
      <c r="P722" s="113">
        <f t="shared" si="201"/>
        <v>0</v>
      </c>
      <c r="Q722" s="121">
        <f t="shared" si="191"/>
        <v>2144937</v>
      </c>
    </row>
    <row r="723" spans="2:17" hidden="1" x14ac:dyDescent="0.4">
      <c r="B723" s="110">
        <v>44644</v>
      </c>
      <c r="C723" s="122">
        <f t="shared" si="192"/>
        <v>3000000</v>
      </c>
      <c r="D723" s="111">
        <f t="shared" si="193"/>
        <v>2252</v>
      </c>
      <c r="E723" s="2">
        <f t="shared" si="194"/>
        <v>2250</v>
      </c>
      <c r="F723" s="112">
        <f t="shared" si="188"/>
        <v>17000000</v>
      </c>
      <c r="G723" s="2">
        <f t="shared" si="195"/>
        <v>855065</v>
      </c>
      <c r="H723" s="113">
        <f t="shared" si="196"/>
        <v>0</v>
      </c>
      <c r="I723" s="121">
        <f t="shared" si="189"/>
        <v>2144937</v>
      </c>
      <c r="K723" s="123">
        <f t="shared" si="197"/>
        <v>3000000</v>
      </c>
      <c r="L723" s="111">
        <f t="shared" si="198"/>
        <v>2252</v>
      </c>
      <c r="M723" s="2">
        <f t="shared" si="199"/>
        <v>2250</v>
      </c>
      <c r="N723" s="112">
        <f t="shared" si="190"/>
        <v>17000000</v>
      </c>
      <c r="O723" s="2">
        <f t="shared" si="200"/>
        <v>855065</v>
      </c>
      <c r="P723" s="113">
        <f t="shared" si="201"/>
        <v>0</v>
      </c>
      <c r="Q723" s="121">
        <f t="shared" si="191"/>
        <v>2144937</v>
      </c>
    </row>
    <row r="724" spans="2:17" hidden="1" x14ac:dyDescent="0.4">
      <c r="B724" s="110">
        <v>44645</v>
      </c>
      <c r="C724" s="122">
        <f t="shared" si="192"/>
        <v>3000000</v>
      </c>
      <c r="D724" s="111">
        <f t="shared" si="193"/>
        <v>2252</v>
      </c>
      <c r="E724" s="2">
        <f t="shared" si="194"/>
        <v>2250</v>
      </c>
      <c r="F724" s="112">
        <f t="shared" si="188"/>
        <v>17000000</v>
      </c>
      <c r="G724" s="2">
        <f t="shared" si="195"/>
        <v>855065</v>
      </c>
      <c r="H724" s="113">
        <f t="shared" si="196"/>
        <v>0</v>
      </c>
      <c r="I724" s="121">
        <f t="shared" si="189"/>
        <v>2144937</v>
      </c>
      <c r="K724" s="123">
        <f t="shared" si="197"/>
        <v>3000000</v>
      </c>
      <c r="L724" s="111">
        <f t="shared" si="198"/>
        <v>2252</v>
      </c>
      <c r="M724" s="2">
        <f t="shared" si="199"/>
        <v>2250</v>
      </c>
      <c r="N724" s="112">
        <f t="shared" si="190"/>
        <v>17000000</v>
      </c>
      <c r="O724" s="2">
        <f t="shared" si="200"/>
        <v>855065</v>
      </c>
      <c r="P724" s="113">
        <f t="shared" si="201"/>
        <v>0</v>
      </c>
      <c r="Q724" s="121">
        <f t="shared" si="191"/>
        <v>2144937</v>
      </c>
    </row>
    <row r="725" spans="2:17" hidden="1" x14ac:dyDescent="0.4">
      <c r="B725" s="110">
        <v>44646</v>
      </c>
      <c r="C725" s="122">
        <f t="shared" si="192"/>
        <v>3000000</v>
      </c>
      <c r="D725" s="111">
        <f t="shared" si="193"/>
        <v>2252</v>
      </c>
      <c r="E725" s="2">
        <f t="shared" si="194"/>
        <v>2250</v>
      </c>
      <c r="F725" s="112">
        <f t="shared" si="188"/>
        <v>17000000</v>
      </c>
      <c r="G725" s="2">
        <f t="shared" si="195"/>
        <v>855065</v>
      </c>
      <c r="H725" s="113">
        <f t="shared" si="196"/>
        <v>0</v>
      </c>
      <c r="I725" s="121">
        <f t="shared" si="189"/>
        <v>2144937</v>
      </c>
      <c r="K725" s="123">
        <f t="shared" si="197"/>
        <v>3000000</v>
      </c>
      <c r="L725" s="111">
        <f t="shared" si="198"/>
        <v>2252</v>
      </c>
      <c r="M725" s="2">
        <f t="shared" si="199"/>
        <v>2250</v>
      </c>
      <c r="N725" s="112">
        <f t="shared" si="190"/>
        <v>17000000</v>
      </c>
      <c r="O725" s="2">
        <f t="shared" si="200"/>
        <v>855065</v>
      </c>
      <c r="P725" s="113">
        <f t="shared" si="201"/>
        <v>0</v>
      </c>
      <c r="Q725" s="121">
        <f t="shared" si="191"/>
        <v>2144937</v>
      </c>
    </row>
    <row r="726" spans="2:17" hidden="1" x14ac:dyDescent="0.4">
      <c r="B726" s="110">
        <v>44647</v>
      </c>
      <c r="C726" s="122">
        <f t="shared" si="192"/>
        <v>3000000</v>
      </c>
      <c r="D726" s="111">
        <f t="shared" si="193"/>
        <v>2252</v>
      </c>
      <c r="E726" s="2">
        <f t="shared" si="194"/>
        <v>2250</v>
      </c>
      <c r="F726" s="112">
        <f t="shared" si="188"/>
        <v>17000000</v>
      </c>
      <c r="G726" s="2">
        <f t="shared" si="195"/>
        <v>855065</v>
      </c>
      <c r="H726" s="113">
        <f t="shared" si="196"/>
        <v>0</v>
      </c>
      <c r="I726" s="121">
        <f t="shared" si="189"/>
        <v>2144937</v>
      </c>
      <c r="K726" s="123">
        <f t="shared" si="197"/>
        <v>3000000</v>
      </c>
      <c r="L726" s="111">
        <f t="shared" si="198"/>
        <v>2252</v>
      </c>
      <c r="M726" s="2">
        <f t="shared" si="199"/>
        <v>2250</v>
      </c>
      <c r="N726" s="112">
        <f t="shared" si="190"/>
        <v>17000000</v>
      </c>
      <c r="O726" s="2">
        <f t="shared" si="200"/>
        <v>855065</v>
      </c>
      <c r="P726" s="113">
        <f t="shared" si="201"/>
        <v>0</v>
      </c>
      <c r="Q726" s="121">
        <f t="shared" si="191"/>
        <v>2144937</v>
      </c>
    </row>
    <row r="727" spans="2:17" hidden="1" x14ac:dyDescent="0.4">
      <c r="B727" s="110">
        <v>44648</v>
      </c>
      <c r="C727" s="122">
        <f t="shared" si="192"/>
        <v>3000000</v>
      </c>
      <c r="D727" s="111">
        <f t="shared" si="193"/>
        <v>2252</v>
      </c>
      <c r="E727" s="2">
        <f t="shared" si="194"/>
        <v>2250</v>
      </c>
      <c r="F727" s="112">
        <f t="shared" si="188"/>
        <v>17000000</v>
      </c>
      <c r="G727" s="2">
        <f t="shared" si="195"/>
        <v>855065</v>
      </c>
      <c r="H727" s="113">
        <f t="shared" si="196"/>
        <v>0</v>
      </c>
      <c r="I727" s="121">
        <f t="shared" si="189"/>
        <v>2144937</v>
      </c>
      <c r="K727" s="123">
        <f t="shared" si="197"/>
        <v>3000000</v>
      </c>
      <c r="L727" s="111">
        <f t="shared" si="198"/>
        <v>2252</v>
      </c>
      <c r="M727" s="2">
        <f t="shared" si="199"/>
        <v>2250</v>
      </c>
      <c r="N727" s="112">
        <f t="shared" si="190"/>
        <v>17000000</v>
      </c>
      <c r="O727" s="2">
        <f t="shared" si="200"/>
        <v>855065</v>
      </c>
      <c r="P727" s="113">
        <f t="shared" si="201"/>
        <v>0</v>
      </c>
      <c r="Q727" s="121">
        <f t="shared" si="191"/>
        <v>2144937</v>
      </c>
    </row>
    <row r="728" spans="2:17" hidden="1" x14ac:dyDescent="0.4">
      <c r="B728" s="110">
        <v>44649</v>
      </c>
      <c r="C728" s="122">
        <f t="shared" si="192"/>
        <v>3000000</v>
      </c>
      <c r="D728" s="111">
        <f t="shared" si="193"/>
        <v>2252</v>
      </c>
      <c r="E728" s="2">
        <f t="shared" si="194"/>
        <v>2250</v>
      </c>
      <c r="F728" s="112">
        <f t="shared" si="188"/>
        <v>17000000</v>
      </c>
      <c r="G728" s="2">
        <f t="shared" si="195"/>
        <v>855065</v>
      </c>
      <c r="H728" s="113">
        <f t="shared" si="196"/>
        <v>0</v>
      </c>
      <c r="I728" s="121">
        <f t="shared" si="189"/>
        <v>2144937</v>
      </c>
      <c r="K728" s="123">
        <f t="shared" si="197"/>
        <v>3000000</v>
      </c>
      <c r="L728" s="111">
        <f t="shared" si="198"/>
        <v>2252</v>
      </c>
      <c r="M728" s="2">
        <f t="shared" si="199"/>
        <v>2250</v>
      </c>
      <c r="N728" s="112">
        <f t="shared" si="190"/>
        <v>17000000</v>
      </c>
      <c r="O728" s="2">
        <f t="shared" si="200"/>
        <v>855065</v>
      </c>
      <c r="P728" s="113">
        <f t="shared" si="201"/>
        <v>0</v>
      </c>
      <c r="Q728" s="121">
        <f t="shared" si="191"/>
        <v>2144937</v>
      </c>
    </row>
    <row r="729" spans="2:17" hidden="1" x14ac:dyDescent="0.4">
      <c r="B729" s="110">
        <v>44650</v>
      </c>
      <c r="C729" s="122">
        <f t="shared" si="192"/>
        <v>3000000</v>
      </c>
      <c r="D729" s="111">
        <f t="shared" si="193"/>
        <v>2252</v>
      </c>
      <c r="E729" s="2">
        <f t="shared" si="194"/>
        <v>2250</v>
      </c>
      <c r="F729" s="112">
        <f t="shared" si="188"/>
        <v>17000000</v>
      </c>
      <c r="G729" s="2">
        <f t="shared" si="195"/>
        <v>855065</v>
      </c>
      <c r="H729" s="113">
        <f t="shared" si="196"/>
        <v>0</v>
      </c>
      <c r="I729" s="121">
        <f t="shared" si="189"/>
        <v>2144937</v>
      </c>
      <c r="K729" s="123">
        <f t="shared" si="197"/>
        <v>3000000</v>
      </c>
      <c r="L729" s="111">
        <f t="shared" si="198"/>
        <v>2252</v>
      </c>
      <c r="M729" s="2">
        <f t="shared" si="199"/>
        <v>2250</v>
      </c>
      <c r="N729" s="112">
        <f t="shared" si="190"/>
        <v>17000000</v>
      </c>
      <c r="O729" s="2">
        <f t="shared" si="200"/>
        <v>855065</v>
      </c>
      <c r="P729" s="113">
        <f t="shared" si="201"/>
        <v>0</v>
      </c>
      <c r="Q729" s="121">
        <f t="shared" si="191"/>
        <v>2144937</v>
      </c>
    </row>
    <row r="730" spans="2:17" hidden="1" x14ac:dyDescent="0.4">
      <c r="B730" s="110">
        <v>44651</v>
      </c>
      <c r="C730" s="122">
        <f t="shared" si="192"/>
        <v>3000000</v>
      </c>
      <c r="D730" s="111">
        <f t="shared" si="193"/>
        <v>2252</v>
      </c>
      <c r="E730" s="2">
        <f t="shared" si="194"/>
        <v>2250</v>
      </c>
      <c r="F730" s="112">
        <f t="shared" si="188"/>
        <v>17000000</v>
      </c>
      <c r="G730" s="2">
        <f t="shared" si="195"/>
        <v>855065</v>
      </c>
      <c r="H730" s="113">
        <f t="shared" si="196"/>
        <v>0</v>
      </c>
      <c r="I730" s="121">
        <f t="shared" si="189"/>
        <v>2144937</v>
      </c>
      <c r="K730" s="123">
        <f t="shared" si="197"/>
        <v>3000000</v>
      </c>
      <c r="L730" s="111">
        <f t="shared" si="198"/>
        <v>2252</v>
      </c>
      <c r="M730" s="2">
        <f t="shared" si="199"/>
        <v>2250</v>
      </c>
      <c r="N730" s="112">
        <f t="shared" si="190"/>
        <v>17000000</v>
      </c>
      <c r="O730" s="2">
        <f t="shared" si="200"/>
        <v>855065</v>
      </c>
      <c r="P730" s="113">
        <f t="shared" si="201"/>
        <v>0</v>
      </c>
      <c r="Q730" s="121">
        <f t="shared" si="191"/>
        <v>2144937</v>
      </c>
    </row>
    <row r="731" spans="2:17" x14ac:dyDescent="0.4">
      <c r="B731" s="110">
        <v>44652</v>
      </c>
      <c r="C731" s="122">
        <f t="shared" si="192"/>
        <v>3000000</v>
      </c>
      <c r="D731" s="111">
        <f t="shared" si="193"/>
        <v>2252</v>
      </c>
      <c r="E731" s="2">
        <f t="shared" si="194"/>
        <v>2250</v>
      </c>
      <c r="F731" s="112">
        <f t="shared" si="188"/>
        <v>17000000</v>
      </c>
      <c r="G731" s="2">
        <f t="shared" si="195"/>
        <v>855065</v>
      </c>
      <c r="H731" s="113">
        <f t="shared" si="196"/>
        <v>0</v>
      </c>
      <c r="I731" s="121">
        <f t="shared" si="189"/>
        <v>2144937</v>
      </c>
      <c r="K731" s="123">
        <f t="shared" si="197"/>
        <v>3000000</v>
      </c>
      <c r="L731" s="111">
        <f t="shared" si="198"/>
        <v>2252</v>
      </c>
      <c r="M731" s="2">
        <f t="shared" si="199"/>
        <v>2250</v>
      </c>
      <c r="N731" s="112">
        <f t="shared" si="190"/>
        <v>17000000</v>
      </c>
      <c r="O731" s="2">
        <f t="shared" si="200"/>
        <v>855065</v>
      </c>
      <c r="P731" s="113">
        <f t="shared" si="201"/>
        <v>0</v>
      </c>
      <c r="Q731" s="121">
        <f t="shared" si="191"/>
        <v>2144937</v>
      </c>
    </row>
    <row r="732" spans="2:17" hidden="1" x14ac:dyDescent="0.4">
      <c r="B732" s="110">
        <v>44653</v>
      </c>
      <c r="C732" s="122">
        <f t="shared" si="192"/>
        <v>3000000</v>
      </c>
      <c r="D732" s="111">
        <f t="shared" si="193"/>
        <v>2252</v>
      </c>
      <c r="E732" s="2">
        <f t="shared" si="194"/>
        <v>2250</v>
      </c>
      <c r="F732" s="112">
        <f t="shared" si="188"/>
        <v>17000000</v>
      </c>
      <c r="G732" s="2">
        <f t="shared" si="195"/>
        <v>855065</v>
      </c>
      <c r="H732" s="113">
        <f t="shared" si="196"/>
        <v>0</v>
      </c>
      <c r="I732" s="121">
        <f t="shared" si="189"/>
        <v>2144937</v>
      </c>
      <c r="K732" s="123">
        <f t="shared" si="197"/>
        <v>3000000</v>
      </c>
      <c r="L732" s="111">
        <f t="shared" si="198"/>
        <v>2252</v>
      </c>
      <c r="M732" s="2">
        <f t="shared" si="199"/>
        <v>2250</v>
      </c>
      <c r="N732" s="112">
        <f t="shared" si="190"/>
        <v>17000000</v>
      </c>
      <c r="O732" s="2">
        <f t="shared" si="200"/>
        <v>855065</v>
      </c>
      <c r="P732" s="113">
        <f t="shared" si="201"/>
        <v>0</v>
      </c>
      <c r="Q732" s="121">
        <f t="shared" si="191"/>
        <v>2144937</v>
      </c>
    </row>
    <row r="733" spans="2:17" hidden="1" x14ac:dyDescent="0.4">
      <c r="B733" s="110">
        <v>44654</v>
      </c>
      <c r="C733" s="122">
        <f t="shared" si="192"/>
        <v>3000000</v>
      </c>
      <c r="D733" s="111">
        <f t="shared" si="193"/>
        <v>2252</v>
      </c>
      <c r="E733" s="2">
        <f t="shared" si="194"/>
        <v>2250</v>
      </c>
      <c r="F733" s="112">
        <f t="shared" si="188"/>
        <v>17000000</v>
      </c>
      <c r="G733" s="2">
        <f t="shared" si="195"/>
        <v>855065</v>
      </c>
      <c r="H733" s="113">
        <f t="shared" si="196"/>
        <v>0</v>
      </c>
      <c r="I733" s="121">
        <f t="shared" si="189"/>
        <v>2144937</v>
      </c>
      <c r="K733" s="123">
        <f t="shared" si="197"/>
        <v>3000000</v>
      </c>
      <c r="L733" s="111">
        <f t="shared" si="198"/>
        <v>2252</v>
      </c>
      <c r="M733" s="2">
        <f t="shared" si="199"/>
        <v>2250</v>
      </c>
      <c r="N733" s="112">
        <f t="shared" si="190"/>
        <v>17000000</v>
      </c>
      <c r="O733" s="2">
        <f t="shared" si="200"/>
        <v>855065</v>
      </c>
      <c r="P733" s="113">
        <f t="shared" si="201"/>
        <v>0</v>
      </c>
      <c r="Q733" s="121">
        <f t="shared" si="191"/>
        <v>2144937</v>
      </c>
    </row>
    <row r="734" spans="2:17" hidden="1" x14ac:dyDescent="0.4">
      <c r="B734" s="110">
        <v>44655</v>
      </c>
      <c r="C734" s="122">
        <f t="shared" si="192"/>
        <v>3000000</v>
      </c>
      <c r="D734" s="111">
        <f t="shared" si="193"/>
        <v>2252</v>
      </c>
      <c r="E734" s="2">
        <f t="shared" si="194"/>
        <v>2250</v>
      </c>
      <c r="F734" s="112">
        <f t="shared" si="188"/>
        <v>17000000</v>
      </c>
      <c r="G734" s="2">
        <f t="shared" si="195"/>
        <v>855065</v>
      </c>
      <c r="H734" s="113">
        <f t="shared" si="196"/>
        <v>0</v>
      </c>
      <c r="I734" s="121">
        <f t="shared" si="189"/>
        <v>2144937</v>
      </c>
      <c r="K734" s="123">
        <f t="shared" si="197"/>
        <v>3000000</v>
      </c>
      <c r="L734" s="111">
        <f t="shared" si="198"/>
        <v>2252</v>
      </c>
      <c r="M734" s="2">
        <f t="shared" si="199"/>
        <v>2250</v>
      </c>
      <c r="N734" s="112">
        <f t="shared" si="190"/>
        <v>17000000</v>
      </c>
      <c r="O734" s="2">
        <f t="shared" si="200"/>
        <v>855065</v>
      </c>
      <c r="P734" s="113">
        <f t="shared" si="201"/>
        <v>0</v>
      </c>
      <c r="Q734" s="121">
        <f t="shared" si="191"/>
        <v>2144937</v>
      </c>
    </row>
    <row r="735" spans="2:17" hidden="1" x14ac:dyDescent="0.4">
      <c r="B735" s="110">
        <v>44656</v>
      </c>
      <c r="C735" s="122">
        <f t="shared" si="192"/>
        <v>3000000</v>
      </c>
      <c r="D735" s="111">
        <f t="shared" si="193"/>
        <v>2252</v>
      </c>
      <c r="E735" s="2">
        <f t="shared" si="194"/>
        <v>2250</v>
      </c>
      <c r="F735" s="112">
        <f t="shared" si="188"/>
        <v>17000000</v>
      </c>
      <c r="G735" s="2">
        <f t="shared" si="195"/>
        <v>855065</v>
      </c>
      <c r="H735" s="113">
        <f t="shared" si="196"/>
        <v>0</v>
      </c>
      <c r="I735" s="121">
        <f t="shared" si="189"/>
        <v>2144937</v>
      </c>
      <c r="K735" s="123">
        <f t="shared" si="197"/>
        <v>3000000</v>
      </c>
      <c r="L735" s="111">
        <f t="shared" si="198"/>
        <v>2252</v>
      </c>
      <c r="M735" s="2">
        <f t="shared" si="199"/>
        <v>2250</v>
      </c>
      <c r="N735" s="112">
        <f t="shared" si="190"/>
        <v>17000000</v>
      </c>
      <c r="O735" s="2">
        <f t="shared" si="200"/>
        <v>855065</v>
      </c>
      <c r="P735" s="113">
        <f t="shared" si="201"/>
        <v>0</v>
      </c>
      <c r="Q735" s="121">
        <f t="shared" si="191"/>
        <v>2144937</v>
      </c>
    </row>
    <row r="736" spans="2:17" hidden="1" x14ac:dyDescent="0.4">
      <c r="B736" s="110">
        <v>44657</v>
      </c>
      <c r="C736" s="122">
        <f t="shared" si="192"/>
        <v>3000000</v>
      </c>
      <c r="D736" s="111">
        <f t="shared" si="193"/>
        <v>2252</v>
      </c>
      <c r="E736" s="2">
        <f t="shared" si="194"/>
        <v>2250</v>
      </c>
      <c r="F736" s="112">
        <f t="shared" si="188"/>
        <v>17000000</v>
      </c>
      <c r="G736" s="2">
        <f t="shared" si="195"/>
        <v>855065</v>
      </c>
      <c r="H736" s="113">
        <f t="shared" si="196"/>
        <v>0</v>
      </c>
      <c r="I736" s="121">
        <f t="shared" si="189"/>
        <v>2144937</v>
      </c>
      <c r="K736" s="123">
        <f t="shared" si="197"/>
        <v>3000000</v>
      </c>
      <c r="L736" s="111">
        <f t="shared" si="198"/>
        <v>2252</v>
      </c>
      <c r="M736" s="2">
        <f t="shared" si="199"/>
        <v>2250</v>
      </c>
      <c r="N736" s="112">
        <f t="shared" si="190"/>
        <v>17000000</v>
      </c>
      <c r="O736" s="2">
        <f t="shared" si="200"/>
        <v>855065</v>
      </c>
      <c r="P736" s="113">
        <f t="shared" si="201"/>
        <v>0</v>
      </c>
      <c r="Q736" s="121">
        <f t="shared" si="191"/>
        <v>2144937</v>
      </c>
    </row>
    <row r="737" spans="2:17" hidden="1" x14ac:dyDescent="0.4">
      <c r="B737" s="110">
        <v>44658</v>
      </c>
      <c r="C737" s="122">
        <f t="shared" si="192"/>
        <v>3000000</v>
      </c>
      <c r="D737" s="111">
        <f t="shared" si="193"/>
        <v>2252</v>
      </c>
      <c r="E737" s="2">
        <f t="shared" si="194"/>
        <v>2250</v>
      </c>
      <c r="F737" s="112">
        <f t="shared" si="188"/>
        <v>17000000</v>
      </c>
      <c r="G737" s="2">
        <f t="shared" si="195"/>
        <v>855065</v>
      </c>
      <c r="H737" s="113">
        <f t="shared" si="196"/>
        <v>0</v>
      </c>
      <c r="I737" s="121">
        <f t="shared" si="189"/>
        <v>2144937</v>
      </c>
      <c r="K737" s="123">
        <f t="shared" si="197"/>
        <v>3000000</v>
      </c>
      <c r="L737" s="111">
        <f t="shared" si="198"/>
        <v>2252</v>
      </c>
      <c r="M737" s="2">
        <f t="shared" si="199"/>
        <v>2250</v>
      </c>
      <c r="N737" s="112">
        <f t="shared" si="190"/>
        <v>17000000</v>
      </c>
      <c r="O737" s="2">
        <f t="shared" si="200"/>
        <v>855065</v>
      </c>
      <c r="P737" s="113">
        <f t="shared" si="201"/>
        <v>0</v>
      </c>
      <c r="Q737" s="121">
        <f t="shared" si="191"/>
        <v>2144937</v>
      </c>
    </row>
    <row r="738" spans="2:17" hidden="1" x14ac:dyDescent="0.4">
      <c r="B738" s="110">
        <v>44659</v>
      </c>
      <c r="C738" s="122">
        <f t="shared" si="192"/>
        <v>3000000</v>
      </c>
      <c r="D738" s="111">
        <f t="shared" si="193"/>
        <v>2252</v>
      </c>
      <c r="E738" s="2">
        <f t="shared" si="194"/>
        <v>2250</v>
      </c>
      <c r="F738" s="112">
        <f t="shared" si="188"/>
        <v>17000000</v>
      </c>
      <c r="G738" s="2">
        <f t="shared" si="195"/>
        <v>855065</v>
      </c>
      <c r="H738" s="113">
        <f t="shared" si="196"/>
        <v>0</v>
      </c>
      <c r="I738" s="121">
        <f t="shared" si="189"/>
        <v>2144937</v>
      </c>
      <c r="K738" s="123">
        <f t="shared" si="197"/>
        <v>3000000</v>
      </c>
      <c r="L738" s="111">
        <f t="shared" si="198"/>
        <v>2252</v>
      </c>
      <c r="M738" s="2">
        <f t="shared" si="199"/>
        <v>2250</v>
      </c>
      <c r="N738" s="112">
        <f t="shared" si="190"/>
        <v>17000000</v>
      </c>
      <c r="O738" s="2">
        <f t="shared" si="200"/>
        <v>855065</v>
      </c>
      <c r="P738" s="113">
        <f t="shared" si="201"/>
        <v>0</v>
      </c>
      <c r="Q738" s="121">
        <f t="shared" si="191"/>
        <v>2144937</v>
      </c>
    </row>
    <row r="739" spans="2:17" hidden="1" x14ac:dyDescent="0.4">
      <c r="B739" s="110">
        <v>44660</v>
      </c>
      <c r="C739" s="122">
        <f t="shared" si="192"/>
        <v>3000000</v>
      </c>
      <c r="D739" s="111">
        <f t="shared" si="193"/>
        <v>2252</v>
      </c>
      <c r="E739" s="2">
        <f t="shared" si="194"/>
        <v>2250</v>
      </c>
      <c r="F739" s="112">
        <f t="shared" si="188"/>
        <v>17000000</v>
      </c>
      <c r="G739" s="2">
        <f t="shared" si="195"/>
        <v>855065</v>
      </c>
      <c r="H739" s="113">
        <f t="shared" si="196"/>
        <v>0</v>
      </c>
      <c r="I739" s="121">
        <f t="shared" si="189"/>
        <v>2144937</v>
      </c>
      <c r="K739" s="123">
        <f t="shared" si="197"/>
        <v>3000000</v>
      </c>
      <c r="L739" s="111">
        <f t="shared" si="198"/>
        <v>2252</v>
      </c>
      <c r="M739" s="2">
        <f t="shared" si="199"/>
        <v>2250</v>
      </c>
      <c r="N739" s="112">
        <f t="shared" si="190"/>
        <v>17000000</v>
      </c>
      <c r="O739" s="2">
        <f t="shared" si="200"/>
        <v>855065</v>
      </c>
      <c r="P739" s="113">
        <f t="shared" si="201"/>
        <v>0</v>
      </c>
      <c r="Q739" s="121">
        <f t="shared" si="191"/>
        <v>2144937</v>
      </c>
    </row>
    <row r="740" spans="2:17" hidden="1" x14ac:dyDescent="0.4">
      <c r="B740" s="110">
        <v>44661</v>
      </c>
      <c r="C740" s="122">
        <f t="shared" si="192"/>
        <v>3000000</v>
      </c>
      <c r="D740" s="111">
        <f t="shared" si="193"/>
        <v>2252</v>
      </c>
      <c r="E740" s="2">
        <f t="shared" si="194"/>
        <v>2250</v>
      </c>
      <c r="F740" s="112">
        <f t="shared" si="188"/>
        <v>17000000</v>
      </c>
      <c r="G740" s="2">
        <f t="shared" si="195"/>
        <v>855065</v>
      </c>
      <c r="H740" s="113">
        <f t="shared" si="196"/>
        <v>0</v>
      </c>
      <c r="I740" s="121">
        <f t="shared" si="189"/>
        <v>2144937</v>
      </c>
      <c r="K740" s="123">
        <f t="shared" si="197"/>
        <v>3000000</v>
      </c>
      <c r="L740" s="111">
        <f t="shared" si="198"/>
        <v>2252</v>
      </c>
      <c r="M740" s="2">
        <f t="shared" si="199"/>
        <v>2250</v>
      </c>
      <c r="N740" s="112">
        <f t="shared" si="190"/>
        <v>17000000</v>
      </c>
      <c r="O740" s="2">
        <f t="shared" si="200"/>
        <v>855065</v>
      </c>
      <c r="P740" s="113">
        <f t="shared" si="201"/>
        <v>0</v>
      </c>
      <c r="Q740" s="121">
        <f t="shared" si="191"/>
        <v>2144937</v>
      </c>
    </row>
    <row r="741" spans="2:17" hidden="1" x14ac:dyDescent="0.4">
      <c r="B741" s="110">
        <v>44662</v>
      </c>
      <c r="C741" s="122">
        <f t="shared" si="192"/>
        <v>3000000</v>
      </c>
      <c r="D741" s="111">
        <f t="shared" si="193"/>
        <v>2252</v>
      </c>
      <c r="E741" s="2">
        <f t="shared" si="194"/>
        <v>2250</v>
      </c>
      <c r="F741" s="112">
        <f t="shared" si="188"/>
        <v>17000000</v>
      </c>
      <c r="G741" s="2">
        <f t="shared" si="195"/>
        <v>855065</v>
      </c>
      <c r="H741" s="113">
        <f t="shared" si="196"/>
        <v>0</v>
      </c>
      <c r="I741" s="121">
        <f t="shared" si="189"/>
        <v>2144937</v>
      </c>
      <c r="K741" s="123">
        <f t="shared" si="197"/>
        <v>3000000</v>
      </c>
      <c r="L741" s="111">
        <f t="shared" si="198"/>
        <v>2252</v>
      </c>
      <c r="M741" s="2">
        <f t="shared" si="199"/>
        <v>2250</v>
      </c>
      <c r="N741" s="112">
        <f t="shared" si="190"/>
        <v>17000000</v>
      </c>
      <c r="O741" s="2">
        <f t="shared" si="200"/>
        <v>855065</v>
      </c>
      <c r="P741" s="113">
        <f t="shared" si="201"/>
        <v>0</v>
      </c>
      <c r="Q741" s="121">
        <f t="shared" si="191"/>
        <v>2144937</v>
      </c>
    </row>
    <row r="742" spans="2:17" hidden="1" x14ac:dyDescent="0.4">
      <c r="B742" s="110">
        <v>44663</v>
      </c>
      <c r="C742" s="122">
        <f t="shared" si="192"/>
        <v>3000000</v>
      </c>
      <c r="D742" s="111">
        <f t="shared" si="193"/>
        <v>2252</v>
      </c>
      <c r="E742" s="2">
        <f t="shared" si="194"/>
        <v>2250</v>
      </c>
      <c r="F742" s="112">
        <f t="shared" si="188"/>
        <v>17000000</v>
      </c>
      <c r="G742" s="2">
        <f t="shared" si="195"/>
        <v>855065</v>
      </c>
      <c r="H742" s="113">
        <f t="shared" si="196"/>
        <v>0</v>
      </c>
      <c r="I742" s="121">
        <f t="shared" si="189"/>
        <v>2144937</v>
      </c>
      <c r="K742" s="123">
        <f t="shared" si="197"/>
        <v>3000000</v>
      </c>
      <c r="L742" s="111">
        <f t="shared" si="198"/>
        <v>2252</v>
      </c>
      <c r="M742" s="2">
        <f t="shared" si="199"/>
        <v>2250</v>
      </c>
      <c r="N742" s="112">
        <f t="shared" si="190"/>
        <v>17000000</v>
      </c>
      <c r="O742" s="2">
        <f t="shared" si="200"/>
        <v>855065</v>
      </c>
      <c r="P742" s="113">
        <f t="shared" si="201"/>
        <v>0</v>
      </c>
      <c r="Q742" s="121">
        <f t="shared" si="191"/>
        <v>2144937</v>
      </c>
    </row>
    <row r="743" spans="2:17" hidden="1" x14ac:dyDescent="0.4">
      <c r="B743" s="110">
        <v>44664</v>
      </c>
      <c r="C743" s="122">
        <f t="shared" si="192"/>
        <v>3000000</v>
      </c>
      <c r="D743" s="111">
        <f t="shared" si="193"/>
        <v>2252</v>
      </c>
      <c r="E743" s="2">
        <f t="shared" si="194"/>
        <v>2250</v>
      </c>
      <c r="F743" s="112">
        <f t="shared" si="188"/>
        <v>17000000</v>
      </c>
      <c r="G743" s="2">
        <f t="shared" si="195"/>
        <v>855065</v>
      </c>
      <c r="H743" s="113">
        <f t="shared" si="196"/>
        <v>0</v>
      </c>
      <c r="I743" s="121">
        <f t="shared" si="189"/>
        <v>2144937</v>
      </c>
      <c r="K743" s="123">
        <f t="shared" si="197"/>
        <v>3000000</v>
      </c>
      <c r="L743" s="111">
        <f t="shared" si="198"/>
        <v>2252</v>
      </c>
      <c r="M743" s="2">
        <f t="shared" si="199"/>
        <v>2250</v>
      </c>
      <c r="N743" s="112">
        <f t="shared" si="190"/>
        <v>17000000</v>
      </c>
      <c r="O743" s="2">
        <f t="shared" si="200"/>
        <v>855065</v>
      </c>
      <c r="P743" s="113">
        <f t="shared" si="201"/>
        <v>0</v>
      </c>
      <c r="Q743" s="121">
        <f t="shared" si="191"/>
        <v>2144937</v>
      </c>
    </row>
    <row r="744" spans="2:17" hidden="1" x14ac:dyDescent="0.4">
      <c r="B744" s="110">
        <v>44665</v>
      </c>
      <c r="C744" s="122">
        <f t="shared" si="192"/>
        <v>3000000</v>
      </c>
      <c r="D744" s="111">
        <f t="shared" si="193"/>
        <v>2252</v>
      </c>
      <c r="E744" s="2">
        <f t="shared" si="194"/>
        <v>2250</v>
      </c>
      <c r="F744" s="112">
        <f t="shared" si="188"/>
        <v>17000000</v>
      </c>
      <c r="G744" s="2">
        <f t="shared" si="195"/>
        <v>855065</v>
      </c>
      <c r="H744" s="113">
        <f t="shared" si="196"/>
        <v>0</v>
      </c>
      <c r="I744" s="121">
        <f t="shared" si="189"/>
        <v>2144937</v>
      </c>
      <c r="K744" s="123">
        <f t="shared" si="197"/>
        <v>3000000</v>
      </c>
      <c r="L744" s="111">
        <f t="shared" si="198"/>
        <v>2252</v>
      </c>
      <c r="M744" s="2">
        <f t="shared" si="199"/>
        <v>2250</v>
      </c>
      <c r="N744" s="112">
        <f t="shared" si="190"/>
        <v>17000000</v>
      </c>
      <c r="O744" s="2">
        <f t="shared" si="200"/>
        <v>855065</v>
      </c>
      <c r="P744" s="113">
        <f t="shared" si="201"/>
        <v>0</v>
      </c>
      <c r="Q744" s="121">
        <f t="shared" si="191"/>
        <v>2144937</v>
      </c>
    </row>
    <row r="745" spans="2:17" hidden="1" x14ac:dyDescent="0.4">
      <c r="B745" s="110">
        <v>44666</v>
      </c>
      <c r="C745" s="122">
        <f t="shared" si="192"/>
        <v>3000000</v>
      </c>
      <c r="D745" s="111">
        <f t="shared" si="193"/>
        <v>3338</v>
      </c>
      <c r="E745" s="2">
        <f t="shared" si="194"/>
        <v>2250</v>
      </c>
      <c r="F745" s="112">
        <f t="shared" si="188"/>
        <v>17000000</v>
      </c>
      <c r="G745" s="2">
        <f t="shared" si="195"/>
        <v>855065</v>
      </c>
      <c r="H745" s="113">
        <f t="shared" si="196"/>
        <v>0</v>
      </c>
      <c r="I745" s="121">
        <f t="shared" si="189"/>
        <v>2146023</v>
      </c>
      <c r="K745" s="123">
        <f t="shared" si="197"/>
        <v>3000000</v>
      </c>
      <c r="L745" s="111">
        <f t="shared" si="198"/>
        <v>3338</v>
      </c>
      <c r="M745" s="2">
        <f t="shared" si="199"/>
        <v>2250</v>
      </c>
      <c r="N745" s="112">
        <f t="shared" si="190"/>
        <v>17000000</v>
      </c>
      <c r="O745" s="2">
        <f t="shared" si="200"/>
        <v>855065</v>
      </c>
      <c r="P745" s="113">
        <f t="shared" si="201"/>
        <v>0</v>
      </c>
      <c r="Q745" s="121">
        <f t="shared" si="191"/>
        <v>2146023</v>
      </c>
    </row>
    <row r="746" spans="2:17" hidden="1" x14ac:dyDescent="0.4">
      <c r="B746" s="110">
        <v>44667</v>
      </c>
      <c r="C746" s="122">
        <f t="shared" si="192"/>
        <v>3000000</v>
      </c>
      <c r="D746" s="111">
        <f t="shared" si="193"/>
        <v>3338</v>
      </c>
      <c r="E746" s="2">
        <f t="shared" si="194"/>
        <v>2250</v>
      </c>
      <c r="F746" s="112">
        <f t="shared" si="188"/>
        <v>17000000</v>
      </c>
      <c r="G746" s="2">
        <f t="shared" si="195"/>
        <v>855065</v>
      </c>
      <c r="H746" s="113">
        <f t="shared" si="196"/>
        <v>0</v>
      </c>
      <c r="I746" s="121">
        <f t="shared" si="189"/>
        <v>2146023</v>
      </c>
      <c r="K746" s="123">
        <f t="shared" si="197"/>
        <v>3000000</v>
      </c>
      <c r="L746" s="111">
        <f t="shared" si="198"/>
        <v>3338</v>
      </c>
      <c r="M746" s="2">
        <f t="shared" si="199"/>
        <v>2250</v>
      </c>
      <c r="N746" s="112">
        <f t="shared" si="190"/>
        <v>17000000</v>
      </c>
      <c r="O746" s="2">
        <f t="shared" si="200"/>
        <v>855065</v>
      </c>
      <c r="P746" s="113">
        <f t="shared" si="201"/>
        <v>0</v>
      </c>
      <c r="Q746" s="121">
        <f t="shared" si="191"/>
        <v>2146023</v>
      </c>
    </row>
    <row r="747" spans="2:17" hidden="1" x14ac:dyDescent="0.4">
      <c r="B747" s="110">
        <v>44668</v>
      </c>
      <c r="C747" s="122">
        <f t="shared" si="192"/>
        <v>3000000</v>
      </c>
      <c r="D747" s="111">
        <f t="shared" si="193"/>
        <v>3338</v>
      </c>
      <c r="E747" s="2">
        <f t="shared" si="194"/>
        <v>2250</v>
      </c>
      <c r="F747" s="112">
        <f t="shared" si="188"/>
        <v>17000000</v>
      </c>
      <c r="G747" s="2">
        <f t="shared" si="195"/>
        <v>855065</v>
      </c>
      <c r="H747" s="113">
        <f t="shared" si="196"/>
        <v>0</v>
      </c>
      <c r="I747" s="121">
        <f t="shared" si="189"/>
        <v>2146023</v>
      </c>
      <c r="K747" s="123">
        <f t="shared" si="197"/>
        <v>3000000</v>
      </c>
      <c r="L747" s="111">
        <f t="shared" si="198"/>
        <v>3338</v>
      </c>
      <c r="M747" s="2">
        <f t="shared" si="199"/>
        <v>2250</v>
      </c>
      <c r="N747" s="112">
        <f t="shared" si="190"/>
        <v>17000000</v>
      </c>
      <c r="O747" s="2">
        <f t="shared" si="200"/>
        <v>855065</v>
      </c>
      <c r="P747" s="113">
        <f t="shared" si="201"/>
        <v>0</v>
      </c>
      <c r="Q747" s="121">
        <f t="shared" si="191"/>
        <v>2146023</v>
      </c>
    </row>
    <row r="748" spans="2:17" hidden="1" x14ac:dyDescent="0.4">
      <c r="B748" s="110">
        <v>44669</v>
      </c>
      <c r="C748" s="122">
        <f t="shared" si="192"/>
        <v>3000000</v>
      </c>
      <c r="D748" s="111">
        <f t="shared" si="193"/>
        <v>3338</v>
      </c>
      <c r="E748" s="2">
        <f t="shared" si="194"/>
        <v>2250</v>
      </c>
      <c r="F748" s="112">
        <f t="shared" si="188"/>
        <v>17000000</v>
      </c>
      <c r="G748" s="2">
        <f t="shared" si="195"/>
        <v>855065</v>
      </c>
      <c r="H748" s="113">
        <f t="shared" si="196"/>
        <v>0</v>
      </c>
      <c r="I748" s="121">
        <f t="shared" si="189"/>
        <v>2146023</v>
      </c>
      <c r="K748" s="123">
        <f t="shared" si="197"/>
        <v>3000000</v>
      </c>
      <c r="L748" s="111">
        <f t="shared" si="198"/>
        <v>3338</v>
      </c>
      <c r="M748" s="2">
        <f t="shared" si="199"/>
        <v>2250</v>
      </c>
      <c r="N748" s="112">
        <f t="shared" si="190"/>
        <v>17000000</v>
      </c>
      <c r="O748" s="2">
        <f t="shared" si="200"/>
        <v>855065</v>
      </c>
      <c r="P748" s="113">
        <f t="shared" si="201"/>
        <v>0</v>
      </c>
      <c r="Q748" s="121">
        <f t="shared" si="191"/>
        <v>2146023</v>
      </c>
    </row>
    <row r="749" spans="2:17" hidden="1" x14ac:dyDescent="0.4">
      <c r="B749" s="110">
        <v>44670</v>
      </c>
      <c r="C749" s="122">
        <f t="shared" si="192"/>
        <v>3000000</v>
      </c>
      <c r="D749" s="111">
        <f t="shared" si="193"/>
        <v>3338</v>
      </c>
      <c r="E749" s="2">
        <f t="shared" si="194"/>
        <v>2250</v>
      </c>
      <c r="F749" s="112">
        <f t="shared" si="188"/>
        <v>17000000</v>
      </c>
      <c r="G749" s="2">
        <f t="shared" si="195"/>
        <v>855065</v>
      </c>
      <c r="H749" s="113">
        <f t="shared" si="196"/>
        <v>0</v>
      </c>
      <c r="I749" s="121">
        <f t="shared" si="189"/>
        <v>2146023</v>
      </c>
      <c r="K749" s="123">
        <f t="shared" si="197"/>
        <v>3000000</v>
      </c>
      <c r="L749" s="111">
        <f t="shared" si="198"/>
        <v>3338</v>
      </c>
      <c r="M749" s="2">
        <f t="shared" si="199"/>
        <v>2250</v>
      </c>
      <c r="N749" s="112">
        <f t="shared" si="190"/>
        <v>17000000</v>
      </c>
      <c r="O749" s="2">
        <f t="shared" si="200"/>
        <v>855065</v>
      </c>
      <c r="P749" s="113">
        <f t="shared" si="201"/>
        <v>0</v>
      </c>
      <c r="Q749" s="121">
        <f t="shared" si="191"/>
        <v>2146023</v>
      </c>
    </row>
    <row r="750" spans="2:17" hidden="1" x14ac:dyDescent="0.4">
      <c r="B750" s="110">
        <v>44671</v>
      </c>
      <c r="C750" s="122">
        <f t="shared" si="192"/>
        <v>3000000</v>
      </c>
      <c r="D750" s="111">
        <f t="shared" si="193"/>
        <v>3338</v>
      </c>
      <c r="E750" s="2">
        <f t="shared" si="194"/>
        <v>2250</v>
      </c>
      <c r="F750" s="112">
        <f t="shared" si="188"/>
        <v>17000000</v>
      </c>
      <c r="G750" s="2">
        <f t="shared" si="195"/>
        <v>855065</v>
      </c>
      <c r="H750" s="113">
        <f t="shared" si="196"/>
        <v>0</v>
      </c>
      <c r="I750" s="121">
        <f t="shared" si="189"/>
        <v>2146023</v>
      </c>
      <c r="K750" s="123">
        <f t="shared" si="197"/>
        <v>3000000</v>
      </c>
      <c r="L750" s="111">
        <f t="shared" si="198"/>
        <v>3338</v>
      </c>
      <c r="M750" s="2">
        <f t="shared" si="199"/>
        <v>2250</v>
      </c>
      <c r="N750" s="112">
        <f t="shared" si="190"/>
        <v>17000000</v>
      </c>
      <c r="O750" s="2">
        <f t="shared" si="200"/>
        <v>855065</v>
      </c>
      <c r="P750" s="113">
        <f t="shared" si="201"/>
        <v>0</v>
      </c>
      <c r="Q750" s="121">
        <f t="shared" si="191"/>
        <v>2146023</v>
      </c>
    </row>
    <row r="751" spans="2:17" hidden="1" x14ac:dyDescent="0.4">
      <c r="B751" s="110">
        <v>44672</v>
      </c>
      <c r="C751" s="122">
        <f t="shared" si="192"/>
        <v>3000000</v>
      </c>
      <c r="D751" s="111">
        <f t="shared" si="193"/>
        <v>3338</v>
      </c>
      <c r="E751" s="2">
        <f t="shared" si="194"/>
        <v>2250</v>
      </c>
      <c r="F751" s="112">
        <f t="shared" si="188"/>
        <v>17000000</v>
      </c>
      <c r="G751" s="2">
        <f t="shared" si="195"/>
        <v>855065</v>
      </c>
      <c r="H751" s="113">
        <f t="shared" si="196"/>
        <v>0</v>
      </c>
      <c r="I751" s="121">
        <f t="shared" si="189"/>
        <v>2146023</v>
      </c>
      <c r="K751" s="123">
        <f t="shared" si="197"/>
        <v>3000000</v>
      </c>
      <c r="L751" s="111">
        <f t="shared" si="198"/>
        <v>3338</v>
      </c>
      <c r="M751" s="2">
        <f t="shared" si="199"/>
        <v>2250</v>
      </c>
      <c r="N751" s="112">
        <f t="shared" si="190"/>
        <v>17000000</v>
      </c>
      <c r="O751" s="2">
        <f t="shared" si="200"/>
        <v>855065</v>
      </c>
      <c r="P751" s="113">
        <f t="shared" si="201"/>
        <v>0</v>
      </c>
      <c r="Q751" s="121">
        <f t="shared" si="191"/>
        <v>2146023</v>
      </c>
    </row>
    <row r="752" spans="2:17" hidden="1" x14ac:dyDescent="0.4">
      <c r="B752" s="110">
        <v>44673</v>
      </c>
      <c r="C752" s="122">
        <f t="shared" si="192"/>
        <v>3000000</v>
      </c>
      <c r="D752" s="111">
        <f t="shared" si="193"/>
        <v>4238</v>
      </c>
      <c r="E752" s="2">
        <f t="shared" si="194"/>
        <v>2250</v>
      </c>
      <c r="F752" s="112">
        <f t="shared" si="188"/>
        <v>17000000</v>
      </c>
      <c r="G752" s="2">
        <f t="shared" si="195"/>
        <v>855065</v>
      </c>
      <c r="H752" s="113">
        <f t="shared" si="196"/>
        <v>0</v>
      </c>
      <c r="I752" s="121">
        <f t="shared" si="189"/>
        <v>2146923</v>
      </c>
      <c r="K752" s="123">
        <f t="shared" si="197"/>
        <v>3000000</v>
      </c>
      <c r="L752" s="111">
        <f t="shared" si="198"/>
        <v>4238</v>
      </c>
      <c r="M752" s="2">
        <f t="shared" si="199"/>
        <v>2250</v>
      </c>
      <c r="N752" s="112">
        <f t="shared" si="190"/>
        <v>17000000</v>
      </c>
      <c r="O752" s="2">
        <f t="shared" si="200"/>
        <v>855065</v>
      </c>
      <c r="P752" s="113">
        <f t="shared" si="201"/>
        <v>0</v>
      </c>
      <c r="Q752" s="121">
        <f t="shared" si="191"/>
        <v>2146923</v>
      </c>
    </row>
    <row r="753" spans="2:17" hidden="1" x14ac:dyDescent="0.4">
      <c r="B753" s="110">
        <v>44674</v>
      </c>
      <c r="C753" s="122">
        <f t="shared" si="192"/>
        <v>3000000</v>
      </c>
      <c r="D753" s="111">
        <f t="shared" si="193"/>
        <v>4238</v>
      </c>
      <c r="E753" s="2">
        <f t="shared" si="194"/>
        <v>2250</v>
      </c>
      <c r="F753" s="112">
        <f t="shared" si="188"/>
        <v>17000000</v>
      </c>
      <c r="G753" s="2">
        <f t="shared" si="195"/>
        <v>855065</v>
      </c>
      <c r="H753" s="113">
        <f t="shared" si="196"/>
        <v>0</v>
      </c>
      <c r="I753" s="121">
        <f t="shared" si="189"/>
        <v>2146923</v>
      </c>
      <c r="K753" s="123">
        <f t="shared" si="197"/>
        <v>3000000</v>
      </c>
      <c r="L753" s="111">
        <f t="shared" si="198"/>
        <v>4238</v>
      </c>
      <c r="M753" s="2">
        <f t="shared" si="199"/>
        <v>2250</v>
      </c>
      <c r="N753" s="112">
        <f t="shared" si="190"/>
        <v>17000000</v>
      </c>
      <c r="O753" s="2">
        <f t="shared" si="200"/>
        <v>855065</v>
      </c>
      <c r="P753" s="113">
        <f t="shared" si="201"/>
        <v>0</v>
      </c>
      <c r="Q753" s="121">
        <f t="shared" si="191"/>
        <v>2146923</v>
      </c>
    </row>
    <row r="754" spans="2:17" hidden="1" x14ac:dyDescent="0.4">
      <c r="B754" s="110">
        <v>44675</v>
      </c>
      <c r="C754" s="122">
        <f t="shared" si="192"/>
        <v>3000000</v>
      </c>
      <c r="D754" s="111">
        <f t="shared" si="193"/>
        <v>4238</v>
      </c>
      <c r="E754" s="2">
        <f t="shared" si="194"/>
        <v>2250</v>
      </c>
      <c r="F754" s="112">
        <f t="shared" si="188"/>
        <v>17000000</v>
      </c>
      <c r="G754" s="2">
        <f t="shared" si="195"/>
        <v>855065</v>
      </c>
      <c r="H754" s="113">
        <f t="shared" si="196"/>
        <v>0</v>
      </c>
      <c r="I754" s="121">
        <f t="shared" si="189"/>
        <v>2146923</v>
      </c>
      <c r="K754" s="123">
        <f t="shared" si="197"/>
        <v>3000000</v>
      </c>
      <c r="L754" s="111">
        <f t="shared" si="198"/>
        <v>4238</v>
      </c>
      <c r="M754" s="2">
        <f t="shared" si="199"/>
        <v>2250</v>
      </c>
      <c r="N754" s="112">
        <f t="shared" si="190"/>
        <v>17000000</v>
      </c>
      <c r="O754" s="2">
        <f t="shared" si="200"/>
        <v>855065</v>
      </c>
      <c r="P754" s="113">
        <f t="shared" si="201"/>
        <v>0</v>
      </c>
      <c r="Q754" s="121">
        <f t="shared" si="191"/>
        <v>2146923</v>
      </c>
    </row>
    <row r="755" spans="2:17" hidden="1" x14ac:dyDescent="0.4">
      <c r="B755" s="110">
        <v>44676</v>
      </c>
      <c r="C755" s="122">
        <f t="shared" si="192"/>
        <v>3000000</v>
      </c>
      <c r="D755" s="111">
        <f t="shared" si="193"/>
        <v>4238</v>
      </c>
      <c r="E755" s="2">
        <f t="shared" si="194"/>
        <v>2250</v>
      </c>
      <c r="F755" s="112">
        <f t="shared" si="188"/>
        <v>17000000</v>
      </c>
      <c r="G755" s="2">
        <f t="shared" si="195"/>
        <v>855065</v>
      </c>
      <c r="H755" s="113">
        <f t="shared" si="196"/>
        <v>0</v>
      </c>
      <c r="I755" s="121">
        <f t="shared" si="189"/>
        <v>2146923</v>
      </c>
      <c r="K755" s="123">
        <f t="shared" si="197"/>
        <v>3000000</v>
      </c>
      <c r="L755" s="111">
        <f t="shared" si="198"/>
        <v>4238</v>
      </c>
      <c r="M755" s="2">
        <f t="shared" si="199"/>
        <v>2250</v>
      </c>
      <c r="N755" s="112">
        <f t="shared" si="190"/>
        <v>17000000</v>
      </c>
      <c r="O755" s="2">
        <f t="shared" si="200"/>
        <v>855065</v>
      </c>
      <c r="P755" s="113">
        <f t="shared" si="201"/>
        <v>0</v>
      </c>
      <c r="Q755" s="121">
        <f t="shared" si="191"/>
        <v>2146923</v>
      </c>
    </row>
    <row r="756" spans="2:17" hidden="1" x14ac:dyDescent="0.4">
      <c r="B756" s="110">
        <v>44677</v>
      </c>
      <c r="C756" s="122">
        <f t="shared" si="192"/>
        <v>3000000</v>
      </c>
      <c r="D756" s="111">
        <f t="shared" si="193"/>
        <v>4238</v>
      </c>
      <c r="E756" s="2">
        <f t="shared" si="194"/>
        <v>2250</v>
      </c>
      <c r="F756" s="112">
        <f t="shared" si="188"/>
        <v>17000000</v>
      </c>
      <c r="G756" s="2">
        <f t="shared" si="195"/>
        <v>855065</v>
      </c>
      <c r="H756" s="113">
        <f t="shared" si="196"/>
        <v>0</v>
      </c>
      <c r="I756" s="121">
        <f t="shared" si="189"/>
        <v>2146923</v>
      </c>
      <c r="K756" s="123">
        <f t="shared" si="197"/>
        <v>3000000</v>
      </c>
      <c r="L756" s="111">
        <f t="shared" si="198"/>
        <v>4238</v>
      </c>
      <c r="M756" s="2">
        <f t="shared" si="199"/>
        <v>2250</v>
      </c>
      <c r="N756" s="112">
        <f t="shared" si="190"/>
        <v>17000000</v>
      </c>
      <c r="O756" s="2">
        <f t="shared" si="200"/>
        <v>855065</v>
      </c>
      <c r="P756" s="113">
        <f t="shared" si="201"/>
        <v>0</v>
      </c>
      <c r="Q756" s="121">
        <f t="shared" si="191"/>
        <v>2146923</v>
      </c>
    </row>
    <row r="757" spans="2:17" hidden="1" x14ac:dyDescent="0.4">
      <c r="B757" s="110">
        <v>44678</v>
      </c>
      <c r="C757" s="122">
        <f t="shared" si="192"/>
        <v>3000000</v>
      </c>
      <c r="D757" s="111">
        <f t="shared" si="193"/>
        <v>4291</v>
      </c>
      <c r="E757" s="2">
        <f t="shared" si="194"/>
        <v>2250</v>
      </c>
      <c r="F757" s="112">
        <f t="shared" si="188"/>
        <v>17000000</v>
      </c>
      <c r="G757" s="2">
        <f t="shared" si="195"/>
        <v>855065</v>
      </c>
      <c r="H757" s="113">
        <f t="shared" si="196"/>
        <v>0</v>
      </c>
      <c r="I757" s="121">
        <f t="shared" si="189"/>
        <v>2146976</v>
      </c>
      <c r="K757" s="123">
        <f t="shared" si="197"/>
        <v>3000000</v>
      </c>
      <c r="L757" s="111">
        <f t="shared" si="198"/>
        <v>4291</v>
      </c>
      <c r="M757" s="2">
        <f t="shared" si="199"/>
        <v>2250</v>
      </c>
      <c r="N757" s="112">
        <f t="shared" si="190"/>
        <v>17000000</v>
      </c>
      <c r="O757" s="2">
        <f t="shared" si="200"/>
        <v>855065</v>
      </c>
      <c r="P757" s="113">
        <f t="shared" si="201"/>
        <v>0</v>
      </c>
      <c r="Q757" s="121">
        <f t="shared" si="191"/>
        <v>2146976</v>
      </c>
    </row>
    <row r="758" spans="2:17" hidden="1" x14ac:dyDescent="0.4">
      <c r="B758" s="110">
        <v>44679</v>
      </c>
      <c r="C758" s="122">
        <f t="shared" si="192"/>
        <v>3000000</v>
      </c>
      <c r="D758" s="111">
        <f t="shared" si="193"/>
        <v>4291</v>
      </c>
      <c r="E758" s="2">
        <f t="shared" si="194"/>
        <v>2250</v>
      </c>
      <c r="F758" s="112">
        <f t="shared" si="188"/>
        <v>17000000</v>
      </c>
      <c r="G758" s="2">
        <f t="shared" si="195"/>
        <v>855065</v>
      </c>
      <c r="H758" s="113">
        <f t="shared" si="196"/>
        <v>0</v>
      </c>
      <c r="I758" s="121">
        <f t="shared" si="189"/>
        <v>2146976</v>
      </c>
      <c r="K758" s="123">
        <f t="shared" si="197"/>
        <v>3000000</v>
      </c>
      <c r="L758" s="111">
        <f t="shared" si="198"/>
        <v>4291</v>
      </c>
      <c r="M758" s="2">
        <f t="shared" si="199"/>
        <v>2250</v>
      </c>
      <c r="N758" s="112">
        <f t="shared" si="190"/>
        <v>17000000</v>
      </c>
      <c r="O758" s="2">
        <f t="shared" si="200"/>
        <v>855065</v>
      </c>
      <c r="P758" s="113">
        <f t="shared" si="201"/>
        <v>0</v>
      </c>
      <c r="Q758" s="121">
        <f t="shared" si="191"/>
        <v>2146976</v>
      </c>
    </row>
    <row r="759" spans="2:17" hidden="1" x14ac:dyDescent="0.4">
      <c r="B759" s="110">
        <v>44680</v>
      </c>
      <c r="C759" s="122">
        <f t="shared" si="192"/>
        <v>3000000</v>
      </c>
      <c r="D759" s="111">
        <f t="shared" si="193"/>
        <v>4291</v>
      </c>
      <c r="E759" s="2">
        <f t="shared" si="194"/>
        <v>2250</v>
      </c>
      <c r="F759" s="112">
        <f t="shared" si="188"/>
        <v>17000000</v>
      </c>
      <c r="G759" s="2">
        <f t="shared" si="195"/>
        <v>855065</v>
      </c>
      <c r="H759" s="113">
        <f t="shared" si="196"/>
        <v>0</v>
      </c>
      <c r="I759" s="121">
        <f t="shared" si="189"/>
        <v>2146976</v>
      </c>
      <c r="K759" s="123">
        <f t="shared" si="197"/>
        <v>3000000</v>
      </c>
      <c r="L759" s="111">
        <f t="shared" si="198"/>
        <v>4291</v>
      </c>
      <c r="M759" s="2">
        <f t="shared" si="199"/>
        <v>2250</v>
      </c>
      <c r="N759" s="112">
        <f t="shared" si="190"/>
        <v>17000000</v>
      </c>
      <c r="O759" s="2">
        <f t="shared" si="200"/>
        <v>855065</v>
      </c>
      <c r="P759" s="113">
        <f t="shared" si="201"/>
        <v>0</v>
      </c>
      <c r="Q759" s="121">
        <f t="shared" si="191"/>
        <v>2146976</v>
      </c>
    </row>
    <row r="760" spans="2:17" hidden="1" x14ac:dyDescent="0.4">
      <c r="B760" s="110">
        <v>44681</v>
      </c>
      <c r="C760" s="122">
        <f t="shared" si="192"/>
        <v>3000000</v>
      </c>
      <c r="D760" s="111">
        <f t="shared" si="193"/>
        <v>4291</v>
      </c>
      <c r="E760" s="2">
        <f t="shared" si="194"/>
        <v>2250</v>
      </c>
      <c r="F760" s="112">
        <f t="shared" si="188"/>
        <v>17000000</v>
      </c>
      <c r="G760" s="2">
        <f t="shared" si="195"/>
        <v>855065</v>
      </c>
      <c r="H760" s="113">
        <f t="shared" si="196"/>
        <v>0</v>
      </c>
      <c r="I760" s="121">
        <f t="shared" si="189"/>
        <v>2146976</v>
      </c>
      <c r="K760" s="123">
        <f t="shared" si="197"/>
        <v>3000000</v>
      </c>
      <c r="L760" s="111">
        <f t="shared" si="198"/>
        <v>4291</v>
      </c>
      <c r="M760" s="2">
        <f t="shared" si="199"/>
        <v>2250</v>
      </c>
      <c r="N760" s="112">
        <f t="shared" si="190"/>
        <v>17000000</v>
      </c>
      <c r="O760" s="2">
        <f t="shared" si="200"/>
        <v>855065</v>
      </c>
      <c r="P760" s="113">
        <f t="shared" si="201"/>
        <v>0</v>
      </c>
      <c r="Q760" s="121">
        <f t="shared" si="191"/>
        <v>2146976</v>
      </c>
    </row>
    <row r="761" spans="2:17" x14ac:dyDescent="0.4">
      <c r="B761" s="110">
        <v>44682</v>
      </c>
      <c r="C761" s="122">
        <f t="shared" si="192"/>
        <v>3000000</v>
      </c>
      <c r="D761" s="111">
        <f t="shared" si="193"/>
        <v>4291</v>
      </c>
      <c r="E761" s="2">
        <f t="shared" si="194"/>
        <v>2250</v>
      </c>
      <c r="F761" s="112">
        <f t="shared" si="188"/>
        <v>17000000</v>
      </c>
      <c r="G761" s="2">
        <f t="shared" si="195"/>
        <v>855065</v>
      </c>
      <c r="H761" s="113">
        <f t="shared" si="196"/>
        <v>0</v>
      </c>
      <c r="I761" s="121">
        <f t="shared" si="189"/>
        <v>2146976</v>
      </c>
      <c r="K761" s="123">
        <f t="shared" si="197"/>
        <v>3000000</v>
      </c>
      <c r="L761" s="111">
        <f t="shared" si="198"/>
        <v>4291</v>
      </c>
      <c r="M761" s="2">
        <f t="shared" si="199"/>
        <v>2250</v>
      </c>
      <c r="N761" s="112">
        <f t="shared" si="190"/>
        <v>17000000</v>
      </c>
      <c r="O761" s="2">
        <f t="shared" si="200"/>
        <v>855065</v>
      </c>
      <c r="P761" s="113">
        <f t="shared" si="201"/>
        <v>0</v>
      </c>
      <c r="Q761" s="121">
        <f t="shared" si="191"/>
        <v>2146976</v>
      </c>
    </row>
    <row r="762" spans="2:17" hidden="1" x14ac:dyDescent="0.4">
      <c r="B762" s="110">
        <v>44683</v>
      </c>
      <c r="C762" s="122">
        <f t="shared" si="192"/>
        <v>3000000</v>
      </c>
      <c r="D762" s="111">
        <f t="shared" si="193"/>
        <v>4291</v>
      </c>
      <c r="E762" s="2">
        <f t="shared" si="194"/>
        <v>2250</v>
      </c>
      <c r="F762" s="112">
        <f t="shared" si="188"/>
        <v>17000000</v>
      </c>
      <c r="G762" s="2">
        <f t="shared" si="195"/>
        <v>855065</v>
      </c>
      <c r="H762" s="113">
        <f t="shared" si="196"/>
        <v>0</v>
      </c>
      <c r="I762" s="121">
        <f t="shared" si="189"/>
        <v>2146976</v>
      </c>
      <c r="K762" s="123">
        <f t="shared" si="197"/>
        <v>3000000</v>
      </c>
      <c r="L762" s="111">
        <f t="shared" si="198"/>
        <v>4291</v>
      </c>
      <c r="M762" s="2">
        <f t="shared" si="199"/>
        <v>2250</v>
      </c>
      <c r="N762" s="112">
        <f t="shared" si="190"/>
        <v>17000000</v>
      </c>
      <c r="O762" s="2">
        <f t="shared" si="200"/>
        <v>855065</v>
      </c>
      <c r="P762" s="113">
        <f t="shared" si="201"/>
        <v>0</v>
      </c>
      <c r="Q762" s="121">
        <f t="shared" si="191"/>
        <v>2146976</v>
      </c>
    </row>
    <row r="763" spans="2:17" hidden="1" x14ac:dyDescent="0.4">
      <c r="B763" s="110">
        <v>44684</v>
      </c>
      <c r="C763" s="122">
        <f t="shared" si="192"/>
        <v>3000000</v>
      </c>
      <c r="D763" s="111">
        <f t="shared" si="193"/>
        <v>4291</v>
      </c>
      <c r="E763" s="2">
        <f t="shared" si="194"/>
        <v>2250</v>
      </c>
      <c r="F763" s="112">
        <f t="shared" si="188"/>
        <v>17000000</v>
      </c>
      <c r="G763" s="2">
        <f t="shared" si="195"/>
        <v>855065</v>
      </c>
      <c r="H763" s="113">
        <f t="shared" si="196"/>
        <v>0</v>
      </c>
      <c r="I763" s="121">
        <f t="shared" si="189"/>
        <v>2146976</v>
      </c>
      <c r="K763" s="123">
        <f t="shared" si="197"/>
        <v>3000000</v>
      </c>
      <c r="L763" s="111">
        <f t="shared" si="198"/>
        <v>4291</v>
      </c>
      <c r="M763" s="2">
        <f t="shared" si="199"/>
        <v>2250</v>
      </c>
      <c r="N763" s="112">
        <f t="shared" si="190"/>
        <v>17000000</v>
      </c>
      <c r="O763" s="2">
        <f t="shared" si="200"/>
        <v>855065</v>
      </c>
      <c r="P763" s="113">
        <f t="shared" si="201"/>
        <v>0</v>
      </c>
      <c r="Q763" s="121">
        <f t="shared" si="191"/>
        <v>2146976</v>
      </c>
    </row>
    <row r="764" spans="2:17" hidden="1" x14ac:dyDescent="0.4">
      <c r="B764" s="110">
        <v>44685</v>
      </c>
      <c r="C764" s="122">
        <f t="shared" si="192"/>
        <v>3000000</v>
      </c>
      <c r="D764" s="111">
        <f t="shared" si="193"/>
        <v>4291</v>
      </c>
      <c r="E764" s="2">
        <f t="shared" si="194"/>
        <v>2250</v>
      </c>
      <c r="F764" s="112">
        <f t="shared" si="188"/>
        <v>17000000</v>
      </c>
      <c r="G764" s="2">
        <f t="shared" si="195"/>
        <v>855065</v>
      </c>
      <c r="H764" s="113">
        <f t="shared" si="196"/>
        <v>0</v>
      </c>
      <c r="I764" s="121">
        <f t="shared" si="189"/>
        <v>2146976</v>
      </c>
      <c r="K764" s="123">
        <f t="shared" si="197"/>
        <v>3000000</v>
      </c>
      <c r="L764" s="111">
        <f t="shared" si="198"/>
        <v>4291</v>
      </c>
      <c r="M764" s="2">
        <f t="shared" si="199"/>
        <v>2250</v>
      </c>
      <c r="N764" s="112">
        <f t="shared" si="190"/>
        <v>17000000</v>
      </c>
      <c r="O764" s="2">
        <f t="shared" si="200"/>
        <v>855065</v>
      </c>
      <c r="P764" s="113">
        <f t="shared" si="201"/>
        <v>0</v>
      </c>
      <c r="Q764" s="121">
        <f t="shared" si="191"/>
        <v>2146976</v>
      </c>
    </row>
    <row r="765" spans="2:17" hidden="1" x14ac:dyDescent="0.4">
      <c r="B765" s="110">
        <v>44686</v>
      </c>
      <c r="C765" s="122">
        <f t="shared" si="192"/>
        <v>3000000</v>
      </c>
      <c r="D765" s="111">
        <f t="shared" si="193"/>
        <v>4291</v>
      </c>
      <c r="E765" s="2">
        <f t="shared" si="194"/>
        <v>2250</v>
      </c>
      <c r="F765" s="112">
        <f t="shared" si="188"/>
        <v>17000000</v>
      </c>
      <c r="G765" s="2">
        <f t="shared" si="195"/>
        <v>855065</v>
      </c>
      <c r="H765" s="113">
        <f t="shared" si="196"/>
        <v>0</v>
      </c>
      <c r="I765" s="121">
        <f t="shared" si="189"/>
        <v>2146976</v>
      </c>
      <c r="K765" s="123">
        <f t="shared" si="197"/>
        <v>3000000</v>
      </c>
      <c r="L765" s="111">
        <f t="shared" si="198"/>
        <v>4291</v>
      </c>
      <c r="M765" s="2">
        <f t="shared" si="199"/>
        <v>2250</v>
      </c>
      <c r="N765" s="112">
        <f t="shared" si="190"/>
        <v>17000000</v>
      </c>
      <c r="O765" s="2">
        <f t="shared" si="200"/>
        <v>855065</v>
      </c>
      <c r="P765" s="113">
        <f t="shared" si="201"/>
        <v>0</v>
      </c>
      <c r="Q765" s="121">
        <f t="shared" si="191"/>
        <v>2146976</v>
      </c>
    </row>
    <row r="766" spans="2:17" hidden="1" x14ac:dyDescent="0.4">
      <c r="B766" s="110">
        <v>44687</v>
      </c>
      <c r="C766" s="122">
        <f t="shared" si="192"/>
        <v>3000000</v>
      </c>
      <c r="D766" s="111">
        <f t="shared" si="193"/>
        <v>4291</v>
      </c>
      <c r="E766" s="2">
        <f t="shared" si="194"/>
        <v>2250</v>
      </c>
      <c r="F766" s="112">
        <f t="shared" si="188"/>
        <v>17000000</v>
      </c>
      <c r="G766" s="2">
        <f t="shared" si="195"/>
        <v>855065</v>
      </c>
      <c r="H766" s="113">
        <f t="shared" si="196"/>
        <v>0</v>
      </c>
      <c r="I766" s="121">
        <f t="shared" si="189"/>
        <v>2146976</v>
      </c>
      <c r="K766" s="123">
        <f t="shared" si="197"/>
        <v>3000000</v>
      </c>
      <c r="L766" s="111">
        <f t="shared" si="198"/>
        <v>4291</v>
      </c>
      <c r="M766" s="2">
        <f t="shared" si="199"/>
        <v>2250</v>
      </c>
      <c r="N766" s="112">
        <f t="shared" si="190"/>
        <v>17000000</v>
      </c>
      <c r="O766" s="2">
        <f t="shared" si="200"/>
        <v>855065</v>
      </c>
      <c r="P766" s="113">
        <f t="shared" si="201"/>
        <v>0</v>
      </c>
      <c r="Q766" s="121">
        <f t="shared" si="191"/>
        <v>2146976</v>
      </c>
    </row>
    <row r="767" spans="2:17" hidden="1" x14ac:dyDescent="0.4">
      <c r="B767" s="110">
        <v>44688</v>
      </c>
      <c r="C767" s="122">
        <f t="shared" si="192"/>
        <v>3000000</v>
      </c>
      <c r="D767" s="111">
        <f t="shared" si="193"/>
        <v>4291</v>
      </c>
      <c r="E767" s="2">
        <f t="shared" si="194"/>
        <v>2250</v>
      </c>
      <c r="F767" s="112">
        <f t="shared" si="188"/>
        <v>17000000</v>
      </c>
      <c r="G767" s="2">
        <f t="shared" si="195"/>
        <v>855065</v>
      </c>
      <c r="H767" s="113">
        <f t="shared" si="196"/>
        <v>0</v>
      </c>
      <c r="I767" s="121">
        <f t="shared" si="189"/>
        <v>2146976</v>
      </c>
      <c r="K767" s="123">
        <f t="shared" si="197"/>
        <v>3000000</v>
      </c>
      <c r="L767" s="111">
        <f t="shared" si="198"/>
        <v>4291</v>
      </c>
      <c r="M767" s="2">
        <f t="shared" si="199"/>
        <v>2250</v>
      </c>
      <c r="N767" s="112">
        <f t="shared" si="190"/>
        <v>17000000</v>
      </c>
      <c r="O767" s="2">
        <f t="shared" si="200"/>
        <v>855065</v>
      </c>
      <c r="P767" s="113">
        <f t="shared" si="201"/>
        <v>0</v>
      </c>
      <c r="Q767" s="121">
        <f t="shared" si="191"/>
        <v>2146976</v>
      </c>
    </row>
    <row r="768" spans="2:17" hidden="1" x14ac:dyDescent="0.4">
      <c r="B768" s="110">
        <v>44689</v>
      </c>
      <c r="C768" s="122">
        <f t="shared" si="192"/>
        <v>3000000</v>
      </c>
      <c r="D768" s="111">
        <f t="shared" si="193"/>
        <v>4291</v>
      </c>
      <c r="E768" s="2">
        <f t="shared" si="194"/>
        <v>2250</v>
      </c>
      <c r="F768" s="112">
        <f t="shared" si="188"/>
        <v>17000000</v>
      </c>
      <c r="G768" s="2">
        <f t="shared" si="195"/>
        <v>855065</v>
      </c>
      <c r="H768" s="113">
        <f t="shared" si="196"/>
        <v>0</v>
      </c>
      <c r="I768" s="121">
        <f t="shared" si="189"/>
        <v>2146976</v>
      </c>
      <c r="K768" s="123">
        <f t="shared" si="197"/>
        <v>3000000</v>
      </c>
      <c r="L768" s="111">
        <f t="shared" si="198"/>
        <v>4291</v>
      </c>
      <c r="M768" s="2">
        <f t="shared" si="199"/>
        <v>2250</v>
      </c>
      <c r="N768" s="112">
        <f t="shared" si="190"/>
        <v>17000000</v>
      </c>
      <c r="O768" s="2">
        <f t="shared" si="200"/>
        <v>855065</v>
      </c>
      <c r="P768" s="113">
        <f t="shared" si="201"/>
        <v>0</v>
      </c>
      <c r="Q768" s="121">
        <f t="shared" si="191"/>
        <v>2146976</v>
      </c>
    </row>
    <row r="769" spans="2:17" hidden="1" x14ac:dyDescent="0.4">
      <c r="B769" s="110">
        <v>44690</v>
      </c>
      <c r="C769" s="122">
        <f t="shared" si="192"/>
        <v>3000000</v>
      </c>
      <c r="D769" s="111">
        <f t="shared" si="193"/>
        <v>4291</v>
      </c>
      <c r="E769" s="2">
        <f t="shared" si="194"/>
        <v>2250</v>
      </c>
      <c r="F769" s="112">
        <f t="shared" si="188"/>
        <v>17000000</v>
      </c>
      <c r="G769" s="2">
        <f t="shared" si="195"/>
        <v>855065</v>
      </c>
      <c r="H769" s="113">
        <f t="shared" si="196"/>
        <v>0</v>
      </c>
      <c r="I769" s="121">
        <f t="shared" si="189"/>
        <v>2146976</v>
      </c>
      <c r="K769" s="123">
        <f t="shared" si="197"/>
        <v>3000000</v>
      </c>
      <c r="L769" s="111">
        <f t="shared" si="198"/>
        <v>4291</v>
      </c>
      <c r="M769" s="2">
        <f t="shared" si="199"/>
        <v>2250</v>
      </c>
      <c r="N769" s="112">
        <f t="shared" si="190"/>
        <v>17000000</v>
      </c>
      <c r="O769" s="2">
        <f t="shared" si="200"/>
        <v>855065</v>
      </c>
      <c r="P769" s="113">
        <f t="shared" si="201"/>
        <v>0</v>
      </c>
      <c r="Q769" s="121">
        <f t="shared" si="191"/>
        <v>2146976</v>
      </c>
    </row>
    <row r="770" spans="2:17" hidden="1" x14ac:dyDescent="0.4">
      <c r="B770" s="110">
        <v>44691</v>
      </c>
      <c r="C770" s="122">
        <f t="shared" si="192"/>
        <v>3000000</v>
      </c>
      <c r="D770" s="111">
        <f t="shared" si="193"/>
        <v>4291</v>
      </c>
      <c r="E770" s="2">
        <f t="shared" si="194"/>
        <v>2250</v>
      </c>
      <c r="F770" s="112">
        <f t="shared" si="188"/>
        <v>17000000</v>
      </c>
      <c r="G770" s="2">
        <f t="shared" si="195"/>
        <v>855065</v>
      </c>
      <c r="H770" s="113">
        <f t="shared" si="196"/>
        <v>0</v>
      </c>
      <c r="I770" s="121">
        <f t="shared" si="189"/>
        <v>2146976</v>
      </c>
      <c r="K770" s="123">
        <f t="shared" si="197"/>
        <v>3000000</v>
      </c>
      <c r="L770" s="111">
        <f t="shared" si="198"/>
        <v>4291</v>
      </c>
      <c r="M770" s="2">
        <f t="shared" si="199"/>
        <v>2250</v>
      </c>
      <c r="N770" s="112">
        <f t="shared" si="190"/>
        <v>17000000</v>
      </c>
      <c r="O770" s="2">
        <f t="shared" si="200"/>
        <v>855065</v>
      </c>
      <c r="P770" s="113">
        <f t="shared" si="201"/>
        <v>0</v>
      </c>
      <c r="Q770" s="121">
        <f t="shared" si="191"/>
        <v>2146976</v>
      </c>
    </row>
    <row r="771" spans="2:17" hidden="1" x14ac:dyDescent="0.4">
      <c r="B771" s="110">
        <v>44692</v>
      </c>
      <c r="C771" s="122">
        <f t="shared" si="192"/>
        <v>3000000</v>
      </c>
      <c r="D771" s="111">
        <f t="shared" si="193"/>
        <v>4291</v>
      </c>
      <c r="E771" s="2">
        <f t="shared" si="194"/>
        <v>2250</v>
      </c>
      <c r="F771" s="112">
        <f t="shared" si="188"/>
        <v>17000000</v>
      </c>
      <c r="G771" s="2">
        <f t="shared" si="195"/>
        <v>855065</v>
      </c>
      <c r="H771" s="113">
        <f t="shared" si="196"/>
        <v>0</v>
      </c>
      <c r="I771" s="121">
        <f t="shared" si="189"/>
        <v>2146976</v>
      </c>
      <c r="K771" s="123">
        <f t="shared" si="197"/>
        <v>3000000</v>
      </c>
      <c r="L771" s="111">
        <f t="shared" si="198"/>
        <v>4291</v>
      </c>
      <c r="M771" s="2">
        <f t="shared" si="199"/>
        <v>2250</v>
      </c>
      <c r="N771" s="112">
        <f t="shared" si="190"/>
        <v>17000000</v>
      </c>
      <c r="O771" s="2">
        <f t="shared" si="200"/>
        <v>855065</v>
      </c>
      <c r="P771" s="113">
        <f t="shared" si="201"/>
        <v>0</v>
      </c>
      <c r="Q771" s="121">
        <f t="shared" si="191"/>
        <v>2146976</v>
      </c>
    </row>
    <row r="772" spans="2:17" hidden="1" x14ac:dyDescent="0.4">
      <c r="B772" s="110">
        <v>44693</v>
      </c>
      <c r="C772" s="122">
        <f t="shared" si="192"/>
        <v>3000000</v>
      </c>
      <c r="D772" s="111">
        <f t="shared" si="193"/>
        <v>4291</v>
      </c>
      <c r="E772" s="2">
        <f t="shared" si="194"/>
        <v>2250</v>
      </c>
      <c r="F772" s="112">
        <f t="shared" si="188"/>
        <v>17000000</v>
      </c>
      <c r="G772" s="2">
        <f t="shared" si="195"/>
        <v>855065</v>
      </c>
      <c r="H772" s="113">
        <f t="shared" si="196"/>
        <v>0</v>
      </c>
      <c r="I772" s="121">
        <f t="shared" si="189"/>
        <v>2146976</v>
      </c>
      <c r="K772" s="123">
        <f t="shared" si="197"/>
        <v>3000000</v>
      </c>
      <c r="L772" s="111">
        <f t="shared" si="198"/>
        <v>4291</v>
      </c>
      <c r="M772" s="2">
        <f t="shared" si="199"/>
        <v>2250</v>
      </c>
      <c r="N772" s="112">
        <f t="shared" si="190"/>
        <v>17000000</v>
      </c>
      <c r="O772" s="2">
        <f t="shared" si="200"/>
        <v>855065</v>
      </c>
      <c r="P772" s="113">
        <f t="shared" si="201"/>
        <v>0</v>
      </c>
      <c r="Q772" s="121">
        <f t="shared" si="191"/>
        <v>2146976</v>
      </c>
    </row>
    <row r="773" spans="2:17" hidden="1" x14ac:dyDescent="0.4">
      <c r="B773" s="110">
        <v>44694</v>
      </c>
      <c r="C773" s="122">
        <f t="shared" si="192"/>
        <v>3000000</v>
      </c>
      <c r="D773" s="111">
        <f t="shared" si="193"/>
        <v>4291</v>
      </c>
      <c r="E773" s="2">
        <f t="shared" si="194"/>
        <v>2250</v>
      </c>
      <c r="F773" s="112">
        <f t="shared" si="188"/>
        <v>17000000</v>
      </c>
      <c r="G773" s="2">
        <f t="shared" si="195"/>
        <v>855065</v>
      </c>
      <c r="H773" s="113">
        <f t="shared" si="196"/>
        <v>0</v>
      </c>
      <c r="I773" s="121">
        <f t="shared" si="189"/>
        <v>2146976</v>
      </c>
      <c r="K773" s="123">
        <f t="shared" si="197"/>
        <v>3000000</v>
      </c>
      <c r="L773" s="111">
        <f t="shared" si="198"/>
        <v>4291</v>
      </c>
      <c r="M773" s="2">
        <f t="shared" si="199"/>
        <v>2250</v>
      </c>
      <c r="N773" s="112">
        <f t="shared" si="190"/>
        <v>17000000</v>
      </c>
      <c r="O773" s="2">
        <f t="shared" si="200"/>
        <v>855065</v>
      </c>
      <c r="P773" s="113">
        <f t="shared" si="201"/>
        <v>0</v>
      </c>
      <c r="Q773" s="121">
        <f t="shared" si="191"/>
        <v>2146976</v>
      </c>
    </row>
    <row r="774" spans="2:17" hidden="1" x14ac:dyDescent="0.4">
      <c r="B774" s="110">
        <v>44695</v>
      </c>
      <c r="C774" s="122">
        <f t="shared" si="192"/>
        <v>3000000</v>
      </c>
      <c r="D774" s="111">
        <f t="shared" si="193"/>
        <v>4291</v>
      </c>
      <c r="E774" s="2">
        <f t="shared" si="194"/>
        <v>2250</v>
      </c>
      <c r="F774" s="112">
        <f t="shared" si="188"/>
        <v>17000000</v>
      </c>
      <c r="G774" s="2">
        <f t="shared" si="195"/>
        <v>855065</v>
      </c>
      <c r="H774" s="113">
        <f t="shared" si="196"/>
        <v>0</v>
      </c>
      <c r="I774" s="121">
        <f t="shared" si="189"/>
        <v>2146976</v>
      </c>
      <c r="K774" s="123">
        <f t="shared" si="197"/>
        <v>3000000</v>
      </c>
      <c r="L774" s="111">
        <f t="shared" si="198"/>
        <v>4291</v>
      </c>
      <c r="M774" s="2">
        <f t="shared" si="199"/>
        <v>2250</v>
      </c>
      <c r="N774" s="112">
        <f t="shared" si="190"/>
        <v>17000000</v>
      </c>
      <c r="O774" s="2">
        <f t="shared" si="200"/>
        <v>855065</v>
      </c>
      <c r="P774" s="113">
        <f t="shared" si="201"/>
        <v>0</v>
      </c>
      <c r="Q774" s="121">
        <f t="shared" si="191"/>
        <v>2146976</v>
      </c>
    </row>
    <row r="775" spans="2:17" hidden="1" x14ac:dyDescent="0.4">
      <c r="B775" s="110">
        <v>44696</v>
      </c>
      <c r="C775" s="122">
        <f t="shared" si="192"/>
        <v>3000000</v>
      </c>
      <c r="D775" s="111">
        <f t="shared" si="193"/>
        <v>4291</v>
      </c>
      <c r="E775" s="2">
        <f t="shared" si="194"/>
        <v>2250</v>
      </c>
      <c r="F775" s="112">
        <f t="shared" si="188"/>
        <v>17000000</v>
      </c>
      <c r="G775" s="2">
        <f t="shared" si="195"/>
        <v>855065</v>
      </c>
      <c r="H775" s="113">
        <f t="shared" si="196"/>
        <v>0</v>
      </c>
      <c r="I775" s="121">
        <f t="shared" si="189"/>
        <v>2146976</v>
      </c>
      <c r="K775" s="123">
        <f t="shared" si="197"/>
        <v>3000000</v>
      </c>
      <c r="L775" s="111">
        <f t="shared" si="198"/>
        <v>4291</v>
      </c>
      <c r="M775" s="2">
        <f t="shared" si="199"/>
        <v>2250</v>
      </c>
      <c r="N775" s="112">
        <f t="shared" si="190"/>
        <v>17000000</v>
      </c>
      <c r="O775" s="2">
        <f t="shared" si="200"/>
        <v>855065</v>
      </c>
      <c r="P775" s="113">
        <f t="shared" si="201"/>
        <v>0</v>
      </c>
      <c r="Q775" s="121">
        <f t="shared" si="191"/>
        <v>2146976</v>
      </c>
    </row>
    <row r="776" spans="2:17" hidden="1" x14ac:dyDescent="0.4">
      <c r="B776" s="110">
        <v>44697</v>
      </c>
      <c r="C776" s="122">
        <f t="shared" si="192"/>
        <v>3000000</v>
      </c>
      <c r="D776" s="111">
        <f t="shared" si="193"/>
        <v>4291</v>
      </c>
      <c r="E776" s="2">
        <f t="shared" si="194"/>
        <v>2250</v>
      </c>
      <c r="F776" s="112">
        <f t="shared" si="188"/>
        <v>17000000</v>
      </c>
      <c r="G776" s="2">
        <f t="shared" si="195"/>
        <v>855065</v>
      </c>
      <c r="H776" s="113">
        <f t="shared" si="196"/>
        <v>0</v>
      </c>
      <c r="I776" s="121">
        <f t="shared" si="189"/>
        <v>2146976</v>
      </c>
      <c r="K776" s="123">
        <f t="shared" si="197"/>
        <v>3000000</v>
      </c>
      <c r="L776" s="111">
        <f t="shared" si="198"/>
        <v>4291</v>
      </c>
      <c r="M776" s="2">
        <f t="shared" si="199"/>
        <v>2250</v>
      </c>
      <c r="N776" s="112">
        <f t="shared" si="190"/>
        <v>17000000</v>
      </c>
      <c r="O776" s="2">
        <f t="shared" si="200"/>
        <v>855065</v>
      </c>
      <c r="P776" s="113">
        <f t="shared" si="201"/>
        <v>0</v>
      </c>
      <c r="Q776" s="121">
        <f t="shared" si="191"/>
        <v>2146976</v>
      </c>
    </row>
    <row r="777" spans="2:17" hidden="1" x14ac:dyDescent="0.4">
      <c r="B777" s="110">
        <v>44698</v>
      </c>
      <c r="C777" s="122">
        <f t="shared" si="192"/>
        <v>3000000</v>
      </c>
      <c r="D777" s="111">
        <f t="shared" si="193"/>
        <v>6457</v>
      </c>
      <c r="E777" s="2">
        <f t="shared" si="194"/>
        <v>2250</v>
      </c>
      <c r="F777" s="112">
        <f t="shared" si="188"/>
        <v>17000000</v>
      </c>
      <c r="G777" s="2">
        <f t="shared" si="195"/>
        <v>855065</v>
      </c>
      <c r="H777" s="113">
        <f t="shared" si="196"/>
        <v>0</v>
      </c>
      <c r="I777" s="121">
        <f t="shared" si="189"/>
        <v>2149142</v>
      </c>
      <c r="K777" s="123">
        <f t="shared" si="197"/>
        <v>3000000</v>
      </c>
      <c r="L777" s="111">
        <f t="shared" si="198"/>
        <v>6457</v>
      </c>
      <c r="M777" s="2">
        <f t="shared" si="199"/>
        <v>2250</v>
      </c>
      <c r="N777" s="112">
        <f t="shared" si="190"/>
        <v>17000000</v>
      </c>
      <c r="O777" s="2">
        <f t="shared" si="200"/>
        <v>855065</v>
      </c>
      <c r="P777" s="113">
        <f t="shared" si="201"/>
        <v>0</v>
      </c>
      <c r="Q777" s="121">
        <f t="shared" si="191"/>
        <v>2149142</v>
      </c>
    </row>
    <row r="778" spans="2:17" hidden="1" x14ac:dyDescent="0.4">
      <c r="B778" s="110">
        <v>44699</v>
      </c>
      <c r="C778" s="122">
        <f t="shared" si="192"/>
        <v>3000000</v>
      </c>
      <c r="D778" s="111">
        <f t="shared" si="193"/>
        <v>6457</v>
      </c>
      <c r="E778" s="2">
        <f t="shared" si="194"/>
        <v>2250</v>
      </c>
      <c r="F778" s="112">
        <f t="shared" ref="F778:F841" si="202">20000000-C778</f>
        <v>17000000</v>
      </c>
      <c r="G778" s="2">
        <f t="shared" si="195"/>
        <v>855065</v>
      </c>
      <c r="H778" s="113">
        <f t="shared" si="196"/>
        <v>0</v>
      </c>
      <c r="I778" s="121">
        <f t="shared" ref="I778:I841" si="203">C778+D778-G778-E778+H778</f>
        <v>2149142</v>
      </c>
      <c r="K778" s="123">
        <f t="shared" si="197"/>
        <v>3000000</v>
      </c>
      <c r="L778" s="111">
        <f t="shared" si="198"/>
        <v>6457</v>
      </c>
      <c r="M778" s="2">
        <f t="shared" si="199"/>
        <v>2250</v>
      </c>
      <c r="N778" s="112">
        <f t="shared" ref="N778:N841" si="204">20000000-K778</f>
        <v>17000000</v>
      </c>
      <c r="O778" s="2">
        <f t="shared" si="200"/>
        <v>855065</v>
      </c>
      <c r="P778" s="113">
        <f t="shared" si="201"/>
        <v>0</v>
      </c>
      <c r="Q778" s="121">
        <f t="shared" ref="Q778:Q841" si="205">K778+L778-O778-M778+P778</f>
        <v>2149142</v>
      </c>
    </row>
    <row r="779" spans="2:17" hidden="1" x14ac:dyDescent="0.4">
      <c r="B779" s="110">
        <v>44700</v>
      </c>
      <c r="C779" s="122">
        <f t="shared" ref="C779:C842" si="206">SUMIF($B$6:$B$75,$B779,$D$6:$D$75)+C778</f>
        <v>3000000</v>
      </c>
      <c r="D779" s="111">
        <f t="shared" ref="D779:D842" si="207">SUMIF($B$6:$B$75,$B779,$E$6:$E$75)+D778</f>
        <v>6457</v>
      </c>
      <c r="E779" s="2">
        <f t="shared" ref="E779:E842" si="208">SUMIF($G$353:$G$376,$B779,$J$353:$J$376)+SUMIF($E$353:$E$376,$B779,$H$353:$H$376)+SUMIF($G$353:$G$376,$B779,$I$353:$I$376)+E778</f>
        <v>2250</v>
      </c>
      <c r="F779" s="112">
        <f t="shared" si="202"/>
        <v>17000000</v>
      </c>
      <c r="G779" s="2">
        <f t="shared" ref="G779:G842" si="209">SUMIF($E$353:$E$376,$B779,$M$353:$M$376)+G778</f>
        <v>855065</v>
      </c>
      <c r="H779" s="113">
        <f t="shared" ref="H779:H842" si="210">SUMIF($G$353:$G$376,$B779,$N$353:$N$376)+H778</f>
        <v>0</v>
      </c>
      <c r="I779" s="121">
        <f t="shared" si="203"/>
        <v>2149142</v>
      </c>
      <c r="K779" s="123">
        <f t="shared" ref="K779:K842" si="211">SUMIF($B$6:$B$75,$B779,$D$6:$D$75)+K778</f>
        <v>3000000</v>
      </c>
      <c r="L779" s="111">
        <f t="shared" ref="L779:L842" si="212">SUMIF($B$6:$B$75,$B779,$E$6:$E$75)+L778</f>
        <v>6457</v>
      </c>
      <c r="M779" s="2">
        <f t="shared" ref="M779:M842" si="213">SUMIF($G$353:$G$376,$B779,$J$353:$J$376)+SUMIF($E$353:$E$376,$B779,$H$353:$H$376)+SUMIF($G$353:$G$376,$B779,$I$353:$I$376)+M778</f>
        <v>2250</v>
      </c>
      <c r="N779" s="112">
        <f t="shared" si="204"/>
        <v>17000000</v>
      </c>
      <c r="O779" s="2">
        <f t="shared" ref="O779:O842" si="214">SUMIF($E$353:$E$376,$B779,$M$353:$M$376)+O778</f>
        <v>855065</v>
      </c>
      <c r="P779" s="113">
        <f t="shared" ref="P779:P842" si="215">SUMIF($G$353:$G$376,$B779,$N$353:$N$376)+P778</f>
        <v>0</v>
      </c>
      <c r="Q779" s="121">
        <f t="shared" si="205"/>
        <v>2149142</v>
      </c>
    </row>
    <row r="780" spans="2:17" hidden="1" x14ac:dyDescent="0.4">
      <c r="B780" s="110">
        <v>44701</v>
      </c>
      <c r="C780" s="122">
        <f t="shared" si="206"/>
        <v>3000000</v>
      </c>
      <c r="D780" s="111">
        <f t="shared" si="207"/>
        <v>6457</v>
      </c>
      <c r="E780" s="2">
        <f t="shared" si="208"/>
        <v>2250</v>
      </c>
      <c r="F780" s="112">
        <f t="shared" si="202"/>
        <v>17000000</v>
      </c>
      <c r="G780" s="2">
        <f t="shared" si="209"/>
        <v>855065</v>
      </c>
      <c r="H780" s="113">
        <f t="shared" si="210"/>
        <v>0</v>
      </c>
      <c r="I780" s="121">
        <f t="shared" si="203"/>
        <v>2149142</v>
      </c>
      <c r="K780" s="123">
        <f t="shared" si="211"/>
        <v>3000000</v>
      </c>
      <c r="L780" s="111">
        <f t="shared" si="212"/>
        <v>6457</v>
      </c>
      <c r="M780" s="2">
        <f t="shared" si="213"/>
        <v>2250</v>
      </c>
      <c r="N780" s="112">
        <f t="shared" si="204"/>
        <v>17000000</v>
      </c>
      <c r="O780" s="2">
        <f t="shared" si="214"/>
        <v>855065</v>
      </c>
      <c r="P780" s="113">
        <f t="shared" si="215"/>
        <v>0</v>
      </c>
      <c r="Q780" s="121">
        <f t="shared" si="205"/>
        <v>2149142</v>
      </c>
    </row>
    <row r="781" spans="2:17" hidden="1" x14ac:dyDescent="0.4">
      <c r="B781" s="110">
        <v>44702</v>
      </c>
      <c r="C781" s="122">
        <f t="shared" si="206"/>
        <v>3000000</v>
      </c>
      <c r="D781" s="111">
        <f t="shared" si="207"/>
        <v>6457</v>
      </c>
      <c r="E781" s="2">
        <f t="shared" si="208"/>
        <v>2250</v>
      </c>
      <c r="F781" s="112">
        <f t="shared" si="202"/>
        <v>17000000</v>
      </c>
      <c r="G781" s="2">
        <f t="shared" si="209"/>
        <v>855065</v>
      </c>
      <c r="H781" s="113">
        <f t="shared" si="210"/>
        <v>0</v>
      </c>
      <c r="I781" s="121">
        <f t="shared" si="203"/>
        <v>2149142</v>
      </c>
      <c r="K781" s="123">
        <f t="shared" si="211"/>
        <v>3000000</v>
      </c>
      <c r="L781" s="111">
        <f t="shared" si="212"/>
        <v>6457</v>
      </c>
      <c r="M781" s="2">
        <f t="shared" si="213"/>
        <v>2250</v>
      </c>
      <c r="N781" s="112">
        <f t="shared" si="204"/>
        <v>17000000</v>
      </c>
      <c r="O781" s="2">
        <f t="shared" si="214"/>
        <v>855065</v>
      </c>
      <c r="P781" s="113">
        <f t="shared" si="215"/>
        <v>0</v>
      </c>
      <c r="Q781" s="121">
        <f t="shared" si="205"/>
        <v>2149142</v>
      </c>
    </row>
    <row r="782" spans="2:17" hidden="1" x14ac:dyDescent="0.4">
      <c r="B782" s="110">
        <v>44703</v>
      </c>
      <c r="C782" s="122">
        <f t="shared" si="206"/>
        <v>3000000</v>
      </c>
      <c r="D782" s="111">
        <f t="shared" si="207"/>
        <v>6457</v>
      </c>
      <c r="E782" s="2">
        <f t="shared" si="208"/>
        <v>2250</v>
      </c>
      <c r="F782" s="112">
        <f t="shared" si="202"/>
        <v>17000000</v>
      </c>
      <c r="G782" s="2">
        <f t="shared" si="209"/>
        <v>855065</v>
      </c>
      <c r="H782" s="113">
        <f t="shared" si="210"/>
        <v>0</v>
      </c>
      <c r="I782" s="121">
        <f t="shared" si="203"/>
        <v>2149142</v>
      </c>
      <c r="K782" s="123">
        <f t="shared" si="211"/>
        <v>3000000</v>
      </c>
      <c r="L782" s="111">
        <f t="shared" si="212"/>
        <v>6457</v>
      </c>
      <c r="M782" s="2">
        <f t="shared" si="213"/>
        <v>2250</v>
      </c>
      <c r="N782" s="112">
        <f t="shared" si="204"/>
        <v>17000000</v>
      </c>
      <c r="O782" s="2">
        <f t="shared" si="214"/>
        <v>855065</v>
      </c>
      <c r="P782" s="113">
        <f t="shared" si="215"/>
        <v>0</v>
      </c>
      <c r="Q782" s="121">
        <f t="shared" si="205"/>
        <v>2149142</v>
      </c>
    </row>
    <row r="783" spans="2:17" hidden="1" x14ac:dyDescent="0.4">
      <c r="B783" s="110">
        <v>44704</v>
      </c>
      <c r="C783" s="122">
        <f t="shared" si="206"/>
        <v>3000000</v>
      </c>
      <c r="D783" s="111">
        <f t="shared" si="207"/>
        <v>6457</v>
      </c>
      <c r="E783" s="2">
        <f t="shared" si="208"/>
        <v>2250</v>
      </c>
      <c r="F783" s="112">
        <f t="shared" si="202"/>
        <v>17000000</v>
      </c>
      <c r="G783" s="2">
        <f t="shared" si="209"/>
        <v>855065</v>
      </c>
      <c r="H783" s="113">
        <f t="shared" si="210"/>
        <v>0</v>
      </c>
      <c r="I783" s="121">
        <f t="shared" si="203"/>
        <v>2149142</v>
      </c>
      <c r="K783" s="123">
        <f t="shared" si="211"/>
        <v>3000000</v>
      </c>
      <c r="L783" s="111">
        <f t="shared" si="212"/>
        <v>6457</v>
      </c>
      <c r="M783" s="2">
        <f t="shared" si="213"/>
        <v>2250</v>
      </c>
      <c r="N783" s="112">
        <f t="shared" si="204"/>
        <v>17000000</v>
      </c>
      <c r="O783" s="2">
        <f t="shared" si="214"/>
        <v>855065</v>
      </c>
      <c r="P783" s="113">
        <f t="shared" si="215"/>
        <v>0</v>
      </c>
      <c r="Q783" s="121">
        <f t="shared" si="205"/>
        <v>2149142</v>
      </c>
    </row>
    <row r="784" spans="2:17" hidden="1" x14ac:dyDescent="0.4">
      <c r="B784" s="110">
        <v>44705</v>
      </c>
      <c r="C784" s="122">
        <f t="shared" si="206"/>
        <v>3000000</v>
      </c>
      <c r="D784" s="111">
        <f t="shared" si="207"/>
        <v>6457</v>
      </c>
      <c r="E784" s="2">
        <f t="shared" si="208"/>
        <v>2250</v>
      </c>
      <c r="F784" s="112">
        <f t="shared" si="202"/>
        <v>17000000</v>
      </c>
      <c r="G784" s="2">
        <f t="shared" si="209"/>
        <v>855065</v>
      </c>
      <c r="H784" s="113">
        <f t="shared" si="210"/>
        <v>0</v>
      </c>
      <c r="I784" s="121">
        <f t="shared" si="203"/>
        <v>2149142</v>
      </c>
      <c r="K784" s="123">
        <f t="shared" si="211"/>
        <v>3000000</v>
      </c>
      <c r="L784" s="111">
        <f t="shared" si="212"/>
        <v>6457</v>
      </c>
      <c r="M784" s="2">
        <f t="shared" si="213"/>
        <v>2250</v>
      </c>
      <c r="N784" s="112">
        <f t="shared" si="204"/>
        <v>17000000</v>
      </c>
      <c r="O784" s="2">
        <f t="shared" si="214"/>
        <v>855065</v>
      </c>
      <c r="P784" s="113">
        <f t="shared" si="215"/>
        <v>0</v>
      </c>
      <c r="Q784" s="121">
        <f t="shared" si="205"/>
        <v>2149142</v>
      </c>
    </row>
    <row r="785" spans="2:17" hidden="1" x14ac:dyDescent="0.4">
      <c r="B785" s="110">
        <v>44706</v>
      </c>
      <c r="C785" s="122">
        <f t="shared" si="206"/>
        <v>3000000</v>
      </c>
      <c r="D785" s="111">
        <f t="shared" si="207"/>
        <v>6457</v>
      </c>
      <c r="E785" s="2">
        <f t="shared" si="208"/>
        <v>2250</v>
      </c>
      <c r="F785" s="112">
        <f t="shared" si="202"/>
        <v>17000000</v>
      </c>
      <c r="G785" s="2">
        <f t="shared" si="209"/>
        <v>855065</v>
      </c>
      <c r="H785" s="113">
        <f t="shared" si="210"/>
        <v>0</v>
      </c>
      <c r="I785" s="121">
        <f t="shared" si="203"/>
        <v>2149142</v>
      </c>
      <c r="K785" s="123">
        <f t="shared" si="211"/>
        <v>3000000</v>
      </c>
      <c r="L785" s="111">
        <f t="shared" si="212"/>
        <v>6457</v>
      </c>
      <c r="M785" s="2">
        <f t="shared" si="213"/>
        <v>2250</v>
      </c>
      <c r="N785" s="112">
        <f t="shared" si="204"/>
        <v>17000000</v>
      </c>
      <c r="O785" s="2">
        <f t="shared" si="214"/>
        <v>855065</v>
      </c>
      <c r="P785" s="113">
        <f t="shared" si="215"/>
        <v>0</v>
      </c>
      <c r="Q785" s="121">
        <f t="shared" si="205"/>
        <v>2149142</v>
      </c>
    </row>
    <row r="786" spans="2:17" hidden="1" x14ac:dyDescent="0.4">
      <c r="B786" s="110">
        <v>44707</v>
      </c>
      <c r="C786" s="122">
        <f t="shared" si="206"/>
        <v>3000000</v>
      </c>
      <c r="D786" s="111">
        <f t="shared" si="207"/>
        <v>6457</v>
      </c>
      <c r="E786" s="2">
        <f t="shared" si="208"/>
        <v>2250</v>
      </c>
      <c r="F786" s="112">
        <f t="shared" si="202"/>
        <v>17000000</v>
      </c>
      <c r="G786" s="2">
        <f t="shared" si="209"/>
        <v>855065</v>
      </c>
      <c r="H786" s="113">
        <f t="shared" si="210"/>
        <v>0</v>
      </c>
      <c r="I786" s="121">
        <f t="shared" si="203"/>
        <v>2149142</v>
      </c>
      <c r="K786" s="123">
        <f t="shared" si="211"/>
        <v>3000000</v>
      </c>
      <c r="L786" s="111">
        <f t="shared" si="212"/>
        <v>6457</v>
      </c>
      <c r="M786" s="2">
        <f t="shared" si="213"/>
        <v>2250</v>
      </c>
      <c r="N786" s="112">
        <f t="shared" si="204"/>
        <v>17000000</v>
      </c>
      <c r="O786" s="2">
        <f t="shared" si="214"/>
        <v>855065</v>
      </c>
      <c r="P786" s="113">
        <f t="shared" si="215"/>
        <v>0</v>
      </c>
      <c r="Q786" s="121">
        <f t="shared" si="205"/>
        <v>2149142</v>
      </c>
    </row>
    <row r="787" spans="2:17" hidden="1" x14ac:dyDescent="0.4">
      <c r="B787" s="110">
        <v>44708</v>
      </c>
      <c r="C787" s="122">
        <f t="shared" si="206"/>
        <v>3000000</v>
      </c>
      <c r="D787" s="111">
        <f t="shared" si="207"/>
        <v>6457</v>
      </c>
      <c r="E787" s="2">
        <f t="shared" si="208"/>
        <v>2250</v>
      </c>
      <c r="F787" s="112">
        <f t="shared" si="202"/>
        <v>17000000</v>
      </c>
      <c r="G787" s="2">
        <f t="shared" si="209"/>
        <v>855065</v>
      </c>
      <c r="H787" s="113">
        <f t="shared" si="210"/>
        <v>0</v>
      </c>
      <c r="I787" s="121">
        <f t="shared" si="203"/>
        <v>2149142</v>
      </c>
      <c r="K787" s="123">
        <f t="shared" si="211"/>
        <v>3000000</v>
      </c>
      <c r="L787" s="111">
        <f t="shared" si="212"/>
        <v>6457</v>
      </c>
      <c r="M787" s="2">
        <f t="shared" si="213"/>
        <v>2250</v>
      </c>
      <c r="N787" s="112">
        <f t="shared" si="204"/>
        <v>17000000</v>
      </c>
      <c r="O787" s="2">
        <f t="shared" si="214"/>
        <v>855065</v>
      </c>
      <c r="P787" s="113">
        <f t="shared" si="215"/>
        <v>0</v>
      </c>
      <c r="Q787" s="121">
        <f t="shared" si="205"/>
        <v>2149142</v>
      </c>
    </row>
    <row r="788" spans="2:17" hidden="1" x14ac:dyDescent="0.4">
      <c r="B788" s="110">
        <v>44709</v>
      </c>
      <c r="C788" s="122">
        <f t="shared" si="206"/>
        <v>3000000</v>
      </c>
      <c r="D788" s="111">
        <f t="shared" si="207"/>
        <v>6457</v>
      </c>
      <c r="E788" s="2">
        <f t="shared" si="208"/>
        <v>2250</v>
      </c>
      <c r="F788" s="112">
        <f t="shared" si="202"/>
        <v>17000000</v>
      </c>
      <c r="G788" s="2">
        <f t="shared" si="209"/>
        <v>855065</v>
      </c>
      <c r="H788" s="113">
        <f t="shared" si="210"/>
        <v>0</v>
      </c>
      <c r="I788" s="121">
        <f t="shared" si="203"/>
        <v>2149142</v>
      </c>
      <c r="K788" s="123">
        <f t="shared" si="211"/>
        <v>3000000</v>
      </c>
      <c r="L788" s="111">
        <f t="shared" si="212"/>
        <v>6457</v>
      </c>
      <c r="M788" s="2">
        <f t="shared" si="213"/>
        <v>2250</v>
      </c>
      <c r="N788" s="112">
        <f t="shared" si="204"/>
        <v>17000000</v>
      </c>
      <c r="O788" s="2">
        <f t="shared" si="214"/>
        <v>855065</v>
      </c>
      <c r="P788" s="113">
        <f t="shared" si="215"/>
        <v>0</v>
      </c>
      <c r="Q788" s="121">
        <f t="shared" si="205"/>
        <v>2149142</v>
      </c>
    </row>
    <row r="789" spans="2:17" hidden="1" x14ac:dyDescent="0.4">
      <c r="B789" s="110">
        <v>44710</v>
      </c>
      <c r="C789" s="122">
        <f t="shared" si="206"/>
        <v>3000000</v>
      </c>
      <c r="D789" s="111">
        <f t="shared" si="207"/>
        <v>6457</v>
      </c>
      <c r="E789" s="2">
        <f t="shared" si="208"/>
        <v>2250</v>
      </c>
      <c r="F789" s="112">
        <f t="shared" si="202"/>
        <v>17000000</v>
      </c>
      <c r="G789" s="2">
        <f t="shared" si="209"/>
        <v>855065</v>
      </c>
      <c r="H789" s="113">
        <f t="shared" si="210"/>
        <v>0</v>
      </c>
      <c r="I789" s="121">
        <f t="shared" si="203"/>
        <v>2149142</v>
      </c>
      <c r="K789" s="123">
        <f t="shared" si="211"/>
        <v>3000000</v>
      </c>
      <c r="L789" s="111">
        <f t="shared" si="212"/>
        <v>6457</v>
      </c>
      <c r="M789" s="2">
        <f t="shared" si="213"/>
        <v>2250</v>
      </c>
      <c r="N789" s="112">
        <f t="shared" si="204"/>
        <v>17000000</v>
      </c>
      <c r="O789" s="2">
        <f t="shared" si="214"/>
        <v>855065</v>
      </c>
      <c r="P789" s="113">
        <f t="shared" si="215"/>
        <v>0</v>
      </c>
      <c r="Q789" s="121">
        <f t="shared" si="205"/>
        <v>2149142</v>
      </c>
    </row>
    <row r="790" spans="2:17" hidden="1" x14ac:dyDescent="0.4">
      <c r="B790" s="110">
        <v>44711</v>
      </c>
      <c r="C790" s="122">
        <f t="shared" si="206"/>
        <v>3000000</v>
      </c>
      <c r="D790" s="111">
        <f t="shared" si="207"/>
        <v>6457</v>
      </c>
      <c r="E790" s="2">
        <f t="shared" si="208"/>
        <v>2250</v>
      </c>
      <c r="F790" s="112">
        <f t="shared" si="202"/>
        <v>17000000</v>
      </c>
      <c r="G790" s="2">
        <f t="shared" si="209"/>
        <v>855065</v>
      </c>
      <c r="H790" s="113">
        <f t="shared" si="210"/>
        <v>0</v>
      </c>
      <c r="I790" s="121">
        <f t="shared" si="203"/>
        <v>2149142</v>
      </c>
      <c r="K790" s="123">
        <f t="shared" si="211"/>
        <v>3000000</v>
      </c>
      <c r="L790" s="111">
        <f t="shared" si="212"/>
        <v>6457</v>
      </c>
      <c r="M790" s="2">
        <f t="shared" si="213"/>
        <v>2250</v>
      </c>
      <c r="N790" s="112">
        <f t="shared" si="204"/>
        <v>17000000</v>
      </c>
      <c r="O790" s="2">
        <f t="shared" si="214"/>
        <v>855065</v>
      </c>
      <c r="P790" s="113">
        <f t="shared" si="215"/>
        <v>0</v>
      </c>
      <c r="Q790" s="121">
        <f t="shared" si="205"/>
        <v>2149142</v>
      </c>
    </row>
    <row r="791" spans="2:17" hidden="1" x14ac:dyDescent="0.4">
      <c r="B791" s="110">
        <v>44712</v>
      </c>
      <c r="C791" s="122">
        <f t="shared" si="206"/>
        <v>3000000</v>
      </c>
      <c r="D791" s="111">
        <f t="shared" si="207"/>
        <v>6457</v>
      </c>
      <c r="E791" s="2">
        <f t="shared" si="208"/>
        <v>2250</v>
      </c>
      <c r="F791" s="112">
        <f t="shared" si="202"/>
        <v>17000000</v>
      </c>
      <c r="G791" s="2">
        <f t="shared" si="209"/>
        <v>855065</v>
      </c>
      <c r="H791" s="113">
        <f t="shared" si="210"/>
        <v>0</v>
      </c>
      <c r="I791" s="121">
        <f t="shared" si="203"/>
        <v>2149142</v>
      </c>
      <c r="K791" s="123">
        <f t="shared" si="211"/>
        <v>3000000</v>
      </c>
      <c r="L791" s="111">
        <f t="shared" si="212"/>
        <v>6457</v>
      </c>
      <c r="M791" s="2">
        <f t="shared" si="213"/>
        <v>2250</v>
      </c>
      <c r="N791" s="112">
        <f t="shared" si="204"/>
        <v>17000000</v>
      </c>
      <c r="O791" s="2">
        <f t="shared" si="214"/>
        <v>855065</v>
      </c>
      <c r="P791" s="113">
        <f t="shared" si="215"/>
        <v>0</v>
      </c>
      <c r="Q791" s="121">
        <f t="shared" si="205"/>
        <v>2149142</v>
      </c>
    </row>
    <row r="792" spans="2:17" x14ac:dyDescent="0.4">
      <c r="B792" s="110">
        <v>44713</v>
      </c>
      <c r="C792" s="122">
        <f t="shared" si="206"/>
        <v>3000000</v>
      </c>
      <c r="D792" s="111">
        <f t="shared" si="207"/>
        <v>6457</v>
      </c>
      <c r="E792" s="2">
        <f t="shared" si="208"/>
        <v>2250</v>
      </c>
      <c r="F792" s="112">
        <f t="shared" si="202"/>
        <v>17000000</v>
      </c>
      <c r="G792" s="2">
        <f t="shared" si="209"/>
        <v>855065</v>
      </c>
      <c r="H792" s="113">
        <f t="shared" si="210"/>
        <v>0</v>
      </c>
      <c r="I792" s="121">
        <f t="shared" si="203"/>
        <v>2149142</v>
      </c>
      <c r="K792" s="123">
        <f t="shared" si="211"/>
        <v>3000000</v>
      </c>
      <c r="L792" s="111">
        <f t="shared" si="212"/>
        <v>6457</v>
      </c>
      <c r="M792" s="2">
        <f t="shared" si="213"/>
        <v>2250</v>
      </c>
      <c r="N792" s="112">
        <f t="shared" si="204"/>
        <v>17000000</v>
      </c>
      <c r="O792" s="2">
        <f t="shared" si="214"/>
        <v>855065</v>
      </c>
      <c r="P792" s="113">
        <f t="shared" si="215"/>
        <v>0</v>
      </c>
      <c r="Q792" s="121">
        <f t="shared" si="205"/>
        <v>2149142</v>
      </c>
    </row>
    <row r="793" spans="2:17" hidden="1" x14ac:dyDescent="0.4">
      <c r="B793" s="110">
        <v>44714</v>
      </c>
      <c r="C793" s="122">
        <f t="shared" si="206"/>
        <v>3000000</v>
      </c>
      <c r="D793" s="111">
        <f t="shared" si="207"/>
        <v>7684</v>
      </c>
      <c r="E793" s="2">
        <f t="shared" si="208"/>
        <v>2250</v>
      </c>
      <c r="F793" s="112">
        <f t="shared" si="202"/>
        <v>17000000</v>
      </c>
      <c r="G793" s="2">
        <f t="shared" si="209"/>
        <v>855065</v>
      </c>
      <c r="H793" s="113">
        <f t="shared" si="210"/>
        <v>0</v>
      </c>
      <c r="I793" s="121">
        <f t="shared" si="203"/>
        <v>2150369</v>
      </c>
      <c r="K793" s="123">
        <f t="shared" si="211"/>
        <v>3000000</v>
      </c>
      <c r="L793" s="111">
        <f t="shared" si="212"/>
        <v>7684</v>
      </c>
      <c r="M793" s="2">
        <f t="shared" si="213"/>
        <v>2250</v>
      </c>
      <c r="N793" s="112">
        <f t="shared" si="204"/>
        <v>17000000</v>
      </c>
      <c r="O793" s="2">
        <f t="shared" si="214"/>
        <v>855065</v>
      </c>
      <c r="P793" s="113">
        <f t="shared" si="215"/>
        <v>0</v>
      </c>
      <c r="Q793" s="121">
        <f t="shared" si="205"/>
        <v>2150369</v>
      </c>
    </row>
    <row r="794" spans="2:17" hidden="1" x14ac:dyDescent="0.4">
      <c r="B794" s="110">
        <v>44715</v>
      </c>
      <c r="C794" s="122">
        <f t="shared" si="206"/>
        <v>3000000</v>
      </c>
      <c r="D794" s="111">
        <f t="shared" si="207"/>
        <v>7684</v>
      </c>
      <c r="E794" s="2">
        <f t="shared" si="208"/>
        <v>2250</v>
      </c>
      <c r="F794" s="112">
        <f t="shared" si="202"/>
        <v>17000000</v>
      </c>
      <c r="G794" s="2">
        <f t="shared" si="209"/>
        <v>855065</v>
      </c>
      <c r="H794" s="113">
        <f t="shared" si="210"/>
        <v>0</v>
      </c>
      <c r="I794" s="121">
        <f t="shared" si="203"/>
        <v>2150369</v>
      </c>
      <c r="K794" s="123">
        <f t="shared" si="211"/>
        <v>3000000</v>
      </c>
      <c r="L794" s="111">
        <f t="shared" si="212"/>
        <v>7684</v>
      </c>
      <c r="M794" s="2">
        <f t="shared" si="213"/>
        <v>2250</v>
      </c>
      <c r="N794" s="112">
        <f t="shared" si="204"/>
        <v>17000000</v>
      </c>
      <c r="O794" s="2">
        <f t="shared" si="214"/>
        <v>855065</v>
      </c>
      <c r="P794" s="113">
        <f t="shared" si="215"/>
        <v>0</v>
      </c>
      <c r="Q794" s="121">
        <f t="shared" si="205"/>
        <v>2150369</v>
      </c>
    </row>
    <row r="795" spans="2:17" hidden="1" x14ac:dyDescent="0.4">
      <c r="B795" s="110">
        <v>44716</v>
      </c>
      <c r="C795" s="122">
        <f t="shared" si="206"/>
        <v>3000000</v>
      </c>
      <c r="D795" s="111">
        <f t="shared" si="207"/>
        <v>7684</v>
      </c>
      <c r="E795" s="2">
        <f t="shared" si="208"/>
        <v>2250</v>
      </c>
      <c r="F795" s="112">
        <f t="shared" si="202"/>
        <v>17000000</v>
      </c>
      <c r="G795" s="2">
        <f t="shared" si="209"/>
        <v>855065</v>
      </c>
      <c r="H795" s="113">
        <f t="shared" si="210"/>
        <v>0</v>
      </c>
      <c r="I795" s="121">
        <f t="shared" si="203"/>
        <v>2150369</v>
      </c>
      <c r="K795" s="123">
        <f t="shared" si="211"/>
        <v>3000000</v>
      </c>
      <c r="L795" s="111">
        <f t="shared" si="212"/>
        <v>7684</v>
      </c>
      <c r="M795" s="2">
        <f t="shared" si="213"/>
        <v>2250</v>
      </c>
      <c r="N795" s="112">
        <f t="shared" si="204"/>
        <v>17000000</v>
      </c>
      <c r="O795" s="2">
        <f t="shared" si="214"/>
        <v>855065</v>
      </c>
      <c r="P795" s="113">
        <f t="shared" si="215"/>
        <v>0</v>
      </c>
      <c r="Q795" s="121">
        <f t="shared" si="205"/>
        <v>2150369</v>
      </c>
    </row>
    <row r="796" spans="2:17" hidden="1" x14ac:dyDescent="0.4">
      <c r="B796" s="110">
        <v>44717</v>
      </c>
      <c r="C796" s="122">
        <f t="shared" si="206"/>
        <v>3000000</v>
      </c>
      <c r="D796" s="111">
        <f t="shared" si="207"/>
        <v>7684</v>
      </c>
      <c r="E796" s="2">
        <f t="shared" si="208"/>
        <v>2250</v>
      </c>
      <c r="F796" s="112">
        <f t="shared" si="202"/>
        <v>17000000</v>
      </c>
      <c r="G796" s="2">
        <f t="shared" si="209"/>
        <v>855065</v>
      </c>
      <c r="H796" s="113">
        <f t="shared" si="210"/>
        <v>0</v>
      </c>
      <c r="I796" s="121">
        <f t="shared" si="203"/>
        <v>2150369</v>
      </c>
      <c r="K796" s="123">
        <f t="shared" si="211"/>
        <v>3000000</v>
      </c>
      <c r="L796" s="111">
        <f t="shared" si="212"/>
        <v>7684</v>
      </c>
      <c r="M796" s="2">
        <f t="shared" si="213"/>
        <v>2250</v>
      </c>
      <c r="N796" s="112">
        <f t="shared" si="204"/>
        <v>17000000</v>
      </c>
      <c r="O796" s="2">
        <f t="shared" si="214"/>
        <v>855065</v>
      </c>
      <c r="P796" s="113">
        <f t="shared" si="215"/>
        <v>0</v>
      </c>
      <c r="Q796" s="121">
        <f t="shared" si="205"/>
        <v>2150369</v>
      </c>
    </row>
    <row r="797" spans="2:17" hidden="1" x14ac:dyDescent="0.4">
      <c r="B797" s="110">
        <v>44718</v>
      </c>
      <c r="C797" s="122">
        <f t="shared" si="206"/>
        <v>3000000</v>
      </c>
      <c r="D797" s="111">
        <f t="shared" si="207"/>
        <v>7684</v>
      </c>
      <c r="E797" s="2">
        <f t="shared" si="208"/>
        <v>2250</v>
      </c>
      <c r="F797" s="112">
        <f t="shared" si="202"/>
        <v>17000000</v>
      </c>
      <c r="G797" s="2">
        <f t="shared" si="209"/>
        <v>855065</v>
      </c>
      <c r="H797" s="113">
        <f t="shared" si="210"/>
        <v>0</v>
      </c>
      <c r="I797" s="121">
        <f t="shared" si="203"/>
        <v>2150369</v>
      </c>
      <c r="K797" s="123">
        <f t="shared" si="211"/>
        <v>3000000</v>
      </c>
      <c r="L797" s="111">
        <f t="shared" si="212"/>
        <v>7684</v>
      </c>
      <c r="M797" s="2">
        <f t="shared" si="213"/>
        <v>2250</v>
      </c>
      <c r="N797" s="112">
        <f t="shared" si="204"/>
        <v>17000000</v>
      </c>
      <c r="O797" s="2">
        <f t="shared" si="214"/>
        <v>855065</v>
      </c>
      <c r="P797" s="113">
        <f t="shared" si="215"/>
        <v>0</v>
      </c>
      <c r="Q797" s="121">
        <f t="shared" si="205"/>
        <v>2150369</v>
      </c>
    </row>
    <row r="798" spans="2:17" hidden="1" x14ac:dyDescent="0.4">
      <c r="B798" s="110">
        <v>44719</v>
      </c>
      <c r="C798" s="122">
        <f t="shared" si="206"/>
        <v>3000000</v>
      </c>
      <c r="D798" s="111">
        <f t="shared" si="207"/>
        <v>7684</v>
      </c>
      <c r="E798" s="2">
        <f t="shared" si="208"/>
        <v>2250</v>
      </c>
      <c r="F798" s="112">
        <f t="shared" si="202"/>
        <v>17000000</v>
      </c>
      <c r="G798" s="2">
        <f t="shared" si="209"/>
        <v>855065</v>
      </c>
      <c r="H798" s="113">
        <f t="shared" si="210"/>
        <v>0</v>
      </c>
      <c r="I798" s="121">
        <f t="shared" si="203"/>
        <v>2150369</v>
      </c>
      <c r="K798" s="123">
        <f t="shared" si="211"/>
        <v>3000000</v>
      </c>
      <c r="L798" s="111">
        <f t="shared" si="212"/>
        <v>7684</v>
      </c>
      <c r="M798" s="2">
        <f t="shared" si="213"/>
        <v>2250</v>
      </c>
      <c r="N798" s="112">
        <f t="shared" si="204"/>
        <v>17000000</v>
      </c>
      <c r="O798" s="2">
        <f t="shared" si="214"/>
        <v>855065</v>
      </c>
      <c r="P798" s="113">
        <f t="shared" si="215"/>
        <v>0</v>
      </c>
      <c r="Q798" s="121">
        <f t="shared" si="205"/>
        <v>2150369</v>
      </c>
    </row>
    <row r="799" spans="2:17" hidden="1" x14ac:dyDescent="0.4">
      <c r="B799" s="110">
        <v>44720</v>
      </c>
      <c r="C799" s="122">
        <f t="shared" si="206"/>
        <v>3000000</v>
      </c>
      <c r="D799" s="111">
        <f t="shared" si="207"/>
        <v>7684</v>
      </c>
      <c r="E799" s="2">
        <f t="shared" si="208"/>
        <v>2250</v>
      </c>
      <c r="F799" s="112">
        <f t="shared" si="202"/>
        <v>17000000</v>
      </c>
      <c r="G799" s="2">
        <f t="shared" si="209"/>
        <v>855065</v>
      </c>
      <c r="H799" s="113">
        <f t="shared" si="210"/>
        <v>0</v>
      </c>
      <c r="I799" s="121">
        <f t="shared" si="203"/>
        <v>2150369</v>
      </c>
      <c r="K799" s="123">
        <f t="shared" si="211"/>
        <v>3000000</v>
      </c>
      <c r="L799" s="111">
        <f t="shared" si="212"/>
        <v>7684</v>
      </c>
      <c r="M799" s="2">
        <f t="shared" si="213"/>
        <v>2250</v>
      </c>
      <c r="N799" s="112">
        <f t="shared" si="204"/>
        <v>17000000</v>
      </c>
      <c r="O799" s="2">
        <f t="shared" si="214"/>
        <v>855065</v>
      </c>
      <c r="P799" s="113">
        <f t="shared" si="215"/>
        <v>0</v>
      </c>
      <c r="Q799" s="121">
        <f t="shared" si="205"/>
        <v>2150369</v>
      </c>
    </row>
    <row r="800" spans="2:17" hidden="1" x14ac:dyDescent="0.4">
      <c r="B800" s="110">
        <v>44721</v>
      </c>
      <c r="C800" s="122">
        <f t="shared" si="206"/>
        <v>3000000</v>
      </c>
      <c r="D800" s="111">
        <f t="shared" si="207"/>
        <v>7684</v>
      </c>
      <c r="E800" s="2">
        <f t="shared" si="208"/>
        <v>2250</v>
      </c>
      <c r="F800" s="112">
        <f t="shared" si="202"/>
        <v>17000000</v>
      </c>
      <c r="G800" s="2">
        <f t="shared" si="209"/>
        <v>855065</v>
      </c>
      <c r="H800" s="113">
        <f t="shared" si="210"/>
        <v>0</v>
      </c>
      <c r="I800" s="121">
        <f t="shared" si="203"/>
        <v>2150369</v>
      </c>
      <c r="K800" s="123">
        <f t="shared" si="211"/>
        <v>3000000</v>
      </c>
      <c r="L800" s="111">
        <f t="shared" si="212"/>
        <v>7684</v>
      </c>
      <c r="M800" s="2">
        <f t="shared" si="213"/>
        <v>2250</v>
      </c>
      <c r="N800" s="112">
        <f t="shared" si="204"/>
        <v>17000000</v>
      </c>
      <c r="O800" s="2">
        <f t="shared" si="214"/>
        <v>855065</v>
      </c>
      <c r="P800" s="113">
        <f t="shared" si="215"/>
        <v>0</v>
      </c>
      <c r="Q800" s="121">
        <f t="shared" si="205"/>
        <v>2150369</v>
      </c>
    </row>
    <row r="801" spans="2:17" hidden="1" x14ac:dyDescent="0.4">
      <c r="B801" s="110">
        <v>44722</v>
      </c>
      <c r="C801" s="122">
        <f t="shared" si="206"/>
        <v>3000000</v>
      </c>
      <c r="D801" s="111">
        <f t="shared" si="207"/>
        <v>7684</v>
      </c>
      <c r="E801" s="2">
        <f t="shared" si="208"/>
        <v>2250</v>
      </c>
      <c r="F801" s="112">
        <f t="shared" si="202"/>
        <v>17000000</v>
      </c>
      <c r="G801" s="2">
        <f t="shared" si="209"/>
        <v>855065</v>
      </c>
      <c r="H801" s="113">
        <f t="shared" si="210"/>
        <v>0</v>
      </c>
      <c r="I801" s="121">
        <f t="shared" si="203"/>
        <v>2150369</v>
      </c>
      <c r="K801" s="123">
        <f t="shared" si="211"/>
        <v>3000000</v>
      </c>
      <c r="L801" s="111">
        <f t="shared" si="212"/>
        <v>7684</v>
      </c>
      <c r="M801" s="2">
        <f t="shared" si="213"/>
        <v>2250</v>
      </c>
      <c r="N801" s="112">
        <f t="shared" si="204"/>
        <v>17000000</v>
      </c>
      <c r="O801" s="2">
        <f t="shared" si="214"/>
        <v>855065</v>
      </c>
      <c r="P801" s="113">
        <f t="shared" si="215"/>
        <v>0</v>
      </c>
      <c r="Q801" s="121">
        <f t="shared" si="205"/>
        <v>2150369</v>
      </c>
    </row>
    <row r="802" spans="2:17" hidden="1" x14ac:dyDescent="0.4">
      <c r="B802" s="110">
        <v>44723</v>
      </c>
      <c r="C802" s="122">
        <f t="shared" si="206"/>
        <v>3000000</v>
      </c>
      <c r="D802" s="111">
        <f t="shared" si="207"/>
        <v>7684</v>
      </c>
      <c r="E802" s="2">
        <f t="shared" si="208"/>
        <v>2250</v>
      </c>
      <c r="F802" s="112">
        <f t="shared" si="202"/>
        <v>17000000</v>
      </c>
      <c r="G802" s="2">
        <f t="shared" si="209"/>
        <v>855065</v>
      </c>
      <c r="H802" s="113">
        <f t="shared" si="210"/>
        <v>0</v>
      </c>
      <c r="I802" s="121">
        <f t="shared" si="203"/>
        <v>2150369</v>
      </c>
      <c r="K802" s="123">
        <f t="shared" si="211"/>
        <v>3000000</v>
      </c>
      <c r="L802" s="111">
        <f t="shared" si="212"/>
        <v>7684</v>
      </c>
      <c r="M802" s="2">
        <f t="shared" si="213"/>
        <v>2250</v>
      </c>
      <c r="N802" s="112">
        <f t="shared" si="204"/>
        <v>17000000</v>
      </c>
      <c r="O802" s="2">
        <f t="shared" si="214"/>
        <v>855065</v>
      </c>
      <c r="P802" s="113">
        <f t="shared" si="215"/>
        <v>0</v>
      </c>
      <c r="Q802" s="121">
        <f t="shared" si="205"/>
        <v>2150369</v>
      </c>
    </row>
    <row r="803" spans="2:17" hidden="1" x14ac:dyDescent="0.4">
      <c r="B803" s="110">
        <v>44724</v>
      </c>
      <c r="C803" s="122">
        <f t="shared" si="206"/>
        <v>3000000</v>
      </c>
      <c r="D803" s="111">
        <f t="shared" si="207"/>
        <v>7684</v>
      </c>
      <c r="E803" s="2">
        <f t="shared" si="208"/>
        <v>2250</v>
      </c>
      <c r="F803" s="112">
        <f t="shared" si="202"/>
        <v>17000000</v>
      </c>
      <c r="G803" s="2">
        <f t="shared" si="209"/>
        <v>855065</v>
      </c>
      <c r="H803" s="113">
        <f t="shared" si="210"/>
        <v>0</v>
      </c>
      <c r="I803" s="121">
        <f t="shared" si="203"/>
        <v>2150369</v>
      </c>
      <c r="K803" s="123">
        <f t="shared" si="211"/>
        <v>3000000</v>
      </c>
      <c r="L803" s="111">
        <f t="shared" si="212"/>
        <v>7684</v>
      </c>
      <c r="M803" s="2">
        <f t="shared" si="213"/>
        <v>2250</v>
      </c>
      <c r="N803" s="112">
        <f t="shared" si="204"/>
        <v>17000000</v>
      </c>
      <c r="O803" s="2">
        <f t="shared" si="214"/>
        <v>855065</v>
      </c>
      <c r="P803" s="113">
        <f t="shared" si="215"/>
        <v>0</v>
      </c>
      <c r="Q803" s="121">
        <f t="shared" si="205"/>
        <v>2150369</v>
      </c>
    </row>
    <row r="804" spans="2:17" hidden="1" x14ac:dyDescent="0.4">
      <c r="B804" s="110">
        <v>44725</v>
      </c>
      <c r="C804" s="122">
        <f t="shared" si="206"/>
        <v>3000000</v>
      </c>
      <c r="D804" s="111">
        <f t="shared" si="207"/>
        <v>7684</v>
      </c>
      <c r="E804" s="2">
        <f t="shared" si="208"/>
        <v>2250</v>
      </c>
      <c r="F804" s="112">
        <f t="shared" si="202"/>
        <v>17000000</v>
      </c>
      <c r="G804" s="2">
        <f t="shared" si="209"/>
        <v>855065</v>
      </c>
      <c r="H804" s="113">
        <f t="shared" si="210"/>
        <v>0</v>
      </c>
      <c r="I804" s="121">
        <f t="shared" si="203"/>
        <v>2150369</v>
      </c>
      <c r="K804" s="123">
        <f t="shared" si="211"/>
        <v>3000000</v>
      </c>
      <c r="L804" s="111">
        <f t="shared" si="212"/>
        <v>7684</v>
      </c>
      <c r="M804" s="2">
        <f t="shared" si="213"/>
        <v>2250</v>
      </c>
      <c r="N804" s="112">
        <f t="shared" si="204"/>
        <v>17000000</v>
      </c>
      <c r="O804" s="2">
        <f t="shared" si="214"/>
        <v>855065</v>
      </c>
      <c r="P804" s="113">
        <f t="shared" si="215"/>
        <v>0</v>
      </c>
      <c r="Q804" s="121">
        <f t="shared" si="205"/>
        <v>2150369</v>
      </c>
    </row>
    <row r="805" spans="2:17" hidden="1" x14ac:dyDescent="0.4">
      <c r="B805" s="110">
        <v>44726</v>
      </c>
      <c r="C805" s="122">
        <f t="shared" si="206"/>
        <v>3000000</v>
      </c>
      <c r="D805" s="111">
        <f t="shared" si="207"/>
        <v>7684</v>
      </c>
      <c r="E805" s="2">
        <f t="shared" si="208"/>
        <v>2250</v>
      </c>
      <c r="F805" s="112">
        <f t="shared" si="202"/>
        <v>17000000</v>
      </c>
      <c r="G805" s="2">
        <f t="shared" si="209"/>
        <v>855065</v>
      </c>
      <c r="H805" s="113">
        <f t="shared" si="210"/>
        <v>0</v>
      </c>
      <c r="I805" s="121">
        <f t="shared" si="203"/>
        <v>2150369</v>
      </c>
      <c r="K805" s="123">
        <f t="shared" si="211"/>
        <v>3000000</v>
      </c>
      <c r="L805" s="111">
        <f t="shared" si="212"/>
        <v>7684</v>
      </c>
      <c r="M805" s="2">
        <f t="shared" si="213"/>
        <v>2250</v>
      </c>
      <c r="N805" s="112">
        <f t="shared" si="204"/>
        <v>17000000</v>
      </c>
      <c r="O805" s="2">
        <f t="shared" si="214"/>
        <v>855065</v>
      </c>
      <c r="P805" s="113">
        <f t="shared" si="215"/>
        <v>0</v>
      </c>
      <c r="Q805" s="121">
        <f t="shared" si="205"/>
        <v>2150369</v>
      </c>
    </row>
    <row r="806" spans="2:17" hidden="1" x14ac:dyDescent="0.4">
      <c r="B806" s="110">
        <v>44727</v>
      </c>
      <c r="C806" s="122">
        <f t="shared" si="206"/>
        <v>3000000</v>
      </c>
      <c r="D806" s="111">
        <f t="shared" si="207"/>
        <v>7684</v>
      </c>
      <c r="E806" s="2">
        <f t="shared" si="208"/>
        <v>2250</v>
      </c>
      <c r="F806" s="112">
        <f t="shared" si="202"/>
        <v>17000000</v>
      </c>
      <c r="G806" s="2">
        <f t="shared" si="209"/>
        <v>855065</v>
      </c>
      <c r="H806" s="113">
        <f t="shared" si="210"/>
        <v>0</v>
      </c>
      <c r="I806" s="121">
        <f t="shared" si="203"/>
        <v>2150369</v>
      </c>
      <c r="K806" s="123">
        <f t="shared" si="211"/>
        <v>3000000</v>
      </c>
      <c r="L806" s="111">
        <f t="shared" si="212"/>
        <v>7684</v>
      </c>
      <c r="M806" s="2">
        <f t="shared" si="213"/>
        <v>2250</v>
      </c>
      <c r="N806" s="112">
        <f t="shared" si="204"/>
        <v>17000000</v>
      </c>
      <c r="O806" s="2">
        <f t="shared" si="214"/>
        <v>855065</v>
      </c>
      <c r="P806" s="113">
        <f t="shared" si="215"/>
        <v>0</v>
      </c>
      <c r="Q806" s="121">
        <f t="shared" si="205"/>
        <v>2150369</v>
      </c>
    </row>
    <row r="807" spans="2:17" hidden="1" x14ac:dyDescent="0.4">
      <c r="B807" s="110">
        <v>44728</v>
      </c>
      <c r="C807" s="122">
        <f t="shared" si="206"/>
        <v>3000000</v>
      </c>
      <c r="D807" s="111">
        <f t="shared" si="207"/>
        <v>7684</v>
      </c>
      <c r="E807" s="2">
        <f t="shared" si="208"/>
        <v>2250</v>
      </c>
      <c r="F807" s="112">
        <f t="shared" si="202"/>
        <v>17000000</v>
      </c>
      <c r="G807" s="2">
        <f t="shared" si="209"/>
        <v>855065</v>
      </c>
      <c r="H807" s="113">
        <f t="shared" si="210"/>
        <v>0</v>
      </c>
      <c r="I807" s="121">
        <f t="shared" si="203"/>
        <v>2150369</v>
      </c>
      <c r="K807" s="123">
        <f t="shared" si="211"/>
        <v>3000000</v>
      </c>
      <c r="L807" s="111">
        <f t="shared" si="212"/>
        <v>7684</v>
      </c>
      <c r="M807" s="2">
        <f t="shared" si="213"/>
        <v>2250</v>
      </c>
      <c r="N807" s="112">
        <f t="shared" si="204"/>
        <v>17000000</v>
      </c>
      <c r="O807" s="2">
        <f t="shared" si="214"/>
        <v>855065</v>
      </c>
      <c r="P807" s="113">
        <f t="shared" si="215"/>
        <v>0</v>
      </c>
      <c r="Q807" s="121">
        <f t="shared" si="205"/>
        <v>2150369</v>
      </c>
    </row>
    <row r="808" spans="2:17" hidden="1" x14ac:dyDescent="0.4">
      <c r="B808" s="110">
        <v>44729</v>
      </c>
      <c r="C808" s="122">
        <f t="shared" si="206"/>
        <v>3000000</v>
      </c>
      <c r="D808" s="111">
        <f t="shared" si="207"/>
        <v>7684</v>
      </c>
      <c r="E808" s="2">
        <f t="shared" si="208"/>
        <v>2250</v>
      </c>
      <c r="F808" s="112">
        <f t="shared" si="202"/>
        <v>17000000</v>
      </c>
      <c r="G808" s="2">
        <f t="shared" si="209"/>
        <v>855065</v>
      </c>
      <c r="H808" s="113">
        <f t="shared" si="210"/>
        <v>0</v>
      </c>
      <c r="I808" s="121">
        <f t="shared" si="203"/>
        <v>2150369</v>
      </c>
      <c r="K808" s="123">
        <f t="shared" si="211"/>
        <v>3000000</v>
      </c>
      <c r="L808" s="111">
        <f t="shared" si="212"/>
        <v>7684</v>
      </c>
      <c r="M808" s="2">
        <f t="shared" si="213"/>
        <v>2250</v>
      </c>
      <c r="N808" s="112">
        <f t="shared" si="204"/>
        <v>17000000</v>
      </c>
      <c r="O808" s="2">
        <f t="shared" si="214"/>
        <v>855065</v>
      </c>
      <c r="P808" s="113">
        <f t="shared" si="215"/>
        <v>0</v>
      </c>
      <c r="Q808" s="121">
        <f t="shared" si="205"/>
        <v>2150369</v>
      </c>
    </row>
    <row r="809" spans="2:17" hidden="1" x14ac:dyDescent="0.4">
      <c r="B809" s="110">
        <v>44730</v>
      </c>
      <c r="C809" s="122">
        <f t="shared" si="206"/>
        <v>3000000</v>
      </c>
      <c r="D809" s="111">
        <f t="shared" si="207"/>
        <v>7684</v>
      </c>
      <c r="E809" s="2">
        <f t="shared" si="208"/>
        <v>2250</v>
      </c>
      <c r="F809" s="112">
        <f t="shared" si="202"/>
        <v>17000000</v>
      </c>
      <c r="G809" s="2">
        <f t="shared" si="209"/>
        <v>855065</v>
      </c>
      <c r="H809" s="113">
        <f t="shared" si="210"/>
        <v>0</v>
      </c>
      <c r="I809" s="121">
        <f t="shared" si="203"/>
        <v>2150369</v>
      </c>
      <c r="K809" s="123">
        <f t="shared" si="211"/>
        <v>3000000</v>
      </c>
      <c r="L809" s="111">
        <f t="shared" si="212"/>
        <v>7684</v>
      </c>
      <c r="M809" s="2">
        <f t="shared" si="213"/>
        <v>2250</v>
      </c>
      <c r="N809" s="112">
        <f t="shared" si="204"/>
        <v>17000000</v>
      </c>
      <c r="O809" s="2">
        <f t="shared" si="214"/>
        <v>855065</v>
      </c>
      <c r="P809" s="113">
        <f t="shared" si="215"/>
        <v>0</v>
      </c>
      <c r="Q809" s="121">
        <f t="shared" si="205"/>
        <v>2150369</v>
      </c>
    </row>
    <row r="810" spans="2:17" hidden="1" x14ac:dyDescent="0.4">
      <c r="B810" s="110">
        <v>44731</v>
      </c>
      <c r="C810" s="122">
        <f t="shared" si="206"/>
        <v>3000000</v>
      </c>
      <c r="D810" s="111">
        <f t="shared" si="207"/>
        <v>7684</v>
      </c>
      <c r="E810" s="2">
        <f t="shared" si="208"/>
        <v>2250</v>
      </c>
      <c r="F810" s="112">
        <f t="shared" si="202"/>
        <v>17000000</v>
      </c>
      <c r="G810" s="2">
        <f t="shared" si="209"/>
        <v>855065</v>
      </c>
      <c r="H810" s="113">
        <f t="shared" si="210"/>
        <v>0</v>
      </c>
      <c r="I810" s="121">
        <f t="shared" si="203"/>
        <v>2150369</v>
      </c>
      <c r="K810" s="123">
        <f t="shared" si="211"/>
        <v>3000000</v>
      </c>
      <c r="L810" s="111">
        <f t="shared" si="212"/>
        <v>7684</v>
      </c>
      <c r="M810" s="2">
        <f t="shared" si="213"/>
        <v>2250</v>
      </c>
      <c r="N810" s="112">
        <f t="shared" si="204"/>
        <v>17000000</v>
      </c>
      <c r="O810" s="2">
        <f t="shared" si="214"/>
        <v>855065</v>
      </c>
      <c r="P810" s="113">
        <f t="shared" si="215"/>
        <v>0</v>
      </c>
      <c r="Q810" s="121">
        <f t="shared" si="205"/>
        <v>2150369</v>
      </c>
    </row>
    <row r="811" spans="2:17" hidden="1" x14ac:dyDescent="0.4">
      <c r="B811" s="110">
        <v>44732</v>
      </c>
      <c r="C811" s="122">
        <f t="shared" si="206"/>
        <v>3000000</v>
      </c>
      <c r="D811" s="111">
        <f t="shared" si="207"/>
        <v>7684</v>
      </c>
      <c r="E811" s="2">
        <f t="shared" si="208"/>
        <v>2250</v>
      </c>
      <c r="F811" s="112">
        <f t="shared" si="202"/>
        <v>17000000</v>
      </c>
      <c r="G811" s="2">
        <f t="shared" si="209"/>
        <v>855065</v>
      </c>
      <c r="H811" s="113">
        <f t="shared" si="210"/>
        <v>0</v>
      </c>
      <c r="I811" s="121">
        <f t="shared" si="203"/>
        <v>2150369</v>
      </c>
      <c r="K811" s="123">
        <f t="shared" si="211"/>
        <v>3000000</v>
      </c>
      <c r="L811" s="111">
        <f t="shared" si="212"/>
        <v>7684</v>
      </c>
      <c r="M811" s="2">
        <f t="shared" si="213"/>
        <v>2250</v>
      </c>
      <c r="N811" s="112">
        <f t="shared" si="204"/>
        <v>17000000</v>
      </c>
      <c r="O811" s="2">
        <f t="shared" si="214"/>
        <v>855065</v>
      </c>
      <c r="P811" s="113">
        <f t="shared" si="215"/>
        <v>0</v>
      </c>
      <c r="Q811" s="121">
        <f t="shared" si="205"/>
        <v>2150369</v>
      </c>
    </row>
    <row r="812" spans="2:17" hidden="1" x14ac:dyDescent="0.4">
      <c r="B812" s="110">
        <v>44733</v>
      </c>
      <c r="C812" s="122">
        <f t="shared" si="206"/>
        <v>3000000</v>
      </c>
      <c r="D812" s="111">
        <f t="shared" si="207"/>
        <v>7684</v>
      </c>
      <c r="E812" s="2">
        <f t="shared" si="208"/>
        <v>2250</v>
      </c>
      <c r="F812" s="112">
        <f t="shared" si="202"/>
        <v>17000000</v>
      </c>
      <c r="G812" s="2">
        <f t="shared" si="209"/>
        <v>855065</v>
      </c>
      <c r="H812" s="113">
        <f t="shared" si="210"/>
        <v>0</v>
      </c>
      <c r="I812" s="121">
        <f t="shared" si="203"/>
        <v>2150369</v>
      </c>
      <c r="K812" s="123">
        <f t="shared" si="211"/>
        <v>3000000</v>
      </c>
      <c r="L812" s="111">
        <f t="shared" si="212"/>
        <v>7684</v>
      </c>
      <c r="M812" s="2">
        <f t="shared" si="213"/>
        <v>2250</v>
      </c>
      <c r="N812" s="112">
        <f t="shared" si="204"/>
        <v>17000000</v>
      </c>
      <c r="O812" s="2">
        <f t="shared" si="214"/>
        <v>855065</v>
      </c>
      <c r="P812" s="113">
        <f t="shared" si="215"/>
        <v>0</v>
      </c>
      <c r="Q812" s="121">
        <f t="shared" si="205"/>
        <v>2150369</v>
      </c>
    </row>
    <row r="813" spans="2:17" hidden="1" x14ac:dyDescent="0.4">
      <c r="B813" s="110">
        <v>44734</v>
      </c>
      <c r="C813" s="122">
        <f t="shared" si="206"/>
        <v>3000000</v>
      </c>
      <c r="D813" s="111">
        <f t="shared" si="207"/>
        <v>7684</v>
      </c>
      <c r="E813" s="2">
        <f t="shared" si="208"/>
        <v>2250</v>
      </c>
      <c r="F813" s="112">
        <f t="shared" si="202"/>
        <v>17000000</v>
      </c>
      <c r="G813" s="2">
        <f t="shared" si="209"/>
        <v>855065</v>
      </c>
      <c r="H813" s="113">
        <f t="shared" si="210"/>
        <v>0</v>
      </c>
      <c r="I813" s="121">
        <f t="shared" si="203"/>
        <v>2150369</v>
      </c>
      <c r="K813" s="123">
        <f t="shared" si="211"/>
        <v>3000000</v>
      </c>
      <c r="L813" s="111">
        <f t="shared" si="212"/>
        <v>7684</v>
      </c>
      <c r="M813" s="2">
        <f t="shared" si="213"/>
        <v>2250</v>
      </c>
      <c r="N813" s="112">
        <f t="shared" si="204"/>
        <v>17000000</v>
      </c>
      <c r="O813" s="2">
        <f t="shared" si="214"/>
        <v>855065</v>
      </c>
      <c r="P813" s="113">
        <f t="shared" si="215"/>
        <v>0</v>
      </c>
      <c r="Q813" s="121">
        <f t="shared" si="205"/>
        <v>2150369</v>
      </c>
    </row>
    <row r="814" spans="2:17" hidden="1" x14ac:dyDescent="0.4">
      <c r="B814" s="110">
        <v>44735</v>
      </c>
      <c r="C814" s="122">
        <f t="shared" si="206"/>
        <v>3000000</v>
      </c>
      <c r="D814" s="111">
        <f t="shared" si="207"/>
        <v>7684</v>
      </c>
      <c r="E814" s="2">
        <f t="shared" si="208"/>
        <v>2250</v>
      </c>
      <c r="F814" s="112">
        <f t="shared" si="202"/>
        <v>17000000</v>
      </c>
      <c r="G814" s="2">
        <f t="shared" si="209"/>
        <v>855065</v>
      </c>
      <c r="H814" s="113">
        <f t="shared" si="210"/>
        <v>0</v>
      </c>
      <c r="I814" s="121">
        <f t="shared" si="203"/>
        <v>2150369</v>
      </c>
      <c r="K814" s="123">
        <f t="shared" si="211"/>
        <v>3000000</v>
      </c>
      <c r="L814" s="111">
        <f t="shared" si="212"/>
        <v>7684</v>
      </c>
      <c r="M814" s="2">
        <f t="shared" si="213"/>
        <v>2250</v>
      </c>
      <c r="N814" s="112">
        <f t="shared" si="204"/>
        <v>17000000</v>
      </c>
      <c r="O814" s="2">
        <f t="shared" si="214"/>
        <v>855065</v>
      </c>
      <c r="P814" s="113">
        <f t="shared" si="215"/>
        <v>0</v>
      </c>
      <c r="Q814" s="121">
        <f t="shared" si="205"/>
        <v>2150369</v>
      </c>
    </row>
    <row r="815" spans="2:17" hidden="1" x14ac:dyDescent="0.4">
      <c r="B815" s="110">
        <v>44736</v>
      </c>
      <c r="C815" s="122">
        <f t="shared" si="206"/>
        <v>3000000</v>
      </c>
      <c r="D815" s="111">
        <f t="shared" si="207"/>
        <v>7684</v>
      </c>
      <c r="E815" s="2">
        <f t="shared" si="208"/>
        <v>2250</v>
      </c>
      <c r="F815" s="112">
        <f t="shared" si="202"/>
        <v>17000000</v>
      </c>
      <c r="G815" s="2">
        <f t="shared" si="209"/>
        <v>855065</v>
      </c>
      <c r="H815" s="113">
        <f t="shared" si="210"/>
        <v>0</v>
      </c>
      <c r="I815" s="121">
        <f t="shared" si="203"/>
        <v>2150369</v>
      </c>
      <c r="K815" s="123">
        <f t="shared" si="211"/>
        <v>3000000</v>
      </c>
      <c r="L815" s="111">
        <f t="shared" si="212"/>
        <v>7684</v>
      </c>
      <c r="M815" s="2">
        <f t="shared" si="213"/>
        <v>2250</v>
      </c>
      <c r="N815" s="112">
        <f t="shared" si="204"/>
        <v>17000000</v>
      </c>
      <c r="O815" s="2">
        <f t="shared" si="214"/>
        <v>855065</v>
      </c>
      <c r="P815" s="113">
        <f t="shared" si="215"/>
        <v>0</v>
      </c>
      <c r="Q815" s="121">
        <f t="shared" si="205"/>
        <v>2150369</v>
      </c>
    </row>
    <row r="816" spans="2:17" hidden="1" x14ac:dyDescent="0.4">
      <c r="B816" s="110">
        <v>44737</v>
      </c>
      <c r="C816" s="122">
        <f t="shared" si="206"/>
        <v>3000000</v>
      </c>
      <c r="D816" s="111">
        <f t="shared" si="207"/>
        <v>7684</v>
      </c>
      <c r="E816" s="2">
        <f t="shared" si="208"/>
        <v>2250</v>
      </c>
      <c r="F816" s="112">
        <f t="shared" si="202"/>
        <v>17000000</v>
      </c>
      <c r="G816" s="2">
        <f t="shared" si="209"/>
        <v>855065</v>
      </c>
      <c r="H816" s="113">
        <f t="shared" si="210"/>
        <v>0</v>
      </c>
      <c r="I816" s="121">
        <f t="shared" si="203"/>
        <v>2150369</v>
      </c>
      <c r="K816" s="123">
        <f t="shared" si="211"/>
        <v>3000000</v>
      </c>
      <c r="L816" s="111">
        <f t="shared" si="212"/>
        <v>7684</v>
      </c>
      <c r="M816" s="2">
        <f t="shared" si="213"/>
        <v>2250</v>
      </c>
      <c r="N816" s="112">
        <f t="shared" si="204"/>
        <v>17000000</v>
      </c>
      <c r="O816" s="2">
        <f t="shared" si="214"/>
        <v>855065</v>
      </c>
      <c r="P816" s="113">
        <f t="shared" si="215"/>
        <v>0</v>
      </c>
      <c r="Q816" s="121">
        <f t="shared" si="205"/>
        <v>2150369</v>
      </c>
    </row>
    <row r="817" spans="2:17" hidden="1" x14ac:dyDescent="0.4">
      <c r="B817" s="110">
        <v>44738</v>
      </c>
      <c r="C817" s="122">
        <f t="shared" si="206"/>
        <v>3000000</v>
      </c>
      <c r="D817" s="111">
        <f t="shared" si="207"/>
        <v>7684</v>
      </c>
      <c r="E817" s="2">
        <f t="shared" si="208"/>
        <v>2250</v>
      </c>
      <c r="F817" s="112">
        <f t="shared" si="202"/>
        <v>17000000</v>
      </c>
      <c r="G817" s="2">
        <f t="shared" si="209"/>
        <v>855065</v>
      </c>
      <c r="H817" s="113">
        <f t="shared" si="210"/>
        <v>0</v>
      </c>
      <c r="I817" s="121">
        <f t="shared" si="203"/>
        <v>2150369</v>
      </c>
      <c r="K817" s="123">
        <f t="shared" si="211"/>
        <v>3000000</v>
      </c>
      <c r="L817" s="111">
        <f t="shared" si="212"/>
        <v>7684</v>
      </c>
      <c r="M817" s="2">
        <f t="shared" si="213"/>
        <v>2250</v>
      </c>
      <c r="N817" s="112">
        <f t="shared" si="204"/>
        <v>17000000</v>
      </c>
      <c r="O817" s="2">
        <f t="shared" si="214"/>
        <v>855065</v>
      </c>
      <c r="P817" s="113">
        <f t="shared" si="215"/>
        <v>0</v>
      </c>
      <c r="Q817" s="121">
        <f t="shared" si="205"/>
        <v>2150369</v>
      </c>
    </row>
    <row r="818" spans="2:17" hidden="1" x14ac:dyDescent="0.4">
      <c r="B818" s="110">
        <v>44739</v>
      </c>
      <c r="C818" s="122">
        <f t="shared" si="206"/>
        <v>3000000</v>
      </c>
      <c r="D818" s="111">
        <f t="shared" si="207"/>
        <v>7684</v>
      </c>
      <c r="E818" s="2">
        <f t="shared" si="208"/>
        <v>2250</v>
      </c>
      <c r="F818" s="112">
        <f t="shared" si="202"/>
        <v>17000000</v>
      </c>
      <c r="G818" s="2">
        <f t="shared" si="209"/>
        <v>855065</v>
      </c>
      <c r="H818" s="113">
        <f t="shared" si="210"/>
        <v>0</v>
      </c>
      <c r="I818" s="121">
        <f t="shared" si="203"/>
        <v>2150369</v>
      </c>
      <c r="K818" s="123">
        <f t="shared" si="211"/>
        <v>3000000</v>
      </c>
      <c r="L818" s="111">
        <f t="shared" si="212"/>
        <v>7684</v>
      </c>
      <c r="M818" s="2">
        <f t="shared" si="213"/>
        <v>2250</v>
      </c>
      <c r="N818" s="112">
        <f t="shared" si="204"/>
        <v>17000000</v>
      </c>
      <c r="O818" s="2">
        <f t="shared" si="214"/>
        <v>855065</v>
      </c>
      <c r="P818" s="113">
        <f t="shared" si="215"/>
        <v>0</v>
      </c>
      <c r="Q818" s="121">
        <f t="shared" si="205"/>
        <v>2150369</v>
      </c>
    </row>
    <row r="819" spans="2:17" hidden="1" x14ac:dyDescent="0.4">
      <c r="B819" s="110">
        <v>44740</v>
      </c>
      <c r="C819" s="122">
        <f t="shared" si="206"/>
        <v>3000000</v>
      </c>
      <c r="D819" s="111">
        <f t="shared" si="207"/>
        <v>7684</v>
      </c>
      <c r="E819" s="2">
        <f t="shared" si="208"/>
        <v>2250</v>
      </c>
      <c r="F819" s="112">
        <f t="shared" si="202"/>
        <v>17000000</v>
      </c>
      <c r="G819" s="2">
        <f t="shared" si="209"/>
        <v>855065</v>
      </c>
      <c r="H819" s="113">
        <f t="shared" si="210"/>
        <v>0</v>
      </c>
      <c r="I819" s="121">
        <f t="shared" si="203"/>
        <v>2150369</v>
      </c>
      <c r="K819" s="123">
        <f t="shared" si="211"/>
        <v>3000000</v>
      </c>
      <c r="L819" s="111">
        <f t="shared" si="212"/>
        <v>7684</v>
      </c>
      <c r="M819" s="2">
        <f t="shared" si="213"/>
        <v>2250</v>
      </c>
      <c r="N819" s="112">
        <f t="shared" si="204"/>
        <v>17000000</v>
      </c>
      <c r="O819" s="2">
        <f t="shared" si="214"/>
        <v>855065</v>
      </c>
      <c r="P819" s="113">
        <f t="shared" si="215"/>
        <v>0</v>
      </c>
      <c r="Q819" s="121">
        <f t="shared" si="205"/>
        <v>2150369</v>
      </c>
    </row>
    <row r="820" spans="2:17" hidden="1" x14ac:dyDescent="0.4">
      <c r="B820" s="110">
        <v>44741</v>
      </c>
      <c r="C820" s="122">
        <f t="shared" si="206"/>
        <v>3000000</v>
      </c>
      <c r="D820" s="111">
        <f t="shared" si="207"/>
        <v>7684</v>
      </c>
      <c r="E820" s="2">
        <f t="shared" si="208"/>
        <v>2250</v>
      </c>
      <c r="F820" s="112">
        <f t="shared" si="202"/>
        <v>17000000</v>
      </c>
      <c r="G820" s="2">
        <f t="shared" si="209"/>
        <v>855065</v>
      </c>
      <c r="H820" s="113">
        <f t="shared" si="210"/>
        <v>0</v>
      </c>
      <c r="I820" s="121">
        <f t="shared" si="203"/>
        <v>2150369</v>
      </c>
      <c r="K820" s="123">
        <f t="shared" si="211"/>
        <v>3000000</v>
      </c>
      <c r="L820" s="111">
        <f t="shared" si="212"/>
        <v>7684</v>
      </c>
      <c r="M820" s="2">
        <f t="shared" si="213"/>
        <v>2250</v>
      </c>
      <c r="N820" s="112">
        <f t="shared" si="204"/>
        <v>17000000</v>
      </c>
      <c r="O820" s="2">
        <f t="shared" si="214"/>
        <v>855065</v>
      </c>
      <c r="P820" s="113">
        <f t="shared" si="215"/>
        <v>0</v>
      </c>
      <c r="Q820" s="121">
        <f t="shared" si="205"/>
        <v>2150369</v>
      </c>
    </row>
    <row r="821" spans="2:17" hidden="1" x14ac:dyDescent="0.4">
      <c r="B821" s="110">
        <v>44742</v>
      </c>
      <c r="C821" s="122">
        <f t="shared" si="206"/>
        <v>3000000</v>
      </c>
      <c r="D821" s="111">
        <f t="shared" si="207"/>
        <v>7684</v>
      </c>
      <c r="E821" s="2">
        <f t="shared" si="208"/>
        <v>2250</v>
      </c>
      <c r="F821" s="112">
        <f t="shared" si="202"/>
        <v>17000000</v>
      </c>
      <c r="G821" s="2">
        <f t="shared" si="209"/>
        <v>855065</v>
      </c>
      <c r="H821" s="113">
        <f t="shared" si="210"/>
        <v>0</v>
      </c>
      <c r="I821" s="121">
        <f t="shared" si="203"/>
        <v>2150369</v>
      </c>
      <c r="K821" s="123">
        <f t="shared" si="211"/>
        <v>3000000</v>
      </c>
      <c r="L821" s="111">
        <f t="shared" si="212"/>
        <v>7684</v>
      </c>
      <c r="M821" s="2">
        <f t="shared" si="213"/>
        <v>2250</v>
      </c>
      <c r="N821" s="112">
        <f t="shared" si="204"/>
        <v>17000000</v>
      </c>
      <c r="O821" s="2">
        <f t="shared" si="214"/>
        <v>855065</v>
      </c>
      <c r="P821" s="113">
        <f t="shared" si="215"/>
        <v>0</v>
      </c>
      <c r="Q821" s="121">
        <f t="shared" si="205"/>
        <v>2150369</v>
      </c>
    </row>
    <row r="822" spans="2:17" x14ac:dyDescent="0.4">
      <c r="B822" s="110">
        <v>44743</v>
      </c>
      <c r="C822" s="122">
        <f t="shared" si="206"/>
        <v>3000000</v>
      </c>
      <c r="D822" s="111">
        <f t="shared" si="207"/>
        <v>7684</v>
      </c>
      <c r="E822" s="2">
        <f t="shared" si="208"/>
        <v>2250</v>
      </c>
      <c r="F822" s="112">
        <f t="shared" si="202"/>
        <v>17000000</v>
      </c>
      <c r="G822" s="2">
        <f t="shared" si="209"/>
        <v>855065</v>
      </c>
      <c r="H822" s="113">
        <f t="shared" si="210"/>
        <v>0</v>
      </c>
      <c r="I822" s="121">
        <f t="shared" si="203"/>
        <v>2150369</v>
      </c>
      <c r="K822" s="123">
        <f t="shared" si="211"/>
        <v>3000000</v>
      </c>
      <c r="L822" s="111">
        <f t="shared" si="212"/>
        <v>7684</v>
      </c>
      <c r="M822" s="2">
        <f t="shared" si="213"/>
        <v>2250</v>
      </c>
      <c r="N822" s="112">
        <f t="shared" si="204"/>
        <v>17000000</v>
      </c>
      <c r="O822" s="2">
        <f t="shared" si="214"/>
        <v>855065</v>
      </c>
      <c r="P822" s="113">
        <f t="shared" si="215"/>
        <v>0</v>
      </c>
      <c r="Q822" s="121">
        <f t="shared" si="205"/>
        <v>2150369</v>
      </c>
    </row>
    <row r="823" spans="2:17" hidden="1" x14ac:dyDescent="0.4">
      <c r="B823" s="110">
        <v>44744</v>
      </c>
      <c r="C823" s="122">
        <f t="shared" si="206"/>
        <v>3000000</v>
      </c>
      <c r="D823" s="111">
        <f t="shared" si="207"/>
        <v>7684</v>
      </c>
      <c r="E823" s="2">
        <f t="shared" si="208"/>
        <v>2250</v>
      </c>
      <c r="F823" s="112">
        <f t="shared" si="202"/>
        <v>17000000</v>
      </c>
      <c r="G823" s="2">
        <f t="shared" si="209"/>
        <v>855065</v>
      </c>
      <c r="H823" s="113">
        <f t="shared" si="210"/>
        <v>0</v>
      </c>
      <c r="I823" s="121">
        <f t="shared" si="203"/>
        <v>2150369</v>
      </c>
      <c r="K823" s="123">
        <f t="shared" si="211"/>
        <v>3000000</v>
      </c>
      <c r="L823" s="111">
        <f t="shared" si="212"/>
        <v>7684</v>
      </c>
      <c r="M823" s="2">
        <f t="shared" si="213"/>
        <v>2250</v>
      </c>
      <c r="N823" s="112">
        <f t="shared" si="204"/>
        <v>17000000</v>
      </c>
      <c r="O823" s="2">
        <f t="shared" si="214"/>
        <v>855065</v>
      </c>
      <c r="P823" s="113">
        <f t="shared" si="215"/>
        <v>0</v>
      </c>
      <c r="Q823" s="121">
        <f t="shared" si="205"/>
        <v>2150369</v>
      </c>
    </row>
    <row r="824" spans="2:17" hidden="1" x14ac:dyDescent="0.4">
      <c r="B824" s="110">
        <v>44745</v>
      </c>
      <c r="C824" s="122">
        <f t="shared" si="206"/>
        <v>3000000</v>
      </c>
      <c r="D824" s="111">
        <f t="shared" si="207"/>
        <v>7684</v>
      </c>
      <c r="E824" s="2">
        <f t="shared" si="208"/>
        <v>2250</v>
      </c>
      <c r="F824" s="112">
        <f t="shared" si="202"/>
        <v>17000000</v>
      </c>
      <c r="G824" s="2">
        <f t="shared" si="209"/>
        <v>855065</v>
      </c>
      <c r="H824" s="113">
        <f t="shared" si="210"/>
        <v>0</v>
      </c>
      <c r="I824" s="121">
        <f t="shared" si="203"/>
        <v>2150369</v>
      </c>
      <c r="K824" s="123">
        <f t="shared" si="211"/>
        <v>3000000</v>
      </c>
      <c r="L824" s="111">
        <f t="shared" si="212"/>
        <v>7684</v>
      </c>
      <c r="M824" s="2">
        <f t="shared" si="213"/>
        <v>2250</v>
      </c>
      <c r="N824" s="112">
        <f t="shared" si="204"/>
        <v>17000000</v>
      </c>
      <c r="O824" s="2">
        <f t="shared" si="214"/>
        <v>855065</v>
      </c>
      <c r="P824" s="113">
        <f t="shared" si="215"/>
        <v>0</v>
      </c>
      <c r="Q824" s="121">
        <f t="shared" si="205"/>
        <v>2150369</v>
      </c>
    </row>
    <row r="825" spans="2:17" hidden="1" x14ac:dyDescent="0.4">
      <c r="B825" s="110">
        <v>44746</v>
      </c>
      <c r="C825" s="122">
        <f t="shared" si="206"/>
        <v>3000000</v>
      </c>
      <c r="D825" s="111">
        <f t="shared" si="207"/>
        <v>7684</v>
      </c>
      <c r="E825" s="2">
        <f t="shared" si="208"/>
        <v>2250</v>
      </c>
      <c r="F825" s="112">
        <f t="shared" si="202"/>
        <v>17000000</v>
      </c>
      <c r="G825" s="2">
        <f t="shared" si="209"/>
        <v>855065</v>
      </c>
      <c r="H825" s="113">
        <f t="shared" si="210"/>
        <v>0</v>
      </c>
      <c r="I825" s="121">
        <f t="shared" si="203"/>
        <v>2150369</v>
      </c>
      <c r="K825" s="123">
        <f t="shared" si="211"/>
        <v>3000000</v>
      </c>
      <c r="L825" s="111">
        <f t="shared" si="212"/>
        <v>7684</v>
      </c>
      <c r="M825" s="2">
        <f t="shared" si="213"/>
        <v>2250</v>
      </c>
      <c r="N825" s="112">
        <f t="shared" si="204"/>
        <v>17000000</v>
      </c>
      <c r="O825" s="2">
        <f t="shared" si="214"/>
        <v>855065</v>
      </c>
      <c r="P825" s="113">
        <f t="shared" si="215"/>
        <v>0</v>
      </c>
      <c r="Q825" s="121">
        <f t="shared" si="205"/>
        <v>2150369</v>
      </c>
    </row>
    <row r="826" spans="2:17" hidden="1" x14ac:dyDescent="0.4">
      <c r="B826" s="110">
        <v>44747</v>
      </c>
      <c r="C826" s="122">
        <f t="shared" si="206"/>
        <v>3000000</v>
      </c>
      <c r="D826" s="111">
        <f t="shared" si="207"/>
        <v>7684</v>
      </c>
      <c r="E826" s="2">
        <f t="shared" si="208"/>
        <v>2250</v>
      </c>
      <c r="F826" s="112">
        <f t="shared" si="202"/>
        <v>17000000</v>
      </c>
      <c r="G826" s="2">
        <f t="shared" si="209"/>
        <v>855065</v>
      </c>
      <c r="H826" s="113">
        <f t="shared" si="210"/>
        <v>0</v>
      </c>
      <c r="I826" s="121">
        <f t="shared" si="203"/>
        <v>2150369</v>
      </c>
      <c r="K826" s="123">
        <f t="shared" si="211"/>
        <v>3000000</v>
      </c>
      <c r="L826" s="111">
        <f t="shared" si="212"/>
        <v>7684</v>
      </c>
      <c r="M826" s="2">
        <f t="shared" si="213"/>
        <v>2250</v>
      </c>
      <c r="N826" s="112">
        <f t="shared" si="204"/>
        <v>17000000</v>
      </c>
      <c r="O826" s="2">
        <f t="shared" si="214"/>
        <v>855065</v>
      </c>
      <c r="P826" s="113">
        <f t="shared" si="215"/>
        <v>0</v>
      </c>
      <c r="Q826" s="121">
        <f t="shared" si="205"/>
        <v>2150369</v>
      </c>
    </row>
    <row r="827" spans="2:17" hidden="1" x14ac:dyDescent="0.4">
      <c r="B827" s="110">
        <v>44748</v>
      </c>
      <c r="C827" s="122">
        <f t="shared" si="206"/>
        <v>3000000</v>
      </c>
      <c r="D827" s="111">
        <f t="shared" si="207"/>
        <v>7684</v>
      </c>
      <c r="E827" s="2">
        <f t="shared" si="208"/>
        <v>2250</v>
      </c>
      <c r="F827" s="112">
        <f t="shared" si="202"/>
        <v>17000000</v>
      </c>
      <c r="G827" s="2">
        <f t="shared" si="209"/>
        <v>855065</v>
      </c>
      <c r="H827" s="113">
        <f t="shared" si="210"/>
        <v>0</v>
      </c>
      <c r="I827" s="121">
        <f t="shared" si="203"/>
        <v>2150369</v>
      </c>
      <c r="K827" s="123">
        <f t="shared" si="211"/>
        <v>3000000</v>
      </c>
      <c r="L827" s="111">
        <f t="shared" si="212"/>
        <v>7684</v>
      </c>
      <c r="M827" s="2">
        <f t="shared" si="213"/>
        <v>2250</v>
      </c>
      <c r="N827" s="112">
        <f t="shared" si="204"/>
        <v>17000000</v>
      </c>
      <c r="O827" s="2">
        <f t="shared" si="214"/>
        <v>855065</v>
      </c>
      <c r="P827" s="113">
        <f t="shared" si="215"/>
        <v>0</v>
      </c>
      <c r="Q827" s="121">
        <f t="shared" si="205"/>
        <v>2150369</v>
      </c>
    </row>
    <row r="828" spans="2:17" hidden="1" x14ac:dyDescent="0.4">
      <c r="B828" s="110">
        <v>44749</v>
      </c>
      <c r="C828" s="122">
        <f t="shared" si="206"/>
        <v>3000000</v>
      </c>
      <c r="D828" s="111">
        <f t="shared" si="207"/>
        <v>7684</v>
      </c>
      <c r="E828" s="2">
        <f t="shared" si="208"/>
        <v>2250</v>
      </c>
      <c r="F828" s="112">
        <f t="shared" si="202"/>
        <v>17000000</v>
      </c>
      <c r="G828" s="2">
        <f t="shared" si="209"/>
        <v>855065</v>
      </c>
      <c r="H828" s="113">
        <f t="shared" si="210"/>
        <v>0</v>
      </c>
      <c r="I828" s="121">
        <f t="shared" si="203"/>
        <v>2150369</v>
      </c>
      <c r="K828" s="123">
        <f t="shared" si="211"/>
        <v>3000000</v>
      </c>
      <c r="L828" s="111">
        <f t="shared" si="212"/>
        <v>7684</v>
      </c>
      <c r="M828" s="2">
        <f t="shared" si="213"/>
        <v>2250</v>
      </c>
      <c r="N828" s="112">
        <f t="shared" si="204"/>
        <v>17000000</v>
      </c>
      <c r="O828" s="2">
        <f t="shared" si="214"/>
        <v>855065</v>
      </c>
      <c r="P828" s="113">
        <f t="shared" si="215"/>
        <v>0</v>
      </c>
      <c r="Q828" s="121">
        <f t="shared" si="205"/>
        <v>2150369</v>
      </c>
    </row>
    <row r="829" spans="2:17" hidden="1" x14ac:dyDescent="0.4">
      <c r="B829" s="110">
        <v>44750</v>
      </c>
      <c r="C829" s="122">
        <f t="shared" si="206"/>
        <v>3000000</v>
      </c>
      <c r="D829" s="111">
        <f t="shared" si="207"/>
        <v>7684</v>
      </c>
      <c r="E829" s="2">
        <f t="shared" si="208"/>
        <v>2250</v>
      </c>
      <c r="F829" s="112">
        <f t="shared" si="202"/>
        <v>17000000</v>
      </c>
      <c r="G829" s="2">
        <f t="shared" si="209"/>
        <v>855065</v>
      </c>
      <c r="H829" s="113">
        <f t="shared" si="210"/>
        <v>0</v>
      </c>
      <c r="I829" s="121">
        <f t="shared" si="203"/>
        <v>2150369</v>
      </c>
      <c r="K829" s="123">
        <f t="shared" si="211"/>
        <v>3000000</v>
      </c>
      <c r="L829" s="111">
        <f t="shared" si="212"/>
        <v>7684</v>
      </c>
      <c r="M829" s="2">
        <f t="shared" si="213"/>
        <v>2250</v>
      </c>
      <c r="N829" s="112">
        <f t="shared" si="204"/>
        <v>17000000</v>
      </c>
      <c r="O829" s="2">
        <f t="shared" si="214"/>
        <v>855065</v>
      </c>
      <c r="P829" s="113">
        <f t="shared" si="215"/>
        <v>0</v>
      </c>
      <c r="Q829" s="121">
        <f t="shared" si="205"/>
        <v>2150369</v>
      </c>
    </row>
    <row r="830" spans="2:17" hidden="1" x14ac:dyDescent="0.4">
      <c r="B830" s="110">
        <v>44751</v>
      </c>
      <c r="C830" s="122">
        <f t="shared" si="206"/>
        <v>3000000</v>
      </c>
      <c r="D830" s="111">
        <f t="shared" si="207"/>
        <v>7684</v>
      </c>
      <c r="E830" s="2">
        <f t="shared" si="208"/>
        <v>2250</v>
      </c>
      <c r="F830" s="112">
        <f t="shared" si="202"/>
        <v>17000000</v>
      </c>
      <c r="G830" s="2">
        <f t="shared" si="209"/>
        <v>855065</v>
      </c>
      <c r="H830" s="113">
        <f t="shared" si="210"/>
        <v>0</v>
      </c>
      <c r="I830" s="121">
        <f t="shared" si="203"/>
        <v>2150369</v>
      </c>
      <c r="K830" s="123">
        <f t="shared" si="211"/>
        <v>3000000</v>
      </c>
      <c r="L830" s="111">
        <f t="shared" si="212"/>
        <v>7684</v>
      </c>
      <c r="M830" s="2">
        <f t="shared" si="213"/>
        <v>2250</v>
      </c>
      <c r="N830" s="112">
        <f t="shared" si="204"/>
        <v>17000000</v>
      </c>
      <c r="O830" s="2">
        <f t="shared" si="214"/>
        <v>855065</v>
      </c>
      <c r="P830" s="113">
        <f t="shared" si="215"/>
        <v>0</v>
      </c>
      <c r="Q830" s="121">
        <f t="shared" si="205"/>
        <v>2150369</v>
      </c>
    </row>
    <row r="831" spans="2:17" hidden="1" x14ac:dyDescent="0.4">
      <c r="B831" s="110">
        <v>44752</v>
      </c>
      <c r="C831" s="122">
        <f t="shared" si="206"/>
        <v>3000000</v>
      </c>
      <c r="D831" s="111">
        <f t="shared" si="207"/>
        <v>7684</v>
      </c>
      <c r="E831" s="2">
        <f t="shared" si="208"/>
        <v>2250</v>
      </c>
      <c r="F831" s="112">
        <f t="shared" si="202"/>
        <v>17000000</v>
      </c>
      <c r="G831" s="2">
        <f t="shared" si="209"/>
        <v>855065</v>
      </c>
      <c r="H831" s="113">
        <f t="shared" si="210"/>
        <v>0</v>
      </c>
      <c r="I831" s="121">
        <f t="shared" si="203"/>
        <v>2150369</v>
      </c>
      <c r="K831" s="123">
        <f t="shared" si="211"/>
        <v>3000000</v>
      </c>
      <c r="L831" s="111">
        <f t="shared" si="212"/>
        <v>7684</v>
      </c>
      <c r="M831" s="2">
        <f t="shared" si="213"/>
        <v>2250</v>
      </c>
      <c r="N831" s="112">
        <f t="shared" si="204"/>
        <v>17000000</v>
      </c>
      <c r="O831" s="2">
        <f t="shared" si="214"/>
        <v>855065</v>
      </c>
      <c r="P831" s="113">
        <f t="shared" si="215"/>
        <v>0</v>
      </c>
      <c r="Q831" s="121">
        <f t="shared" si="205"/>
        <v>2150369</v>
      </c>
    </row>
    <row r="832" spans="2:17" hidden="1" x14ac:dyDescent="0.4">
      <c r="B832" s="110">
        <v>44753</v>
      </c>
      <c r="C832" s="122">
        <f t="shared" si="206"/>
        <v>3000000</v>
      </c>
      <c r="D832" s="111">
        <f t="shared" si="207"/>
        <v>7684</v>
      </c>
      <c r="E832" s="2">
        <f t="shared" si="208"/>
        <v>2250</v>
      </c>
      <c r="F832" s="112">
        <f t="shared" si="202"/>
        <v>17000000</v>
      </c>
      <c r="G832" s="2">
        <f t="shared" si="209"/>
        <v>855065</v>
      </c>
      <c r="H832" s="113">
        <f t="shared" si="210"/>
        <v>0</v>
      </c>
      <c r="I832" s="121">
        <f t="shared" si="203"/>
        <v>2150369</v>
      </c>
      <c r="K832" s="123">
        <f t="shared" si="211"/>
        <v>3000000</v>
      </c>
      <c r="L832" s="111">
        <f t="shared" si="212"/>
        <v>7684</v>
      </c>
      <c r="M832" s="2">
        <f t="shared" si="213"/>
        <v>2250</v>
      </c>
      <c r="N832" s="112">
        <f t="shared" si="204"/>
        <v>17000000</v>
      </c>
      <c r="O832" s="2">
        <f t="shared" si="214"/>
        <v>855065</v>
      </c>
      <c r="P832" s="113">
        <f t="shared" si="215"/>
        <v>0</v>
      </c>
      <c r="Q832" s="121">
        <f t="shared" si="205"/>
        <v>2150369</v>
      </c>
    </row>
    <row r="833" spans="2:17" hidden="1" x14ac:dyDescent="0.4">
      <c r="B833" s="110">
        <v>44754</v>
      </c>
      <c r="C833" s="122">
        <f t="shared" si="206"/>
        <v>3000000</v>
      </c>
      <c r="D833" s="111">
        <f t="shared" si="207"/>
        <v>7684</v>
      </c>
      <c r="E833" s="2">
        <f t="shared" si="208"/>
        <v>2250</v>
      </c>
      <c r="F833" s="112">
        <f t="shared" si="202"/>
        <v>17000000</v>
      </c>
      <c r="G833" s="2">
        <f t="shared" si="209"/>
        <v>855065</v>
      </c>
      <c r="H833" s="113">
        <f t="shared" si="210"/>
        <v>0</v>
      </c>
      <c r="I833" s="121">
        <f t="shared" si="203"/>
        <v>2150369</v>
      </c>
      <c r="K833" s="123">
        <f t="shared" si="211"/>
        <v>3000000</v>
      </c>
      <c r="L833" s="111">
        <f t="shared" si="212"/>
        <v>7684</v>
      </c>
      <c r="M833" s="2">
        <f t="shared" si="213"/>
        <v>2250</v>
      </c>
      <c r="N833" s="112">
        <f t="shared" si="204"/>
        <v>17000000</v>
      </c>
      <c r="O833" s="2">
        <f t="shared" si="214"/>
        <v>855065</v>
      </c>
      <c r="P833" s="113">
        <f t="shared" si="215"/>
        <v>0</v>
      </c>
      <c r="Q833" s="121">
        <f t="shared" si="205"/>
        <v>2150369</v>
      </c>
    </row>
    <row r="834" spans="2:17" hidden="1" x14ac:dyDescent="0.4">
      <c r="B834" s="110">
        <v>44755</v>
      </c>
      <c r="C834" s="122">
        <f t="shared" si="206"/>
        <v>3000000</v>
      </c>
      <c r="D834" s="111">
        <f t="shared" si="207"/>
        <v>7684</v>
      </c>
      <c r="E834" s="2">
        <f t="shared" si="208"/>
        <v>2250</v>
      </c>
      <c r="F834" s="112">
        <f t="shared" si="202"/>
        <v>17000000</v>
      </c>
      <c r="G834" s="2">
        <f t="shared" si="209"/>
        <v>855065</v>
      </c>
      <c r="H834" s="113">
        <f t="shared" si="210"/>
        <v>0</v>
      </c>
      <c r="I834" s="121">
        <f t="shared" si="203"/>
        <v>2150369</v>
      </c>
      <c r="K834" s="123">
        <f t="shared" si="211"/>
        <v>3000000</v>
      </c>
      <c r="L834" s="111">
        <f t="shared" si="212"/>
        <v>7684</v>
      </c>
      <c r="M834" s="2">
        <f t="shared" si="213"/>
        <v>2250</v>
      </c>
      <c r="N834" s="112">
        <f t="shared" si="204"/>
        <v>17000000</v>
      </c>
      <c r="O834" s="2">
        <f t="shared" si="214"/>
        <v>855065</v>
      </c>
      <c r="P834" s="113">
        <f t="shared" si="215"/>
        <v>0</v>
      </c>
      <c r="Q834" s="121">
        <f t="shared" si="205"/>
        <v>2150369</v>
      </c>
    </row>
    <row r="835" spans="2:17" hidden="1" x14ac:dyDescent="0.4">
      <c r="B835" s="110">
        <v>44756</v>
      </c>
      <c r="C835" s="122">
        <f t="shared" si="206"/>
        <v>3000000</v>
      </c>
      <c r="D835" s="111">
        <f t="shared" si="207"/>
        <v>7684</v>
      </c>
      <c r="E835" s="2">
        <f t="shared" si="208"/>
        <v>2250</v>
      </c>
      <c r="F835" s="112">
        <f t="shared" si="202"/>
        <v>17000000</v>
      </c>
      <c r="G835" s="2">
        <f t="shared" si="209"/>
        <v>855065</v>
      </c>
      <c r="H835" s="113">
        <f t="shared" si="210"/>
        <v>0</v>
      </c>
      <c r="I835" s="121">
        <f t="shared" si="203"/>
        <v>2150369</v>
      </c>
      <c r="K835" s="123">
        <f t="shared" si="211"/>
        <v>3000000</v>
      </c>
      <c r="L835" s="111">
        <f t="shared" si="212"/>
        <v>7684</v>
      </c>
      <c r="M835" s="2">
        <f t="shared" si="213"/>
        <v>2250</v>
      </c>
      <c r="N835" s="112">
        <f t="shared" si="204"/>
        <v>17000000</v>
      </c>
      <c r="O835" s="2">
        <f t="shared" si="214"/>
        <v>855065</v>
      </c>
      <c r="P835" s="113">
        <f t="shared" si="215"/>
        <v>0</v>
      </c>
      <c r="Q835" s="121">
        <f t="shared" si="205"/>
        <v>2150369</v>
      </c>
    </row>
    <row r="836" spans="2:17" hidden="1" x14ac:dyDescent="0.4">
      <c r="B836" s="110">
        <v>44757</v>
      </c>
      <c r="C836" s="122">
        <f t="shared" si="206"/>
        <v>3000000</v>
      </c>
      <c r="D836" s="111">
        <f t="shared" si="207"/>
        <v>7684</v>
      </c>
      <c r="E836" s="2">
        <f t="shared" si="208"/>
        <v>2250</v>
      </c>
      <c r="F836" s="112">
        <f t="shared" si="202"/>
        <v>17000000</v>
      </c>
      <c r="G836" s="2">
        <f t="shared" si="209"/>
        <v>855065</v>
      </c>
      <c r="H836" s="113">
        <f t="shared" si="210"/>
        <v>0</v>
      </c>
      <c r="I836" s="121">
        <f t="shared" si="203"/>
        <v>2150369</v>
      </c>
      <c r="K836" s="123">
        <f t="shared" si="211"/>
        <v>3000000</v>
      </c>
      <c r="L836" s="111">
        <f t="shared" si="212"/>
        <v>7684</v>
      </c>
      <c r="M836" s="2">
        <f t="shared" si="213"/>
        <v>2250</v>
      </c>
      <c r="N836" s="112">
        <f t="shared" si="204"/>
        <v>17000000</v>
      </c>
      <c r="O836" s="2">
        <f t="shared" si="214"/>
        <v>855065</v>
      </c>
      <c r="P836" s="113">
        <f t="shared" si="215"/>
        <v>0</v>
      </c>
      <c r="Q836" s="121">
        <f t="shared" si="205"/>
        <v>2150369</v>
      </c>
    </row>
    <row r="837" spans="2:17" hidden="1" x14ac:dyDescent="0.4">
      <c r="B837" s="110">
        <v>44758</v>
      </c>
      <c r="C837" s="122">
        <f t="shared" si="206"/>
        <v>3000000</v>
      </c>
      <c r="D837" s="111">
        <f t="shared" si="207"/>
        <v>7684</v>
      </c>
      <c r="E837" s="2">
        <f t="shared" si="208"/>
        <v>2250</v>
      </c>
      <c r="F837" s="112">
        <f t="shared" si="202"/>
        <v>17000000</v>
      </c>
      <c r="G837" s="2">
        <f t="shared" si="209"/>
        <v>855065</v>
      </c>
      <c r="H837" s="113">
        <f t="shared" si="210"/>
        <v>0</v>
      </c>
      <c r="I837" s="121">
        <f t="shared" si="203"/>
        <v>2150369</v>
      </c>
      <c r="K837" s="123">
        <f t="shared" si="211"/>
        <v>3000000</v>
      </c>
      <c r="L837" s="111">
        <f t="shared" si="212"/>
        <v>7684</v>
      </c>
      <c r="M837" s="2">
        <f t="shared" si="213"/>
        <v>2250</v>
      </c>
      <c r="N837" s="112">
        <f t="shared" si="204"/>
        <v>17000000</v>
      </c>
      <c r="O837" s="2">
        <f t="shared" si="214"/>
        <v>855065</v>
      </c>
      <c r="P837" s="113">
        <f t="shared" si="215"/>
        <v>0</v>
      </c>
      <c r="Q837" s="121">
        <f t="shared" si="205"/>
        <v>2150369</v>
      </c>
    </row>
    <row r="838" spans="2:17" hidden="1" x14ac:dyDescent="0.4">
      <c r="B838" s="110">
        <v>44759</v>
      </c>
      <c r="C838" s="122">
        <f t="shared" si="206"/>
        <v>3000000</v>
      </c>
      <c r="D838" s="111">
        <f t="shared" si="207"/>
        <v>7684</v>
      </c>
      <c r="E838" s="2">
        <f t="shared" si="208"/>
        <v>2250</v>
      </c>
      <c r="F838" s="112">
        <f t="shared" si="202"/>
        <v>17000000</v>
      </c>
      <c r="G838" s="2">
        <f t="shared" si="209"/>
        <v>855065</v>
      </c>
      <c r="H838" s="113">
        <f t="shared" si="210"/>
        <v>0</v>
      </c>
      <c r="I838" s="121">
        <f t="shared" si="203"/>
        <v>2150369</v>
      </c>
      <c r="K838" s="123">
        <f t="shared" si="211"/>
        <v>3000000</v>
      </c>
      <c r="L838" s="111">
        <f t="shared" si="212"/>
        <v>7684</v>
      </c>
      <c r="M838" s="2">
        <f t="shared" si="213"/>
        <v>2250</v>
      </c>
      <c r="N838" s="112">
        <f t="shared" si="204"/>
        <v>17000000</v>
      </c>
      <c r="O838" s="2">
        <f t="shared" si="214"/>
        <v>855065</v>
      </c>
      <c r="P838" s="113">
        <f t="shared" si="215"/>
        <v>0</v>
      </c>
      <c r="Q838" s="121">
        <f t="shared" si="205"/>
        <v>2150369</v>
      </c>
    </row>
    <row r="839" spans="2:17" hidden="1" x14ac:dyDescent="0.4">
      <c r="B839" s="110">
        <v>44760</v>
      </c>
      <c r="C839" s="122">
        <f t="shared" si="206"/>
        <v>3000000</v>
      </c>
      <c r="D839" s="111">
        <f t="shared" si="207"/>
        <v>7684</v>
      </c>
      <c r="E839" s="2">
        <f t="shared" si="208"/>
        <v>2250</v>
      </c>
      <c r="F839" s="112">
        <f t="shared" si="202"/>
        <v>17000000</v>
      </c>
      <c r="G839" s="2">
        <f t="shared" si="209"/>
        <v>855065</v>
      </c>
      <c r="H839" s="113">
        <f t="shared" si="210"/>
        <v>0</v>
      </c>
      <c r="I839" s="121">
        <f t="shared" si="203"/>
        <v>2150369</v>
      </c>
      <c r="K839" s="123">
        <f t="shared" si="211"/>
        <v>3000000</v>
      </c>
      <c r="L839" s="111">
        <f t="shared" si="212"/>
        <v>7684</v>
      </c>
      <c r="M839" s="2">
        <f t="shared" si="213"/>
        <v>2250</v>
      </c>
      <c r="N839" s="112">
        <f t="shared" si="204"/>
        <v>17000000</v>
      </c>
      <c r="O839" s="2">
        <f t="shared" si="214"/>
        <v>855065</v>
      </c>
      <c r="P839" s="113">
        <f t="shared" si="215"/>
        <v>0</v>
      </c>
      <c r="Q839" s="121">
        <f t="shared" si="205"/>
        <v>2150369</v>
      </c>
    </row>
    <row r="840" spans="2:17" hidden="1" x14ac:dyDescent="0.4">
      <c r="B840" s="110">
        <v>44761</v>
      </c>
      <c r="C840" s="122">
        <f t="shared" si="206"/>
        <v>3000000</v>
      </c>
      <c r="D840" s="111">
        <f t="shared" si="207"/>
        <v>7684</v>
      </c>
      <c r="E840" s="2">
        <f t="shared" si="208"/>
        <v>2250</v>
      </c>
      <c r="F840" s="112">
        <f t="shared" si="202"/>
        <v>17000000</v>
      </c>
      <c r="G840" s="2">
        <f t="shared" si="209"/>
        <v>855065</v>
      </c>
      <c r="H840" s="113">
        <f t="shared" si="210"/>
        <v>0</v>
      </c>
      <c r="I840" s="121">
        <f t="shared" si="203"/>
        <v>2150369</v>
      </c>
      <c r="K840" s="123">
        <f t="shared" si="211"/>
        <v>3000000</v>
      </c>
      <c r="L840" s="111">
        <f t="shared" si="212"/>
        <v>7684</v>
      </c>
      <c r="M840" s="2">
        <f t="shared" si="213"/>
        <v>2250</v>
      </c>
      <c r="N840" s="112">
        <f t="shared" si="204"/>
        <v>17000000</v>
      </c>
      <c r="O840" s="2">
        <f t="shared" si="214"/>
        <v>855065</v>
      </c>
      <c r="P840" s="113">
        <f t="shared" si="215"/>
        <v>0</v>
      </c>
      <c r="Q840" s="121">
        <f t="shared" si="205"/>
        <v>2150369</v>
      </c>
    </row>
    <row r="841" spans="2:17" hidden="1" x14ac:dyDescent="0.4">
      <c r="B841" s="110">
        <v>44762</v>
      </c>
      <c r="C841" s="122">
        <f t="shared" si="206"/>
        <v>3000000</v>
      </c>
      <c r="D841" s="111">
        <f t="shared" si="207"/>
        <v>7684</v>
      </c>
      <c r="E841" s="2">
        <f t="shared" si="208"/>
        <v>2250</v>
      </c>
      <c r="F841" s="112">
        <f t="shared" si="202"/>
        <v>17000000</v>
      </c>
      <c r="G841" s="2">
        <f t="shared" si="209"/>
        <v>855065</v>
      </c>
      <c r="H841" s="113">
        <f t="shared" si="210"/>
        <v>0</v>
      </c>
      <c r="I841" s="121">
        <f t="shared" si="203"/>
        <v>2150369</v>
      </c>
      <c r="K841" s="123">
        <f t="shared" si="211"/>
        <v>3000000</v>
      </c>
      <c r="L841" s="111">
        <f t="shared" si="212"/>
        <v>7684</v>
      </c>
      <c r="M841" s="2">
        <f t="shared" si="213"/>
        <v>2250</v>
      </c>
      <c r="N841" s="112">
        <f t="shared" si="204"/>
        <v>17000000</v>
      </c>
      <c r="O841" s="2">
        <f t="shared" si="214"/>
        <v>855065</v>
      </c>
      <c r="P841" s="113">
        <f t="shared" si="215"/>
        <v>0</v>
      </c>
      <c r="Q841" s="121">
        <f t="shared" si="205"/>
        <v>2150369</v>
      </c>
    </row>
    <row r="842" spans="2:17" hidden="1" x14ac:dyDescent="0.4">
      <c r="B842" s="110">
        <v>44763</v>
      </c>
      <c r="C842" s="122">
        <f t="shared" si="206"/>
        <v>3000000</v>
      </c>
      <c r="D842" s="111">
        <f t="shared" si="207"/>
        <v>7684</v>
      </c>
      <c r="E842" s="2">
        <f t="shared" si="208"/>
        <v>2250</v>
      </c>
      <c r="F842" s="112">
        <f t="shared" ref="F842:F905" si="216">20000000-C842</f>
        <v>17000000</v>
      </c>
      <c r="G842" s="2">
        <f t="shared" si="209"/>
        <v>855065</v>
      </c>
      <c r="H842" s="113">
        <f t="shared" si="210"/>
        <v>0</v>
      </c>
      <c r="I842" s="121">
        <f t="shared" ref="I842:I905" si="217">C842+D842-G842-E842+H842</f>
        <v>2150369</v>
      </c>
      <c r="K842" s="123">
        <f t="shared" si="211"/>
        <v>3000000</v>
      </c>
      <c r="L842" s="111">
        <f t="shared" si="212"/>
        <v>7684</v>
      </c>
      <c r="M842" s="2">
        <f t="shared" si="213"/>
        <v>2250</v>
      </c>
      <c r="N842" s="112">
        <f t="shared" ref="N842:N905" si="218">20000000-K842</f>
        <v>17000000</v>
      </c>
      <c r="O842" s="2">
        <f t="shared" si="214"/>
        <v>855065</v>
      </c>
      <c r="P842" s="113">
        <f t="shared" si="215"/>
        <v>0</v>
      </c>
      <c r="Q842" s="121">
        <f t="shared" ref="Q842:Q905" si="219">K842+L842-O842-M842+P842</f>
        <v>2150369</v>
      </c>
    </row>
    <row r="843" spans="2:17" hidden="1" x14ac:dyDescent="0.4">
      <c r="B843" s="110">
        <v>44764</v>
      </c>
      <c r="C843" s="122">
        <f t="shared" ref="C843:C906" si="220">SUMIF($B$6:$B$75,$B843,$D$6:$D$75)+C842</f>
        <v>3000000</v>
      </c>
      <c r="D843" s="111">
        <f t="shared" ref="D843:D906" si="221">SUMIF($B$6:$B$75,$B843,$E$6:$E$75)+D842</f>
        <v>7684</v>
      </c>
      <c r="E843" s="2">
        <f t="shared" ref="E843:E906" si="222">SUMIF($G$353:$G$376,$B843,$J$353:$J$376)+SUMIF($E$353:$E$376,$B843,$H$353:$H$376)+SUMIF($G$353:$G$376,$B843,$I$353:$I$376)+E842</f>
        <v>2250</v>
      </c>
      <c r="F843" s="112">
        <f t="shared" si="216"/>
        <v>17000000</v>
      </c>
      <c r="G843" s="2">
        <f t="shared" ref="G843:G906" si="223">SUMIF($E$353:$E$376,$B843,$M$353:$M$376)+G842</f>
        <v>855065</v>
      </c>
      <c r="H843" s="113">
        <f t="shared" ref="H843:H906" si="224">SUMIF($G$353:$G$376,$B843,$N$353:$N$376)+H842</f>
        <v>0</v>
      </c>
      <c r="I843" s="121">
        <f t="shared" si="217"/>
        <v>2150369</v>
      </c>
      <c r="K843" s="123">
        <f t="shared" ref="K843:K906" si="225">SUMIF($B$6:$B$75,$B843,$D$6:$D$75)+K842</f>
        <v>3000000</v>
      </c>
      <c r="L843" s="111">
        <f t="shared" ref="L843:L906" si="226">SUMIF($B$6:$B$75,$B843,$E$6:$E$75)+L842</f>
        <v>7684</v>
      </c>
      <c r="M843" s="2">
        <f t="shared" ref="M843:M906" si="227">SUMIF($G$353:$G$376,$B843,$J$353:$J$376)+SUMIF($E$353:$E$376,$B843,$H$353:$H$376)+SUMIF($G$353:$G$376,$B843,$I$353:$I$376)+M842</f>
        <v>2250</v>
      </c>
      <c r="N843" s="112">
        <f t="shared" si="218"/>
        <v>17000000</v>
      </c>
      <c r="O843" s="2">
        <f t="shared" ref="O843:O906" si="228">SUMIF($E$353:$E$376,$B843,$M$353:$M$376)+O842</f>
        <v>855065</v>
      </c>
      <c r="P843" s="113">
        <f t="shared" ref="P843:P906" si="229">SUMIF($G$353:$G$376,$B843,$N$353:$N$376)+P842</f>
        <v>0</v>
      </c>
      <c r="Q843" s="121">
        <f t="shared" si="219"/>
        <v>2150369</v>
      </c>
    </row>
    <row r="844" spans="2:17" hidden="1" x14ac:dyDescent="0.4">
      <c r="B844" s="110">
        <v>44765</v>
      </c>
      <c r="C844" s="122">
        <f t="shared" si="220"/>
        <v>3000000</v>
      </c>
      <c r="D844" s="111">
        <f t="shared" si="221"/>
        <v>7684</v>
      </c>
      <c r="E844" s="2">
        <f t="shared" si="222"/>
        <v>2250</v>
      </c>
      <c r="F844" s="112">
        <f t="shared" si="216"/>
        <v>17000000</v>
      </c>
      <c r="G844" s="2">
        <f t="shared" si="223"/>
        <v>855065</v>
      </c>
      <c r="H844" s="113">
        <f t="shared" si="224"/>
        <v>0</v>
      </c>
      <c r="I844" s="121">
        <f t="shared" si="217"/>
        <v>2150369</v>
      </c>
      <c r="K844" s="123">
        <f t="shared" si="225"/>
        <v>3000000</v>
      </c>
      <c r="L844" s="111">
        <f t="shared" si="226"/>
        <v>7684</v>
      </c>
      <c r="M844" s="2">
        <f t="shared" si="227"/>
        <v>2250</v>
      </c>
      <c r="N844" s="112">
        <f t="shared" si="218"/>
        <v>17000000</v>
      </c>
      <c r="O844" s="2">
        <f t="shared" si="228"/>
        <v>855065</v>
      </c>
      <c r="P844" s="113">
        <f t="shared" si="229"/>
        <v>0</v>
      </c>
      <c r="Q844" s="121">
        <f t="shared" si="219"/>
        <v>2150369</v>
      </c>
    </row>
    <row r="845" spans="2:17" hidden="1" x14ac:dyDescent="0.4">
      <c r="B845" s="110">
        <v>44766</v>
      </c>
      <c r="C845" s="122">
        <f t="shared" si="220"/>
        <v>3000000</v>
      </c>
      <c r="D845" s="111">
        <f t="shared" si="221"/>
        <v>7684</v>
      </c>
      <c r="E845" s="2">
        <f t="shared" si="222"/>
        <v>2250</v>
      </c>
      <c r="F845" s="112">
        <f t="shared" si="216"/>
        <v>17000000</v>
      </c>
      <c r="G845" s="2">
        <f t="shared" si="223"/>
        <v>855065</v>
      </c>
      <c r="H845" s="113">
        <f t="shared" si="224"/>
        <v>0</v>
      </c>
      <c r="I845" s="121">
        <f t="shared" si="217"/>
        <v>2150369</v>
      </c>
      <c r="K845" s="123">
        <f t="shared" si="225"/>
        <v>3000000</v>
      </c>
      <c r="L845" s="111">
        <f t="shared" si="226"/>
        <v>7684</v>
      </c>
      <c r="M845" s="2">
        <f t="shared" si="227"/>
        <v>2250</v>
      </c>
      <c r="N845" s="112">
        <f t="shared" si="218"/>
        <v>17000000</v>
      </c>
      <c r="O845" s="2">
        <f t="shared" si="228"/>
        <v>855065</v>
      </c>
      <c r="P845" s="113">
        <f t="shared" si="229"/>
        <v>0</v>
      </c>
      <c r="Q845" s="121">
        <f t="shared" si="219"/>
        <v>2150369</v>
      </c>
    </row>
    <row r="846" spans="2:17" hidden="1" x14ac:dyDescent="0.4">
      <c r="B846" s="110">
        <v>44767</v>
      </c>
      <c r="C846" s="122">
        <f t="shared" si="220"/>
        <v>3000000</v>
      </c>
      <c r="D846" s="111">
        <f t="shared" si="221"/>
        <v>7684</v>
      </c>
      <c r="E846" s="2">
        <f t="shared" si="222"/>
        <v>2250</v>
      </c>
      <c r="F846" s="112">
        <f t="shared" si="216"/>
        <v>17000000</v>
      </c>
      <c r="G846" s="2">
        <f t="shared" si="223"/>
        <v>855065</v>
      </c>
      <c r="H846" s="113">
        <f t="shared" si="224"/>
        <v>0</v>
      </c>
      <c r="I846" s="121">
        <f t="shared" si="217"/>
        <v>2150369</v>
      </c>
      <c r="K846" s="123">
        <f t="shared" si="225"/>
        <v>3000000</v>
      </c>
      <c r="L846" s="111">
        <f t="shared" si="226"/>
        <v>7684</v>
      </c>
      <c r="M846" s="2">
        <f t="shared" si="227"/>
        <v>2250</v>
      </c>
      <c r="N846" s="112">
        <f t="shared" si="218"/>
        <v>17000000</v>
      </c>
      <c r="O846" s="2">
        <f t="shared" si="228"/>
        <v>855065</v>
      </c>
      <c r="P846" s="113">
        <f t="shared" si="229"/>
        <v>0</v>
      </c>
      <c r="Q846" s="121">
        <f t="shared" si="219"/>
        <v>2150369</v>
      </c>
    </row>
    <row r="847" spans="2:17" hidden="1" x14ac:dyDescent="0.4">
      <c r="B847" s="110">
        <v>44768</v>
      </c>
      <c r="C847" s="122">
        <f t="shared" si="220"/>
        <v>3000000</v>
      </c>
      <c r="D847" s="111">
        <f t="shared" si="221"/>
        <v>7684</v>
      </c>
      <c r="E847" s="2">
        <f t="shared" si="222"/>
        <v>2250</v>
      </c>
      <c r="F847" s="112">
        <f t="shared" si="216"/>
        <v>17000000</v>
      </c>
      <c r="G847" s="2">
        <f t="shared" si="223"/>
        <v>855065</v>
      </c>
      <c r="H847" s="113">
        <f t="shared" si="224"/>
        <v>0</v>
      </c>
      <c r="I847" s="121">
        <f t="shared" si="217"/>
        <v>2150369</v>
      </c>
      <c r="K847" s="123">
        <f t="shared" si="225"/>
        <v>3000000</v>
      </c>
      <c r="L847" s="111">
        <f t="shared" si="226"/>
        <v>7684</v>
      </c>
      <c r="M847" s="2">
        <f t="shared" si="227"/>
        <v>2250</v>
      </c>
      <c r="N847" s="112">
        <f t="shared" si="218"/>
        <v>17000000</v>
      </c>
      <c r="O847" s="2">
        <f t="shared" si="228"/>
        <v>855065</v>
      </c>
      <c r="P847" s="113">
        <f t="shared" si="229"/>
        <v>0</v>
      </c>
      <c r="Q847" s="121">
        <f t="shared" si="219"/>
        <v>2150369</v>
      </c>
    </row>
    <row r="848" spans="2:17" hidden="1" x14ac:dyDescent="0.4">
      <c r="B848" s="110">
        <v>44769</v>
      </c>
      <c r="C848" s="122">
        <f t="shared" si="220"/>
        <v>3000000</v>
      </c>
      <c r="D848" s="111">
        <f t="shared" si="221"/>
        <v>7684</v>
      </c>
      <c r="E848" s="2">
        <f t="shared" si="222"/>
        <v>2250</v>
      </c>
      <c r="F848" s="112">
        <f t="shared" si="216"/>
        <v>17000000</v>
      </c>
      <c r="G848" s="2">
        <f t="shared" si="223"/>
        <v>855065</v>
      </c>
      <c r="H848" s="113">
        <f t="shared" si="224"/>
        <v>0</v>
      </c>
      <c r="I848" s="121">
        <f t="shared" si="217"/>
        <v>2150369</v>
      </c>
      <c r="K848" s="123">
        <f t="shared" si="225"/>
        <v>3000000</v>
      </c>
      <c r="L848" s="111">
        <f t="shared" si="226"/>
        <v>7684</v>
      </c>
      <c r="M848" s="2">
        <f t="shared" si="227"/>
        <v>2250</v>
      </c>
      <c r="N848" s="112">
        <f t="shared" si="218"/>
        <v>17000000</v>
      </c>
      <c r="O848" s="2">
        <f t="shared" si="228"/>
        <v>855065</v>
      </c>
      <c r="P848" s="113">
        <f t="shared" si="229"/>
        <v>0</v>
      </c>
      <c r="Q848" s="121">
        <f t="shared" si="219"/>
        <v>2150369</v>
      </c>
    </row>
    <row r="849" spans="2:17" hidden="1" x14ac:dyDescent="0.4">
      <c r="B849" s="110">
        <v>44770</v>
      </c>
      <c r="C849" s="122">
        <f t="shared" si="220"/>
        <v>3000000</v>
      </c>
      <c r="D849" s="111">
        <f t="shared" si="221"/>
        <v>7684</v>
      </c>
      <c r="E849" s="2">
        <f t="shared" si="222"/>
        <v>2250</v>
      </c>
      <c r="F849" s="112">
        <f t="shared" si="216"/>
        <v>17000000</v>
      </c>
      <c r="G849" s="2">
        <f t="shared" si="223"/>
        <v>855065</v>
      </c>
      <c r="H849" s="113">
        <f t="shared" si="224"/>
        <v>0</v>
      </c>
      <c r="I849" s="121">
        <f t="shared" si="217"/>
        <v>2150369</v>
      </c>
      <c r="K849" s="123">
        <f t="shared" si="225"/>
        <v>3000000</v>
      </c>
      <c r="L849" s="111">
        <f t="shared" si="226"/>
        <v>7684</v>
      </c>
      <c r="M849" s="2">
        <f t="shared" si="227"/>
        <v>2250</v>
      </c>
      <c r="N849" s="112">
        <f t="shared" si="218"/>
        <v>17000000</v>
      </c>
      <c r="O849" s="2">
        <f t="shared" si="228"/>
        <v>855065</v>
      </c>
      <c r="P849" s="113">
        <f t="shared" si="229"/>
        <v>0</v>
      </c>
      <c r="Q849" s="121">
        <f t="shared" si="219"/>
        <v>2150369</v>
      </c>
    </row>
    <row r="850" spans="2:17" hidden="1" x14ac:dyDescent="0.4">
      <c r="B850" s="110">
        <v>44771</v>
      </c>
      <c r="C850" s="122">
        <f t="shared" si="220"/>
        <v>3000000</v>
      </c>
      <c r="D850" s="111">
        <f t="shared" si="221"/>
        <v>7684</v>
      </c>
      <c r="E850" s="2">
        <f t="shared" si="222"/>
        <v>2250</v>
      </c>
      <c r="F850" s="112">
        <f t="shared" si="216"/>
        <v>17000000</v>
      </c>
      <c r="G850" s="2">
        <f t="shared" si="223"/>
        <v>855065</v>
      </c>
      <c r="H850" s="113">
        <f t="shared" si="224"/>
        <v>0</v>
      </c>
      <c r="I850" s="121">
        <f t="shared" si="217"/>
        <v>2150369</v>
      </c>
      <c r="K850" s="123">
        <f t="shared" si="225"/>
        <v>3000000</v>
      </c>
      <c r="L850" s="111">
        <f t="shared" si="226"/>
        <v>7684</v>
      </c>
      <c r="M850" s="2">
        <f t="shared" si="227"/>
        <v>2250</v>
      </c>
      <c r="N850" s="112">
        <f t="shared" si="218"/>
        <v>17000000</v>
      </c>
      <c r="O850" s="2">
        <f t="shared" si="228"/>
        <v>855065</v>
      </c>
      <c r="P850" s="113">
        <f t="shared" si="229"/>
        <v>0</v>
      </c>
      <c r="Q850" s="121">
        <f t="shared" si="219"/>
        <v>2150369</v>
      </c>
    </row>
    <row r="851" spans="2:17" hidden="1" x14ac:dyDescent="0.4">
      <c r="B851" s="110">
        <v>44772</v>
      </c>
      <c r="C851" s="122">
        <f t="shared" si="220"/>
        <v>3000000</v>
      </c>
      <c r="D851" s="111">
        <f t="shared" si="221"/>
        <v>7684</v>
      </c>
      <c r="E851" s="2">
        <f t="shared" si="222"/>
        <v>2250</v>
      </c>
      <c r="F851" s="112">
        <f t="shared" si="216"/>
        <v>17000000</v>
      </c>
      <c r="G851" s="2">
        <f t="shared" si="223"/>
        <v>855065</v>
      </c>
      <c r="H851" s="113">
        <f t="shared" si="224"/>
        <v>0</v>
      </c>
      <c r="I851" s="121">
        <f t="shared" si="217"/>
        <v>2150369</v>
      </c>
      <c r="K851" s="123">
        <f t="shared" si="225"/>
        <v>3000000</v>
      </c>
      <c r="L851" s="111">
        <f t="shared" si="226"/>
        <v>7684</v>
      </c>
      <c r="M851" s="2">
        <f t="shared" si="227"/>
        <v>2250</v>
      </c>
      <c r="N851" s="112">
        <f t="shared" si="218"/>
        <v>17000000</v>
      </c>
      <c r="O851" s="2">
        <f t="shared" si="228"/>
        <v>855065</v>
      </c>
      <c r="P851" s="113">
        <f t="shared" si="229"/>
        <v>0</v>
      </c>
      <c r="Q851" s="121">
        <f t="shared" si="219"/>
        <v>2150369</v>
      </c>
    </row>
    <row r="852" spans="2:17" hidden="1" x14ac:dyDescent="0.4">
      <c r="B852" s="110">
        <v>44773</v>
      </c>
      <c r="C852" s="122">
        <f t="shared" si="220"/>
        <v>3000000</v>
      </c>
      <c r="D852" s="111">
        <f t="shared" si="221"/>
        <v>7684</v>
      </c>
      <c r="E852" s="2">
        <f t="shared" si="222"/>
        <v>2250</v>
      </c>
      <c r="F852" s="112">
        <f t="shared" si="216"/>
        <v>17000000</v>
      </c>
      <c r="G852" s="2">
        <f t="shared" si="223"/>
        <v>855065</v>
      </c>
      <c r="H852" s="113">
        <f t="shared" si="224"/>
        <v>0</v>
      </c>
      <c r="I852" s="121">
        <f t="shared" si="217"/>
        <v>2150369</v>
      </c>
      <c r="K852" s="123">
        <f t="shared" si="225"/>
        <v>3000000</v>
      </c>
      <c r="L852" s="111">
        <f t="shared" si="226"/>
        <v>7684</v>
      </c>
      <c r="M852" s="2">
        <f t="shared" si="227"/>
        <v>2250</v>
      </c>
      <c r="N852" s="112">
        <f t="shared" si="218"/>
        <v>17000000</v>
      </c>
      <c r="O852" s="2">
        <f t="shared" si="228"/>
        <v>855065</v>
      </c>
      <c r="P852" s="113">
        <f t="shared" si="229"/>
        <v>0</v>
      </c>
      <c r="Q852" s="121">
        <f t="shared" si="219"/>
        <v>2150369</v>
      </c>
    </row>
    <row r="853" spans="2:17" x14ac:dyDescent="0.4">
      <c r="B853" s="110">
        <v>44774</v>
      </c>
      <c r="C853" s="122">
        <f t="shared" si="220"/>
        <v>3000000</v>
      </c>
      <c r="D853" s="111">
        <f t="shared" si="221"/>
        <v>7684</v>
      </c>
      <c r="E853" s="2">
        <f t="shared" si="222"/>
        <v>2250</v>
      </c>
      <c r="F853" s="112">
        <f t="shared" si="216"/>
        <v>17000000</v>
      </c>
      <c r="G853" s="2">
        <f t="shared" si="223"/>
        <v>855065</v>
      </c>
      <c r="H853" s="113">
        <f t="shared" si="224"/>
        <v>0</v>
      </c>
      <c r="I853" s="121">
        <f t="shared" si="217"/>
        <v>2150369</v>
      </c>
      <c r="K853" s="123">
        <f t="shared" si="225"/>
        <v>3000000</v>
      </c>
      <c r="L853" s="111">
        <f t="shared" si="226"/>
        <v>7684</v>
      </c>
      <c r="M853" s="2">
        <f t="shared" si="227"/>
        <v>2250</v>
      </c>
      <c r="N853" s="112">
        <f t="shared" si="218"/>
        <v>17000000</v>
      </c>
      <c r="O853" s="2">
        <f t="shared" si="228"/>
        <v>855065</v>
      </c>
      <c r="P853" s="113">
        <f t="shared" si="229"/>
        <v>0</v>
      </c>
      <c r="Q853" s="121">
        <f t="shared" si="219"/>
        <v>2150369</v>
      </c>
    </row>
    <row r="854" spans="2:17" hidden="1" x14ac:dyDescent="0.4">
      <c r="B854" s="110">
        <v>44775</v>
      </c>
      <c r="C854" s="122">
        <f t="shared" si="220"/>
        <v>3000000</v>
      </c>
      <c r="D854" s="111">
        <f t="shared" si="221"/>
        <v>7684</v>
      </c>
      <c r="E854" s="2">
        <f t="shared" si="222"/>
        <v>2250</v>
      </c>
      <c r="F854" s="112">
        <f t="shared" si="216"/>
        <v>17000000</v>
      </c>
      <c r="G854" s="2">
        <f t="shared" si="223"/>
        <v>855065</v>
      </c>
      <c r="H854" s="113">
        <f t="shared" si="224"/>
        <v>0</v>
      </c>
      <c r="I854" s="121">
        <f t="shared" si="217"/>
        <v>2150369</v>
      </c>
      <c r="K854" s="123">
        <f t="shared" si="225"/>
        <v>3000000</v>
      </c>
      <c r="L854" s="111">
        <f t="shared" si="226"/>
        <v>7684</v>
      </c>
      <c r="M854" s="2">
        <f t="shared" si="227"/>
        <v>2250</v>
      </c>
      <c r="N854" s="112">
        <f t="shared" si="218"/>
        <v>17000000</v>
      </c>
      <c r="O854" s="2">
        <f t="shared" si="228"/>
        <v>855065</v>
      </c>
      <c r="P854" s="113">
        <f t="shared" si="229"/>
        <v>0</v>
      </c>
      <c r="Q854" s="121">
        <f t="shared" si="219"/>
        <v>2150369</v>
      </c>
    </row>
    <row r="855" spans="2:17" hidden="1" x14ac:dyDescent="0.4">
      <c r="B855" s="110">
        <v>44776</v>
      </c>
      <c r="C855" s="122">
        <f t="shared" si="220"/>
        <v>3000000</v>
      </c>
      <c r="D855" s="111">
        <f t="shared" si="221"/>
        <v>7684</v>
      </c>
      <c r="E855" s="2">
        <f t="shared" si="222"/>
        <v>2250</v>
      </c>
      <c r="F855" s="112">
        <f t="shared" si="216"/>
        <v>17000000</v>
      </c>
      <c r="G855" s="2">
        <f t="shared" si="223"/>
        <v>855065</v>
      </c>
      <c r="H855" s="113">
        <f t="shared" si="224"/>
        <v>0</v>
      </c>
      <c r="I855" s="121">
        <f t="shared" si="217"/>
        <v>2150369</v>
      </c>
      <c r="K855" s="123">
        <f t="shared" si="225"/>
        <v>3000000</v>
      </c>
      <c r="L855" s="111">
        <f t="shared" si="226"/>
        <v>7684</v>
      </c>
      <c r="M855" s="2">
        <f t="shared" si="227"/>
        <v>2250</v>
      </c>
      <c r="N855" s="112">
        <f t="shared" si="218"/>
        <v>17000000</v>
      </c>
      <c r="O855" s="2">
        <f t="shared" si="228"/>
        <v>855065</v>
      </c>
      <c r="P855" s="113">
        <f t="shared" si="229"/>
        <v>0</v>
      </c>
      <c r="Q855" s="121">
        <f t="shared" si="219"/>
        <v>2150369</v>
      </c>
    </row>
    <row r="856" spans="2:17" hidden="1" x14ac:dyDescent="0.4">
      <c r="B856" s="110">
        <v>44777</v>
      </c>
      <c r="C856" s="122">
        <f t="shared" si="220"/>
        <v>3000000</v>
      </c>
      <c r="D856" s="111">
        <f t="shared" si="221"/>
        <v>7684</v>
      </c>
      <c r="E856" s="2">
        <f t="shared" si="222"/>
        <v>2250</v>
      </c>
      <c r="F856" s="112">
        <f t="shared" si="216"/>
        <v>17000000</v>
      </c>
      <c r="G856" s="2">
        <f t="shared" si="223"/>
        <v>855065</v>
      </c>
      <c r="H856" s="113">
        <f t="shared" si="224"/>
        <v>0</v>
      </c>
      <c r="I856" s="121">
        <f t="shared" si="217"/>
        <v>2150369</v>
      </c>
      <c r="K856" s="123">
        <f t="shared" si="225"/>
        <v>3000000</v>
      </c>
      <c r="L856" s="111">
        <f t="shared" si="226"/>
        <v>7684</v>
      </c>
      <c r="M856" s="2">
        <f t="shared" si="227"/>
        <v>2250</v>
      </c>
      <c r="N856" s="112">
        <f t="shared" si="218"/>
        <v>17000000</v>
      </c>
      <c r="O856" s="2">
        <f t="shared" si="228"/>
        <v>855065</v>
      </c>
      <c r="P856" s="113">
        <f t="shared" si="229"/>
        <v>0</v>
      </c>
      <c r="Q856" s="121">
        <f t="shared" si="219"/>
        <v>2150369</v>
      </c>
    </row>
    <row r="857" spans="2:17" hidden="1" x14ac:dyDescent="0.4">
      <c r="B857" s="110">
        <v>44778</v>
      </c>
      <c r="C857" s="122">
        <f t="shared" si="220"/>
        <v>3000000</v>
      </c>
      <c r="D857" s="111">
        <f t="shared" si="221"/>
        <v>7684</v>
      </c>
      <c r="E857" s="2">
        <f t="shared" si="222"/>
        <v>2250</v>
      </c>
      <c r="F857" s="112">
        <f t="shared" si="216"/>
        <v>17000000</v>
      </c>
      <c r="G857" s="2">
        <f t="shared" si="223"/>
        <v>855065</v>
      </c>
      <c r="H857" s="113">
        <f t="shared" si="224"/>
        <v>0</v>
      </c>
      <c r="I857" s="121">
        <f t="shared" si="217"/>
        <v>2150369</v>
      </c>
      <c r="K857" s="123">
        <f t="shared" si="225"/>
        <v>3000000</v>
      </c>
      <c r="L857" s="111">
        <f t="shared" si="226"/>
        <v>7684</v>
      </c>
      <c r="M857" s="2">
        <f t="shared" si="227"/>
        <v>2250</v>
      </c>
      <c r="N857" s="112">
        <f t="shared" si="218"/>
        <v>17000000</v>
      </c>
      <c r="O857" s="2">
        <f t="shared" si="228"/>
        <v>855065</v>
      </c>
      <c r="P857" s="113">
        <f t="shared" si="229"/>
        <v>0</v>
      </c>
      <c r="Q857" s="121">
        <f t="shared" si="219"/>
        <v>2150369</v>
      </c>
    </row>
    <row r="858" spans="2:17" hidden="1" x14ac:dyDescent="0.4">
      <c r="B858" s="110">
        <v>44779</v>
      </c>
      <c r="C858" s="122">
        <f t="shared" si="220"/>
        <v>3000000</v>
      </c>
      <c r="D858" s="111">
        <f t="shared" si="221"/>
        <v>7684</v>
      </c>
      <c r="E858" s="2">
        <f t="shared" si="222"/>
        <v>2250</v>
      </c>
      <c r="F858" s="112">
        <f t="shared" si="216"/>
        <v>17000000</v>
      </c>
      <c r="G858" s="2">
        <f t="shared" si="223"/>
        <v>855065</v>
      </c>
      <c r="H858" s="113">
        <f t="shared" si="224"/>
        <v>0</v>
      </c>
      <c r="I858" s="121">
        <f t="shared" si="217"/>
        <v>2150369</v>
      </c>
      <c r="K858" s="123">
        <f t="shared" si="225"/>
        <v>3000000</v>
      </c>
      <c r="L858" s="111">
        <f t="shared" si="226"/>
        <v>7684</v>
      </c>
      <c r="M858" s="2">
        <f t="shared" si="227"/>
        <v>2250</v>
      </c>
      <c r="N858" s="112">
        <f t="shared" si="218"/>
        <v>17000000</v>
      </c>
      <c r="O858" s="2">
        <f t="shared" si="228"/>
        <v>855065</v>
      </c>
      <c r="P858" s="113">
        <f t="shared" si="229"/>
        <v>0</v>
      </c>
      <c r="Q858" s="121">
        <f t="shared" si="219"/>
        <v>2150369</v>
      </c>
    </row>
    <row r="859" spans="2:17" hidden="1" x14ac:dyDescent="0.4">
      <c r="B859" s="110">
        <v>44780</v>
      </c>
      <c r="C859" s="122">
        <f t="shared" si="220"/>
        <v>3000000</v>
      </c>
      <c r="D859" s="111">
        <f t="shared" si="221"/>
        <v>7684</v>
      </c>
      <c r="E859" s="2">
        <f t="shared" si="222"/>
        <v>2250</v>
      </c>
      <c r="F859" s="112">
        <f t="shared" si="216"/>
        <v>17000000</v>
      </c>
      <c r="G859" s="2">
        <f t="shared" si="223"/>
        <v>855065</v>
      </c>
      <c r="H859" s="113">
        <f t="shared" si="224"/>
        <v>0</v>
      </c>
      <c r="I859" s="121">
        <f t="shared" si="217"/>
        <v>2150369</v>
      </c>
      <c r="K859" s="123">
        <f t="shared" si="225"/>
        <v>3000000</v>
      </c>
      <c r="L859" s="111">
        <f t="shared" si="226"/>
        <v>7684</v>
      </c>
      <c r="M859" s="2">
        <f t="shared" si="227"/>
        <v>2250</v>
      </c>
      <c r="N859" s="112">
        <f t="shared" si="218"/>
        <v>17000000</v>
      </c>
      <c r="O859" s="2">
        <f t="shared" si="228"/>
        <v>855065</v>
      </c>
      <c r="P859" s="113">
        <f t="shared" si="229"/>
        <v>0</v>
      </c>
      <c r="Q859" s="121">
        <f t="shared" si="219"/>
        <v>2150369</v>
      </c>
    </row>
    <row r="860" spans="2:17" hidden="1" x14ac:dyDescent="0.4">
      <c r="B860" s="110">
        <v>44781</v>
      </c>
      <c r="C860" s="122">
        <f t="shared" si="220"/>
        <v>3000000</v>
      </c>
      <c r="D860" s="111">
        <f t="shared" si="221"/>
        <v>7684</v>
      </c>
      <c r="E860" s="2">
        <f t="shared" si="222"/>
        <v>2250</v>
      </c>
      <c r="F860" s="112">
        <f t="shared" si="216"/>
        <v>17000000</v>
      </c>
      <c r="G860" s="2">
        <f t="shared" si="223"/>
        <v>855065</v>
      </c>
      <c r="H860" s="113">
        <f t="shared" si="224"/>
        <v>0</v>
      </c>
      <c r="I860" s="121">
        <f t="shared" si="217"/>
        <v>2150369</v>
      </c>
      <c r="K860" s="123">
        <f t="shared" si="225"/>
        <v>3000000</v>
      </c>
      <c r="L860" s="111">
        <f t="shared" si="226"/>
        <v>7684</v>
      </c>
      <c r="M860" s="2">
        <f t="shared" si="227"/>
        <v>2250</v>
      </c>
      <c r="N860" s="112">
        <f t="shared" si="218"/>
        <v>17000000</v>
      </c>
      <c r="O860" s="2">
        <f t="shared" si="228"/>
        <v>855065</v>
      </c>
      <c r="P860" s="113">
        <f t="shared" si="229"/>
        <v>0</v>
      </c>
      <c r="Q860" s="121">
        <f t="shared" si="219"/>
        <v>2150369</v>
      </c>
    </row>
    <row r="861" spans="2:17" hidden="1" x14ac:dyDescent="0.4">
      <c r="B861" s="110">
        <v>44782</v>
      </c>
      <c r="C861" s="122">
        <f t="shared" si="220"/>
        <v>3000000</v>
      </c>
      <c r="D861" s="111">
        <f t="shared" si="221"/>
        <v>7684</v>
      </c>
      <c r="E861" s="2">
        <f t="shared" si="222"/>
        <v>2250</v>
      </c>
      <c r="F861" s="112">
        <f t="shared" si="216"/>
        <v>17000000</v>
      </c>
      <c r="G861" s="2">
        <f t="shared" si="223"/>
        <v>855065</v>
      </c>
      <c r="H861" s="113">
        <f t="shared" si="224"/>
        <v>0</v>
      </c>
      <c r="I861" s="121">
        <f t="shared" si="217"/>
        <v>2150369</v>
      </c>
      <c r="K861" s="123">
        <f t="shared" si="225"/>
        <v>3000000</v>
      </c>
      <c r="L861" s="111">
        <f t="shared" si="226"/>
        <v>7684</v>
      </c>
      <c r="M861" s="2">
        <f t="shared" si="227"/>
        <v>2250</v>
      </c>
      <c r="N861" s="112">
        <f t="shared" si="218"/>
        <v>17000000</v>
      </c>
      <c r="O861" s="2">
        <f t="shared" si="228"/>
        <v>855065</v>
      </c>
      <c r="P861" s="113">
        <f t="shared" si="229"/>
        <v>0</v>
      </c>
      <c r="Q861" s="121">
        <f t="shared" si="219"/>
        <v>2150369</v>
      </c>
    </row>
    <row r="862" spans="2:17" hidden="1" x14ac:dyDescent="0.4">
      <c r="B862" s="110">
        <v>44783</v>
      </c>
      <c r="C862" s="122">
        <f t="shared" si="220"/>
        <v>3000000</v>
      </c>
      <c r="D862" s="111">
        <f t="shared" si="221"/>
        <v>7684</v>
      </c>
      <c r="E862" s="2">
        <f t="shared" si="222"/>
        <v>2250</v>
      </c>
      <c r="F862" s="112">
        <f t="shared" si="216"/>
        <v>17000000</v>
      </c>
      <c r="G862" s="2">
        <f t="shared" si="223"/>
        <v>855065</v>
      </c>
      <c r="H862" s="113">
        <f t="shared" si="224"/>
        <v>0</v>
      </c>
      <c r="I862" s="121">
        <f t="shared" si="217"/>
        <v>2150369</v>
      </c>
      <c r="K862" s="123">
        <f t="shared" si="225"/>
        <v>3000000</v>
      </c>
      <c r="L862" s="111">
        <f t="shared" si="226"/>
        <v>7684</v>
      </c>
      <c r="M862" s="2">
        <f t="shared" si="227"/>
        <v>2250</v>
      </c>
      <c r="N862" s="112">
        <f t="shared" si="218"/>
        <v>17000000</v>
      </c>
      <c r="O862" s="2">
        <f t="shared" si="228"/>
        <v>855065</v>
      </c>
      <c r="P862" s="113">
        <f t="shared" si="229"/>
        <v>0</v>
      </c>
      <c r="Q862" s="121">
        <f t="shared" si="219"/>
        <v>2150369</v>
      </c>
    </row>
    <row r="863" spans="2:17" hidden="1" x14ac:dyDescent="0.4">
      <c r="B863" s="110">
        <v>44784</v>
      </c>
      <c r="C863" s="122">
        <f t="shared" si="220"/>
        <v>3000000</v>
      </c>
      <c r="D863" s="111">
        <f t="shared" si="221"/>
        <v>7684</v>
      </c>
      <c r="E863" s="2">
        <f t="shared" si="222"/>
        <v>2250</v>
      </c>
      <c r="F863" s="112">
        <f t="shared" si="216"/>
        <v>17000000</v>
      </c>
      <c r="G863" s="2">
        <f t="shared" si="223"/>
        <v>855065</v>
      </c>
      <c r="H863" s="113">
        <f t="shared" si="224"/>
        <v>0</v>
      </c>
      <c r="I863" s="121">
        <f t="shared" si="217"/>
        <v>2150369</v>
      </c>
      <c r="K863" s="123">
        <f t="shared" si="225"/>
        <v>3000000</v>
      </c>
      <c r="L863" s="111">
        <f t="shared" si="226"/>
        <v>7684</v>
      </c>
      <c r="M863" s="2">
        <f t="shared" si="227"/>
        <v>2250</v>
      </c>
      <c r="N863" s="112">
        <f t="shared" si="218"/>
        <v>17000000</v>
      </c>
      <c r="O863" s="2">
        <f t="shared" si="228"/>
        <v>855065</v>
      </c>
      <c r="P863" s="113">
        <f t="shared" si="229"/>
        <v>0</v>
      </c>
      <c r="Q863" s="121">
        <f t="shared" si="219"/>
        <v>2150369</v>
      </c>
    </row>
    <row r="864" spans="2:17" hidden="1" x14ac:dyDescent="0.4">
      <c r="B864" s="110">
        <v>44785</v>
      </c>
      <c r="C864" s="122">
        <f t="shared" si="220"/>
        <v>3000000</v>
      </c>
      <c r="D864" s="111">
        <f t="shared" si="221"/>
        <v>7684</v>
      </c>
      <c r="E864" s="2">
        <f t="shared" si="222"/>
        <v>2250</v>
      </c>
      <c r="F864" s="112">
        <f t="shared" si="216"/>
        <v>17000000</v>
      </c>
      <c r="G864" s="2">
        <f t="shared" si="223"/>
        <v>855065</v>
      </c>
      <c r="H864" s="113">
        <f t="shared" si="224"/>
        <v>0</v>
      </c>
      <c r="I864" s="121">
        <f t="shared" si="217"/>
        <v>2150369</v>
      </c>
      <c r="K864" s="123">
        <f t="shared" si="225"/>
        <v>3000000</v>
      </c>
      <c r="L864" s="111">
        <f t="shared" si="226"/>
        <v>7684</v>
      </c>
      <c r="M864" s="2">
        <f t="shared" si="227"/>
        <v>2250</v>
      </c>
      <c r="N864" s="112">
        <f t="shared" si="218"/>
        <v>17000000</v>
      </c>
      <c r="O864" s="2">
        <f t="shared" si="228"/>
        <v>855065</v>
      </c>
      <c r="P864" s="113">
        <f t="shared" si="229"/>
        <v>0</v>
      </c>
      <c r="Q864" s="121">
        <f t="shared" si="219"/>
        <v>2150369</v>
      </c>
    </row>
    <row r="865" spans="2:17" hidden="1" x14ac:dyDescent="0.4">
      <c r="B865" s="110">
        <v>44786</v>
      </c>
      <c r="C865" s="122">
        <f t="shared" si="220"/>
        <v>3000000</v>
      </c>
      <c r="D865" s="111">
        <f t="shared" si="221"/>
        <v>7684</v>
      </c>
      <c r="E865" s="2">
        <f t="shared" si="222"/>
        <v>2250</v>
      </c>
      <c r="F865" s="112">
        <f t="shared" si="216"/>
        <v>17000000</v>
      </c>
      <c r="G865" s="2">
        <f t="shared" si="223"/>
        <v>855065</v>
      </c>
      <c r="H865" s="113">
        <f t="shared" si="224"/>
        <v>0</v>
      </c>
      <c r="I865" s="121">
        <f t="shared" si="217"/>
        <v>2150369</v>
      </c>
      <c r="K865" s="123">
        <f t="shared" si="225"/>
        <v>3000000</v>
      </c>
      <c r="L865" s="111">
        <f t="shared" si="226"/>
        <v>7684</v>
      </c>
      <c r="M865" s="2">
        <f t="shared" si="227"/>
        <v>2250</v>
      </c>
      <c r="N865" s="112">
        <f t="shared" si="218"/>
        <v>17000000</v>
      </c>
      <c r="O865" s="2">
        <f t="shared" si="228"/>
        <v>855065</v>
      </c>
      <c r="P865" s="113">
        <f t="shared" si="229"/>
        <v>0</v>
      </c>
      <c r="Q865" s="121">
        <f t="shared" si="219"/>
        <v>2150369</v>
      </c>
    </row>
    <row r="866" spans="2:17" hidden="1" x14ac:dyDescent="0.4">
      <c r="B866" s="110">
        <v>44787</v>
      </c>
      <c r="C866" s="122">
        <f t="shared" si="220"/>
        <v>3000000</v>
      </c>
      <c r="D866" s="111">
        <f t="shared" si="221"/>
        <v>7684</v>
      </c>
      <c r="E866" s="2">
        <f t="shared" si="222"/>
        <v>2250</v>
      </c>
      <c r="F866" s="112">
        <f t="shared" si="216"/>
        <v>17000000</v>
      </c>
      <c r="G866" s="2">
        <f t="shared" si="223"/>
        <v>855065</v>
      </c>
      <c r="H866" s="113">
        <f t="shared" si="224"/>
        <v>0</v>
      </c>
      <c r="I866" s="121">
        <f t="shared" si="217"/>
        <v>2150369</v>
      </c>
      <c r="K866" s="123">
        <f t="shared" si="225"/>
        <v>3000000</v>
      </c>
      <c r="L866" s="111">
        <f t="shared" si="226"/>
        <v>7684</v>
      </c>
      <c r="M866" s="2">
        <f t="shared" si="227"/>
        <v>2250</v>
      </c>
      <c r="N866" s="112">
        <f t="shared" si="218"/>
        <v>17000000</v>
      </c>
      <c r="O866" s="2">
        <f t="shared" si="228"/>
        <v>855065</v>
      </c>
      <c r="P866" s="113">
        <f t="shared" si="229"/>
        <v>0</v>
      </c>
      <c r="Q866" s="121">
        <f t="shared" si="219"/>
        <v>2150369</v>
      </c>
    </row>
    <row r="867" spans="2:17" hidden="1" x14ac:dyDescent="0.4">
      <c r="B867" s="110">
        <v>44788</v>
      </c>
      <c r="C867" s="122">
        <f t="shared" si="220"/>
        <v>3000000</v>
      </c>
      <c r="D867" s="111">
        <f t="shared" si="221"/>
        <v>7684</v>
      </c>
      <c r="E867" s="2">
        <f t="shared" si="222"/>
        <v>2250</v>
      </c>
      <c r="F867" s="112">
        <f t="shared" si="216"/>
        <v>17000000</v>
      </c>
      <c r="G867" s="2">
        <f t="shared" si="223"/>
        <v>855065</v>
      </c>
      <c r="H867" s="113">
        <f t="shared" si="224"/>
        <v>0</v>
      </c>
      <c r="I867" s="121">
        <f t="shared" si="217"/>
        <v>2150369</v>
      </c>
      <c r="K867" s="123">
        <f t="shared" si="225"/>
        <v>3000000</v>
      </c>
      <c r="L867" s="111">
        <f t="shared" si="226"/>
        <v>7684</v>
      </c>
      <c r="M867" s="2">
        <f t="shared" si="227"/>
        <v>2250</v>
      </c>
      <c r="N867" s="112">
        <f t="shared" si="218"/>
        <v>17000000</v>
      </c>
      <c r="O867" s="2">
        <f t="shared" si="228"/>
        <v>855065</v>
      </c>
      <c r="P867" s="113">
        <f t="shared" si="229"/>
        <v>0</v>
      </c>
      <c r="Q867" s="121">
        <f t="shared" si="219"/>
        <v>2150369</v>
      </c>
    </row>
    <row r="868" spans="2:17" hidden="1" x14ac:dyDescent="0.4">
      <c r="B868" s="110">
        <v>44789</v>
      </c>
      <c r="C868" s="122">
        <f t="shared" si="220"/>
        <v>3000000</v>
      </c>
      <c r="D868" s="111">
        <f t="shared" si="221"/>
        <v>9850</v>
      </c>
      <c r="E868" s="2">
        <f t="shared" si="222"/>
        <v>2250</v>
      </c>
      <c r="F868" s="112">
        <f t="shared" si="216"/>
        <v>17000000</v>
      </c>
      <c r="G868" s="2">
        <f t="shared" si="223"/>
        <v>855065</v>
      </c>
      <c r="H868" s="113">
        <f t="shared" si="224"/>
        <v>0</v>
      </c>
      <c r="I868" s="121">
        <f t="shared" si="217"/>
        <v>2152535</v>
      </c>
      <c r="K868" s="123">
        <f t="shared" si="225"/>
        <v>3000000</v>
      </c>
      <c r="L868" s="111">
        <f t="shared" si="226"/>
        <v>9850</v>
      </c>
      <c r="M868" s="2">
        <f t="shared" si="227"/>
        <v>2250</v>
      </c>
      <c r="N868" s="112">
        <f t="shared" si="218"/>
        <v>17000000</v>
      </c>
      <c r="O868" s="2">
        <f t="shared" si="228"/>
        <v>855065</v>
      </c>
      <c r="P868" s="113">
        <f t="shared" si="229"/>
        <v>0</v>
      </c>
      <c r="Q868" s="121">
        <f t="shared" si="219"/>
        <v>2152535</v>
      </c>
    </row>
    <row r="869" spans="2:17" hidden="1" x14ac:dyDescent="0.4">
      <c r="B869" s="110">
        <v>44790</v>
      </c>
      <c r="C869" s="122">
        <f t="shared" si="220"/>
        <v>3000000</v>
      </c>
      <c r="D869" s="111">
        <f t="shared" si="221"/>
        <v>9850</v>
      </c>
      <c r="E869" s="2">
        <f t="shared" si="222"/>
        <v>2250</v>
      </c>
      <c r="F869" s="112">
        <f t="shared" si="216"/>
        <v>17000000</v>
      </c>
      <c r="G869" s="2">
        <f t="shared" si="223"/>
        <v>855065</v>
      </c>
      <c r="H869" s="113">
        <f t="shared" si="224"/>
        <v>0</v>
      </c>
      <c r="I869" s="121">
        <f t="shared" si="217"/>
        <v>2152535</v>
      </c>
      <c r="K869" s="123">
        <f t="shared" si="225"/>
        <v>3000000</v>
      </c>
      <c r="L869" s="111">
        <f t="shared" si="226"/>
        <v>9850</v>
      </c>
      <c r="M869" s="2">
        <f t="shared" si="227"/>
        <v>2250</v>
      </c>
      <c r="N869" s="112">
        <f t="shared" si="218"/>
        <v>17000000</v>
      </c>
      <c r="O869" s="2">
        <f t="shared" si="228"/>
        <v>855065</v>
      </c>
      <c r="P869" s="113">
        <f t="shared" si="229"/>
        <v>0</v>
      </c>
      <c r="Q869" s="121">
        <f t="shared" si="219"/>
        <v>2152535</v>
      </c>
    </row>
    <row r="870" spans="2:17" hidden="1" x14ac:dyDescent="0.4">
      <c r="B870" s="110">
        <v>44791</v>
      </c>
      <c r="C870" s="122">
        <f t="shared" si="220"/>
        <v>3000000</v>
      </c>
      <c r="D870" s="111">
        <f t="shared" si="221"/>
        <v>9850</v>
      </c>
      <c r="E870" s="2">
        <f t="shared" si="222"/>
        <v>2250</v>
      </c>
      <c r="F870" s="112">
        <f t="shared" si="216"/>
        <v>17000000</v>
      </c>
      <c r="G870" s="2">
        <f t="shared" si="223"/>
        <v>855065</v>
      </c>
      <c r="H870" s="113">
        <f t="shared" si="224"/>
        <v>0</v>
      </c>
      <c r="I870" s="121">
        <f t="shared" si="217"/>
        <v>2152535</v>
      </c>
      <c r="K870" s="123">
        <f t="shared" si="225"/>
        <v>3000000</v>
      </c>
      <c r="L870" s="111">
        <f t="shared" si="226"/>
        <v>9850</v>
      </c>
      <c r="M870" s="2">
        <f t="shared" si="227"/>
        <v>2250</v>
      </c>
      <c r="N870" s="112">
        <f t="shared" si="218"/>
        <v>17000000</v>
      </c>
      <c r="O870" s="2">
        <f t="shared" si="228"/>
        <v>855065</v>
      </c>
      <c r="P870" s="113">
        <f t="shared" si="229"/>
        <v>0</v>
      </c>
      <c r="Q870" s="121">
        <f t="shared" si="219"/>
        <v>2152535</v>
      </c>
    </row>
    <row r="871" spans="2:17" hidden="1" x14ac:dyDescent="0.4">
      <c r="B871" s="110">
        <v>44792</v>
      </c>
      <c r="C871" s="122">
        <f t="shared" si="220"/>
        <v>3000000</v>
      </c>
      <c r="D871" s="111">
        <f t="shared" si="221"/>
        <v>9850</v>
      </c>
      <c r="E871" s="2">
        <f t="shared" si="222"/>
        <v>2250</v>
      </c>
      <c r="F871" s="112">
        <f t="shared" si="216"/>
        <v>17000000</v>
      </c>
      <c r="G871" s="2">
        <f t="shared" si="223"/>
        <v>855065</v>
      </c>
      <c r="H871" s="113">
        <f t="shared" si="224"/>
        <v>0</v>
      </c>
      <c r="I871" s="121">
        <f t="shared" si="217"/>
        <v>2152535</v>
      </c>
      <c r="K871" s="123">
        <f t="shared" si="225"/>
        <v>3000000</v>
      </c>
      <c r="L871" s="111">
        <f t="shared" si="226"/>
        <v>9850</v>
      </c>
      <c r="M871" s="2">
        <f t="shared" si="227"/>
        <v>2250</v>
      </c>
      <c r="N871" s="112">
        <f t="shared" si="218"/>
        <v>17000000</v>
      </c>
      <c r="O871" s="2">
        <f t="shared" si="228"/>
        <v>855065</v>
      </c>
      <c r="P871" s="113">
        <f t="shared" si="229"/>
        <v>0</v>
      </c>
      <c r="Q871" s="121">
        <f t="shared" si="219"/>
        <v>2152535</v>
      </c>
    </row>
    <row r="872" spans="2:17" hidden="1" x14ac:dyDescent="0.4">
      <c r="B872" s="110">
        <v>44793</v>
      </c>
      <c r="C872" s="122">
        <f t="shared" si="220"/>
        <v>3000000</v>
      </c>
      <c r="D872" s="111">
        <f t="shared" si="221"/>
        <v>9850</v>
      </c>
      <c r="E872" s="2">
        <f t="shared" si="222"/>
        <v>2250</v>
      </c>
      <c r="F872" s="112">
        <f t="shared" si="216"/>
        <v>17000000</v>
      </c>
      <c r="G872" s="2">
        <f t="shared" si="223"/>
        <v>855065</v>
      </c>
      <c r="H872" s="113">
        <f t="shared" si="224"/>
        <v>0</v>
      </c>
      <c r="I872" s="121">
        <f t="shared" si="217"/>
        <v>2152535</v>
      </c>
      <c r="K872" s="123">
        <f t="shared" si="225"/>
        <v>3000000</v>
      </c>
      <c r="L872" s="111">
        <f t="shared" si="226"/>
        <v>9850</v>
      </c>
      <c r="M872" s="2">
        <f t="shared" si="227"/>
        <v>2250</v>
      </c>
      <c r="N872" s="112">
        <f t="shared" si="218"/>
        <v>17000000</v>
      </c>
      <c r="O872" s="2">
        <f t="shared" si="228"/>
        <v>855065</v>
      </c>
      <c r="P872" s="113">
        <f t="shared" si="229"/>
        <v>0</v>
      </c>
      <c r="Q872" s="121">
        <f t="shared" si="219"/>
        <v>2152535</v>
      </c>
    </row>
    <row r="873" spans="2:17" hidden="1" x14ac:dyDescent="0.4">
      <c r="B873" s="110">
        <v>44794</v>
      </c>
      <c r="C873" s="122">
        <f t="shared" si="220"/>
        <v>3000000</v>
      </c>
      <c r="D873" s="111">
        <f t="shared" si="221"/>
        <v>9850</v>
      </c>
      <c r="E873" s="2">
        <f t="shared" si="222"/>
        <v>2250</v>
      </c>
      <c r="F873" s="112">
        <f t="shared" si="216"/>
        <v>17000000</v>
      </c>
      <c r="G873" s="2">
        <f t="shared" si="223"/>
        <v>855065</v>
      </c>
      <c r="H873" s="113">
        <f t="shared" si="224"/>
        <v>0</v>
      </c>
      <c r="I873" s="121">
        <f t="shared" si="217"/>
        <v>2152535</v>
      </c>
      <c r="K873" s="123">
        <f t="shared" si="225"/>
        <v>3000000</v>
      </c>
      <c r="L873" s="111">
        <f t="shared" si="226"/>
        <v>9850</v>
      </c>
      <c r="M873" s="2">
        <f t="shared" si="227"/>
        <v>2250</v>
      </c>
      <c r="N873" s="112">
        <f t="shared" si="218"/>
        <v>17000000</v>
      </c>
      <c r="O873" s="2">
        <f t="shared" si="228"/>
        <v>855065</v>
      </c>
      <c r="P873" s="113">
        <f t="shared" si="229"/>
        <v>0</v>
      </c>
      <c r="Q873" s="121">
        <f t="shared" si="219"/>
        <v>2152535</v>
      </c>
    </row>
    <row r="874" spans="2:17" hidden="1" x14ac:dyDescent="0.4">
      <c r="B874" s="110">
        <v>44795</v>
      </c>
      <c r="C874" s="122">
        <f t="shared" si="220"/>
        <v>3000000</v>
      </c>
      <c r="D874" s="111">
        <f t="shared" si="221"/>
        <v>9850</v>
      </c>
      <c r="E874" s="2">
        <f t="shared" si="222"/>
        <v>2250</v>
      </c>
      <c r="F874" s="112">
        <f t="shared" si="216"/>
        <v>17000000</v>
      </c>
      <c r="G874" s="2">
        <f t="shared" si="223"/>
        <v>855065</v>
      </c>
      <c r="H874" s="113">
        <f t="shared" si="224"/>
        <v>0</v>
      </c>
      <c r="I874" s="121">
        <f t="shared" si="217"/>
        <v>2152535</v>
      </c>
      <c r="K874" s="123">
        <f t="shared" si="225"/>
        <v>3000000</v>
      </c>
      <c r="L874" s="111">
        <f t="shared" si="226"/>
        <v>9850</v>
      </c>
      <c r="M874" s="2">
        <f t="shared" si="227"/>
        <v>2250</v>
      </c>
      <c r="N874" s="112">
        <f t="shared" si="218"/>
        <v>17000000</v>
      </c>
      <c r="O874" s="2">
        <f t="shared" si="228"/>
        <v>855065</v>
      </c>
      <c r="P874" s="113">
        <f t="shared" si="229"/>
        <v>0</v>
      </c>
      <c r="Q874" s="121">
        <f t="shared" si="219"/>
        <v>2152535</v>
      </c>
    </row>
    <row r="875" spans="2:17" hidden="1" x14ac:dyDescent="0.4">
      <c r="B875" s="110">
        <v>44796</v>
      </c>
      <c r="C875" s="122">
        <f t="shared" si="220"/>
        <v>3000000</v>
      </c>
      <c r="D875" s="111">
        <f t="shared" si="221"/>
        <v>9850</v>
      </c>
      <c r="E875" s="2">
        <f t="shared" si="222"/>
        <v>2250</v>
      </c>
      <c r="F875" s="112">
        <f t="shared" si="216"/>
        <v>17000000</v>
      </c>
      <c r="G875" s="2">
        <f t="shared" si="223"/>
        <v>855065</v>
      </c>
      <c r="H875" s="113">
        <f t="shared" si="224"/>
        <v>0</v>
      </c>
      <c r="I875" s="121">
        <f t="shared" si="217"/>
        <v>2152535</v>
      </c>
      <c r="K875" s="123">
        <f t="shared" si="225"/>
        <v>3000000</v>
      </c>
      <c r="L875" s="111">
        <f t="shared" si="226"/>
        <v>9850</v>
      </c>
      <c r="M875" s="2">
        <f t="shared" si="227"/>
        <v>2250</v>
      </c>
      <c r="N875" s="112">
        <f t="shared" si="218"/>
        <v>17000000</v>
      </c>
      <c r="O875" s="2">
        <f t="shared" si="228"/>
        <v>855065</v>
      </c>
      <c r="P875" s="113">
        <f t="shared" si="229"/>
        <v>0</v>
      </c>
      <c r="Q875" s="121">
        <f t="shared" si="219"/>
        <v>2152535</v>
      </c>
    </row>
    <row r="876" spans="2:17" hidden="1" x14ac:dyDescent="0.4">
      <c r="B876" s="110">
        <v>44797</v>
      </c>
      <c r="C876" s="122">
        <f t="shared" si="220"/>
        <v>3000000</v>
      </c>
      <c r="D876" s="111">
        <f t="shared" si="221"/>
        <v>9850</v>
      </c>
      <c r="E876" s="2">
        <f t="shared" si="222"/>
        <v>2250</v>
      </c>
      <c r="F876" s="112">
        <f t="shared" si="216"/>
        <v>17000000</v>
      </c>
      <c r="G876" s="2">
        <f t="shared" si="223"/>
        <v>855065</v>
      </c>
      <c r="H876" s="113">
        <f t="shared" si="224"/>
        <v>0</v>
      </c>
      <c r="I876" s="121">
        <f t="shared" si="217"/>
        <v>2152535</v>
      </c>
      <c r="K876" s="123">
        <f t="shared" si="225"/>
        <v>3000000</v>
      </c>
      <c r="L876" s="111">
        <f t="shared" si="226"/>
        <v>9850</v>
      </c>
      <c r="M876" s="2">
        <f t="shared" si="227"/>
        <v>2250</v>
      </c>
      <c r="N876" s="112">
        <f t="shared" si="218"/>
        <v>17000000</v>
      </c>
      <c r="O876" s="2">
        <f t="shared" si="228"/>
        <v>855065</v>
      </c>
      <c r="P876" s="113">
        <f t="shared" si="229"/>
        <v>0</v>
      </c>
      <c r="Q876" s="121">
        <f t="shared" si="219"/>
        <v>2152535</v>
      </c>
    </row>
    <row r="877" spans="2:17" hidden="1" x14ac:dyDescent="0.4">
      <c r="B877" s="110">
        <v>44798</v>
      </c>
      <c r="C877" s="122">
        <f t="shared" si="220"/>
        <v>3000000</v>
      </c>
      <c r="D877" s="111">
        <f t="shared" si="221"/>
        <v>9850</v>
      </c>
      <c r="E877" s="2">
        <f t="shared" si="222"/>
        <v>2250</v>
      </c>
      <c r="F877" s="112">
        <f t="shared" si="216"/>
        <v>17000000</v>
      </c>
      <c r="G877" s="2">
        <f t="shared" si="223"/>
        <v>855065</v>
      </c>
      <c r="H877" s="113">
        <f t="shared" si="224"/>
        <v>0</v>
      </c>
      <c r="I877" s="121">
        <f t="shared" si="217"/>
        <v>2152535</v>
      </c>
      <c r="K877" s="123">
        <f t="shared" si="225"/>
        <v>3000000</v>
      </c>
      <c r="L877" s="111">
        <f t="shared" si="226"/>
        <v>9850</v>
      </c>
      <c r="M877" s="2">
        <f t="shared" si="227"/>
        <v>2250</v>
      </c>
      <c r="N877" s="112">
        <f t="shared" si="218"/>
        <v>17000000</v>
      </c>
      <c r="O877" s="2">
        <f t="shared" si="228"/>
        <v>855065</v>
      </c>
      <c r="P877" s="113">
        <f t="shared" si="229"/>
        <v>0</v>
      </c>
      <c r="Q877" s="121">
        <f t="shared" si="219"/>
        <v>2152535</v>
      </c>
    </row>
    <row r="878" spans="2:17" hidden="1" x14ac:dyDescent="0.4">
      <c r="B878" s="110">
        <v>44799</v>
      </c>
      <c r="C878" s="122">
        <f t="shared" si="220"/>
        <v>3000000</v>
      </c>
      <c r="D878" s="111">
        <f t="shared" si="221"/>
        <v>9850</v>
      </c>
      <c r="E878" s="2">
        <f t="shared" si="222"/>
        <v>2250</v>
      </c>
      <c r="F878" s="112">
        <f t="shared" si="216"/>
        <v>17000000</v>
      </c>
      <c r="G878" s="2">
        <f t="shared" si="223"/>
        <v>855065</v>
      </c>
      <c r="H878" s="113">
        <f t="shared" si="224"/>
        <v>0</v>
      </c>
      <c r="I878" s="121">
        <f t="shared" si="217"/>
        <v>2152535</v>
      </c>
      <c r="K878" s="123">
        <f t="shared" si="225"/>
        <v>3000000</v>
      </c>
      <c r="L878" s="111">
        <f t="shared" si="226"/>
        <v>9850</v>
      </c>
      <c r="M878" s="2">
        <f t="shared" si="227"/>
        <v>2250</v>
      </c>
      <c r="N878" s="112">
        <f t="shared" si="218"/>
        <v>17000000</v>
      </c>
      <c r="O878" s="2">
        <f t="shared" si="228"/>
        <v>855065</v>
      </c>
      <c r="P878" s="113">
        <f t="shared" si="229"/>
        <v>0</v>
      </c>
      <c r="Q878" s="121">
        <f t="shared" si="219"/>
        <v>2152535</v>
      </c>
    </row>
    <row r="879" spans="2:17" hidden="1" x14ac:dyDescent="0.4">
      <c r="B879" s="110">
        <v>44800</v>
      </c>
      <c r="C879" s="122">
        <f t="shared" si="220"/>
        <v>3000000</v>
      </c>
      <c r="D879" s="111">
        <f t="shared" si="221"/>
        <v>9850</v>
      </c>
      <c r="E879" s="2">
        <f t="shared" si="222"/>
        <v>2250</v>
      </c>
      <c r="F879" s="112">
        <f t="shared" si="216"/>
        <v>17000000</v>
      </c>
      <c r="G879" s="2">
        <f t="shared" si="223"/>
        <v>855065</v>
      </c>
      <c r="H879" s="113">
        <f t="shared" si="224"/>
        <v>0</v>
      </c>
      <c r="I879" s="121">
        <f t="shared" si="217"/>
        <v>2152535</v>
      </c>
      <c r="K879" s="123">
        <f t="shared" si="225"/>
        <v>3000000</v>
      </c>
      <c r="L879" s="111">
        <f t="shared" si="226"/>
        <v>9850</v>
      </c>
      <c r="M879" s="2">
        <f t="shared" si="227"/>
        <v>2250</v>
      </c>
      <c r="N879" s="112">
        <f t="shared" si="218"/>
        <v>17000000</v>
      </c>
      <c r="O879" s="2">
        <f t="shared" si="228"/>
        <v>855065</v>
      </c>
      <c r="P879" s="113">
        <f t="shared" si="229"/>
        <v>0</v>
      </c>
      <c r="Q879" s="121">
        <f t="shared" si="219"/>
        <v>2152535</v>
      </c>
    </row>
    <row r="880" spans="2:17" hidden="1" x14ac:dyDescent="0.4">
      <c r="B880" s="110">
        <v>44801</v>
      </c>
      <c r="C880" s="122">
        <f t="shared" si="220"/>
        <v>3000000</v>
      </c>
      <c r="D880" s="111">
        <f t="shared" si="221"/>
        <v>9850</v>
      </c>
      <c r="E880" s="2">
        <f t="shared" si="222"/>
        <v>2250</v>
      </c>
      <c r="F880" s="112">
        <f t="shared" si="216"/>
        <v>17000000</v>
      </c>
      <c r="G880" s="2">
        <f t="shared" si="223"/>
        <v>855065</v>
      </c>
      <c r="H880" s="113">
        <f t="shared" si="224"/>
        <v>0</v>
      </c>
      <c r="I880" s="121">
        <f t="shared" si="217"/>
        <v>2152535</v>
      </c>
      <c r="K880" s="123">
        <f t="shared" si="225"/>
        <v>3000000</v>
      </c>
      <c r="L880" s="111">
        <f t="shared" si="226"/>
        <v>9850</v>
      </c>
      <c r="M880" s="2">
        <f t="shared" si="227"/>
        <v>2250</v>
      </c>
      <c r="N880" s="112">
        <f t="shared" si="218"/>
        <v>17000000</v>
      </c>
      <c r="O880" s="2">
        <f t="shared" si="228"/>
        <v>855065</v>
      </c>
      <c r="P880" s="113">
        <f t="shared" si="229"/>
        <v>0</v>
      </c>
      <c r="Q880" s="121">
        <f t="shared" si="219"/>
        <v>2152535</v>
      </c>
    </row>
    <row r="881" spans="2:17" hidden="1" x14ac:dyDescent="0.4">
      <c r="B881" s="110">
        <v>44802</v>
      </c>
      <c r="C881" s="122">
        <f t="shared" si="220"/>
        <v>3000000</v>
      </c>
      <c r="D881" s="111">
        <f t="shared" si="221"/>
        <v>9850</v>
      </c>
      <c r="E881" s="2">
        <f t="shared" si="222"/>
        <v>2250</v>
      </c>
      <c r="F881" s="112">
        <f t="shared" si="216"/>
        <v>17000000</v>
      </c>
      <c r="G881" s="2">
        <f t="shared" si="223"/>
        <v>855065</v>
      </c>
      <c r="H881" s="113">
        <f t="shared" si="224"/>
        <v>0</v>
      </c>
      <c r="I881" s="121">
        <f t="shared" si="217"/>
        <v>2152535</v>
      </c>
      <c r="K881" s="123">
        <f t="shared" si="225"/>
        <v>3000000</v>
      </c>
      <c r="L881" s="111">
        <f t="shared" si="226"/>
        <v>9850</v>
      </c>
      <c r="M881" s="2">
        <f t="shared" si="227"/>
        <v>2250</v>
      </c>
      <c r="N881" s="112">
        <f t="shared" si="218"/>
        <v>17000000</v>
      </c>
      <c r="O881" s="2">
        <f t="shared" si="228"/>
        <v>855065</v>
      </c>
      <c r="P881" s="113">
        <f t="shared" si="229"/>
        <v>0</v>
      </c>
      <c r="Q881" s="121">
        <f t="shared" si="219"/>
        <v>2152535</v>
      </c>
    </row>
    <row r="882" spans="2:17" hidden="1" x14ac:dyDescent="0.4">
      <c r="B882" s="110">
        <v>44803</v>
      </c>
      <c r="C882" s="122">
        <f t="shared" si="220"/>
        <v>3000000</v>
      </c>
      <c r="D882" s="111">
        <f t="shared" si="221"/>
        <v>9850</v>
      </c>
      <c r="E882" s="2">
        <f t="shared" si="222"/>
        <v>2250</v>
      </c>
      <c r="F882" s="112">
        <f t="shared" si="216"/>
        <v>17000000</v>
      </c>
      <c r="G882" s="2">
        <f t="shared" si="223"/>
        <v>855065</v>
      </c>
      <c r="H882" s="113">
        <f t="shared" si="224"/>
        <v>0</v>
      </c>
      <c r="I882" s="121">
        <f t="shared" si="217"/>
        <v>2152535</v>
      </c>
      <c r="K882" s="123">
        <f t="shared" si="225"/>
        <v>3000000</v>
      </c>
      <c r="L882" s="111">
        <f t="shared" si="226"/>
        <v>9850</v>
      </c>
      <c r="M882" s="2">
        <f t="shared" si="227"/>
        <v>2250</v>
      </c>
      <c r="N882" s="112">
        <f t="shared" si="218"/>
        <v>17000000</v>
      </c>
      <c r="O882" s="2">
        <f t="shared" si="228"/>
        <v>855065</v>
      </c>
      <c r="P882" s="113">
        <f t="shared" si="229"/>
        <v>0</v>
      </c>
      <c r="Q882" s="121">
        <f t="shared" si="219"/>
        <v>2152535</v>
      </c>
    </row>
    <row r="883" spans="2:17" hidden="1" x14ac:dyDescent="0.4">
      <c r="B883" s="110">
        <v>44804</v>
      </c>
      <c r="C883" s="122">
        <f t="shared" si="220"/>
        <v>3000000</v>
      </c>
      <c r="D883" s="111">
        <f t="shared" si="221"/>
        <v>9850</v>
      </c>
      <c r="E883" s="2">
        <f t="shared" si="222"/>
        <v>2250</v>
      </c>
      <c r="F883" s="112">
        <f t="shared" si="216"/>
        <v>17000000</v>
      </c>
      <c r="G883" s="2">
        <f t="shared" si="223"/>
        <v>855065</v>
      </c>
      <c r="H883" s="113">
        <f t="shared" si="224"/>
        <v>0</v>
      </c>
      <c r="I883" s="121">
        <f t="shared" si="217"/>
        <v>2152535</v>
      </c>
      <c r="K883" s="123">
        <f t="shared" si="225"/>
        <v>3000000</v>
      </c>
      <c r="L883" s="111">
        <f t="shared" si="226"/>
        <v>9850</v>
      </c>
      <c r="M883" s="2">
        <f t="shared" si="227"/>
        <v>2250</v>
      </c>
      <c r="N883" s="112">
        <f t="shared" si="218"/>
        <v>17000000</v>
      </c>
      <c r="O883" s="2">
        <f t="shared" si="228"/>
        <v>855065</v>
      </c>
      <c r="P883" s="113">
        <f t="shared" si="229"/>
        <v>0</v>
      </c>
      <c r="Q883" s="121">
        <f t="shared" si="219"/>
        <v>2152535</v>
      </c>
    </row>
    <row r="884" spans="2:17" x14ac:dyDescent="0.4">
      <c r="B884" s="110">
        <v>44805</v>
      </c>
      <c r="C884" s="122">
        <f t="shared" si="220"/>
        <v>3000000</v>
      </c>
      <c r="D884" s="111">
        <f t="shared" si="221"/>
        <v>9850</v>
      </c>
      <c r="E884" s="2">
        <f t="shared" si="222"/>
        <v>2250</v>
      </c>
      <c r="F884" s="112">
        <f t="shared" si="216"/>
        <v>17000000</v>
      </c>
      <c r="G884" s="2">
        <f t="shared" si="223"/>
        <v>855065</v>
      </c>
      <c r="H884" s="113">
        <f t="shared" si="224"/>
        <v>0</v>
      </c>
      <c r="I884" s="121">
        <f t="shared" si="217"/>
        <v>2152535</v>
      </c>
      <c r="K884" s="123">
        <f t="shared" si="225"/>
        <v>3000000</v>
      </c>
      <c r="L884" s="111">
        <f t="shared" si="226"/>
        <v>9850</v>
      </c>
      <c r="M884" s="2">
        <f t="shared" si="227"/>
        <v>2250</v>
      </c>
      <c r="N884" s="112">
        <f t="shared" si="218"/>
        <v>17000000</v>
      </c>
      <c r="O884" s="2">
        <f t="shared" si="228"/>
        <v>855065</v>
      </c>
      <c r="P884" s="113">
        <f t="shared" si="229"/>
        <v>0</v>
      </c>
      <c r="Q884" s="121">
        <f t="shared" si="219"/>
        <v>2152535</v>
      </c>
    </row>
    <row r="885" spans="2:17" hidden="1" x14ac:dyDescent="0.4">
      <c r="B885" s="110">
        <v>44806</v>
      </c>
      <c r="C885" s="122">
        <f t="shared" si="220"/>
        <v>3000000</v>
      </c>
      <c r="D885" s="111">
        <f t="shared" si="221"/>
        <v>9850</v>
      </c>
      <c r="E885" s="2">
        <f t="shared" si="222"/>
        <v>2250</v>
      </c>
      <c r="F885" s="112">
        <f t="shared" si="216"/>
        <v>17000000</v>
      </c>
      <c r="G885" s="2">
        <f t="shared" si="223"/>
        <v>855065</v>
      </c>
      <c r="H885" s="113">
        <f t="shared" si="224"/>
        <v>0</v>
      </c>
      <c r="I885" s="121">
        <f t="shared" si="217"/>
        <v>2152535</v>
      </c>
      <c r="K885" s="123">
        <f t="shared" si="225"/>
        <v>3000000</v>
      </c>
      <c r="L885" s="111">
        <f t="shared" si="226"/>
        <v>9850</v>
      </c>
      <c r="M885" s="2">
        <f t="shared" si="227"/>
        <v>2250</v>
      </c>
      <c r="N885" s="112">
        <f t="shared" si="218"/>
        <v>17000000</v>
      </c>
      <c r="O885" s="2">
        <f t="shared" si="228"/>
        <v>855065</v>
      </c>
      <c r="P885" s="113">
        <f t="shared" si="229"/>
        <v>0</v>
      </c>
      <c r="Q885" s="121">
        <f t="shared" si="219"/>
        <v>2152535</v>
      </c>
    </row>
    <row r="886" spans="2:17" hidden="1" x14ac:dyDescent="0.4">
      <c r="B886" s="110">
        <v>44807</v>
      </c>
      <c r="C886" s="122">
        <f t="shared" si="220"/>
        <v>3000000</v>
      </c>
      <c r="D886" s="111">
        <f t="shared" si="221"/>
        <v>9850</v>
      </c>
      <c r="E886" s="2">
        <f t="shared" si="222"/>
        <v>2250</v>
      </c>
      <c r="F886" s="112">
        <f t="shared" si="216"/>
        <v>17000000</v>
      </c>
      <c r="G886" s="2">
        <f t="shared" si="223"/>
        <v>855065</v>
      </c>
      <c r="H886" s="113">
        <f t="shared" si="224"/>
        <v>0</v>
      </c>
      <c r="I886" s="121">
        <f t="shared" si="217"/>
        <v>2152535</v>
      </c>
      <c r="K886" s="123">
        <f t="shared" si="225"/>
        <v>3000000</v>
      </c>
      <c r="L886" s="111">
        <f t="shared" si="226"/>
        <v>9850</v>
      </c>
      <c r="M886" s="2">
        <f t="shared" si="227"/>
        <v>2250</v>
      </c>
      <c r="N886" s="112">
        <f t="shared" si="218"/>
        <v>17000000</v>
      </c>
      <c r="O886" s="2">
        <f t="shared" si="228"/>
        <v>855065</v>
      </c>
      <c r="P886" s="113">
        <f t="shared" si="229"/>
        <v>0</v>
      </c>
      <c r="Q886" s="121">
        <f t="shared" si="219"/>
        <v>2152535</v>
      </c>
    </row>
    <row r="887" spans="2:17" hidden="1" x14ac:dyDescent="0.4">
      <c r="B887" s="110">
        <v>44808</v>
      </c>
      <c r="C887" s="122">
        <f t="shared" si="220"/>
        <v>3000000</v>
      </c>
      <c r="D887" s="111">
        <f t="shared" si="221"/>
        <v>9850</v>
      </c>
      <c r="E887" s="2">
        <f t="shared" si="222"/>
        <v>2250</v>
      </c>
      <c r="F887" s="112">
        <f t="shared" si="216"/>
        <v>17000000</v>
      </c>
      <c r="G887" s="2">
        <f t="shared" si="223"/>
        <v>855065</v>
      </c>
      <c r="H887" s="113">
        <f t="shared" si="224"/>
        <v>0</v>
      </c>
      <c r="I887" s="121">
        <f t="shared" si="217"/>
        <v>2152535</v>
      </c>
      <c r="K887" s="123">
        <f t="shared" si="225"/>
        <v>3000000</v>
      </c>
      <c r="L887" s="111">
        <f t="shared" si="226"/>
        <v>9850</v>
      </c>
      <c r="M887" s="2">
        <f t="shared" si="227"/>
        <v>2250</v>
      </c>
      <c r="N887" s="112">
        <f t="shared" si="218"/>
        <v>17000000</v>
      </c>
      <c r="O887" s="2">
        <f t="shared" si="228"/>
        <v>855065</v>
      </c>
      <c r="P887" s="113">
        <f t="shared" si="229"/>
        <v>0</v>
      </c>
      <c r="Q887" s="121">
        <f t="shared" si="219"/>
        <v>2152535</v>
      </c>
    </row>
    <row r="888" spans="2:17" hidden="1" x14ac:dyDescent="0.4">
      <c r="B888" s="110">
        <v>44809</v>
      </c>
      <c r="C888" s="122">
        <f t="shared" si="220"/>
        <v>3000000</v>
      </c>
      <c r="D888" s="111">
        <f t="shared" si="221"/>
        <v>11182</v>
      </c>
      <c r="E888" s="2">
        <f t="shared" si="222"/>
        <v>2250</v>
      </c>
      <c r="F888" s="112">
        <f t="shared" si="216"/>
        <v>17000000</v>
      </c>
      <c r="G888" s="2">
        <f t="shared" si="223"/>
        <v>855065</v>
      </c>
      <c r="H888" s="113">
        <f t="shared" si="224"/>
        <v>0</v>
      </c>
      <c r="I888" s="121">
        <f t="shared" si="217"/>
        <v>2153867</v>
      </c>
      <c r="K888" s="123">
        <f t="shared" si="225"/>
        <v>3000000</v>
      </c>
      <c r="L888" s="111">
        <f t="shared" si="226"/>
        <v>11182</v>
      </c>
      <c r="M888" s="2">
        <f t="shared" si="227"/>
        <v>2250</v>
      </c>
      <c r="N888" s="112">
        <f t="shared" si="218"/>
        <v>17000000</v>
      </c>
      <c r="O888" s="2">
        <f t="shared" si="228"/>
        <v>855065</v>
      </c>
      <c r="P888" s="113">
        <f t="shared" si="229"/>
        <v>0</v>
      </c>
      <c r="Q888" s="121">
        <f t="shared" si="219"/>
        <v>2153867</v>
      </c>
    </row>
    <row r="889" spans="2:17" hidden="1" x14ac:dyDescent="0.4">
      <c r="B889" s="110">
        <v>44810</v>
      </c>
      <c r="C889" s="122">
        <f t="shared" si="220"/>
        <v>3000000</v>
      </c>
      <c r="D889" s="111">
        <f t="shared" si="221"/>
        <v>11182</v>
      </c>
      <c r="E889" s="2">
        <f t="shared" si="222"/>
        <v>2250</v>
      </c>
      <c r="F889" s="112">
        <f t="shared" si="216"/>
        <v>17000000</v>
      </c>
      <c r="G889" s="2">
        <f t="shared" si="223"/>
        <v>855065</v>
      </c>
      <c r="H889" s="113">
        <f t="shared" si="224"/>
        <v>0</v>
      </c>
      <c r="I889" s="121">
        <f t="shared" si="217"/>
        <v>2153867</v>
      </c>
      <c r="K889" s="123">
        <f t="shared" si="225"/>
        <v>3000000</v>
      </c>
      <c r="L889" s="111">
        <f t="shared" si="226"/>
        <v>11182</v>
      </c>
      <c r="M889" s="2">
        <f t="shared" si="227"/>
        <v>2250</v>
      </c>
      <c r="N889" s="112">
        <f t="shared" si="218"/>
        <v>17000000</v>
      </c>
      <c r="O889" s="2">
        <f t="shared" si="228"/>
        <v>855065</v>
      </c>
      <c r="P889" s="113">
        <f t="shared" si="229"/>
        <v>0</v>
      </c>
      <c r="Q889" s="121">
        <f t="shared" si="219"/>
        <v>2153867</v>
      </c>
    </row>
    <row r="890" spans="2:17" hidden="1" x14ac:dyDescent="0.4">
      <c r="B890" s="110">
        <v>44811</v>
      </c>
      <c r="C890" s="122">
        <f t="shared" si="220"/>
        <v>3000000</v>
      </c>
      <c r="D890" s="111">
        <f t="shared" si="221"/>
        <v>11182</v>
      </c>
      <c r="E890" s="2">
        <f t="shared" si="222"/>
        <v>2250</v>
      </c>
      <c r="F890" s="112">
        <f t="shared" si="216"/>
        <v>17000000</v>
      </c>
      <c r="G890" s="2">
        <f t="shared" si="223"/>
        <v>855065</v>
      </c>
      <c r="H890" s="113">
        <f t="shared" si="224"/>
        <v>0</v>
      </c>
      <c r="I890" s="121">
        <f t="shared" si="217"/>
        <v>2153867</v>
      </c>
      <c r="K890" s="123">
        <f t="shared" si="225"/>
        <v>3000000</v>
      </c>
      <c r="L890" s="111">
        <f t="shared" si="226"/>
        <v>11182</v>
      </c>
      <c r="M890" s="2">
        <f t="shared" si="227"/>
        <v>2250</v>
      </c>
      <c r="N890" s="112">
        <f t="shared" si="218"/>
        <v>17000000</v>
      </c>
      <c r="O890" s="2">
        <f t="shared" si="228"/>
        <v>855065</v>
      </c>
      <c r="P890" s="113">
        <f t="shared" si="229"/>
        <v>0</v>
      </c>
      <c r="Q890" s="121">
        <f t="shared" si="219"/>
        <v>2153867</v>
      </c>
    </row>
    <row r="891" spans="2:17" hidden="1" x14ac:dyDescent="0.4">
      <c r="B891" s="110">
        <v>44812</v>
      </c>
      <c r="C891" s="122">
        <f t="shared" si="220"/>
        <v>3000000</v>
      </c>
      <c r="D891" s="111">
        <f t="shared" si="221"/>
        <v>11182</v>
      </c>
      <c r="E891" s="2">
        <f t="shared" si="222"/>
        <v>2250</v>
      </c>
      <c r="F891" s="112">
        <f t="shared" si="216"/>
        <v>17000000</v>
      </c>
      <c r="G891" s="2">
        <f t="shared" si="223"/>
        <v>855065</v>
      </c>
      <c r="H891" s="113">
        <f t="shared" si="224"/>
        <v>0</v>
      </c>
      <c r="I891" s="121">
        <f t="shared" si="217"/>
        <v>2153867</v>
      </c>
      <c r="K891" s="123">
        <f t="shared" si="225"/>
        <v>3000000</v>
      </c>
      <c r="L891" s="111">
        <f t="shared" si="226"/>
        <v>11182</v>
      </c>
      <c r="M891" s="2">
        <f t="shared" si="227"/>
        <v>2250</v>
      </c>
      <c r="N891" s="112">
        <f t="shared" si="218"/>
        <v>17000000</v>
      </c>
      <c r="O891" s="2">
        <f t="shared" si="228"/>
        <v>855065</v>
      </c>
      <c r="P891" s="113">
        <f t="shared" si="229"/>
        <v>0</v>
      </c>
      <c r="Q891" s="121">
        <f t="shared" si="219"/>
        <v>2153867</v>
      </c>
    </row>
    <row r="892" spans="2:17" hidden="1" x14ac:dyDescent="0.4">
      <c r="B892" s="110">
        <v>44813</v>
      </c>
      <c r="C892" s="122">
        <f t="shared" si="220"/>
        <v>3000000</v>
      </c>
      <c r="D892" s="111">
        <f t="shared" si="221"/>
        <v>11182</v>
      </c>
      <c r="E892" s="2">
        <f t="shared" si="222"/>
        <v>2250</v>
      </c>
      <c r="F892" s="112">
        <f t="shared" si="216"/>
        <v>17000000</v>
      </c>
      <c r="G892" s="2">
        <f t="shared" si="223"/>
        <v>855065</v>
      </c>
      <c r="H892" s="113">
        <f t="shared" si="224"/>
        <v>0</v>
      </c>
      <c r="I892" s="121">
        <f t="shared" si="217"/>
        <v>2153867</v>
      </c>
      <c r="K892" s="123">
        <f t="shared" si="225"/>
        <v>3000000</v>
      </c>
      <c r="L892" s="111">
        <f t="shared" si="226"/>
        <v>11182</v>
      </c>
      <c r="M892" s="2">
        <f t="shared" si="227"/>
        <v>2250</v>
      </c>
      <c r="N892" s="112">
        <f t="shared" si="218"/>
        <v>17000000</v>
      </c>
      <c r="O892" s="2">
        <f t="shared" si="228"/>
        <v>855065</v>
      </c>
      <c r="P892" s="113">
        <f t="shared" si="229"/>
        <v>0</v>
      </c>
      <c r="Q892" s="121">
        <f t="shared" si="219"/>
        <v>2153867</v>
      </c>
    </row>
    <row r="893" spans="2:17" hidden="1" x14ac:dyDescent="0.4">
      <c r="B893" s="110">
        <v>44814</v>
      </c>
      <c r="C893" s="122">
        <f t="shared" si="220"/>
        <v>3000000</v>
      </c>
      <c r="D893" s="111">
        <f t="shared" si="221"/>
        <v>11182</v>
      </c>
      <c r="E893" s="2">
        <f t="shared" si="222"/>
        <v>2250</v>
      </c>
      <c r="F893" s="112">
        <f t="shared" si="216"/>
        <v>17000000</v>
      </c>
      <c r="G893" s="2">
        <f t="shared" si="223"/>
        <v>855065</v>
      </c>
      <c r="H893" s="113">
        <f t="shared" si="224"/>
        <v>0</v>
      </c>
      <c r="I893" s="121">
        <f t="shared" si="217"/>
        <v>2153867</v>
      </c>
      <c r="K893" s="123">
        <f t="shared" si="225"/>
        <v>3000000</v>
      </c>
      <c r="L893" s="111">
        <f t="shared" si="226"/>
        <v>11182</v>
      </c>
      <c r="M893" s="2">
        <f t="shared" si="227"/>
        <v>2250</v>
      </c>
      <c r="N893" s="112">
        <f t="shared" si="218"/>
        <v>17000000</v>
      </c>
      <c r="O893" s="2">
        <f t="shared" si="228"/>
        <v>855065</v>
      </c>
      <c r="P893" s="113">
        <f t="shared" si="229"/>
        <v>0</v>
      </c>
      <c r="Q893" s="121">
        <f t="shared" si="219"/>
        <v>2153867</v>
      </c>
    </row>
    <row r="894" spans="2:17" hidden="1" x14ac:dyDescent="0.4">
      <c r="B894" s="110">
        <v>44815</v>
      </c>
      <c r="C894" s="122">
        <f t="shared" si="220"/>
        <v>3000000</v>
      </c>
      <c r="D894" s="111">
        <f t="shared" si="221"/>
        <v>11182</v>
      </c>
      <c r="E894" s="2">
        <f t="shared" si="222"/>
        <v>2250</v>
      </c>
      <c r="F894" s="112">
        <f t="shared" si="216"/>
        <v>17000000</v>
      </c>
      <c r="G894" s="2">
        <f t="shared" si="223"/>
        <v>855065</v>
      </c>
      <c r="H894" s="113">
        <f t="shared" si="224"/>
        <v>0</v>
      </c>
      <c r="I894" s="121">
        <f t="shared" si="217"/>
        <v>2153867</v>
      </c>
      <c r="K894" s="123">
        <f t="shared" si="225"/>
        <v>3000000</v>
      </c>
      <c r="L894" s="111">
        <f t="shared" si="226"/>
        <v>11182</v>
      </c>
      <c r="M894" s="2">
        <f t="shared" si="227"/>
        <v>2250</v>
      </c>
      <c r="N894" s="112">
        <f t="shared" si="218"/>
        <v>17000000</v>
      </c>
      <c r="O894" s="2">
        <f t="shared" si="228"/>
        <v>855065</v>
      </c>
      <c r="P894" s="113">
        <f t="shared" si="229"/>
        <v>0</v>
      </c>
      <c r="Q894" s="121">
        <f t="shared" si="219"/>
        <v>2153867</v>
      </c>
    </row>
    <row r="895" spans="2:17" hidden="1" x14ac:dyDescent="0.4">
      <c r="B895" s="110">
        <v>44816</v>
      </c>
      <c r="C895" s="122">
        <f t="shared" si="220"/>
        <v>3000000</v>
      </c>
      <c r="D895" s="111">
        <f t="shared" si="221"/>
        <v>11182</v>
      </c>
      <c r="E895" s="2">
        <f t="shared" si="222"/>
        <v>2250</v>
      </c>
      <c r="F895" s="112">
        <f t="shared" si="216"/>
        <v>17000000</v>
      </c>
      <c r="G895" s="2">
        <f t="shared" si="223"/>
        <v>855065</v>
      </c>
      <c r="H895" s="113">
        <f t="shared" si="224"/>
        <v>0</v>
      </c>
      <c r="I895" s="121">
        <f t="shared" si="217"/>
        <v>2153867</v>
      </c>
      <c r="K895" s="123">
        <f t="shared" si="225"/>
        <v>3000000</v>
      </c>
      <c r="L895" s="111">
        <f t="shared" si="226"/>
        <v>11182</v>
      </c>
      <c r="M895" s="2">
        <f t="shared" si="227"/>
        <v>2250</v>
      </c>
      <c r="N895" s="112">
        <f t="shared" si="218"/>
        <v>17000000</v>
      </c>
      <c r="O895" s="2">
        <f t="shared" si="228"/>
        <v>855065</v>
      </c>
      <c r="P895" s="113">
        <f t="shared" si="229"/>
        <v>0</v>
      </c>
      <c r="Q895" s="121">
        <f t="shared" si="219"/>
        <v>2153867</v>
      </c>
    </row>
    <row r="896" spans="2:17" hidden="1" x14ac:dyDescent="0.4">
      <c r="B896" s="110">
        <v>44817</v>
      </c>
      <c r="C896" s="122">
        <f t="shared" si="220"/>
        <v>3000000</v>
      </c>
      <c r="D896" s="111">
        <f t="shared" si="221"/>
        <v>11182</v>
      </c>
      <c r="E896" s="2">
        <f t="shared" si="222"/>
        <v>2250</v>
      </c>
      <c r="F896" s="112">
        <f t="shared" si="216"/>
        <v>17000000</v>
      </c>
      <c r="G896" s="2">
        <f t="shared" si="223"/>
        <v>855065</v>
      </c>
      <c r="H896" s="113">
        <f t="shared" si="224"/>
        <v>0</v>
      </c>
      <c r="I896" s="121">
        <f t="shared" si="217"/>
        <v>2153867</v>
      </c>
      <c r="K896" s="123">
        <f t="shared" si="225"/>
        <v>3000000</v>
      </c>
      <c r="L896" s="111">
        <f t="shared" si="226"/>
        <v>11182</v>
      </c>
      <c r="M896" s="2">
        <f t="shared" si="227"/>
        <v>2250</v>
      </c>
      <c r="N896" s="112">
        <f t="shared" si="218"/>
        <v>17000000</v>
      </c>
      <c r="O896" s="2">
        <f t="shared" si="228"/>
        <v>855065</v>
      </c>
      <c r="P896" s="113">
        <f t="shared" si="229"/>
        <v>0</v>
      </c>
      <c r="Q896" s="121">
        <f t="shared" si="219"/>
        <v>2153867</v>
      </c>
    </row>
    <row r="897" spans="2:17" hidden="1" x14ac:dyDescent="0.4">
      <c r="B897" s="110">
        <v>44818</v>
      </c>
      <c r="C897" s="122">
        <f t="shared" si="220"/>
        <v>3000000</v>
      </c>
      <c r="D897" s="111">
        <f t="shared" si="221"/>
        <v>11182</v>
      </c>
      <c r="E897" s="2">
        <f t="shared" si="222"/>
        <v>2250</v>
      </c>
      <c r="F897" s="112">
        <f t="shared" si="216"/>
        <v>17000000</v>
      </c>
      <c r="G897" s="2">
        <f t="shared" si="223"/>
        <v>855065</v>
      </c>
      <c r="H897" s="113">
        <f t="shared" si="224"/>
        <v>0</v>
      </c>
      <c r="I897" s="121">
        <f t="shared" si="217"/>
        <v>2153867</v>
      </c>
      <c r="K897" s="123">
        <f t="shared" si="225"/>
        <v>3000000</v>
      </c>
      <c r="L897" s="111">
        <f t="shared" si="226"/>
        <v>11182</v>
      </c>
      <c r="M897" s="2">
        <f t="shared" si="227"/>
        <v>2250</v>
      </c>
      <c r="N897" s="112">
        <f t="shared" si="218"/>
        <v>17000000</v>
      </c>
      <c r="O897" s="2">
        <f t="shared" si="228"/>
        <v>855065</v>
      </c>
      <c r="P897" s="113">
        <f t="shared" si="229"/>
        <v>0</v>
      </c>
      <c r="Q897" s="121">
        <f t="shared" si="219"/>
        <v>2153867</v>
      </c>
    </row>
    <row r="898" spans="2:17" hidden="1" x14ac:dyDescent="0.4">
      <c r="B898" s="110">
        <v>44819</v>
      </c>
      <c r="C898" s="122">
        <f t="shared" si="220"/>
        <v>3000000</v>
      </c>
      <c r="D898" s="111">
        <f t="shared" si="221"/>
        <v>11182</v>
      </c>
      <c r="E898" s="2">
        <f t="shared" si="222"/>
        <v>2250</v>
      </c>
      <c r="F898" s="112">
        <f t="shared" si="216"/>
        <v>17000000</v>
      </c>
      <c r="G898" s="2">
        <f t="shared" si="223"/>
        <v>855065</v>
      </c>
      <c r="H898" s="113">
        <f t="shared" si="224"/>
        <v>0</v>
      </c>
      <c r="I898" s="121">
        <f t="shared" si="217"/>
        <v>2153867</v>
      </c>
      <c r="K898" s="123">
        <f t="shared" si="225"/>
        <v>3000000</v>
      </c>
      <c r="L898" s="111">
        <f t="shared" si="226"/>
        <v>11182</v>
      </c>
      <c r="M898" s="2">
        <f t="shared" si="227"/>
        <v>2250</v>
      </c>
      <c r="N898" s="112">
        <f t="shared" si="218"/>
        <v>17000000</v>
      </c>
      <c r="O898" s="2">
        <f t="shared" si="228"/>
        <v>855065</v>
      </c>
      <c r="P898" s="113">
        <f t="shared" si="229"/>
        <v>0</v>
      </c>
      <c r="Q898" s="121">
        <f t="shared" si="219"/>
        <v>2153867</v>
      </c>
    </row>
    <row r="899" spans="2:17" hidden="1" x14ac:dyDescent="0.4">
      <c r="B899" s="110">
        <v>44820</v>
      </c>
      <c r="C899" s="122">
        <f t="shared" si="220"/>
        <v>3000000</v>
      </c>
      <c r="D899" s="111">
        <f t="shared" si="221"/>
        <v>11182</v>
      </c>
      <c r="E899" s="2">
        <f t="shared" si="222"/>
        <v>2250</v>
      </c>
      <c r="F899" s="112">
        <f t="shared" si="216"/>
        <v>17000000</v>
      </c>
      <c r="G899" s="2">
        <f t="shared" si="223"/>
        <v>855065</v>
      </c>
      <c r="H899" s="113">
        <f t="shared" si="224"/>
        <v>0</v>
      </c>
      <c r="I899" s="121">
        <f t="shared" si="217"/>
        <v>2153867</v>
      </c>
      <c r="K899" s="123">
        <f t="shared" si="225"/>
        <v>3000000</v>
      </c>
      <c r="L899" s="111">
        <f t="shared" si="226"/>
        <v>11182</v>
      </c>
      <c r="M899" s="2">
        <f t="shared" si="227"/>
        <v>2250</v>
      </c>
      <c r="N899" s="112">
        <f t="shared" si="218"/>
        <v>17000000</v>
      </c>
      <c r="O899" s="2">
        <f t="shared" si="228"/>
        <v>855065</v>
      </c>
      <c r="P899" s="113">
        <f t="shared" si="229"/>
        <v>0</v>
      </c>
      <c r="Q899" s="121">
        <f t="shared" si="219"/>
        <v>2153867</v>
      </c>
    </row>
    <row r="900" spans="2:17" hidden="1" x14ac:dyDescent="0.4">
      <c r="B900" s="110">
        <v>44821</v>
      </c>
      <c r="C900" s="122">
        <f t="shared" si="220"/>
        <v>3000000</v>
      </c>
      <c r="D900" s="111">
        <f t="shared" si="221"/>
        <v>11182</v>
      </c>
      <c r="E900" s="2">
        <f t="shared" si="222"/>
        <v>2250</v>
      </c>
      <c r="F900" s="112">
        <f t="shared" si="216"/>
        <v>17000000</v>
      </c>
      <c r="G900" s="2">
        <f t="shared" si="223"/>
        <v>855065</v>
      </c>
      <c r="H900" s="113">
        <f t="shared" si="224"/>
        <v>0</v>
      </c>
      <c r="I900" s="121">
        <f t="shared" si="217"/>
        <v>2153867</v>
      </c>
      <c r="K900" s="123">
        <f t="shared" si="225"/>
        <v>3000000</v>
      </c>
      <c r="L900" s="111">
        <f t="shared" si="226"/>
        <v>11182</v>
      </c>
      <c r="M900" s="2">
        <f t="shared" si="227"/>
        <v>2250</v>
      </c>
      <c r="N900" s="112">
        <f t="shared" si="218"/>
        <v>17000000</v>
      </c>
      <c r="O900" s="2">
        <f t="shared" si="228"/>
        <v>855065</v>
      </c>
      <c r="P900" s="113">
        <f t="shared" si="229"/>
        <v>0</v>
      </c>
      <c r="Q900" s="121">
        <f t="shared" si="219"/>
        <v>2153867</v>
      </c>
    </row>
    <row r="901" spans="2:17" hidden="1" x14ac:dyDescent="0.4">
      <c r="B901" s="110">
        <v>44822</v>
      </c>
      <c r="C901" s="122">
        <f t="shared" si="220"/>
        <v>3000000</v>
      </c>
      <c r="D901" s="111">
        <f t="shared" si="221"/>
        <v>11182</v>
      </c>
      <c r="E901" s="2">
        <f t="shared" si="222"/>
        <v>2250</v>
      </c>
      <c r="F901" s="112">
        <f t="shared" si="216"/>
        <v>17000000</v>
      </c>
      <c r="G901" s="2">
        <f t="shared" si="223"/>
        <v>855065</v>
      </c>
      <c r="H901" s="113">
        <f t="shared" si="224"/>
        <v>0</v>
      </c>
      <c r="I901" s="121">
        <f t="shared" si="217"/>
        <v>2153867</v>
      </c>
      <c r="K901" s="123">
        <f t="shared" si="225"/>
        <v>3000000</v>
      </c>
      <c r="L901" s="111">
        <f t="shared" si="226"/>
        <v>11182</v>
      </c>
      <c r="M901" s="2">
        <f t="shared" si="227"/>
        <v>2250</v>
      </c>
      <c r="N901" s="112">
        <f t="shared" si="218"/>
        <v>17000000</v>
      </c>
      <c r="O901" s="2">
        <f t="shared" si="228"/>
        <v>855065</v>
      </c>
      <c r="P901" s="113">
        <f t="shared" si="229"/>
        <v>0</v>
      </c>
      <c r="Q901" s="121">
        <f t="shared" si="219"/>
        <v>2153867</v>
      </c>
    </row>
    <row r="902" spans="2:17" hidden="1" x14ac:dyDescent="0.4">
      <c r="B902" s="110">
        <v>44823</v>
      </c>
      <c r="C902" s="122">
        <f t="shared" si="220"/>
        <v>3000000</v>
      </c>
      <c r="D902" s="111">
        <f t="shared" si="221"/>
        <v>11182</v>
      </c>
      <c r="E902" s="2">
        <f t="shared" si="222"/>
        <v>2250</v>
      </c>
      <c r="F902" s="112">
        <f t="shared" si="216"/>
        <v>17000000</v>
      </c>
      <c r="G902" s="2">
        <f t="shared" si="223"/>
        <v>855065</v>
      </c>
      <c r="H902" s="113">
        <f t="shared" si="224"/>
        <v>0</v>
      </c>
      <c r="I902" s="121">
        <f t="shared" si="217"/>
        <v>2153867</v>
      </c>
      <c r="K902" s="123">
        <f t="shared" si="225"/>
        <v>3000000</v>
      </c>
      <c r="L902" s="111">
        <f t="shared" si="226"/>
        <v>11182</v>
      </c>
      <c r="M902" s="2">
        <f t="shared" si="227"/>
        <v>2250</v>
      </c>
      <c r="N902" s="112">
        <f t="shared" si="218"/>
        <v>17000000</v>
      </c>
      <c r="O902" s="2">
        <f t="shared" si="228"/>
        <v>855065</v>
      </c>
      <c r="P902" s="113">
        <f t="shared" si="229"/>
        <v>0</v>
      </c>
      <c r="Q902" s="121">
        <f t="shared" si="219"/>
        <v>2153867</v>
      </c>
    </row>
    <row r="903" spans="2:17" hidden="1" x14ac:dyDescent="0.4">
      <c r="B903" s="110">
        <v>44824</v>
      </c>
      <c r="C903" s="122">
        <f t="shared" si="220"/>
        <v>3000000</v>
      </c>
      <c r="D903" s="111">
        <f t="shared" si="221"/>
        <v>11182</v>
      </c>
      <c r="E903" s="2">
        <f t="shared" si="222"/>
        <v>2250</v>
      </c>
      <c r="F903" s="112">
        <f t="shared" si="216"/>
        <v>17000000</v>
      </c>
      <c r="G903" s="2">
        <f t="shared" si="223"/>
        <v>855065</v>
      </c>
      <c r="H903" s="113">
        <f t="shared" si="224"/>
        <v>0</v>
      </c>
      <c r="I903" s="121">
        <f t="shared" si="217"/>
        <v>2153867</v>
      </c>
      <c r="K903" s="123">
        <f t="shared" si="225"/>
        <v>3000000</v>
      </c>
      <c r="L903" s="111">
        <f t="shared" si="226"/>
        <v>11182</v>
      </c>
      <c r="M903" s="2">
        <f t="shared" si="227"/>
        <v>2250</v>
      </c>
      <c r="N903" s="112">
        <f t="shared" si="218"/>
        <v>17000000</v>
      </c>
      <c r="O903" s="2">
        <f t="shared" si="228"/>
        <v>855065</v>
      </c>
      <c r="P903" s="113">
        <f t="shared" si="229"/>
        <v>0</v>
      </c>
      <c r="Q903" s="121">
        <f t="shared" si="219"/>
        <v>2153867</v>
      </c>
    </row>
    <row r="904" spans="2:17" hidden="1" x14ac:dyDescent="0.4">
      <c r="B904" s="110">
        <v>44825</v>
      </c>
      <c r="C904" s="122">
        <f t="shared" si="220"/>
        <v>3000000</v>
      </c>
      <c r="D904" s="111">
        <f t="shared" si="221"/>
        <v>11182</v>
      </c>
      <c r="E904" s="2">
        <f t="shared" si="222"/>
        <v>2250</v>
      </c>
      <c r="F904" s="112">
        <f t="shared" si="216"/>
        <v>17000000</v>
      </c>
      <c r="G904" s="2">
        <f t="shared" si="223"/>
        <v>855065</v>
      </c>
      <c r="H904" s="113">
        <f t="shared" si="224"/>
        <v>0</v>
      </c>
      <c r="I904" s="121">
        <f t="shared" si="217"/>
        <v>2153867</v>
      </c>
      <c r="K904" s="123">
        <f t="shared" si="225"/>
        <v>3000000</v>
      </c>
      <c r="L904" s="111">
        <f t="shared" si="226"/>
        <v>11182</v>
      </c>
      <c r="M904" s="2">
        <f t="shared" si="227"/>
        <v>2250</v>
      </c>
      <c r="N904" s="112">
        <f t="shared" si="218"/>
        <v>17000000</v>
      </c>
      <c r="O904" s="2">
        <f t="shared" si="228"/>
        <v>855065</v>
      </c>
      <c r="P904" s="113">
        <f t="shared" si="229"/>
        <v>0</v>
      </c>
      <c r="Q904" s="121">
        <f t="shared" si="219"/>
        <v>2153867</v>
      </c>
    </row>
    <row r="905" spans="2:17" hidden="1" x14ac:dyDescent="0.4">
      <c r="B905" s="110">
        <v>44826</v>
      </c>
      <c r="C905" s="122">
        <f t="shared" si="220"/>
        <v>3000000</v>
      </c>
      <c r="D905" s="111">
        <f t="shared" si="221"/>
        <v>11182</v>
      </c>
      <c r="E905" s="2">
        <f t="shared" si="222"/>
        <v>2250</v>
      </c>
      <c r="F905" s="112">
        <f t="shared" si="216"/>
        <v>17000000</v>
      </c>
      <c r="G905" s="2">
        <f t="shared" si="223"/>
        <v>855065</v>
      </c>
      <c r="H905" s="113">
        <f t="shared" si="224"/>
        <v>0</v>
      </c>
      <c r="I905" s="121">
        <f t="shared" si="217"/>
        <v>2153867</v>
      </c>
      <c r="K905" s="123">
        <f t="shared" si="225"/>
        <v>3000000</v>
      </c>
      <c r="L905" s="111">
        <f t="shared" si="226"/>
        <v>11182</v>
      </c>
      <c r="M905" s="2">
        <f t="shared" si="227"/>
        <v>2250</v>
      </c>
      <c r="N905" s="112">
        <f t="shared" si="218"/>
        <v>17000000</v>
      </c>
      <c r="O905" s="2">
        <f t="shared" si="228"/>
        <v>855065</v>
      </c>
      <c r="P905" s="113">
        <f t="shared" si="229"/>
        <v>0</v>
      </c>
      <c r="Q905" s="121">
        <f t="shared" si="219"/>
        <v>2153867</v>
      </c>
    </row>
    <row r="906" spans="2:17" hidden="1" x14ac:dyDescent="0.4">
      <c r="B906" s="110">
        <v>44827</v>
      </c>
      <c r="C906" s="122">
        <f t="shared" si="220"/>
        <v>3000000</v>
      </c>
      <c r="D906" s="111">
        <f t="shared" si="221"/>
        <v>11182</v>
      </c>
      <c r="E906" s="2">
        <f t="shared" si="222"/>
        <v>2250</v>
      </c>
      <c r="F906" s="112">
        <f t="shared" ref="F906:F969" si="230">20000000-C906</f>
        <v>17000000</v>
      </c>
      <c r="G906" s="2">
        <f t="shared" si="223"/>
        <v>855065</v>
      </c>
      <c r="H906" s="113">
        <f t="shared" si="224"/>
        <v>0</v>
      </c>
      <c r="I906" s="121">
        <f t="shared" ref="I906:I969" si="231">C906+D906-G906-E906+H906</f>
        <v>2153867</v>
      </c>
      <c r="K906" s="123">
        <f t="shared" si="225"/>
        <v>3000000</v>
      </c>
      <c r="L906" s="111">
        <f t="shared" si="226"/>
        <v>11182</v>
      </c>
      <c r="M906" s="2">
        <f t="shared" si="227"/>
        <v>2250</v>
      </c>
      <c r="N906" s="112">
        <f t="shared" ref="N906:N969" si="232">20000000-K906</f>
        <v>17000000</v>
      </c>
      <c r="O906" s="2">
        <f t="shared" si="228"/>
        <v>855065</v>
      </c>
      <c r="P906" s="113">
        <f t="shared" si="229"/>
        <v>0</v>
      </c>
      <c r="Q906" s="121">
        <f t="shared" ref="Q906:Q969" si="233">K906+L906-O906-M906+P906</f>
        <v>2153867</v>
      </c>
    </row>
    <row r="907" spans="2:17" hidden="1" x14ac:dyDescent="0.4">
      <c r="B907" s="110">
        <v>44828</v>
      </c>
      <c r="C907" s="122">
        <f t="shared" ref="C907:C970" si="234">SUMIF($B$6:$B$75,$B907,$D$6:$D$75)+C906</f>
        <v>3000000</v>
      </c>
      <c r="D907" s="111">
        <f t="shared" ref="D907:D970" si="235">SUMIF($B$6:$B$75,$B907,$E$6:$E$75)+D906</f>
        <v>11182</v>
      </c>
      <c r="E907" s="2">
        <f t="shared" ref="E907:E970" si="236">SUMIF($G$353:$G$376,$B907,$J$353:$J$376)+SUMIF($E$353:$E$376,$B907,$H$353:$H$376)+SUMIF($G$353:$G$376,$B907,$I$353:$I$376)+E906</f>
        <v>2250</v>
      </c>
      <c r="F907" s="112">
        <f t="shared" si="230"/>
        <v>17000000</v>
      </c>
      <c r="G907" s="2">
        <f t="shared" ref="G907:G970" si="237">SUMIF($E$353:$E$376,$B907,$M$353:$M$376)+G906</f>
        <v>855065</v>
      </c>
      <c r="H907" s="113">
        <f t="shared" ref="H907:H970" si="238">SUMIF($G$353:$G$376,$B907,$N$353:$N$376)+H906</f>
        <v>0</v>
      </c>
      <c r="I907" s="121">
        <f t="shared" si="231"/>
        <v>2153867</v>
      </c>
      <c r="K907" s="123">
        <f t="shared" ref="K907:K970" si="239">SUMIF($B$6:$B$75,$B907,$D$6:$D$75)+K906</f>
        <v>3000000</v>
      </c>
      <c r="L907" s="111">
        <f t="shared" ref="L907:L970" si="240">SUMIF($B$6:$B$75,$B907,$E$6:$E$75)+L906</f>
        <v>11182</v>
      </c>
      <c r="M907" s="2">
        <f t="shared" ref="M907:M970" si="241">SUMIF($G$353:$G$376,$B907,$J$353:$J$376)+SUMIF($E$353:$E$376,$B907,$H$353:$H$376)+SUMIF($G$353:$G$376,$B907,$I$353:$I$376)+M906</f>
        <v>2250</v>
      </c>
      <c r="N907" s="112">
        <f t="shared" si="232"/>
        <v>17000000</v>
      </c>
      <c r="O907" s="2">
        <f t="shared" ref="O907:O970" si="242">SUMIF($E$353:$E$376,$B907,$M$353:$M$376)+O906</f>
        <v>855065</v>
      </c>
      <c r="P907" s="113">
        <f t="shared" ref="P907:P970" si="243">SUMIF($G$353:$G$376,$B907,$N$353:$N$376)+P906</f>
        <v>0</v>
      </c>
      <c r="Q907" s="121">
        <f t="shared" si="233"/>
        <v>2153867</v>
      </c>
    </row>
    <row r="908" spans="2:17" hidden="1" x14ac:dyDescent="0.4">
      <c r="B908" s="110">
        <v>44829</v>
      </c>
      <c r="C908" s="122">
        <f t="shared" si="234"/>
        <v>3000000</v>
      </c>
      <c r="D908" s="111">
        <f t="shared" si="235"/>
        <v>11182</v>
      </c>
      <c r="E908" s="2">
        <f t="shared" si="236"/>
        <v>2250</v>
      </c>
      <c r="F908" s="112">
        <f t="shared" si="230"/>
        <v>17000000</v>
      </c>
      <c r="G908" s="2">
        <f t="shared" si="237"/>
        <v>855065</v>
      </c>
      <c r="H908" s="113">
        <f t="shared" si="238"/>
        <v>0</v>
      </c>
      <c r="I908" s="121">
        <f t="shared" si="231"/>
        <v>2153867</v>
      </c>
      <c r="K908" s="123">
        <f t="shared" si="239"/>
        <v>3000000</v>
      </c>
      <c r="L908" s="111">
        <f t="shared" si="240"/>
        <v>11182</v>
      </c>
      <c r="M908" s="2">
        <f t="shared" si="241"/>
        <v>2250</v>
      </c>
      <c r="N908" s="112">
        <f t="shared" si="232"/>
        <v>17000000</v>
      </c>
      <c r="O908" s="2">
        <f t="shared" si="242"/>
        <v>855065</v>
      </c>
      <c r="P908" s="113">
        <f t="shared" si="243"/>
        <v>0</v>
      </c>
      <c r="Q908" s="121">
        <f t="shared" si="233"/>
        <v>2153867</v>
      </c>
    </row>
    <row r="909" spans="2:17" hidden="1" x14ac:dyDescent="0.4">
      <c r="B909" s="110">
        <v>44830</v>
      </c>
      <c r="C909" s="122">
        <f t="shared" si="234"/>
        <v>3000000</v>
      </c>
      <c r="D909" s="111">
        <f t="shared" si="235"/>
        <v>11182</v>
      </c>
      <c r="E909" s="2">
        <f t="shared" si="236"/>
        <v>2250</v>
      </c>
      <c r="F909" s="112">
        <f t="shared" si="230"/>
        <v>17000000</v>
      </c>
      <c r="G909" s="2">
        <f t="shared" si="237"/>
        <v>855065</v>
      </c>
      <c r="H909" s="113">
        <f t="shared" si="238"/>
        <v>0</v>
      </c>
      <c r="I909" s="121">
        <f t="shared" si="231"/>
        <v>2153867</v>
      </c>
      <c r="K909" s="123">
        <f t="shared" si="239"/>
        <v>3000000</v>
      </c>
      <c r="L909" s="111">
        <f t="shared" si="240"/>
        <v>11182</v>
      </c>
      <c r="M909" s="2">
        <f t="shared" si="241"/>
        <v>2250</v>
      </c>
      <c r="N909" s="112">
        <f t="shared" si="232"/>
        <v>17000000</v>
      </c>
      <c r="O909" s="2">
        <f t="shared" si="242"/>
        <v>855065</v>
      </c>
      <c r="P909" s="113">
        <f t="shared" si="243"/>
        <v>0</v>
      </c>
      <c r="Q909" s="121">
        <f t="shared" si="233"/>
        <v>2153867</v>
      </c>
    </row>
    <row r="910" spans="2:17" hidden="1" x14ac:dyDescent="0.4">
      <c r="B910" s="110">
        <v>44831</v>
      </c>
      <c r="C910" s="122">
        <f t="shared" si="234"/>
        <v>3000000</v>
      </c>
      <c r="D910" s="111">
        <f t="shared" si="235"/>
        <v>11182</v>
      </c>
      <c r="E910" s="2">
        <f t="shared" si="236"/>
        <v>2250</v>
      </c>
      <c r="F910" s="112">
        <f t="shared" si="230"/>
        <v>17000000</v>
      </c>
      <c r="G910" s="2">
        <f t="shared" si="237"/>
        <v>855065</v>
      </c>
      <c r="H910" s="113">
        <f t="shared" si="238"/>
        <v>0</v>
      </c>
      <c r="I910" s="121">
        <f t="shared" si="231"/>
        <v>2153867</v>
      </c>
      <c r="K910" s="123">
        <f t="shared" si="239"/>
        <v>3000000</v>
      </c>
      <c r="L910" s="111">
        <f t="shared" si="240"/>
        <v>11182</v>
      </c>
      <c r="M910" s="2">
        <f t="shared" si="241"/>
        <v>2250</v>
      </c>
      <c r="N910" s="112">
        <f t="shared" si="232"/>
        <v>17000000</v>
      </c>
      <c r="O910" s="2">
        <f t="shared" si="242"/>
        <v>855065</v>
      </c>
      <c r="P910" s="113">
        <f t="shared" si="243"/>
        <v>0</v>
      </c>
      <c r="Q910" s="121">
        <f t="shared" si="233"/>
        <v>2153867</v>
      </c>
    </row>
    <row r="911" spans="2:17" hidden="1" x14ac:dyDescent="0.4">
      <c r="B911" s="110">
        <v>44832</v>
      </c>
      <c r="C911" s="122">
        <f t="shared" si="234"/>
        <v>3000000</v>
      </c>
      <c r="D911" s="111">
        <f t="shared" si="235"/>
        <v>11182</v>
      </c>
      <c r="E911" s="2">
        <f t="shared" si="236"/>
        <v>2250</v>
      </c>
      <c r="F911" s="112">
        <f t="shared" si="230"/>
        <v>17000000</v>
      </c>
      <c r="G911" s="2">
        <f t="shared" si="237"/>
        <v>855065</v>
      </c>
      <c r="H911" s="113">
        <f t="shared" si="238"/>
        <v>0</v>
      </c>
      <c r="I911" s="121">
        <f t="shared" si="231"/>
        <v>2153867</v>
      </c>
      <c r="K911" s="123">
        <f t="shared" si="239"/>
        <v>3000000</v>
      </c>
      <c r="L911" s="111">
        <f t="shared" si="240"/>
        <v>11182</v>
      </c>
      <c r="M911" s="2">
        <f t="shared" si="241"/>
        <v>2250</v>
      </c>
      <c r="N911" s="112">
        <f t="shared" si="232"/>
        <v>17000000</v>
      </c>
      <c r="O911" s="2">
        <f t="shared" si="242"/>
        <v>855065</v>
      </c>
      <c r="P911" s="113">
        <f t="shared" si="243"/>
        <v>0</v>
      </c>
      <c r="Q911" s="121">
        <f t="shared" si="233"/>
        <v>2153867</v>
      </c>
    </row>
    <row r="912" spans="2:17" hidden="1" x14ac:dyDescent="0.4">
      <c r="B912" s="110">
        <v>44833</v>
      </c>
      <c r="C912" s="122">
        <f t="shared" si="234"/>
        <v>3000000</v>
      </c>
      <c r="D912" s="111">
        <f t="shared" si="235"/>
        <v>11182</v>
      </c>
      <c r="E912" s="2">
        <f t="shared" si="236"/>
        <v>2250</v>
      </c>
      <c r="F912" s="112">
        <f t="shared" si="230"/>
        <v>17000000</v>
      </c>
      <c r="G912" s="2">
        <f t="shared" si="237"/>
        <v>855065</v>
      </c>
      <c r="H912" s="113">
        <f t="shared" si="238"/>
        <v>0</v>
      </c>
      <c r="I912" s="121">
        <f t="shared" si="231"/>
        <v>2153867</v>
      </c>
      <c r="K912" s="123">
        <f t="shared" si="239"/>
        <v>3000000</v>
      </c>
      <c r="L912" s="111">
        <f t="shared" si="240"/>
        <v>11182</v>
      </c>
      <c r="M912" s="2">
        <f t="shared" si="241"/>
        <v>2250</v>
      </c>
      <c r="N912" s="112">
        <f t="shared" si="232"/>
        <v>17000000</v>
      </c>
      <c r="O912" s="2">
        <f t="shared" si="242"/>
        <v>855065</v>
      </c>
      <c r="P912" s="113">
        <f t="shared" si="243"/>
        <v>0</v>
      </c>
      <c r="Q912" s="121">
        <f t="shared" si="233"/>
        <v>2153867</v>
      </c>
    </row>
    <row r="913" spans="2:17" hidden="1" x14ac:dyDescent="0.4">
      <c r="B913" s="110">
        <v>44834</v>
      </c>
      <c r="C913" s="122">
        <f t="shared" si="234"/>
        <v>3000000</v>
      </c>
      <c r="D913" s="111">
        <f t="shared" si="235"/>
        <v>11182</v>
      </c>
      <c r="E913" s="2">
        <f t="shared" si="236"/>
        <v>2250</v>
      </c>
      <c r="F913" s="112">
        <f t="shared" si="230"/>
        <v>17000000</v>
      </c>
      <c r="G913" s="2">
        <f t="shared" si="237"/>
        <v>855065</v>
      </c>
      <c r="H913" s="113">
        <f t="shared" si="238"/>
        <v>0</v>
      </c>
      <c r="I913" s="121">
        <f t="shared" si="231"/>
        <v>2153867</v>
      </c>
      <c r="K913" s="123">
        <f t="shared" si="239"/>
        <v>3000000</v>
      </c>
      <c r="L913" s="111">
        <f t="shared" si="240"/>
        <v>11182</v>
      </c>
      <c r="M913" s="2">
        <f t="shared" si="241"/>
        <v>2250</v>
      </c>
      <c r="N913" s="112">
        <f t="shared" si="232"/>
        <v>17000000</v>
      </c>
      <c r="O913" s="2">
        <f t="shared" si="242"/>
        <v>855065</v>
      </c>
      <c r="P913" s="113">
        <f t="shared" si="243"/>
        <v>0</v>
      </c>
      <c r="Q913" s="121">
        <f t="shared" si="233"/>
        <v>2153867</v>
      </c>
    </row>
    <row r="914" spans="2:17" x14ac:dyDescent="0.4">
      <c r="B914" s="110">
        <v>44835</v>
      </c>
      <c r="C914" s="122">
        <f t="shared" si="234"/>
        <v>3000000</v>
      </c>
      <c r="D914" s="111">
        <f t="shared" si="235"/>
        <v>11182</v>
      </c>
      <c r="E914" s="2">
        <f t="shared" si="236"/>
        <v>2250</v>
      </c>
      <c r="F914" s="112">
        <f t="shared" si="230"/>
        <v>17000000</v>
      </c>
      <c r="G914" s="2">
        <f t="shared" si="237"/>
        <v>855065</v>
      </c>
      <c r="H914" s="113">
        <f t="shared" si="238"/>
        <v>0</v>
      </c>
      <c r="I914" s="121">
        <f t="shared" si="231"/>
        <v>2153867</v>
      </c>
      <c r="K914" s="123">
        <f t="shared" si="239"/>
        <v>3000000</v>
      </c>
      <c r="L914" s="111">
        <f t="shared" si="240"/>
        <v>11182</v>
      </c>
      <c r="M914" s="2">
        <f t="shared" si="241"/>
        <v>2250</v>
      </c>
      <c r="N914" s="112">
        <f t="shared" si="232"/>
        <v>17000000</v>
      </c>
      <c r="O914" s="2">
        <f t="shared" si="242"/>
        <v>855065</v>
      </c>
      <c r="P914" s="113">
        <f t="shared" si="243"/>
        <v>0</v>
      </c>
      <c r="Q914" s="121">
        <f t="shared" si="233"/>
        <v>2153867</v>
      </c>
    </row>
    <row r="915" spans="2:17" hidden="1" x14ac:dyDescent="0.4">
      <c r="B915" s="110">
        <v>44836</v>
      </c>
      <c r="C915" s="122">
        <f t="shared" si="234"/>
        <v>3000000</v>
      </c>
      <c r="D915" s="111">
        <f t="shared" si="235"/>
        <v>11182</v>
      </c>
      <c r="E915" s="2">
        <f t="shared" si="236"/>
        <v>2250</v>
      </c>
      <c r="F915" s="112">
        <f t="shared" si="230"/>
        <v>17000000</v>
      </c>
      <c r="G915" s="2">
        <f t="shared" si="237"/>
        <v>855065</v>
      </c>
      <c r="H915" s="113">
        <f t="shared" si="238"/>
        <v>0</v>
      </c>
      <c r="I915" s="121">
        <f t="shared" si="231"/>
        <v>2153867</v>
      </c>
      <c r="K915" s="123">
        <f t="shared" si="239"/>
        <v>3000000</v>
      </c>
      <c r="L915" s="111">
        <f t="shared" si="240"/>
        <v>11182</v>
      </c>
      <c r="M915" s="2">
        <f t="shared" si="241"/>
        <v>2250</v>
      </c>
      <c r="N915" s="112">
        <f t="shared" si="232"/>
        <v>17000000</v>
      </c>
      <c r="O915" s="2">
        <f t="shared" si="242"/>
        <v>855065</v>
      </c>
      <c r="P915" s="113">
        <f t="shared" si="243"/>
        <v>0</v>
      </c>
      <c r="Q915" s="121">
        <f t="shared" si="233"/>
        <v>2153867</v>
      </c>
    </row>
    <row r="916" spans="2:17" hidden="1" x14ac:dyDescent="0.4">
      <c r="B916" s="110">
        <v>44837</v>
      </c>
      <c r="C916" s="122">
        <f t="shared" si="234"/>
        <v>3000000</v>
      </c>
      <c r="D916" s="111">
        <f t="shared" si="235"/>
        <v>11182</v>
      </c>
      <c r="E916" s="2">
        <f t="shared" si="236"/>
        <v>2250</v>
      </c>
      <c r="F916" s="112">
        <f t="shared" si="230"/>
        <v>17000000</v>
      </c>
      <c r="G916" s="2">
        <f t="shared" si="237"/>
        <v>855065</v>
      </c>
      <c r="H916" s="113">
        <f t="shared" si="238"/>
        <v>0</v>
      </c>
      <c r="I916" s="121">
        <f t="shared" si="231"/>
        <v>2153867</v>
      </c>
      <c r="K916" s="123">
        <f t="shared" si="239"/>
        <v>3000000</v>
      </c>
      <c r="L916" s="111">
        <f t="shared" si="240"/>
        <v>11182</v>
      </c>
      <c r="M916" s="2">
        <f t="shared" si="241"/>
        <v>2250</v>
      </c>
      <c r="N916" s="112">
        <f t="shared" si="232"/>
        <v>17000000</v>
      </c>
      <c r="O916" s="2">
        <f t="shared" si="242"/>
        <v>855065</v>
      </c>
      <c r="P916" s="113">
        <f t="shared" si="243"/>
        <v>0</v>
      </c>
      <c r="Q916" s="121">
        <f t="shared" si="233"/>
        <v>2153867</v>
      </c>
    </row>
    <row r="917" spans="2:17" hidden="1" x14ac:dyDescent="0.4">
      <c r="B917" s="110">
        <v>44838</v>
      </c>
      <c r="C917" s="122">
        <f t="shared" si="234"/>
        <v>3000000</v>
      </c>
      <c r="D917" s="111">
        <f t="shared" si="235"/>
        <v>11182</v>
      </c>
      <c r="E917" s="2">
        <f t="shared" si="236"/>
        <v>2250</v>
      </c>
      <c r="F917" s="112">
        <f t="shared" si="230"/>
        <v>17000000</v>
      </c>
      <c r="G917" s="2">
        <f t="shared" si="237"/>
        <v>855065</v>
      </c>
      <c r="H917" s="113">
        <f t="shared" si="238"/>
        <v>0</v>
      </c>
      <c r="I917" s="121">
        <f t="shared" si="231"/>
        <v>2153867</v>
      </c>
      <c r="K917" s="123">
        <f t="shared" si="239"/>
        <v>3000000</v>
      </c>
      <c r="L917" s="111">
        <f t="shared" si="240"/>
        <v>11182</v>
      </c>
      <c r="M917" s="2">
        <f t="shared" si="241"/>
        <v>2250</v>
      </c>
      <c r="N917" s="112">
        <f t="shared" si="232"/>
        <v>17000000</v>
      </c>
      <c r="O917" s="2">
        <f t="shared" si="242"/>
        <v>855065</v>
      </c>
      <c r="P917" s="113">
        <f t="shared" si="243"/>
        <v>0</v>
      </c>
      <c r="Q917" s="121">
        <f t="shared" si="233"/>
        <v>2153867</v>
      </c>
    </row>
    <row r="918" spans="2:17" hidden="1" x14ac:dyDescent="0.4">
      <c r="B918" s="110">
        <v>44839</v>
      </c>
      <c r="C918" s="122">
        <f t="shared" si="234"/>
        <v>3000000</v>
      </c>
      <c r="D918" s="111">
        <f t="shared" si="235"/>
        <v>11182</v>
      </c>
      <c r="E918" s="2">
        <f t="shared" si="236"/>
        <v>2250</v>
      </c>
      <c r="F918" s="112">
        <f t="shared" si="230"/>
        <v>17000000</v>
      </c>
      <c r="G918" s="2">
        <f t="shared" si="237"/>
        <v>855065</v>
      </c>
      <c r="H918" s="113">
        <f t="shared" si="238"/>
        <v>0</v>
      </c>
      <c r="I918" s="121">
        <f t="shared" si="231"/>
        <v>2153867</v>
      </c>
      <c r="K918" s="123">
        <f t="shared" si="239"/>
        <v>3000000</v>
      </c>
      <c r="L918" s="111">
        <f t="shared" si="240"/>
        <v>11182</v>
      </c>
      <c r="M918" s="2">
        <f t="shared" si="241"/>
        <v>2250</v>
      </c>
      <c r="N918" s="112">
        <f t="shared" si="232"/>
        <v>17000000</v>
      </c>
      <c r="O918" s="2">
        <f t="shared" si="242"/>
        <v>855065</v>
      </c>
      <c r="P918" s="113">
        <f t="shared" si="243"/>
        <v>0</v>
      </c>
      <c r="Q918" s="121">
        <f t="shared" si="233"/>
        <v>2153867</v>
      </c>
    </row>
    <row r="919" spans="2:17" hidden="1" x14ac:dyDescent="0.4">
      <c r="B919" s="110">
        <v>44840</v>
      </c>
      <c r="C919" s="122">
        <f t="shared" si="234"/>
        <v>3000000</v>
      </c>
      <c r="D919" s="111">
        <f t="shared" si="235"/>
        <v>11182</v>
      </c>
      <c r="E919" s="2">
        <f t="shared" si="236"/>
        <v>2250</v>
      </c>
      <c r="F919" s="112">
        <f t="shared" si="230"/>
        <v>17000000</v>
      </c>
      <c r="G919" s="2">
        <f t="shared" si="237"/>
        <v>855065</v>
      </c>
      <c r="H919" s="113">
        <f t="shared" si="238"/>
        <v>0</v>
      </c>
      <c r="I919" s="121">
        <f t="shared" si="231"/>
        <v>2153867</v>
      </c>
      <c r="K919" s="123">
        <f t="shared" si="239"/>
        <v>3000000</v>
      </c>
      <c r="L919" s="111">
        <f t="shared" si="240"/>
        <v>11182</v>
      </c>
      <c r="M919" s="2">
        <f t="shared" si="241"/>
        <v>2250</v>
      </c>
      <c r="N919" s="112">
        <f t="shared" si="232"/>
        <v>17000000</v>
      </c>
      <c r="O919" s="2">
        <f t="shared" si="242"/>
        <v>855065</v>
      </c>
      <c r="P919" s="113">
        <f t="shared" si="243"/>
        <v>0</v>
      </c>
      <c r="Q919" s="121">
        <f t="shared" si="233"/>
        <v>2153867</v>
      </c>
    </row>
    <row r="920" spans="2:17" hidden="1" x14ac:dyDescent="0.4">
      <c r="B920" s="110">
        <v>44841</v>
      </c>
      <c r="C920" s="122">
        <f t="shared" si="234"/>
        <v>3000000</v>
      </c>
      <c r="D920" s="111">
        <f t="shared" si="235"/>
        <v>11182</v>
      </c>
      <c r="E920" s="2">
        <f t="shared" si="236"/>
        <v>2250</v>
      </c>
      <c r="F920" s="112">
        <f t="shared" si="230"/>
        <v>17000000</v>
      </c>
      <c r="G920" s="2">
        <f t="shared" si="237"/>
        <v>855065</v>
      </c>
      <c r="H920" s="113">
        <f t="shared" si="238"/>
        <v>0</v>
      </c>
      <c r="I920" s="121">
        <f t="shared" si="231"/>
        <v>2153867</v>
      </c>
      <c r="K920" s="123">
        <f t="shared" si="239"/>
        <v>3000000</v>
      </c>
      <c r="L920" s="111">
        <f t="shared" si="240"/>
        <v>11182</v>
      </c>
      <c r="M920" s="2">
        <f t="shared" si="241"/>
        <v>2250</v>
      </c>
      <c r="N920" s="112">
        <f t="shared" si="232"/>
        <v>17000000</v>
      </c>
      <c r="O920" s="2">
        <f t="shared" si="242"/>
        <v>855065</v>
      </c>
      <c r="P920" s="113">
        <f t="shared" si="243"/>
        <v>0</v>
      </c>
      <c r="Q920" s="121">
        <f t="shared" si="233"/>
        <v>2153867</v>
      </c>
    </row>
    <row r="921" spans="2:17" hidden="1" x14ac:dyDescent="0.4">
      <c r="B921" s="110">
        <v>44842</v>
      </c>
      <c r="C921" s="122">
        <f t="shared" si="234"/>
        <v>3000000</v>
      </c>
      <c r="D921" s="111">
        <f t="shared" si="235"/>
        <v>11182</v>
      </c>
      <c r="E921" s="2">
        <f t="shared" si="236"/>
        <v>2250</v>
      </c>
      <c r="F921" s="112">
        <f t="shared" si="230"/>
        <v>17000000</v>
      </c>
      <c r="G921" s="2">
        <f t="shared" si="237"/>
        <v>855065</v>
      </c>
      <c r="H921" s="113">
        <f t="shared" si="238"/>
        <v>0</v>
      </c>
      <c r="I921" s="121">
        <f t="shared" si="231"/>
        <v>2153867</v>
      </c>
      <c r="K921" s="123">
        <f t="shared" si="239"/>
        <v>3000000</v>
      </c>
      <c r="L921" s="111">
        <f t="shared" si="240"/>
        <v>11182</v>
      </c>
      <c r="M921" s="2">
        <f t="shared" si="241"/>
        <v>2250</v>
      </c>
      <c r="N921" s="112">
        <f t="shared" si="232"/>
        <v>17000000</v>
      </c>
      <c r="O921" s="2">
        <f t="shared" si="242"/>
        <v>855065</v>
      </c>
      <c r="P921" s="113">
        <f t="shared" si="243"/>
        <v>0</v>
      </c>
      <c r="Q921" s="121">
        <f t="shared" si="233"/>
        <v>2153867</v>
      </c>
    </row>
    <row r="922" spans="2:17" hidden="1" x14ac:dyDescent="0.4">
      <c r="B922" s="110">
        <v>44843</v>
      </c>
      <c r="C922" s="122">
        <f t="shared" si="234"/>
        <v>3000000</v>
      </c>
      <c r="D922" s="111">
        <f t="shared" si="235"/>
        <v>11182</v>
      </c>
      <c r="E922" s="2">
        <f t="shared" si="236"/>
        <v>2250</v>
      </c>
      <c r="F922" s="112">
        <f t="shared" si="230"/>
        <v>17000000</v>
      </c>
      <c r="G922" s="2">
        <f t="shared" si="237"/>
        <v>855065</v>
      </c>
      <c r="H922" s="113">
        <f t="shared" si="238"/>
        <v>0</v>
      </c>
      <c r="I922" s="121">
        <f t="shared" si="231"/>
        <v>2153867</v>
      </c>
      <c r="K922" s="123">
        <f t="shared" si="239"/>
        <v>3000000</v>
      </c>
      <c r="L922" s="111">
        <f t="shared" si="240"/>
        <v>11182</v>
      </c>
      <c r="M922" s="2">
        <f t="shared" si="241"/>
        <v>2250</v>
      </c>
      <c r="N922" s="112">
        <f t="shared" si="232"/>
        <v>17000000</v>
      </c>
      <c r="O922" s="2">
        <f t="shared" si="242"/>
        <v>855065</v>
      </c>
      <c r="P922" s="113">
        <f t="shared" si="243"/>
        <v>0</v>
      </c>
      <c r="Q922" s="121">
        <f t="shared" si="233"/>
        <v>2153867</v>
      </c>
    </row>
    <row r="923" spans="2:17" hidden="1" x14ac:dyDescent="0.4">
      <c r="B923" s="110">
        <v>44844</v>
      </c>
      <c r="C923" s="122">
        <f t="shared" si="234"/>
        <v>3000000</v>
      </c>
      <c r="D923" s="111">
        <f t="shared" si="235"/>
        <v>11182</v>
      </c>
      <c r="E923" s="2">
        <f t="shared" si="236"/>
        <v>2250</v>
      </c>
      <c r="F923" s="112">
        <f t="shared" si="230"/>
        <v>17000000</v>
      </c>
      <c r="G923" s="2">
        <f t="shared" si="237"/>
        <v>855065</v>
      </c>
      <c r="H923" s="113">
        <f t="shared" si="238"/>
        <v>0</v>
      </c>
      <c r="I923" s="121">
        <f t="shared" si="231"/>
        <v>2153867</v>
      </c>
      <c r="K923" s="123">
        <f t="shared" si="239"/>
        <v>3000000</v>
      </c>
      <c r="L923" s="111">
        <f t="shared" si="240"/>
        <v>11182</v>
      </c>
      <c r="M923" s="2">
        <f t="shared" si="241"/>
        <v>2250</v>
      </c>
      <c r="N923" s="112">
        <f t="shared" si="232"/>
        <v>17000000</v>
      </c>
      <c r="O923" s="2">
        <f t="shared" si="242"/>
        <v>855065</v>
      </c>
      <c r="P923" s="113">
        <f t="shared" si="243"/>
        <v>0</v>
      </c>
      <c r="Q923" s="121">
        <f t="shared" si="233"/>
        <v>2153867</v>
      </c>
    </row>
    <row r="924" spans="2:17" hidden="1" x14ac:dyDescent="0.4">
      <c r="B924" s="110">
        <v>44845</v>
      </c>
      <c r="C924" s="122">
        <f t="shared" si="234"/>
        <v>3000000</v>
      </c>
      <c r="D924" s="111">
        <f t="shared" si="235"/>
        <v>11182</v>
      </c>
      <c r="E924" s="2">
        <f t="shared" si="236"/>
        <v>2250</v>
      </c>
      <c r="F924" s="112">
        <f t="shared" si="230"/>
        <v>17000000</v>
      </c>
      <c r="G924" s="2">
        <f t="shared" si="237"/>
        <v>855065</v>
      </c>
      <c r="H924" s="113">
        <f t="shared" si="238"/>
        <v>0</v>
      </c>
      <c r="I924" s="121">
        <f t="shared" si="231"/>
        <v>2153867</v>
      </c>
      <c r="K924" s="123">
        <f t="shared" si="239"/>
        <v>3000000</v>
      </c>
      <c r="L924" s="111">
        <f t="shared" si="240"/>
        <v>11182</v>
      </c>
      <c r="M924" s="2">
        <f t="shared" si="241"/>
        <v>2250</v>
      </c>
      <c r="N924" s="112">
        <f t="shared" si="232"/>
        <v>17000000</v>
      </c>
      <c r="O924" s="2">
        <f t="shared" si="242"/>
        <v>855065</v>
      </c>
      <c r="P924" s="113">
        <f t="shared" si="243"/>
        <v>0</v>
      </c>
      <c r="Q924" s="121">
        <f t="shared" si="233"/>
        <v>2153867</v>
      </c>
    </row>
    <row r="925" spans="2:17" hidden="1" x14ac:dyDescent="0.4">
      <c r="B925" s="110">
        <v>44846</v>
      </c>
      <c r="C925" s="122">
        <f t="shared" si="234"/>
        <v>3000000</v>
      </c>
      <c r="D925" s="111">
        <f t="shared" si="235"/>
        <v>11182</v>
      </c>
      <c r="E925" s="2">
        <f t="shared" si="236"/>
        <v>2250</v>
      </c>
      <c r="F925" s="112">
        <f t="shared" si="230"/>
        <v>17000000</v>
      </c>
      <c r="G925" s="2">
        <f t="shared" si="237"/>
        <v>855065</v>
      </c>
      <c r="H925" s="113">
        <f t="shared" si="238"/>
        <v>0</v>
      </c>
      <c r="I925" s="121">
        <f t="shared" si="231"/>
        <v>2153867</v>
      </c>
      <c r="K925" s="123">
        <f t="shared" si="239"/>
        <v>3000000</v>
      </c>
      <c r="L925" s="111">
        <f t="shared" si="240"/>
        <v>11182</v>
      </c>
      <c r="M925" s="2">
        <f t="shared" si="241"/>
        <v>2250</v>
      </c>
      <c r="N925" s="112">
        <f t="shared" si="232"/>
        <v>17000000</v>
      </c>
      <c r="O925" s="2">
        <f t="shared" si="242"/>
        <v>855065</v>
      </c>
      <c r="P925" s="113">
        <f t="shared" si="243"/>
        <v>0</v>
      </c>
      <c r="Q925" s="121">
        <f t="shared" si="233"/>
        <v>2153867</v>
      </c>
    </row>
    <row r="926" spans="2:17" hidden="1" x14ac:dyDescent="0.4">
      <c r="B926" s="110">
        <v>44847</v>
      </c>
      <c r="C926" s="122">
        <f t="shared" si="234"/>
        <v>3000000</v>
      </c>
      <c r="D926" s="111">
        <f t="shared" si="235"/>
        <v>11182</v>
      </c>
      <c r="E926" s="2">
        <f t="shared" si="236"/>
        <v>2250</v>
      </c>
      <c r="F926" s="112">
        <f t="shared" si="230"/>
        <v>17000000</v>
      </c>
      <c r="G926" s="2">
        <f t="shared" si="237"/>
        <v>855065</v>
      </c>
      <c r="H926" s="113">
        <f t="shared" si="238"/>
        <v>0</v>
      </c>
      <c r="I926" s="121">
        <f t="shared" si="231"/>
        <v>2153867</v>
      </c>
      <c r="K926" s="123">
        <f t="shared" si="239"/>
        <v>3000000</v>
      </c>
      <c r="L926" s="111">
        <f t="shared" si="240"/>
        <v>11182</v>
      </c>
      <c r="M926" s="2">
        <f t="shared" si="241"/>
        <v>2250</v>
      </c>
      <c r="N926" s="112">
        <f t="shared" si="232"/>
        <v>17000000</v>
      </c>
      <c r="O926" s="2">
        <f t="shared" si="242"/>
        <v>855065</v>
      </c>
      <c r="P926" s="113">
        <f t="shared" si="243"/>
        <v>0</v>
      </c>
      <c r="Q926" s="121">
        <f t="shared" si="233"/>
        <v>2153867</v>
      </c>
    </row>
    <row r="927" spans="2:17" hidden="1" x14ac:dyDescent="0.4">
      <c r="B927" s="110">
        <v>44848</v>
      </c>
      <c r="C927" s="122">
        <f t="shared" si="234"/>
        <v>3000000</v>
      </c>
      <c r="D927" s="111">
        <f t="shared" si="235"/>
        <v>11182</v>
      </c>
      <c r="E927" s="2">
        <f t="shared" si="236"/>
        <v>2250</v>
      </c>
      <c r="F927" s="112">
        <f t="shared" si="230"/>
        <v>17000000</v>
      </c>
      <c r="G927" s="2">
        <f t="shared" si="237"/>
        <v>855065</v>
      </c>
      <c r="H927" s="113">
        <f t="shared" si="238"/>
        <v>0</v>
      </c>
      <c r="I927" s="121">
        <f t="shared" si="231"/>
        <v>2153867</v>
      </c>
      <c r="K927" s="123">
        <f t="shared" si="239"/>
        <v>3000000</v>
      </c>
      <c r="L927" s="111">
        <f t="shared" si="240"/>
        <v>11182</v>
      </c>
      <c r="M927" s="2">
        <f t="shared" si="241"/>
        <v>2250</v>
      </c>
      <c r="N927" s="112">
        <f t="shared" si="232"/>
        <v>17000000</v>
      </c>
      <c r="O927" s="2">
        <f t="shared" si="242"/>
        <v>855065</v>
      </c>
      <c r="P927" s="113">
        <f t="shared" si="243"/>
        <v>0</v>
      </c>
      <c r="Q927" s="121">
        <f t="shared" si="233"/>
        <v>2153867</v>
      </c>
    </row>
    <row r="928" spans="2:17" hidden="1" x14ac:dyDescent="0.4">
      <c r="B928" s="110">
        <v>44849</v>
      </c>
      <c r="C928" s="122">
        <f t="shared" si="234"/>
        <v>3000000</v>
      </c>
      <c r="D928" s="111">
        <f t="shared" si="235"/>
        <v>11182</v>
      </c>
      <c r="E928" s="2">
        <f t="shared" si="236"/>
        <v>2250</v>
      </c>
      <c r="F928" s="112">
        <f t="shared" si="230"/>
        <v>17000000</v>
      </c>
      <c r="G928" s="2">
        <f t="shared" si="237"/>
        <v>855065</v>
      </c>
      <c r="H928" s="113">
        <f t="shared" si="238"/>
        <v>0</v>
      </c>
      <c r="I928" s="121">
        <f t="shared" si="231"/>
        <v>2153867</v>
      </c>
      <c r="K928" s="123">
        <f t="shared" si="239"/>
        <v>3000000</v>
      </c>
      <c r="L928" s="111">
        <f t="shared" si="240"/>
        <v>11182</v>
      </c>
      <c r="M928" s="2">
        <f t="shared" si="241"/>
        <v>2250</v>
      </c>
      <c r="N928" s="112">
        <f t="shared" si="232"/>
        <v>17000000</v>
      </c>
      <c r="O928" s="2">
        <f t="shared" si="242"/>
        <v>855065</v>
      </c>
      <c r="P928" s="113">
        <f t="shared" si="243"/>
        <v>0</v>
      </c>
      <c r="Q928" s="121">
        <f t="shared" si="233"/>
        <v>2153867</v>
      </c>
    </row>
    <row r="929" spans="2:17" hidden="1" x14ac:dyDescent="0.4">
      <c r="B929" s="110">
        <v>44850</v>
      </c>
      <c r="C929" s="122">
        <f t="shared" si="234"/>
        <v>3000000</v>
      </c>
      <c r="D929" s="111">
        <f t="shared" si="235"/>
        <v>11182</v>
      </c>
      <c r="E929" s="2">
        <f t="shared" si="236"/>
        <v>2250</v>
      </c>
      <c r="F929" s="112">
        <f t="shared" si="230"/>
        <v>17000000</v>
      </c>
      <c r="G929" s="2">
        <f t="shared" si="237"/>
        <v>855065</v>
      </c>
      <c r="H929" s="113">
        <f t="shared" si="238"/>
        <v>0</v>
      </c>
      <c r="I929" s="121">
        <f t="shared" si="231"/>
        <v>2153867</v>
      </c>
      <c r="K929" s="123">
        <f t="shared" si="239"/>
        <v>3000000</v>
      </c>
      <c r="L929" s="111">
        <f t="shared" si="240"/>
        <v>11182</v>
      </c>
      <c r="M929" s="2">
        <f t="shared" si="241"/>
        <v>2250</v>
      </c>
      <c r="N929" s="112">
        <f t="shared" si="232"/>
        <v>17000000</v>
      </c>
      <c r="O929" s="2">
        <f t="shared" si="242"/>
        <v>855065</v>
      </c>
      <c r="P929" s="113">
        <f t="shared" si="243"/>
        <v>0</v>
      </c>
      <c r="Q929" s="121">
        <f t="shared" si="233"/>
        <v>2153867</v>
      </c>
    </row>
    <row r="930" spans="2:17" hidden="1" x14ac:dyDescent="0.4">
      <c r="B930" s="110">
        <v>44851</v>
      </c>
      <c r="C930" s="122">
        <f t="shared" si="234"/>
        <v>3000000</v>
      </c>
      <c r="D930" s="111">
        <f t="shared" si="235"/>
        <v>11182</v>
      </c>
      <c r="E930" s="2">
        <f t="shared" si="236"/>
        <v>2250</v>
      </c>
      <c r="F930" s="112">
        <f t="shared" si="230"/>
        <v>17000000</v>
      </c>
      <c r="G930" s="2">
        <f t="shared" si="237"/>
        <v>855065</v>
      </c>
      <c r="H930" s="113">
        <f t="shared" si="238"/>
        <v>0</v>
      </c>
      <c r="I930" s="121">
        <f t="shared" si="231"/>
        <v>2153867</v>
      </c>
      <c r="K930" s="123">
        <f t="shared" si="239"/>
        <v>3000000</v>
      </c>
      <c r="L930" s="111">
        <f t="shared" si="240"/>
        <v>11182</v>
      </c>
      <c r="M930" s="2">
        <f t="shared" si="241"/>
        <v>2250</v>
      </c>
      <c r="N930" s="112">
        <f t="shared" si="232"/>
        <v>17000000</v>
      </c>
      <c r="O930" s="2">
        <f t="shared" si="242"/>
        <v>855065</v>
      </c>
      <c r="P930" s="113">
        <f t="shared" si="243"/>
        <v>0</v>
      </c>
      <c r="Q930" s="121">
        <f t="shared" si="233"/>
        <v>2153867</v>
      </c>
    </row>
    <row r="931" spans="2:17" hidden="1" x14ac:dyDescent="0.4">
      <c r="B931" s="110">
        <v>44852</v>
      </c>
      <c r="C931" s="122">
        <f t="shared" si="234"/>
        <v>3000000</v>
      </c>
      <c r="D931" s="111">
        <f t="shared" si="235"/>
        <v>11182</v>
      </c>
      <c r="E931" s="2">
        <f t="shared" si="236"/>
        <v>2250</v>
      </c>
      <c r="F931" s="112">
        <f t="shared" si="230"/>
        <v>17000000</v>
      </c>
      <c r="G931" s="2">
        <f t="shared" si="237"/>
        <v>855065</v>
      </c>
      <c r="H931" s="113">
        <f t="shared" si="238"/>
        <v>0</v>
      </c>
      <c r="I931" s="121">
        <f t="shared" si="231"/>
        <v>2153867</v>
      </c>
      <c r="K931" s="123">
        <f t="shared" si="239"/>
        <v>3000000</v>
      </c>
      <c r="L931" s="111">
        <f t="shared" si="240"/>
        <v>11182</v>
      </c>
      <c r="M931" s="2">
        <f t="shared" si="241"/>
        <v>2250</v>
      </c>
      <c r="N931" s="112">
        <f t="shared" si="232"/>
        <v>17000000</v>
      </c>
      <c r="O931" s="2">
        <f t="shared" si="242"/>
        <v>855065</v>
      </c>
      <c r="P931" s="113">
        <f t="shared" si="243"/>
        <v>0</v>
      </c>
      <c r="Q931" s="121">
        <f t="shared" si="233"/>
        <v>2153867</v>
      </c>
    </row>
    <row r="932" spans="2:17" hidden="1" x14ac:dyDescent="0.4">
      <c r="B932" s="110">
        <v>44853</v>
      </c>
      <c r="C932" s="122">
        <f t="shared" si="234"/>
        <v>3000000</v>
      </c>
      <c r="D932" s="111">
        <f t="shared" si="235"/>
        <v>11182</v>
      </c>
      <c r="E932" s="2">
        <f t="shared" si="236"/>
        <v>2250</v>
      </c>
      <c r="F932" s="112">
        <f t="shared" si="230"/>
        <v>17000000</v>
      </c>
      <c r="G932" s="2">
        <f t="shared" si="237"/>
        <v>855065</v>
      </c>
      <c r="H932" s="113">
        <f t="shared" si="238"/>
        <v>0</v>
      </c>
      <c r="I932" s="121">
        <f t="shared" si="231"/>
        <v>2153867</v>
      </c>
      <c r="K932" s="123">
        <f t="shared" si="239"/>
        <v>3000000</v>
      </c>
      <c r="L932" s="111">
        <f t="shared" si="240"/>
        <v>11182</v>
      </c>
      <c r="M932" s="2">
        <f t="shared" si="241"/>
        <v>2250</v>
      </c>
      <c r="N932" s="112">
        <f t="shared" si="232"/>
        <v>17000000</v>
      </c>
      <c r="O932" s="2">
        <f t="shared" si="242"/>
        <v>855065</v>
      </c>
      <c r="P932" s="113">
        <f t="shared" si="243"/>
        <v>0</v>
      </c>
      <c r="Q932" s="121">
        <f t="shared" si="233"/>
        <v>2153867</v>
      </c>
    </row>
    <row r="933" spans="2:17" hidden="1" x14ac:dyDescent="0.4">
      <c r="B933" s="110">
        <v>44854</v>
      </c>
      <c r="C933" s="122">
        <f t="shared" si="234"/>
        <v>3000000</v>
      </c>
      <c r="D933" s="111">
        <f t="shared" si="235"/>
        <v>11182</v>
      </c>
      <c r="E933" s="2">
        <f t="shared" si="236"/>
        <v>2250</v>
      </c>
      <c r="F933" s="112">
        <f t="shared" si="230"/>
        <v>17000000</v>
      </c>
      <c r="G933" s="2">
        <f t="shared" si="237"/>
        <v>855065</v>
      </c>
      <c r="H933" s="113">
        <f t="shared" si="238"/>
        <v>0</v>
      </c>
      <c r="I933" s="121">
        <f t="shared" si="231"/>
        <v>2153867</v>
      </c>
      <c r="K933" s="123">
        <f t="shared" si="239"/>
        <v>3000000</v>
      </c>
      <c r="L933" s="111">
        <f t="shared" si="240"/>
        <v>11182</v>
      </c>
      <c r="M933" s="2">
        <f t="shared" si="241"/>
        <v>2250</v>
      </c>
      <c r="N933" s="112">
        <f t="shared" si="232"/>
        <v>17000000</v>
      </c>
      <c r="O933" s="2">
        <f t="shared" si="242"/>
        <v>855065</v>
      </c>
      <c r="P933" s="113">
        <f t="shared" si="243"/>
        <v>0</v>
      </c>
      <c r="Q933" s="121">
        <f t="shared" si="233"/>
        <v>2153867</v>
      </c>
    </row>
    <row r="934" spans="2:17" hidden="1" x14ac:dyDescent="0.4">
      <c r="B934" s="110">
        <v>44855</v>
      </c>
      <c r="C934" s="122">
        <f t="shared" si="234"/>
        <v>3000000</v>
      </c>
      <c r="D934" s="111">
        <f t="shared" si="235"/>
        <v>11182</v>
      </c>
      <c r="E934" s="2">
        <f t="shared" si="236"/>
        <v>2250</v>
      </c>
      <c r="F934" s="112">
        <f t="shared" si="230"/>
        <v>17000000</v>
      </c>
      <c r="G934" s="2">
        <f t="shared" si="237"/>
        <v>855065</v>
      </c>
      <c r="H934" s="113">
        <f t="shared" si="238"/>
        <v>0</v>
      </c>
      <c r="I934" s="121">
        <f t="shared" si="231"/>
        <v>2153867</v>
      </c>
      <c r="K934" s="123">
        <f t="shared" si="239"/>
        <v>3000000</v>
      </c>
      <c r="L934" s="111">
        <f t="shared" si="240"/>
        <v>11182</v>
      </c>
      <c r="M934" s="2">
        <f t="shared" si="241"/>
        <v>2250</v>
      </c>
      <c r="N934" s="112">
        <f t="shared" si="232"/>
        <v>17000000</v>
      </c>
      <c r="O934" s="2">
        <f t="shared" si="242"/>
        <v>855065</v>
      </c>
      <c r="P934" s="113">
        <f t="shared" si="243"/>
        <v>0</v>
      </c>
      <c r="Q934" s="121">
        <f t="shared" si="233"/>
        <v>2153867</v>
      </c>
    </row>
    <row r="935" spans="2:17" hidden="1" x14ac:dyDescent="0.4">
      <c r="B935" s="110">
        <v>44856</v>
      </c>
      <c r="C935" s="122">
        <f t="shared" si="234"/>
        <v>3000000</v>
      </c>
      <c r="D935" s="111">
        <f t="shared" si="235"/>
        <v>11182</v>
      </c>
      <c r="E935" s="2">
        <f t="shared" si="236"/>
        <v>2250</v>
      </c>
      <c r="F935" s="112">
        <f t="shared" si="230"/>
        <v>17000000</v>
      </c>
      <c r="G935" s="2">
        <f t="shared" si="237"/>
        <v>855065</v>
      </c>
      <c r="H935" s="113">
        <f t="shared" si="238"/>
        <v>0</v>
      </c>
      <c r="I935" s="121">
        <f t="shared" si="231"/>
        <v>2153867</v>
      </c>
      <c r="K935" s="123">
        <f t="shared" si="239"/>
        <v>3000000</v>
      </c>
      <c r="L935" s="111">
        <f t="shared" si="240"/>
        <v>11182</v>
      </c>
      <c r="M935" s="2">
        <f t="shared" si="241"/>
        <v>2250</v>
      </c>
      <c r="N935" s="112">
        <f t="shared" si="232"/>
        <v>17000000</v>
      </c>
      <c r="O935" s="2">
        <f t="shared" si="242"/>
        <v>855065</v>
      </c>
      <c r="P935" s="113">
        <f t="shared" si="243"/>
        <v>0</v>
      </c>
      <c r="Q935" s="121">
        <f t="shared" si="233"/>
        <v>2153867</v>
      </c>
    </row>
    <row r="936" spans="2:17" hidden="1" x14ac:dyDescent="0.4">
      <c r="B936" s="110">
        <v>44857</v>
      </c>
      <c r="C936" s="122">
        <f t="shared" si="234"/>
        <v>3000000</v>
      </c>
      <c r="D936" s="111">
        <f t="shared" si="235"/>
        <v>11182</v>
      </c>
      <c r="E936" s="2">
        <f t="shared" si="236"/>
        <v>2250</v>
      </c>
      <c r="F936" s="112">
        <f t="shared" si="230"/>
        <v>17000000</v>
      </c>
      <c r="G936" s="2">
        <f t="shared" si="237"/>
        <v>855065</v>
      </c>
      <c r="H936" s="113">
        <f t="shared" si="238"/>
        <v>0</v>
      </c>
      <c r="I936" s="121">
        <f t="shared" si="231"/>
        <v>2153867</v>
      </c>
      <c r="K936" s="123">
        <f t="shared" si="239"/>
        <v>3000000</v>
      </c>
      <c r="L936" s="111">
        <f t="shared" si="240"/>
        <v>11182</v>
      </c>
      <c r="M936" s="2">
        <f t="shared" si="241"/>
        <v>2250</v>
      </c>
      <c r="N936" s="112">
        <f t="shared" si="232"/>
        <v>17000000</v>
      </c>
      <c r="O936" s="2">
        <f t="shared" si="242"/>
        <v>855065</v>
      </c>
      <c r="P936" s="113">
        <f t="shared" si="243"/>
        <v>0</v>
      </c>
      <c r="Q936" s="121">
        <f t="shared" si="233"/>
        <v>2153867</v>
      </c>
    </row>
    <row r="937" spans="2:17" hidden="1" x14ac:dyDescent="0.4">
      <c r="B937" s="110">
        <v>44858</v>
      </c>
      <c r="C937" s="122">
        <f t="shared" si="234"/>
        <v>3000000</v>
      </c>
      <c r="D937" s="111">
        <f t="shared" si="235"/>
        <v>11182</v>
      </c>
      <c r="E937" s="2">
        <f t="shared" si="236"/>
        <v>2250</v>
      </c>
      <c r="F937" s="112">
        <f t="shared" si="230"/>
        <v>17000000</v>
      </c>
      <c r="G937" s="2">
        <f t="shared" si="237"/>
        <v>855065</v>
      </c>
      <c r="H937" s="113">
        <f t="shared" si="238"/>
        <v>0</v>
      </c>
      <c r="I937" s="121">
        <f t="shared" si="231"/>
        <v>2153867</v>
      </c>
      <c r="K937" s="123">
        <f t="shared" si="239"/>
        <v>3000000</v>
      </c>
      <c r="L937" s="111">
        <f t="shared" si="240"/>
        <v>11182</v>
      </c>
      <c r="M937" s="2">
        <f t="shared" si="241"/>
        <v>2250</v>
      </c>
      <c r="N937" s="112">
        <f t="shared" si="232"/>
        <v>17000000</v>
      </c>
      <c r="O937" s="2">
        <f t="shared" si="242"/>
        <v>855065</v>
      </c>
      <c r="P937" s="113">
        <f t="shared" si="243"/>
        <v>0</v>
      </c>
      <c r="Q937" s="121">
        <f t="shared" si="233"/>
        <v>2153867</v>
      </c>
    </row>
    <row r="938" spans="2:17" hidden="1" x14ac:dyDescent="0.4">
      <c r="B938" s="110">
        <v>44859</v>
      </c>
      <c r="C938" s="122">
        <f t="shared" si="234"/>
        <v>3000000</v>
      </c>
      <c r="D938" s="111">
        <f t="shared" si="235"/>
        <v>11182</v>
      </c>
      <c r="E938" s="2">
        <f t="shared" si="236"/>
        <v>2250</v>
      </c>
      <c r="F938" s="112">
        <f t="shared" si="230"/>
        <v>17000000</v>
      </c>
      <c r="G938" s="2">
        <f t="shared" si="237"/>
        <v>855065</v>
      </c>
      <c r="H938" s="113">
        <f t="shared" si="238"/>
        <v>0</v>
      </c>
      <c r="I938" s="121">
        <f t="shared" si="231"/>
        <v>2153867</v>
      </c>
      <c r="K938" s="123">
        <f t="shared" si="239"/>
        <v>3000000</v>
      </c>
      <c r="L938" s="111">
        <f t="shared" si="240"/>
        <v>11182</v>
      </c>
      <c r="M938" s="2">
        <f t="shared" si="241"/>
        <v>2250</v>
      </c>
      <c r="N938" s="112">
        <f t="shared" si="232"/>
        <v>17000000</v>
      </c>
      <c r="O938" s="2">
        <f t="shared" si="242"/>
        <v>855065</v>
      </c>
      <c r="P938" s="113">
        <f t="shared" si="243"/>
        <v>0</v>
      </c>
      <c r="Q938" s="121">
        <f t="shared" si="233"/>
        <v>2153867</v>
      </c>
    </row>
    <row r="939" spans="2:17" hidden="1" x14ac:dyDescent="0.4">
      <c r="B939" s="110">
        <v>44860</v>
      </c>
      <c r="C939" s="122">
        <f t="shared" si="234"/>
        <v>3000000</v>
      </c>
      <c r="D939" s="111">
        <f t="shared" si="235"/>
        <v>11182</v>
      </c>
      <c r="E939" s="2">
        <f t="shared" si="236"/>
        <v>2250</v>
      </c>
      <c r="F939" s="112">
        <f t="shared" si="230"/>
        <v>17000000</v>
      </c>
      <c r="G939" s="2">
        <f t="shared" si="237"/>
        <v>855065</v>
      </c>
      <c r="H939" s="113">
        <f t="shared" si="238"/>
        <v>0</v>
      </c>
      <c r="I939" s="121">
        <f t="shared" si="231"/>
        <v>2153867</v>
      </c>
      <c r="K939" s="123">
        <f t="shared" si="239"/>
        <v>3000000</v>
      </c>
      <c r="L939" s="111">
        <f t="shared" si="240"/>
        <v>11182</v>
      </c>
      <c r="M939" s="2">
        <f t="shared" si="241"/>
        <v>2250</v>
      </c>
      <c r="N939" s="112">
        <f t="shared" si="232"/>
        <v>17000000</v>
      </c>
      <c r="O939" s="2">
        <f t="shared" si="242"/>
        <v>855065</v>
      </c>
      <c r="P939" s="113">
        <f t="shared" si="243"/>
        <v>0</v>
      </c>
      <c r="Q939" s="121">
        <f t="shared" si="233"/>
        <v>2153867</v>
      </c>
    </row>
    <row r="940" spans="2:17" hidden="1" x14ac:dyDescent="0.4">
      <c r="B940" s="110">
        <v>44861</v>
      </c>
      <c r="C940" s="122">
        <f t="shared" si="234"/>
        <v>3000000</v>
      </c>
      <c r="D940" s="111">
        <f t="shared" si="235"/>
        <v>11182</v>
      </c>
      <c r="E940" s="2">
        <f t="shared" si="236"/>
        <v>2250</v>
      </c>
      <c r="F940" s="112">
        <f t="shared" si="230"/>
        <v>17000000</v>
      </c>
      <c r="G940" s="2">
        <f t="shared" si="237"/>
        <v>855065</v>
      </c>
      <c r="H940" s="113">
        <f t="shared" si="238"/>
        <v>0</v>
      </c>
      <c r="I940" s="121">
        <f t="shared" si="231"/>
        <v>2153867</v>
      </c>
      <c r="K940" s="123">
        <f t="shared" si="239"/>
        <v>3000000</v>
      </c>
      <c r="L940" s="111">
        <f t="shared" si="240"/>
        <v>11182</v>
      </c>
      <c r="M940" s="2">
        <f t="shared" si="241"/>
        <v>2250</v>
      </c>
      <c r="N940" s="112">
        <f t="shared" si="232"/>
        <v>17000000</v>
      </c>
      <c r="O940" s="2">
        <f t="shared" si="242"/>
        <v>855065</v>
      </c>
      <c r="P940" s="113">
        <f t="shared" si="243"/>
        <v>0</v>
      </c>
      <c r="Q940" s="121">
        <f t="shared" si="233"/>
        <v>2153867</v>
      </c>
    </row>
    <row r="941" spans="2:17" hidden="1" x14ac:dyDescent="0.4">
      <c r="B941" s="110">
        <v>44862</v>
      </c>
      <c r="C941" s="122">
        <f t="shared" si="234"/>
        <v>3000000</v>
      </c>
      <c r="D941" s="111">
        <f t="shared" si="235"/>
        <v>11182</v>
      </c>
      <c r="E941" s="2">
        <f t="shared" si="236"/>
        <v>2250</v>
      </c>
      <c r="F941" s="112">
        <f t="shared" si="230"/>
        <v>17000000</v>
      </c>
      <c r="G941" s="2">
        <f t="shared" si="237"/>
        <v>855065</v>
      </c>
      <c r="H941" s="113">
        <f t="shared" si="238"/>
        <v>0</v>
      </c>
      <c r="I941" s="121">
        <f t="shared" si="231"/>
        <v>2153867</v>
      </c>
      <c r="K941" s="123">
        <f t="shared" si="239"/>
        <v>3000000</v>
      </c>
      <c r="L941" s="111">
        <f t="shared" si="240"/>
        <v>11182</v>
      </c>
      <c r="M941" s="2">
        <f t="shared" si="241"/>
        <v>2250</v>
      </c>
      <c r="N941" s="112">
        <f t="shared" si="232"/>
        <v>17000000</v>
      </c>
      <c r="O941" s="2">
        <f t="shared" si="242"/>
        <v>855065</v>
      </c>
      <c r="P941" s="113">
        <f t="shared" si="243"/>
        <v>0</v>
      </c>
      <c r="Q941" s="121">
        <f t="shared" si="233"/>
        <v>2153867</v>
      </c>
    </row>
    <row r="942" spans="2:17" hidden="1" x14ac:dyDescent="0.4">
      <c r="B942" s="110">
        <v>44863</v>
      </c>
      <c r="C942" s="122">
        <f t="shared" si="234"/>
        <v>3000000</v>
      </c>
      <c r="D942" s="111">
        <f t="shared" si="235"/>
        <v>11182</v>
      </c>
      <c r="E942" s="2">
        <f t="shared" si="236"/>
        <v>2250</v>
      </c>
      <c r="F942" s="112">
        <f t="shared" si="230"/>
        <v>17000000</v>
      </c>
      <c r="G942" s="2">
        <f t="shared" si="237"/>
        <v>855065</v>
      </c>
      <c r="H942" s="113">
        <f t="shared" si="238"/>
        <v>0</v>
      </c>
      <c r="I942" s="121">
        <f t="shared" si="231"/>
        <v>2153867</v>
      </c>
      <c r="K942" s="123">
        <f t="shared" si="239"/>
        <v>3000000</v>
      </c>
      <c r="L942" s="111">
        <f t="shared" si="240"/>
        <v>11182</v>
      </c>
      <c r="M942" s="2">
        <f t="shared" si="241"/>
        <v>2250</v>
      </c>
      <c r="N942" s="112">
        <f t="shared" si="232"/>
        <v>17000000</v>
      </c>
      <c r="O942" s="2">
        <f t="shared" si="242"/>
        <v>855065</v>
      </c>
      <c r="P942" s="113">
        <f t="shared" si="243"/>
        <v>0</v>
      </c>
      <c r="Q942" s="121">
        <f t="shared" si="233"/>
        <v>2153867</v>
      </c>
    </row>
    <row r="943" spans="2:17" hidden="1" x14ac:dyDescent="0.4">
      <c r="B943" s="110">
        <v>44864</v>
      </c>
      <c r="C943" s="122">
        <f t="shared" si="234"/>
        <v>3000000</v>
      </c>
      <c r="D943" s="111">
        <f t="shared" si="235"/>
        <v>11182</v>
      </c>
      <c r="E943" s="2">
        <f t="shared" si="236"/>
        <v>2250</v>
      </c>
      <c r="F943" s="112">
        <f t="shared" si="230"/>
        <v>17000000</v>
      </c>
      <c r="G943" s="2">
        <f t="shared" si="237"/>
        <v>855065</v>
      </c>
      <c r="H943" s="113">
        <f t="shared" si="238"/>
        <v>0</v>
      </c>
      <c r="I943" s="121">
        <f t="shared" si="231"/>
        <v>2153867</v>
      </c>
      <c r="K943" s="123">
        <f t="shared" si="239"/>
        <v>3000000</v>
      </c>
      <c r="L943" s="111">
        <f t="shared" si="240"/>
        <v>11182</v>
      </c>
      <c r="M943" s="2">
        <f t="shared" si="241"/>
        <v>2250</v>
      </c>
      <c r="N943" s="112">
        <f t="shared" si="232"/>
        <v>17000000</v>
      </c>
      <c r="O943" s="2">
        <f t="shared" si="242"/>
        <v>855065</v>
      </c>
      <c r="P943" s="113">
        <f t="shared" si="243"/>
        <v>0</v>
      </c>
      <c r="Q943" s="121">
        <f t="shared" si="233"/>
        <v>2153867</v>
      </c>
    </row>
    <row r="944" spans="2:17" hidden="1" x14ac:dyDescent="0.4">
      <c r="B944" s="110">
        <v>44865</v>
      </c>
      <c r="C944" s="122">
        <f t="shared" si="234"/>
        <v>3000000</v>
      </c>
      <c r="D944" s="111">
        <f t="shared" si="235"/>
        <v>11182</v>
      </c>
      <c r="E944" s="2">
        <f t="shared" si="236"/>
        <v>2250</v>
      </c>
      <c r="F944" s="112">
        <f t="shared" si="230"/>
        <v>17000000</v>
      </c>
      <c r="G944" s="2">
        <f t="shared" si="237"/>
        <v>855065</v>
      </c>
      <c r="H944" s="113">
        <f t="shared" si="238"/>
        <v>0</v>
      </c>
      <c r="I944" s="121">
        <f t="shared" si="231"/>
        <v>2153867</v>
      </c>
      <c r="K944" s="123">
        <f t="shared" si="239"/>
        <v>3000000</v>
      </c>
      <c r="L944" s="111">
        <f t="shared" si="240"/>
        <v>11182</v>
      </c>
      <c r="M944" s="2">
        <f t="shared" si="241"/>
        <v>2250</v>
      </c>
      <c r="N944" s="112">
        <f t="shared" si="232"/>
        <v>17000000</v>
      </c>
      <c r="O944" s="2">
        <f t="shared" si="242"/>
        <v>855065</v>
      </c>
      <c r="P944" s="113">
        <f t="shared" si="243"/>
        <v>0</v>
      </c>
      <c r="Q944" s="121">
        <f t="shared" si="233"/>
        <v>2153867</v>
      </c>
    </row>
    <row r="945" spans="2:17" x14ac:dyDescent="0.4">
      <c r="B945" s="110">
        <v>44866</v>
      </c>
      <c r="C945" s="122">
        <f t="shared" si="234"/>
        <v>3000000</v>
      </c>
      <c r="D945" s="111">
        <f t="shared" si="235"/>
        <v>11182</v>
      </c>
      <c r="E945" s="2">
        <f t="shared" si="236"/>
        <v>2250</v>
      </c>
      <c r="F945" s="112">
        <f t="shared" si="230"/>
        <v>17000000</v>
      </c>
      <c r="G945" s="2">
        <f t="shared" si="237"/>
        <v>855065</v>
      </c>
      <c r="H945" s="113">
        <f t="shared" si="238"/>
        <v>0</v>
      </c>
      <c r="I945" s="121">
        <f t="shared" si="231"/>
        <v>2153867</v>
      </c>
      <c r="K945" s="123">
        <f t="shared" si="239"/>
        <v>3000000</v>
      </c>
      <c r="L945" s="111">
        <f t="shared" si="240"/>
        <v>11182</v>
      </c>
      <c r="M945" s="2">
        <f t="shared" si="241"/>
        <v>2250</v>
      </c>
      <c r="N945" s="112">
        <f t="shared" si="232"/>
        <v>17000000</v>
      </c>
      <c r="O945" s="2">
        <f t="shared" si="242"/>
        <v>855065</v>
      </c>
      <c r="P945" s="113">
        <f t="shared" si="243"/>
        <v>0</v>
      </c>
      <c r="Q945" s="121">
        <f t="shared" si="233"/>
        <v>2153867</v>
      </c>
    </row>
    <row r="946" spans="2:17" hidden="1" x14ac:dyDescent="0.4">
      <c r="B946" s="110">
        <v>44867</v>
      </c>
      <c r="C946" s="122">
        <f t="shared" si="234"/>
        <v>3000000</v>
      </c>
      <c r="D946" s="111">
        <f t="shared" si="235"/>
        <v>11182</v>
      </c>
      <c r="E946" s="2">
        <f t="shared" si="236"/>
        <v>2250</v>
      </c>
      <c r="F946" s="112">
        <f t="shared" si="230"/>
        <v>17000000</v>
      </c>
      <c r="G946" s="2">
        <f t="shared" si="237"/>
        <v>855065</v>
      </c>
      <c r="H946" s="113">
        <f t="shared" si="238"/>
        <v>0</v>
      </c>
      <c r="I946" s="121">
        <f t="shared" si="231"/>
        <v>2153867</v>
      </c>
      <c r="K946" s="123">
        <f t="shared" si="239"/>
        <v>3000000</v>
      </c>
      <c r="L946" s="111">
        <f t="shared" si="240"/>
        <v>11182</v>
      </c>
      <c r="M946" s="2">
        <f t="shared" si="241"/>
        <v>2250</v>
      </c>
      <c r="N946" s="112">
        <f t="shared" si="232"/>
        <v>17000000</v>
      </c>
      <c r="O946" s="2">
        <f t="shared" si="242"/>
        <v>855065</v>
      </c>
      <c r="P946" s="113">
        <f t="shared" si="243"/>
        <v>0</v>
      </c>
      <c r="Q946" s="121">
        <f t="shared" si="233"/>
        <v>2153867</v>
      </c>
    </row>
    <row r="947" spans="2:17" hidden="1" x14ac:dyDescent="0.4">
      <c r="B947" s="110">
        <v>44868</v>
      </c>
      <c r="C947" s="122">
        <f t="shared" si="234"/>
        <v>3000000</v>
      </c>
      <c r="D947" s="111">
        <f t="shared" si="235"/>
        <v>11182</v>
      </c>
      <c r="E947" s="2">
        <f t="shared" si="236"/>
        <v>2250</v>
      </c>
      <c r="F947" s="112">
        <f t="shared" si="230"/>
        <v>17000000</v>
      </c>
      <c r="G947" s="2">
        <f t="shared" si="237"/>
        <v>855065</v>
      </c>
      <c r="H947" s="113">
        <f t="shared" si="238"/>
        <v>0</v>
      </c>
      <c r="I947" s="121">
        <f t="shared" si="231"/>
        <v>2153867</v>
      </c>
      <c r="K947" s="123">
        <f t="shared" si="239"/>
        <v>3000000</v>
      </c>
      <c r="L947" s="111">
        <f t="shared" si="240"/>
        <v>11182</v>
      </c>
      <c r="M947" s="2">
        <f t="shared" si="241"/>
        <v>2250</v>
      </c>
      <c r="N947" s="112">
        <f t="shared" si="232"/>
        <v>17000000</v>
      </c>
      <c r="O947" s="2">
        <f t="shared" si="242"/>
        <v>855065</v>
      </c>
      <c r="P947" s="113">
        <f t="shared" si="243"/>
        <v>0</v>
      </c>
      <c r="Q947" s="121">
        <f t="shared" si="233"/>
        <v>2153867</v>
      </c>
    </row>
    <row r="948" spans="2:17" hidden="1" x14ac:dyDescent="0.4">
      <c r="B948" s="110">
        <v>44869</v>
      </c>
      <c r="C948" s="122">
        <f t="shared" si="234"/>
        <v>3000000</v>
      </c>
      <c r="D948" s="111">
        <f t="shared" si="235"/>
        <v>11182</v>
      </c>
      <c r="E948" s="2">
        <f t="shared" si="236"/>
        <v>2250</v>
      </c>
      <c r="F948" s="112">
        <f t="shared" si="230"/>
        <v>17000000</v>
      </c>
      <c r="G948" s="2">
        <f t="shared" si="237"/>
        <v>855065</v>
      </c>
      <c r="H948" s="113">
        <f t="shared" si="238"/>
        <v>0</v>
      </c>
      <c r="I948" s="121">
        <f t="shared" si="231"/>
        <v>2153867</v>
      </c>
      <c r="K948" s="123">
        <f t="shared" si="239"/>
        <v>3000000</v>
      </c>
      <c r="L948" s="111">
        <f t="shared" si="240"/>
        <v>11182</v>
      </c>
      <c r="M948" s="2">
        <f t="shared" si="241"/>
        <v>2250</v>
      </c>
      <c r="N948" s="112">
        <f t="shared" si="232"/>
        <v>17000000</v>
      </c>
      <c r="O948" s="2">
        <f t="shared" si="242"/>
        <v>855065</v>
      </c>
      <c r="P948" s="113">
        <f t="shared" si="243"/>
        <v>0</v>
      </c>
      <c r="Q948" s="121">
        <f t="shared" si="233"/>
        <v>2153867</v>
      </c>
    </row>
    <row r="949" spans="2:17" hidden="1" x14ac:dyDescent="0.4">
      <c r="B949" s="110">
        <v>44870</v>
      </c>
      <c r="C949" s="122">
        <f t="shared" si="234"/>
        <v>3000000</v>
      </c>
      <c r="D949" s="111">
        <f t="shared" si="235"/>
        <v>11182</v>
      </c>
      <c r="E949" s="2">
        <f t="shared" si="236"/>
        <v>2250</v>
      </c>
      <c r="F949" s="112">
        <f t="shared" si="230"/>
        <v>17000000</v>
      </c>
      <c r="G949" s="2">
        <f t="shared" si="237"/>
        <v>855065</v>
      </c>
      <c r="H949" s="113">
        <f t="shared" si="238"/>
        <v>0</v>
      </c>
      <c r="I949" s="121">
        <f t="shared" si="231"/>
        <v>2153867</v>
      </c>
      <c r="K949" s="123">
        <f t="shared" si="239"/>
        <v>3000000</v>
      </c>
      <c r="L949" s="111">
        <f t="shared" si="240"/>
        <v>11182</v>
      </c>
      <c r="M949" s="2">
        <f t="shared" si="241"/>
        <v>2250</v>
      </c>
      <c r="N949" s="112">
        <f t="shared" si="232"/>
        <v>17000000</v>
      </c>
      <c r="O949" s="2">
        <f t="shared" si="242"/>
        <v>855065</v>
      </c>
      <c r="P949" s="113">
        <f t="shared" si="243"/>
        <v>0</v>
      </c>
      <c r="Q949" s="121">
        <f t="shared" si="233"/>
        <v>2153867</v>
      </c>
    </row>
    <row r="950" spans="2:17" hidden="1" x14ac:dyDescent="0.4">
      <c r="B950" s="110">
        <v>44871</v>
      </c>
      <c r="C950" s="122">
        <f t="shared" si="234"/>
        <v>3000000</v>
      </c>
      <c r="D950" s="111">
        <f t="shared" si="235"/>
        <v>11182</v>
      </c>
      <c r="E950" s="2">
        <f t="shared" si="236"/>
        <v>2250</v>
      </c>
      <c r="F950" s="112">
        <f t="shared" si="230"/>
        <v>17000000</v>
      </c>
      <c r="G950" s="2">
        <f t="shared" si="237"/>
        <v>855065</v>
      </c>
      <c r="H950" s="113">
        <f t="shared" si="238"/>
        <v>0</v>
      </c>
      <c r="I950" s="121">
        <f t="shared" si="231"/>
        <v>2153867</v>
      </c>
      <c r="K950" s="123">
        <f t="shared" si="239"/>
        <v>3000000</v>
      </c>
      <c r="L950" s="111">
        <f t="shared" si="240"/>
        <v>11182</v>
      </c>
      <c r="M950" s="2">
        <f t="shared" si="241"/>
        <v>2250</v>
      </c>
      <c r="N950" s="112">
        <f t="shared" si="232"/>
        <v>17000000</v>
      </c>
      <c r="O950" s="2">
        <f t="shared" si="242"/>
        <v>855065</v>
      </c>
      <c r="P950" s="113">
        <f t="shared" si="243"/>
        <v>0</v>
      </c>
      <c r="Q950" s="121">
        <f t="shared" si="233"/>
        <v>2153867</v>
      </c>
    </row>
    <row r="951" spans="2:17" hidden="1" x14ac:dyDescent="0.4">
      <c r="B951" s="110">
        <v>44872</v>
      </c>
      <c r="C951" s="122">
        <f t="shared" si="234"/>
        <v>3000000</v>
      </c>
      <c r="D951" s="111">
        <f t="shared" si="235"/>
        <v>11182</v>
      </c>
      <c r="E951" s="2">
        <f t="shared" si="236"/>
        <v>2250</v>
      </c>
      <c r="F951" s="112">
        <f t="shared" si="230"/>
        <v>17000000</v>
      </c>
      <c r="G951" s="2">
        <f t="shared" si="237"/>
        <v>855065</v>
      </c>
      <c r="H951" s="113">
        <f t="shared" si="238"/>
        <v>0</v>
      </c>
      <c r="I951" s="121">
        <f t="shared" si="231"/>
        <v>2153867</v>
      </c>
      <c r="K951" s="123">
        <f t="shared" si="239"/>
        <v>3000000</v>
      </c>
      <c r="L951" s="111">
        <f t="shared" si="240"/>
        <v>11182</v>
      </c>
      <c r="M951" s="2">
        <f t="shared" si="241"/>
        <v>2250</v>
      </c>
      <c r="N951" s="112">
        <f t="shared" si="232"/>
        <v>17000000</v>
      </c>
      <c r="O951" s="2">
        <f t="shared" si="242"/>
        <v>855065</v>
      </c>
      <c r="P951" s="113">
        <f t="shared" si="243"/>
        <v>0</v>
      </c>
      <c r="Q951" s="121">
        <f t="shared" si="233"/>
        <v>2153867</v>
      </c>
    </row>
    <row r="952" spans="2:17" hidden="1" x14ac:dyDescent="0.4">
      <c r="B952" s="110">
        <v>44873</v>
      </c>
      <c r="C952" s="122">
        <f t="shared" si="234"/>
        <v>3000000</v>
      </c>
      <c r="D952" s="111">
        <f t="shared" si="235"/>
        <v>11182</v>
      </c>
      <c r="E952" s="2">
        <f t="shared" si="236"/>
        <v>2250</v>
      </c>
      <c r="F952" s="112">
        <f t="shared" si="230"/>
        <v>17000000</v>
      </c>
      <c r="G952" s="2">
        <f t="shared" si="237"/>
        <v>855065</v>
      </c>
      <c r="H952" s="113">
        <f t="shared" si="238"/>
        <v>0</v>
      </c>
      <c r="I952" s="121">
        <f t="shared" si="231"/>
        <v>2153867</v>
      </c>
      <c r="K952" s="123">
        <f t="shared" si="239"/>
        <v>3000000</v>
      </c>
      <c r="L952" s="111">
        <f t="shared" si="240"/>
        <v>11182</v>
      </c>
      <c r="M952" s="2">
        <f t="shared" si="241"/>
        <v>2250</v>
      </c>
      <c r="N952" s="112">
        <f t="shared" si="232"/>
        <v>17000000</v>
      </c>
      <c r="O952" s="2">
        <f t="shared" si="242"/>
        <v>855065</v>
      </c>
      <c r="P952" s="113">
        <f t="shared" si="243"/>
        <v>0</v>
      </c>
      <c r="Q952" s="121">
        <f t="shared" si="233"/>
        <v>2153867</v>
      </c>
    </row>
    <row r="953" spans="2:17" hidden="1" x14ac:dyDescent="0.4">
      <c r="B953" s="110">
        <v>44874</v>
      </c>
      <c r="C953" s="122">
        <f t="shared" si="234"/>
        <v>3000000</v>
      </c>
      <c r="D953" s="111">
        <f t="shared" si="235"/>
        <v>11182</v>
      </c>
      <c r="E953" s="2">
        <f t="shared" si="236"/>
        <v>2250</v>
      </c>
      <c r="F953" s="112">
        <f t="shared" si="230"/>
        <v>17000000</v>
      </c>
      <c r="G953" s="2">
        <f t="shared" si="237"/>
        <v>855065</v>
      </c>
      <c r="H953" s="113">
        <f t="shared" si="238"/>
        <v>0</v>
      </c>
      <c r="I953" s="121">
        <f t="shared" si="231"/>
        <v>2153867</v>
      </c>
      <c r="K953" s="123">
        <f t="shared" si="239"/>
        <v>3000000</v>
      </c>
      <c r="L953" s="111">
        <f t="shared" si="240"/>
        <v>11182</v>
      </c>
      <c r="M953" s="2">
        <f t="shared" si="241"/>
        <v>2250</v>
      </c>
      <c r="N953" s="112">
        <f t="shared" si="232"/>
        <v>17000000</v>
      </c>
      <c r="O953" s="2">
        <f t="shared" si="242"/>
        <v>855065</v>
      </c>
      <c r="P953" s="113">
        <f t="shared" si="243"/>
        <v>0</v>
      </c>
      <c r="Q953" s="121">
        <f t="shared" si="233"/>
        <v>2153867</v>
      </c>
    </row>
    <row r="954" spans="2:17" hidden="1" x14ac:dyDescent="0.4">
      <c r="B954" s="110">
        <v>44875</v>
      </c>
      <c r="C954" s="122">
        <f t="shared" si="234"/>
        <v>3000000</v>
      </c>
      <c r="D954" s="111">
        <f t="shared" si="235"/>
        <v>11182</v>
      </c>
      <c r="E954" s="2">
        <f t="shared" si="236"/>
        <v>2250</v>
      </c>
      <c r="F954" s="112">
        <f t="shared" si="230"/>
        <v>17000000</v>
      </c>
      <c r="G954" s="2">
        <f t="shared" si="237"/>
        <v>855065</v>
      </c>
      <c r="H954" s="113">
        <f t="shared" si="238"/>
        <v>0</v>
      </c>
      <c r="I954" s="121">
        <f t="shared" si="231"/>
        <v>2153867</v>
      </c>
      <c r="K954" s="123">
        <f t="shared" si="239"/>
        <v>3000000</v>
      </c>
      <c r="L954" s="111">
        <f t="shared" si="240"/>
        <v>11182</v>
      </c>
      <c r="M954" s="2">
        <f t="shared" si="241"/>
        <v>2250</v>
      </c>
      <c r="N954" s="112">
        <f t="shared" si="232"/>
        <v>17000000</v>
      </c>
      <c r="O954" s="2">
        <f t="shared" si="242"/>
        <v>855065</v>
      </c>
      <c r="P954" s="113">
        <f t="shared" si="243"/>
        <v>0</v>
      </c>
      <c r="Q954" s="121">
        <f t="shared" si="233"/>
        <v>2153867</v>
      </c>
    </row>
    <row r="955" spans="2:17" hidden="1" x14ac:dyDescent="0.4">
      <c r="B955" s="110">
        <v>44876</v>
      </c>
      <c r="C955" s="122">
        <f t="shared" si="234"/>
        <v>3000000</v>
      </c>
      <c r="D955" s="111">
        <f t="shared" si="235"/>
        <v>11182</v>
      </c>
      <c r="E955" s="2">
        <f t="shared" si="236"/>
        <v>2250</v>
      </c>
      <c r="F955" s="112">
        <f t="shared" si="230"/>
        <v>17000000</v>
      </c>
      <c r="G955" s="2">
        <f t="shared" si="237"/>
        <v>855065</v>
      </c>
      <c r="H955" s="113">
        <f t="shared" si="238"/>
        <v>0</v>
      </c>
      <c r="I955" s="121">
        <f t="shared" si="231"/>
        <v>2153867</v>
      </c>
      <c r="K955" s="123">
        <f t="shared" si="239"/>
        <v>3000000</v>
      </c>
      <c r="L955" s="111">
        <f t="shared" si="240"/>
        <v>11182</v>
      </c>
      <c r="M955" s="2">
        <f t="shared" si="241"/>
        <v>2250</v>
      </c>
      <c r="N955" s="112">
        <f t="shared" si="232"/>
        <v>17000000</v>
      </c>
      <c r="O955" s="2">
        <f t="shared" si="242"/>
        <v>855065</v>
      </c>
      <c r="P955" s="113">
        <f t="shared" si="243"/>
        <v>0</v>
      </c>
      <c r="Q955" s="121">
        <f t="shared" si="233"/>
        <v>2153867</v>
      </c>
    </row>
    <row r="956" spans="2:17" hidden="1" x14ac:dyDescent="0.4">
      <c r="B956" s="110">
        <v>44877</v>
      </c>
      <c r="C956" s="122">
        <f t="shared" si="234"/>
        <v>3000000</v>
      </c>
      <c r="D956" s="111">
        <f t="shared" si="235"/>
        <v>11182</v>
      </c>
      <c r="E956" s="2">
        <f t="shared" si="236"/>
        <v>2250</v>
      </c>
      <c r="F956" s="112">
        <f t="shared" si="230"/>
        <v>17000000</v>
      </c>
      <c r="G956" s="2">
        <f t="shared" si="237"/>
        <v>855065</v>
      </c>
      <c r="H956" s="113">
        <f t="shared" si="238"/>
        <v>0</v>
      </c>
      <c r="I956" s="121">
        <f t="shared" si="231"/>
        <v>2153867</v>
      </c>
      <c r="K956" s="123">
        <f t="shared" si="239"/>
        <v>3000000</v>
      </c>
      <c r="L956" s="111">
        <f t="shared" si="240"/>
        <v>11182</v>
      </c>
      <c r="M956" s="2">
        <f t="shared" si="241"/>
        <v>2250</v>
      </c>
      <c r="N956" s="112">
        <f t="shared" si="232"/>
        <v>17000000</v>
      </c>
      <c r="O956" s="2">
        <f t="shared" si="242"/>
        <v>855065</v>
      </c>
      <c r="P956" s="113">
        <f t="shared" si="243"/>
        <v>0</v>
      </c>
      <c r="Q956" s="121">
        <f t="shared" si="233"/>
        <v>2153867</v>
      </c>
    </row>
    <row r="957" spans="2:17" hidden="1" x14ac:dyDescent="0.4">
      <c r="B957" s="110">
        <v>44878</v>
      </c>
      <c r="C957" s="122">
        <f t="shared" si="234"/>
        <v>3000000</v>
      </c>
      <c r="D957" s="111">
        <f t="shared" si="235"/>
        <v>11182</v>
      </c>
      <c r="E957" s="2">
        <f t="shared" si="236"/>
        <v>2250</v>
      </c>
      <c r="F957" s="112">
        <f t="shared" si="230"/>
        <v>17000000</v>
      </c>
      <c r="G957" s="2">
        <f t="shared" si="237"/>
        <v>855065</v>
      </c>
      <c r="H957" s="113">
        <f t="shared" si="238"/>
        <v>0</v>
      </c>
      <c r="I957" s="121">
        <f t="shared" si="231"/>
        <v>2153867</v>
      </c>
      <c r="K957" s="123">
        <f t="shared" si="239"/>
        <v>3000000</v>
      </c>
      <c r="L957" s="111">
        <f t="shared" si="240"/>
        <v>11182</v>
      </c>
      <c r="M957" s="2">
        <f t="shared" si="241"/>
        <v>2250</v>
      </c>
      <c r="N957" s="112">
        <f t="shared" si="232"/>
        <v>17000000</v>
      </c>
      <c r="O957" s="2">
        <f t="shared" si="242"/>
        <v>855065</v>
      </c>
      <c r="P957" s="113">
        <f t="shared" si="243"/>
        <v>0</v>
      </c>
      <c r="Q957" s="121">
        <f t="shared" si="233"/>
        <v>2153867</v>
      </c>
    </row>
    <row r="958" spans="2:17" hidden="1" x14ac:dyDescent="0.4">
      <c r="B958" s="110">
        <v>44879</v>
      </c>
      <c r="C958" s="122">
        <f t="shared" si="234"/>
        <v>3000000</v>
      </c>
      <c r="D958" s="111">
        <f t="shared" si="235"/>
        <v>11182</v>
      </c>
      <c r="E958" s="2">
        <f t="shared" si="236"/>
        <v>2250</v>
      </c>
      <c r="F958" s="112">
        <f t="shared" si="230"/>
        <v>17000000</v>
      </c>
      <c r="G958" s="2">
        <f t="shared" si="237"/>
        <v>855065</v>
      </c>
      <c r="H958" s="113">
        <f t="shared" si="238"/>
        <v>0</v>
      </c>
      <c r="I958" s="121">
        <f t="shared" si="231"/>
        <v>2153867</v>
      </c>
      <c r="K958" s="123">
        <f t="shared" si="239"/>
        <v>3000000</v>
      </c>
      <c r="L958" s="111">
        <f t="shared" si="240"/>
        <v>11182</v>
      </c>
      <c r="M958" s="2">
        <f t="shared" si="241"/>
        <v>2250</v>
      </c>
      <c r="N958" s="112">
        <f t="shared" si="232"/>
        <v>17000000</v>
      </c>
      <c r="O958" s="2">
        <f t="shared" si="242"/>
        <v>855065</v>
      </c>
      <c r="P958" s="113">
        <f t="shared" si="243"/>
        <v>0</v>
      </c>
      <c r="Q958" s="121">
        <f t="shared" si="233"/>
        <v>2153867</v>
      </c>
    </row>
    <row r="959" spans="2:17" hidden="1" x14ac:dyDescent="0.4">
      <c r="B959" s="110">
        <v>44880</v>
      </c>
      <c r="C959" s="122">
        <f t="shared" si="234"/>
        <v>3000000</v>
      </c>
      <c r="D959" s="111">
        <f t="shared" si="235"/>
        <v>13348</v>
      </c>
      <c r="E959" s="2">
        <f t="shared" si="236"/>
        <v>2250</v>
      </c>
      <c r="F959" s="112">
        <f t="shared" si="230"/>
        <v>17000000</v>
      </c>
      <c r="G959" s="2">
        <f t="shared" si="237"/>
        <v>855065</v>
      </c>
      <c r="H959" s="113">
        <f t="shared" si="238"/>
        <v>0</v>
      </c>
      <c r="I959" s="121">
        <f t="shared" si="231"/>
        <v>2156033</v>
      </c>
      <c r="K959" s="123">
        <f t="shared" si="239"/>
        <v>3000000</v>
      </c>
      <c r="L959" s="111">
        <f t="shared" si="240"/>
        <v>13348</v>
      </c>
      <c r="M959" s="2">
        <f t="shared" si="241"/>
        <v>2250</v>
      </c>
      <c r="N959" s="112">
        <f t="shared" si="232"/>
        <v>17000000</v>
      </c>
      <c r="O959" s="2">
        <f t="shared" si="242"/>
        <v>855065</v>
      </c>
      <c r="P959" s="113">
        <f t="shared" si="243"/>
        <v>0</v>
      </c>
      <c r="Q959" s="121">
        <f t="shared" si="233"/>
        <v>2156033</v>
      </c>
    </row>
    <row r="960" spans="2:17" hidden="1" x14ac:dyDescent="0.4">
      <c r="B960" s="110">
        <v>44881</v>
      </c>
      <c r="C960" s="122">
        <f t="shared" si="234"/>
        <v>3000000</v>
      </c>
      <c r="D960" s="111">
        <f t="shared" si="235"/>
        <v>13348</v>
      </c>
      <c r="E960" s="2">
        <f t="shared" si="236"/>
        <v>2250</v>
      </c>
      <c r="F960" s="112">
        <f t="shared" si="230"/>
        <v>17000000</v>
      </c>
      <c r="G960" s="2">
        <f t="shared" si="237"/>
        <v>855065</v>
      </c>
      <c r="H960" s="113">
        <f t="shared" si="238"/>
        <v>0</v>
      </c>
      <c r="I960" s="121">
        <f t="shared" si="231"/>
        <v>2156033</v>
      </c>
      <c r="K960" s="123">
        <f t="shared" si="239"/>
        <v>3000000</v>
      </c>
      <c r="L960" s="111">
        <f t="shared" si="240"/>
        <v>13348</v>
      </c>
      <c r="M960" s="2">
        <f t="shared" si="241"/>
        <v>2250</v>
      </c>
      <c r="N960" s="112">
        <f t="shared" si="232"/>
        <v>17000000</v>
      </c>
      <c r="O960" s="2">
        <f t="shared" si="242"/>
        <v>855065</v>
      </c>
      <c r="P960" s="113">
        <f t="shared" si="243"/>
        <v>0</v>
      </c>
      <c r="Q960" s="121">
        <f t="shared" si="233"/>
        <v>2156033</v>
      </c>
    </row>
    <row r="961" spans="2:17" hidden="1" x14ac:dyDescent="0.4">
      <c r="B961" s="110">
        <v>44882</v>
      </c>
      <c r="C961" s="122">
        <f t="shared" si="234"/>
        <v>3000000</v>
      </c>
      <c r="D961" s="111">
        <f t="shared" si="235"/>
        <v>13348</v>
      </c>
      <c r="E961" s="2">
        <f t="shared" si="236"/>
        <v>2250</v>
      </c>
      <c r="F961" s="112">
        <f t="shared" si="230"/>
        <v>17000000</v>
      </c>
      <c r="G961" s="2">
        <f t="shared" si="237"/>
        <v>855065</v>
      </c>
      <c r="H961" s="113">
        <f t="shared" si="238"/>
        <v>0</v>
      </c>
      <c r="I961" s="121">
        <f t="shared" si="231"/>
        <v>2156033</v>
      </c>
      <c r="K961" s="123">
        <f t="shared" si="239"/>
        <v>3000000</v>
      </c>
      <c r="L961" s="111">
        <f t="shared" si="240"/>
        <v>13348</v>
      </c>
      <c r="M961" s="2">
        <f t="shared" si="241"/>
        <v>2250</v>
      </c>
      <c r="N961" s="112">
        <f t="shared" si="232"/>
        <v>17000000</v>
      </c>
      <c r="O961" s="2">
        <f t="shared" si="242"/>
        <v>855065</v>
      </c>
      <c r="P961" s="113">
        <f t="shared" si="243"/>
        <v>0</v>
      </c>
      <c r="Q961" s="121">
        <f t="shared" si="233"/>
        <v>2156033</v>
      </c>
    </row>
    <row r="962" spans="2:17" hidden="1" x14ac:dyDescent="0.4">
      <c r="B962" s="110">
        <v>44883</v>
      </c>
      <c r="C962" s="122">
        <f t="shared" si="234"/>
        <v>3000000</v>
      </c>
      <c r="D962" s="111">
        <f t="shared" si="235"/>
        <v>13348</v>
      </c>
      <c r="E962" s="2">
        <f t="shared" si="236"/>
        <v>2250</v>
      </c>
      <c r="F962" s="112">
        <f t="shared" si="230"/>
        <v>17000000</v>
      </c>
      <c r="G962" s="2">
        <f t="shared" si="237"/>
        <v>855065</v>
      </c>
      <c r="H962" s="113">
        <f t="shared" si="238"/>
        <v>0</v>
      </c>
      <c r="I962" s="121">
        <f t="shared" si="231"/>
        <v>2156033</v>
      </c>
      <c r="K962" s="123">
        <f t="shared" si="239"/>
        <v>3000000</v>
      </c>
      <c r="L962" s="111">
        <f t="shared" si="240"/>
        <v>13348</v>
      </c>
      <c r="M962" s="2">
        <f t="shared" si="241"/>
        <v>2250</v>
      </c>
      <c r="N962" s="112">
        <f t="shared" si="232"/>
        <v>17000000</v>
      </c>
      <c r="O962" s="2">
        <f t="shared" si="242"/>
        <v>855065</v>
      </c>
      <c r="P962" s="113">
        <f t="shared" si="243"/>
        <v>0</v>
      </c>
      <c r="Q962" s="121">
        <f t="shared" si="233"/>
        <v>2156033</v>
      </c>
    </row>
    <row r="963" spans="2:17" hidden="1" x14ac:dyDescent="0.4">
      <c r="B963" s="110">
        <v>44884</v>
      </c>
      <c r="C963" s="122">
        <f t="shared" si="234"/>
        <v>3000000</v>
      </c>
      <c r="D963" s="111">
        <f t="shared" si="235"/>
        <v>13348</v>
      </c>
      <c r="E963" s="2">
        <f t="shared" si="236"/>
        <v>2250</v>
      </c>
      <c r="F963" s="112">
        <f t="shared" si="230"/>
        <v>17000000</v>
      </c>
      <c r="G963" s="2">
        <f t="shared" si="237"/>
        <v>855065</v>
      </c>
      <c r="H963" s="113">
        <f t="shared" si="238"/>
        <v>0</v>
      </c>
      <c r="I963" s="121">
        <f t="shared" si="231"/>
        <v>2156033</v>
      </c>
      <c r="K963" s="123">
        <f t="shared" si="239"/>
        <v>3000000</v>
      </c>
      <c r="L963" s="111">
        <f t="shared" si="240"/>
        <v>13348</v>
      </c>
      <c r="M963" s="2">
        <f t="shared" si="241"/>
        <v>2250</v>
      </c>
      <c r="N963" s="112">
        <f t="shared" si="232"/>
        <v>17000000</v>
      </c>
      <c r="O963" s="2">
        <f t="shared" si="242"/>
        <v>855065</v>
      </c>
      <c r="P963" s="113">
        <f t="shared" si="243"/>
        <v>0</v>
      </c>
      <c r="Q963" s="121">
        <f t="shared" si="233"/>
        <v>2156033</v>
      </c>
    </row>
    <row r="964" spans="2:17" hidden="1" x14ac:dyDescent="0.4">
      <c r="B964" s="110">
        <v>44885</v>
      </c>
      <c r="C964" s="122">
        <f t="shared" si="234"/>
        <v>3000000</v>
      </c>
      <c r="D964" s="111">
        <f t="shared" si="235"/>
        <v>13348</v>
      </c>
      <c r="E964" s="2">
        <f t="shared" si="236"/>
        <v>2250</v>
      </c>
      <c r="F964" s="112">
        <f t="shared" si="230"/>
        <v>17000000</v>
      </c>
      <c r="G964" s="2">
        <f t="shared" si="237"/>
        <v>855065</v>
      </c>
      <c r="H964" s="113">
        <f t="shared" si="238"/>
        <v>0</v>
      </c>
      <c r="I964" s="121">
        <f t="shared" si="231"/>
        <v>2156033</v>
      </c>
      <c r="K964" s="123">
        <f t="shared" si="239"/>
        <v>3000000</v>
      </c>
      <c r="L964" s="111">
        <f t="shared" si="240"/>
        <v>13348</v>
      </c>
      <c r="M964" s="2">
        <f t="shared" si="241"/>
        <v>2250</v>
      </c>
      <c r="N964" s="112">
        <f t="shared" si="232"/>
        <v>17000000</v>
      </c>
      <c r="O964" s="2">
        <f t="shared" si="242"/>
        <v>855065</v>
      </c>
      <c r="P964" s="113">
        <f t="shared" si="243"/>
        <v>0</v>
      </c>
      <c r="Q964" s="121">
        <f t="shared" si="233"/>
        <v>2156033</v>
      </c>
    </row>
    <row r="965" spans="2:17" hidden="1" x14ac:dyDescent="0.4">
      <c r="B965" s="110">
        <v>44886</v>
      </c>
      <c r="C965" s="122">
        <f t="shared" si="234"/>
        <v>3000000</v>
      </c>
      <c r="D965" s="111">
        <f t="shared" si="235"/>
        <v>13348</v>
      </c>
      <c r="E965" s="2">
        <f t="shared" si="236"/>
        <v>2250</v>
      </c>
      <c r="F965" s="112">
        <f t="shared" si="230"/>
        <v>17000000</v>
      </c>
      <c r="G965" s="2">
        <f t="shared" si="237"/>
        <v>855065</v>
      </c>
      <c r="H965" s="113">
        <f t="shared" si="238"/>
        <v>0</v>
      </c>
      <c r="I965" s="121">
        <f t="shared" si="231"/>
        <v>2156033</v>
      </c>
      <c r="K965" s="123">
        <f t="shared" si="239"/>
        <v>3000000</v>
      </c>
      <c r="L965" s="111">
        <f t="shared" si="240"/>
        <v>13348</v>
      </c>
      <c r="M965" s="2">
        <f t="shared" si="241"/>
        <v>2250</v>
      </c>
      <c r="N965" s="112">
        <f t="shared" si="232"/>
        <v>17000000</v>
      </c>
      <c r="O965" s="2">
        <f t="shared" si="242"/>
        <v>855065</v>
      </c>
      <c r="P965" s="113">
        <f t="shared" si="243"/>
        <v>0</v>
      </c>
      <c r="Q965" s="121">
        <f t="shared" si="233"/>
        <v>2156033</v>
      </c>
    </row>
    <row r="966" spans="2:17" hidden="1" x14ac:dyDescent="0.4">
      <c r="B966" s="110">
        <v>44887</v>
      </c>
      <c r="C966" s="122">
        <f t="shared" si="234"/>
        <v>3000000</v>
      </c>
      <c r="D966" s="111">
        <f t="shared" si="235"/>
        <v>13348</v>
      </c>
      <c r="E966" s="2">
        <f t="shared" si="236"/>
        <v>2250</v>
      </c>
      <c r="F966" s="112">
        <f t="shared" si="230"/>
        <v>17000000</v>
      </c>
      <c r="G966" s="2">
        <f t="shared" si="237"/>
        <v>855065</v>
      </c>
      <c r="H966" s="113">
        <f t="shared" si="238"/>
        <v>0</v>
      </c>
      <c r="I966" s="121">
        <f t="shared" si="231"/>
        <v>2156033</v>
      </c>
      <c r="K966" s="123">
        <f t="shared" si="239"/>
        <v>3000000</v>
      </c>
      <c r="L966" s="111">
        <f t="shared" si="240"/>
        <v>13348</v>
      </c>
      <c r="M966" s="2">
        <f t="shared" si="241"/>
        <v>2250</v>
      </c>
      <c r="N966" s="112">
        <f t="shared" si="232"/>
        <v>17000000</v>
      </c>
      <c r="O966" s="2">
        <f t="shared" si="242"/>
        <v>855065</v>
      </c>
      <c r="P966" s="113">
        <f t="shared" si="243"/>
        <v>0</v>
      </c>
      <c r="Q966" s="121">
        <f t="shared" si="233"/>
        <v>2156033</v>
      </c>
    </row>
    <row r="967" spans="2:17" hidden="1" x14ac:dyDescent="0.4">
      <c r="B967" s="110">
        <v>44888</v>
      </c>
      <c r="C967" s="122">
        <f t="shared" si="234"/>
        <v>3000000</v>
      </c>
      <c r="D967" s="111">
        <f t="shared" si="235"/>
        <v>13348</v>
      </c>
      <c r="E967" s="2">
        <f t="shared" si="236"/>
        <v>2250</v>
      </c>
      <c r="F967" s="112">
        <f t="shared" si="230"/>
        <v>17000000</v>
      </c>
      <c r="G967" s="2">
        <f t="shared" si="237"/>
        <v>855065</v>
      </c>
      <c r="H967" s="113">
        <f t="shared" si="238"/>
        <v>0</v>
      </c>
      <c r="I967" s="121">
        <f t="shared" si="231"/>
        <v>2156033</v>
      </c>
      <c r="K967" s="123">
        <f t="shared" si="239"/>
        <v>3000000</v>
      </c>
      <c r="L967" s="111">
        <f t="shared" si="240"/>
        <v>13348</v>
      </c>
      <c r="M967" s="2">
        <f t="shared" si="241"/>
        <v>2250</v>
      </c>
      <c r="N967" s="112">
        <f t="shared" si="232"/>
        <v>17000000</v>
      </c>
      <c r="O967" s="2">
        <f t="shared" si="242"/>
        <v>855065</v>
      </c>
      <c r="P967" s="113">
        <f t="shared" si="243"/>
        <v>0</v>
      </c>
      <c r="Q967" s="121">
        <f t="shared" si="233"/>
        <v>2156033</v>
      </c>
    </row>
    <row r="968" spans="2:17" hidden="1" x14ac:dyDescent="0.4">
      <c r="B968" s="110">
        <v>44889</v>
      </c>
      <c r="C968" s="122">
        <f t="shared" si="234"/>
        <v>3000000</v>
      </c>
      <c r="D968" s="111">
        <f t="shared" si="235"/>
        <v>13348</v>
      </c>
      <c r="E968" s="2">
        <f t="shared" si="236"/>
        <v>2250</v>
      </c>
      <c r="F968" s="112">
        <f t="shared" si="230"/>
        <v>17000000</v>
      </c>
      <c r="G968" s="2">
        <f t="shared" si="237"/>
        <v>855065</v>
      </c>
      <c r="H968" s="113">
        <f t="shared" si="238"/>
        <v>0</v>
      </c>
      <c r="I968" s="121">
        <f t="shared" si="231"/>
        <v>2156033</v>
      </c>
      <c r="K968" s="123">
        <f t="shared" si="239"/>
        <v>3000000</v>
      </c>
      <c r="L968" s="111">
        <f t="shared" si="240"/>
        <v>13348</v>
      </c>
      <c r="M968" s="2">
        <f t="shared" si="241"/>
        <v>2250</v>
      </c>
      <c r="N968" s="112">
        <f t="shared" si="232"/>
        <v>17000000</v>
      </c>
      <c r="O968" s="2">
        <f t="shared" si="242"/>
        <v>855065</v>
      </c>
      <c r="P968" s="113">
        <f t="shared" si="243"/>
        <v>0</v>
      </c>
      <c r="Q968" s="121">
        <f t="shared" si="233"/>
        <v>2156033</v>
      </c>
    </row>
    <row r="969" spans="2:17" hidden="1" x14ac:dyDescent="0.4">
      <c r="B969" s="110">
        <v>44890</v>
      </c>
      <c r="C969" s="122">
        <f t="shared" si="234"/>
        <v>3000000</v>
      </c>
      <c r="D969" s="111">
        <f t="shared" si="235"/>
        <v>13348</v>
      </c>
      <c r="E969" s="2">
        <f t="shared" si="236"/>
        <v>2250</v>
      </c>
      <c r="F969" s="112">
        <f t="shared" si="230"/>
        <v>17000000</v>
      </c>
      <c r="G969" s="2">
        <f t="shared" si="237"/>
        <v>855065</v>
      </c>
      <c r="H969" s="113">
        <f t="shared" si="238"/>
        <v>0</v>
      </c>
      <c r="I969" s="121">
        <f t="shared" si="231"/>
        <v>2156033</v>
      </c>
      <c r="K969" s="123">
        <f t="shared" si="239"/>
        <v>3000000</v>
      </c>
      <c r="L969" s="111">
        <f t="shared" si="240"/>
        <v>13348</v>
      </c>
      <c r="M969" s="2">
        <f t="shared" si="241"/>
        <v>2250</v>
      </c>
      <c r="N969" s="112">
        <f t="shared" si="232"/>
        <v>17000000</v>
      </c>
      <c r="O969" s="2">
        <f t="shared" si="242"/>
        <v>855065</v>
      </c>
      <c r="P969" s="113">
        <f t="shared" si="243"/>
        <v>0</v>
      </c>
      <c r="Q969" s="121">
        <f t="shared" si="233"/>
        <v>2156033</v>
      </c>
    </row>
    <row r="970" spans="2:17" hidden="1" x14ac:dyDescent="0.4">
      <c r="B970" s="110">
        <v>44891</v>
      </c>
      <c r="C970" s="122">
        <f t="shared" si="234"/>
        <v>3000000</v>
      </c>
      <c r="D970" s="111">
        <f t="shared" si="235"/>
        <v>13348</v>
      </c>
      <c r="E970" s="2">
        <f t="shared" si="236"/>
        <v>2250</v>
      </c>
      <c r="F970" s="112">
        <f t="shared" ref="F970:F1033" si="244">20000000-C970</f>
        <v>17000000</v>
      </c>
      <c r="G970" s="2">
        <f t="shared" si="237"/>
        <v>855065</v>
      </c>
      <c r="H970" s="113">
        <f t="shared" si="238"/>
        <v>0</v>
      </c>
      <c r="I970" s="121">
        <f t="shared" ref="I970:I1033" si="245">C970+D970-G970-E970+H970</f>
        <v>2156033</v>
      </c>
      <c r="K970" s="123">
        <f t="shared" si="239"/>
        <v>3000000</v>
      </c>
      <c r="L970" s="111">
        <f t="shared" si="240"/>
        <v>13348</v>
      </c>
      <c r="M970" s="2">
        <f t="shared" si="241"/>
        <v>2250</v>
      </c>
      <c r="N970" s="112">
        <f t="shared" ref="N970:N1033" si="246">20000000-K970</f>
        <v>17000000</v>
      </c>
      <c r="O970" s="2">
        <f t="shared" si="242"/>
        <v>855065</v>
      </c>
      <c r="P970" s="113">
        <f t="shared" si="243"/>
        <v>0</v>
      </c>
      <c r="Q970" s="121">
        <f t="shared" ref="Q970:Q1033" si="247">K970+L970-O970-M970+P970</f>
        <v>2156033</v>
      </c>
    </row>
    <row r="971" spans="2:17" hidden="1" x14ac:dyDescent="0.4">
      <c r="B971" s="110">
        <v>44892</v>
      </c>
      <c r="C971" s="122">
        <f t="shared" ref="C971:C1034" si="248">SUMIF($B$6:$B$75,$B971,$D$6:$D$75)+C970</f>
        <v>3000000</v>
      </c>
      <c r="D971" s="111">
        <f t="shared" ref="D971:D1034" si="249">SUMIF($B$6:$B$75,$B971,$E$6:$E$75)+D970</f>
        <v>13348</v>
      </c>
      <c r="E971" s="2">
        <f t="shared" ref="E971:E1034" si="250">SUMIF($G$353:$G$376,$B971,$J$353:$J$376)+SUMIF($E$353:$E$376,$B971,$H$353:$H$376)+SUMIF($G$353:$G$376,$B971,$I$353:$I$376)+E970</f>
        <v>2250</v>
      </c>
      <c r="F971" s="112">
        <f t="shared" si="244"/>
        <v>17000000</v>
      </c>
      <c r="G971" s="2">
        <f t="shared" ref="G971:G1034" si="251">SUMIF($E$353:$E$376,$B971,$M$353:$M$376)+G970</f>
        <v>855065</v>
      </c>
      <c r="H971" s="113">
        <f t="shared" ref="H971:H1034" si="252">SUMIF($G$353:$G$376,$B971,$N$353:$N$376)+H970</f>
        <v>0</v>
      </c>
      <c r="I971" s="121">
        <f t="shared" si="245"/>
        <v>2156033</v>
      </c>
      <c r="K971" s="123">
        <f t="shared" ref="K971:K1034" si="253">SUMIF($B$6:$B$75,$B971,$D$6:$D$75)+K970</f>
        <v>3000000</v>
      </c>
      <c r="L971" s="111">
        <f t="shared" ref="L971:L1034" si="254">SUMIF($B$6:$B$75,$B971,$E$6:$E$75)+L970</f>
        <v>13348</v>
      </c>
      <c r="M971" s="2">
        <f t="shared" ref="M971:M1034" si="255">SUMIF($G$353:$G$376,$B971,$J$353:$J$376)+SUMIF($E$353:$E$376,$B971,$H$353:$H$376)+SUMIF($G$353:$G$376,$B971,$I$353:$I$376)+M970</f>
        <v>2250</v>
      </c>
      <c r="N971" s="112">
        <f t="shared" si="246"/>
        <v>17000000</v>
      </c>
      <c r="O971" s="2">
        <f t="shared" ref="O971:O1034" si="256">SUMIF($E$353:$E$376,$B971,$M$353:$M$376)+O970</f>
        <v>855065</v>
      </c>
      <c r="P971" s="113">
        <f t="shared" ref="P971:P1034" si="257">SUMIF($G$353:$G$376,$B971,$N$353:$N$376)+P970</f>
        <v>0</v>
      </c>
      <c r="Q971" s="121">
        <f t="shared" si="247"/>
        <v>2156033</v>
      </c>
    </row>
    <row r="972" spans="2:17" hidden="1" x14ac:dyDescent="0.4">
      <c r="B972" s="110">
        <v>44893</v>
      </c>
      <c r="C972" s="122">
        <f t="shared" si="248"/>
        <v>3000000</v>
      </c>
      <c r="D972" s="111">
        <f t="shared" si="249"/>
        <v>13348</v>
      </c>
      <c r="E972" s="2">
        <f t="shared" si="250"/>
        <v>2250</v>
      </c>
      <c r="F972" s="112">
        <f t="shared" si="244"/>
        <v>17000000</v>
      </c>
      <c r="G972" s="2">
        <f t="shared" si="251"/>
        <v>855065</v>
      </c>
      <c r="H972" s="113">
        <f t="shared" si="252"/>
        <v>0</v>
      </c>
      <c r="I972" s="121">
        <f t="shared" si="245"/>
        <v>2156033</v>
      </c>
      <c r="K972" s="123">
        <f t="shared" si="253"/>
        <v>3000000</v>
      </c>
      <c r="L972" s="111">
        <f t="shared" si="254"/>
        <v>13348</v>
      </c>
      <c r="M972" s="2">
        <f t="shared" si="255"/>
        <v>2250</v>
      </c>
      <c r="N972" s="112">
        <f t="shared" si="246"/>
        <v>17000000</v>
      </c>
      <c r="O972" s="2">
        <f t="shared" si="256"/>
        <v>855065</v>
      </c>
      <c r="P972" s="113">
        <f t="shared" si="257"/>
        <v>0</v>
      </c>
      <c r="Q972" s="121">
        <f t="shared" si="247"/>
        <v>2156033</v>
      </c>
    </row>
    <row r="973" spans="2:17" hidden="1" x14ac:dyDescent="0.4">
      <c r="B973" s="110">
        <v>44894</v>
      </c>
      <c r="C973" s="122">
        <f t="shared" si="248"/>
        <v>3000000</v>
      </c>
      <c r="D973" s="111">
        <f t="shared" si="249"/>
        <v>13348</v>
      </c>
      <c r="E973" s="2">
        <f t="shared" si="250"/>
        <v>2250</v>
      </c>
      <c r="F973" s="112">
        <f t="shared" si="244"/>
        <v>17000000</v>
      </c>
      <c r="G973" s="2">
        <f t="shared" si="251"/>
        <v>855065</v>
      </c>
      <c r="H973" s="113">
        <f t="shared" si="252"/>
        <v>0</v>
      </c>
      <c r="I973" s="121">
        <f t="shared" si="245"/>
        <v>2156033</v>
      </c>
      <c r="K973" s="123">
        <f t="shared" si="253"/>
        <v>3000000</v>
      </c>
      <c r="L973" s="111">
        <f t="shared" si="254"/>
        <v>13348</v>
      </c>
      <c r="M973" s="2">
        <f t="shared" si="255"/>
        <v>2250</v>
      </c>
      <c r="N973" s="112">
        <f t="shared" si="246"/>
        <v>17000000</v>
      </c>
      <c r="O973" s="2">
        <f t="shared" si="256"/>
        <v>855065</v>
      </c>
      <c r="P973" s="113">
        <f t="shared" si="257"/>
        <v>0</v>
      </c>
      <c r="Q973" s="121">
        <f t="shared" si="247"/>
        <v>2156033</v>
      </c>
    </row>
    <row r="974" spans="2:17" hidden="1" x14ac:dyDescent="0.4">
      <c r="B974" s="110">
        <v>44895</v>
      </c>
      <c r="C974" s="122">
        <f t="shared" si="248"/>
        <v>3000000</v>
      </c>
      <c r="D974" s="111">
        <f t="shared" si="249"/>
        <v>13348</v>
      </c>
      <c r="E974" s="2">
        <f t="shared" si="250"/>
        <v>2250</v>
      </c>
      <c r="F974" s="112">
        <f t="shared" si="244"/>
        <v>17000000</v>
      </c>
      <c r="G974" s="2">
        <f t="shared" si="251"/>
        <v>855065</v>
      </c>
      <c r="H974" s="113">
        <f t="shared" si="252"/>
        <v>0</v>
      </c>
      <c r="I974" s="121">
        <f t="shared" si="245"/>
        <v>2156033</v>
      </c>
      <c r="K974" s="123">
        <f t="shared" si="253"/>
        <v>3000000</v>
      </c>
      <c r="L974" s="111">
        <f t="shared" si="254"/>
        <v>13348</v>
      </c>
      <c r="M974" s="2">
        <f t="shared" si="255"/>
        <v>2250</v>
      </c>
      <c r="N974" s="112">
        <f t="shared" si="246"/>
        <v>17000000</v>
      </c>
      <c r="O974" s="2">
        <f t="shared" si="256"/>
        <v>855065</v>
      </c>
      <c r="P974" s="113">
        <f t="shared" si="257"/>
        <v>0</v>
      </c>
      <c r="Q974" s="121">
        <f t="shared" si="247"/>
        <v>2156033</v>
      </c>
    </row>
    <row r="975" spans="2:17" x14ac:dyDescent="0.4">
      <c r="B975" s="110">
        <v>44896</v>
      </c>
      <c r="C975" s="122">
        <f t="shared" si="248"/>
        <v>3000000</v>
      </c>
      <c r="D975" s="111">
        <f t="shared" si="249"/>
        <v>13348</v>
      </c>
      <c r="E975" s="2">
        <f t="shared" si="250"/>
        <v>2250</v>
      </c>
      <c r="F975" s="112">
        <f t="shared" si="244"/>
        <v>17000000</v>
      </c>
      <c r="G975" s="2">
        <f t="shared" si="251"/>
        <v>855065</v>
      </c>
      <c r="H975" s="113">
        <f t="shared" si="252"/>
        <v>0</v>
      </c>
      <c r="I975" s="121">
        <f t="shared" si="245"/>
        <v>2156033</v>
      </c>
      <c r="K975" s="123">
        <f t="shared" si="253"/>
        <v>3000000</v>
      </c>
      <c r="L975" s="111">
        <f t="shared" si="254"/>
        <v>13348</v>
      </c>
      <c r="M975" s="2">
        <f t="shared" si="255"/>
        <v>2250</v>
      </c>
      <c r="N975" s="112">
        <f t="shared" si="246"/>
        <v>17000000</v>
      </c>
      <c r="O975" s="2">
        <f t="shared" si="256"/>
        <v>855065</v>
      </c>
      <c r="P975" s="113">
        <f t="shared" si="257"/>
        <v>0</v>
      </c>
      <c r="Q975" s="121">
        <f t="shared" si="247"/>
        <v>2156033</v>
      </c>
    </row>
    <row r="976" spans="2:17" hidden="1" x14ac:dyDescent="0.4">
      <c r="B976" s="110">
        <v>44897</v>
      </c>
      <c r="C976" s="122">
        <f t="shared" si="248"/>
        <v>3000000</v>
      </c>
      <c r="D976" s="111">
        <f t="shared" si="249"/>
        <v>13348</v>
      </c>
      <c r="E976" s="2">
        <f t="shared" si="250"/>
        <v>2250</v>
      </c>
      <c r="F976" s="112">
        <f t="shared" si="244"/>
        <v>17000000</v>
      </c>
      <c r="G976" s="2">
        <f t="shared" si="251"/>
        <v>855065</v>
      </c>
      <c r="H976" s="113">
        <f t="shared" si="252"/>
        <v>0</v>
      </c>
      <c r="I976" s="121">
        <f t="shared" si="245"/>
        <v>2156033</v>
      </c>
      <c r="K976" s="123">
        <f t="shared" si="253"/>
        <v>3000000</v>
      </c>
      <c r="L976" s="111">
        <f t="shared" si="254"/>
        <v>13348</v>
      </c>
      <c r="M976" s="2">
        <f t="shared" si="255"/>
        <v>2250</v>
      </c>
      <c r="N976" s="112">
        <f t="shared" si="246"/>
        <v>17000000</v>
      </c>
      <c r="O976" s="2">
        <f t="shared" si="256"/>
        <v>855065</v>
      </c>
      <c r="P976" s="113">
        <f t="shared" si="257"/>
        <v>0</v>
      </c>
      <c r="Q976" s="121">
        <f t="shared" si="247"/>
        <v>2156033</v>
      </c>
    </row>
    <row r="977" spans="2:17" hidden="1" x14ac:dyDescent="0.4">
      <c r="B977" s="110">
        <v>44898</v>
      </c>
      <c r="C977" s="122">
        <f t="shared" si="248"/>
        <v>3000000</v>
      </c>
      <c r="D977" s="111">
        <f t="shared" si="249"/>
        <v>13348</v>
      </c>
      <c r="E977" s="2">
        <f t="shared" si="250"/>
        <v>2250</v>
      </c>
      <c r="F977" s="112">
        <f t="shared" si="244"/>
        <v>17000000</v>
      </c>
      <c r="G977" s="2">
        <f t="shared" si="251"/>
        <v>855065</v>
      </c>
      <c r="H977" s="113">
        <f t="shared" si="252"/>
        <v>0</v>
      </c>
      <c r="I977" s="121">
        <f t="shared" si="245"/>
        <v>2156033</v>
      </c>
      <c r="K977" s="123">
        <f t="shared" si="253"/>
        <v>3000000</v>
      </c>
      <c r="L977" s="111">
        <f t="shared" si="254"/>
        <v>13348</v>
      </c>
      <c r="M977" s="2">
        <f t="shared" si="255"/>
        <v>2250</v>
      </c>
      <c r="N977" s="112">
        <f t="shared" si="246"/>
        <v>17000000</v>
      </c>
      <c r="O977" s="2">
        <f t="shared" si="256"/>
        <v>855065</v>
      </c>
      <c r="P977" s="113">
        <f t="shared" si="257"/>
        <v>0</v>
      </c>
      <c r="Q977" s="121">
        <f t="shared" si="247"/>
        <v>2156033</v>
      </c>
    </row>
    <row r="978" spans="2:17" hidden="1" x14ac:dyDescent="0.4">
      <c r="B978" s="110">
        <v>44899</v>
      </c>
      <c r="C978" s="122">
        <f t="shared" si="248"/>
        <v>3000000</v>
      </c>
      <c r="D978" s="111">
        <f t="shared" si="249"/>
        <v>13348</v>
      </c>
      <c r="E978" s="2">
        <f t="shared" si="250"/>
        <v>2250</v>
      </c>
      <c r="F978" s="112">
        <f t="shared" si="244"/>
        <v>17000000</v>
      </c>
      <c r="G978" s="2">
        <f t="shared" si="251"/>
        <v>855065</v>
      </c>
      <c r="H978" s="113">
        <f t="shared" si="252"/>
        <v>0</v>
      </c>
      <c r="I978" s="121">
        <f t="shared" si="245"/>
        <v>2156033</v>
      </c>
      <c r="K978" s="123">
        <f t="shared" si="253"/>
        <v>3000000</v>
      </c>
      <c r="L978" s="111">
        <f t="shared" si="254"/>
        <v>13348</v>
      </c>
      <c r="M978" s="2">
        <f t="shared" si="255"/>
        <v>2250</v>
      </c>
      <c r="N978" s="112">
        <f t="shared" si="246"/>
        <v>17000000</v>
      </c>
      <c r="O978" s="2">
        <f t="shared" si="256"/>
        <v>855065</v>
      </c>
      <c r="P978" s="113">
        <f t="shared" si="257"/>
        <v>0</v>
      </c>
      <c r="Q978" s="121">
        <f t="shared" si="247"/>
        <v>2156033</v>
      </c>
    </row>
    <row r="979" spans="2:17" hidden="1" x14ac:dyDescent="0.4">
      <c r="B979" s="110">
        <v>44900</v>
      </c>
      <c r="C979" s="122">
        <f t="shared" si="248"/>
        <v>3000000</v>
      </c>
      <c r="D979" s="111">
        <f t="shared" si="249"/>
        <v>15686</v>
      </c>
      <c r="E979" s="2">
        <f t="shared" si="250"/>
        <v>2250</v>
      </c>
      <c r="F979" s="112">
        <f t="shared" si="244"/>
        <v>17000000</v>
      </c>
      <c r="G979" s="2">
        <f t="shared" si="251"/>
        <v>855065</v>
      </c>
      <c r="H979" s="113">
        <f t="shared" si="252"/>
        <v>0</v>
      </c>
      <c r="I979" s="121">
        <f t="shared" si="245"/>
        <v>2158371</v>
      </c>
      <c r="K979" s="123">
        <f t="shared" si="253"/>
        <v>3000000</v>
      </c>
      <c r="L979" s="111">
        <f t="shared" si="254"/>
        <v>15686</v>
      </c>
      <c r="M979" s="2">
        <f t="shared" si="255"/>
        <v>2250</v>
      </c>
      <c r="N979" s="112">
        <f t="shared" si="246"/>
        <v>17000000</v>
      </c>
      <c r="O979" s="2">
        <f t="shared" si="256"/>
        <v>855065</v>
      </c>
      <c r="P979" s="113">
        <f t="shared" si="257"/>
        <v>0</v>
      </c>
      <c r="Q979" s="121">
        <f t="shared" si="247"/>
        <v>2158371</v>
      </c>
    </row>
    <row r="980" spans="2:17" hidden="1" x14ac:dyDescent="0.4">
      <c r="B980" s="110">
        <v>44901</v>
      </c>
      <c r="C980" s="122">
        <f t="shared" si="248"/>
        <v>3000000</v>
      </c>
      <c r="D980" s="111">
        <f t="shared" si="249"/>
        <v>15686</v>
      </c>
      <c r="E980" s="2">
        <f t="shared" si="250"/>
        <v>2250</v>
      </c>
      <c r="F980" s="112">
        <f t="shared" si="244"/>
        <v>17000000</v>
      </c>
      <c r="G980" s="2">
        <f t="shared" si="251"/>
        <v>855065</v>
      </c>
      <c r="H980" s="113">
        <f t="shared" si="252"/>
        <v>0</v>
      </c>
      <c r="I980" s="121">
        <f t="shared" si="245"/>
        <v>2158371</v>
      </c>
      <c r="K980" s="123">
        <f t="shared" si="253"/>
        <v>3000000</v>
      </c>
      <c r="L980" s="111">
        <f t="shared" si="254"/>
        <v>15686</v>
      </c>
      <c r="M980" s="2">
        <f t="shared" si="255"/>
        <v>2250</v>
      </c>
      <c r="N980" s="112">
        <f t="shared" si="246"/>
        <v>17000000</v>
      </c>
      <c r="O980" s="2">
        <f t="shared" si="256"/>
        <v>855065</v>
      </c>
      <c r="P980" s="113">
        <f t="shared" si="257"/>
        <v>0</v>
      </c>
      <c r="Q980" s="121">
        <f t="shared" si="247"/>
        <v>2158371</v>
      </c>
    </row>
    <row r="981" spans="2:17" hidden="1" x14ac:dyDescent="0.4">
      <c r="B981" s="110">
        <v>44902</v>
      </c>
      <c r="C981" s="122">
        <f t="shared" si="248"/>
        <v>3000000</v>
      </c>
      <c r="D981" s="111">
        <f t="shared" si="249"/>
        <v>15686</v>
      </c>
      <c r="E981" s="2">
        <f t="shared" si="250"/>
        <v>2250</v>
      </c>
      <c r="F981" s="112">
        <f t="shared" si="244"/>
        <v>17000000</v>
      </c>
      <c r="G981" s="2">
        <f t="shared" si="251"/>
        <v>855065</v>
      </c>
      <c r="H981" s="113">
        <f t="shared" si="252"/>
        <v>0</v>
      </c>
      <c r="I981" s="121">
        <f t="shared" si="245"/>
        <v>2158371</v>
      </c>
      <c r="K981" s="123">
        <f t="shared" si="253"/>
        <v>3000000</v>
      </c>
      <c r="L981" s="111">
        <f t="shared" si="254"/>
        <v>15686</v>
      </c>
      <c r="M981" s="2">
        <f t="shared" si="255"/>
        <v>2250</v>
      </c>
      <c r="N981" s="112">
        <f t="shared" si="246"/>
        <v>17000000</v>
      </c>
      <c r="O981" s="2">
        <f t="shared" si="256"/>
        <v>855065</v>
      </c>
      <c r="P981" s="113">
        <f t="shared" si="257"/>
        <v>0</v>
      </c>
      <c r="Q981" s="121">
        <f t="shared" si="247"/>
        <v>2158371</v>
      </c>
    </row>
    <row r="982" spans="2:17" hidden="1" x14ac:dyDescent="0.4">
      <c r="B982" s="110">
        <v>44903</v>
      </c>
      <c r="C982" s="122">
        <f t="shared" si="248"/>
        <v>3000000</v>
      </c>
      <c r="D982" s="111">
        <f t="shared" si="249"/>
        <v>15686</v>
      </c>
      <c r="E982" s="2">
        <f t="shared" si="250"/>
        <v>2250</v>
      </c>
      <c r="F982" s="112">
        <f t="shared" si="244"/>
        <v>17000000</v>
      </c>
      <c r="G982" s="2">
        <f t="shared" si="251"/>
        <v>855065</v>
      </c>
      <c r="H982" s="113">
        <f t="shared" si="252"/>
        <v>0</v>
      </c>
      <c r="I982" s="121">
        <f t="shared" si="245"/>
        <v>2158371</v>
      </c>
      <c r="K982" s="123">
        <f t="shared" si="253"/>
        <v>3000000</v>
      </c>
      <c r="L982" s="111">
        <f t="shared" si="254"/>
        <v>15686</v>
      </c>
      <c r="M982" s="2">
        <f t="shared" si="255"/>
        <v>2250</v>
      </c>
      <c r="N982" s="112">
        <f t="shared" si="246"/>
        <v>17000000</v>
      </c>
      <c r="O982" s="2">
        <f t="shared" si="256"/>
        <v>855065</v>
      </c>
      <c r="P982" s="113">
        <f t="shared" si="257"/>
        <v>0</v>
      </c>
      <c r="Q982" s="121">
        <f t="shared" si="247"/>
        <v>2158371</v>
      </c>
    </row>
    <row r="983" spans="2:17" hidden="1" x14ac:dyDescent="0.4">
      <c r="B983" s="110">
        <v>44904</v>
      </c>
      <c r="C983" s="122">
        <f t="shared" si="248"/>
        <v>3000000</v>
      </c>
      <c r="D983" s="111">
        <f t="shared" si="249"/>
        <v>15686</v>
      </c>
      <c r="E983" s="2">
        <f t="shared" si="250"/>
        <v>2250</v>
      </c>
      <c r="F983" s="112">
        <f t="shared" si="244"/>
        <v>17000000</v>
      </c>
      <c r="G983" s="2">
        <f t="shared" si="251"/>
        <v>855065</v>
      </c>
      <c r="H983" s="113">
        <f t="shared" si="252"/>
        <v>0</v>
      </c>
      <c r="I983" s="121">
        <f t="shared" si="245"/>
        <v>2158371</v>
      </c>
      <c r="K983" s="123">
        <f t="shared" si="253"/>
        <v>3000000</v>
      </c>
      <c r="L983" s="111">
        <f t="shared" si="254"/>
        <v>15686</v>
      </c>
      <c r="M983" s="2">
        <f t="shared" si="255"/>
        <v>2250</v>
      </c>
      <c r="N983" s="112">
        <f t="shared" si="246"/>
        <v>17000000</v>
      </c>
      <c r="O983" s="2">
        <f t="shared" si="256"/>
        <v>855065</v>
      </c>
      <c r="P983" s="113">
        <f t="shared" si="257"/>
        <v>0</v>
      </c>
      <c r="Q983" s="121">
        <f t="shared" si="247"/>
        <v>2158371</v>
      </c>
    </row>
    <row r="984" spans="2:17" hidden="1" x14ac:dyDescent="0.4">
      <c r="B984" s="110">
        <v>44905</v>
      </c>
      <c r="C984" s="122">
        <f t="shared" si="248"/>
        <v>3000000</v>
      </c>
      <c r="D984" s="111">
        <f t="shared" si="249"/>
        <v>15686</v>
      </c>
      <c r="E984" s="2">
        <f t="shared" si="250"/>
        <v>2250</v>
      </c>
      <c r="F984" s="112">
        <f t="shared" si="244"/>
        <v>17000000</v>
      </c>
      <c r="G984" s="2">
        <f t="shared" si="251"/>
        <v>855065</v>
      </c>
      <c r="H984" s="113">
        <f t="shared" si="252"/>
        <v>0</v>
      </c>
      <c r="I984" s="121">
        <f t="shared" si="245"/>
        <v>2158371</v>
      </c>
      <c r="K984" s="123">
        <f t="shared" si="253"/>
        <v>3000000</v>
      </c>
      <c r="L984" s="111">
        <f t="shared" si="254"/>
        <v>15686</v>
      </c>
      <c r="M984" s="2">
        <f t="shared" si="255"/>
        <v>2250</v>
      </c>
      <c r="N984" s="112">
        <f t="shared" si="246"/>
        <v>17000000</v>
      </c>
      <c r="O984" s="2">
        <f t="shared" si="256"/>
        <v>855065</v>
      </c>
      <c r="P984" s="113">
        <f t="shared" si="257"/>
        <v>0</v>
      </c>
      <c r="Q984" s="121">
        <f t="shared" si="247"/>
        <v>2158371</v>
      </c>
    </row>
    <row r="985" spans="2:17" hidden="1" x14ac:dyDescent="0.4">
      <c r="B985" s="110">
        <v>44906</v>
      </c>
      <c r="C985" s="122">
        <f t="shared" si="248"/>
        <v>3000000</v>
      </c>
      <c r="D985" s="111">
        <f t="shared" si="249"/>
        <v>15686</v>
      </c>
      <c r="E985" s="2">
        <f t="shared" si="250"/>
        <v>2250</v>
      </c>
      <c r="F985" s="112">
        <f t="shared" si="244"/>
        <v>17000000</v>
      </c>
      <c r="G985" s="2">
        <f t="shared" si="251"/>
        <v>855065</v>
      </c>
      <c r="H985" s="113">
        <f t="shared" si="252"/>
        <v>0</v>
      </c>
      <c r="I985" s="121">
        <f t="shared" si="245"/>
        <v>2158371</v>
      </c>
      <c r="K985" s="123">
        <f t="shared" si="253"/>
        <v>3000000</v>
      </c>
      <c r="L985" s="111">
        <f t="shared" si="254"/>
        <v>15686</v>
      </c>
      <c r="M985" s="2">
        <f t="shared" si="255"/>
        <v>2250</v>
      </c>
      <c r="N985" s="112">
        <f t="shared" si="246"/>
        <v>17000000</v>
      </c>
      <c r="O985" s="2">
        <f t="shared" si="256"/>
        <v>855065</v>
      </c>
      <c r="P985" s="113">
        <f t="shared" si="257"/>
        <v>0</v>
      </c>
      <c r="Q985" s="121">
        <f t="shared" si="247"/>
        <v>2158371</v>
      </c>
    </row>
    <row r="986" spans="2:17" hidden="1" x14ac:dyDescent="0.4">
      <c r="B986" s="110">
        <v>44907</v>
      </c>
      <c r="C986" s="122">
        <f t="shared" si="248"/>
        <v>3000000</v>
      </c>
      <c r="D986" s="111">
        <f t="shared" si="249"/>
        <v>15686</v>
      </c>
      <c r="E986" s="2">
        <f t="shared" si="250"/>
        <v>2250</v>
      </c>
      <c r="F986" s="112">
        <f t="shared" si="244"/>
        <v>17000000</v>
      </c>
      <c r="G986" s="2">
        <f t="shared" si="251"/>
        <v>855065</v>
      </c>
      <c r="H986" s="113">
        <f t="shared" si="252"/>
        <v>0</v>
      </c>
      <c r="I986" s="121">
        <f t="shared" si="245"/>
        <v>2158371</v>
      </c>
      <c r="K986" s="123">
        <f t="shared" si="253"/>
        <v>3000000</v>
      </c>
      <c r="L986" s="111">
        <f t="shared" si="254"/>
        <v>15686</v>
      </c>
      <c r="M986" s="2">
        <f t="shared" si="255"/>
        <v>2250</v>
      </c>
      <c r="N986" s="112">
        <f t="shared" si="246"/>
        <v>17000000</v>
      </c>
      <c r="O986" s="2">
        <f t="shared" si="256"/>
        <v>855065</v>
      </c>
      <c r="P986" s="113">
        <f t="shared" si="257"/>
        <v>0</v>
      </c>
      <c r="Q986" s="121">
        <f t="shared" si="247"/>
        <v>2158371</v>
      </c>
    </row>
    <row r="987" spans="2:17" hidden="1" x14ac:dyDescent="0.4">
      <c r="B987" s="110">
        <v>44908</v>
      </c>
      <c r="C987" s="122">
        <f t="shared" si="248"/>
        <v>3000000</v>
      </c>
      <c r="D987" s="111">
        <f t="shared" si="249"/>
        <v>15686</v>
      </c>
      <c r="E987" s="2">
        <f t="shared" si="250"/>
        <v>2250</v>
      </c>
      <c r="F987" s="112">
        <f t="shared" si="244"/>
        <v>17000000</v>
      </c>
      <c r="G987" s="2">
        <f t="shared" si="251"/>
        <v>855065</v>
      </c>
      <c r="H987" s="113">
        <f t="shared" si="252"/>
        <v>0</v>
      </c>
      <c r="I987" s="121">
        <f t="shared" si="245"/>
        <v>2158371</v>
      </c>
      <c r="K987" s="123">
        <f t="shared" si="253"/>
        <v>3000000</v>
      </c>
      <c r="L987" s="111">
        <f t="shared" si="254"/>
        <v>15686</v>
      </c>
      <c r="M987" s="2">
        <f t="shared" si="255"/>
        <v>2250</v>
      </c>
      <c r="N987" s="112">
        <f t="shared" si="246"/>
        <v>17000000</v>
      </c>
      <c r="O987" s="2">
        <f t="shared" si="256"/>
        <v>855065</v>
      </c>
      <c r="P987" s="113">
        <f t="shared" si="257"/>
        <v>0</v>
      </c>
      <c r="Q987" s="121">
        <f t="shared" si="247"/>
        <v>2158371</v>
      </c>
    </row>
    <row r="988" spans="2:17" hidden="1" x14ac:dyDescent="0.4">
      <c r="B988" s="110">
        <v>44909</v>
      </c>
      <c r="C988" s="122">
        <f t="shared" si="248"/>
        <v>3000000</v>
      </c>
      <c r="D988" s="111">
        <f t="shared" si="249"/>
        <v>15686</v>
      </c>
      <c r="E988" s="2">
        <f t="shared" si="250"/>
        <v>2250</v>
      </c>
      <c r="F988" s="112">
        <f t="shared" si="244"/>
        <v>17000000</v>
      </c>
      <c r="G988" s="2">
        <f t="shared" si="251"/>
        <v>855065</v>
      </c>
      <c r="H988" s="113">
        <f t="shared" si="252"/>
        <v>0</v>
      </c>
      <c r="I988" s="121">
        <f t="shared" si="245"/>
        <v>2158371</v>
      </c>
      <c r="K988" s="123">
        <f t="shared" si="253"/>
        <v>3000000</v>
      </c>
      <c r="L988" s="111">
        <f t="shared" si="254"/>
        <v>15686</v>
      </c>
      <c r="M988" s="2">
        <f t="shared" si="255"/>
        <v>2250</v>
      </c>
      <c r="N988" s="112">
        <f t="shared" si="246"/>
        <v>17000000</v>
      </c>
      <c r="O988" s="2">
        <f t="shared" si="256"/>
        <v>855065</v>
      </c>
      <c r="P988" s="113">
        <f t="shared" si="257"/>
        <v>0</v>
      </c>
      <c r="Q988" s="121">
        <f t="shared" si="247"/>
        <v>2158371</v>
      </c>
    </row>
    <row r="989" spans="2:17" hidden="1" x14ac:dyDescent="0.4">
      <c r="B989" s="110">
        <v>44910</v>
      </c>
      <c r="C989" s="122">
        <f t="shared" si="248"/>
        <v>3000000</v>
      </c>
      <c r="D989" s="111">
        <f t="shared" si="249"/>
        <v>15686</v>
      </c>
      <c r="E989" s="2">
        <f t="shared" si="250"/>
        <v>2250</v>
      </c>
      <c r="F989" s="112">
        <f t="shared" si="244"/>
        <v>17000000</v>
      </c>
      <c r="G989" s="2">
        <f t="shared" si="251"/>
        <v>855065</v>
      </c>
      <c r="H989" s="113">
        <f t="shared" si="252"/>
        <v>0</v>
      </c>
      <c r="I989" s="121">
        <f t="shared" si="245"/>
        <v>2158371</v>
      </c>
      <c r="K989" s="123">
        <f t="shared" si="253"/>
        <v>3000000</v>
      </c>
      <c r="L989" s="111">
        <f t="shared" si="254"/>
        <v>15686</v>
      </c>
      <c r="M989" s="2">
        <f t="shared" si="255"/>
        <v>2250</v>
      </c>
      <c r="N989" s="112">
        <f t="shared" si="246"/>
        <v>17000000</v>
      </c>
      <c r="O989" s="2">
        <f t="shared" si="256"/>
        <v>855065</v>
      </c>
      <c r="P989" s="113">
        <f t="shared" si="257"/>
        <v>0</v>
      </c>
      <c r="Q989" s="121">
        <f t="shared" si="247"/>
        <v>2158371</v>
      </c>
    </row>
    <row r="990" spans="2:17" hidden="1" x14ac:dyDescent="0.4">
      <c r="B990" s="110">
        <v>44911</v>
      </c>
      <c r="C990" s="122">
        <f t="shared" si="248"/>
        <v>3000000</v>
      </c>
      <c r="D990" s="111">
        <f t="shared" si="249"/>
        <v>15686</v>
      </c>
      <c r="E990" s="2">
        <f t="shared" si="250"/>
        <v>2250</v>
      </c>
      <c r="F990" s="112">
        <f t="shared" si="244"/>
        <v>17000000</v>
      </c>
      <c r="G990" s="2">
        <f t="shared" si="251"/>
        <v>855065</v>
      </c>
      <c r="H990" s="113">
        <f t="shared" si="252"/>
        <v>0</v>
      </c>
      <c r="I990" s="121">
        <f t="shared" si="245"/>
        <v>2158371</v>
      </c>
      <c r="K990" s="123">
        <f t="shared" si="253"/>
        <v>3000000</v>
      </c>
      <c r="L990" s="111">
        <f t="shared" si="254"/>
        <v>15686</v>
      </c>
      <c r="M990" s="2">
        <f t="shared" si="255"/>
        <v>2250</v>
      </c>
      <c r="N990" s="112">
        <f t="shared" si="246"/>
        <v>17000000</v>
      </c>
      <c r="O990" s="2">
        <f t="shared" si="256"/>
        <v>855065</v>
      </c>
      <c r="P990" s="113">
        <f t="shared" si="257"/>
        <v>0</v>
      </c>
      <c r="Q990" s="121">
        <f t="shared" si="247"/>
        <v>2158371</v>
      </c>
    </row>
    <row r="991" spans="2:17" hidden="1" x14ac:dyDescent="0.4">
      <c r="B991" s="110">
        <v>44912</v>
      </c>
      <c r="C991" s="122">
        <f t="shared" si="248"/>
        <v>3000000</v>
      </c>
      <c r="D991" s="111">
        <f t="shared" si="249"/>
        <v>15686</v>
      </c>
      <c r="E991" s="2">
        <f t="shared" si="250"/>
        <v>2250</v>
      </c>
      <c r="F991" s="112">
        <f t="shared" si="244"/>
        <v>17000000</v>
      </c>
      <c r="G991" s="2">
        <f t="shared" si="251"/>
        <v>855065</v>
      </c>
      <c r="H991" s="113">
        <f t="shared" si="252"/>
        <v>0</v>
      </c>
      <c r="I991" s="121">
        <f t="shared" si="245"/>
        <v>2158371</v>
      </c>
      <c r="K991" s="123">
        <f t="shared" si="253"/>
        <v>3000000</v>
      </c>
      <c r="L991" s="111">
        <f t="shared" si="254"/>
        <v>15686</v>
      </c>
      <c r="M991" s="2">
        <f t="shared" si="255"/>
        <v>2250</v>
      </c>
      <c r="N991" s="112">
        <f t="shared" si="246"/>
        <v>17000000</v>
      </c>
      <c r="O991" s="2">
        <f t="shared" si="256"/>
        <v>855065</v>
      </c>
      <c r="P991" s="113">
        <f t="shared" si="257"/>
        <v>0</v>
      </c>
      <c r="Q991" s="121">
        <f t="shared" si="247"/>
        <v>2158371</v>
      </c>
    </row>
    <row r="992" spans="2:17" hidden="1" x14ac:dyDescent="0.4">
      <c r="B992" s="110">
        <v>44913</v>
      </c>
      <c r="C992" s="122">
        <f t="shared" si="248"/>
        <v>3000000</v>
      </c>
      <c r="D992" s="111">
        <f t="shared" si="249"/>
        <v>15686</v>
      </c>
      <c r="E992" s="2">
        <f t="shared" si="250"/>
        <v>2250</v>
      </c>
      <c r="F992" s="112">
        <f t="shared" si="244"/>
        <v>17000000</v>
      </c>
      <c r="G992" s="2">
        <f t="shared" si="251"/>
        <v>855065</v>
      </c>
      <c r="H992" s="113">
        <f t="shared" si="252"/>
        <v>0</v>
      </c>
      <c r="I992" s="121">
        <f t="shared" si="245"/>
        <v>2158371</v>
      </c>
      <c r="K992" s="123">
        <f t="shared" si="253"/>
        <v>3000000</v>
      </c>
      <c r="L992" s="111">
        <f t="shared" si="254"/>
        <v>15686</v>
      </c>
      <c r="M992" s="2">
        <f t="shared" si="255"/>
        <v>2250</v>
      </c>
      <c r="N992" s="112">
        <f t="shared" si="246"/>
        <v>17000000</v>
      </c>
      <c r="O992" s="2">
        <f t="shared" si="256"/>
        <v>855065</v>
      </c>
      <c r="P992" s="113">
        <f t="shared" si="257"/>
        <v>0</v>
      </c>
      <c r="Q992" s="121">
        <f t="shared" si="247"/>
        <v>2158371</v>
      </c>
    </row>
    <row r="993" spans="2:17" hidden="1" x14ac:dyDescent="0.4">
      <c r="B993" s="110">
        <v>44914</v>
      </c>
      <c r="C993" s="122">
        <f t="shared" si="248"/>
        <v>3000000</v>
      </c>
      <c r="D993" s="111">
        <f t="shared" si="249"/>
        <v>15686</v>
      </c>
      <c r="E993" s="2">
        <f t="shared" si="250"/>
        <v>2250</v>
      </c>
      <c r="F993" s="112">
        <f t="shared" si="244"/>
        <v>17000000</v>
      </c>
      <c r="G993" s="2">
        <f t="shared" si="251"/>
        <v>855065</v>
      </c>
      <c r="H993" s="113">
        <f t="shared" si="252"/>
        <v>0</v>
      </c>
      <c r="I993" s="121">
        <f t="shared" si="245"/>
        <v>2158371</v>
      </c>
      <c r="K993" s="123">
        <f t="shared" si="253"/>
        <v>3000000</v>
      </c>
      <c r="L993" s="111">
        <f t="shared" si="254"/>
        <v>15686</v>
      </c>
      <c r="M993" s="2">
        <f t="shared" si="255"/>
        <v>2250</v>
      </c>
      <c r="N993" s="112">
        <f t="shared" si="246"/>
        <v>17000000</v>
      </c>
      <c r="O993" s="2">
        <f t="shared" si="256"/>
        <v>855065</v>
      </c>
      <c r="P993" s="113">
        <f t="shared" si="257"/>
        <v>0</v>
      </c>
      <c r="Q993" s="121">
        <f t="shared" si="247"/>
        <v>2158371</v>
      </c>
    </row>
    <row r="994" spans="2:17" hidden="1" x14ac:dyDescent="0.4">
      <c r="B994" s="110">
        <v>44915</v>
      </c>
      <c r="C994" s="122">
        <f t="shared" si="248"/>
        <v>3000000</v>
      </c>
      <c r="D994" s="111">
        <f t="shared" si="249"/>
        <v>15686</v>
      </c>
      <c r="E994" s="2">
        <f t="shared" si="250"/>
        <v>2250</v>
      </c>
      <c r="F994" s="112">
        <f t="shared" si="244"/>
        <v>17000000</v>
      </c>
      <c r="G994" s="2">
        <f t="shared" si="251"/>
        <v>855065</v>
      </c>
      <c r="H994" s="113">
        <f t="shared" si="252"/>
        <v>0</v>
      </c>
      <c r="I994" s="121">
        <f t="shared" si="245"/>
        <v>2158371</v>
      </c>
      <c r="K994" s="123">
        <f t="shared" si="253"/>
        <v>3000000</v>
      </c>
      <c r="L994" s="111">
        <f t="shared" si="254"/>
        <v>15686</v>
      </c>
      <c r="M994" s="2">
        <f t="shared" si="255"/>
        <v>2250</v>
      </c>
      <c r="N994" s="112">
        <f t="shared" si="246"/>
        <v>17000000</v>
      </c>
      <c r="O994" s="2">
        <f t="shared" si="256"/>
        <v>855065</v>
      </c>
      <c r="P994" s="113">
        <f t="shared" si="257"/>
        <v>0</v>
      </c>
      <c r="Q994" s="121">
        <f t="shared" si="247"/>
        <v>2158371</v>
      </c>
    </row>
    <row r="995" spans="2:17" hidden="1" x14ac:dyDescent="0.4">
      <c r="B995" s="110">
        <v>44916</v>
      </c>
      <c r="C995" s="122">
        <f t="shared" si="248"/>
        <v>3000000</v>
      </c>
      <c r="D995" s="111">
        <f t="shared" si="249"/>
        <v>15686</v>
      </c>
      <c r="E995" s="2">
        <f t="shared" si="250"/>
        <v>2250</v>
      </c>
      <c r="F995" s="112">
        <f t="shared" si="244"/>
        <v>17000000</v>
      </c>
      <c r="G995" s="2">
        <f t="shared" si="251"/>
        <v>855065</v>
      </c>
      <c r="H995" s="113">
        <f t="shared" si="252"/>
        <v>0</v>
      </c>
      <c r="I995" s="121">
        <f t="shared" si="245"/>
        <v>2158371</v>
      </c>
      <c r="K995" s="123">
        <f t="shared" si="253"/>
        <v>3000000</v>
      </c>
      <c r="L995" s="111">
        <f t="shared" si="254"/>
        <v>15686</v>
      </c>
      <c r="M995" s="2">
        <f t="shared" si="255"/>
        <v>2250</v>
      </c>
      <c r="N995" s="112">
        <f t="shared" si="246"/>
        <v>17000000</v>
      </c>
      <c r="O995" s="2">
        <f t="shared" si="256"/>
        <v>855065</v>
      </c>
      <c r="P995" s="113">
        <f t="shared" si="257"/>
        <v>0</v>
      </c>
      <c r="Q995" s="121">
        <f t="shared" si="247"/>
        <v>2158371</v>
      </c>
    </row>
    <row r="996" spans="2:17" hidden="1" x14ac:dyDescent="0.4">
      <c r="B996" s="110">
        <v>44917</v>
      </c>
      <c r="C996" s="122">
        <f t="shared" si="248"/>
        <v>3000000</v>
      </c>
      <c r="D996" s="111">
        <f t="shared" si="249"/>
        <v>15686</v>
      </c>
      <c r="E996" s="2">
        <f t="shared" si="250"/>
        <v>2250</v>
      </c>
      <c r="F996" s="112">
        <f t="shared" si="244"/>
        <v>17000000</v>
      </c>
      <c r="G996" s="2">
        <f t="shared" si="251"/>
        <v>855065</v>
      </c>
      <c r="H996" s="113">
        <f t="shared" si="252"/>
        <v>0</v>
      </c>
      <c r="I996" s="121">
        <f t="shared" si="245"/>
        <v>2158371</v>
      </c>
      <c r="K996" s="123">
        <f t="shared" si="253"/>
        <v>3000000</v>
      </c>
      <c r="L996" s="111">
        <f t="shared" si="254"/>
        <v>15686</v>
      </c>
      <c r="M996" s="2">
        <f t="shared" si="255"/>
        <v>2250</v>
      </c>
      <c r="N996" s="112">
        <f t="shared" si="246"/>
        <v>17000000</v>
      </c>
      <c r="O996" s="2">
        <f t="shared" si="256"/>
        <v>855065</v>
      </c>
      <c r="P996" s="113">
        <f t="shared" si="257"/>
        <v>0</v>
      </c>
      <c r="Q996" s="121">
        <f t="shared" si="247"/>
        <v>2158371</v>
      </c>
    </row>
    <row r="997" spans="2:17" hidden="1" x14ac:dyDescent="0.4">
      <c r="B997" s="110">
        <v>44918</v>
      </c>
      <c r="C997" s="122">
        <f t="shared" si="248"/>
        <v>3000000</v>
      </c>
      <c r="D997" s="111">
        <f t="shared" si="249"/>
        <v>15686</v>
      </c>
      <c r="E997" s="2">
        <f t="shared" si="250"/>
        <v>2250</v>
      </c>
      <c r="F997" s="112">
        <f t="shared" si="244"/>
        <v>17000000</v>
      </c>
      <c r="G997" s="2">
        <f t="shared" si="251"/>
        <v>855065</v>
      </c>
      <c r="H997" s="113">
        <f t="shared" si="252"/>
        <v>0</v>
      </c>
      <c r="I997" s="121">
        <f t="shared" si="245"/>
        <v>2158371</v>
      </c>
      <c r="K997" s="123">
        <f t="shared" si="253"/>
        <v>3000000</v>
      </c>
      <c r="L997" s="111">
        <f t="shared" si="254"/>
        <v>15686</v>
      </c>
      <c r="M997" s="2">
        <f t="shared" si="255"/>
        <v>2250</v>
      </c>
      <c r="N997" s="112">
        <f t="shared" si="246"/>
        <v>17000000</v>
      </c>
      <c r="O997" s="2">
        <f t="shared" si="256"/>
        <v>855065</v>
      </c>
      <c r="P997" s="113">
        <f t="shared" si="257"/>
        <v>0</v>
      </c>
      <c r="Q997" s="121">
        <f t="shared" si="247"/>
        <v>2158371</v>
      </c>
    </row>
    <row r="998" spans="2:17" hidden="1" x14ac:dyDescent="0.4">
      <c r="B998" s="110">
        <v>44919</v>
      </c>
      <c r="C998" s="122">
        <f t="shared" si="248"/>
        <v>3000000</v>
      </c>
      <c r="D998" s="111">
        <f t="shared" si="249"/>
        <v>15686</v>
      </c>
      <c r="E998" s="2">
        <f t="shared" si="250"/>
        <v>2250</v>
      </c>
      <c r="F998" s="112">
        <f t="shared" si="244"/>
        <v>17000000</v>
      </c>
      <c r="G998" s="2">
        <f t="shared" si="251"/>
        <v>855065</v>
      </c>
      <c r="H998" s="113">
        <f t="shared" si="252"/>
        <v>0</v>
      </c>
      <c r="I998" s="121">
        <f t="shared" si="245"/>
        <v>2158371</v>
      </c>
      <c r="K998" s="123">
        <f t="shared" si="253"/>
        <v>3000000</v>
      </c>
      <c r="L998" s="111">
        <f t="shared" si="254"/>
        <v>15686</v>
      </c>
      <c r="M998" s="2">
        <f t="shared" si="255"/>
        <v>2250</v>
      </c>
      <c r="N998" s="112">
        <f t="shared" si="246"/>
        <v>17000000</v>
      </c>
      <c r="O998" s="2">
        <f t="shared" si="256"/>
        <v>855065</v>
      </c>
      <c r="P998" s="113">
        <f t="shared" si="257"/>
        <v>0</v>
      </c>
      <c r="Q998" s="121">
        <f t="shared" si="247"/>
        <v>2158371</v>
      </c>
    </row>
    <row r="999" spans="2:17" hidden="1" x14ac:dyDescent="0.4">
      <c r="B999" s="110">
        <v>44920</v>
      </c>
      <c r="C999" s="122">
        <f t="shared" si="248"/>
        <v>3000000</v>
      </c>
      <c r="D999" s="111">
        <f t="shared" si="249"/>
        <v>15686</v>
      </c>
      <c r="E999" s="2">
        <f t="shared" si="250"/>
        <v>2250</v>
      </c>
      <c r="F999" s="112">
        <f t="shared" si="244"/>
        <v>17000000</v>
      </c>
      <c r="G999" s="2">
        <f t="shared" si="251"/>
        <v>855065</v>
      </c>
      <c r="H999" s="113">
        <f t="shared" si="252"/>
        <v>0</v>
      </c>
      <c r="I999" s="121">
        <f t="shared" si="245"/>
        <v>2158371</v>
      </c>
      <c r="K999" s="123">
        <f t="shared" si="253"/>
        <v>3000000</v>
      </c>
      <c r="L999" s="111">
        <f t="shared" si="254"/>
        <v>15686</v>
      </c>
      <c r="M999" s="2">
        <f t="shared" si="255"/>
        <v>2250</v>
      </c>
      <c r="N999" s="112">
        <f t="shared" si="246"/>
        <v>17000000</v>
      </c>
      <c r="O999" s="2">
        <f t="shared" si="256"/>
        <v>855065</v>
      </c>
      <c r="P999" s="113">
        <f t="shared" si="257"/>
        <v>0</v>
      </c>
      <c r="Q999" s="121">
        <f t="shared" si="247"/>
        <v>2158371</v>
      </c>
    </row>
    <row r="1000" spans="2:17" hidden="1" x14ac:dyDescent="0.4">
      <c r="B1000" s="110">
        <v>44921</v>
      </c>
      <c r="C1000" s="122">
        <f t="shared" si="248"/>
        <v>3000000</v>
      </c>
      <c r="D1000" s="111">
        <f t="shared" si="249"/>
        <v>15686</v>
      </c>
      <c r="E1000" s="2">
        <f t="shared" si="250"/>
        <v>2250</v>
      </c>
      <c r="F1000" s="112">
        <f t="shared" si="244"/>
        <v>17000000</v>
      </c>
      <c r="G1000" s="2">
        <f t="shared" si="251"/>
        <v>855065</v>
      </c>
      <c r="H1000" s="113">
        <f t="shared" si="252"/>
        <v>0</v>
      </c>
      <c r="I1000" s="121">
        <f t="shared" si="245"/>
        <v>2158371</v>
      </c>
      <c r="K1000" s="123">
        <f t="shared" si="253"/>
        <v>3000000</v>
      </c>
      <c r="L1000" s="111">
        <f t="shared" si="254"/>
        <v>15686</v>
      </c>
      <c r="M1000" s="2">
        <f t="shared" si="255"/>
        <v>2250</v>
      </c>
      <c r="N1000" s="112">
        <f t="shared" si="246"/>
        <v>17000000</v>
      </c>
      <c r="O1000" s="2">
        <f t="shared" si="256"/>
        <v>855065</v>
      </c>
      <c r="P1000" s="113">
        <f t="shared" si="257"/>
        <v>0</v>
      </c>
      <c r="Q1000" s="121">
        <f t="shared" si="247"/>
        <v>2158371</v>
      </c>
    </row>
    <row r="1001" spans="2:17" hidden="1" x14ac:dyDescent="0.4">
      <c r="B1001" s="110">
        <v>44922</v>
      </c>
      <c r="C1001" s="122">
        <f t="shared" si="248"/>
        <v>3000000</v>
      </c>
      <c r="D1001" s="111">
        <f t="shared" si="249"/>
        <v>15686</v>
      </c>
      <c r="E1001" s="2">
        <f t="shared" si="250"/>
        <v>2250</v>
      </c>
      <c r="F1001" s="112">
        <f t="shared" si="244"/>
        <v>17000000</v>
      </c>
      <c r="G1001" s="2">
        <f t="shared" si="251"/>
        <v>855065</v>
      </c>
      <c r="H1001" s="113">
        <f t="shared" si="252"/>
        <v>0</v>
      </c>
      <c r="I1001" s="121">
        <f t="shared" si="245"/>
        <v>2158371</v>
      </c>
      <c r="K1001" s="123">
        <f t="shared" si="253"/>
        <v>3000000</v>
      </c>
      <c r="L1001" s="111">
        <f t="shared" si="254"/>
        <v>15686</v>
      </c>
      <c r="M1001" s="2">
        <f t="shared" si="255"/>
        <v>2250</v>
      </c>
      <c r="N1001" s="112">
        <f t="shared" si="246"/>
        <v>17000000</v>
      </c>
      <c r="O1001" s="2">
        <f t="shared" si="256"/>
        <v>855065</v>
      </c>
      <c r="P1001" s="113">
        <f t="shared" si="257"/>
        <v>0</v>
      </c>
      <c r="Q1001" s="121">
        <f t="shared" si="247"/>
        <v>2158371</v>
      </c>
    </row>
    <row r="1002" spans="2:17" hidden="1" x14ac:dyDescent="0.4">
      <c r="B1002" s="110">
        <v>44923</v>
      </c>
      <c r="C1002" s="122">
        <f t="shared" si="248"/>
        <v>3000000</v>
      </c>
      <c r="D1002" s="111">
        <f t="shared" si="249"/>
        <v>15686</v>
      </c>
      <c r="E1002" s="2">
        <f t="shared" si="250"/>
        <v>2250</v>
      </c>
      <c r="F1002" s="112">
        <f t="shared" si="244"/>
        <v>17000000</v>
      </c>
      <c r="G1002" s="2">
        <f t="shared" si="251"/>
        <v>855065</v>
      </c>
      <c r="H1002" s="113">
        <f t="shared" si="252"/>
        <v>0</v>
      </c>
      <c r="I1002" s="121">
        <f t="shared" si="245"/>
        <v>2158371</v>
      </c>
      <c r="K1002" s="123">
        <f t="shared" si="253"/>
        <v>3000000</v>
      </c>
      <c r="L1002" s="111">
        <f t="shared" si="254"/>
        <v>15686</v>
      </c>
      <c r="M1002" s="2">
        <f t="shared" si="255"/>
        <v>2250</v>
      </c>
      <c r="N1002" s="112">
        <f t="shared" si="246"/>
        <v>17000000</v>
      </c>
      <c r="O1002" s="2">
        <f t="shared" si="256"/>
        <v>855065</v>
      </c>
      <c r="P1002" s="113">
        <f t="shared" si="257"/>
        <v>0</v>
      </c>
      <c r="Q1002" s="121">
        <f t="shared" si="247"/>
        <v>2158371</v>
      </c>
    </row>
    <row r="1003" spans="2:17" hidden="1" x14ac:dyDescent="0.4">
      <c r="B1003" s="110">
        <v>44924</v>
      </c>
      <c r="C1003" s="122">
        <f t="shared" si="248"/>
        <v>3000000</v>
      </c>
      <c r="D1003" s="111">
        <f t="shared" si="249"/>
        <v>15686</v>
      </c>
      <c r="E1003" s="2">
        <f t="shared" si="250"/>
        <v>2250</v>
      </c>
      <c r="F1003" s="112">
        <f t="shared" si="244"/>
        <v>17000000</v>
      </c>
      <c r="G1003" s="2">
        <f t="shared" si="251"/>
        <v>855065</v>
      </c>
      <c r="H1003" s="113">
        <f t="shared" si="252"/>
        <v>0</v>
      </c>
      <c r="I1003" s="121">
        <f t="shared" si="245"/>
        <v>2158371</v>
      </c>
      <c r="K1003" s="123">
        <f t="shared" si="253"/>
        <v>3000000</v>
      </c>
      <c r="L1003" s="111">
        <f t="shared" si="254"/>
        <v>15686</v>
      </c>
      <c r="M1003" s="2">
        <f t="shared" si="255"/>
        <v>2250</v>
      </c>
      <c r="N1003" s="112">
        <f t="shared" si="246"/>
        <v>17000000</v>
      </c>
      <c r="O1003" s="2">
        <f t="shared" si="256"/>
        <v>855065</v>
      </c>
      <c r="P1003" s="113">
        <f t="shared" si="257"/>
        <v>0</v>
      </c>
      <c r="Q1003" s="121">
        <f t="shared" si="247"/>
        <v>2158371</v>
      </c>
    </row>
    <row r="1004" spans="2:17" hidden="1" x14ac:dyDescent="0.4">
      <c r="B1004" s="110">
        <v>44925</v>
      </c>
      <c r="C1004" s="122">
        <f t="shared" si="248"/>
        <v>3000000</v>
      </c>
      <c r="D1004" s="111">
        <f t="shared" si="249"/>
        <v>15686</v>
      </c>
      <c r="E1004" s="2">
        <f t="shared" si="250"/>
        <v>2250</v>
      </c>
      <c r="F1004" s="112">
        <f t="shared" si="244"/>
        <v>17000000</v>
      </c>
      <c r="G1004" s="2">
        <f t="shared" si="251"/>
        <v>855065</v>
      </c>
      <c r="H1004" s="113">
        <f t="shared" si="252"/>
        <v>0</v>
      </c>
      <c r="I1004" s="121">
        <f t="shared" si="245"/>
        <v>2158371</v>
      </c>
      <c r="K1004" s="123">
        <f t="shared" si="253"/>
        <v>3000000</v>
      </c>
      <c r="L1004" s="111">
        <f t="shared" si="254"/>
        <v>15686</v>
      </c>
      <c r="M1004" s="2">
        <f t="shared" si="255"/>
        <v>2250</v>
      </c>
      <c r="N1004" s="112">
        <f t="shared" si="246"/>
        <v>17000000</v>
      </c>
      <c r="O1004" s="2">
        <f t="shared" si="256"/>
        <v>855065</v>
      </c>
      <c r="P1004" s="113">
        <f t="shared" si="257"/>
        <v>0</v>
      </c>
      <c r="Q1004" s="121">
        <f t="shared" si="247"/>
        <v>2158371</v>
      </c>
    </row>
    <row r="1005" spans="2:17" hidden="1" x14ac:dyDescent="0.4">
      <c r="B1005" s="110">
        <v>44926</v>
      </c>
      <c r="C1005" s="122">
        <f t="shared" si="248"/>
        <v>3000000</v>
      </c>
      <c r="D1005" s="111">
        <f t="shared" si="249"/>
        <v>15686</v>
      </c>
      <c r="E1005" s="2">
        <f t="shared" si="250"/>
        <v>2250</v>
      </c>
      <c r="F1005" s="112">
        <f t="shared" si="244"/>
        <v>17000000</v>
      </c>
      <c r="G1005" s="2">
        <f t="shared" si="251"/>
        <v>855065</v>
      </c>
      <c r="H1005" s="113">
        <f t="shared" si="252"/>
        <v>0</v>
      </c>
      <c r="I1005" s="121">
        <f t="shared" si="245"/>
        <v>2158371</v>
      </c>
      <c r="K1005" s="123">
        <f t="shared" si="253"/>
        <v>3000000</v>
      </c>
      <c r="L1005" s="111">
        <f t="shared" si="254"/>
        <v>15686</v>
      </c>
      <c r="M1005" s="2">
        <f t="shared" si="255"/>
        <v>2250</v>
      </c>
      <c r="N1005" s="112">
        <f t="shared" si="246"/>
        <v>17000000</v>
      </c>
      <c r="O1005" s="2">
        <f t="shared" si="256"/>
        <v>855065</v>
      </c>
      <c r="P1005" s="113">
        <f t="shared" si="257"/>
        <v>0</v>
      </c>
      <c r="Q1005" s="121">
        <f t="shared" si="247"/>
        <v>2158371</v>
      </c>
    </row>
    <row r="1006" spans="2:17" x14ac:dyDescent="0.4">
      <c r="B1006" s="110">
        <v>44927</v>
      </c>
      <c r="C1006" s="122">
        <f t="shared" si="248"/>
        <v>3000000</v>
      </c>
      <c r="D1006" s="111">
        <f t="shared" si="249"/>
        <v>15686</v>
      </c>
      <c r="E1006" s="2">
        <f t="shared" si="250"/>
        <v>2250</v>
      </c>
      <c r="F1006" s="112">
        <f t="shared" si="244"/>
        <v>17000000</v>
      </c>
      <c r="G1006" s="2">
        <f t="shared" si="251"/>
        <v>855065</v>
      </c>
      <c r="H1006" s="113">
        <f t="shared" si="252"/>
        <v>0</v>
      </c>
      <c r="I1006" s="121">
        <f t="shared" si="245"/>
        <v>2158371</v>
      </c>
      <c r="K1006" s="123">
        <f t="shared" si="253"/>
        <v>3000000</v>
      </c>
      <c r="L1006" s="111">
        <f t="shared" si="254"/>
        <v>15686</v>
      </c>
      <c r="M1006" s="2">
        <f t="shared" si="255"/>
        <v>2250</v>
      </c>
      <c r="N1006" s="112">
        <f t="shared" si="246"/>
        <v>17000000</v>
      </c>
      <c r="O1006" s="2">
        <f t="shared" si="256"/>
        <v>855065</v>
      </c>
      <c r="P1006" s="113">
        <f t="shared" si="257"/>
        <v>0</v>
      </c>
      <c r="Q1006" s="121">
        <f t="shared" si="247"/>
        <v>2158371</v>
      </c>
    </row>
    <row r="1007" spans="2:17" hidden="1" x14ac:dyDescent="0.4">
      <c r="B1007" s="110">
        <v>44928</v>
      </c>
      <c r="C1007" s="122">
        <f t="shared" si="248"/>
        <v>3000000</v>
      </c>
      <c r="D1007" s="111">
        <f t="shared" si="249"/>
        <v>15686</v>
      </c>
      <c r="E1007" s="2">
        <f t="shared" si="250"/>
        <v>2250</v>
      </c>
      <c r="F1007" s="112">
        <f t="shared" si="244"/>
        <v>17000000</v>
      </c>
      <c r="G1007" s="2">
        <f t="shared" si="251"/>
        <v>855065</v>
      </c>
      <c r="H1007" s="113">
        <f t="shared" si="252"/>
        <v>0</v>
      </c>
      <c r="I1007" s="121">
        <f t="shared" si="245"/>
        <v>2158371</v>
      </c>
      <c r="K1007" s="123">
        <f t="shared" si="253"/>
        <v>3000000</v>
      </c>
      <c r="L1007" s="111">
        <f t="shared" si="254"/>
        <v>15686</v>
      </c>
      <c r="M1007" s="2">
        <f t="shared" si="255"/>
        <v>2250</v>
      </c>
      <c r="N1007" s="112">
        <f t="shared" si="246"/>
        <v>17000000</v>
      </c>
      <c r="O1007" s="2">
        <f t="shared" si="256"/>
        <v>855065</v>
      </c>
      <c r="P1007" s="113">
        <f t="shared" si="257"/>
        <v>0</v>
      </c>
      <c r="Q1007" s="121">
        <f t="shared" si="247"/>
        <v>2158371</v>
      </c>
    </row>
    <row r="1008" spans="2:17" hidden="1" x14ac:dyDescent="0.4">
      <c r="B1008" s="110">
        <v>44929</v>
      </c>
      <c r="C1008" s="122">
        <f t="shared" si="248"/>
        <v>3000000</v>
      </c>
      <c r="D1008" s="111">
        <f t="shared" si="249"/>
        <v>15686</v>
      </c>
      <c r="E1008" s="2">
        <f t="shared" si="250"/>
        <v>2250</v>
      </c>
      <c r="F1008" s="112">
        <f t="shared" si="244"/>
        <v>17000000</v>
      </c>
      <c r="G1008" s="2">
        <f t="shared" si="251"/>
        <v>855065</v>
      </c>
      <c r="H1008" s="113">
        <f t="shared" si="252"/>
        <v>0</v>
      </c>
      <c r="I1008" s="121">
        <f t="shared" si="245"/>
        <v>2158371</v>
      </c>
      <c r="K1008" s="123">
        <f t="shared" si="253"/>
        <v>3000000</v>
      </c>
      <c r="L1008" s="111">
        <f t="shared" si="254"/>
        <v>15686</v>
      </c>
      <c r="M1008" s="2">
        <f t="shared" si="255"/>
        <v>2250</v>
      </c>
      <c r="N1008" s="112">
        <f t="shared" si="246"/>
        <v>17000000</v>
      </c>
      <c r="O1008" s="2">
        <f t="shared" si="256"/>
        <v>855065</v>
      </c>
      <c r="P1008" s="113">
        <f t="shared" si="257"/>
        <v>0</v>
      </c>
      <c r="Q1008" s="121">
        <f t="shared" si="247"/>
        <v>2158371</v>
      </c>
    </row>
    <row r="1009" spans="2:17" hidden="1" x14ac:dyDescent="0.4">
      <c r="B1009" s="110">
        <v>44930</v>
      </c>
      <c r="C1009" s="122">
        <f t="shared" si="248"/>
        <v>3000000</v>
      </c>
      <c r="D1009" s="111">
        <f t="shared" si="249"/>
        <v>15686</v>
      </c>
      <c r="E1009" s="2">
        <f t="shared" si="250"/>
        <v>2250</v>
      </c>
      <c r="F1009" s="112">
        <f t="shared" si="244"/>
        <v>17000000</v>
      </c>
      <c r="G1009" s="2">
        <f t="shared" si="251"/>
        <v>855065</v>
      </c>
      <c r="H1009" s="113">
        <f t="shared" si="252"/>
        <v>0</v>
      </c>
      <c r="I1009" s="121">
        <f t="shared" si="245"/>
        <v>2158371</v>
      </c>
      <c r="K1009" s="123">
        <f t="shared" si="253"/>
        <v>3000000</v>
      </c>
      <c r="L1009" s="111">
        <f t="shared" si="254"/>
        <v>15686</v>
      </c>
      <c r="M1009" s="2">
        <f t="shared" si="255"/>
        <v>2250</v>
      </c>
      <c r="N1009" s="112">
        <f t="shared" si="246"/>
        <v>17000000</v>
      </c>
      <c r="O1009" s="2">
        <f t="shared" si="256"/>
        <v>855065</v>
      </c>
      <c r="P1009" s="113">
        <f t="shared" si="257"/>
        <v>0</v>
      </c>
      <c r="Q1009" s="121">
        <f t="shared" si="247"/>
        <v>2158371</v>
      </c>
    </row>
    <row r="1010" spans="2:17" hidden="1" x14ac:dyDescent="0.4">
      <c r="B1010" s="110">
        <v>44931</v>
      </c>
      <c r="C1010" s="122">
        <f t="shared" si="248"/>
        <v>3000000</v>
      </c>
      <c r="D1010" s="111">
        <f t="shared" si="249"/>
        <v>15686</v>
      </c>
      <c r="E1010" s="2">
        <f t="shared" si="250"/>
        <v>2250</v>
      </c>
      <c r="F1010" s="112">
        <f t="shared" si="244"/>
        <v>17000000</v>
      </c>
      <c r="G1010" s="2">
        <f t="shared" si="251"/>
        <v>855065</v>
      </c>
      <c r="H1010" s="113">
        <f t="shared" si="252"/>
        <v>0</v>
      </c>
      <c r="I1010" s="121">
        <f t="shared" si="245"/>
        <v>2158371</v>
      </c>
      <c r="K1010" s="123">
        <f t="shared" si="253"/>
        <v>3000000</v>
      </c>
      <c r="L1010" s="111">
        <f t="shared" si="254"/>
        <v>15686</v>
      </c>
      <c r="M1010" s="2">
        <f t="shared" si="255"/>
        <v>2250</v>
      </c>
      <c r="N1010" s="112">
        <f t="shared" si="246"/>
        <v>17000000</v>
      </c>
      <c r="O1010" s="2">
        <f t="shared" si="256"/>
        <v>855065</v>
      </c>
      <c r="P1010" s="113">
        <f t="shared" si="257"/>
        <v>0</v>
      </c>
      <c r="Q1010" s="121">
        <f t="shared" si="247"/>
        <v>2158371</v>
      </c>
    </row>
    <row r="1011" spans="2:17" hidden="1" x14ac:dyDescent="0.4">
      <c r="B1011" s="110">
        <v>44932</v>
      </c>
      <c r="C1011" s="122">
        <f t="shared" si="248"/>
        <v>3000000</v>
      </c>
      <c r="D1011" s="111">
        <f t="shared" si="249"/>
        <v>15686</v>
      </c>
      <c r="E1011" s="2">
        <f t="shared" si="250"/>
        <v>2250</v>
      </c>
      <c r="F1011" s="112">
        <f t="shared" si="244"/>
        <v>17000000</v>
      </c>
      <c r="G1011" s="2">
        <f t="shared" si="251"/>
        <v>855065</v>
      </c>
      <c r="H1011" s="113">
        <f t="shared" si="252"/>
        <v>0</v>
      </c>
      <c r="I1011" s="121">
        <f t="shared" si="245"/>
        <v>2158371</v>
      </c>
      <c r="K1011" s="123">
        <f t="shared" si="253"/>
        <v>3000000</v>
      </c>
      <c r="L1011" s="111">
        <f t="shared" si="254"/>
        <v>15686</v>
      </c>
      <c r="M1011" s="2">
        <f t="shared" si="255"/>
        <v>2250</v>
      </c>
      <c r="N1011" s="112">
        <f t="shared" si="246"/>
        <v>17000000</v>
      </c>
      <c r="O1011" s="2">
        <f t="shared" si="256"/>
        <v>855065</v>
      </c>
      <c r="P1011" s="113">
        <f t="shared" si="257"/>
        <v>0</v>
      </c>
      <c r="Q1011" s="121">
        <f t="shared" si="247"/>
        <v>2158371</v>
      </c>
    </row>
    <row r="1012" spans="2:17" hidden="1" x14ac:dyDescent="0.4">
      <c r="B1012" s="110">
        <v>44933</v>
      </c>
      <c r="C1012" s="122">
        <f t="shared" si="248"/>
        <v>3000000</v>
      </c>
      <c r="D1012" s="111">
        <f t="shared" si="249"/>
        <v>15686</v>
      </c>
      <c r="E1012" s="2">
        <f t="shared" si="250"/>
        <v>2250</v>
      </c>
      <c r="F1012" s="112">
        <f t="shared" si="244"/>
        <v>17000000</v>
      </c>
      <c r="G1012" s="2">
        <f t="shared" si="251"/>
        <v>855065</v>
      </c>
      <c r="H1012" s="113">
        <f t="shared" si="252"/>
        <v>0</v>
      </c>
      <c r="I1012" s="121">
        <f t="shared" si="245"/>
        <v>2158371</v>
      </c>
      <c r="K1012" s="123">
        <f t="shared" si="253"/>
        <v>3000000</v>
      </c>
      <c r="L1012" s="111">
        <f t="shared" si="254"/>
        <v>15686</v>
      </c>
      <c r="M1012" s="2">
        <f t="shared" si="255"/>
        <v>2250</v>
      </c>
      <c r="N1012" s="112">
        <f t="shared" si="246"/>
        <v>17000000</v>
      </c>
      <c r="O1012" s="2">
        <f t="shared" si="256"/>
        <v>855065</v>
      </c>
      <c r="P1012" s="113">
        <f t="shared" si="257"/>
        <v>0</v>
      </c>
      <c r="Q1012" s="121">
        <f t="shared" si="247"/>
        <v>2158371</v>
      </c>
    </row>
    <row r="1013" spans="2:17" hidden="1" x14ac:dyDescent="0.4">
      <c r="B1013" s="110">
        <v>44934</v>
      </c>
      <c r="C1013" s="122">
        <f t="shared" si="248"/>
        <v>3000000</v>
      </c>
      <c r="D1013" s="111">
        <f t="shared" si="249"/>
        <v>15686</v>
      </c>
      <c r="E1013" s="2">
        <f t="shared" si="250"/>
        <v>2250</v>
      </c>
      <c r="F1013" s="112">
        <f t="shared" si="244"/>
        <v>17000000</v>
      </c>
      <c r="G1013" s="2">
        <f t="shared" si="251"/>
        <v>855065</v>
      </c>
      <c r="H1013" s="113">
        <f t="shared" si="252"/>
        <v>0</v>
      </c>
      <c r="I1013" s="121">
        <f t="shared" si="245"/>
        <v>2158371</v>
      </c>
      <c r="K1013" s="123">
        <f t="shared" si="253"/>
        <v>3000000</v>
      </c>
      <c r="L1013" s="111">
        <f t="shared" si="254"/>
        <v>15686</v>
      </c>
      <c r="M1013" s="2">
        <f t="shared" si="255"/>
        <v>2250</v>
      </c>
      <c r="N1013" s="112">
        <f t="shared" si="246"/>
        <v>17000000</v>
      </c>
      <c r="O1013" s="2">
        <f t="shared" si="256"/>
        <v>855065</v>
      </c>
      <c r="P1013" s="113">
        <f t="shared" si="257"/>
        <v>0</v>
      </c>
      <c r="Q1013" s="121">
        <f t="shared" si="247"/>
        <v>2158371</v>
      </c>
    </row>
    <row r="1014" spans="2:17" hidden="1" x14ac:dyDescent="0.4">
      <c r="B1014" s="110">
        <v>44935</v>
      </c>
      <c r="C1014" s="122">
        <f t="shared" si="248"/>
        <v>3000000</v>
      </c>
      <c r="D1014" s="111">
        <f t="shared" si="249"/>
        <v>15686</v>
      </c>
      <c r="E1014" s="2">
        <f t="shared" si="250"/>
        <v>2250</v>
      </c>
      <c r="F1014" s="112">
        <f t="shared" si="244"/>
        <v>17000000</v>
      </c>
      <c r="G1014" s="2">
        <f t="shared" si="251"/>
        <v>855065</v>
      </c>
      <c r="H1014" s="113">
        <f t="shared" si="252"/>
        <v>0</v>
      </c>
      <c r="I1014" s="121">
        <f t="shared" si="245"/>
        <v>2158371</v>
      </c>
      <c r="K1014" s="123">
        <f t="shared" si="253"/>
        <v>3000000</v>
      </c>
      <c r="L1014" s="111">
        <f t="shared" si="254"/>
        <v>15686</v>
      </c>
      <c r="M1014" s="2">
        <f t="shared" si="255"/>
        <v>2250</v>
      </c>
      <c r="N1014" s="112">
        <f t="shared" si="246"/>
        <v>17000000</v>
      </c>
      <c r="O1014" s="2">
        <f t="shared" si="256"/>
        <v>855065</v>
      </c>
      <c r="P1014" s="113">
        <f t="shared" si="257"/>
        <v>0</v>
      </c>
      <c r="Q1014" s="121">
        <f t="shared" si="247"/>
        <v>2158371</v>
      </c>
    </row>
    <row r="1015" spans="2:17" hidden="1" x14ac:dyDescent="0.4">
      <c r="B1015" s="110">
        <v>44936</v>
      </c>
      <c r="C1015" s="122">
        <f t="shared" si="248"/>
        <v>3000000</v>
      </c>
      <c r="D1015" s="111">
        <f t="shared" si="249"/>
        <v>15686</v>
      </c>
      <c r="E1015" s="2">
        <f t="shared" si="250"/>
        <v>2250</v>
      </c>
      <c r="F1015" s="112">
        <f t="shared" si="244"/>
        <v>17000000</v>
      </c>
      <c r="G1015" s="2">
        <f t="shared" si="251"/>
        <v>855065</v>
      </c>
      <c r="H1015" s="113">
        <f t="shared" si="252"/>
        <v>0</v>
      </c>
      <c r="I1015" s="121">
        <f t="shared" si="245"/>
        <v>2158371</v>
      </c>
      <c r="K1015" s="123">
        <f t="shared" si="253"/>
        <v>3000000</v>
      </c>
      <c r="L1015" s="111">
        <f t="shared" si="254"/>
        <v>15686</v>
      </c>
      <c r="M1015" s="2">
        <f t="shared" si="255"/>
        <v>2250</v>
      </c>
      <c r="N1015" s="112">
        <f t="shared" si="246"/>
        <v>17000000</v>
      </c>
      <c r="O1015" s="2">
        <f t="shared" si="256"/>
        <v>855065</v>
      </c>
      <c r="P1015" s="113">
        <f t="shared" si="257"/>
        <v>0</v>
      </c>
      <c r="Q1015" s="121">
        <f t="shared" si="247"/>
        <v>2158371</v>
      </c>
    </row>
    <row r="1016" spans="2:17" hidden="1" x14ac:dyDescent="0.4">
      <c r="B1016" s="110">
        <v>44937</v>
      </c>
      <c r="C1016" s="122">
        <f t="shared" si="248"/>
        <v>3000000</v>
      </c>
      <c r="D1016" s="111">
        <f t="shared" si="249"/>
        <v>15686</v>
      </c>
      <c r="E1016" s="2">
        <f t="shared" si="250"/>
        <v>2250</v>
      </c>
      <c r="F1016" s="112">
        <f t="shared" si="244"/>
        <v>17000000</v>
      </c>
      <c r="G1016" s="2">
        <f t="shared" si="251"/>
        <v>855065</v>
      </c>
      <c r="H1016" s="113">
        <f t="shared" si="252"/>
        <v>0</v>
      </c>
      <c r="I1016" s="121">
        <f t="shared" si="245"/>
        <v>2158371</v>
      </c>
      <c r="K1016" s="123">
        <f t="shared" si="253"/>
        <v>3000000</v>
      </c>
      <c r="L1016" s="111">
        <f t="shared" si="254"/>
        <v>15686</v>
      </c>
      <c r="M1016" s="2">
        <f t="shared" si="255"/>
        <v>2250</v>
      </c>
      <c r="N1016" s="112">
        <f t="shared" si="246"/>
        <v>17000000</v>
      </c>
      <c r="O1016" s="2">
        <f t="shared" si="256"/>
        <v>855065</v>
      </c>
      <c r="P1016" s="113">
        <f t="shared" si="257"/>
        <v>0</v>
      </c>
      <c r="Q1016" s="121">
        <f t="shared" si="247"/>
        <v>2158371</v>
      </c>
    </row>
    <row r="1017" spans="2:17" hidden="1" x14ac:dyDescent="0.4">
      <c r="B1017" s="110">
        <v>44938</v>
      </c>
      <c r="C1017" s="122">
        <f t="shared" si="248"/>
        <v>3000000</v>
      </c>
      <c r="D1017" s="111">
        <f t="shared" si="249"/>
        <v>15686</v>
      </c>
      <c r="E1017" s="2">
        <f t="shared" si="250"/>
        <v>2250</v>
      </c>
      <c r="F1017" s="112">
        <f t="shared" si="244"/>
        <v>17000000</v>
      </c>
      <c r="G1017" s="2">
        <f t="shared" si="251"/>
        <v>855065</v>
      </c>
      <c r="H1017" s="113">
        <f t="shared" si="252"/>
        <v>0</v>
      </c>
      <c r="I1017" s="121">
        <f t="shared" si="245"/>
        <v>2158371</v>
      </c>
      <c r="K1017" s="123">
        <f t="shared" si="253"/>
        <v>3000000</v>
      </c>
      <c r="L1017" s="111">
        <f t="shared" si="254"/>
        <v>15686</v>
      </c>
      <c r="M1017" s="2">
        <f t="shared" si="255"/>
        <v>2250</v>
      </c>
      <c r="N1017" s="112">
        <f t="shared" si="246"/>
        <v>17000000</v>
      </c>
      <c r="O1017" s="2">
        <f t="shared" si="256"/>
        <v>855065</v>
      </c>
      <c r="P1017" s="113">
        <f t="shared" si="257"/>
        <v>0</v>
      </c>
      <c r="Q1017" s="121">
        <f t="shared" si="247"/>
        <v>2158371</v>
      </c>
    </row>
    <row r="1018" spans="2:17" hidden="1" x14ac:dyDescent="0.4">
      <c r="B1018" s="110">
        <v>44939</v>
      </c>
      <c r="C1018" s="122">
        <f t="shared" si="248"/>
        <v>3000000</v>
      </c>
      <c r="D1018" s="111">
        <f t="shared" si="249"/>
        <v>15686</v>
      </c>
      <c r="E1018" s="2">
        <f t="shared" si="250"/>
        <v>2250</v>
      </c>
      <c r="F1018" s="112">
        <f t="shared" si="244"/>
        <v>17000000</v>
      </c>
      <c r="G1018" s="2">
        <f t="shared" si="251"/>
        <v>855065</v>
      </c>
      <c r="H1018" s="113">
        <f t="shared" si="252"/>
        <v>0</v>
      </c>
      <c r="I1018" s="121">
        <f t="shared" si="245"/>
        <v>2158371</v>
      </c>
      <c r="K1018" s="123">
        <f t="shared" si="253"/>
        <v>3000000</v>
      </c>
      <c r="L1018" s="111">
        <f t="shared" si="254"/>
        <v>15686</v>
      </c>
      <c r="M1018" s="2">
        <f t="shared" si="255"/>
        <v>2250</v>
      </c>
      <c r="N1018" s="112">
        <f t="shared" si="246"/>
        <v>17000000</v>
      </c>
      <c r="O1018" s="2">
        <f t="shared" si="256"/>
        <v>855065</v>
      </c>
      <c r="P1018" s="113">
        <f t="shared" si="257"/>
        <v>0</v>
      </c>
      <c r="Q1018" s="121">
        <f t="shared" si="247"/>
        <v>2158371</v>
      </c>
    </row>
    <row r="1019" spans="2:17" hidden="1" x14ac:dyDescent="0.4">
      <c r="B1019" s="110">
        <v>44940</v>
      </c>
      <c r="C1019" s="122">
        <f t="shared" si="248"/>
        <v>3000000</v>
      </c>
      <c r="D1019" s="111">
        <f t="shared" si="249"/>
        <v>15686</v>
      </c>
      <c r="E1019" s="2">
        <f t="shared" si="250"/>
        <v>2250</v>
      </c>
      <c r="F1019" s="112">
        <f t="shared" si="244"/>
        <v>17000000</v>
      </c>
      <c r="G1019" s="2">
        <f t="shared" si="251"/>
        <v>855065</v>
      </c>
      <c r="H1019" s="113">
        <f t="shared" si="252"/>
        <v>0</v>
      </c>
      <c r="I1019" s="121">
        <f t="shared" si="245"/>
        <v>2158371</v>
      </c>
      <c r="K1019" s="123">
        <f t="shared" si="253"/>
        <v>3000000</v>
      </c>
      <c r="L1019" s="111">
        <f t="shared" si="254"/>
        <v>15686</v>
      </c>
      <c r="M1019" s="2">
        <f t="shared" si="255"/>
        <v>2250</v>
      </c>
      <c r="N1019" s="112">
        <f t="shared" si="246"/>
        <v>17000000</v>
      </c>
      <c r="O1019" s="2">
        <f t="shared" si="256"/>
        <v>855065</v>
      </c>
      <c r="P1019" s="113">
        <f t="shared" si="257"/>
        <v>0</v>
      </c>
      <c r="Q1019" s="121">
        <f t="shared" si="247"/>
        <v>2158371</v>
      </c>
    </row>
    <row r="1020" spans="2:17" hidden="1" x14ac:dyDescent="0.4">
      <c r="B1020" s="110">
        <v>44941</v>
      </c>
      <c r="C1020" s="122">
        <f t="shared" si="248"/>
        <v>3000000</v>
      </c>
      <c r="D1020" s="111">
        <f t="shared" si="249"/>
        <v>15686</v>
      </c>
      <c r="E1020" s="2">
        <f t="shared" si="250"/>
        <v>2250</v>
      </c>
      <c r="F1020" s="112">
        <f t="shared" si="244"/>
        <v>17000000</v>
      </c>
      <c r="G1020" s="2">
        <f t="shared" si="251"/>
        <v>855065</v>
      </c>
      <c r="H1020" s="113">
        <f t="shared" si="252"/>
        <v>0</v>
      </c>
      <c r="I1020" s="121">
        <f t="shared" si="245"/>
        <v>2158371</v>
      </c>
      <c r="K1020" s="123">
        <f t="shared" si="253"/>
        <v>3000000</v>
      </c>
      <c r="L1020" s="111">
        <f t="shared" si="254"/>
        <v>15686</v>
      </c>
      <c r="M1020" s="2">
        <f t="shared" si="255"/>
        <v>2250</v>
      </c>
      <c r="N1020" s="112">
        <f t="shared" si="246"/>
        <v>17000000</v>
      </c>
      <c r="O1020" s="2">
        <f t="shared" si="256"/>
        <v>855065</v>
      </c>
      <c r="P1020" s="113">
        <f t="shared" si="257"/>
        <v>0</v>
      </c>
      <c r="Q1020" s="121">
        <f t="shared" si="247"/>
        <v>2158371</v>
      </c>
    </row>
    <row r="1021" spans="2:17" hidden="1" x14ac:dyDescent="0.4">
      <c r="B1021" s="110">
        <v>44942</v>
      </c>
      <c r="C1021" s="122">
        <f t="shared" si="248"/>
        <v>3000000</v>
      </c>
      <c r="D1021" s="111">
        <f t="shared" si="249"/>
        <v>15686</v>
      </c>
      <c r="E1021" s="2">
        <f t="shared" si="250"/>
        <v>2250</v>
      </c>
      <c r="F1021" s="112">
        <f t="shared" si="244"/>
        <v>17000000</v>
      </c>
      <c r="G1021" s="2">
        <f t="shared" si="251"/>
        <v>855065</v>
      </c>
      <c r="H1021" s="113">
        <f t="shared" si="252"/>
        <v>0</v>
      </c>
      <c r="I1021" s="121">
        <f t="shared" si="245"/>
        <v>2158371</v>
      </c>
      <c r="K1021" s="123">
        <f t="shared" si="253"/>
        <v>3000000</v>
      </c>
      <c r="L1021" s="111">
        <f t="shared" si="254"/>
        <v>15686</v>
      </c>
      <c r="M1021" s="2">
        <f t="shared" si="255"/>
        <v>2250</v>
      </c>
      <c r="N1021" s="112">
        <f t="shared" si="246"/>
        <v>17000000</v>
      </c>
      <c r="O1021" s="2">
        <f t="shared" si="256"/>
        <v>855065</v>
      </c>
      <c r="P1021" s="113">
        <f t="shared" si="257"/>
        <v>0</v>
      </c>
      <c r="Q1021" s="121">
        <f t="shared" si="247"/>
        <v>2158371</v>
      </c>
    </row>
    <row r="1022" spans="2:17" hidden="1" x14ac:dyDescent="0.4">
      <c r="B1022" s="110">
        <v>44943</v>
      </c>
      <c r="C1022" s="122">
        <f t="shared" si="248"/>
        <v>3000000</v>
      </c>
      <c r="D1022" s="111">
        <f t="shared" si="249"/>
        <v>15686</v>
      </c>
      <c r="E1022" s="2">
        <f t="shared" si="250"/>
        <v>2250</v>
      </c>
      <c r="F1022" s="112">
        <f t="shared" si="244"/>
        <v>17000000</v>
      </c>
      <c r="G1022" s="2">
        <f t="shared" si="251"/>
        <v>855065</v>
      </c>
      <c r="H1022" s="113">
        <f t="shared" si="252"/>
        <v>0</v>
      </c>
      <c r="I1022" s="121">
        <f t="shared" si="245"/>
        <v>2158371</v>
      </c>
      <c r="K1022" s="123">
        <f t="shared" si="253"/>
        <v>3000000</v>
      </c>
      <c r="L1022" s="111">
        <f t="shared" si="254"/>
        <v>15686</v>
      </c>
      <c r="M1022" s="2">
        <f t="shared" si="255"/>
        <v>2250</v>
      </c>
      <c r="N1022" s="112">
        <f t="shared" si="246"/>
        <v>17000000</v>
      </c>
      <c r="O1022" s="2">
        <f t="shared" si="256"/>
        <v>855065</v>
      </c>
      <c r="P1022" s="113">
        <f t="shared" si="257"/>
        <v>0</v>
      </c>
      <c r="Q1022" s="121">
        <f t="shared" si="247"/>
        <v>2158371</v>
      </c>
    </row>
    <row r="1023" spans="2:17" hidden="1" x14ac:dyDescent="0.4">
      <c r="B1023" s="110">
        <v>44944</v>
      </c>
      <c r="C1023" s="122">
        <f t="shared" si="248"/>
        <v>3000000</v>
      </c>
      <c r="D1023" s="111">
        <f t="shared" si="249"/>
        <v>15686</v>
      </c>
      <c r="E1023" s="2">
        <f t="shared" si="250"/>
        <v>2250</v>
      </c>
      <c r="F1023" s="112">
        <f t="shared" si="244"/>
        <v>17000000</v>
      </c>
      <c r="G1023" s="2">
        <f t="shared" si="251"/>
        <v>855065</v>
      </c>
      <c r="H1023" s="113">
        <f t="shared" si="252"/>
        <v>0</v>
      </c>
      <c r="I1023" s="121">
        <f t="shared" si="245"/>
        <v>2158371</v>
      </c>
      <c r="K1023" s="123">
        <f t="shared" si="253"/>
        <v>3000000</v>
      </c>
      <c r="L1023" s="111">
        <f t="shared" si="254"/>
        <v>15686</v>
      </c>
      <c r="M1023" s="2">
        <f t="shared" si="255"/>
        <v>2250</v>
      </c>
      <c r="N1023" s="112">
        <f t="shared" si="246"/>
        <v>17000000</v>
      </c>
      <c r="O1023" s="2">
        <f t="shared" si="256"/>
        <v>855065</v>
      </c>
      <c r="P1023" s="113">
        <f t="shared" si="257"/>
        <v>0</v>
      </c>
      <c r="Q1023" s="121">
        <f t="shared" si="247"/>
        <v>2158371</v>
      </c>
    </row>
    <row r="1024" spans="2:17" hidden="1" x14ac:dyDescent="0.4">
      <c r="B1024" s="110">
        <v>44945</v>
      </c>
      <c r="C1024" s="122">
        <f t="shared" si="248"/>
        <v>3000000</v>
      </c>
      <c r="D1024" s="111">
        <f t="shared" si="249"/>
        <v>15686</v>
      </c>
      <c r="E1024" s="2">
        <f t="shared" si="250"/>
        <v>2250</v>
      </c>
      <c r="F1024" s="112">
        <f t="shared" si="244"/>
        <v>17000000</v>
      </c>
      <c r="G1024" s="2">
        <f t="shared" si="251"/>
        <v>855065</v>
      </c>
      <c r="H1024" s="113">
        <f t="shared" si="252"/>
        <v>0</v>
      </c>
      <c r="I1024" s="121">
        <f t="shared" si="245"/>
        <v>2158371</v>
      </c>
      <c r="K1024" s="123">
        <f t="shared" si="253"/>
        <v>3000000</v>
      </c>
      <c r="L1024" s="111">
        <f t="shared" si="254"/>
        <v>15686</v>
      </c>
      <c r="M1024" s="2">
        <f t="shared" si="255"/>
        <v>2250</v>
      </c>
      <c r="N1024" s="112">
        <f t="shared" si="246"/>
        <v>17000000</v>
      </c>
      <c r="O1024" s="2">
        <f t="shared" si="256"/>
        <v>855065</v>
      </c>
      <c r="P1024" s="113">
        <f t="shared" si="257"/>
        <v>0</v>
      </c>
      <c r="Q1024" s="121">
        <f t="shared" si="247"/>
        <v>2158371</v>
      </c>
    </row>
    <row r="1025" spans="2:17" hidden="1" x14ac:dyDescent="0.4">
      <c r="B1025" s="110">
        <v>44946</v>
      </c>
      <c r="C1025" s="122">
        <f t="shared" si="248"/>
        <v>3000000</v>
      </c>
      <c r="D1025" s="111">
        <f t="shared" si="249"/>
        <v>15686</v>
      </c>
      <c r="E1025" s="2">
        <f t="shared" si="250"/>
        <v>2250</v>
      </c>
      <c r="F1025" s="112">
        <f t="shared" si="244"/>
        <v>17000000</v>
      </c>
      <c r="G1025" s="2">
        <f t="shared" si="251"/>
        <v>855065</v>
      </c>
      <c r="H1025" s="113">
        <f t="shared" si="252"/>
        <v>0</v>
      </c>
      <c r="I1025" s="121">
        <f t="shared" si="245"/>
        <v>2158371</v>
      </c>
      <c r="K1025" s="123">
        <f t="shared" si="253"/>
        <v>3000000</v>
      </c>
      <c r="L1025" s="111">
        <f t="shared" si="254"/>
        <v>15686</v>
      </c>
      <c r="M1025" s="2">
        <f t="shared" si="255"/>
        <v>2250</v>
      </c>
      <c r="N1025" s="112">
        <f t="shared" si="246"/>
        <v>17000000</v>
      </c>
      <c r="O1025" s="2">
        <f t="shared" si="256"/>
        <v>855065</v>
      </c>
      <c r="P1025" s="113">
        <f t="shared" si="257"/>
        <v>0</v>
      </c>
      <c r="Q1025" s="121">
        <f t="shared" si="247"/>
        <v>2158371</v>
      </c>
    </row>
    <row r="1026" spans="2:17" hidden="1" x14ac:dyDescent="0.4">
      <c r="B1026" s="110">
        <v>44947</v>
      </c>
      <c r="C1026" s="122">
        <f t="shared" si="248"/>
        <v>3000000</v>
      </c>
      <c r="D1026" s="111">
        <f t="shared" si="249"/>
        <v>15686</v>
      </c>
      <c r="E1026" s="2">
        <f t="shared" si="250"/>
        <v>2250</v>
      </c>
      <c r="F1026" s="112">
        <f t="shared" si="244"/>
        <v>17000000</v>
      </c>
      <c r="G1026" s="2">
        <f t="shared" si="251"/>
        <v>855065</v>
      </c>
      <c r="H1026" s="113">
        <f t="shared" si="252"/>
        <v>0</v>
      </c>
      <c r="I1026" s="121">
        <f t="shared" si="245"/>
        <v>2158371</v>
      </c>
      <c r="K1026" s="123">
        <f t="shared" si="253"/>
        <v>3000000</v>
      </c>
      <c r="L1026" s="111">
        <f t="shared" si="254"/>
        <v>15686</v>
      </c>
      <c r="M1026" s="2">
        <f t="shared" si="255"/>
        <v>2250</v>
      </c>
      <c r="N1026" s="112">
        <f t="shared" si="246"/>
        <v>17000000</v>
      </c>
      <c r="O1026" s="2">
        <f t="shared" si="256"/>
        <v>855065</v>
      </c>
      <c r="P1026" s="113">
        <f t="shared" si="257"/>
        <v>0</v>
      </c>
      <c r="Q1026" s="121">
        <f t="shared" si="247"/>
        <v>2158371</v>
      </c>
    </row>
    <row r="1027" spans="2:17" hidden="1" x14ac:dyDescent="0.4">
      <c r="B1027" s="110">
        <v>44948</v>
      </c>
      <c r="C1027" s="122">
        <f t="shared" si="248"/>
        <v>3000000</v>
      </c>
      <c r="D1027" s="111">
        <f t="shared" si="249"/>
        <v>15686</v>
      </c>
      <c r="E1027" s="2">
        <f t="shared" si="250"/>
        <v>2250</v>
      </c>
      <c r="F1027" s="112">
        <f t="shared" si="244"/>
        <v>17000000</v>
      </c>
      <c r="G1027" s="2">
        <f t="shared" si="251"/>
        <v>855065</v>
      </c>
      <c r="H1027" s="113">
        <f t="shared" si="252"/>
        <v>0</v>
      </c>
      <c r="I1027" s="121">
        <f t="shared" si="245"/>
        <v>2158371</v>
      </c>
      <c r="K1027" s="123">
        <f t="shared" si="253"/>
        <v>3000000</v>
      </c>
      <c r="L1027" s="111">
        <f t="shared" si="254"/>
        <v>15686</v>
      </c>
      <c r="M1027" s="2">
        <f t="shared" si="255"/>
        <v>2250</v>
      </c>
      <c r="N1027" s="112">
        <f t="shared" si="246"/>
        <v>17000000</v>
      </c>
      <c r="O1027" s="2">
        <f t="shared" si="256"/>
        <v>855065</v>
      </c>
      <c r="P1027" s="113">
        <f t="shared" si="257"/>
        <v>0</v>
      </c>
      <c r="Q1027" s="121">
        <f t="shared" si="247"/>
        <v>2158371</v>
      </c>
    </row>
    <row r="1028" spans="2:17" hidden="1" x14ac:dyDescent="0.4">
      <c r="B1028" s="110">
        <v>44949</v>
      </c>
      <c r="C1028" s="122">
        <f t="shared" si="248"/>
        <v>3000000</v>
      </c>
      <c r="D1028" s="111">
        <f t="shared" si="249"/>
        <v>15686</v>
      </c>
      <c r="E1028" s="2">
        <f t="shared" si="250"/>
        <v>2250</v>
      </c>
      <c r="F1028" s="112">
        <f t="shared" si="244"/>
        <v>17000000</v>
      </c>
      <c r="G1028" s="2">
        <f t="shared" si="251"/>
        <v>855065</v>
      </c>
      <c r="H1028" s="113">
        <f t="shared" si="252"/>
        <v>0</v>
      </c>
      <c r="I1028" s="121">
        <f t="shared" si="245"/>
        <v>2158371</v>
      </c>
      <c r="K1028" s="123">
        <f t="shared" si="253"/>
        <v>3000000</v>
      </c>
      <c r="L1028" s="111">
        <f t="shared" si="254"/>
        <v>15686</v>
      </c>
      <c r="M1028" s="2">
        <f t="shared" si="255"/>
        <v>2250</v>
      </c>
      <c r="N1028" s="112">
        <f t="shared" si="246"/>
        <v>17000000</v>
      </c>
      <c r="O1028" s="2">
        <f t="shared" si="256"/>
        <v>855065</v>
      </c>
      <c r="P1028" s="113">
        <f t="shared" si="257"/>
        <v>0</v>
      </c>
      <c r="Q1028" s="121">
        <f t="shared" si="247"/>
        <v>2158371</v>
      </c>
    </row>
    <row r="1029" spans="2:17" hidden="1" x14ac:dyDescent="0.4">
      <c r="B1029" s="110">
        <v>44950</v>
      </c>
      <c r="C1029" s="122">
        <f t="shared" si="248"/>
        <v>3000000</v>
      </c>
      <c r="D1029" s="111">
        <f t="shared" si="249"/>
        <v>15686</v>
      </c>
      <c r="E1029" s="2">
        <f t="shared" si="250"/>
        <v>2250</v>
      </c>
      <c r="F1029" s="112">
        <f t="shared" si="244"/>
        <v>17000000</v>
      </c>
      <c r="G1029" s="2">
        <f t="shared" si="251"/>
        <v>855065</v>
      </c>
      <c r="H1029" s="113">
        <f t="shared" si="252"/>
        <v>0</v>
      </c>
      <c r="I1029" s="121">
        <f t="shared" si="245"/>
        <v>2158371</v>
      </c>
      <c r="K1029" s="123">
        <f t="shared" si="253"/>
        <v>3000000</v>
      </c>
      <c r="L1029" s="111">
        <f t="shared" si="254"/>
        <v>15686</v>
      </c>
      <c r="M1029" s="2">
        <f t="shared" si="255"/>
        <v>2250</v>
      </c>
      <c r="N1029" s="112">
        <f t="shared" si="246"/>
        <v>17000000</v>
      </c>
      <c r="O1029" s="2">
        <f t="shared" si="256"/>
        <v>855065</v>
      </c>
      <c r="P1029" s="113">
        <f t="shared" si="257"/>
        <v>0</v>
      </c>
      <c r="Q1029" s="121">
        <f t="shared" si="247"/>
        <v>2158371</v>
      </c>
    </row>
    <row r="1030" spans="2:17" hidden="1" x14ac:dyDescent="0.4">
      <c r="B1030" s="110">
        <v>44951</v>
      </c>
      <c r="C1030" s="122">
        <f t="shared" si="248"/>
        <v>3000000</v>
      </c>
      <c r="D1030" s="111">
        <f t="shared" si="249"/>
        <v>15686</v>
      </c>
      <c r="E1030" s="2">
        <f t="shared" si="250"/>
        <v>2250</v>
      </c>
      <c r="F1030" s="112">
        <f t="shared" si="244"/>
        <v>17000000</v>
      </c>
      <c r="G1030" s="2">
        <f t="shared" si="251"/>
        <v>855065</v>
      </c>
      <c r="H1030" s="113">
        <f t="shared" si="252"/>
        <v>0</v>
      </c>
      <c r="I1030" s="121">
        <f t="shared" si="245"/>
        <v>2158371</v>
      </c>
      <c r="K1030" s="123">
        <f t="shared" si="253"/>
        <v>3000000</v>
      </c>
      <c r="L1030" s="111">
        <f t="shared" si="254"/>
        <v>15686</v>
      </c>
      <c r="M1030" s="2">
        <f t="shared" si="255"/>
        <v>2250</v>
      </c>
      <c r="N1030" s="112">
        <f t="shared" si="246"/>
        <v>17000000</v>
      </c>
      <c r="O1030" s="2">
        <f t="shared" si="256"/>
        <v>855065</v>
      </c>
      <c r="P1030" s="113">
        <f t="shared" si="257"/>
        <v>0</v>
      </c>
      <c r="Q1030" s="121">
        <f t="shared" si="247"/>
        <v>2158371</v>
      </c>
    </row>
    <row r="1031" spans="2:17" hidden="1" x14ac:dyDescent="0.4">
      <c r="B1031" s="110">
        <v>44952</v>
      </c>
      <c r="C1031" s="122">
        <f t="shared" si="248"/>
        <v>3000000</v>
      </c>
      <c r="D1031" s="111">
        <f t="shared" si="249"/>
        <v>15686</v>
      </c>
      <c r="E1031" s="2">
        <f t="shared" si="250"/>
        <v>2250</v>
      </c>
      <c r="F1031" s="112">
        <f t="shared" si="244"/>
        <v>17000000</v>
      </c>
      <c r="G1031" s="2">
        <f t="shared" si="251"/>
        <v>855065</v>
      </c>
      <c r="H1031" s="113">
        <f t="shared" si="252"/>
        <v>0</v>
      </c>
      <c r="I1031" s="121">
        <f t="shared" si="245"/>
        <v>2158371</v>
      </c>
      <c r="K1031" s="123">
        <f t="shared" si="253"/>
        <v>3000000</v>
      </c>
      <c r="L1031" s="111">
        <f t="shared" si="254"/>
        <v>15686</v>
      </c>
      <c r="M1031" s="2">
        <f t="shared" si="255"/>
        <v>2250</v>
      </c>
      <c r="N1031" s="112">
        <f t="shared" si="246"/>
        <v>17000000</v>
      </c>
      <c r="O1031" s="2">
        <f t="shared" si="256"/>
        <v>855065</v>
      </c>
      <c r="P1031" s="113">
        <f t="shared" si="257"/>
        <v>0</v>
      </c>
      <c r="Q1031" s="121">
        <f t="shared" si="247"/>
        <v>2158371</v>
      </c>
    </row>
    <row r="1032" spans="2:17" hidden="1" x14ac:dyDescent="0.4">
      <c r="B1032" s="110">
        <v>44953</v>
      </c>
      <c r="C1032" s="122">
        <f t="shared" si="248"/>
        <v>3000000</v>
      </c>
      <c r="D1032" s="111">
        <f t="shared" si="249"/>
        <v>15686</v>
      </c>
      <c r="E1032" s="2">
        <f t="shared" si="250"/>
        <v>2250</v>
      </c>
      <c r="F1032" s="112">
        <f t="shared" si="244"/>
        <v>17000000</v>
      </c>
      <c r="G1032" s="2">
        <f t="shared" si="251"/>
        <v>855065</v>
      </c>
      <c r="H1032" s="113">
        <f t="shared" si="252"/>
        <v>0</v>
      </c>
      <c r="I1032" s="121">
        <f t="shared" si="245"/>
        <v>2158371</v>
      </c>
      <c r="K1032" s="123">
        <f t="shared" si="253"/>
        <v>3000000</v>
      </c>
      <c r="L1032" s="111">
        <f t="shared" si="254"/>
        <v>15686</v>
      </c>
      <c r="M1032" s="2">
        <f t="shared" si="255"/>
        <v>2250</v>
      </c>
      <c r="N1032" s="112">
        <f t="shared" si="246"/>
        <v>17000000</v>
      </c>
      <c r="O1032" s="2">
        <f t="shared" si="256"/>
        <v>855065</v>
      </c>
      <c r="P1032" s="113">
        <f t="shared" si="257"/>
        <v>0</v>
      </c>
      <c r="Q1032" s="121">
        <f t="shared" si="247"/>
        <v>2158371</v>
      </c>
    </row>
    <row r="1033" spans="2:17" hidden="1" x14ac:dyDescent="0.4">
      <c r="B1033" s="110">
        <v>44954</v>
      </c>
      <c r="C1033" s="122">
        <f t="shared" si="248"/>
        <v>3000000</v>
      </c>
      <c r="D1033" s="111">
        <f t="shared" si="249"/>
        <v>15686</v>
      </c>
      <c r="E1033" s="2">
        <f t="shared" si="250"/>
        <v>2250</v>
      </c>
      <c r="F1033" s="112">
        <f t="shared" si="244"/>
        <v>17000000</v>
      </c>
      <c r="G1033" s="2">
        <f t="shared" si="251"/>
        <v>855065</v>
      </c>
      <c r="H1033" s="113">
        <f t="shared" si="252"/>
        <v>0</v>
      </c>
      <c r="I1033" s="121">
        <f t="shared" si="245"/>
        <v>2158371</v>
      </c>
      <c r="K1033" s="123">
        <f t="shared" si="253"/>
        <v>3000000</v>
      </c>
      <c r="L1033" s="111">
        <f t="shared" si="254"/>
        <v>15686</v>
      </c>
      <c r="M1033" s="2">
        <f t="shared" si="255"/>
        <v>2250</v>
      </c>
      <c r="N1033" s="112">
        <f t="shared" si="246"/>
        <v>17000000</v>
      </c>
      <c r="O1033" s="2">
        <f t="shared" si="256"/>
        <v>855065</v>
      </c>
      <c r="P1033" s="113">
        <f t="shared" si="257"/>
        <v>0</v>
      </c>
      <c r="Q1033" s="121">
        <f t="shared" si="247"/>
        <v>2158371</v>
      </c>
    </row>
    <row r="1034" spans="2:17" hidden="1" x14ac:dyDescent="0.4">
      <c r="B1034" s="110">
        <v>44955</v>
      </c>
      <c r="C1034" s="122">
        <f t="shared" si="248"/>
        <v>3000000</v>
      </c>
      <c r="D1034" s="111">
        <f t="shared" si="249"/>
        <v>15686</v>
      </c>
      <c r="E1034" s="2">
        <f t="shared" si="250"/>
        <v>2250</v>
      </c>
      <c r="F1034" s="112">
        <f t="shared" ref="F1034:F1097" si="258">20000000-C1034</f>
        <v>17000000</v>
      </c>
      <c r="G1034" s="2">
        <f t="shared" si="251"/>
        <v>855065</v>
      </c>
      <c r="H1034" s="113">
        <f t="shared" si="252"/>
        <v>0</v>
      </c>
      <c r="I1034" s="121">
        <f t="shared" ref="I1034:I1097" si="259">C1034+D1034-G1034-E1034+H1034</f>
        <v>2158371</v>
      </c>
      <c r="K1034" s="123">
        <f t="shared" si="253"/>
        <v>3000000</v>
      </c>
      <c r="L1034" s="111">
        <f t="shared" si="254"/>
        <v>15686</v>
      </c>
      <c r="M1034" s="2">
        <f t="shared" si="255"/>
        <v>2250</v>
      </c>
      <c r="N1034" s="112">
        <f t="shared" ref="N1034:N1097" si="260">20000000-K1034</f>
        <v>17000000</v>
      </c>
      <c r="O1034" s="2">
        <f t="shared" si="256"/>
        <v>855065</v>
      </c>
      <c r="P1034" s="113">
        <f t="shared" si="257"/>
        <v>0</v>
      </c>
      <c r="Q1034" s="121">
        <f t="shared" ref="Q1034:Q1097" si="261">K1034+L1034-O1034-M1034+P1034</f>
        <v>2158371</v>
      </c>
    </row>
    <row r="1035" spans="2:17" hidden="1" x14ac:dyDescent="0.4">
      <c r="B1035" s="110">
        <v>44956</v>
      </c>
      <c r="C1035" s="122">
        <f t="shared" ref="C1035:C1098" si="262">SUMIF($B$6:$B$75,$B1035,$D$6:$D$75)+C1034</f>
        <v>3000000</v>
      </c>
      <c r="D1035" s="111">
        <f t="shared" ref="D1035:D1098" si="263">SUMIF($B$6:$B$75,$B1035,$E$6:$E$75)+D1034</f>
        <v>15686</v>
      </c>
      <c r="E1035" s="2">
        <f t="shared" ref="E1035:E1098" si="264">SUMIF($G$353:$G$376,$B1035,$J$353:$J$376)+SUMIF($E$353:$E$376,$B1035,$H$353:$H$376)+SUMIF($G$353:$G$376,$B1035,$I$353:$I$376)+E1034</f>
        <v>2250</v>
      </c>
      <c r="F1035" s="112">
        <f t="shared" si="258"/>
        <v>17000000</v>
      </c>
      <c r="G1035" s="2">
        <f t="shared" ref="G1035:G1098" si="265">SUMIF($E$353:$E$376,$B1035,$M$353:$M$376)+G1034</f>
        <v>855065</v>
      </c>
      <c r="H1035" s="113">
        <f t="shared" ref="H1035:H1098" si="266">SUMIF($G$353:$G$376,$B1035,$N$353:$N$376)+H1034</f>
        <v>0</v>
      </c>
      <c r="I1035" s="121">
        <f t="shared" si="259"/>
        <v>2158371</v>
      </c>
      <c r="K1035" s="123">
        <f t="shared" ref="K1035:K1098" si="267">SUMIF($B$6:$B$75,$B1035,$D$6:$D$75)+K1034</f>
        <v>3000000</v>
      </c>
      <c r="L1035" s="111">
        <f t="shared" ref="L1035:L1098" si="268">SUMIF($B$6:$B$75,$B1035,$E$6:$E$75)+L1034</f>
        <v>15686</v>
      </c>
      <c r="M1035" s="2">
        <f t="shared" ref="M1035:M1098" si="269">SUMIF($G$353:$G$376,$B1035,$J$353:$J$376)+SUMIF($E$353:$E$376,$B1035,$H$353:$H$376)+SUMIF($G$353:$G$376,$B1035,$I$353:$I$376)+M1034</f>
        <v>2250</v>
      </c>
      <c r="N1035" s="112">
        <f t="shared" si="260"/>
        <v>17000000</v>
      </c>
      <c r="O1035" s="2">
        <f t="shared" ref="O1035:O1098" si="270">SUMIF($E$353:$E$376,$B1035,$M$353:$M$376)+O1034</f>
        <v>855065</v>
      </c>
      <c r="P1035" s="113">
        <f t="shared" ref="P1035:P1098" si="271">SUMIF($G$353:$G$376,$B1035,$N$353:$N$376)+P1034</f>
        <v>0</v>
      </c>
      <c r="Q1035" s="121">
        <f t="shared" si="261"/>
        <v>2158371</v>
      </c>
    </row>
    <row r="1036" spans="2:17" hidden="1" x14ac:dyDescent="0.4">
      <c r="B1036" s="110">
        <v>44957</v>
      </c>
      <c r="C1036" s="122">
        <f t="shared" si="262"/>
        <v>3000000</v>
      </c>
      <c r="D1036" s="111">
        <f t="shared" si="263"/>
        <v>15686</v>
      </c>
      <c r="E1036" s="2">
        <f t="shared" si="264"/>
        <v>2250</v>
      </c>
      <c r="F1036" s="112">
        <f t="shared" si="258"/>
        <v>17000000</v>
      </c>
      <c r="G1036" s="2">
        <f t="shared" si="265"/>
        <v>855065</v>
      </c>
      <c r="H1036" s="113">
        <f t="shared" si="266"/>
        <v>0</v>
      </c>
      <c r="I1036" s="121">
        <f t="shared" si="259"/>
        <v>2158371</v>
      </c>
      <c r="K1036" s="123">
        <f t="shared" si="267"/>
        <v>3000000</v>
      </c>
      <c r="L1036" s="111">
        <f t="shared" si="268"/>
        <v>15686</v>
      </c>
      <c r="M1036" s="2">
        <f t="shared" si="269"/>
        <v>2250</v>
      </c>
      <c r="N1036" s="112">
        <f t="shared" si="260"/>
        <v>17000000</v>
      </c>
      <c r="O1036" s="2">
        <f t="shared" si="270"/>
        <v>855065</v>
      </c>
      <c r="P1036" s="113">
        <f t="shared" si="271"/>
        <v>0</v>
      </c>
      <c r="Q1036" s="121">
        <f t="shared" si="261"/>
        <v>2158371</v>
      </c>
    </row>
    <row r="1037" spans="2:17" x14ac:dyDescent="0.4">
      <c r="B1037" s="110">
        <v>44958</v>
      </c>
      <c r="C1037" s="122">
        <f t="shared" si="262"/>
        <v>3000000</v>
      </c>
      <c r="D1037" s="111">
        <f t="shared" si="263"/>
        <v>15686</v>
      </c>
      <c r="E1037" s="2">
        <f t="shared" si="264"/>
        <v>2250</v>
      </c>
      <c r="F1037" s="112">
        <f t="shared" si="258"/>
        <v>17000000</v>
      </c>
      <c r="G1037" s="2">
        <f t="shared" si="265"/>
        <v>855065</v>
      </c>
      <c r="H1037" s="113">
        <f t="shared" si="266"/>
        <v>0</v>
      </c>
      <c r="I1037" s="121">
        <f t="shared" si="259"/>
        <v>2158371</v>
      </c>
      <c r="K1037" s="123">
        <f t="shared" si="267"/>
        <v>3000000</v>
      </c>
      <c r="L1037" s="111">
        <f t="shared" si="268"/>
        <v>15686</v>
      </c>
      <c r="M1037" s="2">
        <f t="shared" si="269"/>
        <v>2250</v>
      </c>
      <c r="N1037" s="112">
        <f t="shared" si="260"/>
        <v>17000000</v>
      </c>
      <c r="O1037" s="2">
        <f t="shared" si="270"/>
        <v>855065</v>
      </c>
      <c r="P1037" s="113">
        <f t="shared" si="271"/>
        <v>0</v>
      </c>
      <c r="Q1037" s="121">
        <f t="shared" si="261"/>
        <v>2158371</v>
      </c>
    </row>
    <row r="1038" spans="2:17" hidden="1" x14ac:dyDescent="0.4">
      <c r="B1038" s="110">
        <v>44959</v>
      </c>
      <c r="C1038" s="122">
        <f t="shared" si="262"/>
        <v>3000000</v>
      </c>
      <c r="D1038" s="111">
        <f t="shared" si="263"/>
        <v>15686</v>
      </c>
      <c r="E1038" s="2">
        <f t="shared" si="264"/>
        <v>2250</v>
      </c>
      <c r="F1038" s="112">
        <f t="shared" si="258"/>
        <v>17000000</v>
      </c>
      <c r="G1038" s="2">
        <f t="shared" si="265"/>
        <v>855065</v>
      </c>
      <c r="H1038" s="113">
        <f t="shared" si="266"/>
        <v>0</v>
      </c>
      <c r="I1038" s="121">
        <f t="shared" si="259"/>
        <v>2158371</v>
      </c>
      <c r="K1038" s="123">
        <f t="shared" si="267"/>
        <v>3000000</v>
      </c>
      <c r="L1038" s="111">
        <f t="shared" si="268"/>
        <v>15686</v>
      </c>
      <c r="M1038" s="2">
        <f t="shared" si="269"/>
        <v>2250</v>
      </c>
      <c r="N1038" s="112">
        <f t="shared" si="260"/>
        <v>17000000</v>
      </c>
      <c r="O1038" s="2">
        <f t="shared" si="270"/>
        <v>855065</v>
      </c>
      <c r="P1038" s="113">
        <f t="shared" si="271"/>
        <v>0</v>
      </c>
      <c r="Q1038" s="121">
        <f t="shared" si="261"/>
        <v>2158371</v>
      </c>
    </row>
    <row r="1039" spans="2:17" hidden="1" x14ac:dyDescent="0.4">
      <c r="B1039" s="110">
        <v>44960</v>
      </c>
      <c r="C1039" s="122">
        <f t="shared" si="262"/>
        <v>3000000</v>
      </c>
      <c r="D1039" s="111">
        <f t="shared" si="263"/>
        <v>15686</v>
      </c>
      <c r="E1039" s="2">
        <f t="shared" si="264"/>
        <v>2250</v>
      </c>
      <c r="F1039" s="112">
        <f t="shared" si="258"/>
        <v>17000000</v>
      </c>
      <c r="G1039" s="2">
        <f t="shared" si="265"/>
        <v>855065</v>
      </c>
      <c r="H1039" s="113">
        <f t="shared" si="266"/>
        <v>0</v>
      </c>
      <c r="I1039" s="121">
        <f t="shared" si="259"/>
        <v>2158371</v>
      </c>
      <c r="K1039" s="123">
        <f t="shared" si="267"/>
        <v>3000000</v>
      </c>
      <c r="L1039" s="111">
        <f t="shared" si="268"/>
        <v>15686</v>
      </c>
      <c r="M1039" s="2">
        <f t="shared" si="269"/>
        <v>2250</v>
      </c>
      <c r="N1039" s="112">
        <f t="shared" si="260"/>
        <v>17000000</v>
      </c>
      <c r="O1039" s="2">
        <f t="shared" si="270"/>
        <v>855065</v>
      </c>
      <c r="P1039" s="113">
        <f t="shared" si="271"/>
        <v>0</v>
      </c>
      <c r="Q1039" s="121">
        <f t="shared" si="261"/>
        <v>2158371</v>
      </c>
    </row>
    <row r="1040" spans="2:17" hidden="1" x14ac:dyDescent="0.4">
      <c r="B1040" s="110">
        <v>44961</v>
      </c>
      <c r="C1040" s="122">
        <f t="shared" si="262"/>
        <v>3000000</v>
      </c>
      <c r="D1040" s="111">
        <f t="shared" si="263"/>
        <v>15686</v>
      </c>
      <c r="E1040" s="2">
        <f t="shared" si="264"/>
        <v>2250</v>
      </c>
      <c r="F1040" s="112">
        <f t="shared" si="258"/>
        <v>17000000</v>
      </c>
      <c r="G1040" s="2">
        <f t="shared" si="265"/>
        <v>855065</v>
      </c>
      <c r="H1040" s="113">
        <f t="shared" si="266"/>
        <v>0</v>
      </c>
      <c r="I1040" s="121">
        <f t="shared" si="259"/>
        <v>2158371</v>
      </c>
      <c r="K1040" s="123">
        <f t="shared" si="267"/>
        <v>3000000</v>
      </c>
      <c r="L1040" s="111">
        <f t="shared" si="268"/>
        <v>15686</v>
      </c>
      <c r="M1040" s="2">
        <f t="shared" si="269"/>
        <v>2250</v>
      </c>
      <c r="N1040" s="112">
        <f t="shared" si="260"/>
        <v>17000000</v>
      </c>
      <c r="O1040" s="2">
        <f t="shared" si="270"/>
        <v>855065</v>
      </c>
      <c r="P1040" s="113">
        <f t="shared" si="271"/>
        <v>0</v>
      </c>
      <c r="Q1040" s="121">
        <f t="shared" si="261"/>
        <v>2158371</v>
      </c>
    </row>
    <row r="1041" spans="2:17" hidden="1" x14ac:dyDescent="0.4">
      <c r="B1041" s="110">
        <v>44962</v>
      </c>
      <c r="C1041" s="122">
        <f t="shared" si="262"/>
        <v>3000000</v>
      </c>
      <c r="D1041" s="111">
        <f t="shared" si="263"/>
        <v>15686</v>
      </c>
      <c r="E1041" s="2">
        <f t="shared" si="264"/>
        <v>2250</v>
      </c>
      <c r="F1041" s="112">
        <f t="shared" si="258"/>
        <v>17000000</v>
      </c>
      <c r="G1041" s="2">
        <f t="shared" si="265"/>
        <v>855065</v>
      </c>
      <c r="H1041" s="113">
        <f t="shared" si="266"/>
        <v>0</v>
      </c>
      <c r="I1041" s="121">
        <f t="shared" si="259"/>
        <v>2158371</v>
      </c>
      <c r="K1041" s="123">
        <f t="shared" si="267"/>
        <v>3000000</v>
      </c>
      <c r="L1041" s="111">
        <f t="shared" si="268"/>
        <v>15686</v>
      </c>
      <c r="M1041" s="2">
        <f t="shared" si="269"/>
        <v>2250</v>
      </c>
      <c r="N1041" s="112">
        <f t="shared" si="260"/>
        <v>17000000</v>
      </c>
      <c r="O1041" s="2">
        <f t="shared" si="270"/>
        <v>855065</v>
      </c>
      <c r="P1041" s="113">
        <f t="shared" si="271"/>
        <v>0</v>
      </c>
      <c r="Q1041" s="121">
        <f t="shared" si="261"/>
        <v>2158371</v>
      </c>
    </row>
    <row r="1042" spans="2:17" hidden="1" x14ac:dyDescent="0.4">
      <c r="B1042" s="110">
        <v>44963</v>
      </c>
      <c r="C1042" s="122">
        <f t="shared" si="262"/>
        <v>3000000</v>
      </c>
      <c r="D1042" s="111">
        <f t="shared" si="263"/>
        <v>15686</v>
      </c>
      <c r="E1042" s="2">
        <f t="shared" si="264"/>
        <v>2250</v>
      </c>
      <c r="F1042" s="112">
        <f t="shared" si="258"/>
        <v>17000000</v>
      </c>
      <c r="G1042" s="2">
        <f t="shared" si="265"/>
        <v>855065</v>
      </c>
      <c r="H1042" s="113">
        <f t="shared" si="266"/>
        <v>0</v>
      </c>
      <c r="I1042" s="121">
        <f t="shared" si="259"/>
        <v>2158371</v>
      </c>
      <c r="K1042" s="123">
        <f t="shared" si="267"/>
        <v>3000000</v>
      </c>
      <c r="L1042" s="111">
        <f t="shared" si="268"/>
        <v>15686</v>
      </c>
      <c r="M1042" s="2">
        <f t="shared" si="269"/>
        <v>2250</v>
      </c>
      <c r="N1042" s="112">
        <f t="shared" si="260"/>
        <v>17000000</v>
      </c>
      <c r="O1042" s="2">
        <f t="shared" si="270"/>
        <v>855065</v>
      </c>
      <c r="P1042" s="113">
        <f t="shared" si="271"/>
        <v>0</v>
      </c>
      <c r="Q1042" s="121">
        <f t="shared" si="261"/>
        <v>2158371</v>
      </c>
    </row>
    <row r="1043" spans="2:17" hidden="1" x14ac:dyDescent="0.4">
      <c r="B1043" s="110">
        <v>44964</v>
      </c>
      <c r="C1043" s="122">
        <f t="shared" si="262"/>
        <v>3000000</v>
      </c>
      <c r="D1043" s="111">
        <f t="shared" si="263"/>
        <v>15686</v>
      </c>
      <c r="E1043" s="2">
        <f t="shared" si="264"/>
        <v>2250</v>
      </c>
      <c r="F1043" s="112">
        <f t="shared" si="258"/>
        <v>17000000</v>
      </c>
      <c r="G1043" s="2">
        <f t="shared" si="265"/>
        <v>855065</v>
      </c>
      <c r="H1043" s="113">
        <f t="shared" si="266"/>
        <v>0</v>
      </c>
      <c r="I1043" s="121">
        <f t="shared" si="259"/>
        <v>2158371</v>
      </c>
      <c r="K1043" s="123">
        <f t="shared" si="267"/>
        <v>3000000</v>
      </c>
      <c r="L1043" s="111">
        <f t="shared" si="268"/>
        <v>15686</v>
      </c>
      <c r="M1043" s="2">
        <f t="shared" si="269"/>
        <v>2250</v>
      </c>
      <c r="N1043" s="112">
        <f t="shared" si="260"/>
        <v>17000000</v>
      </c>
      <c r="O1043" s="2">
        <f t="shared" si="270"/>
        <v>855065</v>
      </c>
      <c r="P1043" s="113">
        <f t="shared" si="271"/>
        <v>0</v>
      </c>
      <c r="Q1043" s="121">
        <f t="shared" si="261"/>
        <v>2158371</v>
      </c>
    </row>
    <row r="1044" spans="2:17" hidden="1" x14ac:dyDescent="0.4">
      <c r="B1044" s="110">
        <v>44965</v>
      </c>
      <c r="C1044" s="122">
        <f t="shared" si="262"/>
        <v>3000000</v>
      </c>
      <c r="D1044" s="111">
        <f t="shared" si="263"/>
        <v>15686</v>
      </c>
      <c r="E1044" s="2">
        <f t="shared" si="264"/>
        <v>2250</v>
      </c>
      <c r="F1044" s="112">
        <f t="shared" si="258"/>
        <v>17000000</v>
      </c>
      <c r="G1044" s="2">
        <f t="shared" si="265"/>
        <v>855065</v>
      </c>
      <c r="H1044" s="113">
        <f t="shared" si="266"/>
        <v>0</v>
      </c>
      <c r="I1044" s="121">
        <f t="shared" si="259"/>
        <v>2158371</v>
      </c>
      <c r="K1044" s="123">
        <f t="shared" si="267"/>
        <v>3000000</v>
      </c>
      <c r="L1044" s="111">
        <f t="shared" si="268"/>
        <v>15686</v>
      </c>
      <c r="M1044" s="2">
        <f t="shared" si="269"/>
        <v>2250</v>
      </c>
      <c r="N1044" s="112">
        <f t="shared" si="260"/>
        <v>17000000</v>
      </c>
      <c r="O1044" s="2">
        <f t="shared" si="270"/>
        <v>855065</v>
      </c>
      <c r="P1044" s="113">
        <f t="shared" si="271"/>
        <v>0</v>
      </c>
      <c r="Q1044" s="121">
        <f t="shared" si="261"/>
        <v>2158371</v>
      </c>
    </row>
    <row r="1045" spans="2:17" hidden="1" x14ac:dyDescent="0.4">
      <c r="B1045" s="110">
        <v>44966</v>
      </c>
      <c r="C1045" s="122">
        <f t="shared" si="262"/>
        <v>3000000</v>
      </c>
      <c r="D1045" s="111">
        <f t="shared" si="263"/>
        <v>15686</v>
      </c>
      <c r="E1045" s="2">
        <f t="shared" si="264"/>
        <v>2250</v>
      </c>
      <c r="F1045" s="112">
        <f t="shared" si="258"/>
        <v>17000000</v>
      </c>
      <c r="G1045" s="2">
        <f t="shared" si="265"/>
        <v>855065</v>
      </c>
      <c r="H1045" s="113">
        <f t="shared" si="266"/>
        <v>0</v>
      </c>
      <c r="I1045" s="121">
        <f t="shared" si="259"/>
        <v>2158371</v>
      </c>
      <c r="K1045" s="123">
        <f t="shared" si="267"/>
        <v>3000000</v>
      </c>
      <c r="L1045" s="111">
        <f t="shared" si="268"/>
        <v>15686</v>
      </c>
      <c r="M1045" s="2">
        <f t="shared" si="269"/>
        <v>2250</v>
      </c>
      <c r="N1045" s="112">
        <f t="shared" si="260"/>
        <v>17000000</v>
      </c>
      <c r="O1045" s="2">
        <f t="shared" si="270"/>
        <v>855065</v>
      </c>
      <c r="P1045" s="113">
        <f t="shared" si="271"/>
        <v>0</v>
      </c>
      <c r="Q1045" s="121">
        <f t="shared" si="261"/>
        <v>2158371</v>
      </c>
    </row>
    <row r="1046" spans="2:17" hidden="1" x14ac:dyDescent="0.4">
      <c r="B1046" s="110">
        <v>44967</v>
      </c>
      <c r="C1046" s="122">
        <f t="shared" si="262"/>
        <v>3000000</v>
      </c>
      <c r="D1046" s="111">
        <f t="shared" si="263"/>
        <v>15686</v>
      </c>
      <c r="E1046" s="2">
        <f t="shared" si="264"/>
        <v>2250</v>
      </c>
      <c r="F1046" s="112">
        <f t="shared" si="258"/>
        <v>17000000</v>
      </c>
      <c r="G1046" s="2">
        <f t="shared" si="265"/>
        <v>855065</v>
      </c>
      <c r="H1046" s="113">
        <f t="shared" si="266"/>
        <v>0</v>
      </c>
      <c r="I1046" s="121">
        <f t="shared" si="259"/>
        <v>2158371</v>
      </c>
      <c r="K1046" s="123">
        <f t="shared" si="267"/>
        <v>3000000</v>
      </c>
      <c r="L1046" s="111">
        <f t="shared" si="268"/>
        <v>15686</v>
      </c>
      <c r="M1046" s="2">
        <f t="shared" si="269"/>
        <v>2250</v>
      </c>
      <c r="N1046" s="112">
        <f t="shared" si="260"/>
        <v>17000000</v>
      </c>
      <c r="O1046" s="2">
        <f t="shared" si="270"/>
        <v>855065</v>
      </c>
      <c r="P1046" s="113">
        <f t="shared" si="271"/>
        <v>0</v>
      </c>
      <c r="Q1046" s="121">
        <f t="shared" si="261"/>
        <v>2158371</v>
      </c>
    </row>
    <row r="1047" spans="2:17" hidden="1" x14ac:dyDescent="0.4">
      <c r="B1047" s="110">
        <v>44968</v>
      </c>
      <c r="C1047" s="122">
        <f t="shared" si="262"/>
        <v>3000000</v>
      </c>
      <c r="D1047" s="111">
        <f t="shared" si="263"/>
        <v>15686</v>
      </c>
      <c r="E1047" s="2">
        <f t="shared" si="264"/>
        <v>2250</v>
      </c>
      <c r="F1047" s="112">
        <f t="shared" si="258"/>
        <v>17000000</v>
      </c>
      <c r="G1047" s="2">
        <f t="shared" si="265"/>
        <v>855065</v>
      </c>
      <c r="H1047" s="113">
        <f t="shared" si="266"/>
        <v>0</v>
      </c>
      <c r="I1047" s="121">
        <f t="shared" si="259"/>
        <v>2158371</v>
      </c>
      <c r="K1047" s="123">
        <f t="shared" si="267"/>
        <v>3000000</v>
      </c>
      <c r="L1047" s="111">
        <f t="shared" si="268"/>
        <v>15686</v>
      </c>
      <c r="M1047" s="2">
        <f t="shared" si="269"/>
        <v>2250</v>
      </c>
      <c r="N1047" s="112">
        <f t="shared" si="260"/>
        <v>17000000</v>
      </c>
      <c r="O1047" s="2">
        <f t="shared" si="270"/>
        <v>855065</v>
      </c>
      <c r="P1047" s="113">
        <f t="shared" si="271"/>
        <v>0</v>
      </c>
      <c r="Q1047" s="121">
        <f t="shared" si="261"/>
        <v>2158371</v>
      </c>
    </row>
    <row r="1048" spans="2:17" hidden="1" x14ac:dyDescent="0.4">
      <c r="B1048" s="110">
        <v>44969</v>
      </c>
      <c r="C1048" s="122">
        <f t="shared" si="262"/>
        <v>3000000</v>
      </c>
      <c r="D1048" s="111">
        <f t="shared" si="263"/>
        <v>15686</v>
      </c>
      <c r="E1048" s="2">
        <f t="shared" si="264"/>
        <v>2250</v>
      </c>
      <c r="F1048" s="112">
        <f t="shared" si="258"/>
        <v>17000000</v>
      </c>
      <c r="G1048" s="2">
        <f t="shared" si="265"/>
        <v>855065</v>
      </c>
      <c r="H1048" s="113">
        <f t="shared" si="266"/>
        <v>0</v>
      </c>
      <c r="I1048" s="121">
        <f t="shared" si="259"/>
        <v>2158371</v>
      </c>
      <c r="K1048" s="123">
        <f t="shared" si="267"/>
        <v>3000000</v>
      </c>
      <c r="L1048" s="111">
        <f t="shared" si="268"/>
        <v>15686</v>
      </c>
      <c r="M1048" s="2">
        <f t="shared" si="269"/>
        <v>2250</v>
      </c>
      <c r="N1048" s="112">
        <f t="shared" si="260"/>
        <v>17000000</v>
      </c>
      <c r="O1048" s="2">
        <f t="shared" si="270"/>
        <v>855065</v>
      </c>
      <c r="P1048" s="113">
        <f t="shared" si="271"/>
        <v>0</v>
      </c>
      <c r="Q1048" s="121">
        <f t="shared" si="261"/>
        <v>2158371</v>
      </c>
    </row>
    <row r="1049" spans="2:17" hidden="1" x14ac:dyDescent="0.4">
      <c r="B1049" s="110">
        <v>44970</v>
      </c>
      <c r="C1049" s="122">
        <f t="shared" si="262"/>
        <v>3000000</v>
      </c>
      <c r="D1049" s="111">
        <f t="shared" si="263"/>
        <v>15686</v>
      </c>
      <c r="E1049" s="2">
        <f t="shared" si="264"/>
        <v>2250</v>
      </c>
      <c r="F1049" s="112">
        <f t="shared" si="258"/>
        <v>17000000</v>
      </c>
      <c r="G1049" s="2">
        <f t="shared" si="265"/>
        <v>855065</v>
      </c>
      <c r="H1049" s="113">
        <f t="shared" si="266"/>
        <v>0</v>
      </c>
      <c r="I1049" s="121">
        <f t="shared" si="259"/>
        <v>2158371</v>
      </c>
      <c r="K1049" s="123">
        <f t="shared" si="267"/>
        <v>3000000</v>
      </c>
      <c r="L1049" s="111">
        <f t="shared" si="268"/>
        <v>15686</v>
      </c>
      <c r="M1049" s="2">
        <f t="shared" si="269"/>
        <v>2250</v>
      </c>
      <c r="N1049" s="112">
        <f t="shared" si="260"/>
        <v>17000000</v>
      </c>
      <c r="O1049" s="2">
        <f t="shared" si="270"/>
        <v>855065</v>
      </c>
      <c r="P1049" s="113">
        <f t="shared" si="271"/>
        <v>0</v>
      </c>
      <c r="Q1049" s="121">
        <f t="shared" si="261"/>
        <v>2158371</v>
      </c>
    </row>
    <row r="1050" spans="2:17" hidden="1" x14ac:dyDescent="0.4">
      <c r="B1050" s="110">
        <v>44971</v>
      </c>
      <c r="C1050" s="122">
        <f t="shared" si="262"/>
        <v>3000000</v>
      </c>
      <c r="D1050" s="111">
        <f t="shared" si="263"/>
        <v>15686</v>
      </c>
      <c r="E1050" s="2">
        <f t="shared" si="264"/>
        <v>2250</v>
      </c>
      <c r="F1050" s="112">
        <f t="shared" si="258"/>
        <v>17000000</v>
      </c>
      <c r="G1050" s="2">
        <f t="shared" si="265"/>
        <v>855065</v>
      </c>
      <c r="H1050" s="113">
        <f t="shared" si="266"/>
        <v>0</v>
      </c>
      <c r="I1050" s="121">
        <f t="shared" si="259"/>
        <v>2158371</v>
      </c>
      <c r="K1050" s="123">
        <f t="shared" si="267"/>
        <v>3000000</v>
      </c>
      <c r="L1050" s="111">
        <f t="shared" si="268"/>
        <v>15686</v>
      </c>
      <c r="M1050" s="2">
        <f t="shared" si="269"/>
        <v>2250</v>
      </c>
      <c r="N1050" s="112">
        <f t="shared" si="260"/>
        <v>17000000</v>
      </c>
      <c r="O1050" s="2">
        <f t="shared" si="270"/>
        <v>855065</v>
      </c>
      <c r="P1050" s="113">
        <f t="shared" si="271"/>
        <v>0</v>
      </c>
      <c r="Q1050" s="121">
        <f t="shared" si="261"/>
        <v>2158371</v>
      </c>
    </row>
    <row r="1051" spans="2:17" hidden="1" x14ac:dyDescent="0.4">
      <c r="B1051" s="110">
        <v>44972</v>
      </c>
      <c r="C1051" s="122">
        <f t="shared" si="262"/>
        <v>3000000</v>
      </c>
      <c r="D1051" s="111">
        <f t="shared" si="263"/>
        <v>15686</v>
      </c>
      <c r="E1051" s="2">
        <f t="shared" si="264"/>
        <v>2250</v>
      </c>
      <c r="F1051" s="112">
        <f t="shared" si="258"/>
        <v>17000000</v>
      </c>
      <c r="G1051" s="2">
        <f t="shared" si="265"/>
        <v>855065</v>
      </c>
      <c r="H1051" s="113">
        <f t="shared" si="266"/>
        <v>0</v>
      </c>
      <c r="I1051" s="121">
        <f t="shared" si="259"/>
        <v>2158371</v>
      </c>
      <c r="K1051" s="123">
        <f t="shared" si="267"/>
        <v>3000000</v>
      </c>
      <c r="L1051" s="111">
        <f t="shared" si="268"/>
        <v>15686</v>
      </c>
      <c r="M1051" s="2">
        <f t="shared" si="269"/>
        <v>2250</v>
      </c>
      <c r="N1051" s="112">
        <f t="shared" si="260"/>
        <v>17000000</v>
      </c>
      <c r="O1051" s="2">
        <f t="shared" si="270"/>
        <v>855065</v>
      </c>
      <c r="P1051" s="113">
        <f t="shared" si="271"/>
        <v>0</v>
      </c>
      <c r="Q1051" s="121">
        <f t="shared" si="261"/>
        <v>2158371</v>
      </c>
    </row>
    <row r="1052" spans="2:17" hidden="1" x14ac:dyDescent="0.4">
      <c r="B1052" s="110">
        <v>44973</v>
      </c>
      <c r="C1052" s="122">
        <f t="shared" si="262"/>
        <v>3000000</v>
      </c>
      <c r="D1052" s="111">
        <f t="shared" si="263"/>
        <v>15686</v>
      </c>
      <c r="E1052" s="2">
        <f t="shared" si="264"/>
        <v>2250</v>
      </c>
      <c r="F1052" s="112">
        <f t="shared" si="258"/>
        <v>17000000</v>
      </c>
      <c r="G1052" s="2">
        <f t="shared" si="265"/>
        <v>855065</v>
      </c>
      <c r="H1052" s="113">
        <f t="shared" si="266"/>
        <v>0</v>
      </c>
      <c r="I1052" s="121">
        <f t="shared" si="259"/>
        <v>2158371</v>
      </c>
      <c r="K1052" s="123">
        <f t="shared" si="267"/>
        <v>3000000</v>
      </c>
      <c r="L1052" s="111">
        <f t="shared" si="268"/>
        <v>15686</v>
      </c>
      <c r="M1052" s="2">
        <f t="shared" si="269"/>
        <v>2250</v>
      </c>
      <c r="N1052" s="112">
        <f t="shared" si="260"/>
        <v>17000000</v>
      </c>
      <c r="O1052" s="2">
        <f t="shared" si="270"/>
        <v>855065</v>
      </c>
      <c r="P1052" s="113">
        <f t="shared" si="271"/>
        <v>0</v>
      </c>
      <c r="Q1052" s="121">
        <f t="shared" si="261"/>
        <v>2158371</v>
      </c>
    </row>
    <row r="1053" spans="2:17" hidden="1" x14ac:dyDescent="0.4">
      <c r="B1053" s="110">
        <v>44974</v>
      </c>
      <c r="C1053" s="122">
        <f t="shared" si="262"/>
        <v>3000000</v>
      </c>
      <c r="D1053" s="111">
        <f t="shared" si="263"/>
        <v>15686</v>
      </c>
      <c r="E1053" s="2">
        <f t="shared" si="264"/>
        <v>2250</v>
      </c>
      <c r="F1053" s="112">
        <f t="shared" si="258"/>
        <v>17000000</v>
      </c>
      <c r="G1053" s="2">
        <f t="shared" si="265"/>
        <v>855065</v>
      </c>
      <c r="H1053" s="113">
        <f t="shared" si="266"/>
        <v>0</v>
      </c>
      <c r="I1053" s="121">
        <f t="shared" si="259"/>
        <v>2158371</v>
      </c>
      <c r="K1053" s="123">
        <f t="shared" si="267"/>
        <v>3000000</v>
      </c>
      <c r="L1053" s="111">
        <f t="shared" si="268"/>
        <v>15686</v>
      </c>
      <c r="M1053" s="2">
        <f t="shared" si="269"/>
        <v>2250</v>
      </c>
      <c r="N1053" s="112">
        <f t="shared" si="260"/>
        <v>17000000</v>
      </c>
      <c r="O1053" s="2">
        <f t="shared" si="270"/>
        <v>855065</v>
      </c>
      <c r="P1053" s="113">
        <f t="shared" si="271"/>
        <v>0</v>
      </c>
      <c r="Q1053" s="121">
        <f t="shared" si="261"/>
        <v>2158371</v>
      </c>
    </row>
    <row r="1054" spans="2:17" hidden="1" x14ac:dyDescent="0.4">
      <c r="B1054" s="110">
        <v>44975</v>
      </c>
      <c r="C1054" s="122">
        <f t="shared" si="262"/>
        <v>3000000</v>
      </c>
      <c r="D1054" s="111">
        <f t="shared" si="263"/>
        <v>15686</v>
      </c>
      <c r="E1054" s="2">
        <f t="shared" si="264"/>
        <v>2250</v>
      </c>
      <c r="F1054" s="112">
        <f t="shared" si="258"/>
        <v>17000000</v>
      </c>
      <c r="G1054" s="2">
        <f t="shared" si="265"/>
        <v>855065</v>
      </c>
      <c r="H1054" s="113">
        <f t="shared" si="266"/>
        <v>0</v>
      </c>
      <c r="I1054" s="121">
        <f t="shared" si="259"/>
        <v>2158371</v>
      </c>
      <c r="K1054" s="123">
        <f t="shared" si="267"/>
        <v>3000000</v>
      </c>
      <c r="L1054" s="111">
        <f t="shared" si="268"/>
        <v>15686</v>
      </c>
      <c r="M1054" s="2">
        <f t="shared" si="269"/>
        <v>2250</v>
      </c>
      <c r="N1054" s="112">
        <f t="shared" si="260"/>
        <v>17000000</v>
      </c>
      <c r="O1054" s="2">
        <f t="shared" si="270"/>
        <v>855065</v>
      </c>
      <c r="P1054" s="113">
        <f t="shared" si="271"/>
        <v>0</v>
      </c>
      <c r="Q1054" s="121">
        <f t="shared" si="261"/>
        <v>2158371</v>
      </c>
    </row>
    <row r="1055" spans="2:17" hidden="1" x14ac:dyDescent="0.4">
      <c r="B1055" s="110">
        <v>44976</v>
      </c>
      <c r="C1055" s="122">
        <f t="shared" si="262"/>
        <v>3000000</v>
      </c>
      <c r="D1055" s="111">
        <f t="shared" si="263"/>
        <v>15686</v>
      </c>
      <c r="E1055" s="2">
        <f t="shared" si="264"/>
        <v>2250</v>
      </c>
      <c r="F1055" s="112">
        <f t="shared" si="258"/>
        <v>17000000</v>
      </c>
      <c r="G1055" s="2">
        <f t="shared" si="265"/>
        <v>855065</v>
      </c>
      <c r="H1055" s="113">
        <f t="shared" si="266"/>
        <v>0</v>
      </c>
      <c r="I1055" s="121">
        <f t="shared" si="259"/>
        <v>2158371</v>
      </c>
      <c r="K1055" s="123">
        <f t="shared" si="267"/>
        <v>3000000</v>
      </c>
      <c r="L1055" s="111">
        <f t="shared" si="268"/>
        <v>15686</v>
      </c>
      <c r="M1055" s="2">
        <f t="shared" si="269"/>
        <v>2250</v>
      </c>
      <c r="N1055" s="112">
        <f t="shared" si="260"/>
        <v>17000000</v>
      </c>
      <c r="O1055" s="2">
        <f t="shared" si="270"/>
        <v>855065</v>
      </c>
      <c r="P1055" s="113">
        <f t="shared" si="271"/>
        <v>0</v>
      </c>
      <c r="Q1055" s="121">
        <f t="shared" si="261"/>
        <v>2158371</v>
      </c>
    </row>
    <row r="1056" spans="2:17" hidden="1" x14ac:dyDescent="0.4">
      <c r="B1056" s="110">
        <v>44977</v>
      </c>
      <c r="C1056" s="122">
        <f t="shared" si="262"/>
        <v>3000000</v>
      </c>
      <c r="D1056" s="111">
        <f t="shared" si="263"/>
        <v>15686</v>
      </c>
      <c r="E1056" s="2">
        <f t="shared" si="264"/>
        <v>2250</v>
      </c>
      <c r="F1056" s="112">
        <f t="shared" si="258"/>
        <v>17000000</v>
      </c>
      <c r="G1056" s="2">
        <f t="shared" si="265"/>
        <v>855065</v>
      </c>
      <c r="H1056" s="113">
        <f t="shared" si="266"/>
        <v>0</v>
      </c>
      <c r="I1056" s="121">
        <f t="shared" si="259"/>
        <v>2158371</v>
      </c>
      <c r="K1056" s="123">
        <f t="shared" si="267"/>
        <v>3000000</v>
      </c>
      <c r="L1056" s="111">
        <f t="shared" si="268"/>
        <v>15686</v>
      </c>
      <c r="M1056" s="2">
        <f t="shared" si="269"/>
        <v>2250</v>
      </c>
      <c r="N1056" s="112">
        <f t="shared" si="260"/>
        <v>17000000</v>
      </c>
      <c r="O1056" s="2">
        <f t="shared" si="270"/>
        <v>855065</v>
      </c>
      <c r="P1056" s="113">
        <f t="shared" si="271"/>
        <v>0</v>
      </c>
      <c r="Q1056" s="121">
        <f t="shared" si="261"/>
        <v>2158371</v>
      </c>
    </row>
    <row r="1057" spans="2:17" hidden="1" x14ac:dyDescent="0.4">
      <c r="B1057" s="110">
        <v>44978</v>
      </c>
      <c r="C1057" s="122">
        <f t="shared" si="262"/>
        <v>3000000</v>
      </c>
      <c r="D1057" s="111">
        <f t="shared" si="263"/>
        <v>15686</v>
      </c>
      <c r="E1057" s="2">
        <f t="shared" si="264"/>
        <v>2250</v>
      </c>
      <c r="F1057" s="112">
        <f t="shared" si="258"/>
        <v>17000000</v>
      </c>
      <c r="G1057" s="2">
        <f t="shared" si="265"/>
        <v>855065</v>
      </c>
      <c r="H1057" s="113">
        <f t="shared" si="266"/>
        <v>0</v>
      </c>
      <c r="I1057" s="121">
        <f t="shared" si="259"/>
        <v>2158371</v>
      </c>
      <c r="K1057" s="123">
        <f t="shared" si="267"/>
        <v>3000000</v>
      </c>
      <c r="L1057" s="111">
        <f t="shared" si="268"/>
        <v>15686</v>
      </c>
      <c r="M1057" s="2">
        <f t="shared" si="269"/>
        <v>2250</v>
      </c>
      <c r="N1057" s="112">
        <f t="shared" si="260"/>
        <v>17000000</v>
      </c>
      <c r="O1057" s="2">
        <f t="shared" si="270"/>
        <v>855065</v>
      </c>
      <c r="P1057" s="113">
        <f t="shared" si="271"/>
        <v>0</v>
      </c>
      <c r="Q1057" s="121">
        <f t="shared" si="261"/>
        <v>2158371</v>
      </c>
    </row>
    <row r="1058" spans="2:17" hidden="1" x14ac:dyDescent="0.4">
      <c r="B1058" s="110">
        <v>44979</v>
      </c>
      <c r="C1058" s="122">
        <f t="shared" si="262"/>
        <v>3000000</v>
      </c>
      <c r="D1058" s="111">
        <f t="shared" si="263"/>
        <v>15686</v>
      </c>
      <c r="E1058" s="2">
        <f t="shared" si="264"/>
        <v>2250</v>
      </c>
      <c r="F1058" s="112">
        <f t="shared" si="258"/>
        <v>17000000</v>
      </c>
      <c r="G1058" s="2">
        <f t="shared" si="265"/>
        <v>855065</v>
      </c>
      <c r="H1058" s="113">
        <f t="shared" si="266"/>
        <v>0</v>
      </c>
      <c r="I1058" s="121">
        <f t="shared" si="259"/>
        <v>2158371</v>
      </c>
      <c r="K1058" s="123">
        <f t="shared" si="267"/>
        <v>3000000</v>
      </c>
      <c r="L1058" s="111">
        <f t="shared" si="268"/>
        <v>15686</v>
      </c>
      <c r="M1058" s="2">
        <f t="shared" si="269"/>
        <v>2250</v>
      </c>
      <c r="N1058" s="112">
        <f t="shared" si="260"/>
        <v>17000000</v>
      </c>
      <c r="O1058" s="2">
        <f t="shared" si="270"/>
        <v>855065</v>
      </c>
      <c r="P1058" s="113">
        <f t="shared" si="271"/>
        <v>0</v>
      </c>
      <c r="Q1058" s="121">
        <f t="shared" si="261"/>
        <v>2158371</v>
      </c>
    </row>
    <row r="1059" spans="2:17" hidden="1" x14ac:dyDescent="0.4">
      <c r="B1059" s="110">
        <v>44980</v>
      </c>
      <c r="C1059" s="122">
        <f t="shared" si="262"/>
        <v>3000000</v>
      </c>
      <c r="D1059" s="111">
        <f t="shared" si="263"/>
        <v>15686</v>
      </c>
      <c r="E1059" s="2">
        <f t="shared" si="264"/>
        <v>2250</v>
      </c>
      <c r="F1059" s="112">
        <f t="shared" si="258"/>
        <v>17000000</v>
      </c>
      <c r="G1059" s="2">
        <f t="shared" si="265"/>
        <v>855065</v>
      </c>
      <c r="H1059" s="113">
        <f t="shared" si="266"/>
        <v>0</v>
      </c>
      <c r="I1059" s="121">
        <f t="shared" si="259"/>
        <v>2158371</v>
      </c>
      <c r="K1059" s="123">
        <f t="shared" si="267"/>
        <v>3000000</v>
      </c>
      <c r="L1059" s="111">
        <f t="shared" si="268"/>
        <v>15686</v>
      </c>
      <c r="M1059" s="2">
        <f t="shared" si="269"/>
        <v>2250</v>
      </c>
      <c r="N1059" s="112">
        <f t="shared" si="260"/>
        <v>17000000</v>
      </c>
      <c r="O1059" s="2">
        <f t="shared" si="270"/>
        <v>855065</v>
      </c>
      <c r="P1059" s="113">
        <f t="shared" si="271"/>
        <v>0</v>
      </c>
      <c r="Q1059" s="121">
        <f t="shared" si="261"/>
        <v>2158371</v>
      </c>
    </row>
    <row r="1060" spans="2:17" hidden="1" x14ac:dyDescent="0.4">
      <c r="B1060" s="110">
        <v>44981</v>
      </c>
      <c r="C1060" s="122">
        <f t="shared" si="262"/>
        <v>3000000</v>
      </c>
      <c r="D1060" s="111">
        <f t="shared" si="263"/>
        <v>15686</v>
      </c>
      <c r="E1060" s="2">
        <f t="shared" si="264"/>
        <v>2250</v>
      </c>
      <c r="F1060" s="112">
        <f t="shared" si="258"/>
        <v>17000000</v>
      </c>
      <c r="G1060" s="2">
        <f t="shared" si="265"/>
        <v>855065</v>
      </c>
      <c r="H1060" s="113">
        <f t="shared" si="266"/>
        <v>0</v>
      </c>
      <c r="I1060" s="121">
        <f t="shared" si="259"/>
        <v>2158371</v>
      </c>
      <c r="K1060" s="123">
        <f t="shared" si="267"/>
        <v>3000000</v>
      </c>
      <c r="L1060" s="111">
        <f t="shared" si="268"/>
        <v>15686</v>
      </c>
      <c r="M1060" s="2">
        <f t="shared" si="269"/>
        <v>2250</v>
      </c>
      <c r="N1060" s="112">
        <f t="shared" si="260"/>
        <v>17000000</v>
      </c>
      <c r="O1060" s="2">
        <f t="shared" si="270"/>
        <v>855065</v>
      </c>
      <c r="P1060" s="113">
        <f t="shared" si="271"/>
        <v>0</v>
      </c>
      <c r="Q1060" s="121">
        <f t="shared" si="261"/>
        <v>2158371</v>
      </c>
    </row>
    <row r="1061" spans="2:17" hidden="1" x14ac:dyDescent="0.4">
      <c r="B1061" s="110">
        <v>44982</v>
      </c>
      <c r="C1061" s="122">
        <f t="shared" si="262"/>
        <v>3000000</v>
      </c>
      <c r="D1061" s="111">
        <f t="shared" si="263"/>
        <v>15686</v>
      </c>
      <c r="E1061" s="2">
        <f t="shared" si="264"/>
        <v>2250</v>
      </c>
      <c r="F1061" s="112">
        <f t="shared" si="258"/>
        <v>17000000</v>
      </c>
      <c r="G1061" s="2">
        <f t="shared" si="265"/>
        <v>855065</v>
      </c>
      <c r="H1061" s="113">
        <f t="shared" si="266"/>
        <v>0</v>
      </c>
      <c r="I1061" s="121">
        <f t="shared" si="259"/>
        <v>2158371</v>
      </c>
      <c r="K1061" s="123">
        <f t="shared" si="267"/>
        <v>3000000</v>
      </c>
      <c r="L1061" s="111">
        <f t="shared" si="268"/>
        <v>15686</v>
      </c>
      <c r="M1061" s="2">
        <f t="shared" si="269"/>
        <v>2250</v>
      </c>
      <c r="N1061" s="112">
        <f t="shared" si="260"/>
        <v>17000000</v>
      </c>
      <c r="O1061" s="2">
        <f t="shared" si="270"/>
        <v>855065</v>
      </c>
      <c r="P1061" s="113">
        <f t="shared" si="271"/>
        <v>0</v>
      </c>
      <c r="Q1061" s="121">
        <f t="shared" si="261"/>
        <v>2158371</v>
      </c>
    </row>
    <row r="1062" spans="2:17" hidden="1" x14ac:dyDescent="0.4">
      <c r="B1062" s="110">
        <v>44983</v>
      </c>
      <c r="C1062" s="122">
        <f t="shared" si="262"/>
        <v>3000000</v>
      </c>
      <c r="D1062" s="111">
        <f t="shared" si="263"/>
        <v>15686</v>
      </c>
      <c r="E1062" s="2">
        <f t="shared" si="264"/>
        <v>2250</v>
      </c>
      <c r="F1062" s="112">
        <f t="shared" si="258"/>
        <v>17000000</v>
      </c>
      <c r="G1062" s="2">
        <f t="shared" si="265"/>
        <v>855065</v>
      </c>
      <c r="H1062" s="113">
        <f t="shared" si="266"/>
        <v>0</v>
      </c>
      <c r="I1062" s="121">
        <f t="shared" si="259"/>
        <v>2158371</v>
      </c>
      <c r="K1062" s="123">
        <f t="shared" si="267"/>
        <v>3000000</v>
      </c>
      <c r="L1062" s="111">
        <f t="shared" si="268"/>
        <v>15686</v>
      </c>
      <c r="M1062" s="2">
        <f t="shared" si="269"/>
        <v>2250</v>
      </c>
      <c r="N1062" s="112">
        <f t="shared" si="260"/>
        <v>17000000</v>
      </c>
      <c r="O1062" s="2">
        <f t="shared" si="270"/>
        <v>855065</v>
      </c>
      <c r="P1062" s="113">
        <f t="shared" si="271"/>
        <v>0</v>
      </c>
      <c r="Q1062" s="121">
        <f t="shared" si="261"/>
        <v>2158371</v>
      </c>
    </row>
    <row r="1063" spans="2:17" hidden="1" x14ac:dyDescent="0.4">
      <c r="B1063" s="110">
        <v>44984</v>
      </c>
      <c r="C1063" s="122">
        <f t="shared" si="262"/>
        <v>3000000</v>
      </c>
      <c r="D1063" s="111">
        <f t="shared" si="263"/>
        <v>15686</v>
      </c>
      <c r="E1063" s="2">
        <f t="shared" si="264"/>
        <v>2250</v>
      </c>
      <c r="F1063" s="112">
        <f t="shared" si="258"/>
        <v>17000000</v>
      </c>
      <c r="G1063" s="2">
        <f t="shared" si="265"/>
        <v>855065</v>
      </c>
      <c r="H1063" s="113">
        <f t="shared" si="266"/>
        <v>0</v>
      </c>
      <c r="I1063" s="121">
        <f t="shared" si="259"/>
        <v>2158371</v>
      </c>
      <c r="K1063" s="123">
        <f t="shared" si="267"/>
        <v>3000000</v>
      </c>
      <c r="L1063" s="111">
        <f t="shared" si="268"/>
        <v>15686</v>
      </c>
      <c r="M1063" s="2">
        <f t="shared" si="269"/>
        <v>2250</v>
      </c>
      <c r="N1063" s="112">
        <f t="shared" si="260"/>
        <v>17000000</v>
      </c>
      <c r="O1063" s="2">
        <f t="shared" si="270"/>
        <v>855065</v>
      </c>
      <c r="P1063" s="113">
        <f t="shared" si="271"/>
        <v>0</v>
      </c>
      <c r="Q1063" s="121">
        <f t="shared" si="261"/>
        <v>2158371</v>
      </c>
    </row>
    <row r="1064" spans="2:17" hidden="1" x14ac:dyDescent="0.4">
      <c r="B1064" s="110">
        <v>44985</v>
      </c>
      <c r="C1064" s="122">
        <f t="shared" si="262"/>
        <v>3000000</v>
      </c>
      <c r="D1064" s="111">
        <f t="shared" si="263"/>
        <v>15686</v>
      </c>
      <c r="E1064" s="2">
        <f t="shared" si="264"/>
        <v>2250</v>
      </c>
      <c r="F1064" s="112">
        <f t="shared" si="258"/>
        <v>17000000</v>
      </c>
      <c r="G1064" s="2">
        <f t="shared" si="265"/>
        <v>855065</v>
      </c>
      <c r="H1064" s="113">
        <f t="shared" si="266"/>
        <v>0</v>
      </c>
      <c r="I1064" s="121">
        <f t="shared" si="259"/>
        <v>2158371</v>
      </c>
      <c r="K1064" s="123">
        <f t="shared" si="267"/>
        <v>3000000</v>
      </c>
      <c r="L1064" s="111">
        <f t="shared" si="268"/>
        <v>15686</v>
      </c>
      <c r="M1064" s="2">
        <f t="shared" si="269"/>
        <v>2250</v>
      </c>
      <c r="N1064" s="112">
        <f t="shared" si="260"/>
        <v>17000000</v>
      </c>
      <c r="O1064" s="2">
        <f t="shared" si="270"/>
        <v>855065</v>
      </c>
      <c r="P1064" s="113">
        <f t="shared" si="271"/>
        <v>0</v>
      </c>
      <c r="Q1064" s="121">
        <f t="shared" si="261"/>
        <v>2158371</v>
      </c>
    </row>
    <row r="1065" spans="2:17" x14ac:dyDescent="0.4">
      <c r="B1065" s="110">
        <v>44986</v>
      </c>
      <c r="C1065" s="122">
        <f t="shared" si="262"/>
        <v>3000000</v>
      </c>
      <c r="D1065" s="111">
        <f t="shared" si="263"/>
        <v>15686</v>
      </c>
      <c r="E1065" s="2">
        <f t="shared" si="264"/>
        <v>2250</v>
      </c>
      <c r="F1065" s="112">
        <f t="shared" si="258"/>
        <v>17000000</v>
      </c>
      <c r="G1065" s="2">
        <f t="shared" si="265"/>
        <v>855065</v>
      </c>
      <c r="H1065" s="113">
        <f t="shared" si="266"/>
        <v>0</v>
      </c>
      <c r="I1065" s="121">
        <f t="shared" si="259"/>
        <v>2158371</v>
      </c>
      <c r="K1065" s="123">
        <f t="shared" si="267"/>
        <v>3000000</v>
      </c>
      <c r="L1065" s="111">
        <f t="shared" si="268"/>
        <v>15686</v>
      </c>
      <c r="M1065" s="2">
        <f t="shared" si="269"/>
        <v>2250</v>
      </c>
      <c r="N1065" s="112">
        <f t="shared" si="260"/>
        <v>17000000</v>
      </c>
      <c r="O1065" s="2">
        <f t="shared" si="270"/>
        <v>855065</v>
      </c>
      <c r="P1065" s="113">
        <f t="shared" si="271"/>
        <v>0</v>
      </c>
      <c r="Q1065" s="121">
        <f t="shared" si="261"/>
        <v>2158371</v>
      </c>
    </row>
    <row r="1066" spans="2:17" hidden="1" x14ac:dyDescent="0.4">
      <c r="B1066" s="110">
        <v>44987</v>
      </c>
      <c r="C1066" s="122">
        <f t="shared" si="262"/>
        <v>3000000</v>
      </c>
      <c r="D1066" s="111">
        <f t="shared" si="263"/>
        <v>19942</v>
      </c>
      <c r="E1066" s="2">
        <f t="shared" si="264"/>
        <v>2250</v>
      </c>
      <c r="F1066" s="112">
        <f t="shared" si="258"/>
        <v>17000000</v>
      </c>
      <c r="G1066" s="2">
        <f t="shared" si="265"/>
        <v>855065</v>
      </c>
      <c r="H1066" s="113">
        <f t="shared" si="266"/>
        <v>0</v>
      </c>
      <c r="I1066" s="121">
        <f t="shared" si="259"/>
        <v>2162627</v>
      </c>
      <c r="K1066" s="123">
        <f t="shared" si="267"/>
        <v>3000000</v>
      </c>
      <c r="L1066" s="111">
        <f t="shared" si="268"/>
        <v>19942</v>
      </c>
      <c r="M1066" s="2">
        <f t="shared" si="269"/>
        <v>2250</v>
      </c>
      <c r="N1066" s="112">
        <f t="shared" si="260"/>
        <v>17000000</v>
      </c>
      <c r="O1066" s="2">
        <f t="shared" si="270"/>
        <v>855065</v>
      </c>
      <c r="P1066" s="113">
        <f t="shared" si="271"/>
        <v>0</v>
      </c>
      <c r="Q1066" s="121">
        <f t="shared" si="261"/>
        <v>2162627</v>
      </c>
    </row>
    <row r="1067" spans="2:17" hidden="1" x14ac:dyDescent="0.4">
      <c r="B1067" s="110">
        <v>44988</v>
      </c>
      <c r="C1067" s="122">
        <f t="shared" si="262"/>
        <v>3000000</v>
      </c>
      <c r="D1067" s="111">
        <f t="shared" si="263"/>
        <v>19942</v>
      </c>
      <c r="E1067" s="2">
        <f t="shared" si="264"/>
        <v>2250</v>
      </c>
      <c r="F1067" s="112">
        <f t="shared" si="258"/>
        <v>17000000</v>
      </c>
      <c r="G1067" s="2">
        <f t="shared" si="265"/>
        <v>855065</v>
      </c>
      <c r="H1067" s="113">
        <f t="shared" si="266"/>
        <v>0</v>
      </c>
      <c r="I1067" s="121">
        <f t="shared" si="259"/>
        <v>2162627</v>
      </c>
      <c r="K1067" s="123">
        <f t="shared" si="267"/>
        <v>3000000</v>
      </c>
      <c r="L1067" s="111">
        <f t="shared" si="268"/>
        <v>19942</v>
      </c>
      <c r="M1067" s="2">
        <f t="shared" si="269"/>
        <v>2250</v>
      </c>
      <c r="N1067" s="112">
        <f t="shared" si="260"/>
        <v>17000000</v>
      </c>
      <c r="O1067" s="2">
        <f t="shared" si="270"/>
        <v>855065</v>
      </c>
      <c r="P1067" s="113">
        <f t="shared" si="271"/>
        <v>0</v>
      </c>
      <c r="Q1067" s="121">
        <f t="shared" si="261"/>
        <v>2162627</v>
      </c>
    </row>
    <row r="1068" spans="2:17" hidden="1" x14ac:dyDescent="0.4">
      <c r="B1068" s="110">
        <v>44989</v>
      </c>
      <c r="C1068" s="122">
        <f t="shared" si="262"/>
        <v>3000000</v>
      </c>
      <c r="D1068" s="111">
        <f t="shared" si="263"/>
        <v>19942</v>
      </c>
      <c r="E1068" s="2">
        <f t="shared" si="264"/>
        <v>2250</v>
      </c>
      <c r="F1068" s="112">
        <f t="shared" si="258"/>
        <v>17000000</v>
      </c>
      <c r="G1068" s="2">
        <f t="shared" si="265"/>
        <v>855065</v>
      </c>
      <c r="H1068" s="113">
        <f t="shared" si="266"/>
        <v>0</v>
      </c>
      <c r="I1068" s="121">
        <f t="shared" si="259"/>
        <v>2162627</v>
      </c>
      <c r="K1068" s="123">
        <f t="shared" si="267"/>
        <v>3000000</v>
      </c>
      <c r="L1068" s="111">
        <f t="shared" si="268"/>
        <v>19942</v>
      </c>
      <c r="M1068" s="2">
        <f t="shared" si="269"/>
        <v>2250</v>
      </c>
      <c r="N1068" s="112">
        <f t="shared" si="260"/>
        <v>17000000</v>
      </c>
      <c r="O1068" s="2">
        <f t="shared" si="270"/>
        <v>855065</v>
      </c>
      <c r="P1068" s="113">
        <f t="shared" si="271"/>
        <v>0</v>
      </c>
      <c r="Q1068" s="121">
        <f t="shared" si="261"/>
        <v>2162627</v>
      </c>
    </row>
    <row r="1069" spans="2:17" hidden="1" x14ac:dyDescent="0.4">
      <c r="B1069" s="110">
        <v>44990</v>
      </c>
      <c r="C1069" s="122">
        <f t="shared" si="262"/>
        <v>3000000</v>
      </c>
      <c r="D1069" s="111">
        <f t="shared" si="263"/>
        <v>19942</v>
      </c>
      <c r="E1069" s="2">
        <f t="shared" si="264"/>
        <v>2250</v>
      </c>
      <c r="F1069" s="112">
        <f t="shared" si="258"/>
        <v>17000000</v>
      </c>
      <c r="G1069" s="2">
        <f t="shared" si="265"/>
        <v>855065</v>
      </c>
      <c r="H1069" s="113">
        <f t="shared" si="266"/>
        <v>0</v>
      </c>
      <c r="I1069" s="121">
        <f t="shared" si="259"/>
        <v>2162627</v>
      </c>
      <c r="K1069" s="123">
        <f t="shared" si="267"/>
        <v>3000000</v>
      </c>
      <c r="L1069" s="111">
        <f t="shared" si="268"/>
        <v>19942</v>
      </c>
      <c r="M1069" s="2">
        <f t="shared" si="269"/>
        <v>2250</v>
      </c>
      <c r="N1069" s="112">
        <f t="shared" si="260"/>
        <v>17000000</v>
      </c>
      <c r="O1069" s="2">
        <f t="shared" si="270"/>
        <v>855065</v>
      </c>
      <c r="P1069" s="113">
        <f t="shared" si="271"/>
        <v>0</v>
      </c>
      <c r="Q1069" s="121">
        <f t="shared" si="261"/>
        <v>2162627</v>
      </c>
    </row>
    <row r="1070" spans="2:17" hidden="1" x14ac:dyDescent="0.4">
      <c r="B1070" s="110">
        <v>44991</v>
      </c>
      <c r="C1070" s="122">
        <f t="shared" si="262"/>
        <v>3000000</v>
      </c>
      <c r="D1070" s="111">
        <f t="shared" si="263"/>
        <v>19942</v>
      </c>
      <c r="E1070" s="2">
        <f t="shared" si="264"/>
        <v>2250</v>
      </c>
      <c r="F1070" s="112">
        <f t="shared" si="258"/>
        <v>17000000</v>
      </c>
      <c r="G1070" s="2">
        <f t="shared" si="265"/>
        <v>855065</v>
      </c>
      <c r="H1070" s="113">
        <f t="shared" si="266"/>
        <v>0</v>
      </c>
      <c r="I1070" s="121">
        <f t="shared" si="259"/>
        <v>2162627</v>
      </c>
      <c r="K1070" s="123">
        <f t="shared" si="267"/>
        <v>3000000</v>
      </c>
      <c r="L1070" s="111">
        <f t="shared" si="268"/>
        <v>19942</v>
      </c>
      <c r="M1070" s="2">
        <f t="shared" si="269"/>
        <v>2250</v>
      </c>
      <c r="N1070" s="112">
        <f t="shared" si="260"/>
        <v>17000000</v>
      </c>
      <c r="O1070" s="2">
        <f t="shared" si="270"/>
        <v>855065</v>
      </c>
      <c r="P1070" s="113">
        <f t="shared" si="271"/>
        <v>0</v>
      </c>
      <c r="Q1070" s="121">
        <f t="shared" si="261"/>
        <v>2162627</v>
      </c>
    </row>
    <row r="1071" spans="2:17" hidden="1" x14ac:dyDescent="0.4">
      <c r="B1071" s="110">
        <v>44992</v>
      </c>
      <c r="C1071" s="122">
        <f t="shared" si="262"/>
        <v>3000000</v>
      </c>
      <c r="D1071" s="111">
        <f t="shared" si="263"/>
        <v>19942</v>
      </c>
      <c r="E1071" s="2">
        <f t="shared" si="264"/>
        <v>2250</v>
      </c>
      <c r="F1071" s="112">
        <f t="shared" si="258"/>
        <v>17000000</v>
      </c>
      <c r="G1071" s="2">
        <f t="shared" si="265"/>
        <v>855065</v>
      </c>
      <c r="H1071" s="113">
        <f t="shared" si="266"/>
        <v>0</v>
      </c>
      <c r="I1071" s="121">
        <f t="shared" si="259"/>
        <v>2162627</v>
      </c>
      <c r="K1071" s="123">
        <f t="shared" si="267"/>
        <v>3000000</v>
      </c>
      <c r="L1071" s="111">
        <f t="shared" si="268"/>
        <v>19942</v>
      </c>
      <c r="M1071" s="2">
        <f t="shared" si="269"/>
        <v>2250</v>
      </c>
      <c r="N1071" s="112">
        <f t="shared" si="260"/>
        <v>17000000</v>
      </c>
      <c r="O1071" s="2">
        <f t="shared" si="270"/>
        <v>855065</v>
      </c>
      <c r="P1071" s="113">
        <f t="shared" si="271"/>
        <v>0</v>
      </c>
      <c r="Q1071" s="121">
        <f t="shared" si="261"/>
        <v>2162627</v>
      </c>
    </row>
    <row r="1072" spans="2:17" hidden="1" x14ac:dyDescent="0.4">
      <c r="B1072" s="110">
        <v>44993</v>
      </c>
      <c r="C1072" s="122">
        <f t="shared" si="262"/>
        <v>3000000</v>
      </c>
      <c r="D1072" s="111">
        <f t="shared" si="263"/>
        <v>19942</v>
      </c>
      <c r="E1072" s="2">
        <f t="shared" si="264"/>
        <v>2250</v>
      </c>
      <c r="F1072" s="112">
        <f t="shared" si="258"/>
        <v>17000000</v>
      </c>
      <c r="G1072" s="2">
        <f t="shared" si="265"/>
        <v>855065</v>
      </c>
      <c r="H1072" s="113">
        <f t="shared" si="266"/>
        <v>0</v>
      </c>
      <c r="I1072" s="121">
        <f t="shared" si="259"/>
        <v>2162627</v>
      </c>
      <c r="K1072" s="123">
        <f t="shared" si="267"/>
        <v>3000000</v>
      </c>
      <c r="L1072" s="111">
        <f t="shared" si="268"/>
        <v>19942</v>
      </c>
      <c r="M1072" s="2">
        <f t="shared" si="269"/>
        <v>2250</v>
      </c>
      <c r="N1072" s="112">
        <f t="shared" si="260"/>
        <v>17000000</v>
      </c>
      <c r="O1072" s="2">
        <f t="shared" si="270"/>
        <v>855065</v>
      </c>
      <c r="P1072" s="113">
        <f t="shared" si="271"/>
        <v>0</v>
      </c>
      <c r="Q1072" s="121">
        <f t="shared" si="261"/>
        <v>2162627</v>
      </c>
    </row>
    <row r="1073" spans="2:17" hidden="1" x14ac:dyDescent="0.4">
      <c r="B1073" s="110">
        <v>44994</v>
      </c>
      <c r="C1073" s="122">
        <f t="shared" si="262"/>
        <v>3000000</v>
      </c>
      <c r="D1073" s="111">
        <f t="shared" si="263"/>
        <v>19942</v>
      </c>
      <c r="E1073" s="2">
        <f t="shared" si="264"/>
        <v>2250</v>
      </c>
      <c r="F1073" s="112">
        <f t="shared" si="258"/>
        <v>17000000</v>
      </c>
      <c r="G1073" s="2">
        <f t="shared" si="265"/>
        <v>855065</v>
      </c>
      <c r="H1073" s="113">
        <f t="shared" si="266"/>
        <v>0</v>
      </c>
      <c r="I1073" s="121">
        <f t="shared" si="259"/>
        <v>2162627</v>
      </c>
      <c r="K1073" s="123">
        <f t="shared" si="267"/>
        <v>3000000</v>
      </c>
      <c r="L1073" s="111">
        <f t="shared" si="268"/>
        <v>19942</v>
      </c>
      <c r="M1073" s="2">
        <f t="shared" si="269"/>
        <v>2250</v>
      </c>
      <c r="N1073" s="112">
        <f t="shared" si="260"/>
        <v>17000000</v>
      </c>
      <c r="O1073" s="2">
        <f t="shared" si="270"/>
        <v>855065</v>
      </c>
      <c r="P1073" s="113">
        <f t="shared" si="271"/>
        <v>0</v>
      </c>
      <c r="Q1073" s="121">
        <f t="shared" si="261"/>
        <v>2162627</v>
      </c>
    </row>
    <row r="1074" spans="2:17" hidden="1" x14ac:dyDescent="0.4">
      <c r="B1074" s="110">
        <v>44995</v>
      </c>
      <c r="C1074" s="122">
        <f t="shared" si="262"/>
        <v>3000000</v>
      </c>
      <c r="D1074" s="111">
        <f t="shared" si="263"/>
        <v>19942</v>
      </c>
      <c r="E1074" s="2">
        <f t="shared" si="264"/>
        <v>2250</v>
      </c>
      <c r="F1074" s="112">
        <f t="shared" si="258"/>
        <v>17000000</v>
      </c>
      <c r="G1074" s="2">
        <f t="shared" si="265"/>
        <v>855065</v>
      </c>
      <c r="H1074" s="113">
        <f t="shared" si="266"/>
        <v>0</v>
      </c>
      <c r="I1074" s="121">
        <f t="shared" si="259"/>
        <v>2162627</v>
      </c>
      <c r="K1074" s="123">
        <f t="shared" si="267"/>
        <v>3000000</v>
      </c>
      <c r="L1074" s="111">
        <f t="shared" si="268"/>
        <v>19942</v>
      </c>
      <c r="M1074" s="2">
        <f t="shared" si="269"/>
        <v>2250</v>
      </c>
      <c r="N1074" s="112">
        <f t="shared" si="260"/>
        <v>17000000</v>
      </c>
      <c r="O1074" s="2">
        <f t="shared" si="270"/>
        <v>855065</v>
      </c>
      <c r="P1074" s="113">
        <f t="shared" si="271"/>
        <v>0</v>
      </c>
      <c r="Q1074" s="121">
        <f t="shared" si="261"/>
        <v>2162627</v>
      </c>
    </row>
    <row r="1075" spans="2:17" hidden="1" x14ac:dyDescent="0.4">
      <c r="B1075" s="110">
        <v>44996</v>
      </c>
      <c r="C1075" s="122">
        <f t="shared" si="262"/>
        <v>3000000</v>
      </c>
      <c r="D1075" s="111">
        <f t="shared" si="263"/>
        <v>19942</v>
      </c>
      <c r="E1075" s="2">
        <f t="shared" si="264"/>
        <v>2250</v>
      </c>
      <c r="F1075" s="112">
        <f t="shared" si="258"/>
        <v>17000000</v>
      </c>
      <c r="G1075" s="2">
        <f t="shared" si="265"/>
        <v>855065</v>
      </c>
      <c r="H1075" s="113">
        <f t="shared" si="266"/>
        <v>0</v>
      </c>
      <c r="I1075" s="121">
        <f t="shared" si="259"/>
        <v>2162627</v>
      </c>
      <c r="K1075" s="123">
        <f t="shared" si="267"/>
        <v>3000000</v>
      </c>
      <c r="L1075" s="111">
        <f t="shared" si="268"/>
        <v>19942</v>
      </c>
      <c r="M1075" s="2">
        <f t="shared" si="269"/>
        <v>2250</v>
      </c>
      <c r="N1075" s="112">
        <f t="shared" si="260"/>
        <v>17000000</v>
      </c>
      <c r="O1075" s="2">
        <f t="shared" si="270"/>
        <v>855065</v>
      </c>
      <c r="P1075" s="113">
        <f t="shared" si="271"/>
        <v>0</v>
      </c>
      <c r="Q1075" s="121">
        <f t="shared" si="261"/>
        <v>2162627</v>
      </c>
    </row>
    <row r="1076" spans="2:17" hidden="1" x14ac:dyDescent="0.4">
      <c r="B1076" s="110">
        <v>44997</v>
      </c>
      <c r="C1076" s="122">
        <f t="shared" si="262"/>
        <v>3000000</v>
      </c>
      <c r="D1076" s="111">
        <f t="shared" si="263"/>
        <v>19942</v>
      </c>
      <c r="E1076" s="2">
        <f t="shared" si="264"/>
        <v>2250</v>
      </c>
      <c r="F1076" s="112">
        <f t="shared" si="258"/>
        <v>17000000</v>
      </c>
      <c r="G1076" s="2">
        <f t="shared" si="265"/>
        <v>855065</v>
      </c>
      <c r="H1076" s="113">
        <f t="shared" si="266"/>
        <v>0</v>
      </c>
      <c r="I1076" s="121">
        <f t="shared" si="259"/>
        <v>2162627</v>
      </c>
      <c r="K1076" s="123">
        <f t="shared" si="267"/>
        <v>3000000</v>
      </c>
      <c r="L1076" s="111">
        <f t="shared" si="268"/>
        <v>19942</v>
      </c>
      <c r="M1076" s="2">
        <f t="shared" si="269"/>
        <v>2250</v>
      </c>
      <c r="N1076" s="112">
        <f t="shared" si="260"/>
        <v>17000000</v>
      </c>
      <c r="O1076" s="2">
        <f t="shared" si="270"/>
        <v>855065</v>
      </c>
      <c r="P1076" s="113">
        <f t="shared" si="271"/>
        <v>0</v>
      </c>
      <c r="Q1076" s="121">
        <f t="shared" si="261"/>
        <v>2162627</v>
      </c>
    </row>
    <row r="1077" spans="2:17" hidden="1" x14ac:dyDescent="0.4">
      <c r="B1077" s="110">
        <v>44998</v>
      </c>
      <c r="C1077" s="122">
        <f t="shared" si="262"/>
        <v>3000000</v>
      </c>
      <c r="D1077" s="111">
        <f t="shared" si="263"/>
        <v>19942</v>
      </c>
      <c r="E1077" s="2">
        <f t="shared" si="264"/>
        <v>2250</v>
      </c>
      <c r="F1077" s="112">
        <f t="shared" si="258"/>
        <v>17000000</v>
      </c>
      <c r="G1077" s="2">
        <f t="shared" si="265"/>
        <v>855065</v>
      </c>
      <c r="H1077" s="113">
        <f t="shared" si="266"/>
        <v>0</v>
      </c>
      <c r="I1077" s="121">
        <f t="shared" si="259"/>
        <v>2162627</v>
      </c>
      <c r="K1077" s="123">
        <f t="shared" si="267"/>
        <v>3000000</v>
      </c>
      <c r="L1077" s="111">
        <f t="shared" si="268"/>
        <v>19942</v>
      </c>
      <c r="M1077" s="2">
        <f t="shared" si="269"/>
        <v>2250</v>
      </c>
      <c r="N1077" s="112">
        <f t="shared" si="260"/>
        <v>17000000</v>
      </c>
      <c r="O1077" s="2">
        <f t="shared" si="270"/>
        <v>855065</v>
      </c>
      <c r="P1077" s="113">
        <f t="shared" si="271"/>
        <v>0</v>
      </c>
      <c r="Q1077" s="121">
        <f t="shared" si="261"/>
        <v>2162627</v>
      </c>
    </row>
    <row r="1078" spans="2:17" hidden="1" x14ac:dyDescent="0.4">
      <c r="B1078" s="110">
        <v>44999</v>
      </c>
      <c r="C1078" s="122">
        <f t="shared" si="262"/>
        <v>3000000</v>
      </c>
      <c r="D1078" s="111">
        <f t="shared" si="263"/>
        <v>19942</v>
      </c>
      <c r="E1078" s="2">
        <f t="shared" si="264"/>
        <v>2250</v>
      </c>
      <c r="F1078" s="112">
        <f t="shared" si="258"/>
        <v>17000000</v>
      </c>
      <c r="G1078" s="2">
        <f t="shared" si="265"/>
        <v>855065</v>
      </c>
      <c r="H1078" s="113">
        <f t="shared" si="266"/>
        <v>0</v>
      </c>
      <c r="I1078" s="121">
        <f t="shared" si="259"/>
        <v>2162627</v>
      </c>
      <c r="K1078" s="123">
        <f t="shared" si="267"/>
        <v>3000000</v>
      </c>
      <c r="L1078" s="111">
        <f t="shared" si="268"/>
        <v>19942</v>
      </c>
      <c r="M1078" s="2">
        <f t="shared" si="269"/>
        <v>2250</v>
      </c>
      <c r="N1078" s="112">
        <f t="shared" si="260"/>
        <v>17000000</v>
      </c>
      <c r="O1078" s="2">
        <f t="shared" si="270"/>
        <v>855065</v>
      </c>
      <c r="P1078" s="113">
        <f t="shared" si="271"/>
        <v>0</v>
      </c>
      <c r="Q1078" s="121">
        <f t="shared" si="261"/>
        <v>2162627</v>
      </c>
    </row>
    <row r="1079" spans="2:17" hidden="1" x14ac:dyDescent="0.4">
      <c r="B1079" s="110">
        <v>45000</v>
      </c>
      <c r="C1079" s="122">
        <f t="shared" si="262"/>
        <v>3000000</v>
      </c>
      <c r="D1079" s="111">
        <f t="shared" si="263"/>
        <v>19942</v>
      </c>
      <c r="E1079" s="2">
        <f t="shared" si="264"/>
        <v>2250</v>
      </c>
      <c r="F1079" s="112">
        <f t="shared" si="258"/>
        <v>17000000</v>
      </c>
      <c r="G1079" s="2">
        <f t="shared" si="265"/>
        <v>855065</v>
      </c>
      <c r="H1079" s="113">
        <f t="shared" si="266"/>
        <v>0</v>
      </c>
      <c r="I1079" s="121">
        <f t="shared" si="259"/>
        <v>2162627</v>
      </c>
      <c r="K1079" s="123">
        <f t="shared" si="267"/>
        <v>3000000</v>
      </c>
      <c r="L1079" s="111">
        <f t="shared" si="268"/>
        <v>19942</v>
      </c>
      <c r="M1079" s="2">
        <f t="shared" si="269"/>
        <v>2250</v>
      </c>
      <c r="N1079" s="112">
        <f t="shared" si="260"/>
        <v>17000000</v>
      </c>
      <c r="O1079" s="2">
        <f t="shared" si="270"/>
        <v>855065</v>
      </c>
      <c r="P1079" s="113">
        <f t="shared" si="271"/>
        <v>0</v>
      </c>
      <c r="Q1079" s="121">
        <f t="shared" si="261"/>
        <v>2162627</v>
      </c>
    </row>
    <row r="1080" spans="2:17" hidden="1" x14ac:dyDescent="0.4">
      <c r="B1080" s="110">
        <v>45001</v>
      </c>
      <c r="C1080" s="122">
        <f t="shared" si="262"/>
        <v>3000000</v>
      </c>
      <c r="D1080" s="111">
        <f t="shared" si="263"/>
        <v>19942</v>
      </c>
      <c r="E1080" s="2">
        <f t="shared" si="264"/>
        <v>2250</v>
      </c>
      <c r="F1080" s="112">
        <f t="shared" si="258"/>
        <v>17000000</v>
      </c>
      <c r="G1080" s="2">
        <f t="shared" si="265"/>
        <v>855065</v>
      </c>
      <c r="H1080" s="113">
        <f t="shared" si="266"/>
        <v>0</v>
      </c>
      <c r="I1080" s="121">
        <f t="shared" si="259"/>
        <v>2162627</v>
      </c>
      <c r="K1080" s="123">
        <f t="shared" si="267"/>
        <v>3000000</v>
      </c>
      <c r="L1080" s="111">
        <f t="shared" si="268"/>
        <v>19942</v>
      </c>
      <c r="M1080" s="2">
        <f t="shared" si="269"/>
        <v>2250</v>
      </c>
      <c r="N1080" s="112">
        <f t="shared" si="260"/>
        <v>17000000</v>
      </c>
      <c r="O1080" s="2">
        <f t="shared" si="270"/>
        <v>855065</v>
      </c>
      <c r="P1080" s="113">
        <f t="shared" si="271"/>
        <v>0</v>
      </c>
      <c r="Q1080" s="121">
        <f t="shared" si="261"/>
        <v>2162627</v>
      </c>
    </row>
    <row r="1081" spans="2:17" hidden="1" x14ac:dyDescent="0.4">
      <c r="B1081" s="110">
        <v>45002</v>
      </c>
      <c r="C1081" s="122">
        <f t="shared" si="262"/>
        <v>3000000</v>
      </c>
      <c r="D1081" s="111">
        <f t="shared" si="263"/>
        <v>19942</v>
      </c>
      <c r="E1081" s="2">
        <f t="shared" si="264"/>
        <v>2250</v>
      </c>
      <c r="F1081" s="112">
        <f t="shared" si="258"/>
        <v>17000000</v>
      </c>
      <c r="G1081" s="2">
        <f t="shared" si="265"/>
        <v>855065</v>
      </c>
      <c r="H1081" s="113">
        <f t="shared" si="266"/>
        <v>0</v>
      </c>
      <c r="I1081" s="121">
        <f t="shared" si="259"/>
        <v>2162627</v>
      </c>
      <c r="K1081" s="123">
        <f t="shared" si="267"/>
        <v>3000000</v>
      </c>
      <c r="L1081" s="111">
        <f t="shared" si="268"/>
        <v>19942</v>
      </c>
      <c r="M1081" s="2">
        <f t="shared" si="269"/>
        <v>2250</v>
      </c>
      <c r="N1081" s="112">
        <f t="shared" si="260"/>
        <v>17000000</v>
      </c>
      <c r="O1081" s="2">
        <f t="shared" si="270"/>
        <v>855065</v>
      </c>
      <c r="P1081" s="113">
        <f t="shared" si="271"/>
        <v>0</v>
      </c>
      <c r="Q1081" s="121">
        <f t="shared" si="261"/>
        <v>2162627</v>
      </c>
    </row>
    <row r="1082" spans="2:17" hidden="1" x14ac:dyDescent="0.4">
      <c r="B1082" s="110">
        <v>45003</v>
      </c>
      <c r="C1082" s="122">
        <f t="shared" si="262"/>
        <v>3000000</v>
      </c>
      <c r="D1082" s="111">
        <f t="shared" si="263"/>
        <v>19942</v>
      </c>
      <c r="E1082" s="2">
        <f t="shared" si="264"/>
        <v>2250</v>
      </c>
      <c r="F1082" s="112">
        <f t="shared" si="258"/>
        <v>17000000</v>
      </c>
      <c r="G1082" s="2">
        <f t="shared" si="265"/>
        <v>855065</v>
      </c>
      <c r="H1082" s="113">
        <f t="shared" si="266"/>
        <v>0</v>
      </c>
      <c r="I1082" s="121">
        <f t="shared" si="259"/>
        <v>2162627</v>
      </c>
      <c r="K1082" s="123">
        <f t="shared" si="267"/>
        <v>3000000</v>
      </c>
      <c r="L1082" s="111">
        <f t="shared" si="268"/>
        <v>19942</v>
      </c>
      <c r="M1082" s="2">
        <f t="shared" si="269"/>
        <v>2250</v>
      </c>
      <c r="N1082" s="112">
        <f t="shared" si="260"/>
        <v>17000000</v>
      </c>
      <c r="O1082" s="2">
        <f t="shared" si="270"/>
        <v>855065</v>
      </c>
      <c r="P1082" s="113">
        <f t="shared" si="271"/>
        <v>0</v>
      </c>
      <c r="Q1082" s="121">
        <f t="shared" si="261"/>
        <v>2162627</v>
      </c>
    </row>
    <row r="1083" spans="2:17" hidden="1" x14ac:dyDescent="0.4">
      <c r="B1083" s="110">
        <v>45004</v>
      </c>
      <c r="C1083" s="122">
        <f t="shared" si="262"/>
        <v>3000000</v>
      </c>
      <c r="D1083" s="111">
        <f t="shared" si="263"/>
        <v>19942</v>
      </c>
      <c r="E1083" s="2">
        <f t="shared" si="264"/>
        <v>2250</v>
      </c>
      <c r="F1083" s="112">
        <f t="shared" si="258"/>
        <v>17000000</v>
      </c>
      <c r="G1083" s="2">
        <f t="shared" si="265"/>
        <v>855065</v>
      </c>
      <c r="H1083" s="113">
        <f t="shared" si="266"/>
        <v>0</v>
      </c>
      <c r="I1083" s="121">
        <f t="shared" si="259"/>
        <v>2162627</v>
      </c>
      <c r="K1083" s="123">
        <f t="shared" si="267"/>
        <v>3000000</v>
      </c>
      <c r="L1083" s="111">
        <f t="shared" si="268"/>
        <v>19942</v>
      </c>
      <c r="M1083" s="2">
        <f t="shared" si="269"/>
        <v>2250</v>
      </c>
      <c r="N1083" s="112">
        <f t="shared" si="260"/>
        <v>17000000</v>
      </c>
      <c r="O1083" s="2">
        <f t="shared" si="270"/>
        <v>855065</v>
      </c>
      <c r="P1083" s="113">
        <f t="shared" si="271"/>
        <v>0</v>
      </c>
      <c r="Q1083" s="121">
        <f t="shared" si="261"/>
        <v>2162627</v>
      </c>
    </row>
    <row r="1084" spans="2:17" hidden="1" x14ac:dyDescent="0.4">
      <c r="B1084" s="110">
        <v>45005</v>
      </c>
      <c r="C1084" s="122">
        <f t="shared" si="262"/>
        <v>3000000</v>
      </c>
      <c r="D1084" s="111">
        <f t="shared" si="263"/>
        <v>19942</v>
      </c>
      <c r="E1084" s="2">
        <f t="shared" si="264"/>
        <v>2250</v>
      </c>
      <c r="F1084" s="112">
        <f t="shared" si="258"/>
        <v>17000000</v>
      </c>
      <c r="G1084" s="2">
        <f t="shared" si="265"/>
        <v>855065</v>
      </c>
      <c r="H1084" s="113">
        <f t="shared" si="266"/>
        <v>0</v>
      </c>
      <c r="I1084" s="121">
        <f t="shared" si="259"/>
        <v>2162627</v>
      </c>
      <c r="K1084" s="123">
        <f t="shared" si="267"/>
        <v>3000000</v>
      </c>
      <c r="L1084" s="111">
        <f t="shared" si="268"/>
        <v>19942</v>
      </c>
      <c r="M1084" s="2">
        <f t="shared" si="269"/>
        <v>2250</v>
      </c>
      <c r="N1084" s="112">
        <f t="shared" si="260"/>
        <v>17000000</v>
      </c>
      <c r="O1084" s="2">
        <f t="shared" si="270"/>
        <v>855065</v>
      </c>
      <c r="P1084" s="113">
        <f t="shared" si="271"/>
        <v>0</v>
      </c>
      <c r="Q1084" s="121">
        <f t="shared" si="261"/>
        <v>2162627</v>
      </c>
    </row>
    <row r="1085" spans="2:17" hidden="1" x14ac:dyDescent="0.4">
      <c r="B1085" s="110">
        <v>45006</v>
      </c>
      <c r="C1085" s="122">
        <f t="shared" si="262"/>
        <v>3000000</v>
      </c>
      <c r="D1085" s="111">
        <f t="shared" si="263"/>
        <v>19942</v>
      </c>
      <c r="E1085" s="2">
        <f t="shared" si="264"/>
        <v>2250</v>
      </c>
      <c r="F1085" s="112">
        <f t="shared" si="258"/>
        <v>17000000</v>
      </c>
      <c r="G1085" s="2">
        <f t="shared" si="265"/>
        <v>855065</v>
      </c>
      <c r="H1085" s="113">
        <f t="shared" si="266"/>
        <v>0</v>
      </c>
      <c r="I1085" s="121">
        <f t="shared" si="259"/>
        <v>2162627</v>
      </c>
      <c r="K1085" s="123">
        <f t="shared" si="267"/>
        <v>3000000</v>
      </c>
      <c r="L1085" s="111">
        <f t="shared" si="268"/>
        <v>19942</v>
      </c>
      <c r="M1085" s="2">
        <f t="shared" si="269"/>
        <v>2250</v>
      </c>
      <c r="N1085" s="112">
        <f t="shared" si="260"/>
        <v>17000000</v>
      </c>
      <c r="O1085" s="2">
        <f t="shared" si="270"/>
        <v>855065</v>
      </c>
      <c r="P1085" s="113">
        <f t="shared" si="271"/>
        <v>0</v>
      </c>
      <c r="Q1085" s="121">
        <f t="shared" si="261"/>
        <v>2162627</v>
      </c>
    </row>
    <row r="1086" spans="2:17" hidden="1" x14ac:dyDescent="0.4">
      <c r="B1086" s="110">
        <v>45007</v>
      </c>
      <c r="C1086" s="122">
        <f t="shared" si="262"/>
        <v>3000000</v>
      </c>
      <c r="D1086" s="111">
        <f t="shared" si="263"/>
        <v>19942</v>
      </c>
      <c r="E1086" s="2">
        <f t="shared" si="264"/>
        <v>2250</v>
      </c>
      <c r="F1086" s="112">
        <f t="shared" si="258"/>
        <v>17000000</v>
      </c>
      <c r="G1086" s="2">
        <f t="shared" si="265"/>
        <v>855065</v>
      </c>
      <c r="H1086" s="113">
        <f t="shared" si="266"/>
        <v>0</v>
      </c>
      <c r="I1086" s="121">
        <f t="shared" si="259"/>
        <v>2162627</v>
      </c>
      <c r="K1086" s="123">
        <f t="shared" si="267"/>
        <v>3000000</v>
      </c>
      <c r="L1086" s="111">
        <f t="shared" si="268"/>
        <v>19942</v>
      </c>
      <c r="M1086" s="2">
        <f t="shared" si="269"/>
        <v>2250</v>
      </c>
      <c r="N1086" s="112">
        <f t="shared" si="260"/>
        <v>17000000</v>
      </c>
      <c r="O1086" s="2">
        <f t="shared" si="270"/>
        <v>855065</v>
      </c>
      <c r="P1086" s="113">
        <f t="shared" si="271"/>
        <v>0</v>
      </c>
      <c r="Q1086" s="121">
        <f t="shared" si="261"/>
        <v>2162627</v>
      </c>
    </row>
    <row r="1087" spans="2:17" hidden="1" x14ac:dyDescent="0.4">
      <c r="B1087" s="110">
        <v>45008</v>
      </c>
      <c r="C1087" s="122">
        <f t="shared" si="262"/>
        <v>3000000</v>
      </c>
      <c r="D1087" s="111">
        <f t="shared" si="263"/>
        <v>19942</v>
      </c>
      <c r="E1087" s="2">
        <f t="shared" si="264"/>
        <v>2250</v>
      </c>
      <c r="F1087" s="112">
        <f t="shared" si="258"/>
        <v>17000000</v>
      </c>
      <c r="G1087" s="2">
        <f t="shared" si="265"/>
        <v>855065</v>
      </c>
      <c r="H1087" s="113">
        <f t="shared" si="266"/>
        <v>0</v>
      </c>
      <c r="I1087" s="121">
        <f t="shared" si="259"/>
        <v>2162627</v>
      </c>
      <c r="K1087" s="123">
        <f t="shared" si="267"/>
        <v>3000000</v>
      </c>
      <c r="L1087" s="111">
        <f t="shared" si="268"/>
        <v>19942</v>
      </c>
      <c r="M1087" s="2">
        <f t="shared" si="269"/>
        <v>2250</v>
      </c>
      <c r="N1087" s="112">
        <f t="shared" si="260"/>
        <v>17000000</v>
      </c>
      <c r="O1087" s="2">
        <f t="shared" si="270"/>
        <v>855065</v>
      </c>
      <c r="P1087" s="113">
        <f t="shared" si="271"/>
        <v>0</v>
      </c>
      <c r="Q1087" s="121">
        <f t="shared" si="261"/>
        <v>2162627</v>
      </c>
    </row>
    <row r="1088" spans="2:17" hidden="1" x14ac:dyDescent="0.4">
      <c r="B1088" s="110">
        <v>45009</v>
      </c>
      <c r="C1088" s="122">
        <f t="shared" si="262"/>
        <v>3000000</v>
      </c>
      <c r="D1088" s="111">
        <f t="shared" si="263"/>
        <v>19942</v>
      </c>
      <c r="E1088" s="2">
        <f t="shared" si="264"/>
        <v>2250</v>
      </c>
      <c r="F1088" s="112">
        <f t="shared" si="258"/>
        <v>17000000</v>
      </c>
      <c r="G1088" s="2">
        <f t="shared" si="265"/>
        <v>855065</v>
      </c>
      <c r="H1088" s="113">
        <f t="shared" si="266"/>
        <v>0</v>
      </c>
      <c r="I1088" s="121">
        <f t="shared" si="259"/>
        <v>2162627</v>
      </c>
      <c r="K1088" s="123">
        <f t="shared" si="267"/>
        <v>3000000</v>
      </c>
      <c r="L1088" s="111">
        <f t="shared" si="268"/>
        <v>19942</v>
      </c>
      <c r="M1088" s="2">
        <f t="shared" si="269"/>
        <v>2250</v>
      </c>
      <c r="N1088" s="112">
        <f t="shared" si="260"/>
        <v>17000000</v>
      </c>
      <c r="O1088" s="2">
        <f t="shared" si="270"/>
        <v>855065</v>
      </c>
      <c r="P1088" s="113">
        <f t="shared" si="271"/>
        <v>0</v>
      </c>
      <c r="Q1088" s="121">
        <f t="shared" si="261"/>
        <v>2162627</v>
      </c>
    </row>
    <row r="1089" spans="2:17" hidden="1" x14ac:dyDescent="0.4">
      <c r="B1089" s="110">
        <v>45010</v>
      </c>
      <c r="C1089" s="122">
        <f t="shared" si="262"/>
        <v>3000000</v>
      </c>
      <c r="D1089" s="111">
        <f t="shared" si="263"/>
        <v>19942</v>
      </c>
      <c r="E1089" s="2">
        <f t="shared" si="264"/>
        <v>2250</v>
      </c>
      <c r="F1089" s="112">
        <f t="shared" si="258"/>
        <v>17000000</v>
      </c>
      <c r="G1089" s="2">
        <f t="shared" si="265"/>
        <v>855065</v>
      </c>
      <c r="H1089" s="113">
        <f t="shared" si="266"/>
        <v>0</v>
      </c>
      <c r="I1089" s="121">
        <f t="shared" si="259"/>
        <v>2162627</v>
      </c>
      <c r="K1089" s="123">
        <f t="shared" si="267"/>
        <v>3000000</v>
      </c>
      <c r="L1089" s="111">
        <f t="shared" si="268"/>
        <v>19942</v>
      </c>
      <c r="M1089" s="2">
        <f t="shared" si="269"/>
        <v>2250</v>
      </c>
      <c r="N1089" s="112">
        <f t="shared" si="260"/>
        <v>17000000</v>
      </c>
      <c r="O1089" s="2">
        <f t="shared" si="270"/>
        <v>855065</v>
      </c>
      <c r="P1089" s="113">
        <f t="shared" si="271"/>
        <v>0</v>
      </c>
      <c r="Q1089" s="121">
        <f t="shared" si="261"/>
        <v>2162627</v>
      </c>
    </row>
    <row r="1090" spans="2:17" hidden="1" x14ac:dyDescent="0.4">
      <c r="B1090" s="110">
        <v>45011</v>
      </c>
      <c r="C1090" s="122">
        <f t="shared" si="262"/>
        <v>3000000</v>
      </c>
      <c r="D1090" s="111">
        <f t="shared" si="263"/>
        <v>19942</v>
      </c>
      <c r="E1090" s="2">
        <f t="shared" si="264"/>
        <v>2250</v>
      </c>
      <c r="F1090" s="112">
        <f t="shared" si="258"/>
        <v>17000000</v>
      </c>
      <c r="G1090" s="2">
        <f t="shared" si="265"/>
        <v>855065</v>
      </c>
      <c r="H1090" s="113">
        <f t="shared" si="266"/>
        <v>0</v>
      </c>
      <c r="I1090" s="121">
        <f t="shared" si="259"/>
        <v>2162627</v>
      </c>
      <c r="K1090" s="123">
        <f t="shared" si="267"/>
        <v>3000000</v>
      </c>
      <c r="L1090" s="111">
        <f t="shared" si="268"/>
        <v>19942</v>
      </c>
      <c r="M1090" s="2">
        <f t="shared" si="269"/>
        <v>2250</v>
      </c>
      <c r="N1090" s="112">
        <f t="shared" si="260"/>
        <v>17000000</v>
      </c>
      <c r="O1090" s="2">
        <f t="shared" si="270"/>
        <v>855065</v>
      </c>
      <c r="P1090" s="113">
        <f t="shared" si="271"/>
        <v>0</v>
      </c>
      <c r="Q1090" s="121">
        <f t="shared" si="261"/>
        <v>2162627</v>
      </c>
    </row>
    <row r="1091" spans="2:17" hidden="1" x14ac:dyDescent="0.4">
      <c r="B1091" s="110">
        <v>45012</v>
      </c>
      <c r="C1091" s="122">
        <f t="shared" si="262"/>
        <v>3000000</v>
      </c>
      <c r="D1091" s="111">
        <f t="shared" si="263"/>
        <v>19942</v>
      </c>
      <c r="E1091" s="2">
        <f t="shared" si="264"/>
        <v>2250</v>
      </c>
      <c r="F1091" s="112">
        <f t="shared" si="258"/>
        <v>17000000</v>
      </c>
      <c r="G1091" s="2">
        <f t="shared" si="265"/>
        <v>855065</v>
      </c>
      <c r="H1091" s="113">
        <f t="shared" si="266"/>
        <v>0</v>
      </c>
      <c r="I1091" s="121">
        <f t="shared" si="259"/>
        <v>2162627</v>
      </c>
      <c r="K1091" s="123">
        <f t="shared" si="267"/>
        <v>3000000</v>
      </c>
      <c r="L1091" s="111">
        <f t="shared" si="268"/>
        <v>19942</v>
      </c>
      <c r="M1091" s="2">
        <f t="shared" si="269"/>
        <v>2250</v>
      </c>
      <c r="N1091" s="112">
        <f t="shared" si="260"/>
        <v>17000000</v>
      </c>
      <c r="O1091" s="2">
        <f t="shared" si="270"/>
        <v>855065</v>
      </c>
      <c r="P1091" s="113">
        <f t="shared" si="271"/>
        <v>0</v>
      </c>
      <c r="Q1091" s="121">
        <f t="shared" si="261"/>
        <v>2162627</v>
      </c>
    </row>
    <row r="1092" spans="2:17" hidden="1" x14ac:dyDescent="0.4">
      <c r="B1092" s="110">
        <v>45013</v>
      </c>
      <c r="C1092" s="122">
        <f t="shared" si="262"/>
        <v>3000000</v>
      </c>
      <c r="D1092" s="111">
        <f t="shared" si="263"/>
        <v>19942</v>
      </c>
      <c r="E1092" s="2">
        <f t="shared" si="264"/>
        <v>2250</v>
      </c>
      <c r="F1092" s="112">
        <f t="shared" si="258"/>
        <v>17000000</v>
      </c>
      <c r="G1092" s="2">
        <f t="shared" si="265"/>
        <v>855065</v>
      </c>
      <c r="H1092" s="113">
        <f t="shared" si="266"/>
        <v>0</v>
      </c>
      <c r="I1092" s="121">
        <f t="shared" si="259"/>
        <v>2162627</v>
      </c>
      <c r="K1092" s="123">
        <f t="shared" si="267"/>
        <v>3000000</v>
      </c>
      <c r="L1092" s="111">
        <f t="shared" si="268"/>
        <v>19942</v>
      </c>
      <c r="M1092" s="2">
        <f t="shared" si="269"/>
        <v>2250</v>
      </c>
      <c r="N1092" s="112">
        <f t="shared" si="260"/>
        <v>17000000</v>
      </c>
      <c r="O1092" s="2">
        <f t="shared" si="270"/>
        <v>855065</v>
      </c>
      <c r="P1092" s="113">
        <f t="shared" si="271"/>
        <v>0</v>
      </c>
      <c r="Q1092" s="121">
        <f t="shared" si="261"/>
        <v>2162627</v>
      </c>
    </row>
    <row r="1093" spans="2:17" hidden="1" x14ac:dyDescent="0.4">
      <c r="B1093" s="110">
        <v>45014</v>
      </c>
      <c r="C1093" s="122">
        <f t="shared" si="262"/>
        <v>3000000</v>
      </c>
      <c r="D1093" s="111">
        <f t="shared" si="263"/>
        <v>19942</v>
      </c>
      <c r="E1093" s="2">
        <f t="shared" si="264"/>
        <v>2250</v>
      </c>
      <c r="F1093" s="112">
        <f t="shared" si="258"/>
        <v>17000000</v>
      </c>
      <c r="G1093" s="2">
        <f t="shared" si="265"/>
        <v>855065</v>
      </c>
      <c r="H1093" s="113">
        <f t="shared" si="266"/>
        <v>0</v>
      </c>
      <c r="I1093" s="121">
        <f t="shared" si="259"/>
        <v>2162627</v>
      </c>
      <c r="K1093" s="123">
        <f t="shared" si="267"/>
        <v>3000000</v>
      </c>
      <c r="L1093" s="111">
        <f t="shared" si="268"/>
        <v>19942</v>
      </c>
      <c r="M1093" s="2">
        <f t="shared" si="269"/>
        <v>2250</v>
      </c>
      <c r="N1093" s="112">
        <f t="shared" si="260"/>
        <v>17000000</v>
      </c>
      <c r="O1093" s="2">
        <f t="shared" si="270"/>
        <v>855065</v>
      </c>
      <c r="P1093" s="113">
        <f t="shared" si="271"/>
        <v>0</v>
      </c>
      <c r="Q1093" s="121">
        <f t="shared" si="261"/>
        <v>2162627</v>
      </c>
    </row>
    <row r="1094" spans="2:17" hidden="1" x14ac:dyDescent="0.4">
      <c r="B1094" s="110">
        <v>45015</v>
      </c>
      <c r="C1094" s="122">
        <f t="shared" si="262"/>
        <v>3000000</v>
      </c>
      <c r="D1094" s="111">
        <f t="shared" si="263"/>
        <v>19942</v>
      </c>
      <c r="E1094" s="2">
        <f t="shared" si="264"/>
        <v>2250</v>
      </c>
      <c r="F1094" s="112">
        <f t="shared" si="258"/>
        <v>17000000</v>
      </c>
      <c r="G1094" s="2">
        <f t="shared" si="265"/>
        <v>855065</v>
      </c>
      <c r="H1094" s="113">
        <f t="shared" si="266"/>
        <v>0</v>
      </c>
      <c r="I1094" s="121">
        <f t="shared" si="259"/>
        <v>2162627</v>
      </c>
      <c r="K1094" s="123">
        <f t="shared" si="267"/>
        <v>3000000</v>
      </c>
      <c r="L1094" s="111">
        <f t="shared" si="268"/>
        <v>19942</v>
      </c>
      <c r="M1094" s="2">
        <f t="shared" si="269"/>
        <v>2250</v>
      </c>
      <c r="N1094" s="112">
        <f t="shared" si="260"/>
        <v>17000000</v>
      </c>
      <c r="O1094" s="2">
        <f t="shared" si="270"/>
        <v>855065</v>
      </c>
      <c r="P1094" s="113">
        <f t="shared" si="271"/>
        <v>0</v>
      </c>
      <c r="Q1094" s="121">
        <f t="shared" si="261"/>
        <v>2162627</v>
      </c>
    </row>
    <row r="1095" spans="2:17" hidden="1" x14ac:dyDescent="0.4">
      <c r="B1095" s="110">
        <v>45016</v>
      </c>
      <c r="C1095" s="122">
        <f t="shared" si="262"/>
        <v>3000000</v>
      </c>
      <c r="D1095" s="111">
        <f t="shared" si="263"/>
        <v>19942</v>
      </c>
      <c r="E1095" s="2">
        <f t="shared" si="264"/>
        <v>2250</v>
      </c>
      <c r="F1095" s="112">
        <f t="shared" si="258"/>
        <v>17000000</v>
      </c>
      <c r="G1095" s="2">
        <f t="shared" si="265"/>
        <v>855065</v>
      </c>
      <c r="H1095" s="113">
        <f t="shared" si="266"/>
        <v>0</v>
      </c>
      <c r="I1095" s="121">
        <f t="shared" si="259"/>
        <v>2162627</v>
      </c>
      <c r="K1095" s="123">
        <f t="shared" si="267"/>
        <v>3000000</v>
      </c>
      <c r="L1095" s="111">
        <f t="shared" si="268"/>
        <v>19942</v>
      </c>
      <c r="M1095" s="2">
        <f t="shared" si="269"/>
        <v>2250</v>
      </c>
      <c r="N1095" s="112">
        <f t="shared" si="260"/>
        <v>17000000</v>
      </c>
      <c r="O1095" s="2">
        <f t="shared" si="270"/>
        <v>855065</v>
      </c>
      <c r="P1095" s="113">
        <f t="shared" si="271"/>
        <v>0</v>
      </c>
      <c r="Q1095" s="121">
        <f t="shared" si="261"/>
        <v>2162627</v>
      </c>
    </row>
    <row r="1096" spans="2:17" x14ac:dyDescent="0.4">
      <c r="B1096" s="110">
        <v>45017</v>
      </c>
      <c r="C1096" s="122">
        <f t="shared" si="262"/>
        <v>3000000</v>
      </c>
      <c r="D1096" s="111">
        <f t="shared" si="263"/>
        <v>19942</v>
      </c>
      <c r="E1096" s="2">
        <f t="shared" si="264"/>
        <v>2250</v>
      </c>
      <c r="F1096" s="112">
        <f t="shared" si="258"/>
        <v>17000000</v>
      </c>
      <c r="G1096" s="2">
        <f t="shared" si="265"/>
        <v>855065</v>
      </c>
      <c r="H1096" s="113">
        <f t="shared" si="266"/>
        <v>0</v>
      </c>
      <c r="I1096" s="121">
        <f t="shared" si="259"/>
        <v>2162627</v>
      </c>
      <c r="K1096" s="123">
        <f t="shared" si="267"/>
        <v>3000000</v>
      </c>
      <c r="L1096" s="111">
        <f t="shared" si="268"/>
        <v>19942</v>
      </c>
      <c r="M1096" s="2">
        <f t="shared" si="269"/>
        <v>2250</v>
      </c>
      <c r="N1096" s="112">
        <f t="shared" si="260"/>
        <v>17000000</v>
      </c>
      <c r="O1096" s="2">
        <f t="shared" si="270"/>
        <v>855065</v>
      </c>
      <c r="P1096" s="113">
        <f t="shared" si="271"/>
        <v>0</v>
      </c>
      <c r="Q1096" s="121">
        <f t="shared" si="261"/>
        <v>2162627</v>
      </c>
    </row>
    <row r="1097" spans="2:17" hidden="1" x14ac:dyDescent="0.4">
      <c r="B1097" s="110">
        <v>45018</v>
      </c>
      <c r="C1097" s="122">
        <f t="shared" si="262"/>
        <v>3000000</v>
      </c>
      <c r="D1097" s="111">
        <f t="shared" si="263"/>
        <v>19942</v>
      </c>
      <c r="E1097" s="2">
        <f t="shared" si="264"/>
        <v>2250</v>
      </c>
      <c r="F1097" s="112">
        <f t="shared" si="258"/>
        <v>17000000</v>
      </c>
      <c r="G1097" s="2">
        <f t="shared" si="265"/>
        <v>855065</v>
      </c>
      <c r="H1097" s="113">
        <f t="shared" si="266"/>
        <v>0</v>
      </c>
      <c r="I1097" s="121">
        <f t="shared" si="259"/>
        <v>2162627</v>
      </c>
      <c r="K1097" s="123">
        <f t="shared" si="267"/>
        <v>3000000</v>
      </c>
      <c r="L1097" s="111">
        <f t="shared" si="268"/>
        <v>19942</v>
      </c>
      <c r="M1097" s="2">
        <f t="shared" si="269"/>
        <v>2250</v>
      </c>
      <c r="N1097" s="112">
        <f t="shared" si="260"/>
        <v>17000000</v>
      </c>
      <c r="O1097" s="2">
        <f t="shared" si="270"/>
        <v>855065</v>
      </c>
      <c r="P1097" s="113">
        <f t="shared" si="271"/>
        <v>0</v>
      </c>
      <c r="Q1097" s="121">
        <f t="shared" si="261"/>
        <v>2162627</v>
      </c>
    </row>
    <row r="1098" spans="2:17" hidden="1" x14ac:dyDescent="0.4">
      <c r="B1098" s="110">
        <v>45019</v>
      </c>
      <c r="C1098" s="122">
        <f t="shared" si="262"/>
        <v>3000000</v>
      </c>
      <c r="D1098" s="111">
        <f t="shared" si="263"/>
        <v>19942</v>
      </c>
      <c r="E1098" s="2">
        <f t="shared" si="264"/>
        <v>2250</v>
      </c>
      <c r="F1098" s="112">
        <f t="shared" ref="F1098:F1161" si="272">20000000-C1098</f>
        <v>17000000</v>
      </c>
      <c r="G1098" s="2">
        <f t="shared" si="265"/>
        <v>855065</v>
      </c>
      <c r="H1098" s="113">
        <f t="shared" si="266"/>
        <v>0</v>
      </c>
      <c r="I1098" s="121">
        <f t="shared" ref="I1098:I1161" si="273">C1098+D1098-G1098-E1098+H1098</f>
        <v>2162627</v>
      </c>
      <c r="K1098" s="123">
        <f t="shared" si="267"/>
        <v>3000000</v>
      </c>
      <c r="L1098" s="111">
        <f t="shared" si="268"/>
        <v>19942</v>
      </c>
      <c r="M1098" s="2">
        <f t="shared" si="269"/>
        <v>2250</v>
      </c>
      <c r="N1098" s="112">
        <f t="shared" ref="N1098:N1161" si="274">20000000-K1098</f>
        <v>17000000</v>
      </c>
      <c r="O1098" s="2">
        <f t="shared" si="270"/>
        <v>855065</v>
      </c>
      <c r="P1098" s="113">
        <f t="shared" si="271"/>
        <v>0</v>
      </c>
      <c r="Q1098" s="121">
        <f t="shared" ref="Q1098:Q1161" si="275">K1098+L1098-O1098-M1098+P1098</f>
        <v>2162627</v>
      </c>
    </row>
    <row r="1099" spans="2:17" hidden="1" x14ac:dyDescent="0.4">
      <c r="B1099" s="110">
        <v>45020</v>
      </c>
      <c r="C1099" s="122">
        <f t="shared" ref="C1099:C1162" si="276">SUMIF($B$6:$B$75,$B1099,$D$6:$D$75)+C1098</f>
        <v>3000000</v>
      </c>
      <c r="D1099" s="111">
        <f t="shared" ref="D1099:D1162" si="277">SUMIF($B$6:$B$75,$B1099,$E$6:$E$75)+D1098</f>
        <v>19942</v>
      </c>
      <c r="E1099" s="2">
        <f t="shared" ref="E1099:E1162" si="278">SUMIF($G$353:$G$376,$B1099,$J$353:$J$376)+SUMIF($E$353:$E$376,$B1099,$H$353:$H$376)+SUMIF($G$353:$G$376,$B1099,$I$353:$I$376)+E1098</f>
        <v>2250</v>
      </c>
      <c r="F1099" s="112">
        <f t="shared" si="272"/>
        <v>17000000</v>
      </c>
      <c r="G1099" s="2">
        <f t="shared" ref="G1099:G1162" si="279">SUMIF($E$353:$E$376,$B1099,$M$353:$M$376)+G1098</f>
        <v>855065</v>
      </c>
      <c r="H1099" s="113">
        <f t="shared" ref="H1099:H1162" si="280">SUMIF($G$353:$G$376,$B1099,$N$353:$N$376)+H1098</f>
        <v>0</v>
      </c>
      <c r="I1099" s="121">
        <f t="shared" si="273"/>
        <v>2162627</v>
      </c>
      <c r="K1099" s="123">
        <f t="shared" ref="K1099:K1162" si="281">SUMIF($B$6:$B$75,$B1099,$D$6:$D$75)+K1098</f>
        <v>3000000</v>
      </c>
      <c r="L1099" s="111">
        <f t="shared" ref="L1099:L1162" si="282">SUMIF($B$6:$B$75,$B1099,$E$6:$E$75)+L1098</f>
        <v>19942</v>
      </c>
      <c r="M1099" s="2">
        <f t="shared" ref="M1099:M1162" si="283">SUMIF($G$353:$G$376,$B1099,$J$353:$J$376)+SUMIF($E$353:$E$376,$B1099,$H$353:$H$376)+SUMIF($G$353:$G$376,$B1099,$I$353:$I$376)+M1098</f>
        <v>2250</v>
      </c>
      <c r="N1099" s="112">
        <f t="shared" si="274"/>
        <v>17000000</v>
      </c>
      <c r="O1099" s="2">
        <f t="shared" ref="O1099:O1162" si="284">SUMIF($E$353:$E$376,$B1099,$M$353:$M$376)+O1098</f>
        <v>855065</v>
      </c>
      <c r="P1099" s="113">
        <f t="shared" ref="P1099:P1162" si="285">SUMIF($G$353:$G$376,$B1099,$N$353:$N$376)+P1098</f>
        <v>0</v>
      </c>
      <c r="Q1099" s="121">
        <f t="shared" si="275"/>
        <v>2162627</v>
      </c>
    </row>
    <row r="1100" spans="2:17" hidden="1" x14ac:dyDescent="0.4">
      <c r="B1100" s="110">
        <v>45021</v>
      </c>
      <c r="C1100" s="122">
        <f t="shared" si="276"/>
        <v>3000000</v>
      </c>
      <c r="D1100" s="111">
        <f t="shared" si="277"/>
        <v>19942</v>
      </c>
      <c r="E1100" s="2">
        <f t="shared" si="278"/>
        <v>2250</v>
      </c>
      <c r="F1100" s="112">
        <f t="shared" si="272"/>
        <v>17000000</v>
      </c>
      <c r="G1100" s="2">
        <f t="shared" si="279"/>
        <v>855065</v>
      </c>
      <c r="H1100" s="113">
        <f t="shared" si="280"/>
        <v>0</v>
      </c>
      <c r="I1100" s="121">
        <f t="shared" si="273"/>
        <v>2162627</v>
      </c>
      <c r="K1100" s="123">
        <f t="shared" si="281"/>
        <v>3000000</v>
      </c>
      <c r="L1100" s="111">
        <f t="shared" si="282"/>
        <v>19942</v>
      </c>
      <c r="M1100" s="2">
        <f t="shared" si="283"/>
        <v>2250</v>
      </c>
      <c r="N1100" s="112">
        <f t="shared" si="274"/>
        <v>17000000</v>
      </c>
      <c r="O1100" s="2">
        <f t="shared" si="284"/>
        <v>855065</v>
      </c>
      <c r="P1100" s="113">
        <f t="shared" si="285"/>
        <v>0</v>
      </c>
      <c r="Q1100" s="121">
        <f t="shared" si="275"/>
        <v>2162627</v>
      </c>
    </row>
    <row r="1101" spans="2:17" hidden="1" x14ac:dyDescent="0.4">
      <c r="B1101" s="110">
        <v>45022</v>
      </c>
      <c r="C1101" s="122">
        <f t="shared" si="276"/>
        <v>3000000</v>
      </c>
      <c r="D1101" s="111">
        <f t="shared" si="277"/>
        <v>19942</v>
      </c>
      <c r="E1101" s="2">
        <f t="shared" si="278"/>
        <v>2250</v>
      </c>
      <c r="F1101" s="112">
        <f t="shared" si="272"/>
        <v>17000000</v>
      </c>
      <c r="G1101" s="2">
        <f t="shared" si="279"/>
        <v>855065</v>
      </c>
      <c r="H1101" s="113">
        <f t="shared" si="280"/>
        <v>0</v>
      </c>
      <c r="I1101" s="121">
        <f t="shared" si="273"/>
        <v>2162627</v>
      </c>
      <c r="K1101" s="123">
        <f t="shared" si="281"/>
        <v>3000000</v>
      </c>
      <c r="L1101" s="111">
        <f t="shared" si="282"/>
        <v>19942</v>
      </c>
      <c r="M1101" s="2">
        <f t="shared" si="283"/>
        <v>2250</v>
      </c>
      <c r="N1101" s="112">
        <f t="shared" si="274"/>
        <v>17000000</v>
      </c>
      <c r="O1101" s="2">
        <f t="shared" si="284"/>
        <v>855065</v>
      </c>
      <c r="P1101" s="113">
        <f t="shared" si="285"/>
        <v>0</v>
      </c>
      <c r="Q1101" s="121">
        <f t="shared" si="275"/>
        <v>2162627</v>
      </c>
    </row>
    <row r="1102" spans="2:17" hidden="1" x14ac:dyDescent="0.4">
      <c r="B1102" s="110">
        <v>45023</v>
      </c>
      <c r="C1102" s="122">
        <f t="shared" si="276"/>
        <v>3000000</v>
      </c>
      <c r="D1102" s="111">
        <f t="shared" si="277"/>
        <v>35745</v>
      </c>
      <c r="E1102" s="2">
        <f t="shared" si="278"/>
        <v>2250</v>
      </c>
      <c r="F1102" s="112">
        <f t="shared" si="272"/>
        <v>17000000</v>
      </c>
      <c r="G1102" s="2">
        <f t="shared" si="279"/>
        <v>855065</v>
      </c>
      <c r="H1102" s="113">
        <f t="shared" si="280"/>
        <v>9.9999999999999998E-13</v>
      </c>
      <c r="I1102" s="121">
        <f t="shared" si="273"/>
        <v>2178430</v>
      </c>
      <c r="K1102" s="123">
        <f t="shared" si="281"/>
        <v>3000000</v>
      </c>
      <c r="L1102" s="111">
        <f t="shared" si="282"/>
        <v>35745</v>
      </c>
      <c r="M1102" s="2">
        <f t="shared" si="283"/>
        <v>2250</v>
      </c>
      <c r="N1102" s="112">
        <f t="shared" si="274"/>
        <v>17000000</v>
      </c>
      <c r="O1102" s="2">
        <f t="shared" si="284"/>
        <v>855065</v>
      </c>
      <c r="P1102" s="113">
        <f t="shared" si="285"/>
        <v>9.9999999999999998E-13</v>
      </c>
      <c r="Q1102" s="121">
        <f t="shared" si="275"/>
        <v>2178430</v>
      </c>
    </row>
    <row r="1103" spans="2:17" hidden="1" x14ac:dyDescent="0.4">
      <c r="B1103" s="110">
        <v>45024</v>
      </c>
      <c r="C1103" s="122">
        <f t="shared" si="276"/>
        <v>3000000</v>
      </c>
      <c r="D1103" s="111">
        <f t="shared" si="277"/>
        <v>35745</v>
      </c>
      <c r="E1103" s="2">
        <f t="shared" si="278"/>
        <v>2250</v>
      </c>
      <c r="F1103" s="112">
        <f t="shared" si="272"/>
        <v>17000000</v>
      </c>
      <c r="G1103" s="2">
        <f t="shared" si="279"/>
        <v>855065</v>
      </c>
      <c r="H1103" s="113">
        <f t="shared" si="280"/>
        <v>9.9999999999999998E-13</v>
      </c>
      <c r="I1103" s="121">
        <f t="shared" si="273"/>
        <v>2178430</v>
      </c>
      <c r="K1103" s="123">
        <f t="shared" si="281"/>
        <v>3000000</v>
      </c>
      <c r="L1103" s="111">
        <f t="shared" si="282"/>
        <v>35745</v>
      </c>
      <c r="M1103" s="2">
        <f t="shared" si="283"/>
        <v>2250</v>
      </c>
      <c r="N1103" s="112">
        <f t="shared" si="274"/>
        <v>17000000</v>
      </c>
      <c r="O1103" s="2">
        <f t="shared" si="284"/>
        <v>855065</v>
      </c>
      <c r="P1103" s="113">
        <f t="shared" si="285"/>
        <v>9.9999999999999998E-13</v>
      </c>
      <c r="Q1103" s="121">
        <f t="shared" si="275"/>
        <v>2178430</v>
      </c>
    </row>
    <row r="1104" spans="2:17" hidden="1" x14ac:dyDescent="0.4">
      <c r="B1104" s="110">
        <v>45025</v>
      </c>
      <c r="C1104" s="122">
        <f t="shared" si="276"/>
        <v>3000000</v>
      </c>
      <c r="D1104" s="111">
        <f t="shared" si="277"/>
        <v>35745</v>
      </c>
      <c r="E1104" s="2">
        <f t="shared" si="278"/>
        <v>2250</v>
      </c>
      <c r="F1104" s="112">
        <f t="shared" si="272"/>
        <v>17000000</v>
      </c>
      <c r="G1104" s="2">
        <f t="shared" si="279"/>
        <v>855065</v>
      </c>
      <c r="H1104" s="113">
        <f t="shared" si="280"/>
        <v>9.9999999999999998E-13</v>
      </c>
      <c r="I1104" s="121">
        <f t="shared" si="273"/>
        <v>2178430</v>
      </c>
      <c r="K1104" s="123">
        <f t="shared" si="281"/>
        <v>3000000</v>
      </c>
      <c r="L1104" s="111">
        <f t="shared" si="282"/>
        <v>35745</v>
      </c>
      <c r="M1104" s="2">
        <f t="shared" si="283"/>
        <v>2250</v>
      </c>
      <c r="N1104" s="112">
        <f t="shared" si="274"/>
        <v>17000000</v>
      </c>
      <c r="O1104" s="2">
        <f t="shared" si="284"/>
        <v>855065</v>
      </c>
      <c r="P1104" s="113">
        <f t="shared" si="285"/>
        <v>9.9999999999999998E-13</v>
      </c>
      <c r="Q1104" s="121">
        <f t="shared" si="275"/>
        <v>2178430</v>
      </c>
    </row>
    <row r="1105" spans="2:17" hidden="1" x14ac:dyDescent="0.4">
      <c r="B1105" s="110">
        <v>45026</v>
      </c>
      <c r="C1105" s="122">
        <f t="shared" si="276"/>
        <v>3000000</v>
      </c>
      <c r="D1105" s="111">
        <f t="shared" si="277"/>
        <v>35745</v>
      </c>
      <c r="E1105" s="2">
        <f t="shared" si="278"/>
        <v>2250</v>
      </c>
      <c r="F1105" s="112">
        <f t="shared" si="272"/>
        <v>17000000</v>
      </c>
      <c r="G1105" s="2">
        <f t="shared" si="279"/>
        <v>855065</v>
      </c>
      <c r="H1105" s="113">
        <f t="shared" si="280"/>
        <v>9.9999999999999998E-13</v>
      </c>
      <c r="I1105" s="121">
        <f t="shared" si="273"/>
        <v>2178430</v>
      </c>
      <c r="K1105" s="123">
        <f t="shared" si="281"/>
        <v>3000000</v>
      </c>
      <c r="L1105" s="111">
        <f t="shared" si="282"/>
        <v>35745</v>
      </c>
      <c r="M1105" s="2">
        <f t="shared" si="283"/>
        <v>2250</v>
      </c>
      <c r="N1105" s="112">
        <f t="shared" si="274"/>
        <v>17000000</v>
      </c>
      <c r="O1105" s="2">
        <f t="shared" si="284"/>
        <v>855065</v>
      </c>
      <c r="P1105" s="113">
        <f t="shared" si="285"/>
        <v>9.9999999999999998E-13</v>
      </c>
      <c r="Q1105" s="121">
        <f t="shared" si="275"/>
        <v>2178430</v>
      </c>
    </row>
    <row r="1106" spans="2:17" hidden="1" x14ac:dyDescent="0.4">
      <c r="B1106" s="110">
        <v>45027</v>
      </c>
      <c r="C1106" s="122">
        <f t="shared" si="276"/>
        <v>3000000</v>
      </c>
      <c r="D1106" s="111">
        <f t="shared" si="277"/>
        <v>35745</v>
      </c>
      <c r="E1106" s="2">
        <f t="shared" si="278"/>
        <v>2250</v>
      </c>
      <c r="F1106" s="112">
        <f t="shared" si="272"/>
        <v>17000000</v>
      </c>
      <c r="G1106" s="2">
        <f t="shared" si="279"/>
        <v>855065</v>
      </c>
      <c r="H1106" s="113">
        <f t="shared" si="280"/>
        <v>9.9999999999999998E-13</v>
      </c>
      <c r="I1106" s="121">
        <f t="shared" si="273"/>
        <v>2178430</v>
      </c>
      <c r="K1106" s="123">
        <f t="shared" si="281"/>
        <v>3000000</v>
      </c>
      <c r="L1106" s="111">
        <f t="shared" si="282"/>
        <v>35745</v>
      </c>
      <c r="M1106" s="2">
        <f t="shared" si="283"/>
        <v>2250</v>
      </c>
      <c r="N1106" s="112">
        <f t="shared" si="274"/>
        <v>17000000</v>
      </c>
      <c r="O1106" s="2">
        <f t="shared" si="284"/>
        <v>855065</v>
      </c>
      <c r="P1106" s="113">
        <f t="shared" si="285"/>
        <v>9.9999999999999998E-13</v>
      </c>
      <c r="Q1106" s="121">
        <f t="shared" si="275"/>
        <v>2178430</v>
      </c>
    </row>
    <row r="1107" spans="2:17" hidden="1" x14ac:dyDescent="0.4">
      <c r="B1107" s="110">
        <v>45028</v>
      </c>
      <c r="C1107" s="122">
        <f t="shared" si="276"/>
        <v>3000000</v>
      </c>
      <c r="D1107" s="111">
        <f t="shared" si="277"/>
        <v>35745</v>
      </c>
      <c r="E1107" s="2">
        <f t="shared" si="278"/>
        <v>2250</v>
      </c>
      <c r="F1107" s="112">
        <f t="shared" si="272"/>
        <v>17000000</v>
      </c>
      <c r="G1107" s="2">
        <f t="shared" si="279"/>
        <v>855065</v>
      </c>
      <c r="H1107" s="113">
        <f t="shared" si="280"/>
        <v>9.9999999999999998E-13</v>
      </c>
      <c r="I1107" s="121">
        <f t="shared" si="273"/>
        <v>2178430</v>
      </c>
      <c r="K1107" s="123">
        <f t="shared" si="281"/>
        <v>3000000</v>
      </c>
      <c r="L1107" s="111">
        <f t="shared" si="282"/>
        <v>35745</v>
      </c>
      <c r="M1107" s="2">
        <f t="shared" si="283"/>
        <v>2250</v>
      </c>
      <c r="N1107" s="112">
        <f t="shared" si="274"/>
        <v>17000000</v>
      </c>
      <c r="O1107" s="2">
        <f t="shared" si="284"/>
        <v>855065</v>
      </c>
      <c r="P1107" s="113">
        <f t="shared" si="285"/>
        <v>9.9999999999999998E-13</v>
      </c>
      <c r="Q1107" s="121">
        <f t="shared" si="275"/>
        <v>2178430</v>
      </c>
    </row>
    <row r="1108" spans="2:17" hidden="1" x14ac:dyDescent="0.4">
      <c r="B1108" s="110">
        <v>45029</v>
      </c>
      <c r="C1108" s="122">
        <f t="shared" si="276"/>
        <v>3000000</v>
      </c>
      <c r="D1108" s="111">
        <f t="shared" si="277"/>
        <v>35745</v>
      </c>
      <c r="E1108" s="2">
        <f t="shared" si="278"/>
        <v>2250</v>
      </c>
      <c r="F1108" s="112">
        <f t="shared" si="272"/>
        <v>17000000</v>
      </c>
      <c r="G1108" s="2">
        <f t="shared" si="279"/>
        <v>855065</v>
      </c>
      <c r="H1108" s="113">
        <f t="shared" si="280"/>
        <v>9.9999999999999998E-13</v>
      </c>
      <c r="I1108" s="121">
        <f t="shared" si="273"/>
        <v>2178430</v>
      </c>
      <c r="K1108" s="123">
        <f t="shared" si="281"/>
        <v>3000000</v>
      </c>
      <c r="L1108" s="111">
        <f t="shared" si="282"/>
        <v>35745</v>
      </c>
      <c r="M1108" s="2">
        <f t="shared" si="283"/>
        <v>2250</v>
      </c>
      <c r="N1108" s="112">
        <f t="shared" si="274"/>
        <v>17000000</v>
      </c>
      <c r="O1108" s="2">
        <f t="shared" si="284"/>
        <v>855065</v>
      </c>
      <c r="P1108" s="113">
        <f t="shared" si="285"/>
        <v>9.9999999999999998E-13</v>
      </c>
      <c r="Q1108" s="121">
        <f t="shared" si="275"/>
        <v>2178430</v>
      </c>
    </row>
    <row r="1109" spans="2:17" hidden="1" x14ac:dyDescent="0.4">
      <c r="B1109" s="110">
        <v>45030</v>
      </c>
      <c r="C1109" s="122">
        <f t="shared" si="276"/>
        <v>3000000</v>
      </c>
      <c r="D1109" s="111">
        <f t="shared" si="277"/>
        <v>37917</v>
      </c>
      <c r="E1109" s="2">
        <f t="shared" si="278"/>
        <v>2250</v>
      </c>
      <c r="F1109" s="112">
        <f t="shared" si="272"/>
        <v>17000000</v>
      </c>
      <c r="G1109" s="2">
        <f t="shared" si="279"/>
        <v>855065</v>
      </c>
      <c r="H1109" s="113">
        <f t="shared" si="280"/>
        <v>9.9999999999999998E-13</v>
      </c>
      <c r="I1109" s="121">
        <f t="shared" si="273"/>
        <v>2180602</v>
      </c>
      <c r="K1109" s="123">
        <f t="shared" si="281"/>
        <v>3000000</v>
      </c>
      <c r="L1109" s="111">
        <f t="shared" si="282"/>
        <v>37917</v>
      </c>
      <c r="M1109" s="2">
        <f t="shared" si="283"/>
        <v>2250</v>
      </c>
      <c r="N1109" s="112">
        <f t="shared" si="274"/>
        <v>17000000</v>
      </c>
      <c r="O1109" s="2">
        <f t="shared" si="284"/>
        <v>855065</v>
      </c>
      <c r="P1109" s="113">
        <f t="shared" si="285"/>
        <v>9.9999999999999998E-13</v>
      </c>
      <c r="Q1109" s="121">
        <f t="shared" si="275"/>
        <v>2180602</v>
      </c>
    </row>
    <row r="1110" spans="2:17" hidden="1" x14ac:dyDescent="0.4">
      <c r="B1110" s="110">
        <v>45031</v>
      </c>
      <c r="C1110" s="122">
        <f t="shared" si="276"/>
        <v>3000000</v>
      </c>
      <c r="D1110" s="111">
        <f t="shared" si="277"/>
        <v>37917</v>
      </c>
      <c r="E1110" s="2">
        <f t="shared" si="278"/>
        <v>2250</v>
      </c>
      <c r="F1110" s="112">
        <f t="shared" si="272"/>
        <v>17000000</v>
      </c>
      <c r="G1110" s="2">
        <f t="shared" si="279"/>
        <v>855065</v>
      </c>
      <c r="H1110" s="113">
        <f t="shared" si="280"/>
        <v>9.9999999999999998E-13</v>
      </c>
      <c r="I1110" s="121">
        <f t="shared" si="273"/>
        <v>2180602</v>
      </c>
      <c r="K1110" s="123">
        <f t="shared" si="281"/>
        <v>3000000</v>
      </c>
      <c r="L1110" s="111">
        <f t="shared" si="282"/>
        <v>37917</v>
      </c>
      <c r="M1110" s="2">
        <f t="shared" si="283"/>
        <v>2250</v>
      </c>
      <c r="N1110" s="112">
        <f t="shared" si="274"/>
        <v>17000000</v>
      </c>
      <c r="O1110" s="2">
        <f t="shared" si="284"/>
        <v>855065</v>
      </c>
      <c r="P1110" s="113">
        <f t="shared" si="285"/>
        <v>9.9999999999999998E-13</v>
      </c>
      <c r="Q1110" s="121">
        <f t="shared" si="275"/>
        <v>2180602</v>
      </c>
    </row>
    <row r="1111" spans="2:17" hidden="1" x14ac:dyDescent="0.4">
      <c r="B1111" s="110">
        <v>45032</v>
      </c>
      <c r="C1111" s="122">
        <f t="shared" si="276"/>
        <v>3000000</v>
      </c>
      <c r="D1111" s="111">
        <f t="shared" si="277"/>
        <v>37917</v>
      </c>
      <c r="E1111" s="2">
        <f t="shared" si="278"/>
        <v>2250</v>
      </c>
      <c r="F1111" s="112">
        <f t="shared" si="272"/>
        <v>17000000</v>
      </c>
      <c r="G1111" s="2">
        <f t="shared" si="279"/>
        <v>855065</v>
      </c>
      <c r="H1111" s="113">
        <f t="shared" si="280"/>
        <v>9.9999999999999998E-13</v>
      </c>
      <c r="I1111" s="121">
        <f t="shared" si="273"/>
        <v>2180602</v>
      </c>
      <c r="K1111" s="123">
        <f t="shared" si="281"/>
        <v>3000000</v>
      </c>
      <c r="L1111" s="111">
        <f t="shared" si="282"/>
        <v>37917</v>
      </c>
      <c r="M1111" s="2">
        <f t="shared" si="283"/>
        <v>2250</v>
      </c>
      <c r="N1111" s="112">
        <f t="shared" si="274"/>
        <v>17000000</v>
      </c>
      <c r="O1111" s="2">
        <f t="shared" si="284"/>
        <v>855065</v>
      </c>
      <c r="P1111" s="113">
        <f t="shared" si="285"/>
        <v>9.9999999999999998E-13</v>
      </c>
      <c r="Q1111" s="121">
        <f t="shared" si="275"/>
        <v>2180602</v>
      </c>
    </row>
    <row r="1112" spans="2:17" hidden="1" x14ac:dyDescent="0.4">
      <c r="B1112" s="110">
        <v>45033</v>
      </c>
      <c r="C1112" s="122">
        <f t="shared" si="276"/>
        <v>3000000</v>
      </c>
      <c r="D1112" s="111">
        <f t="shared" si="277"/>
        <v>37917</v>
      </c>
      <c r="E1112" s="2">
        <f t="shared" si="278"/>
        <v>2250</v>
      </c>
      <c r="F1112" s="112">
        <f t="shared" si="272"/>
        <v>17000000</v>
      </c>
      <c r="G1112" s="2">
        <f t="shared" si="279"/>
        <v>855065</v>
      </c>
      <c r="H1112" s="113">
        <f t="shared" si="280"/>
        <v>9.9999999999999998E-13</v>
      </c>
      <c r="I1112" s="121">
        <f t="shared" si="273"/>
        <v>2180602</v>
      </c>
      <c r="K1112" s="123">
        <f t="shared" si="281"/>
        <v>3000000</v>
      </c>
      <c r="L1112" s="111">
        <f t="shared" si="282"/>
        <v>37917</v>
      </c>
      <c r="M1112" s="2">
        <f t="shared" si="283"/>
        <v>2250</v>
      </c>
      <c r="N1112" s="112">
        <f t="shared" si="274"/>
        <v>17000000</v>
      </c>
      <c r="O1112" s="2">
        <f t="shared" si="284"/>
        <v>855065</v>
      </c>
      <c r="P1112" s="113">
        <f t="shared" si="285"/>
        <v>9.9999999999999998E-13</v>
      </c>
      <c r="Q1112" s="121">
        <f t="shared" si="275"/>
        <v>2180602</v>
      </c>
    </row>
    <row r="1113" spans="2:17" hidden="1" x14ac:dyDescent="0.4">
      <c r="B1113" s="110">
        <v>45034</v>
      </c>
      <c r="C1113" s="122">
        <f t="shared" si="276"/>
        <v>3000000</v>
      </c>
      <c r="D1113" s="111">
        <f t="shared" si="277"/>
        <v>37917</v>
      </c>
      <c r="E1113" s="2">
        <f t="shared" si="278"/>
        <v>2250</v>
      </c>
      <c r="F1113" s="112">
        <f t="shared" si="272"/>
        <v>17000000</v>
      </c>
      <c r="G1113" s="2">
        <f t="shared" si="279"/>
        <v>855065</v>
      </c>
      <c r="H1113" s="113">
        <f t="shared" si="280"/>
        <v>9.9999999999999998E-13</v>
      </c>
      <c r="I1113" s="121">
        <f t="shared" si="273"/>
        <v>2180602</v>
      </c>
      <c r="K1113" s="123">
        <f t="shared" si="281"/>
        <v>3000000</v>
      </c>
      <c r="L1113" s="111">
        <f t="shared" si="282"/>
        <v>37917</v>
      </c>
      <c r="M1113" s="2">
        <f t="shared" si="283"/>
        <v>2250</v>
      </c>
      <c r="N1113" s="112">
        <f t="shared" si="274"/>
        <v>17000000</v>
      </c>
      <c r="O1113" s="2">
        <f t="shared" si="284"/>
        <v>855065</v>
      </c>
      <c r="P1113" s="113">
        <f t="shared" si="285"/>
        <v>9.9999999999999998E-13</v>
      </c>
      <c r="Q1113" s="121">
        <f t="shared" si="275"/>
        <v>2180602</v>
      </c>
    </row>
    <row r="1114" spans="2:17" hidden="1" x14ac:dyDescent="0.4">
      <c r="B1114" s="110">
        <v>45035</v>
      </c>
      <c r="C1114" s="122">
        <f t="shared" si="276"/>
        <v>3000000</v>
      </c>
      <c r="D1114" s="111">
        <f t="shared" si="277"/>
        <v>37917</v>
      </c>
      <c r="E1114" s="2">
        <f t="shared" si="278"/>
        <v>2250</v>
      </c>
      <c r="F1114" s="112">
        <f t="shared" si="272"/>
        <v>17000000</v>
      </c>
      <c r="G1114" s="2">
        <f t="shared" si="279"/>
        <v>855065</v>
      </c>
      <c r="H1114" s="113">
        <f t="shared" si="280"/>
        <v>9.9999999999999998E-13</v>
      </c>
      <c r="I1114" s="121">
        <f t="shared" si="273"/>
        <v>2180602</v>
      </c>
      <c r="K1114" s="123">
        <f t="shared" si="281"/>
        <v>3000000</v>
      </c>
      <c r="L1114" s="111">
        <f t="shared" si="282"/>
        <v>37917</v>
      </c>
      <c r="M1114" s="2">
        <f t="shared" si="283"/>
        <v>2250</v>
      </c>
      <c r="N1114" s="112">
        <f t="shared" si="274"/>
        <v>17000000</v>
      </c>
      <c r="O1114" s="2">
        <f t="shared" si="284"/>
        <v>855065</v>
      </c>
      <c r="P1114" s="113">
        <f t="shared" si="285"/>
        <v>9.9999999999999998E-13</v>
      </c>
      <c r="Q1114" s="121">
        <f t="shared" si="275"/>
        <v>2180602</v>
      </c>
    </row>
    <row r="1115" spans="2:17" hidden="1" x14ac:dyDescent="0.4">
      <c r="B1115" s="110">
        <v>45036</v>
      </c>
      <c r="C1115" s="122">
        <f t="shared" si="276"/>
        <v>3000000</v>
      </c>
      <c r="D1115" s="111">
        <f t="shared" si="277"/>
        <v>37917</v>
      </c>
      <c r="E1115" s="2">
        <f t="shared" si="278"/>
        <v>2250</v>
      </c>
      <c r="F1115" s="112">
        <f t="shared" si="272"/>
        <v>17000000</v>
      </c>
      <c r="G1115" s="2">
        <f t="shared" si="279"/>
        <v>855065</v>
      </c>
      <c r="H1115" s="113">
        <f t="shared" si="280"/>
        <v>9.9999999999999998E-13</v>
      </c>
      <c r="I1115" s="121">
        <f t="shared" si="273"/>
        <v>2180602</v>
      </c>
      <c r="K1115" s="123">
        <f t="shared" si="281"/>
        <v>3000000</v>
      </c>
      <c r="L1115" s="111">
        <f t="shared" si="282"/>
        <v>37917</v>
      </c>
      <c r="M1115" s="2">
        <f t="shared" si="283"/>
        <v>2250</v>
      </c>
      <c r="N1115" s="112">
        <f t="shared" si="274"/>
        <v>17000000</v>
      </c>
      <c r="O1115" s="2">
        <f t="shared" si="284"/>
        <v>855065</v>
      </c>
      <c r="P1115" s="113">
        <f t="shared" si="285"/>
        <v>9.9999999999999998E-13</v>
      </c>
      <c r="Q1115" s="121">
        <f t="shared" si="275"/>
        <v>2180602</v>
      </c>
    </row>
    <row r="1116" spans="2:17" hidden="1" x14ac:dyDescent="0.4">
      <c r="B1116" s="110">
        <v>45037</v>
      </c>
      <c r="C1116" s="122">
        <f t="shared" si="276"/>
        <v>3000000</v>
      </c>
      <c r="D1116" s="111">
        <f t="shared" si="277"/>
        <v>38163</v>
      </c>
      <c r="E1116" s="2">
        <f t="shared" si="278"/>
        <v>2250</v>
      </c>
      <c r="F1116" s="112">
        <f t="shared" si="272"/>
        <v>17000000</v>
      </c>
      <c r="G1116" s="2">
        <f t="shared" si="279"/>
        <v>855065</v>
      </c>
      <c r="H1116" s="113">
        <f t="shared" si="280"/>
        <v>9.9999999999999998E-13</v>
      </c>
      <c r="I1116" s="121">
        <f t="shared" si="273"/>
        <v>2180848</v>
      </c>
      <c r="K1116" s="123">
        <f t="shared" si="281"/>
        <v>3000000</v>
      </c>
      <c r="L1116" s="111">
        <f t="shared" si="282"/>
        <v>38163</v>
      </c>
      <c r="M1116" s="2">
        <f t="shared" si="283"/>
        <v>2250</v>
      </c>
      <c r="N1116" s="112">
        <f t="shared" si="274"/>
        <v>17000000</v>
      </c>
      <c r="O1116" s="2">
        <f t="shared" si="284"/>
        <v>855065</v>
      </c>
      <c r="P1116" s="113">
        <f t="shared" si="285"/>
        <v>9.9999999999999998E-13</v>
      </c>
      <c r="Q1116" s="121">
        <f t="shared" si="275"/>
        <v>2180848</v>
      </c>
    </row>
    <row r="1117" spans="2:17" hidden="1" x14ac:dyDescent="0.4">
      <c r="B1117" s="110">
        <v>45038</v>
      </c>
      <c r="C1117" s="122">
        <f t="shared" si="276"/>
        <v>3000000</v>
      </c>
      <c r="D1117" s="111">
        <f t="shared" si="277"/>
        <v>38163</v>
      </c>
      <c r="E1117" s="2">
        <f t="shared" si="278"/>
        <v>2250</v>
      </c>
      <c r="F1117" s="112">
        <f t="shared" si="272"/>
        <v>17000000</v>
      </c>
      <c r="G1117" s="2">
        <f t="shared" si="279"/>
        <v>855065</v>
      </c>
      <c r="H1117" s="113">
        <f t="shared" si="280"/>
        <v>9.9999999999999998E-13</v>
      </c>
      <c r="I1117" s="121">
        <f t="shared" si="273"/>
        <v>2180848</v>
      </c>
      <c r="K1117" s="123">
        <f t="shared" si="281"/>
        <v>3000000</v>
      </c>
      <c r="L1117" s="111">
        <f t="shared" si="282"/>
        <v>38163</v>
      </c>
      <c r="M1117" s="2">
        <f t="shared" si="283"/>
        <v>2250</v>
      </c>
      <c r="N1117" s="112">
        <f t="shared" si="274"/>
        <v>17000000</v>
      </c>
      <c r="O1117" s="2">
        <f t="shared" si="284"/>
        <v>855065</v>
      </c>
      <c r="P1117" s="113">
        <f t="shared" si="285"/>
        <v>9.9999999999999998E-13</v>
      </c>
      <c r="Q1117" s="121">
        <f t="shared" si="275"/>
        <v>2180848</v>
      </c>
    </row>
    <row r="1118" spans="2:17" hidden="1" x14ac:dyDescent="0.4">
      <c r="B1118" s="110">
        <v>45039</v>
      </c>
      <c r="C1118" s="122">
        <f t="shared" si="276"/>
        <v>3000000</v>
      </c>
      <c r="D1118" s="111">
        <f t="shared" si="277"/>
        <v>38163</v>
      </c>
      <c r="E1118" s="2">
        <f t="shared" si="278"/>
        <v>2250</v>
      </c>
      <c r="F1118" s="112">
        <f t="shared" si="272"/>
        <v>17000000</v>
      </c>
      <c r="G1118" s="2">
        <f t="shared" si="279"/>
        <v>855065</v>
      </c>
      <c r="H1118" s="113">
        <f t="shared" si="280"/>
        <v>9.9999999999999998E-13</v>
      </c>
      <c r="I1118" s="121">
        <f t="shared" si="273"/>
        <v>2180848</v>
      </c>
      <c r="K1118" s="123">
        <f t="shared" si="281"/>
        <v>3000000</v>
      </c>
      <c r="L1118" s="111">
        <f t="shared" si="282"/>
        <v>38163</v>
      </c>
      <c r="M1118" s="2">
        <f t="shared" si="283"/>
        <v>2250</v>
      </c>
      <c r="N1118" s="112">
        <f t="shared" si="274"/>
        <v>17000000</v>
      </c>
      <c r="O1118" s="2">
        <f t="shared" si="284"/>
        <v>855065</v>
      </c>
      <c r="P1118" s="113">
        <f t="shared" si="285"/>
        <v>9.9999999999999998E-13</v>
      </c>
      <c r="Q1118" s="121">
        <f t="shared" si="275"/>
        <v>2180848</v>
      </c>
    </row>
    <row r="1119" spans="2:17" hidden="1" x14ac:dyDescent="0.4">
      <c r="B1119" s="110">
        <v>45040</v>
      </c>
      <c r="C1119" s="122">
        <f t="shared" si="276"/>
        <v>3000000</v>
      </c>
      <c r="D1119" s="111">
        <f t="shared" si="277"/>
        <v>38163</v>
      </c>
      <c r="E1119" s="2">
        <f t="shared" si="278"/>
        <v>2250</v>
      </c>
      <c r="F1119" s="112">
        <f t="shared" si="272"/>
        <v>17000000</v>
      </c>
      <c r="G1119" s="2">
        <f t="shared" si="279"/>
        <v>855065</v>
      </c>
      <c r="H1119" s="113">
        <f t="shared" si="280"/>
        <v>9.9999999999999998E-13</v>
      </c>
      <c r="I1119" s="121">
        <f t="shared" si="273"/>
        <v>2180848</v>
      </c>
      <c r="K1119" s="123">
        <f t="shared" si="281"/>
        <v>3000000</v>
      </c>
      <c r="L1119" s="111">
        <f t="shared" si="282"/>
        <v>38163</v>
      </c>
      <c r="M1119" s="2">
        <f t="shared" si="283"/>
        <v>2250</v>
      </c>
      <c r="N1119" s="112">
        <f t="shared" si="274"/>
        <v>17000000</v>
      </c>
      <c r="O1119" s="2">
        <f t="shared" si="284"/>
        <v>855065</v>
      </c>
      <c r="P1119" s="113">
        <f t="shared" si="285"/>
        <v>9.9999999999999998E-13</v>
      </c>
      <c r="Q1119" s="121">
        <f t="shared" si="275"/>
        <v>2180848</v>
      </c>
    </row>
    <row r="1120" spans="2:17" hidden="1" x14ac:dyDescent="0.4">
      <c r="B1120" s="110">
        <v>45041</v>
      </c>
      <c r="C1120" s="122">
        <f t="shared" si="276"/>
        <v>3000000</v>
      </c>
      <c r="D1120" s="111">
        <f t="shared" si="277"/>
        <v>38223</v>
      </c>
      <c r="E1120" s="2">
        <f t="shared" si="278"/>
        <v>2250</v>
      </c>
      <c r="F1120" s="112">
        <f t="shared" si="272"/>
        <v>17000000</v>
      </c>
      <c r="G1120" s="2">
        <f t="shared" si="279"/>
        <v>855065</v>
      </c>
      <c r="H1120" s="113">
        <f t="shared" si="280"/>
        <v>9.9999999999999998E-13</v>
      </c>
      <c r="I1120" s="121">
        <f t="shared" si="273"/>
        <v>2180908</v>
      </c>
      <c r="K1120" s="123">
        <f t="shared" si="281"/>
        <v>3000000</v>
      </c>
      <c r="L1120" s="111">
        <f t="shared" si="282"/>
        <v>38223</v>
      </c>
      <c r="M1120" s="2">
        <f t="shared" si="283"/>
        <v>2250</v>
      </c>
      <c r="N1120" s="112">
        <f t="shared" si="274"/>
        <v>17000000</v>
      </c>
      <c r="O1120" s="2">
        <f t="shared" si="284"/>
        <v>855065</v>
      </c>
      <c r="P1120" s="113">
        <f t="shared" si="285"/>
        <v>9.9999999999999998E-13</v>
      </c>
      <c r="Q1120" s="121">
        <f t="shared" si="275"/>
        <v>2180908</v>
      </c>
    </row>
    <row r="1121" spans="2:17" hidden="1" x14ac:dyDescent="0.4">
      <c r="B1121" s="110">
        <v>45042</v>
      </c>
      <c r="C1121" s="122">
        <f t="shared" si="276"/>
        <v>3000000</v>
      </c>
      <c r="D1121" s="111">
        <f t="shared" si="277"/>
        <v>38223</v>
      </c>
      <c r="E1121" s="2">
        <f t="shared" si="278"/>
        <v>2250</v>
      </c>
      <c r="F1121" s="112">
        <f t="shared" si="272"/>
        <v>17000000</v>
      </c>
      <c r="G1121" s="2">
        <f t="shared" si="279"/>
        <v>855065</v>
      </c>
      <c r="H1121" s="113">
        <f t="shared" si="280"/>
        <v>9.9999999999999998E-13</v>
      </c>
      <c r="I1121" s="121">
        <f t="shared" si="273"/>
        <v>2180908</v>
      </c>
      <c r="K1121" s="123">
        <f t="shared" si="281"/>
        <v>3000000</v>
      </c>
      <c r="L1121" s="111">
        <f t="shared" si="282"/>
        <v>38223</v>
      </c>
      <c r="M1121" s="2">
        <f t="shared" si="283"/>
        <v>2250</v>
      </c>
      <c r="N1121" s="112">
        <f t="shared" si="274"/>
        <v>17000000</v>
      </c>
      <c r="O1121" s="2">
        <f t="shared" si="284"/>
        <v>855065</v>
      </c>
      <c r="P1121" s="113">
        <f t="shared" si="285"/>
        <v>9.9999999999999998E-13</v>
      </c>
      <c r="Q1121" s="121">
        <f t="shared" si="275"/>
        <v>2180908</v>
      </c>
    </row>
    <row r="1122" spans="2:17" hidden="1" x14ac:dyDescent="0.4">
      <c r="B1122" s="110">
        <v>45043</v>
      </c>
      <c r="C1122" s="122">
        <f t="shared" si="276"/>
        <v>3000000</v>
      </c>
      <c r="D1122" s="111">
        <f t="shared" si="277"/>
        <v>38223</v>
      </c>
      <c r="E1122" s="2">
        <f t="shared" si="278"/>
        <v>2250</v>
      </c>
      <c r="F1122" s="112">
        <f t="shared" si="272"/>
        <v>17000000</v>
      </c>
      <c r="G1122" s="2">
        <f t="shared" si="279"/>
        <v>855065</v>
      </c>
      <c r="H1122" s="113">
        <f t="shared" si="280"/>
        <v>9.9999999999999998E-13</v>
      </c>
      <c r="I1122" s="121">
        <f t="shared" si="273"/>
        <v>2180908</v>
      </c>
      <c r="K1122" s="123">
        <f t="shared" si="281"/>
        <v>3000000</v>
      </c>
      <c r="L1122" s="111">
        <f t="shared" si="282"/>
        <v>38223</v>
      </c>
      <c r="M1122" s="2">
        <f t="shared" si="283"/>
        <v>2250</v>
      </c>
      <c r="N1122" s="112">
        <f t="shared" si="274"/>
        <v>17000000</v>
      </c>
      <c r="O1122" s="2">
        <f t="shared" si="284"/>
        <v>855065</v>
      </c>
      <c r="P1122" s="113">
        <f t="shared" si="285"/>
        <v>9.9999999999999998E-13</v>
      </c>
      <c r="Q1122" s="121">
        <f t="shared" si="275"/>
        <v>2180908</v>
      </c>
    </row>
    <row r="1123" spans="2:17" hidden="1" x14ac:dyDescent="0.4">
      <c r="B1123" s="110">
        <v>45044</v>
      </c>
      <c r="C1123" s="122">
        <f t="shared" si="276"/>
        <v>3000000</v>
      </c>
      <c r="D1123" s="111">
        <f t="shared" si="277"/>
        <v>38223</v>
      </c>
      <c r="E1123" s="2">
        <f t="shared" si="278"/>
        <v>2250</v>
      </c>
      <c r="F1123" s="112">
        <f t="shared" si="272"/>
        <v>17000000</v>
      </c>
      <c r="G1123" s="2">
        <f t="shared" si="279"/>
        <v>855065</v>
      </c>
      <c r="H1123" s="113">
        <f t="shared" si="280"/>
        <v>9.9999999999999998E-13</v>
      </c>
      <c r="I1123" s="121">
        <f t="shared" si="273"/>
        <v>2180908</v>
      </c>
      <c r="K1123" s="123">
        <f t="shared" si="281"/>
        <v>3000000</v>
      </c>
      <c r="L1123" s="111">
        <f t="shared" si="282"/>
        <v>38223</v>
      </c>
      <c r="M1123" s="2">
        <f t="shared" si="283"/>
        <v>2250</v>
      </c>
      <c r="N1123" s="112">
        <f t="shared" si="274"/>
        <v>17000000</v>
      </c>
      <c r="O1123" s="2">
        <f t="shared" si="284"/>
        <v>855065</v>
      </c>
      <c r="P1123" s="113">
        <f t="shared" si="285"/>
        <v>9.9999999999999998E-13</v>
      </c>
      <c r="Q1123" s="121">
        <f t="shared" si="275"/>
        <v>2180908</v>
      </c>
    </row>
    <row r="1124" spans="2:17" hidden="1" x14ac:dyDescent="0.4">
      <c r="B1124" s="110">
        <v>45045</v>
      </c>
      <c r="C1124" s="122">
        <f t="shared" si="276"/>
        <v>3000000</v>
      </c>
      <c r="D1124" s="111">
        <f t="shared" si="277"/>
        <v>38223</v>
      </c>
      <c r="E1124" s="2">
        <f t="shared" si="278"/>
        <v>2250</v>
      </c>
      <c r="F1124" s="112">
        <f t="shared" si="272"/>
        <v>17000000</v>
      </c>
      <c r="G1124" s="2">
        <f t="shared" si="279"/>
        <v>855065</v>
      </c>
      <c r="H1124" s="113">
        <f t="shared" si="280"/>
        <v>9.9999999999999998E-13</v>
      </c>
      <c r="I1124" s="121">
        <f t="shared" si="273"/>
        <v>2180908</v>
      </c>
      <c r="K1124" s="123">
        <f t="shared" si="281"/>
        <v>3000000</v>
      </c>
      <c r="L1124" s="111">
        <f t="shared" si="282"/>
        <v>38223</v>
      </c>
      <c r="M1124" s="2">
        <f t="shared" si="283"/>
        <v>2250</v>
      </c>
      <c r="N1124" s="112">
        <f t="shared" si="274"/>
        <v>17000000</v>
      </c>
      <c r="O1124" s="2">
        <f t="shared" si="284"/>
        <v>855065</v>
      </c>
      <c r="P1124" s="113">
        <f t="shared" si="285"/>
        <v>9.9999999999999998E-13</v>
      </c>
      <c r="Q1124" s="121">
        <f t="shared" si="275"/>
        <v>2180908</v>
      </c>
    </row>
    <row r="1125" spans="2:17" hidden="1" x14ac:dyDescent="0.4">
      <c r="B1125" s="110">
        <v>45046</v>
      </c>
      <c r="C1125" s="122">
        <f t="shared" si="276"/>
        <v>3000000</v>
      </c>
      <c r="D1125" s="111">
        <f t="shared" si="277"/>
        <v>38223</v>
      </c>
      <c r="E1125" s="2">
        <f t="shared" si="278"/>
        <v>2250</v>
      </c>
      <c r="F1125" s="112">
        <f t="shared" si="272"/>
        <v>17000000</v>
      </c>
      <c r="G1125" s="2">
        <f t="shared" si="279"/>
        <v>855065</v>
      </c>
      <c r="H1125" s="113">
        <f t="shared" si="280"/>
        <v>9.9999999999999998E-13</v>
      </c>
      <c r="I1125" s="121">
        <f t="shared" si="273"/>
        <v>2180908</v>
      </c>
      <c r="K1125" s="123">
        <f t="shared" si="281"/>
        <v>3000000</v>
      </c>
      <c r="L1125" s="111">
        <f t="shared" si="282"/>
        <v>38223</v>
      </c>
      <c r="M1125" s="2">
        <f t="shared" si="283"/>
        <v>2250</v>
      </c>
      <c r="N1125" s="112">
        <f t="shared" si="274"/>
        <v>17000000</v>
      </c>
      <c r="O1125" s="2">
        <f t="shared" si="284"/>
        <v>855065</v>
      </c>
      <c r="P1125" s="113">
        <f t="shared" si="285"/>
        <v>9.9999999999999998E-13</v>
      </c>
      <c r="Q1125" s="121">
        <f t="shared" si="275"/>
        <v>2180908</v>
      </c>
    </row>
    <row r="1126" spans="2:17" x14ac:dyDescent="0.4">
      <c r="B1126" s="110">
        <v>45047</v>
      </c>
      <c r="C1126" s="122">
        <f t="shared" si="276"/>
        <v>3000000</v>
      </c>
      <c r="D1126" s="111">
        <f t="shared" si="277"/>
        <v>38223</v>
      </c>
      <c r="E1126" s="2">
        <f t="shared" si="278"/>
        <v>2250</v>
      </c>
      <c r="F1126" s="112">
        <f t="shared" si="272"/>
        <v>17000000</v>
      </c>
      <c r="G1126" s="2">
        <f t="shared" si="279"/>
        <v>855065</v>
      </c>
      <c r="H1126" s="113">
        <f t="shared" si="280"/>
        <v>9.9999999999999998E-13</v>
      </c>
      <c r="I1126" s="121">
        <f t="shared" si="273"/>
        <v>2180908</v>
      </c>
      <c r="K1126" s="123">
        <f t="shared" si="281"/>
        <v>3000000</v>
      </c>
      <c r="L1126" s="111">
        <f t="shared" si="282"/>
        <v>38223</v>
      </c>
      <c r="M1126" s="2">
        <f t="shared" si="283"/>
        <v>2250</v>
      </c>
      <c r="N1126" s="112">
        <f t="shared" si="274"/>
        <v>17000000</v>
      </c>
      <c r="O1126" s="2">
        <f t="shared" si="284"/>
        <v>855065</v>
      </c>
      <c r="P1126" s="113">
        <f t="shared" si="285"/>
        <v>9.9999999999999998E-13</v>
      </c>
      <c r="Q1126" s="121">
        <f t="shared" si="275"/>
        <v>2180908</v>
      </c>
    </row>
    <row r="1127" spans="2:17" hidden="1" x14ac:dyDescent="0.4">
      <c r="B1127" s="110">
        <v>45048</v>
      </c>
      <c r="C1127" s="122">
        <f t="shared" si="276"/>
        <v>3000000</v>
      </c>
      <c r="D1127" s="111">
        <f t="shared" si="277"/>
        <v>38223</v>
      </c>
      <c r="E1127" s="2">
        <f t="shared" si="278"/>
        <v>2250</v>
      </c>
      <c r="F1127" s="112">
        <f t="shared" si="272"/>
        <v>17000000</v>
      </c>
      <c r="G1127" s="2">
        <f t="shared" si="279"/>
        <v>855065</v>
      </c>
      <c r="H1127" s="113">
        <f t="shared" si="280"/>
        <v>9.9999999999999998E-13</v>
      </c>
      <c r="I1127" s="121">
        <f t="shared" si="273"/>
        <v>2180908</v>
      </c>
      <c r="K1127" s="123">
        <f t="shared" si="281"/>
        <v>3000000</v>
      </c>
      <c r="L1127" s="111">
        <f t="shared" si="282"/>
        <v>38223</v>
      </c>
      <c r="M1127" s="2">
        <f t="shared" si="283"/>
        <v>2250</v>
      </c>
      <c r="N1127" s="112">
        <f t="shared" si="274"/>
        <v>17000000</v>
      </c>
      <c r="O1127" s="2">
        <f t="shared" si="284"/>
        <v>855065</v>
      </c>
      <c r="P1127" s="113">
        <f t="shared" si="285"/>
        <v>9.9999999999999998E-13</v>
      </c>
      <c r="Q1127" s="121">
        <f t="shared" si="275"/>
        <v>2180908</v>
      </c>
    </row>
    <row r="1128" spans="2:17" hidden="1" x14ac:dyDescent="0.4">
      <c r="B1128" s="110">
        <v>45049</v>
      </c>
      <c r="C1128" s="122">
        <f t="shared" si="276"/>
        <v>3000000</v>
      </c>
      <c r="D1128" s="111">
        <f t="shared" si="277"/>
        <v>38223</v>
      </c>
      <c r="E1128" s="2">
        <f t="shared" si="278"/>
        <v>2250</v>
      </c>
      <c r="F1128" s="112">
        <f t="shared" si="272"/>
        <v>17000000</v>
      </c>
      <c r="G1128" s="2">
        <f t="shared" si="279"/>
        <v>855065</v>
      </c>
      <c r="H1128" s="113">
        <f t="shared" si="280"/>
        <v>9.9999999999999998E-13</v>
      </c>
      <c r="I1128" s="121">
        <f t="shared" si="273"/>
        <v>2180908</v>
      </c>
      <c r="K1128" s="123">
        <f t="shared" si="281"/>
        <v>3000000</v>
      </c>
      <c r="L1128" s="111">
        <f t="shared" si="282"/>
        <v>38223</v>
      </c>
      <c r="M1128" s="2">
        <f t="shared" si="283"/>
        <v>2250</v>
      </c>
      <c r="N1128" s="112">
        <f t="shared" si="274"/>
        <v>17000000</v>
      </c>
      <c r="O1128" s="2">
        <f t="shared" si="284"/>
        <v>855065</v>
      </c>
      <c r="P1128" s="113">
        <f t="shared" si="285"/>
        <v>9.9999999999999998E-13</v>
      </c>
      <c r="Q1128" s="121">
        <f t="shared" si="275"/>
        <v>2180908</v>
      </c>
    </row>
    <row r="1129" spans="2:17" hidden="1" x14ac:dyDescent="0.4">
      <c r="B1129" s="110">
        <v>45050</v>
      </c>
      <c r="C1129" s="122">
        <f t="shared" si="276"/>
        <v>3000000</v>
      </c>
      <c r="D1129" s="111">
        <f t="shared" si="277"/>
        <v>38223</v>
      </c>
      <c r="E1129" s="2">
        <f t="shared" si="278"/>
        <v>2250</v>
      </c>
      <c r="F1129" s="112">
        <f t="shared" si="272"/>
        <v>17000000</v>
      </c>
      <c r="G1129" s="2">
        <f t="shared" si="279"/>
        <v>855065</v>
      </c>
      <c r="H1129" s="113">
        <f t="shared" si="280"/>
        <v>9.9999999999999998E-13</v>
      </c>
      <c r="I1129" s="121">
        <f t="shared" si="273"/>
        <v>2180908</v>
      </c>
      <c r="K1129" s="123">
        <f t="shared" si="281"/>
        <v>3000000</v>
      </c>
      <c r="L1129" s="111">
        <f t="shared" si="282"/>
        <v>38223</v>
      </c>
      <c r="M1129" s="2">
        <f t="shared" si="283"/>
        <v>2250</v>
      </c>
      <c r="N1129" s="112">
        <f t="shared" si="274"/>
        <v>17000000</v>
      </c>
      <c r="O1129" s="2">
        <f t="shared" si="284"/>
        <v>855065</v>
      </c>
      <c r="P1129" s="113">
        <f t="shared" si="285"/>
        <v>9.9999999999999998E-13</v>
      </c>
      <c r="Q1129" s="121">
        <f t="shared" si="275"/>
        <v>2180908</v>
      </c>
    </row>
    <row r="1130" spans="2:17" hidden="1" x14ac:dyDescent="0.4">
      <c r="B1130" s="110">
        <v>45051</v>
      </c>
      <c r="C1130" s="122">
        <f t="shared" si="276"/>
        <v>3000000</v>
      </c>
      <c r="D1130" s="111">
        <f t="shared" si="277"/>
        <v>38223</v>
      </c>
      <c r="E1130" s="2">
        <f t="shared" si="278"/>
        <v>2250</v>
      </c>
      <c r="F1130" s="112">
        <f t="shared" si="272"/>
        <v>17000000</v>
      </c>
      <c r="G1130" s="2">
        <f t="shared" si="279"/>
        <v>855065</v>
      </c>
      <c r="H1130" s="113">
        <f t="shared" si="280"/>
        <v>9.9999999999999998E-13</v>
      </c>
      <c r="I1130" s="121">
        <f t="shared" si="273"/>
        <v>2180908</v>
      </c>
      <c r="K1130" s="123">
        <f t="shared" si="281"/>
        <v>3000000</v>
      </c>
      <c r="L1130" s="111">
        <f t="shared" si="282"/>
        <v>38223</v>
      </c>
      <c r="M1130" s="2">
        <f t="shared" si="283"/>
        <v>2250</v>
      </c>
      <c r="N1130" s="112">
        <f t="shared" si="274"/>
        <v>17000000</v>
      </c>
      <c r="O1130" s="2">
        <f t="shared" si="284"/>
        <v>855065</v>
      </c>
      <c r="P1130" s="113">
        <f t="shared" si="285"/>
        <v>9.9999999999999998E-13</v>
      </c>
      <c r="Q1130" s="121">
        <f t="shared" si="275"/>
        <v>2180908</v>
      </c>
    </row>
    <row r="1131" spans="2:17" hidden="1" x14ac:dyDescent="0.4">
      <c r="B1131" s="110">
        <v>45052</v>
      </c>
      <c r="C1131" s="122">
        <f t="shared" si="276"/>
        <v>3000000</v>
      </c>
      <c r="D1131" s="111">
        <f t="shared" si="277"/>
        <v>38223</v>
      </c>
      <c r="E1131" s="2">
        <f t="shared" si="278"/>
        <v>2250</v>
      </c>
      <c r="F1131" s="112">
        <f t="shared" si="272"/>
        <v>17000000</v>
      </c>
      <c r="G1131" s="2">
        <f t="shared" si="279"/>
        <v>855065</v>
      </c>
      <c r="H1131" s="113">
        <f t="shared" si="280"/>
        <v>9.9999999999999998E-13</v>
      </c>
      <c r="I1131" s="121">
        <f t="shared" si="273"/>
        <v>2180908</v>
      </c>
      <c r="K1131" s="123">
        <f t="shared" si="281"/>
        <v>3000000</v>
      </c>
      <c r="L1131" s="111">
        <f t="shared" si="282"/>
        <v>38223</v>
      </c>
      <c r="M1131" s="2">
        <f t="shared" si="283"/>
        <v>2250</v>
      </c>
      <c r="N1131" s="112">
        <f t="shared" si="274"/>
        <v>17000000</v>
      </c>
      <c r="O1131" s="2">
        <f t="shared" si="284"/>
        <v>855065</v>
      </c>
      <c r="P1131" s="113">
        <f t="shared" si="285"/>
        <v>9.9999999999999998E-13</v>
      </c>
      <c r="Q1131" s="121">
        <f t="shared" si="275"/>
        <v>2180908</v>
      </c>
    </row>
    <row r="1132" spans="2:17" hidden="1" x14ac:dyDescent="0.4">
      <c r="B1132" s="110">
        <v>45053</v>
      </c>
      <c r="C1132" s="122">
        <f t="shared" si="276"/>
        <v>3000000</v>
      </c>
      <c r="D1132" s="111">
        <f t="shared" si="277"/>
        <v>38223</v>
      </c>
      <c r="E1132" s="2">
        <f t="shared" si="278"/>
        <v>2250</v>
      </c>
      <c r="F1132" s="112">
        <f t="shared" si="272"/>
        <v>17000000</v>
      </c>
      <c r="G1132" s="2">
        <f t="shared" si="279"/>
        <v>855065</v>
      </c>
      <c r="H1132" s="113">
        <f t="shared" si="280"/>
        <v>9.9999999999999998E-13</v>
      </c>
      <c r="I1132" s="121">
        <f t="shared" si="273"/>
        <v>2180908</v>
      </c>
      <c r="K1132" s="123">
        <f t="shared" si="281"/>
        <v>3000000</v>
      </c>
      <c r="L1132" s="111">
        <f t="shared" si="282"/>
        <v>38223</v>
      </c>
      <c r="M1132" s="2">
        <f t="shared" si="283"/>
        <v>2250</v>
      </c>
      <c r="N1132" s="112">
        <f t="shared" si="274"/>
        <v>17000000</v>
      </c>
      <c r="O1132" s="2">
        <f t="shared" si="284"/>
        <v>855065</v>
      </c>
      <c r="P1132" s="113">
        <f t="shared" si="285"/>
        <v>9.9999999999999998E-13</v>
      </c>
      <c r="Q1132" s="121">
        <f t="shared" si="275"/>
        <v>2180908</v>
      </c>
    </row>
    <row r="1133" spans="2:17" hidden="1" x14ac:dyDescent="0.4">
      <c r="B1133" s="110">
        <v>45054</v>
      </c>
      <c r="C1133" s="122">
        <f t="shared" si="276"/>
        <v>3000000</v>
      </c>
      <c r="D1133" s="111">
        <f t="shared" si="277"/>
        <v>38223</v>
      </c>
      <c r="E1133" s="2">
        <f t="shared" si="278"/>
        <v>2250</v>
      </c>
      <c r="F1133" s="112">
        <f t="shared" si="272"/>
        <v>17000000</v>
      </c>
      <c r="G1133" s="2">
        <f t="shared" si="279"/>
        <v>855065</v>
      </c>
      <c r="H1133" s="113">
        <f t="shared" si="280"/>
        <v>9.9999999999999998E-13</v>
      </c>
      <c r="I1133" s="121">
        <f t="shared" si="273"/>
        <v>2180908</v>
      </c>
      <c r="K1133" s="123">
        <f t="shared" si="281"/>
        <v>3000000</v>
      </c>
      <c r="L1133" s="111">
        <f t="shared" si="282"/>
        <v>38223</v>
      </c>
      <c r="M1133" s="2">
        <f t="shared" si="283"/>
        <v>2250</v>
      </c>
      <c r="N1133" s="112">
        <f t="shared" si="274"/>
        <v>17000000</v>
      </c>
      <c r="O1133" s="2">
        <f t="shared" si="284"/>
        <v>855065</v>
      </c>
      <c r="P1133" s="113">
        <f t="shared" si="285"/>
        <v>9.9999999999999998E-13</v>
      </c>
      <c r="Q1133" s="121">
        <f t="shared" si="275"/>
        <v>2180908</v>
      </c>
    </row>
    <row r="1134" spans="2:17" hidden="1" x14ac:dyDescent="0.4">
      <c r="B1134" s="110">
        <v>45055</v>
      </c>
      <c r="C1134" s="122">
        <f t="shared" si="276"/>
        <v>3000000</v>
      </c>
      <c r="D1134" s="111">
        <f t="shared" si="277"/>
        <v>38223</v>
      </c>
      <c r="E1134" s="2">
        <f t="shared" si="278"/>
        <v>2250</v>
      </c>
      <c r="F1134" s="112">
        <f t="shared" si="272"/>
        <v>17000000</v>
      </c>
      <c r="G1134" s="2">
        <f t="shared" si="279"/>
        <v>855065</v>
      </c>
      <c r="H1134" s="113">
        <f t="shared" si="280"/>
        <v>9.9999999999999998E-13</v>
      </c>
      <c r="I1134" s="121">
        <f t="shared" si="273"/>
        <v>2180908</v>
      </c>
      <c r="K1134" s="123">
        <f t="shared" si="281"/>
        <v>3000000</v>
      </c>
      <c r="L1134" s="111">
        <f t="shared" si="282"/>
        <v>38223</v>
      </c>
      <c r="M1134" s="2">
        <f t="shared" si="283"/>
        <v>2250</v>
      </c>
      <c r="N1134" s="112">
        <f t="shared" si="274"/>
        <v>17000000</v>
      </c>
      <c r="O1134" s="2">
        <f t="shared" si="284"/>
        <v>855065</v>
      </c>
      <c r="P1134" s="113">
        <f t="shared" si="285"/>
        <v>9.9999999999999998E-13</v>
      </c>
      <c r="Q1134" s="121">
        <f t="shared" si="275"/>
        <v>2180908</v>
      </c>
    </row>
    <row r="1135" spans="2:17" hidden="1" x14ac:dyDescent="0.4">
      <c r="B1135" s="110">
        <v>45056</v>
      </c>
      <c r="C1135" s="122">
        <f t="shared" si="276"/>
        <v>3000000</v>
      </c>
      <c r="D1135" s="111">
        <f t="shared" si="277"/>
        <v>38223</v>
      </c>
      <c r="E1135" s="2">
        <f t="shared" si="278"/>
        <v>2250</v>
      </c>
      <c r="F1135" s="112">
        <f t="shared" si="272"/>
        <v>17000000</v>
      </c>
      <c r="G1135" s="2">
        <f t="shared" si="279"/>
        <v>855065</v>
      </c>
      <c r="H1135" s="113">
        <f t="shared" si="280"/>
        <v>9.9999999999999998E-13</v>
      </c>
      <c r="I1135" s="121">
        <f t="shared" si="273"/>
        <v>2180908</v>
      </c>
      <c r="K1135" s="123">
        <f t="shared" si="281"/>
        <v>3000000</v>
      </c>
      <c r="L1135" s="111">
        <f t="shared" si="282"/>
        <v>38223</v>
      </c>
      <c r="M1135" s="2">
        <f t="shared" si="283"/>
        <v>2250</v>
      </c>
      <c r="N1135" s="112">
        <f t="shared" si="274"/>
        <v>17000000</v>
      </c>
      <c r="O1135" s="2">
        <f t="shared" si="284"/>
        <v>855065</v>
      </c>
      <c r="P1135" s="113">
        <f t="shared" si="285"/>
        <v>9.9999999999999998E-13</v>
      </c>
      <c r="Q1135" s="121">
        <f t="shared" si="275"/>
        <v>2180908</v>
      </c>
    </row>
    <row r="1136" spans="2:17" hidden="1" x14ac:dyDescent="0.4">
      <c r="B1136" s="110">
        <v>45057</v>
      </c>
      <c r="C1136" s="122">
        <f t="shared" si="276"/>
        <v>3000000</v>
      </c>
      <c r="D1136" s="111">
        <f t="shared" si="277"/>
        <v>38223</v>
      </c>
      <c r="E1136" s="2">
        <f t="shared" si="278"/>
        <v>2250</v>
      </c>
      <c r="F1136" s="112">
        <f t="shared" si="272"/>
        <v>17000000</v>
      </c>
      <c r="G1136" s="2">
        <f t="shared" si="279"/>
        <v>855065</v>
      </c>
      <c r="H1136" s="113">
        <f t="shared" si="280"/>
        <v>9.9999999999999998E-13</v>
      </c>
      <c r="I1136" s="121">
        <f t="shared" si="273"/>
        <v>2180908</v>
      </c>
      <c r="K1136" s="123">
        <f t="shared" si="281"/>
        <v>3000000</v>
      </c>
      <c r="L1136" s="111">
        <f t="shared" si="282"/>
        <v>38223</v>
      </c>
      <c r="M1136" s="2">
        <f t="shared" si="283"/>
        <v>2250</v>
      </c>
      <c r="N1136" s="112">
        <f t="shared" si="274"/>
        <v>17000000</v>
      </c>
      <c r="O1136" s="2">
        <f t="shared" si="284"/>
        <v>855065</v>
      </c>
      <c r="P1136" s="113">
        <f t="shared" si="285"/>
        <v>9.9999999999999998E-13</v>
      </c>
      <c r="Q1136" s="121">
        <f t="shared" si="275"/>
        <v>2180908</v>
      </c>
    </row>
    <row r="1137" spans="2:17" hidden="1" x14ac:dyDescent="0.4">
      <c r="B1137" s="110">
        <v>45058</v>
      </c>
      <c r="C1137" s="122">
        <f t="shared" si="276"/>
        <v>3000000</v>
      </c>
      <c r="D1137" s="111">
        <f t="shared" si="277"/>
        <v>38223</v>
      </c>
      <c r="E1137" s="2">
        <f t="shared" si="278"/>
        <v>2250</v>
      </c>
      <c r="F1137" s="112">
        <f t="shared" si="272"/>
        <v>17000000</v>
      </c>
      <c r="G1137" s="2">
        <f t="shared" si="279"/>
        <v>855065</v>
      </c>
      <c r="H1137" s="113">
        <f t="shared" si="280"/>
        <v>9.9999999999999998E-13</v>
      </c>
      <c r="I1137" s="121">
        <f t="shared" si="273"/>
        <v>2180908</v>
      </c>
      <c r="K1137" s="123">
        <f t="shared" si="281"/>
        <v>3000000</v>
      </c>
      <c r="L1137" s="111">
        <f t="shared" si="282"/>
        <v>38223</v>
      </c>
      <c r="M1137" s="2">
        <f t="shared" si="283"/>
        <v>2250</v>
      </c>
      <c r="N1137" s="112">
        <f t="shared" si="274"/>
        <v>17000000</v>
      </c>
      <c r="O1137" s="2">
        <f t="shared" si="284"/>
        <v>855065</v>
      </c>
      <c r="P1137" s="113">
        <f t="shared" si="285"/>
        <v>9.9999999999999998E-13</v>
      </c>
      <c r="Q1137" s="121">
        <f t="shared" si="275"/>
        <v>2180908</v>
      </c>
    </row>
    <row r="1138" spans="2:17" hidden="1" x14ac:dyDescent="0.4">
      <c r="B1138" s="110">
        <v>45059</v>
      </c>
      <c r="C1138" s="122">
        <f t="shared" si="276"/>
        <v>3000000</v>
      </c>
      <c r="D1138" s="111">
        <f t="shared" si="277"/>
        <v>38223</v>
      </c>
      <c r="E1138" s="2">
        <f t="shared" si="278"/>
        <v>2250</v>
      </c>
      <c r="F1138" s="112">
        <f t="shared" si="272"/>
        <v>17000000</v>
      </c>
      <c r="G1138" s="2">
        <f t="shared" si="279"/>
        <v>855065</v>
      </c>
      <c r="H1138" s="113">
        <f t="shared" si="280"/>
        <v>9.9999999999999998E-13</v>
      </c>
      <c r="I1138" s="121">
        <f t="shared" si="273"/>
        <v>2180908</v>
      </c>
      <c r="K1138" s="123">
        <f t="shared" si="281"/>
        <v>3000000</v>
      </c>
      <c r="L1138" s="111">
        <f t="shared" si="282"/>
        <v>38223</v>
      </c>
      <c r="M1138" s="2">
        <f t="shared" si="283"/>
        <v>2250</v>
      </c>
      <c r="N1138" s="112">
        <f t="shared" si="274"/>
        <v>17000000</v>
      </c>
      <c r="O1138" s="2">
        <f t="shared" si="284"/>
        <v>855065</v>
      </c>
      <c r="P1138" s="113">
        <f t="shared" si="285"/>
        <v>9.9999999999999998E-13</v>
      </c>
      <c r="Q1138" s="121">
        <f t="shared" si="275"/>
        <v>2180908</v>
      </c>
    </row>
    <row r="1139" spans="2:17" hidden="1" x14ac:dyDescent="0.4">
      <c r="B1139" s="110">
        <v>45060</v>
      </c>
      <c r="C1139" s="122">
        <f t="shared" si="276"/>
        <v>3000000</v>
      </c>
      <c r="D1139" s="111">
        <f t="shared" si="277"/>
        <v>38223</v>
      </c>
      <c r="E1139" s="2">
        <f t="shared" si="278"/>
        <v>2250</v>
      </c>
      <c r="F1139" s="112">
        <f t="shared" si="272"/>
        <v>17000000</v>
      </c>
      <c r="G1139" s="2">
        <f t="shared" si="279"/>
        <v>855065</v>
      </c>
      <c r="H1139" s="113">
        <f t="shared" si="280"/>
        <v>9.9999999999999998E-13</v>
      </c>
      <c r="I1139" s="121">
        <f t="shared" si="273"/>
        <v>2180908</v>
      </c>
      <c r="K1139" s="123">
        <f t="shared" si="281"/>
        <v>3000000</v>
      </c>
      <c r="L1139" s="111">
        <f t="shared" si="282"/>
        <v>38223</v>
      </c>
      <c r="M1139" s="2">
        <f t="shared" si="283"/>
        <v>2250</v>
      </c>
      <c r="N1139" s="112">
        <f t="shared" si="274"/>
        <v>17000000</v>
      </c>
      <c r="O1139" s="2">
        <f t="shared" si="284"/>
        <v>855065</v>
      </c>
      <c r="P1139" s="113">
        <f t="shared" si="285"/>
        <v>9.9999999999999998E-13</v>
      </c>
      <c r="Q1139" s="121">
        <f t="shared" si="275"/>
        <v>2180908</v>
      </c>
    </row>
    <row r="1140" spans="2:17" hidden="1" x14ac:dyDescent="0.4">
      <c r="B1140" s="110">
        <v>45061</v>
      </c>
      <c r="C1140" s="122">
        <f t="shared" si="276"/>
        <v>3000000</v>
      </c>
      <c r="D1140" s="111">
        <f t="shared" si="277"/>
        <v>38223</v>
      </c>
      <c r="E1140" s="2">
        <f t="shared" si="278"/>
        <v>2250</v>
      </c>
      <c r="F1140" s="112">
        <f t="shared" si="272"/>
        <v>17000000</v>
      </c>
      <c r="G1140" s="2">
        <f t="shared" si="279"/>
        <v>855065</v>
      </c>
      <c r="H1140" s="113">
        <f t="shared" si="280"/>
        <v>9.9999999999999998E-13</v>
      </c>
      <c r="I1140" s="121">
        <f t="shared" si="273"/>
        <v>2180908</v>
      </c>
      <c r="K1140" s="123">
        <f t="shared" si="281"/>
        <v>3000000</v>
      </c>
      <c r="L1140" s="111">
        <f t="shared" si="282"/>
        <v>38223</v>
      </c>
      <c r="M1140" s="2">
        <f t="shared" si="283"/>
        <v>2250</v>
      </c>
      <c r="N1140" s="112">
        <f t="shared" si="274"/>
        <v>17000000</v>
      </c>
      <c r="O1140" s="2">
        <f t="shared" si="284"/>
        <v>855065</v>
      </c>
      <c r="P1140" s="113">
        <f t="shared" si="285"/>
        <v>9.9999999999999998E-13</v>
      </c>
      <c r="Q1140" s="121">
        <f t="shared" si="275"/>
        <v>2180908</v>
      </c>
    </row>
    <row r="1141" spans="2:17" hidden="1" x14ac:dyDescent="0.4">
      <c r="B1141" s="110">
        <v>45062</v>
      </c>
      <c r="C1141" s="122">
        <f t="shared" si="276"/>
        <v>3000000</v>
      </c>
      <c r="D1141" s="111">
        <f t="shared" si="277"/>
        <v>38223</v>
      </c>
      <c r="E1141" s="2">
        <f t="shared" si="278"/>
        <v>2250</v>
      </c>
      <c r="F1141" s="112">
        <f t="shared" si="272"/>
        <v>17000000</v>
      </c>
      <c r="G1141" s="2">
        <f t="shared" si="279"/>
        <v>855065</v>
      </c>
      <c r="H1141" s="113">
        <f t="shared" si="280"/>
        <v>9.9999999999999998E-13</v>
      </c>
      <c r="I1141" s="121">
        <f t="shared" si="273"/>
        <v>2180908</v>
      </c>
      <c r="K1141" s="123">
        <f t="shared" si="281"/>
        <v>3000000</v>
      </c>
      <c r="L1141" s="111">
        <f t="shared" si="282"/>
        <v>38223</v>
      </c>
      <c r="M1141" s="2">
        <f t="shared" si="283"/>
        <v>2250</v>
      </c>
      <c r="N1141" s="112">
        <f t="shared" si="274"/>
        <v>17000000</v>
      </c>
      <c r="O1141" s="2">
        <f t="shared" si="284"/>
        <v>855065</v>
      </c>
      <c r="P1141" s="113">
        <f t="shared" si="285"/>
        <v>9.9999999999999998E-13</v>
      </c>
      <c r="Q1141" s="121">
        <f t="shared" si="275"/>
        <v>2180908</v>
      </c>
    </row>
    <row r="1142" spans="2:17" hidden="1" x14ac:dyDescent="0.4">
      <c r="B1142" s="110">
        <v>45063</v>
      </c>
      <c r="C1142" s="122">
        <f t="shared" si="276"/>
        <v>3000000</v>
      </c>
      <c r="D1142" s="111">
        <f t="shared" si="277"/>
        <v>40389</v>
      </c>
      <c r="E1142" s="2">
        <f t="shared" si="278"/>
        <v>2250</v>
      </c>
      <c r="F1142" s="112">
        <f t="shared" si="272"/>
        <v>17000000</v>
      </c>
      <c r="G1142" s="2">
        <f t="shared" si="279"/>
        <v>855065</v>
      </c>
      <c r="H1142" s="113">
        <f t="shared" si="280"/>
        <v>9.9999999999999998E-13</v>
      </c>
      <c r="I1142" s="121">
        <f t="shared" si="273"/>
        <v>2183074</v>
      </c>
      <c r="K1142" s="123">
        <f t="shared" si="281"/>
        <v>3000000</v>
      </c>
      <c r="L1142" s="111">
        <f t="shared" si="282"/>
        <v>40389</v>
      </c>
      <c r="M1142" s="2">
        <f t="shared" si="283"/>
        <v>2250</v>
      </c>
      <c r="N1142" s="112">
        <f t="shared" si="274"/>
        <v>17000000</v>
      </c>
      <c r="O1142" s="2">
        <f t="shared" si="284"/>
        <v>855065</v>
      </c>
      <c r="P1142" s="113">
        <f t="shared" si="285"/>
        <v>9.9999999999999998E-13</v>
      </c>
      <c r="Q1142" s="121">
        <f t="shared" si="275"/>
        <v>2183074</v>
      </c>
    </row>
    <row r="1143" spans="2:17" hidden="1" x14ac:dyDescent="0.4">
      <c r="B1143" s="110">
        <v>45064</v>
      </c>
      <c r="C1143" s="122">
        <f t="shared" si="276"/>
        <v>3000000</v>
      </c>
      <c r="D1143" s="111">
        <f t="shared" si="277"/>
        <v>40389</v>
      </c>
      <c r="E1143" s="2">
        <f t="shared" si="278"/>
        <v>2250</v>
      </c>
      <c r="F1143" s="112">
        <f t="shared" si="272"/>
        <v>17000000</v>
      </c>
      <c r="G1143" s="2">
        <f t="shared" si="279"/>
        <v>855065</v>
      </c>
      <c r="H1143" s="113">
        <f t="shared" si="280"/>
        <v>9.9999999999999998E-13</v>
      </c>
      <c r="I1143" s="121">
        <f t="shared" si="273"/>
        <v>2183074</v>
      </c>
      <c r="K1143" s="123">
        <f t="shared" si="281"/>
        <v>3000000</v>
      </c>
      <c r="L1143" s="111">
        <f t="shared" si="282"/>
        <v>40389</v>
      </c>
      <c r="M1143" s="2">
        <f t="shared" si="283"/>
        <v>2250</v>
      </c>
      <c r="N1143" s="112">
        <f t="shared" si="274"/>
        <v>17000000</v>
      </c>
      <c r="O1143" s="2">
        <f t="shared" si="284"/>
        <v>855065</v>
      </c>
      <c r="P1143" s="113">
        <f t="shared" si="285"/>
        <v>9.9999999999999998E-13</v>
      </c>
      <c r="Q1143" s="121">
        <f t="shared" si="275"/>
        <v>2183074</v>
      </c>
    </row>
    <row r="1144" spans="2:17" hidden="1" x14ac:dyDescent="0.4">
      <c r="B1144" s="110">
        <v>45065</v>
      </c>
      <c r="C1144" s="122">
        <f t="shared" si="276"/>
        <v>3000000</v>
      </c>
      <c r="D1144" s="111">
        <f t="shared" si="277"/>
        <v>40389</v>
      </c>
      <c r="E1144" s="2">
        <f t="shared" si="278"/>
        <v>2250</v>
      </c>
      <c r="F1144" s="112">
        <f t="shared" si="272"/>
        <v>17000000</v>
      </c>
      <c r="G1144" s="2">
        <f t="shared" si="279"/>
        <v>855065</v>
      </c>
      <c r="H1144" s="113">
        <f t="shared" si="280"/>
        <v>9.9999999999999998E-13</v>
      </c>
      <c r="I1144" s="121">
        <f t="shared" si="273"/>
        <v>2183074</v>
      </c>
      <c r="K1144" s="123">
        <f t="shared" si="281"/>
        <v>3000000</v>
      </c>
      <c r="L1144" s="111">
        <f t="shared" si="282"/>
        <v>40389</v>
      </c>
      <c r="M1144" s="2">
        <f t="shared" si="283"/>
        <v>2250</v>
      </c>
      <c r="N1144" s="112">
        <f t="shared" si="274"/>
        <v>17000000</v>
      </c>
      <c r="O1144" s="2">
        <f t="shared" si="284"/>
        <v>855065</v>
      </c>
      <c r="P1144" s="113">
        <f t="shared" si="285"/>
        <v>9.9999999999999998E-13</v>
      </c>
      <c r="Q1144" s="121">
        <f t="shared" si="275"/>
        <v>2183074</v>
      </c>
    </row>
    <row r="1145" spans="2:17" hidden="1" x14ac:dyDescent="0.4">
      <c r="B1145" s="110">
        <v>45066</v>
      </c>
      <c r="C1145" s="122">
        <f t="shared" si="276"/>
        <v>3000000</v>
      </c>
      <c r="D1145" s="111">
        <f t="shared" si="277"/>
        <v>40389</v>
      </c>
      <c r="E1145" s="2">
        <f t="shared" si="278"/>
        <v>2250</v>
      </c>
      <c r="F1145" s="112">
        <f t="shared" si="272"/>
        <v>17000000</v>
      </c>
      <c r="G1145" s="2">
        <f t="shared" si="279"/>
        <v>855065</v>
      </c>
      <c r="H1145" s="113">
        <f t="shared" si="280"/>
        <v>9.9999999999999998E-13</v>
      </c>
      <c r="I1145" s="121">
        <f t="shared" si="273"/>
        <v>2183074</v>
      </c>
      <c r="K1145" s="123">
        <f t="shared" si="281"/>
        <v>3000000</v>
      </c>
      <c r="L1145" s="111">
        <f t="shared" si="282"/>
        <v>40389</v>
      </c>
      <c r="M1145" s="2">
        <f t="shared" si="283"/>
        <v>2250</v>
      </c>
      <c r="N1145" s="112">
        <f t="shared" si="274"/>
        <v>17000000</v>
      </c>
      <c r="O1145" s="2">
        <f t="shared" si="284"/>
        <v>855065</v>
      </c>
      <c r="P1145" s="113">
        <f t="shared" si="285"/>
        <v>9.9999999999999998E-13</v>
      </c>
      <c r="Q1145" s="121">
        <f t="shared" si="275"/>
        <v>2183074</v>
      </c>
    </row>
    <row r="1146" spans="2:17" hidden="1" x14ac:dyDescent="0.4">
      <c r="B1146" s="110">
        <v>45067</v>
      </c>
      <c r="C1146" s="122">
        <f t="shared" si="276"/>
        <v>3000000</v>
      </c>
      <c r="D1146" s="111">
        <f t="shared" si="277"/>
        <v>40389</v>
      </c>
      <c r="E1146" s="2">
        <f t="shared" si="278"/>
        <v>2250</v>
      </c>
      <c r="F1146" s="112">
        <f t="shared" si="272"/>
        <v>17000000</v>
      </c>
      <c r="G1146" s="2">
        <f t="shared" si="279"/>
        <v>855065</v>
      </c>
      <c r="H1146" s="113">
        <f t="shared" si="280"/>
        <v>9.9999999999999998E-13</v>
      </c>
      <c r="I1146" s="121">
        <f t="shared" si="273"/>
        <v>2183074</v>
      </c>
      <c r="K1146" s="123">
        <f t="shared" si="281"/>
        <v>3000000</v>
      </c>
      <c r="L1146" s="111">
        <f t="shared" si="282"/>
        <v>40389</v>
      </c>
      <c r="M1146" s="2">
        <f t="shared" si="283"/>
        <v>2250</v>
      </c>
      <c r="N1146" s="112">
        <f t="shared" si="274"/>
        <v>17000000</v>
      </c>
      <c r="O1146" s="2">
        <f t="shared" si="284"/>
        <v>855065</v>
      </c>
      <c r="P1146" s="113">
        <f t="shared" si="285"/>
        <v>9.9999999999999998E-13</v>
      </c>
      <c r="Q1146" s="121">
        <f t="shared" si="275"/>
        <v>2183074</v>
      </c>
    </row>
    <row r="1147" spans="2:17" hidden="1" x14ac:dyDescent="0.4">
      <c r="B1147" s="110">
        <v>45068</v>
      </c>
      <c r="C1147" s="122">
        <f t="shared" si="276"/>
        <v>3000000</v>
      </c>
      <c r="D1147" s="111">
        <f t="shared" si="277"/>
        <v>40389</v>
      </c>
      <c r="E1147" s="2">
        <f t="shared" si="278"/>
        <v>2250</v>
      </c>
      <c r="F1147" s="112">
        <f t="shared" si="272"/>
        <v>17000000</v>
      </c>
      <c r="G1147" s="2">
        <f t="shared" si="279"/>
        <v>855065</v>
      </c>
      <c r="H1147" s="113">
        <f t="shared" si="280"/>
        <v>9.9999999999999998E-13</v>
      </c>
      <c r="I1147" s="121">
        <f t="shared" si="273"/>
        <v>2183074</v>
      </c>
      <c r="K1147" s="123">
        <f t="shared" si="281"/>
        <v>3000000</v>
      </c>
      <c r="L1147" s="111">
        <f t="shared" si="282"/>
        <v>40389</v>
      </c>
      <c r="M1147" s="2">
        <f t="shared" si="283"/>
        <v>2250</v>
      </c>
      <c r="N1147" s="112">
        <f t="shared" si="274"/>
        <v>17000000</v>
      </c>
      <c r="O1147" s="2">
        <f t="shared" si="284"/>
        <v>855065</v>
      </c>
      <c r="P1147" s="113">
        <f t="shared" si="285"/>
        <v>9.9999999999999998E-13</v>
      </c>
      <c r="Q1147" s="121">
        <f t="shared" si="275"/>
        <v>2183074</v>
      </c>
    </row>
    <row r="1148" spans="2:17" hidden="1" x14ac:dyDescent="0.4">
      <c r="B1148" s="110">
        <v>45069</v>
      </c>
      <c r="C1148" s="122">
        <f t="shared" si="276"/>
        <v>3000000</v>
      </c>
      <c r="D1148" s="111">
        <f t="shared" si="277"/>
        <v>40389</v>
      </c>
      <c r="E1148" s="2">
        <f t="shared" si="278"/>
        <v>2250</v>
      </c>
      <c r="F1148" s="112">
        <f t="shared" si="272"/>
        <v>17000000</v>
      </c>
      <c r="G1148" s="2">
        <f t="shared" si="279"/>
        <v>855065</v>
      </c>
      <c r="H1148" s="113">
        <f t="shared" si="280"/>
        <v>9.9999999999999998E-13</v>
      </c>
      <c r="I1148" s="121">
        <f t="shared" si="273"/>
        <v>2183074</v>
      </c>
      <c r="K1148" s="123">
        <f t="shared" si="281"/>
        <v>3000000</v>
      </c>
      <c r="L1148" s="111">
        <f t="shared" si="282"/>
        <v>40389</v>
      </c>
      <c r="M1148" s="2">
        <f t="shared" si="283"/>
        <v>2250</v>
      </c>
      <c r="N1148" s="112">
        <f t="shared" si="274"/>
        <v>17000000</v>
      </c>
      <c r="O1148" s="2">
        <f t="shared" si="284"/>
        <v>855065</v>
      </c>
      <c r="P1148" s="113">
        <f t="shared" si="285"/>
        <v>9.9999999999999998E-13</v>
      </c>
      <c r="Q1148" s="121">
        <f t="shared" si="275"/>
        <v>2183074</v>
      </c>
    </row>
    <row r="1149" spans="2:17" hidden="1" x14ac:dyDescent="0.4">
      <c r="B1149" s="110">
        <v>45070</v>
      </c>
      <c r="C1149" s="122">
        <f t="shared" si="276"/>
        <v>3000000</v>
      </c>
      <c r="D1149" s="111">
        <f t="shared" si="277"/>
        <v>40389</v>
      </c>
      <c r="E1149" s="2">
        <f t="shared" si="278"/>
        <v>2250</v>
      </c>
      <c r="F1149" s="112">
        <f t="shared" si="272"/>
        <v>17000000</v>
      </c>
      <c r="G1149" s="2">
        <f t="shared" si="279"/>
        <v>855065</v>
      </c>
      <c r="H1149" s="113">
        <f t="shared" si="280"/>
        <v>9.9999999999999998E-13</v>
      </c>
      <c r="I1149" s="121">
        <f t="shared" si="273"/>
        <v>2183074</v>
      </c>
      <c r="K1149" s="123">
        <f t="shared" si="281"/>
        <v>3000000</v>
      </c>
      <c r="L1149" s="111">
        <f t="shared" si="282"/>
        <v>40389</v>
      </c>
      <c r="M1149" s="2">
        <f t="shared" si="283"/>
        <v>2250</v>
      </c>
      <c r="N1149" s="112">
        <f t="shared" si="274"/>
        <v>17000000</v>
      </c>
      <c r="O1149" s="2">
        <f t="shared" si="284"/>
        <v>855065</v>
      </c>
      <c r="P1149" s="113">
        <f t="shared" si="285"/>
        <v>9.9999999999999998E-13</v>
      </c>
      <c r="Q1149" s="121">
        <f t="shared" si="275"/>
        <v>2183074</v>
      </c>
    </row>
    <row r="1150" spans="2:17" hidden="1" x14ac:dyDescent="0.4">
      <c r="B1150" s="110">
        <v>45071</v>
      </c>
      <c r="C1150" s="122">
        <f t="shared" si="276"/>
        <v>3000000</v>
      </c>
      <c r="D1150" s="111">
        <f t="shared" si="277"/>
        <v>40389</v>
      </c>
      <c r="E1150" s="2">
        <f t="shared" si="278"/>
        <v>2250</v>
      </c>
      <c r="F1150" s="112">
        <f t="shared" si="272"/>
        <v>17000000</v>
      </c>
      <c r="G1150" s="2">
        <f t="shared" si="279"/>
        <v>855065</v>
      </c>
      <c r="H1150" s="113">
        <f t="shared" si="280"/>
        <v>9.9999999999999998E-13</v>
      </c>
      <c r="I1150" s="121">
        <f t="shared" si="273"/>
        <v>2183074</v>
      </c>
      <c r="K1150" s="123">
        <f t="shared" si="281"/>
        <v>3000000</v>
      </c>
      <c r="L1150" s="111">
        <f t="shared" si="282"/>
        <v>40389</v>
      </c>
      <c r="M1150" s="2">
        <f t="shared" si="283"/>
        <v>2250</v>
      </c>
      <c r="N1150" s="112">
        <f t="shared" si="274"/>
        <v>17000000</v>
      </c>
      <c r="O1150" s="2">
        <f t="shared" si="284"/>
        <v>855065</v>
      </c>
      <c r="P1150" s="113">
        <f t="shared" si="285"/>
        <v>9.9999999999999998E-13</v>
      </c>
      <c r="Q1150" s="121">
        <f t="shared" si="275"/>
        <v>2183074</v>
      </c>
    </row>
    <row r="1151" spans="2:17" hidden="1" x14ac:dyDescent="0.4">
      <c r="B1151" s="110">
        <v>45072</v>
      </c>
      <c r="C1151" s="122">
        <f t="shared" si="276"/>
        <v>3000000</v>
      </c>
      <c r="D1151" s="111">
        <f t="shared" si="277"/>
        <v>40389</v>
      </c>
      <c r="E1151" s="2">
        <f t="shared" si="278"/>
        <v>2250</v>
      </c>
      <c r="F1151" s="112">
        <f t="shared" si="272"/>
        <v>17000000</v>
      </c>
      <c r="G1151" s="2">
        <f t="shared" si="279"/>
        <v>855065</v>
      </c>
      <c r="H1151" s="113">
        <f t="shared" si="280"/>
        <v>9.9999999999999998E-13</v>
      </c>
      <c r="I1151" s="121">
        <f t="shared" si="273"/>
        <v>2183074</v>
      </c>
      <c r="K1151" s="123">
        <f t="shared" si="281"/>
        <v>3000000</v>
      </c>
      <c r="L1151" s="111">
        <f t="shared" si="282"/>
        <v>40389</v>
      </c>
      <c r="M1151" s="2">
        <f t="shared" si="283"/>
        <v>2250</v>
      </c>
      <c r="N1151" s="112">
        <f t="shared" si="274"/>
        <v>17000000</v>
      </c>
      <c r="O1151" s="2">
        <f t="shared" si="284"/>
        <v>855065</v>
      </c>
      <c r="P1151" s="113">
        <f t="shared" si="285"/>
        <v>9.9999999999999998E-13</v>
      </c>
      <c r="Q1151" s="121">
        <f t="shared" si="275"/>
        <v>2183074</v>
      </c>
    </row>
    <row r="1152" spans="2:17" hidden="1" x14ac:dyDescent="0.4">
      <c r="B1152" s="110">
        <v>45073</v>
      </c>
      <c r="C1152" s="122">
        <f t="shared" si="276"/>
        <v>3000000</v>
      </c>
      <c r="D1152" s="111">
        <f t="shared" si="277"/>
        <v>40389</v>
      </c>
      <c r="E1152" s="2">
        <f t="shared" si="278"/>
        <v>2250</v>
      </c>
      <c r="F1152" s="112">
        <f t="shared" si="272"/>
        <v>17000000</v>
      </c>
      <c r="G1152" s="2">
        <f t="shared" si="279"/>
        <v>855065</v>
      </c>
      <c r="H1152" s="113">
        <f t="shared" si="280"/>
        <v>9.9999999999999998E-13</v>
      </c>
      <c r="I1152" s="121">
        <f t="shared" si="273"/>
        <v>2183074</v>
      </c>
      <c r="K1152" s="123">
        <f t="shared" si="281"/>
        <v>3000000</v>
      </c>
      <c r="L1152" s="111">
        <f t="shared" si="282"/>
        <v>40389</v>
      </c>
      <c r="M1152" s="2">
        <f t="shared" si="283"/>
        <v>2250</v>
      </c>
      <c r="N1152" s="112">
        <f t="shared" si="274"/>
        <v>17000000</v>
      </c>
      <c r="O1152" s="2">
        <f t="shared" si="284"/>
        <v>855065</v>
      </c>
      <c r="P1152" s="113">
        <f t="shared" si="285"/>
        <v>9.9999999999999998E-13</v>
      </c>
      <c r="Q1152" s="121">
        <f t="shared" si="275"/>
        <v>2183074</v>
      </c>
    </row>
    <row r="1153" spans="2:17" hidden="1" x14ac:dyDescent="0.4">
      <c r="B1153" s="110">
        <v>45074</v>
      </c>
      <c r="C1153" s="122">
        <f t="shared" si="276"/>
        <v>3000000</v>
      </c>
      <c r="D1153" s="111">
        <f t="shared" si="277"/>
        <v>40389</v>
      </c>
      <c r="E1153" s="2">
        <f t="shared" si="278"/>
        <v>2250</v>
      </c>
      <c r="F1153" s="112">
        <f t="shared" si="272"/>
        <v>17000000</v>
      </c>
      <c r="G1153" s="2">
        <f t="shared" si="279"/>
        <v>855065</v>
      </c>
      <c r="H1153" s="113">
        <f t="shared" si="280"/>
        <v>9.9999999999999998E-13</v>
      </c>
      <c r="I1153" s="121">
        <f t="shared" si="273"/>
        <v>2183074</v>
      </c>
      <c r="K1153" s="123">
        <f t="shared" si="281"/>
        <v>3000000</v>
      </c>
      <c r="L1153" s="111">
        <f t="shared" si="282"/>
        <v>40389</v>
      </c>
      <c r="M1153" s="2">
        <f t="shared" si="283"/>
        <v>2250</v>
      </c>
      <c r="N1153" s="112">
        <f t="shared" si="274"/>
        <v>17000000</v>
      </c>
      <c r="O1153" s="2">
        <f t="shared" si="284"/>
        <v>855065</v>
      </c>
      <c r="P1153" s="113">
        <f t="shared" si="285"/>
        <v>9.9999999999999998E-13</v>
      </c>
      <c r="Q1153" s="121">
        <f t="shared" si="275"/>
        <v>2183074</v>
      </c>
    </row>
    <row r="1154" spans="2:17" hidden="1" x14ac:dyDescent="0.4">
      <c r="B1154" s="110">
        <v>45075</v>
      </c>
      <c r="C1154" s="122">
        <f t="shared" si="276"/>
        <v>3000000</v>
      </c>
      <c r="D1154" s="111">
        <f t="shared" si="277"/>
        <v>40389</v>
      </c>
      <c r="E1154" s="2">
        <f t="shared" si="278"/>
        <v>2250</v>
      </c>
      <c r="F1154" s="112">
        <f t="shared" si="272"/>
        <v>17000000</v>
      </c>
      <c r="G1154" s="2">
        <f t="shared" si="279"/>
        <v>855065</v>
      </c>
      <c r="H1154" s="113">
        <f t="shared" si="280"/>
        <v>9.9999999999999998E-13</v>
      </c>
      <c r="I1154" s="121">
        <f t="shared" si="273"/>
        <v>2183074</v>
      </c>
      <c r="K1154" s="123">
        <f t="shared" si="281"/>
        <v>3000000</v>
      </c>
      <c r="L1154" s="111">
        <f t="shared" si="282"/>
        <v>40389</v>
      </c>
      <c r="M1154" s="2">
        <f t="shared" si="283"/>
        <v>2250</v>
      </c>
      <c r="N1154" s="112">
        <f t="shared" si="274"/>
        <v>17000000</v>
      </c>
      <c r="O1154" s="2">
        <f t="shared" si="284"/>
        <v>855065</v>
      </c>
      <c r="P1154" s="113">
        <f t="shared" si="285"/>
        <v>9.9999999999999998E-13</v>
      </c>
      <c r="Q1154" s="121">
        <f t="shared" si="275"/>
        <v>2183074</v>
      </c>
    </row>
    <row r="1155" spans="2:17" hidden="1" x14ac:dyDescent="0.4">
      <c r="B1155" s="110">
        <v>45076</v>
      </c>
      <c r="C1155" s="122">
        <f t="shared" si="276"/>
        <v>3000000</v>
      </c>
      <c r="D1155" s="111">
        <f t="shared" si="277"/>
        <v>40389</v>
      </c>
      <c r="E1155" s="2">
        <f t="shared" si="278"/>
        <v>2250</v>
      </c>
      <c r="F1155" s="112">
        <f t="shared" si="272"/>
        <v>17000000</v>
      </c>
      <c r="G1155" s="2">
        <f t="shared" si="279"/>
        <v>855065</v>
      </c>
      <c r="H1155" s="113">
        <f t="shared" si="280"/>
        <v>9.9999999999999998E-13</v>
      </c>
      <c r="I1155" s="121">
        <f t="shared" si="273"/>
        <v>2183074</v>
      </c>
      <c r="K1155" s="123">
        <f t="shared" si="281"/>
        <v>3000000</v>
      </c>
      <c r="L1155" s="111">
        <f t="shared" si="282"/>
        <v>40389</v>
      </c>
      <c r="M1155" s="2">
        <f t="shared" si="283"/>
        <v>2250</v>
      </c>
      <c r="N1155" s="112">
        <f t="shared" si="274"/>
        <v>17000000</v>
      </c>
      <c r="O1155" s="2">
        <f t="shared" si="284"/>
        <v>855065</v>
      </c>
      <c r="P1155" s="113">
        <f t="shared" si="285"/>
        <v>9.9999999999999998E-13</v>
      </c>
      <c r="Q1155" s="121">
        <f t="shared" si="275"/>
        <v>2183074</v>
      </c>
    </row>
    <row r="1156" spans="2:17" hidden="1" x14ac:dyDescent="0.4">
      <c r="B1156" s="110">
        <v>45077</v>
      </c>
      <c r="C1156" s="122">
        <f t="shared" si="276"/>
        <v>3000000</v>
      </c>
      <c r="D1156" s="111">
        <f t="shared" si="277"/>
        <v>40389</v>
      </c>
      <c r="E1156" s="2">
        <f t="shared" si="278"/>
        <v>2250</v>
      </c>
      <c r="F1156" s="112">
        <f t="shared" si="272"/>
        <v>17000000</v>
      </c>
      <c r="G1156" s="2">
        <f t="shared" si="279"/>
        <v>855065</v>
      </c>
      <c r="H1156" s="113">
        <f t="shared" si="280"/>
        <v>9.9999999999999998E-13</v>
      </c>
      <c r="I1156" s="121">
        <f t="shared" si="273"/>
        <v>2183074</v>
      </c>
      <c r="K1156" s="123">
        <f t="shared" si="281"/>
        <v>3000000</v>
      </c>
      <c r="L1156" s="111">
        <f t="shared" si="282"/>
        <v>40389</v>
      </c>
      <c r="M1156" s="2">
        <f t="shared" si="283"/>
        <v>2250</v>
      </c>
      <c r="N1156" s="112">
        <f t="shared" si="274"/>
        <v>17000000</v>
      </c>
      <c r="O1156" s="2">
        <f t="shared" si="284"/>
        <v>855065</v>
      </c>
      <c r="P1156" s="113">
        <f t="shared" si="285"/>
        <v>9.9999999999999998E-13</v>
      </c>
      <c r="Q1156" s="121">
        <f t="shared" si="275"/>
        <v>2183074</v>
      </c>
    </row>
    <row r="1157" spans="2:17" x14ac:dyDescent="0.4">
      <c r="B1157" s="110">
        <v>45078</v>
      </c>
      <c r="C1157" s="122">
        <f t="shared" si="276"/>
        <v>3000000</v>
      </c>
      <c r="D1157" s="111">
        <f t="shared" si="277"/>
        <v>40389</v>
      </c>
      <c r="E1157" s="2">
        <f t="shared" si="278"/>
        <v>2250</v>
      </c>
      <c r="F1157" s="112">
        <f t="shared" si="272"/>
        <v>17000000</v>
      </c>
      <c r="G1157" s="2">
        <f t="shared" si="279"/>
        <v>855065</v>
      </c>
      <c r="H1157" s="113">
        <f t="shared" si="280"/>
        <v>9.9999999999999998E-13</v>
      </c>
      <c r="I1157" s="121">
        <f t="shared" si="273"/>
        <v>2183074</v>
      </c>
      <c r="K1157" s="123">
        <f t="shared" si="281"/>
        <v>3000000</v>
      </c>
      <c r="L1157" s="111">
        <f t="shared" si="282"/>
        <v>40389</v>
      </c>
      <c r="M1157" s="2">
        <f t="shared" si="283"/>
        <v>2250</v>
      </c>
      <c r="N1157" s="112">
        <f t="shared" si="274"/>
        <v>17000000</v>
      </c>
      <c r="O1157" s="2">
        <f t="shared" si="284"/>
        <v>855065</v>
      </c>
      <c r="P1157" s="113">
        <f t="shared" si="285"/>
        <v>9.9999999999999998E-13</v>
      </c>
      <c r="Q1157" s="121">
        <f t="shared" si="275"/>
        <v>2183074</v>
      </c>
    </row>
    <row r="1158" spans="2:17" hidden="1" x14ac:dyDescent="0.4">
      <c r="B1158" s="110">
        <v>45079</v>
      </c>
      <c r="C1158" s="122">
        <f t="shared" si="276"/>
        <v>3000000</v>
      </c>
      <c r="D1158" s="111">
        <f t="shared" si="277"/>
        <v>40389</v>
      </c>
      <c r="E1158" s="2">
        <f t="shared" si="278"/>
        <v>2250</v>
      </c>
      <c r="F1158" s="112">
        <f t="shared" si="272"/>
        <v>17000000</v>
      </c>
      <c r="G1158" s="2">
        <f t="shared" si="279"/>
        <v>855065</v>
      </c>
      <c r="H1158" s="113">
        <f t="shared" si="280"/>
        <v>9.9999999999999998E-13</v>
      </c>
      <c r="I1158" s="121">
        <f t="shared" si="273"/>
        <v>2183074</v>
      </c>
      <c r="K1158" s="123">
        <f t="shared" si="281"/>
        <v>3000000</v>
      </c>
      <c r="L1158" s="111">
        <f t="shared" si="282"/>
        <v>40389</v>
      </c>
      <c r="M1158" s="2">
        <f t="shared" si="283"/>
        <v>2250</v>
      </c>
      <c r="N1158" s="112">
        <f t="shared" si="274"/>
        <v>17000000</v>
      </c>
      <c r="O1158" s="2">
        <f t="shared" si="284"/>
        <v>855065</v>
      </c>
      <c r="P1158" s="113">
        <f t="shared" si="285"/>
        <v>9.9999999999999998E-13</v>
      </c>
      <c r="Q1158" s="121">
        <f t="shared" si="275"/>
        <v>2183074</v>
      </c>
    </row>
    <row r="1159" spans="2:17" hidden="1" x14ac:dyDescent="0.4">
      <c r="B1159" s="110">
        <v>45080</v>
      </c>
      <c r="C1159" s="122">
        <f t="shared" si="276"/>
        <v>3000000</v>
      </c>
      <c r="D1159" s="111">
        <f t="shared" si="277"/>
        <v>40389</v>
      </c>
      <c r="E1159" s="2">
        <f t="shared" si="278"/>
        <v>2250</v>
      </c>
      <c r="F1159" s="112">
        <f t="shared" si="272"/>
        <v>17000000</v>
      </c>
      <c r="G1159" s="2">
        <f t="shared" si="279"/>
        <v>855065</v>
      </c>
      <c r="H1159" s="113">
        <f t="shared" si="280"/>
        <v>9.9999999999999998E-13</v>
      </c>
      <c r="I1159" s="121">
        <f t="shared" si="273"/>
        <v>2183074</v>
      </c>
      <c r="K1159" s="123">
        <f t="shared" si="281"/>
        <v>3000000</v>
      </c>
      <c r="L1159" s="111">
        <f t="shared" si="282"/>
        <v>40389</v>
      </c>
      <c r="M1159" s="2">
        <f t="shared" si="283"/>
        <v>2250</v>
      </c>
      <c r="N1159" s="112">
        <f t="shared" si="274"/>
        <v>17000000</v>
      </c>
      <c r="O1159" s="2">
        <f t="shared" si="284"/>
        <v>855065</v>
      </c>
      <c r="P1159" s="113">
        <f t="shared" si="285"/>
        <v>9.9999999999999998E-13</v>
      </c>
      <c r="Q1159" s="121">
        <f t="shared" si="275"/>
        <v>2183074</v>
      </c>
    </row>
    <row r="1160" spans="2:17" hidden="1" x14ac:dyDescent="0.4">
      <c r="B1160" s="110">
        <v>45081</v>
      </c>
      <c r="C1160" s="122">
        <f t="shared" si="276"/>
        <v>3000000</v>
      </c>
      <c r="D1160" s="111">
        <f t="shared" si="277"/>
        <v>40389</v>
      </c>
      <c r="E1160" s="2">
        <f t="shared" si="278"/>
        <v>2250</v>
      </c>
      <c r="F1160" s="112">
        <f t="shared" si="272"/>
        <v>17000000</v>
      </c>
      <c r="G1160" s="2">
        <f t="shared" si="279"/>
        <v>855065</v>
      </c>
      <c r="H1160" s="113">
        <f t="shared" si="280"/>
        <v>9.9999999999999998E-13</v>
      </c>
      <c r="I1160" s="121">
        <f t="shared" si="273"/>
        <v>2183074</v>
      </c>
      <c r="K1160" s="123">
        <f t="shared" si="281"/>
        <v>3000000</v>
      </c>
      <c r="L1160" s="111">
        <f t="shared" si="282"/>
        <v>40389</v>
      </c>
      <c r="M1160" s="2">
        <f t="shared" si="283"/>
        <v>2250</v>
      </c>
      <c r="N1160" s="112">
        <f t="shared" si="274"/>
        <v>17000000</v>
      </c>
      <c r="O1160" s="2">
        <f t="shared" si="284"/>
        <v>855065</v>
      </c>
      <c r="P1160" s="113">
        <f t="shared" si="285"/>
        <v>9.9999999999999998E-13</v>
      </c>
      <c r="Q1160" s="121">
        <f t="shared" si="275"/>
        <v>2183074</v>
      </c>
    </row>
    <row r="1161" spans="2:17" hidden="1" x14ac:dyDescent="0.4">
      <c r="B1161" s="110">
        <v>45082</v>
      </c>
      <c r="C1161" s="122">
        <f t="shared" si="276"/>
        <v>3000000</v>
      </c>
      <c r="D1161" s="111">
        <f t="shared" si="277"/>
        <v>45081</v>
      </c>
      <c r="E1161" s="2">
        <f t="shared" si="278"/>
        <v>2250</v>
      </c>
      <c r="F1161" s="112">
        <f t="shared" si="272"/>
        <v>17000000</v>
      </c>
      <c r="G1161" s="2">
        <f t="shared" si="279"/>
        <v>855065</v>
      </c>
      <c r="H1161" s="113">
        <f t="shared" si="280"/>
        <v>9.9999999999999998E-13</v>
      </c>
      <c r="I1161" s="121">
        <f t="shared" si="273"/>
        <v>2187766</v>
      </c>
      <c r="K1161" s="123">
        <f t="shared" si="281"/>
        <v>3000000</v>
      </c>
      <c r="L1161" s="111">
        <f t="shared" si="282"/>
        <v>45081</v>
      </c>
      <c r="M1161" s="2">
        <f t="shared" si="283"/>
        <v>2250</v>
      </c>
      <c r="N1161" s="112">
        <f t="shared" si="274"/>
        <v>17000000</v>
      </c>
      <c r="O1161" s="2">
        <f t="shared" si="284"/>
        <v>855065</v>
      </c>
      <c r="P1161" s="113">
        <f t="shared" si="285"/>
        <v>9.9999999999999998E-13</v>
      </c>
      <c r="Q1161" s="121">
        <f t="shared" si="275"/>
        <v>2187766</v>
      </c>
    </row>
    <row r="1162" spans="2:17" hidden="1" x14ac:dyDescent="0.4">
      <c r="B1162" s="110">
        <v>45083</v>
      </c>
      <c r="C1162" s="122">
        <f t="shared" si="276"/>
        <v>3000000</v>
      </c>
      <c r="D1162" s="111">
        <f t="shared" si="277"/>
        <v>45081</v>
      </c>
      <c r="E1162" s="2">
        <f t="shared" si="278"/>
        <v>2250</v>
      </c>
      <c r="F1162" s="112">
        <f t="shared" ref="F1162:F1225" si="286">20000000-C1162</f>
        <v>17000000</v>
      </c>
      <c r="G1162" s="2">
        <f t="shared" si="279"/>
        <v>855065</v>
      </c>
      <c r="H1162" s="113">
        <f t="shared" si="280"/>
        <v>9.9999999999999998E-13</v>
      </c>
      <c r="I1162" s="121">
        <f t="shared" ref="I1162:I1225" si="287">C1162+D1162-G1162-E1162+H1162</f>
        <v>2187766</v>
      </c>
      <c r="K1162" s="123">
        <f t="shared" si="281"/>
        <v>3000000</v>
      </c>
      <c r="L1162" s="111">
        <f t="shared" si="282"/>
        <v>45081</v>
      </c>
      <c r="M1162" s="2">
        <f t="shared" si="283"/>
        <v>2250</v>
      </c>
      <c r="N1162" s="112">
        <f t="shared" ref="N1162:N1225" si="288">20000000-K1162</f>
        <v>17000000</v>
      </c>
      <c r="O1162" s="2">
        <f t="shared" si="284"/>
        <v>855065</v>
      </c>
      <c r="P1162" s="113">
        <f t="shared" si="285"/>
        <v>9.9999999999999998E-13</v>
      </c>
      <c r="Q1162" s="121">
        <f t="shared" ref="Q1162:Q1225" si="289">K1162+L1162-O1162-M1162+P1162</f>
        <v>2187766</v>
      </c>
    </row>
    <row r="1163" spans="2:17" hidden="1" x14ac:dyDescent="0.4">
      <c r="B1163" s="110">
        <v>45084</v>
      </c>
      <c r="C1163" s="122">
        <f t="shared" ref="C1163:C1226" si="290">SUMIF($B$6:$B$75,$B1163,$D$6:$D$75)+C1162</f>
        <v>3000000</v>
      </c>
      <c r="D1163" s="111">
        <f t="shared" ref="D1163:D1226" si="291">SUMIF($B$6:$B$75,$B1163,$E$6:$E$75)+D1162</f>
        <v>45081</v>
      </c>
      <c r="E1163" s="2">
        <f t="shared" ref="E1163:E1226" si="292">SUMIF($G$353:$G$376,$B1163,$J$353:$J$376)+SUMIF($E$353:$E$376,$B1163,$H$353:$H$376)+SUMIF($G$353:$G$376,$B1163,$I$353:$I$376)+E1162</f>
        <v>2250</v>
      </c>
      <c r="F1163" s="112">
        <f t="shared" si="286"/>
        <v>17000000</v>
      </c>
      <c r="G1163" s="2">
        <f t="shared" ref="G1163:G1226" si="293">SUMIF($E$353:$E$376,$B1163,$M$353:$M$376)+G1162</f>
        <v>855065</v>
      </c>
      <c r="H1163" s="113">
        <f t="shared" ref="H1163:H1226" si="294">SUMIF($G$353:$G$376,$B1163,$N$353:$N$376)+H1162</f>
        <v>9.9999999999999998E-13</v>
      </c>
      <c r="I1163" s="121">
        <f t="shared" si="287"/>
        <v>2187766</v>
      </c>
      <c r="K1163" s="123">
        <f t="shared" ref="K1163:K1226" si="295">SUMIF($B$6:$B$75,$B1163,$D$6:$D$75)+K1162</f>
        <v>3000000</v>
      </c>
      <c r="L1163" s="111">
        <f t="shared" ref="L1163:L1226" si="296">SUMIF($B$6:$B$75,$B1163,$E$6:$E$75)+L1162</f>
        <v>45081</v>
      </c>
      <c r="M1163" s="2">
        <f t="shared" ref="M1163:M1226" si="297">SUMIF($G$353:$G$376,$B1163,$J$353:$J$376)+SUMIF($E$353:$E$376,$B1163,$H$353:$H$376)+SUMIF($G$353:$G$376,$B1163,$I$353:$I$376)+M1162</f>
        <v>2250</v>
      </c>
      <c r="N1163" s="112">
        <f t="shared" si="288"/>
        <v>17000000</v>
      </c>
      <c r="O1163" s="2">
        <f t="shared" ref="O1163:O1226" si="298">SUMIF($E$353:$E$376,$B1163,$M$353:$M$376)+O1162</f>
        <v>855065</v>
      </c>
      <c r="P1163" s="113">
        <f t="shared" ref="P1163:P1226" si="299">SUMIF($G$353:$G$376,$B1163,$N$353:$N$376)+P1162</f>
        <v>9.9999999999999998E-13</v>
      </c>
      <c r="Q1163" s="121">
        <f t="shared" si="289"/>
        <v>2187766</v>
      </c>
    </row>
    <row r="1164" spans="2:17" hidden="1" x14ac:dyDescent="0.4">
      <c r="B1164" s="110">
        <v>45085</v>
      </c>
      <c r="C1164" s="122">
        <f t="shared" si="290"/>
        <v>3000000</v>
      </c>
      <c r="D1164" s="111">
        <f t="shared" si="291"/>
        <v>45081</v>
      </c>
      <c r="E1164" s="2">
        <f t="shared" si="292"/>
        <v>2250</v>
      </c>
      <c r="F1164" s="112">
        <f t="shared" si="286"/>
        <v>17000000</v>
      </c>
      <c r="G1164" s="2">
        <f t="shared" si="293"/>
        <v>855065</v>
      </c>
      <c r="H1164" s="113">
        <f t="shared" si="294"/>
        <v>9.9999999999999998E-13</v>
      </c>
      <c r="I1164" s="121">
        <f t="shared" si="287"/>
        <v>2187766</v>
      </c>
      <c r="K1164" s="123">
        <f t="shared" si="295"/>
        <v>3000000</v>
      </c>
      <c r="L1164" s="111">
        <f t="shared" si="296"/>
        <v>45081</v>
      </c>
      <c r="M1164" s="2">
        <f t="shared" si="297"/>
        <v>2250</v>
      </c>
      <c r="N1164" s="112">
        <f t="shared" si="288"/>
        <v>17000000</v>
      </c>
      <c r="O1164" s="2">
        <f t="shared" si="298"/>
        <v>855065</v>
      </c>
      <c r="P1164" s="113">
        <f t="shared" si="299"/>
        <v>9.9999999999999998E-13</v>
      </c>
      <c r="Q1164" s="121">
        <f t="shared" si="289"/>
        <v>2187766</v>
      </c>
    </row>
    <row r="1165" spans="2:17" hidden="1" x14ac:dyDescent="0.4">
      <c r="B1165" s="110">
        <v>45086</v>
      </c>
      <c r="C1165" s="122">
        <f t="shared" si="290"/>
        <v>3000000</v>
      </c>
      <c r="D1165" s="111">
        <f t="shared" si="291"/>
        <v>45081</v>
      </c>
      <c r="E1165" s="2">
        <f t="shared" si="292"/>
        <v>2250</v>
      </c>
      <c r="F1165" s="112">
        <f t="shared" si="286"/>
        <v>17000000</v>
      </c>
      <c r="G1165" s="2">
        <f t="shared" si="293"/>
        <v>855065</v>
      </c>
      <c r="H1165" s="113">
        <f t="shared" si="294"/>
        <v>9.9999999999999998E-13</v>
      </c>
      <c r="I1165" s="121">
        <f t="shared" si="287"/>
        <v>2187766</v>
      </c>
      <c r="K1165" s="123">
        <f t="shared" si="295"/>
        <v>3000000</v>
      </c>
      <c r="L1165" s="111">
        <f t="shared" si="296"/>
        <v>45081</v>
      </c>
      <c r="M1165" s="2">
        <f t="shared" si="297"/>
        <v>2250</v>
      </c>
      <c r="N1165" s="112">
        <f t="shared" si="288"/>
        <v>17000000</v>
      </c>
      <c r="O1165" s="2">
        <f t="shared" si="298"/>
        <v>855065</v>
      </c>
      <c r="P1165" s="113">
        <f t="shared" si="299"/>
        <v>9.9999999999999998E-13</v>
      </c>
      <c r="Q1165" s="121">
        <f t="shared" si="289"/>
        <v>2187766</v>
      </c>
    </row>
    <row r="1166" spans="2:17" hidden="1" x14ac:dyDescent="0.4">
      <c r="B1166" s="110">
        <v>45087</v>
      </c>
      <c r="C1166" s="122">
        <f t="shared" si="290"/>
        <v>3000000</v>
      </c>
      <c r="D1166" s="111">
        <f t="shared" si="291"/>
        <v>45081</v>
      </c>
      <c r="E1166" s="2">
        <f t="shared" si="292"/>
        <v>2250</v>
      </c>
      <c r="F1166" s="112">
        <f t="shared" si="286"/>
        <v>17000000</v>
      </c>
      <c r="G1166" s="2">
        <f t="shared" si="293"/>
        <v>855065</v>
      </c>
      <c r="H1166" s="113">
        <f t="shared" si="294"/>
        <v>9.9999999999999998E-13</v>
      </c>
      <c r="I1166" s="121">
        <f t="shared" si="287"/>
        <v>2187766</v>
      </c>
      <c r="K1166" s="123">
        <f t="shared" si="295"/>
        <v>3000000</v>
      </c>
      <c r="L1166" s="111">
        <f t="shared" si="296"/>
        <v>45081</v>
      </c>
      <c r="M1166" s="2">
        <f t="shared" si="297"/>
        <v>2250</v>
      </c>
      <c r="N1166" s="112">
        <f t="shared" si="288"/>
        <v>17000000</v>
      </c>
      <c r="O1166" s="2">
        <f t="shared" si="298"/>
        <v>855065</v>
      </c>
      <c r="P1166" s="113">
        <f t="shared" si="299"/>
        <v>9.9999999999999998E-13</v>
      </c>
      <c r="Q1166" s="121">
        <f t="shared" si="289"/>
        <v>2187766</v>
      </c>
    </row>
    <row r="1167" spans="2:17" hidden="1" x14ac:dyDescent="0.4">
      <c r="B1167" s="110">
        <v>45088</v>
      </c>
      <c r="C1167" s="122">
        <f t="shared" si="290"/>
        <v>3000000</v>
      </c>
      <c r="D1167" s="111">
        <f t="shared" si="291"/>
        <v>45081</v>
      </c>
      <c r="E1167" s="2">
        <f t="shared" si="292"/>
        <v>2250</v>
      </c>
      <c r="F1167" s="112">
        <f t="shared" si="286"/>
        <v>17000000</v>
      </c>
      <c r="G1167" s="2">
        <f t="shared" si="293"/>
        <v>855065</v>
      </c>
      <c r="H1167" s="113">
        <f t="shared" si="294"/>
        <v>9.9999999999999998E-13</v>
      </c>
      <c r="I1167" s="121">
        <f t="shared" si="287"/>
        <v>2187766</v>
      </c>
      <c r="K1167" s="123">
        <f t="shared" si="295"/>
        <v>3000000</v>
      </c>
      <c r="L1167" s="111">
        <f t="shared" si="296"/>
        <v>45081</v>
      </c>
      <c r="M1167" s="2">
        <f t="shared" si="297"/>
        <v>2250</v>
      </c>
      <c r="N1167" s="112">
        <f t="shared" si="288"/>
        <v>17000000</v>
      </c>
      <c r="O1167" s="2">
        <f t="shared" si="298"/>
        <v>855065</v>
      </c>
      <c r="P1167" s="113">
        <f t="shared" si="299"/>
        <v>9.9999999999999998E-13</v>
      </c>
      <c r="Q1167" s="121">
        <f t="shared" si="289"/>
        <v>2187766</v>
      </c>
    </row>
    <row r="1168" spans="2:17" hidden="1" x14ac:dyDescent="0.4">
      <c r="B1168" s="110">
        <v>45089</v>
      </c>
      <c r="C1168" s="122">
        <f t="shared" si="290"/>
        <v>3000000</v>
      </c>
      <c r="D1168" s="111">
        <f t="shared" si="291"/>
        <v>45081</v>
      </c>
      <c r="E1168" s="2">
        <f t="shared" si="292"/>
        <v>2250</v>
      </c>
      <c r="F1168" s="112">
        <f t="shared" si="286"/>
        <v>17000000</v>
      </c>
      <c r="G1168" s="2">
        <f t="shared" si="293"/>
        <v>855065</v>
      </c>
      <c r="H1168" s="113">
        <f t="shared" si="294"/>
        <v>9.9999999999999998E-13</v>
      </c>
      <c r="I1168" s="121">
        <f t="shared" si="287"/>
        <v>2187766</v>
      </c>
      <c r="K1168" s="123">
        <f t="shared" si="295"/>
        <v>3000000</v>
      </c>
      <c r="L1168" s="111">
        <f t="shared" si="296"/>
        <v>45081</v>
      </c>
      <c r="M1168" s="2">
        <f t="shared" si="297"/>
        <v>2250</v>
      </c>
      <c r="N1168" s="112">
        <f t="shared" si="288"/>
        <v>17000000</v>
      </c>
      <c r="O1168" s="2">
        <f t="shared" si="298"/>
        <v>855065</v>
      </c>
      <c r="P1168" s="113">
        <f t="shared" si="299"/>
        <v>9.9999999999999998E-13</v>
      </c>
      <c r="Q1168" s="121">
        <f t="shared" si="289"/>
        <v>2187766</v>
      </c>
    </row>
    <row r="1169" spans="2:17" hidden="1" x14ac:dyDescent="0.4">
      <c r="B1169" s="110">
        <v>45090</v>
      </c>
      <c r="C1169" s="122">
        <f t="shared" si="290"/>
        <v>3000000</v>
      </c>
      <c r="D1169" s="111">
        <f t="shared" si="291"/>
        <v>45081</v>
      </c>
      <c r="E1169" s="2">
        <f t="shared" si="292"/>
        <v>2250</v>
      </c>
      <c r="F1169" s="112">
        <f t="shared" si="286"/>
        <v>17000000</v>
      </c>
      <c r="G1169" s="2">
        <f t="shared" si="293"/>
        <v>855065</v>
      </c>
      <c r="H1169" s="113">
        <f t="shared" si="294"/>
        <v>9.9999999999999998E-13</v>
      </c>
      <c r="I1169" s="121">
        <f t="shared" si="287"/>
        <v>2187766</v>
      </c>
      <c r="K1169" s="123">
        <f t="shared" si="295"/>
        <v>3000000</v>
      </c>
      <c r="L1169" s="111">
        <f t="shared" si="296"/>
        <v>45081</v>
      </c>
      <c r="M1169" s="2">
        <f t="shared" si="297"/>
        <v>2250</v>
      </c>
      <c r="N1169" s="112">
        <f t="shared" si="288"/>
        <v>17000000</v>
      </c>
      <c r="O1169" s="2">
        <f t="shared" si="298"/>
        <v>855065</v>
      </c>
      <c r="P1169" s="113">
        <f t="shared" si="299"/>
        <v>9.9999999999999998E-13</v>
      </c>
      <c r="Q1169" s="121">
        <f t="shared" si="289"/>
        <v>2187766</v>
      </c>
    </row>
    <row r="1170" spans="2:17" hidden="1" x14ac:dyDescent="0.4">
      <c r="B1170" s="110">
        <v>45091</v>
      </c>
      <c r="C1170" s="122">
        <f t="shared" si="290"/>
        <v>3000000</v>
      </c>
      <c r="D1170" s="111">
        <f t="shared" si="291"/>
        <v>45081</v>
      </c>
      <c r="E1170" s="2">
        <f t="shared" si="292"/>
        <v>2250</v>
      </c>
      <c r="F1170" s="112">
        <f t="shared" si="286"/>
        <v>17000000</v>
      </c>
      <c r="G1170" s="2">
        <f t="shared" si="293"/>
        <v>855065</v>
      </c>
      <c r="H1170" s="113">
        <f t="shared" si="294"/>
        <v>9.9999999999999998E-13</v>
      </c>
      <c r="I1170" s="121">
        <f t="shared" si="287"/>
        <v>2187766</v>
      </c>
      <c r="K1170" s="123">
        <f t="shared" si="295"/>
        <v>3000000</v>
      </c>
      <c r="L1170" s="111">
        <f t="shared" si="296"/>
        <v>45081</v>
      </c>
      <c r="M1170" s="2">
        <f t="shared" si="297"/>
        <v>2250</v>
      </c>
      <c r="N1170" s="112">
        <f t="shared" si="288"/>
        <v>17000000</v>
      </c>
      <c r="O1170" s="2">
        <f t="shared" si="298"/>
        <v>855065</v>
      </c>
      <c r="P1170" s="113">
        <f t="shared" si="299"/>
        <v>9.9999999999999998E-13</v>
      </c>
      <c r="Q1170" s="121">
        <f t="shared" si="289"/>
        <v>2187766</v>
      </c>
    </row>
    <row r="1171" spans="2:17" hidden="1" x14ac:dyDescent="0.4">
      <c r="B1171" s="110">
        <v>45092</v>
      </c>
      <c r="C1171" s="122">
        <f t="shared" si="290"/>
        <v>3000000</v>
      </c>
      <c r="D1171" s="111">
        <f t="shared" si="291"/>
        <v>45081</v>
      </c>
      <c r="E1171" s="2">
        <f t="shared" si="292"/>
        <v>2250</v>
      </c>
      <c r="F1171" s="112">
        <f t="shared" si="286"/>
        <v>17000000</v>
      </c>
      <c r="G1171" s="2">
        <f t="shared" si="293"/>
        <v>855065</v>
      </c>
      <c r="H1171" s="113">
        <f t="shared" si="294"/>
        <v>9.9999999999999998E-13</v>
      </c>
      <c r="I1171" s="121">
        <f t="shared" si="287"/>
        <v>2187766</v>
      </c>
      <c r="K1171" s="123">
        <f t="shared" si="295"/>
        <v>3000000</v>
      </c>
      <c r="L1171" s="111">
        <f t="shared" si="296"/>
        <v>45081</v>
      </c>
      <c r="M1171" s="2">
        <f t="shared" si="297"/>
        <v>2250</v>
      </c>
      <c r="N1171" s="112">
        <f t="shared" si="288"/>
        <v>17000000</v>
      </c>
      <c r="O1171" s="2">
        <f t="shared" si="298"/>
        <v>855065</v>
      </c>
      <c r="P1171" s="113">
        <f t="shared" si="299"/>
        <v>9.9999999999999998E-13</v>
      </c>
      <c r="Q1171" s="121">
        <f t="shared" si="289"/>
        <v>2187766</v>
      </c>
    </row>
    <row r="1172" spans="2:17" hidden="1" x14ac:dyDescent="0.4">
      <c r="B1172" s="110">
        <v>45093</v>
      </c>
      <c r="C1172" s="122">
        <f t="shared" si="290"/>
        <v>3000000</v>
      </c>
      <c r="D1172" s="111">
        <f t="shared" si="291"/>
        <v>45081</v>
      </c>
      <c r="E1172" s="2">
        <f t="shared" si="292"/>
        <v>2250</v>
      </c>
      <c r="F1172" s="112">
        <f t="shared" si="286"/>
        <v>17000000</v>
      </c>
      <c r="G1172" s="2">
        <f t="shared" si="293"/>
        <v>855065</v>
      </c>
      <c r="H1172" s="113">
        <f t="shared" si="294"/>
        <v>9.9999999999999998E-13</v>
      </c>
      <c r="I1172" s="121">
        <f t="shared" si="287"/>
        <v>2187766</v>
      </c>
      <c r="K1172" s="123">
        <f t="shared" si="295"/>
        <v>3000000</v>
      </c>
      <c r="L1172" s="111">
        <f t="shared" si="296"/>
        <v>45081</v>
      </c>
      <c r="M1172" s="2">
        <f t="shared" si="297"/>
        <v>2250</v>
      </c>
      <c r="N1172" s="112">
        <f t="shared" si="288"/>
        <v>17000000</v>
      </c>
      <c r="O1172" s="2">
        <f t="shared" si="298"/>
        <v>855065</v>
      </c>
      <c r="P1172" s="113">
        <f t="shared" si="299"/>
        <v>9.9999999999999998E-13</v>
      </c>
      <c r="Q1172" s="121">
        <f t="shared" si="289"/>
        <v>2187766</v>
      </c>
    </row>
    <row r="1173" spans="2:17" hidden="1" x14ac:dyDescent="0.4">
      <c r="B1173" s="110">
        <v>45094</v>
      </c>
      <c r="C1173" s="122">
        <f t="shared" si="290"/>
        <v>3000000</v>
      </c>
      <c r="D1173" s="111">
        <f t="shared" si="291"/>
        <v>45081</v>
      </c>
      <c r="E1173" s="2">
        <f t="shared" si="292"/>
        <v>2250</v>
      </c>
      <c r="F1173" s="112">
        <f t="shared" si="286"/>
        <v>17000000</v>
      </c>
      <c r="G1173" s="2">
        <f t="shared" si="293"/>
        <v>855065</v>
      </c>
      <c r="H1173" s="113">
        <f t="shared" si="294"/>
        <v>9.9999999999999998E-13</v>
      </c>
      <c r="I1173" s="121">
        <f t="shared" si="287"/>
        <v>2187766</v>
      </c>
      <c r="K1173" s="123">
        <f t="shared" si="295"/>
        <v>3000000</v>
      </c>
      <c r="L1173" s="111">
        <f t="shared" si="296"/>
        <v>45081</v>
      </c>
      <c r="M1173" s="2">
        <f t="shared" si="297"/>
        <v>2250</v>
      </c>
      <c r="N1173" s="112">
        <f t="shared" si="288"/>
        <v>17000000</v>
      </c>
      <c r="O1173" s="2">
        <f t="shared" si="298"/>
        <v>855065</v>
      </c>
      <c r="P1173" s="113">
        <f t="shared" si="299"/>
        <v>9.9999999999999998E-13</v>
      </c>
      <c r="Q1173" s="121">
        <f t="shared" si="289"/>
        <v>2187766</v>
      </c>
    </row>
    <row r="1174" spans="2:17" hidden="1" x14ac:dyDescent="0.4">
      <c r="B1174" s="110">
        <v>45095</v>
      </c>
      <c r="C1174" s="122">
        <f t="shared" si="290"/>
        <v>3000000</v>
      </c>
      <c r="D1174" s="111">
        <f t="shared" si="291"/>
        <v>45081</v>
      </c>
      <c r="E1174" s="2">
        <f t="shared" si="292"/>
        <v>2250</v>
      </c>
      <c r="F1174" s="112">
        <f t="shared" si="286"/>
        <v>17000000</v>
      </c>
      <c r="G1174" s="2">
        <f t="shared" si="293"/>
        <v>855065</v>
      </c>
      <c r="H1174" s="113">
        <f t="shared" si="294"/>
        <v>9.9999999999999998E-13</v>
      </c>
      <c r="I1174" s="121">
        <f t="shared" si="287"/>
        <v>2187766</v>
      </c>
      <c r="K1174" s="123">
        <f t="shared" si="295"/>
        <v>3000000</v>
      </c>
      <c r="L1174" s="111">
        <f t="shared" si="296"/>
        <v>45081</v>
      </c>
      <c r="M1174" s="2">
        <f t="shared" si="297"/>
        <v>2250</v>
      </c>
      <c r="N1174" s="112">
        <f t="shared" si="288"/>
        <v>17000000</v>
      </c>
      <c r="O1174" s="2">
        <f t="shared" si="298"/>
        <v>855065</v>
      </c>
      <c r="P1174" s="113">
        <f t="shared" si="299"/>
        <v>9.9999999999999998E-13</v>
      </c>
      <c r="Q1174" s="121">
        <f t="shared" si="289"/>
        <v>2187766</v>
      </c>
    </row>
    <row r="1175" spans="2:17" hidden="1" x14ac:dyDescent="0.4">
      <c r="B1175" s="110">
        <v>45096</v>
      </c>
      <c r="C1175" s="122">
        <f t="shared" si="290"/>
        <v>3000000</v>
      </c>
      <c r="D1175" s="111">
        <f t="shared" si="291"/>
        <v>45081</v>
      </c>
      <c r="E1175" s="2">
        <f t="shared" si="292"/>
        <v>2250</v>
      </c>
      <c r="F1175" s="112">
        <f t="shared" si="286"/>
        <v>17000000</v>
      </c>
      <c r="G1175" s="2">
        <f t="shared" si="293"/>
        <v>855065</v>
      </c>
      <c r="H1175" s="113">
        <f t="shared" si="294"/>
        <v>9.9999999999999998E-13</v>
      </c>
      <c r="I1175" s="121">
        <f t="shared" si="287"/>
        <v>2187766</v>
      </c>
      <c r="K1175" s="123">
        <f t="shared" si="295"/>
        <v>3000000</v>
      </c>
      <c r="L1175" s="111">
        <f t="shared" si="296"/>
        <v>45081</v>
      </c>
      <c r="M1175" s="2">
        <f t="shared" si="297"/>
        <v>2250</v>
      </c>
      <c r="N1175" s="112">
        <f t="shared" si="288"/>
        <v>17000000</v>
      </c>
      <c r="O1175" s="2">
        <f t="shared" si="298"/>
        <v>855065</v>
      </c>
      <c r="P1175" s="113">
        <f t="shared" si="299"/>
        <v>9.9999999999999998E-13</v>
      </c>
      <c r="Q1175" s="121">
        <f t="shared" si="289"/>
        <v>2187766</v>
      </c>
    </row>
    <row r="1176" spans="2:17" hidden="1" x14ac:dyDescent="0.4">
      <c r="B1176" s="110">
        <v>45097</v>
      </c>
      <c r="C1176" s="122">
        <f t="shared" si="290"/>
        <v>3000000</v>
      </c>
      <c r="D1176" s="111">
        <f t="shared" si="291"/>
        <v>45081</v>
      </c>
      <c r="E1176" s="2">
        <f t="shared" si="292"/>
        <v>2250</v>
      </c>
      <c r="F1176" s="112">
        <f t="shared" si="286"/>
        <v>17000000</v>
      </c>
      <c r="G1176" s="2">
        <f t="shared" si="293"/>
        <v>855065</v>
      </c>
      <c r="H1176" s="113">
        <f t="shared" si="294"/>
        <v>9.9999999999999998E-13</v>
      </c>
      <c r="I1176" s="121">
        <f t="shared" si="287"/>
        <v>2187766</v>
      </c>
      <c r="K1176" s="123">
        <f t="shared" si="295"/>
        <v>3000000</v>
      </c>
      <c r="L1176" s="111">
        <f t="shared" si="296"/>
        <v>45081</v>
      </c>
      <c r="M1176" s="2">
        <f t="shared" si="297"/>
        <v>2250</v>
      </c>
      <c r="N1176" s="112">
        <f t="shared" si="288"/>
        <v>17000000</v>
      </c>
      <c r="O1176" s="2">
        <f t="shared" si="298"/>
        <v>855065</v>
      </c>
      <c r="P1176" s="113">
        <f t="shared" si="299"/>
        <v>9.9999999999999998E-13</v>
      </c>
      <c r="Q1176" s="121">
        <f t="shared" si="289"/>
        <v>2187766</v>
      </c>
    </row>
    <row r="1177" spans="2:17" hidden="1" x14ac:dyDescent="0.4">
      <c r="B1177" s="110">
        <v>45098</v>
      </c>
      <c r="C1177" s="122">
        <f t="shared" si="290"/>
        <v>3000000</v>
      </c>
      <c r="D1177" s="111">
        <f t="shared" si="291"/>
        <v>45081</v>
      </c>
      <c r="E1177" s="2">
        <f t="shared" si="292"/>
        <v>2250</v>
      </c>
      <c r="F1177" s="112">
        <f t="shared" si="286"/>
        <v>17000000</v>
      </c>
      <c r="G1177" s="2">
        <f t="shared" si="293"/>
        <v>855065</v>
      </c>
      <c r="H1177" s="113">
        <f t="shared" si="294"/>
        <v>9.9999999999999998E-13</v>
      </c>
      <c r="I1177" s="121">
        <f t="shared" si="287"/>
        <v>2187766</v>
      </c>
      <c r="K1177" s="123">
        <f t="shared" si="295"/>
        <v>3000000</v>
      </c>
      <c r="L1177" s="111">
        <f t="shared" si="296"/>
        <v>45081</v>
      </c>
      <c r="M1177" s="2">
        <f t="shared" si="297"/>
        <v>2250</v>
      </c>
      <c r="N1177" s="112">
        <f t="shared" si="288"/>
        <v>17000000</v>
      </c>
      <c r="O1177" s="2">
        <f t="shared" si="298"/>
        <v>855065</v>
      </c>
      <c r="P1177" s="113">
        <f t="shared" si="299"/>
        <v>9.9999999999999998E-13</v>
      </c>
      <c r="Q1177" s="121">
        <f t="shared" si="289"/>
        <v>2187766</v>
      </c>
    </row>
    <row r="1178" spans="2:17" hidden="1" x14ac:dyDescent="0.4">
      <c r="B1178" s="110">
        <v>45099</v>
      </c>
      <c r="C1178" s="122">
        <f t="shared" si="290"/>
        <v>3000000</v>
      </c>
      <c r="D1178" s="111">
        <f t="shared" si="291"/>
        <v>45081</v>
      </c>
      <c r="E1178" s="2">
        <f t="shared" si="292"/>
        <v>2250</v>
      </c>
      <c r="F1178" s="112">
        <f t="shared" si="286"/>
        <v>17000000</v>
      </c>
      <c r="G1178" s="2">
        <f t="shared" si="293"/>
        <v>855065</v>
      </c>
      <c r="H1178" s="113">
        <f t="shared" si="294"/>
        <v>9.9999999999999998E-13</v>
      </c>
      <c r="I1178" s="121">
        <f t="shared" si="287"/>
        <v>2187766</v>
      </c>
      <c r="K1178" s="123">
        <f t="shared" si="295"/>
        <v>3000000</v>
      </c>
      <c r="L1178" s="111">
        <f t="shared" si="296"/>
        <v>45081</v>
      </c>
      <c r="M1178" s="2">
        <f t="shared" si="297"/>
        <v>2250</v>
      </c>
      <c r="N1178" s="112">
        <f t="shared" si="288"/>
        <v>17000000</v>
      </c>
      <c r="O1178" s="2">
        <f t="shared" si="298"/>
        <v>855065</v>
      </c>
      <c r="P1178" s="113">
        <f t="shared" si="299"/>
        <v>9.9999999999999998E-13</v>
      </c>
      <c r="Q1178" s="121">
        <f t="shared" si="289"/>
        <v>2187766</v>
      </c>
    </row>
    <row r="1179" spans="2:17" hidden="1" x14ac:dyDescent="0.4">
      <c r="B1179" s="110">
        <v>45100</v>
      </c>
      <c r="C1179" s="122">
        <f t="shared" si="290"/>
        <v>3000000</v>
      </c>
      <c r="D1179" s="111">
        <f t="shared" si="291"/>
        <v>45081</v>
      </c>
      <c r="E1179" s="2">
        <f t="shared" si="292"/>
        <v>2250</v>
      </c>
      <c r="F1179" s="112">
        <f t="shared" si="286"/>
        <v>17000000</v>
      </c>
      <c r="G1179" s="2">
        <f t="shared" si="293"/>
        <v>855065</v>
      </c>
      <c r="H1179" s="113">
        <f t="shared" si="294"/>
        <v>9.9999999999999998E-13</v>
      </c>
      <c r="I1179" s="121">
        <f t="shared" si="287"/>
        <v>2187766</v>
      </c>
      <c r="K1179" s="123">
        <f t="shared" si="295"/>
        <v>3000000</v>
      </c>
      <c r="L1179" s="111">
        <f t="shared" si="296"/>
        <v>45081</v>
      </c>
      <c r="M1179" s="2">
        <f t="shared" si="297"/>
        <v>2250</v>
      </c>
      <c r="N1179" s="112">
        <f t="shared" si="288"/>
        <v>17000000</v>
      </c>
      <c r="O1179" s="2">
        <f t="shared" si="298"/>
        <v>855065</v>
      </c>
      <c r="P1179" s="113">
        <f t="shared" si="299"/>
        <v>9.9999999999999998E-13</v>
      </c>
      <c r="Q1179" s="121">
        <f t="shared" si="289"/>
        <v>2187766</v>
      </c>
    </row>
    <row r="1180" spans="2:17" hidden="1" x14ac:dyDescent="0.4">
      <c r="B1180" s="110">
        <v>45101</v>
      </c>
      <c r="C1180" s="122">
        <f t="shared" si="290"/>
        <v>3000000</v>
      </c>
      <c r="D1180" s="111">
        <f t="shared" si="291"/>
        <v>45081</v>
      </c>
      <c r="E1180" s="2">
        <f t="shared" si="292"/>
        <v>2250</v>
      </c>
      <c r="F1180" s="112">
        <f t="shared" si="286"/>
        <v>17000000</v>
      </c>
      <c r="G1180" s="2">
        <f t="shared" si="293"/>
        <v>855065</v>
      </c>
      <c r="H1180" s="113">
        <f t="shared" si="294"/>
        <v>9.9999999999999998E-13</v>
      </c>
      <c r="I1180" s="121">
        <f t="shared" si="287"/>
        <v>2187766</v>
      </c>
      <c r="K1180" s="123">
        <f t="shared" si="295"/>
        <v>3000000</v>
      </c>
      <c r="L1180" s="111">
        <f t="shared" si="296"/>
        <v>45081</v>
      </c>
      <c r="M1180" s="2">
        <f t="shared" si="297"/>
        <v>2250</v>
      </c>
      <c r="N1180" s="112">
        <f t="shared" si="288"/>
        <v>17000000</v>
      </c>
      <c r="O1180" s="2">
        <f t="shared" si="298"/>
        <v>855065</v>
      </c>
      <c r="P1180" s="113">
        <f t="shared" si="299"/>
        <v>9.9999999999999998E-13</v>
      </c>
      <c r="Q1180" s="121">
        <f t="shared" si="289"/>
        <v>2187766</v>
      </c>
    </row>
    <row r="1181" spans="2:17" hidden="1" x14ac:dyDescent="0.4">
      <c r="B1181" s="110">
        <v>45102</v>
      </c>
      <c r="C1181" s="122">
        <f t="shared" si="290"/>
        <v>3000000</v>
      </c>
      <c r="D1181" s="111">
        <f t="shared" si="291"/>
        <v>45081</v>
      </c>
      <c r="E1181" s="2">
        <f t="shared" si="292"/>
        <v>2250</v>
      </c>
      <c r="F1181" s="112">
        <f t="shared" si="286"/>
        <v>17000000</v>
      </c>
      <c r="G1181" s="2">
        <f t="shared" si="293"/>
        <v>855065</v>
      </c>
      <c r="H1181" s="113">
        <f t="shared" si="294"/>
        <v>9.9999999999999998E-13</v>
      </c>
      <c r="I1181" s="121">
        <f t="shared" si="287"/>
        <v>2187766</v>
      </c>
      <c r="K1181" s="123">
        <f t="shared" si="295"/>
        <v>3000000</v>
      </c>
      <c r="L1181" s="111">
        <f t="shared" si="296"/>
        <v>45081</v>
      </c>
      <c r="M1181" s="2">
        <f t="shared" si="297"/>
        <v>2250</v>
      </c>
      <c r="N1181" s="112">
        <f t="shared" si="288"/>
        <v>17000000</v>
      </c>
      <c r="O1181" s="2">
        <f t="shared" si="298"/>
        <v>855065</v>
      </c>
      <c r="P1181" s="113">
        <f t="shared" si="299"/>
        <v>9.9999999999999998E-13</v>
      </c>
      <c r="Q1181" s="121">
        <f t="shared" si="289"/>
        <v>2187766</v>
      </c>
    </row>
    <row r="1182" spans="2:17" hidden="1" x14ac:dyDescent="0.4">
      <c r="B1182" s="110">
        <v>45103</v>
      </c>
      <c r="C1182" s="122">
        <f t="shared" si="290"/>
        <v>3000000</v>
      </c>
      <c r="D1182" s="111">
        <f t="shared" si="291"/>
        <v>45081</v>
      </c>
      <c r="E1182" s="2">
        <f t="shared" si="292"/>
        <v>2250</v>
      </c>
      <c r="F1182" s="112">
        <f t="shared" si="286"/>
        <v>17000000</v>
      </c>
      <c r="G1182" s="2">
        <f t="shared" si="293"/>
        <v>855065</v>
      </c>
      <c r="H1182" s="113">
        <f t="shared" si="294"/>
        <v>9.9999999999999998E-13</v>
      </c>
      <c r="I1182" s="121">
        <f t="shared" si="287"/>
        <v>2187766</v>
      </c>
      <c r="K1182" s="123">
        <f t="shared" si="295"/>
        <v>3000000</v>
      </c>
      <c r="L1182" s="111">
        <f t="shared" si="296"/>
        <v>45081</v>
      </c>
      <c r="M1182" s="2">
        <f t="shared" si="297"/>
        <v>2250</v>
      </c>
      <c r="N1182" s="112">
        <f t="shared" si="288"/>
        <v>17000000</v>
      </c>
      <c r="O1182" s="2">
        <f t="shared" si="298"/>
        <v>855065</v>
      </c>
      <c r="P1182" s="113">
        <f t="shared" si="299"/>
        <v>9.9999999999999998E-13</v>
      </c>
      <c r="Q1182" s="121">
        <f t="shared" si="289"/>
        <v>2187766</v>
      </c>
    </row>
    <row r="1183" spans="2:17" hidden="1" x14ac:dyDescent="0.4">
      <c r="B1183" s="110">
        <v>45104</v>
      </c>
      <c r="C1183" s="122">
        <f t="shared" si="290"/>
        <v>3000000</v>
      </c>
      <c r="D1183" s="111">
        <f t="shared" si="291"/>
        <v>45081</v>
      </c>
      <c r="E1183" s="2">
        <f t="shared" si="292"/>
        <v>2250</v>
      </c>
      <c r="F1183" s="112">
        <f t="shared" si="286"/>
        <v>17000000</v>
      </c>
      <c r="G1183" s="2">
        <f t="shared" si="293"/>
        <v>855065</v>
      </c>
      <c r="H1183" s="113">
        <f t="shared" si="294"/>
        <v>9.9999999999999998E-13</v>
      </c>
      <c r="I1183" s="121">
        <f t="shared" si="287"/>
        <v>2187766</v>
      </c>
      <c r="K1183" s="123">
        <f t="shared" si="295"/>
        <v>3000000</v>
      </c>
      <c r="L1183" s="111">
        <f t="shared" si="296"/>
        <v>45081</v>
      </c>
      <c r="M1183" s="2">
        <f t="shared" si="297"/>
        <v>2250</v>
      </c>
      <c r="N1183" s="112">
        <f t="shared" si="288"/>
        <v>17000000</v>
      </c>
      <c r="O1183" s="2">
        <f t="shared" si="298"/>
        <v>855065</v>
      </c>
      <c r="P1183" s="113">
        <f t="shared" si="299"/>
        <v>9.9999999999999998E-13</v>
      </c>
      <c r="Q1183" s="121">
        <f t="shared" si="289"/>
        <v>2187766</v>
      </c>
    </row>
    <row r="1184" spans="2:17" hidden="1" x14ac:dyDescent="0.4">
      <c r="B1184" s="110">
        <v>45105</v>
      </c>
      <c r="C1184" s="122">
        <f t="shared" si="290"/>
        <v>3000000</v>
      </c>
      <c r="D1184" s="111">
        <f t="shared" si="291"/>
        <v>45081</v>
      </c>
      <c r="E1184" s="2">
        <f t="shared" si="292"/>
        <v>2250</v>
      </c>
      <c r="F1184" s="112">
        <f t="shared" si="286"/>
        <v>17000000</v>
      </c>
      <c r="G1184" s="2">
        <f t="shared" si="293"/>
        <v>855065</v>
      </c>
      <c r="H1184" s="113">
        <f t="shared" si="294"/>
        <v>9.9999999999999998E-13</v>
      </c>
      <c r="I1184" s="121">
        <f t="shared" si="287"/>
        <v>2187766</v>
      </c>
      <c r="K1184" s="123">
        <f t="shared" si="295"/>
        <v>3000000</v>
      </c>
      <c r="L1184" s="111">
        <f t="shared" si="296"/>
        <v>45081</v>
      </c>
      <c r="M1184" s="2">
        <f t="shared" si="297"/>
        <v>2250</v>
      </c>
      <c r="N1184" s="112">
        <f t="shared" si="288"/>
        <v>17000000</v>
      </c>
      <c r="O1184" s="2">
        <f t="shared" si="298"/>
        <v>855065</v>
      </c>
      <c r="P1184" s="113">
        <f t="shared" si="299"/>
        <v>9.9999999999999998E-13</v>
      </c>
      <c r="Q1184" s="121">
        <f t="shared" si="289"/>
        <v>2187766</v>
      </c>
    </row>
    <row r="1185" spans="2:17" hidden="1" x14ac:dyDescent="0.4">
      <c r="B1185" s="110">
        <v>45106</v>
      </c>
      <c r="C1185" s="122">
        <f t="shared" si="290"/>
        <v>3000000</v>
      </c>
      <c r="D1185" s="111">
        <f t="shared" si="291"/>
        <v>45081</v>
      </c>
      <c r="E1185" s="2">
        <f t="shared" si="292"/>
        <v>2250</v>
      </c>
      <c r="F1185" s="112">
        <f t="shared" si="286"/>
        <v>17000000</v>
      </c>
      <c r="G1185" s="2">
        <f t="shared" si="293"/>
        <v>855065</v>
      </c>
      <c r="H1185" s="113">
        <f t="shared" si="294"/>
        <v>9.9999999999999998E-13</v>
      </c>
      <c r="I1185" s="121">
        <f t="shared" si="287"/>
        <v>2187766</v>
      </c>
      <c r="K1185" s="123">
        <f t="shared" si="295"/>
        <v>3000000</v>
      </c>
      <c r="L1185" s="111">
        <f t="shared" si="296"/>
        <v>45081</v>
      </c>
      <c r="M1185" s="2">
        <f t="shared" si="297"/>
        <v>2250</v>
      </c>
      <c r="N1185" s="112">
        <f t="shared" si="288"/>
        <v>17000000</v>
      </c>
      <c r="O1185" s="2">
        <f t="shared" si="298"/>
        <v>855065</v>
      </c>
      <c r="P1185" s="113">
        <f t="shared" si="299"/>
        <v>9.9999999999999998E-13</v>
      </c>
      <c r="Q1185" s="121">
        <f t="shared" si="289"/>
        <v>2187766</v>
      </c>
    </row>
    <row r="1186" spans="2:17" hidden="1" x14ac:dyDescent="0.4">
      <c r="B1186" s="110">
        <v>45107</v>
      </c>
      <c r="C1186" s="122">
        <f t="shared" si="290"/>
        <v>3000000</v>
      </c>
      <c r="D1186" s="111">
        <f t="shared" si="291"/>
        <v>45081</v>
      </c>
      <c r="E1186" s="2">
        <f t="shared" si="292"/>
        <v>2250</v>
      </c>
      <c r="F1186" s="112">
        <f t="shared" si="286"/>
        <v>17000000</v>
      </c>
      <c r="G1186" s="2">
        <f t="shared" si="293"/>
        <v>855065</v>
      </c>
      <c r="H1186" s="113">
        <f t="shared" si="294"/>
        <v>9.9999999999999998E-13</v>
      </c>
      <c r="I1186" s="121">
        <f t="shared" si="287"/>
        <v>2187766</v>
      </c>
      <c r="K1186" s="123">
        <f t="shared" si="295"/>
        <v>3000000</v>
      </c>
      <c r="L1186" s="111">
        <f t="shared" si="296"/>
        <v>45081</v>
      </c>
      <c r="M1186" s="2">
        <f t="shared" si="297"/>
        <v>2250</v>
      </c>
      <c r="N1186" s="112">
        <f t="shared" si="288"/>
        <v>17000000</v>
      </c>
      <c r="O1186" s="2">
        <f t="shared" si="298"/>
        <v>855065</v>
      </c>
      <c r="P1186" s="113">
        <f t="shared" si="299"/>
        <v>9.9999999999999998E-13</v>
      </c>
      <c r="Q1186" s="121">
        <f t="shared" si="289"/>
        <v>2187766</v>
      </c>
    </row>
    <row r="1187" spans="2:17" x14ac:dyDescent="0.4">
      <c r="B1187" s="110">
        <v>45108</v>
      </c>
      <c r="C1187" s="122">
        <f t="shared" si="290"/>
        <v>3000000</v>
      </c>
      <c r="D1187" s="111">
        <f t="shared" si="291"/>
        <v>45081</v>
      </c>
      <c r="E1187" s="2">
        <f t="shared" si="292"/>
        <v>2250</v>
      </c>
      <c r="F1187" s="112">
        <f t="shared" si="286"/>
        <v>17000000</v>
      </c>
      <c r="G1187" s="2">
        <f t="shared" si="293"/>
        <v>855065</v>
      </c>
      <c r="H1187" s="113">
        <f t="shared" si="294"/>
        <v>9.9999999999999998E-13</v>
      </c>
      <c r="I1187" s="121">
        <f t="shared" si="287"/>
        <v>2187766</v>
      </c>
      <c r="K1187" s="123">
        <f t="shared" si="295"/>
        <v>3000000</v>
      </c>
      <c r="L1187" s="111">
        <f t="shared" si="296"/>
        <v>45081</v>
      </c>
      <c r="M1187" s="2">
        <f t="shared" si="297"/>
        <v>2250</v>
      </c>
      <c r="N1187" s="112">
        <f t="shared" si="288"/>
        <v>17000000</v>
      </c>
      <c r="O1187" s="2">
        <f t="shared" si="298"/>
        <v>855065</v>
      </c>
      <c r="P1187" s="113">
        <f t="shared" si="299"/>
        <v>9.9999999999999998E-13</v>
      </c>
      <c r="Q1187" s="121">
        <f t="shared" si="289"/>
        <v>2187766</v>
      </c>
    </row>
    <row r="1188" spans="2:17" hidden="1" x14ac:dyDescent="0.4">
      <c r="B1188" s="110">
        <v>45109</v>
      </c>
      <c r="C1188" s="122">
        <f t="shared" si="290"/>
        <v>3000000</v>
      </c>
      <c r="D1188" s="111">
        <f t="shared" si="291"/>
        <v>45081</v>
      </c>
      <c r="E1188" s="2">
        <f t="shared" si="292"/>
        <v>2250</v>
      </c>
      <c r="F1188" s="112">
        <f t="shared" si="286"/>
        <v>17000000</v>
      </c>
      <c r="G1188" s="2">
        <f t="shared" si="293"/>
        <v>855065</v>
      </c>
      <c r="H1188" s="113">
        <f t="shared" si="294"/>
        <v>9.9999999999999998E-13</v>
      </c>
      <c r="I1188" s="121">
        <f t="shared" si="287"/>
        <v>2187766</v>
      </c>
      <c r="K1188" s="123">
        <f t="shared" si="295"/>
        <v>3000000</v>
      </c>
      <c r="L1188" s="111">
        <f t="shared" si="296"/>
        <v>45081</v>
      </c>
      <c r="M1188" s="2">
        <f t="shared" si="297"/>
        <v>2250</v>
      </c>
      <c r="N1188" s="112">
        <f t="shared" si="288"/>
        <v>17000000</v>
      </c>
      <c r="O1188" s="2">
        <f t="shared" si="298"/>
        <v>855065</v>
      </c>
      <c r="P1188" s="113">
        <f t="shared" si="299"/>
        <v>9.9999999999999998E-13</v>
      </c>
      <c r="Q1188" s="121">
        <f t="shared" si="289"/>
        <v>2187766</v>
      </c>
    </row>
    <row r="1189" spans="2:17" hidden="1" x14ac:dyDescent="0.4">
      <c r="B1189" s="110">
        <v>45110</v>
      </c>
      <c r="C1189" s="122">
        <f t="shared" si="290"/>
        <v>3000000</v>
      </c>
      <c r="D1189" s="111">
        <f t="shared" si="291"/>
        <v>45081</v>
      </c>
      <c r="E1189" s="2">
        <f t="shared" si="292"/>
        <v>2250</v>
      </c>
      <c r="F1189" s="112">
        <f t="shared" si="286"/>
        <v>17000000</v>
      </c>
      <c r="G1189" s="2">
        <f t="shared" si="293"/>
        <v>855065</v>
      </c>
      <c r="H1189" s="113">
        <f t="shared" si="294"/>
        <v>9.9999999999999998E-13</v>
      </c>
      <c r="I1189" s="121">
        <f t="shared" si="287"/>
        <v>2187766</v>
      </c>
      <c r="K1189" s="123">
        <f t="shared" si="295"/>
        <v>3000000</v>
      </c>
      <c r="L1189" s="111">
        <f t="shared" si="296"/>
        <v>45081</v>
      </c>
      <c r="M1189" s="2">
        <f t="shared" si="297"/>
        <v>2250</v>
      </c>
      <c r="N1189" s="112">
        <f t="shared" si="288"/>
        <v>17000000</v>
      </c>
      <c r="O1189" s="2">
        <f t="shared" si="298"/>
        <v>855065</v>
      </c>
      <c r="P1189" s="113">
        <f t="shared" si="299"/>
        <v>9.9999999999999998E-13</v>
      </c>
      <c r="Q1189" s="121">
        <f t="shared" si="289"/>
        <v>2187766</v>
      </c>
    </row>
    <row r="1190" spans="2:17" hidden="1" x14ac:dyDescent="0.4">
      <c r="B1190" s="110">
        <v>45111</v>
      </c>
      <c r="C1190" s="122">
        <f t="shared" si="290"/>
        <v>3000000</v>
      </c>
      <c r="D1190" s="111">
        <f t="shared" si="291"/>
        <v>45081</v>
      </c>
      <c r="E1190" s="2">
        <f t="shared" si="292"/>
        <v>2250</v>
      </c>
      <c r="F1190" s="112">
        <f t="shared" si="286"/>
        <v>17000000</v>
      </c>
      <c r="G1190" s="2">
        <f t="shared" si="293"/>
        <v>855065</v>
      </c>
      <c r="H1190" s="113">
        <f t="shared" si="294"/>
        <v>9.9999999999999998E-13</v>
      </c>
      <c r="I1190" s="121">
        <f t="shared" si="287"/>
        <v>2187766</v>
      </c>
      <c r="K1190" s="123">
        <f t="shared" si="295"/>
        <v>3000000</v>
      </c>
      <c r="L1190" s="111">
        <f t="shared" si="296"/>
        <v>45081</v>
      </c>
      <c r="M1190" s="2">
        <f t="shared" si="297"/>
        <v>2250</v>
      </c>
      <c r="N1190" s="112">
        <f t="shared" si="288"/>
        <v>17000000</v>
      </c>
      <c r="O1190" s="2">
        <f t="shared" si="298"/>
        <v>855065</v>
      </c>
      <c r="P1190" s="113">
        <f t="shared" si="299"/>
        <v>9.9999999999999998E-13</v>
      </c>
      <c r="Q1190" s="121">
        <f t="shared" si="289"/>
        <v>2187766</v>
      </c>
    </row>
    <row r="1191" spans="2:17" hidden="1" x14ac:dyDescent="0.4">
      <c r="B1191" s="110">
        <v>45112</v>
      </c>
      <c r="C1191" s="122">
        <f t="shared" si="290"/>
        <v>3000000</v>
      </c>
      <c r="D1191" s="111">
        <f t="shared" si="291"/>
        <v>45081</v>
      </c>
      <c r="E1191" s="2">
        <f t="shared" si="292"/>
        <v>2250</v>
      </c>
      <c r="F1191" s="112">
        <f t="shared" si="286"/>
        <v>17000000</v>
      </c>
      <c r="G1191" s="2">
        <f t="shared" si="293"/>
        <v>855065</v>
      </c>
      <c r="H1191" s="113">
        <f t="shared" si="294"/>
        <v>9.9999999999999998E-13</v>
      </c>
      <c r="I1191" s="121">
        <f t="shared" si="287"/>
        <v>2187766</v>
      </c>
      <c r="K1191" s="123">
        <f t="shared" si="295"/>
        <v>3000000</v>
      </c>
      <c r="L1191" s="111">
        <f t="shared" si="296"/>
        <v>45081</v>
      </c>
      <c r="M1191" s="2">
        <f t="shared" si="297"/>
        <v>2250</v>
      </c>
      <c r="N1191" s="112">
        <f t="shared" si="288"/>
        <v>17000000</v>
      </c>
      <c r="O1191" s="2">
        <f t="shared" si="298"/>
        <v>855065</v>
      </c>
      <c r="P1191" s="113">
        <f t="shared" si="299"/>
        <v>9.9999999999999998E-13</v>
      </c>
      <c r="Q1191" s="121">
        <f t="shared" si="289"/>
        <v>2187766</v>
      </c>
    </row>
    <row r="1192" spans="2:17" hidden="1" x14ac:dyDescent="0.4">
      <c r="B1192" s="110">
        <v>45113</v>
      </c>
      <c r="C1192" s="122">
        <f t="shared" si="290"/>
        <v>3000000</v>
      </c>
      <c r="D1192" s="111">
        <f t="shared" si="291"/>
        <v>45081</v>
      </c>
      <c r="E1192" s="2">
        <f t="shared" si="292"/>
        <v>2250</v>
      </c>
      <c r="F1192" s="112">
        <f t="shared" si="286"/>
        <v>17000000</v>
      </c>
      <c r="G1192" s="2">
        <f t="shared" si="293"/>
        <v>855065</v>
      </c>
      <c r="H1192" s="113">
        <f t="shared" si="294"/>
        <v>9.9999999999999998E-13</v>
      </c>
      <c r="I1192" s="121">
        <f t="shared" si="287"/>
        <v>2187766</v>
      </c>
      <c r="K1192" s="123">
        <f t="shared" si="295"/>
        <v>3000000</v>
      </c>
      <c r="L1192" s="111">
        <f t="shared" si="296"/>
        <v>45081</v>
      </c>
      <c r="M1192" s="2">
        <f t="shared" si="297"/>
        <v>2250</v>
      </c>
      <c r="N1192" s="112">
        <f t="shared" si="288"/>
        <v>17000000</v>
      </c>
      <c r="O1192" s="2">
        <f t="shared" si="298"/>
        <v>855065</v>
      </c>
      <c r="P1192" s="113">
        <f t="shared" si="299"/>
        <v>9.9999999999999998E-13</v>
      </c>
      <c r="Q1192" s="121">
        <f t="shared" si="289"/>
        <v>2187766</v>
      </c>
    </row>
    <row r="1193" spans="2:17" hidden="1" x14ac:dyDescent="0.4">
      <c r="B1193" s="110">
        <v>45114</v>
      </c>
      <c r="C1193" s="122">
        <f t="shared" si="290"/>
        <v>3000000</v>
      </c>
      <c r="D1193" s="111">
        <f t="shared" si="291"/>
        <v>45081</v>
      </c>
      <c r="E1193" s="2">
        <f t="shared" si="292"/>
        <v>2250</v>
      </c>
      <c r="F1193" s="112">
        <f t="shared" si="286"/>
        <v>17000000</v>
      </c>
      <c r="G1193" s="2">
        <f t="shared" si="293"/>
        <v>855065</v>
      </c>
      <c r="H1193" s="113">
        <f t="shared" si="294"/>
        <v>9.9999999999999998E-13</v>
      </c>
      <c r="I1193" s="121">
        <f t="shared" si="287"/>
        <v>2187766</v>
      </c>
      <c r="K1193" s="123">
        <f t="shared" si="295"/>
        <v>3000000</v>
      </c>
      <c r="L1193" s="111">
        <f t="shared" si="296"/>
        <v>45081</v>
      </c>
      <c r="M1193" s="2">
        <f t="shared" si="297"/>
        <v>2250</v>
      </c>
      <c r="N1193" s="112">
        <f t="shared" si="288"/>
        <v>17000000</v>
      </c>
      <c r="O1193" s="2">
        <f t="shared" si="298"/>
        <v>855065</v>
      </c>
      <c r="P1193" s="113">
        <f t="shared" si="299"/>
        <v>9.9999999999999998E-13</v>
      </c>
      <c r="Q1193" s="121">
        <f t="shared" si="289"/>
        <v>2187766</v>
      </c>
    </row>
    <row r="1194" spans="2:17" hidden="1" x14ac:dyDescent="0.4">
      <c r="B1194" s="110">
        <v>45115</v>
      </c>
      <c r="C1194" s="122">
        <f t="shared" si="290"/>
        <v>3000000</v>
      </c>
      <c r="D1194" s="111">
        <f t="shared" si="291"/>
        <v>45081</v>
      </c>
      <c r="E1194" s="2">
        <f t="shared" si="292"/>
        <v>2250</v>
      </c>
      <c r="F1194" s="112">
        <f t="shared" si="286"/>
        <v>17000000</v>
      </c>
      <c r="G1194" s="2">
        <f t="shared" si="293"/>
        <v>855065</v>
      </c>
      <c r="H1194" s="113">
        <f t="shared" si="294"/>
        <v>9.9999999999999998E-13</v>
      </c>
      <c r="I1194" s="121">
        <f t="shared" si="287"/>
        <v>2187766</v>
      </c>
      <c r="K1194" s="123">
        <f t="shared" si="295"/>
        <v>3000000</v>
      </c>
      <c r="L1194" s="111">
        <f t="shared" si="296"/>
        <v>45081</v>
      </c>
      <c r="M1194" s="2">
        <f t="shared" si="297"/>
        <v>2250</v>
      </c>
      <c r="N1194" s="112">
        <f t="shared" si="288"/>
        <v>17000000</v>
      </c>
      <c r="O1194" s="2">
        <f t="shared" si="298"/>
        <v>855065</v>
      </c>
      <c r="P1194" s="113">
        <f t="shared" si="299"/>
        <v>9.9999999999999998E-13</v>
      </c>
      <c r="Q1194" s="121">
        <f t="shared" si="289"/>
        <v>2187766</v>
      </c>
    </row>
    <row r="1195" spans="2:17" hidden="1" x14ac:dyDescent="0.4">
      <c r="B1195" s="110">
        <v>45116</v>
      </c>
      <c r="C1195" s="122">
        <f t="shared" si="290"/>
        <v>3000000</v>
      </c>
      <c r="D1195" s="111">
        <f t="shared" si="291"/>
        <v>45081</v>
      </c>
      <c r="E1195" s="2">
        <f t="shared" si="292"/>
        <v>2250</v>
      </c>
      <c r="F1195" s="112">
        <f t="shared" si="286"/>
        <v>17000000</v>
      </c>
      <c r="G1195" s="2">
        <f t="shared" si="293"/>
        <v>855065</v>
      </c>
      <c r="H1195" s="113">
        <f t="shared" si="294"/>
        <v>9.9999999999999998E-13</v>
      </c>
      <c r="I1195" s="121">
        <f t="shared" si="287"/>
        <v>2187766</v>
      </c>
      <c r="K1195" s="123">
        <f t="shared" si="295"/>
        <v>3000000</v>
      </c>
      <c r="L1195" s="111">
        <f t="shared" si="296"/>
        <v>45081</v>
      </c>
      <c r="M1195" s="2">
        <f t="shared" si="297"/>
        <v>2250</v>
      </c>
      <c r="N1195" s="112">
        <f t="shared" si="288"/>
        <v>17000000</v>
      </c>
      <c r="O1195" s="2">
        <f t="shared" si="298"/>
        <v>855065</v>
      </c>
      <c r="P1195" s="113">
        <f t="shared" si="299"/>
        <v>9.9999999999999998E-13</v>
      </c>
      <c r="Q1195" s="121">
        <f t="shared" si="289"/>
        <v>2187766</v>
      </c>
    </row>
    <row r="1196" spans="2:17" hidden="1" x14ac:dyDescent="0.4">
      <c r="B1196" s="110">
        <v>45117</v>
      </c>
      <c r="C1196" s="122">
        <f t="shared" si="290"/>
        <v>3000000</v>
      </c>
      <c r="D1196" s="111">
        <f t="shared" si="291"/>
        <v>45081</v>
      </c>
      <c r="E1196" s="2">
        <f t="shared" si="292"/>
        <v>2250</v>
      </c>
      <c r="F1196" s="112">
        <f t="shared" si="286"/>
        <v>17000000</v>
      </c>
      <c r="G1196" s="2">
        <f t="shared" si="293"/>
        <v>855065</v>
      </c>
      <c r="H1196" s="113">
        <f t="shared" si="294"/>
        <v>9.9999999999999998E-13</v>
      </c>
      <c r="I1196" s="121">
        <f t="shared" si="287"/>
        <v>2187766</v>
      </c>
      <c r="K1196" s="123">
        <f t="shared" si="295"/>
        <v>3000000</v>
      </c>
      <c r="L1196" s="111">
        <f t="shared" si="296"/>
        <v>45081</v>
      </c>
      <c r="M1196" s="2">
        <f t="shared" si="297"/>
        <v>2250</v>
      </c>
      <c r="N1196" s="112">
        <f t="shared" si="288"/>
        <v>17000000</v>
      </c>
      <c r="O1196" s="2">
        <f t="shared" si="298"/>
        <v>855065</v>
      </c>
      <c r="P1196" s="113">
        <f t="shared" si="299"/>
        <v>9.9999999999999998E-13</v>
      </c>
      <c r="Q1196" s="121">
        <f t="shared" si="289"/>
        <v>2187766</v>
      </c>
    </row>
    <row r="1197" spans="2:17" hidden="1" x14ac:dyDescent="0.4">
      <c r="B1197" s="110">
        <v>45118</v>
      </c>
      <c r="C1197" s="122">
        <f t="shared" si="290"/>
        <v>3000000</v>
      </c>
      <c r="D1197" s="111">
        <f t="shared" si="291"/>
        <v>45081</v>
      </c>
      <c r="E1197" s="2">
        <f t="shared" si="292"/>
        <v>2250</v>
      </c>
      <c r="F1197" s="112">
        <f t="shared" si="286"/>
        <v>17000000</v>
      </c>
      <c r="G1197" s="2">
        <f t="shared" si="293"/>
        <v>855065</v>
      </c>
      <c r="H1197" s="113">
        <f t="shared" si="294"/>
        <v>9.9999999999999998E-13</v>
      </c>
      <c r="I1197" s="121">
        <f t="shared" si="287"/>
        <v>2187766</v>
      </c>
      <c r="K1197" s="123">
        <f t="shared" si="295"/>
        <v>3000000</v>
      </c>
      <c r="L1197" s="111">
        <f t="shared" si="296"/>
        <v>45081</v>
      </c>
      <c r="M1197" s="2">
        <f t="shared" si="297"/>
        <v>2250</v>
      </c>
      <c r="N1197" s="112">
        <f t="shared" si="288"/>
        <v>17000000</v>
      </c>
      <c r="O1197" s="2">
        <f t="shared" si="298"/>
        <v>855065</v>
      </c>
      <c r="P1197" s="113">
        <f t="shared" si="299"/>
        <v>9.9999999999999998E-13</v>
      </c>
      <c r="Q1197" s="121">
        <f t="shared" si="289"/>
        <v>2187766</v>
      </c>
    </row>
    <row r="1198" spans="2:17" hidden="1" x14ac:dyDescent="0.4">
      <c r="B1198" s="110">
        <v>45119</v>
      </c>
      <c r="C1198" s="122">
        <f t="shared" si="290"/>
        <v>3000000</v>
      </c>
      <c r="D1198" s="111">
        <f t="shared" si="291"/>
        <v>45081</v>
      </c>
      <c r="E1198" s="2">
        <f t="shared" si="292"/>
        <v>2250</v>
      </c>
      <c r="F1198" s="112">
        <f t="shared" si="286"/>
        <v>17000000</v>
      </c>
      <c r="G1198" s="2">
        <f t="shared" si="293"/>
        <v>855065</v>
      </c>
      <c r="H1198" s="113">
        <f t="shared" si="294"/>
        <v>9.9999999999999998E-13</v>
      </c>
      <c r="I1198" s="121">
        <f t="shared" si="287"/>
        <v>2187766</v>
      </c>
      <c r="K1198" s="123">
        <f t="shared" si="295"/>
        <v>3000000</v>
      </c>
      <c r="L1198" s="111">
        <f t="shared" si="296"/>
        <v>45081</v>
      </c>
      <c r="M1198" s="2">
        <f t="shared" si="297"/>
        <v>2250</v>
      </c>
      <c r="N1198" s="112">
        <f t="shared" si="288"/>
        <v>17000000</v>
      </c>
      <c r="O1198" s="2">
        <f t="shared" si="298"/>
        <v>855065</v>
      </c>
      <c r="P1198" s="113">
        <f t="shared" si="299"/>
        <v>9.9999999999999998E-13</v>
      </c>
      <c r="Q1198" s="121">
        <f t="shared" si="289"/>
        <v>2187766</v>
      </c>
    </row>
    <row r="1199" spans="2:17" hidden="1" x14ac:dyDescent="0.4">
      <c r="B1199" s="110">
        <v>45120</v>
      </c>
      <c r="C1199" s="122">
        <f t="shared" si="290"/>
        <v>3000000</v>
      </c>
      <c r="D1199" s="111">
        <f t="shared" si="291"/>
        <v>45081</v>
      </c>
      <c r="E1199" s="2">
        <f t="shared" si="292"/>
        <v>2250</v>
      </c>
      <c r="F1199" s="112">
        <f t="shared" si="286"/>
        <v>17000000</v>
      </c>
      <c r="G1199" s="2">
        <f t="shared" si="293"/>
        <v>855065</v>
      </c>
      <c r="H1199" s="113">
        <f t="shared" si="294"/>
        <v>9.9999999999999998E-13</v>
      </c>
      <c r="I1199" s="121">
        <f t="shared" si="287"/>
        <v>2187766</v>
      </c>
      <c r="K1199" s="123">
        <f t="shared" si="295"/>
        <v>3000000</v>
      </c>
      <c r="L1199" s="111">
        <f t="shared" si="296"/>
        <v>45081</v>
      </c>
      <c r="M1199" s="2">
        <f t="shared" si="297"/>
        <v>2250</v>
      </c>
      <c r="N1199" s="112">
        <f t="shared" si="288"/>
        <v>17000000</v>
      </c>
      <c r="O1199" s="2">
        <f t="shared" si="298"/>
        <v>855065</v>
      </c>
      <c r="P1199" s="113">
        <f t="shared" si="299"/>
        <v>9.9999999999999998E-13</v>
      </c>
      <c r="Q1199" s="121">
        <f t="shared" si="289"/>
        <v>2187766</v>
      </c>
    </row>
    <row r="1200" spans="2:17" hidden="1" x14ac:dyDescent="0.4">
      <c r="B1200" s="110">
        <v>45121</v>
      </c>
      <c r="C1200" s="122">
        <f t="shared" si="290"/>
        <v>3000000</v>
      </c>
      <c r="D1200" s="111">
        <f t="shared" si="291"/>
        <v>45081</v>
      </c>
      <c r="E1200" s="2">
        <f t="shared" si="292"/>
        <v>2250</v>
      </c>
      <c r="F1200" s="112">
        <f t="shared" si="286"/>
        <v>17000000</v>
      </c>
      <c r="G1200" s="2">
        <f t="shared" si="293"/>
        <v>855065</v>
      </c>
      <c r="H1200" s="113">
        <f t="shared" si="294"/>
        <v>9.9999999999999998E-13</v>
      </c>
      <c r="I1200" s="121">
        <f t="shared" si="287"/>
        <v>2187766</v>
      </c>
      <c r="K1200" s="123">
        <f t="shared" si="295"/>
        <v>3000000</v>
      </c>
      <c r="L1200" s="111">
        <f t="shared" si="296"/>
        <v>45081</v>
      </c>
      <c r="M1200" s="2">
        <f t="shared" si="297"/>
        <v>2250</v>
      </c>
      <c r="N1200" s="112">
        <f t="shared" si="288"/>
        <v>17000000</v>
      </c>
      <c r="O1200" s="2">
        <f t="shared" si="298"/>
        <v>855065</v>
      </c>
      <c r="P1200" s="113">
        <f t="shared" si="299"/>
        <v>9.9999999999999998E-13</v>
      </c>
      <c r="Q1200" s="121">
        <f t="shared" si="289"/>
        <v>2187766</v>
      </c>
    </row>
    <row r="1201" spans="2:17" hidden="1" x14ac:dyDescent="0.4">
      <c r="B1201" s="110">
        <v>45122</v>
      </c>
      <c r="C1201" s="122">
        <f t="shared" si="290"/>
        <v>3000000</v>
      </c>
      <c r="D1201" s="111">
        <f t="shared" si="291"/>
        <v>45081</v>
      </c>
      <c r="E1201" s="2">
        <f t="shared" si="292"/>
        <v>2250</v>
      </c>
      <c r="F1201" s="112">
        <f t="shared" si="286"/>
        <v>17000000</v>
      </c>
      <c r="G1201" s="2">
        <f t="shared" si="293"/>
        <v>855065</v>
      </c>
      <c r="H1201" s="113">
        <f t="shared" si="294"/>
        <v>9.9999999999999998E-13</v>
      </c>
      <c r="I1201" s="121">
        <f t="shared" si="287"/>
        <v>2187766</v>
      </c>
      <c r="K1201" s="123">
        <f t="shared" si="295"/>
        <v>3000000</v>
      </c>
      <c r="L1201" s="111">
        <f t="shared" si="296"/>
        <v>45081</v>
      </c>
      <c r="M1201" s="2">
        <f t="shared" si="297"/>
        <v>2250</v>
      </c>
      <c r="N1201" s="112">
        <f t="shared" si="288"/>
        <v>17000000</v>
      </c>
      <c r="O1201" s="2">
        <f t="shared" si="298"/>
        <v>855065</v>
      </c>
      <c r="P1201" s="113">
        <f t="shared" si="299"/>
        <v>9.9999999999999998E-13</v>
      </c>
      <c r="Q1201" s="121">
        <f t="shared" si="289"/>
        <v>2187766</v>
      </c>
    </row>
    <row r="1202" spans="2:17" hidden="1" x14ac:dyDescent="0.4">
      <c r="B1202" s="110">
        <v>45123</v>
      </c>
      <c r="C1202" s="122">
        <f t="shared" si="290"/>
        <v>3000000</v>
      </c>
      <c r="D1202" s="111">
        <f t="shared" si="291"/>
        <v>45081</v>
      </c>
      <c r="E1202" s="2">
        <f t="shared" si="292"/>
        <v>2250</v>
      </c>
      <c r="F1202" s="112">
        <f t="shared" si="286"/>
        <v>17000000</v>
      </c>
      <c r="G1202" s="2">
        <f t="shared" si="293"/>
        <v>855065</v>
      </c>
      <c r="H1202" s="113">
        <f t="shared" si="294"/>
        <v>9.9999999999999998E-13</v>
      </c>
      <c r="I1202" s="121">
        <f t="shared" si="287"/>
        <v>2187766</v>
      </c>
      <c r="K1202" s="123">
        <f t="shared" si="295"/>
        <v>3000000</v>
      </c>
      <c r="L1202" s="111">
        <f t="shared" si="296"/>
        <v>45081</v>
      </c>
      <c r="M1202" s="2">
        <f t="shared" si="297"/>
        <v>2250</v>
      </c>
      <c r="N1202" s="112">
        <f t="shared" si="288"/>
        <v>17000000</v>
      </c>
      <c r="O1202" s="2">
        <f t="shared" si="298"/>
        <v>855065</v>
      </c>
      <c r="P1202" s="113">
        <f t="shared" si="299"/>
        <v>9.9999999999999998E-13</v>
      </c>
      <c r="Q1202" s="121">
        <f t="shared" si="289"/>
        <v>2187766</v>
      </c>
    </row>
    <row r="1203" spans="2:17" hidden="1" x14ac:dyDescent="0.4">
      <c r="B1203" s="110">
        <v>45124</v>
      </c>
      <c r="C1203" s="122">
        <f t="shared" si="290"/>
        <v>3000000</v>
      </c>
      <c r="D1203" s="111">
        <f t="shared" si="291"/>
        <v>45081</v>
      </c>
      <c r="E1203" s="2">
        <f t="shared" si="292"/>
        <v>2250</v>
      </c>
      <c r="F1203" s="112">
        <f t="shared" si="286"/>
        <v>17000000</v>
      </c>
      <c r="G1203" s="2">
        <f t="shared" si="293"/>
        <v>855065</v>
      </c>
      <c r="H1203" s="113">
        <f t="shared" si="294"/>
        <v>9.9999999999999998E-13</v>
      </c>
      <c r="I1203" s="121">
        <f t="shared" si="287"/>
        <v>2187766</v>
      </c>
      <c r="K1203" s="123">
        <f t="shared" si="295"/>
        <v>3000000</v>
      </c>
      <c r="L1203" s="111">
        <f t="shared" si="296"/>
        <v>45081</v>
      </c>
      <c r="M1203" s="2">
        <f t="shared" si="297"/>
        <v>2250</v>
      </c>
      <c r="N1203" s="112">
        <f t="shared" si="288"/>
        <v>17000000</v>
      </c>
      <c r="O1203" s="2">
        <f t="shared" si="298"/>
        <v>855065</v>
      </c>
      <c r="P1203" s="113">
        <f t="shared" si="299"/>
        <v>9.9999999999999998E-13</v>
      </c>
      <c r="Q1203" s="121">
        <f t="shared" si="289"/>
        <v>2187766</v>
      </c>
    </row>
    <row r="1204" spans="2:17" hidden="1" x14ac:dyDescent="0.4">
      <c r="B1204" s="110">
        <v>45125</v>
      </c>
      <c r="C1204" s="122">
        <f t="shared" si="290"/>
        <v>3000000</v>
      </c>
      <c r="D1204" s="111">
        <f t="shared" si="291"/>
        <v>45081</v>
      </c>
      <c r="E1204" s="2">
        <f t="shared" si="292"/>
        <v>2250</v>
      </c>
      <c r="F1204" s="112">
        <f t="shared" si="286"/>
        <v>17000000</v>
      </c>
      <c r="G1204" s="2">
        <f t="shared" si="293"/>
        <v>855065</v>
      </c>
      <c r="H1204" s="113">
        <f t="shared" si="294"/>
        <v>9.9999999999999998E-13</v>
      </c>
      <c r="I1204" s="121">
        <f t="shared" si="287"/>
        <v>2187766</v>
      </c>
      <c r="K1204" s="123">
        <f t="shared" si="295"/>
        <v>3000000</v>
      </c>
      <c r="L1204" s="111">
        <f t="shared" si="296"/>
        <v>45081</v>
      </c>
      <c r="M1204" s="2">
        <f t="shared" si="297"/>
        <v>2250</v>
      </c>
      <c r="N1204" s="112">
        <f t="shared" si="288"/>
        <v>17000000</v>
      </c>
      <c r="O1204" s="2">
        <f t="shared" si="298"/>
        <v>855065</v>
      </c>
      <c r="P1204" s="113">
        <f t="shared" si="299"/>
        <v>9.9999999999999998E-13</v>
      </c>
      <c r="Q1204" s="121">
        <f t="shared" si="289"/>
        <v>2187766</v>
      </c>
    </row>
    <row r="1205" spans="2:17" hidden="1" x14ac:dyDescent="0.4">
      <c r="B1205" s="110">
        <v>45126</v>
      </c>
      <c r="C1205" s="122">
        <f t="shared" si="290"/>
        <v>3000000</v>
      </c>
      <c r="D1205" s="111">
        <f t="shared" si="291"/>
        <v>45081</v>
      </c>
      <c r="E1205" s="2">
        <f t="shared" si="292"/>
        <v>2250</v>
      </c>
      <c r="F1205" s="112">
        <f t="shared" si="286"/>
        <v>17000000</v>
      </c>
      <c r="G1205" s="2">
        <f t="shared" si="293"/>
        <v>855065</v>
      </c>
      <c r="H1205" s="113">
        <f t="shared" si="294"/>
        <v>9.9999999999999998E-13</v>
      </c>
      <c r="I1205" s="121">
        <f t="shared" si="287"/>
        <v>2187766</v>
      </c>
      <c r="K1205" s="123">
        <f t="shared" si="295"/>
        <v>3000000</v>
      </c>
      <c r="L1205" s="111">
        <f t="shared" si="296"/>
        <v>45081</v>
      </c>
      <c r="M1205" s="2">
        <f t="shared" si="297"/>
        <v>2250</v>
      </c>
      <c r="N1205" s="112">
        <f t="shared" si="288"/>
        <v>17000000</v>
      </c>
      <c r="O1205" s="2">
        <f t="shared" si="298"/>
        <v>855065</v>
      </c>
      <c r="P1205" s="113">
        <f t="shared" si="299"/>
        <v>9.9999999999999998E-13</v>
      </c>
      <c r="Q1205" s="121">
        <f t="shared" si="289"/>
        <v>2187766</v>
      </c>
    </row>
    <row r="1206" spans="2:17" hidden="1" x14ac:dyDescent="0.4">
      <c r="B1206" s="110">
        <v>45127</v>
      </c>
      <c r="C1206" s="122">
        <f t="shared" si="290"/>
        <v>3000000</v>
      </c>
      <c r="D1206" s="111">
        <f t="shared" si="291"/>
        <v>45081</v>
      </c>
      <c r="E1206" s="2">
        <f t="shared" si="292"/>
        <v>2250</v>
      </c>
      <c r="F1206" s="112">
        <f t="shared" si="286"/>
        <v>17000000</v>
      </c>
      <c r="G1206" s="2">
        <f t="shared" si="293"/>
        <v>855065</v>
      </c>
      <c r="H1206" s="113">
        <f t="shared" si="294"/>
        <v>9.9999999999999998E-13</v>
      </c>
      <c r="I1206" s="121">
        <f t="shared" si="287"/>
        <v>2187766</v>
      </c>
      <c r="K1206" s="123">
        <f t="shared" si="295"/>
        <v>3000000</v>
      </c>
      <c r="L1206" s="111">
        <f t="shared" si="296"/>
        <v>45081</v>
      </c>
      <c r="M1206" s="2">
        <f t="shared" si="297"/>
        <v>2250</v>
      </c>
      <c r="N1206" s="112">
        <f t="shared" si="288"/>
        <v>17000000</v>
      </c>
      <c r="O1206" s="2">
        <f t="shared" si="298"/>
        <v>855065</v>
      </c>
      <c r="P1206" s="113">
        <f t="shared" si="299"/>
        <v>9.9999999999999998E-13</v>
      </c>
      <c r="Q1206" s="121">
        <f t="shared" si="289"/>
        <v>2187766</v>
      </c>
    </row>
    <row r="1207" spans="2:17" hidden="1" x14ac:dyDescent="0.4">
      <c r="B1207" s="110">
        <v>45128</v>
      </c>
      <c r="C1207" s="122">
        <f t="shared" si="290"/>
        <v>3000000</v>
      </c>
      <c r="D1207" s="111">
        <f t="shared" si="291"/>
        <v>45081</v>
      </c>
      <c r="E1207" s="2">
        <f t="shared" si="292"/>
        <v>2250</v>
      </c>
      <c r="F1207" s="112">
        <f t="shared" si="286"/>
        <v>17000000</v>
      </c>
      <c r="G1207" s="2">
        <f t="shared" si="293"/>
        <v>855065</v>
      </c>
      <c r="H1207" s="113">
        <f t="shared" si="294"/>
        <v>9.9999999999999998E-13</v>
      </c>
      <c r="I1207" s="121">
        <f t="shared" si="287"/>
        <v>2187766</v>
      </c>
      <c r="K1207" s="123">
        <f t="shared" si="295"/>
        <v>3000000</v>
      </c>
      <c r="L1207" s="111">
        <f t="shared" si="296"/>
        <v>45081</v>
      </c>
      <c r="M1207" s="2">
        <f t="shared" si="297"/>
        <v>2250</v>
      </c>
      <c r="N1207" s="112">
        <f t="shared" si="288"/>
        <v>17000000</v>
      </c>
      <c r="O1207" s="2">
        <f t="shared" si="298"/>
        <v>855065</v>
      </c>
      <c r="P1207" s="113">
        <f t="shared" si="299"/>
        <v>9.9999999999999998E-13</v>
      </c>
      <c r="Q1207" s="121">
        <f t="shared" si="289"/>
        <v>2187766</v>
      </c>
    </row>
    <row r="1208" spans="2:17" hidden="1" x14ac:dyDescent="0.4">
      <c r="B1208" s="110">
        <v>45129</v>
      </c>
      <c r="C1208" s="122">
        <f t="shared" si="290"/>
        <v>3000000</v>
      </c>
      <c r="D1208" s="111">
        <f t="shared" si="291"/>
        <v>45081</v>
      </c>
      <c r="E1208" s="2">
        <f t="shared" si="292"/>
        <v>2250</v>
      </c>
      <c r="F1208" s="112">
        <f t="shared" si="286"/>
        <v>17000000</v>
      </c>
      <c r="G1208" s="2">
        <f t="shared" si="293"/>
        <v>855065</v>
      </c>
      <c r="H1208" s="113">
        <f t="shared" si="294"/>
        <v>9.9999999999999998E-13</v>
      </c>
      <c r="I1208" s="121">
        <f t="shared" si="287"/>
        <v>2187766</v>
      </c>
      <c r="K1208" s="123">
        <f t="shared" si="295"/>
        <v>3000000</v>
      </c>
      <c r="L1208" s="111">
        <f t="shared" si="296"/>
        <v>45081</v>
      </c>
      <c r="M1208" s="2">
        <f t="shared" si="297"/>
        <v>2250</v>
      </c>
      <c r="N1208" s="112">
        <f t="shared" si="288"/>
        <v>17000000</v>
      </c>
      <c r="O1208" s="2">
        <f t="shared" si="298"/>
        <v>855065</v>
      </c>
      <c r="P1208" s="113">
        <f t="shared" si="299"/>
        <v>9.9999999999999998E-13</v>
      </c>
      <c r="Q1208" s="121">
        <f t="shared" si="289"/>
        <v>2187766</v>
      </c>
    </row>
    <row r="1209" spans="2:17" hidden="1" x14ac:dyDescent="0.4">
      <c r="B1209" s="110">
        <v>45130</v>
      </c>
      <c r="C1209" s="122">
        <f t="shared" si="290"/>
        <v>3000000</v>
      </c>
      <c r="D1209" s="111">
        <f t="shared" si="291"/>
        <v>45081</v>
      </c>
      <c r="E1209" s="2">
        <f t="shared" si="292"/>
        <v>2250</v>
      </c>
      <c r="F1209" s="112">
        <f t="shared" si="286"/>
        <v>17000000</v>
      </c>
      <c r="G1209" s="2">
        <f t="shared" si="293"/>
        <v>855065</v>
      </c>
      <c r="H1209" s="113">
        <f t="shared" si="294"/>
        <v>9.9999999999999998E-13</v>
      </c>
      <c r="I1209" s="121">
        <f t="shared" si="287"/>
        <v>2187766</v>
      </c>
      <c r="K1209" s="123">
        <f t="shared" si="295"/>
        <v>3000000</v>
      </c>
      <c r="L1209" s="111">
        <f t="shared" si="296"/>
        <v>45081</v>
      </c>
      <c r="M1209" s="2">
        <f t="shared" si="297"/>
        <v>2250</v>
      </c>
      <c r="N1209" s="112">
        <f t="shared" si="288"/>
        <v>17000000</v>
      </c>
      <c r="O1209" s="2">
        <f t="shared" si="298"/>
        <v>855065</v>
      </c>
      <c r="P1209" s="113">
        <f t="shared" si="299"/>
        <v>9.9999999999999998E-13</v>
      </c>
      <c r="Q1209" s="121">
        <f t="shared" si="289"/>
        <v>2187766</v>
      </c>
    </row>
    <row r="1210" spans="2:17" hidden="1" x14ac:dyDescent="0.4">
      <c r="B1210" s="110">
        <v>45131</v>
      </c>
      <c r="C1210" s="122">
        <f t="shared" si="290"/>
        <v>3000000</v>
      </c>
      <c r="D1210" s="111">
        <f t="shared" si="291"/>
        <v>45081</v>
      </c>
      <c r="E1210" s="2">
        <f t="shared" si="292"/>
        <v>2250</v>
      </c>
      <c r="F1210" s="112">
        <f t="shared" si="286"/>
        <v>17000000</v>
      </c>
      <c r="G1210" s="2">
        <f t="shared" si="293"/>
        <v>855065</v>
      </c>
      <c r="H1210" s="113">
        <f t="shared" si="294"/>
        <v>9.9999999999999998E-13</v>
      </c>
      <c r="I1210" s="121">
        <f t="shared" si="287"/>
        <v>2187766</v>
      </c>
      <c r="K1210" s="123">
        <f t="shared" si="295"/>
        <v>3000000</v>
      </c>
      <c r="L1210" s="111">
        <f t="shared" si="296"/>
        <v>45081</v>
      </c>
      <c r="M1210" s="2">
        <f t="shared" si="297"/>
        <v>2250</v>
      </c>
      <c r="N1210" s="112">
        <f t="shared" si="288"/>
        <v>17000000</v>
      </c>
      <c r="O1210" s="2">
        <f t="shared" si="298"/>
        <v>855065</v>
      </c>
      <c r="P1210" s="113">
        <f t="shared" si="299"/>
        <v>9.9999999999999998E-13</v>
      </c>
      <c r="Q1210" s="121">
        <f t="shared" si="289"/>
        <v>2187766</v>
      </c>
    </row>
    <row r="1211" spans="2:17" hidden="1" x14ac:dyDescent="0.4">
      <c r="B1211" s="110">
        <v>45132</v>
      </c>
      <c r="C1211" s="122">
        <f t="shared" si="290"/>
        <v>3000000</v>
      </c>
      <c r="D1211" s="111">
        <f t="shared" si="291"/>
        <v>45081</v>
      </c>
      <c r="E1211" s="2">
        <f t="shared" si="292"/>
        <v>2250</v>
      </c>
      <c r="F1211" s="112">
        <f t="shared" si="286"/>
        <v>17000000</v>
      </c>
      <c r="G1211" s="2">
        <f t="shared" si="293"/>
        <v>855065</v>
      </c>
      <c r="H1211" s="113">
        <f t="shared" si="294"/>
        <v>9.9999999999999998E-13</v>
      </c>
      <c r="I1211" s="121">
        <f t="shared" si="287"/>
        <v>2187766</v>
      </c>
      <c r="K1211" s="123">
        <f t="shared" si="295"/>
        <v>3000000</v>
      </c>
      <c r="L1211" s="111">
        <f t="shared" si="296"/>
        <v>45081</v>
      </c>
      <c r="M1211" s="2">
        <f t="shared" si="297"/>
        <v>2250</v>
      </c>
      <c r="N1211" s="112">
        <f t="shared" si="288"/>
        <v>17000000</v>
      </c>
      <c r="O1211" s="2">
        <f t="shared" si="298"/>
        <v>855065</v>
      </c>
      <c r="P1211" s="113">
        <f t="shared" si="299"/>
        <v>9.9999999999999998E-13</v>
      </c>
      <c r="Q1211" s="121">
        <f t="shared" si="289"/>
        <v>2187766</v>
      </c>
    </row>
    <row r="1212" spans="2:17" hidden="1" x14ac:dyDescent="0.4">
      <c r="B1212" s="110">
        <v>45133</v>
      </c>
      <c r="C1212" s="122">
        <f t="shared" si="290"/>
        <v>3000000</v>
      </c>
      <c r="D1212" s="111">
        <f t="shared" si="291"/>
        <v>45081</v>
      </c>
      <c r="E1212" s="2">
        <f t="shared" si="292"/>
        <v>2250</v>
      </c>
      <c r="F1212" s="112">
        <f t="shared" si="286"/>
        <v>17000000</v>
      </c>
      <c r="G1212" s="2">
        <f t="shared" si="293"/>
        <v>855065</v>
      </c>
      <c r="H1212" s="113">
        <f t="shared" si="294"/>
        <v>9.9999999999999998E-13</v>
      </c>
      <c r="I1212" s="121">
        <f t="shared" si="287"/>
        <v>2187766</v>
      </c>
      <c r="K1212" s="123">
        <f t="shared" si="295"/>
        <v>3000000</v>
      </c>
      <c r="L1212" s="111">
        <f t="shared" si="296"/>
        <v>45081</v>
      </c>
      <c r="M1212" s="2">
        <f t="shared" si="297"/>
        <v>2250</v>
      </c>
      <c r="N1212" s="112">
        <f t="shared" si="288"/>
        <v>17000000</v>
      </c>
      <c r="O1212" s="2">
        <f t="shared" si="298"/>
        <v>855065</v>
      </c>
      <c r="P1212" s="113">
        <f t="shared" si="299"/>
        <v>9.9999999999999998E-13</v>
      </c>
      <c r="Q1212" s="121">
        <f t="shared" si="289"/>
        <v>2187766</v>
      </c>
    </row>
    <row r="1213" spans="2:17" hidden="1" x14ac:dyDescent="0.4">
      <c r="B1213" s="110">
        <v>45134</v>
      </c>
      <c r="C1213" s="122">
        <f t="shared" si="290"/>
        <v>3000000</v>
      </c>
      <c r="D1213" s="111">
        <f t="shared" si="291"/>
        <v>45081</v>
      </c>
      <c r="E1213" s="2">
        <f t="shared" si="292"/>
        <v>2250</v>
      </c>
      <c r="F1213" s="112">
        <f t="shared" si="286"/>
        <v>17000000</v>
      </c>
      <c r="G1213" s="2">
        <f t="shared" si="293"/>
        <v>855065</v>
      </c>
      <c r="H1213" s="113">
        <f t="shared" si="294"/>
        <v>9.9999999999999998E-13</v>
      </c>
      <c r="I1213" s="121">
        <f t="shared" si="287"/>
        <v>2187766</v>
      </c>
      <c r="K1213" s="123">
        <f t="shared" si="295"/>
        <v>3000000</v>
      </c>
      <c r="L1213" s="111">
        <f t="shared" si="296"/>
        <v>45081</v>
      </c>
      <c r="M1213" s="2">
        <f t="shared" si="297"/>
        <v>2250</v>
      </c>
      <c r="N1213" s="112">
        <f t="shared" si="288"/>
        <v>17000000</v>
      </c>
      <c r="O1213" s="2">
        <f t="shared" si="298"/>
        <v>855065</v>
      </c>
      <c r="P1213" s="113">
        <f t="shared" si="299"/>
        <v>9.9999999999999998E-13</v>
      </c>
      <c r="Q1213" s="121">
        <f t="shared" si="289"/>
        <v>2187766</v>
      </c>
    </row>
    <row r="1214" spans="2:17" hidden="1" x14ac:dyDescent="0.4">
      <c r="B1214" s="110">
        <v>45135</v>
      </c>
      <c r="C1214" s="122">
        <f t="shared" si="290"/>
        <v>3000000</v>
      </c>
      <c r="D1214" s="111">
        <f t="shared" si="291"/>
        <v>45081</v>
      </c>
      <c r="E1214" s="2">
        <f t="shared" si="292"/>
        <v>2250</v>
      </c>
      <c r="F1214" s="112">
        <f t="shared" si="286"/>
        <v>17000000</v>
      </c>
      <c r="G1214" s="2">
        <f t="shared" si="293"/>
        <v>855065</v>
      </c>
      <c r="H1214" s="113">
        <f t="shared" si="294"/>
        <v>9.9999999999999998E-13</v>
      </c>
      <c r="I1214" s="121">
        <f t="shared" si="287"/>
        <v>2187766</v>
      </c>
      <c r="K1214" s="123">
        <f t="shared" si="295"/>
        <v>3000000</v>
      </c>
      <c r="L1214" s="111">
        <f t="shared" si="296"/>
        <v>45081</v>
      </c>
      <c r="M1214" s="2">
        <f t="shared" si="297"/>
        <v>2250</v>
      </c>
      <c r="N1214" s="112">
        <f t="shared" si="288"/>
        <v>17000000</v>
      </c>
      <c r="O1214" s="2">
        <f t="shared" si="298"/>
        <v>855065</v>
      </c>
      <c r="P1214" s="113">
        <f t="shared" si="299"/>
        <v>9.9999999999999998E-13</v>
      </c>
      <c r="Q1214" s="121">
        <f t="shared" si="289"/>
        <v>2187766</v>
      </c>
    </row>
    <row r="1215" spans="2:17" hidden="1" x14ac:dyDescent="0.4">
      <c r="B1215" s="110">
        <v>45136</v>
      </c>
      <c r="C1215" s="122">
        <f t="shared" si="290"/>
        <v>3000000</v>
      </c>
      <c r="D1215" s="111">
        <f t="shared" si="291"/>
        <v>45081</v>
      </c>
      <c r="E1215" s="2">
        <f t="shared" si="292"/>
        <v>2250</v>
      </c>
      <c r="F1215" s="112">
        <f t="shared" si="286"/>
        <v>17000000</v>
      </c>
      <c r="G1215" s="2">
        <f t="shared" si="293"/>
        <v>855065</v>
      </c>
      <c r="H1215" s="113">
        <f t="shared" si="294"/>
        <v>9.9999999999999998E-13</v>
      </c>
      <c r="I1215" s="121">
        <f t="shared" si="287"/>
        <v>2187766</v>
      </c>
      <c r="K1215" s="123">
        <f t="shared" si="295"/>
        <v>3000000</v>
      </c>
      <c r="L1215" s="111">
        <f t="shared" si="296"/>
        <v>45081</v>
      </c>
      <c r="M1215" s="2">
        <f t="shared" si="297"/>
        <v>2250</v>
      </c>
      <c r="N1215" s="112">
        <f t="shared" si="288"/>
        <v>17000000</v>
      </c>
      <c r="O1215" s="2">
        <f t="shared" si="298"/>
        <v>855065</v>
      </c>
      <c r="P1215" s="113">
        <f t="shared" si="299"/>
        <v>9.9999999999999998E-13</v>
      </c>
      <c r="Q1215" s="121">
        <f t="shared" si="289"/>
        <v>2187766</v>
      </c>
    </row>
    <row r="1216" spans="2:17" hidden="1" x14ac:dyDescent="0.4">
      <c r="B1216" s="110">
        <v>45137</v>
      </c>
      <c r="C1216" s="122">
        <f t="shared" si="290"/>
        <v>3000000</v>
      </c>
      <c r="D1216" s="111">
        <f t="shared" si="291"/>
        <v>45081</v>
      </c>
      <c r="E1216" s="2">
        <f t="shared" si="292"/>
        <v>2250</v>
      </c>
      <c r="F1216" s="112">
        <f t="shared" si="286"/>
        <v>17000000</v>
      </c>
      <c r="G1216" s="2">
        <f t="shared" si="293"/>
        <v>855065</v>
      </c>
      <c r="H1216" s="113">
        <f t="shared" si="294"/>
        <v>9.9999999999999998E-13</v>
      </c>
      <c r="I1216" s="121">
        <f t="shared" si="287"/>
        <v>2187766</v>
      </c>
      <c r="K1216" s="123">
        <f t="shared" si="295"/>
        <v>3000000</v>
      </c>
      <c r="L1216" s="111">
        <f t="shared" si="296"/>
        <v>45081</v>
      </c>
      <c r="M1216" s="2">
        <f t="shared" si="297"/>
        <v>2250</v>
      </c>
      <c r="N1216" s="112">
        <f t="shared" si="288"/>
        <v>17000000</v>
      </c>
      <c r="O1216" s="2">
        <f t="shared" si="298"/>
        <v>855065</v>
      </c>
      <c r="P1216" s="113">
        <f t="shared" si="299"/>
        <v>9.9999999999999998E-13</v>
      </c>
      <c r="Q1216" s="121">
        <f t="shared" si="289"/>
        <v>2187766</v>
      </c>
    </row>
    <row r="1217" spans="2:17" hidden="1" x14ac:dyDescent="0.4">
      <c r="B1217" s="110">
        <v>45138</v>
      </c>
      <c r="C1217" s="122">
        <f t="shared" si="290"/>
        <v>3000000</v>
      </c>
      <c r="D1217" s="111">
        <f t="shared" si="291"/>
        <v>45081</v>
      </c>
      <c r="E1217" s="2">
        <f t="shared" si="292"/>
        <v>2250</v>
      </c>
      <c r="F1217" s="112">
        <f t="shared" si="286"/>
        <v>17000000</v>
      </c>
      <c r="G1217" s="2">
        <f t="shared" si="293"/>
        <v>855065</v>
      </c>
      <c r="H1217" s="113">
        <f t="shared" si="294"/>
        <v>9.9999999999999998E-13</v>
      </c>
      <c r="I1217" s="121">
        <f t="shared" si="287"/>
        <v>2187766</v>
      </c>
      <c r="K1217" s="123">
        <f t="shared" si="295"/>
        <v>3000000</v>
      </c>
      <c r="L1217" s="111">
        <f t="shared" si="296"/>
        <v>45081</v>
      </c>
      <c r="M1217" s="2">
        <f t="shared" si="297"/>
        <v>2250</v>
      </c>
      <c r="N1217" s="112">
        <f t="shared" si="288"/>
        <v>17000000</v>
      </c>
      <c r="O1217" s="2">
        <f t="shared" si="298"/>
        <v>855065</v>
      </c>
      <c r="P1217" s="113">
        <f t="shared" si="299"/>
        <v>9.9999999999999998E-13</v>
      </c>
      <c r="Q1217" s="121">
        <f t="shared" si="289"/>
        <v>2187766</v>
      </c>
    </row>
    <row r="1218" spans="2:17" x14ac:dyDescent="0.4">
      <c r="B1218" s="110">
        <v>45139</v>
      </c>
      <c r="C1218" s="122">
        <f t="shared" si="290"/>
        <v>3000000</v>
      </c>
      <c r="D1218" s="111">
        <f t="shared" si="291"/>
        <v>45081</v>
      </c>
      <c r="E1218" s="2">
        <f t="shared" si="292"/>
        <v>2250</v>
      </c>
      <c r="F1218" s="112">
        <f t="shared" si="286"/>
        <v>17000000</v>
      </c>
      <c r="G1218" s="2">
        <f t="shared" si="293"/>
        <v>855065</v>
      </c>
      <c r="H1218" s="113">
        <f t="shared" si="294"/>
        <v>9.9999999999999998E-13</v>
      </c>
      <c r="I1218" s="121">
        <f t="shared" si="287"/>
        <v>2187766</v>
      </c>
      <c r="K1218" s="123">
        <f t="shared" si="295"/>
        <v>3000000</v>
      </c>
      <c r="L1218" s="111">
        <f t="shared" si="296"/>
        <v>45081</v>
      </c>
      <c r="M1218" s="2">
        <f t="shared" si="297"/>
        <v>2250</v>
      </c>
      <c r="N1218" s="112">
        <f t="shared" si="288"/>
        <v>17000000</v>
      </c>
      <c r="O1218" s="2">
        <f t="shared" si="298"/>
        <v>855065</v>
      </c>
      <c r="P1218" s="113">
        <f t="shared" si="299"/>
        <v>9.9999999999999998E-13</v>
      </c>
      <c r="Q1218" s="121">
        <f t="shared" si="289"/>
        <v>2187766</v>
      </c>
    </row>
    <row r="1219" spans="2:17" hidden="1" x14ac:dyDescent="0.4">
      <c r="B1219" s="110">
        <v>45140</v>
      </c>
      <c r="C1219" s="122">
        <f t="shared" si="290"/>
        <v>3000000</v>
      </c>
      <c r="D1219" s="111">
        <f t="shared" si="291"/>
        <v>45081</v>
      </c>
      <c r="E1219" s="2">
        <f t="shared" si="292"/>
        <v>2250</v>
      </c>
      <c r="F1219" s="112">
        <f t="shared" si="286"/>
        <v>17000000</v>
      </c>
      <c r="G1219" s="2">
        <f t="shared" si="293"/>
        <v>855065</v>
      </c>
      <c r="H1219" s="113">
        <f t="shared" si="294"/>
        <v>9.9999999999999998E-13</v>
      </c>
      <c r="I1219" s="121">
        <f t="shared" si="287"/>
        <v>2187766</v>
      </c>
      <c r="K1219" s="123">
        <f t="shared" si="295"/>
        <v>3000000</v>
      </c>
      <c r="L1219" s="111">
        <f t="shared" si="296"/>
        <v>45081</v>
      </c>
      <c r="M1219" s="2">
        <f t="shared" si="297"/>
        <v>2250</v>
      </c>
      <c r="N1219" s="112">
        <f t="shared" si="288"/>
        <v>17000000</v>
      </c>
      <c r="O1219" s="2">
        <f t="shared" si="298"/>
        <v>855065</v>
      </c>
      <c r="P1219" s="113">
        <f t="shared" si="299"/>
        <v>9.9999999999999998E-13</v>
      </c>
      <c r="Q1219" s="121">
        <f t="shared" si="289"/>
        <v>2187766</v>
      </c>
    </row>
    <row r="1220" spans="2:17" hidden="1" x14ac:dyDescent="0.4">
      <c r="B1220" s="110">
        <v>45141</v>
      </c>
      <c r="C1220" s="122">
        <f t="shared" si="290"/>
        <v>3000000</v>
      </c>
      <c r="D1220" s="111">
        <f t="shared" si="291"/>
        <v>45081</v>
      </c>
      <c r="E1220" s="2">
        <f t="shared" si="292"/>
        <v>2250</v>
      </c>
      <c r="F1220" s="112">
        <f t="shared" si="286"/>
        <v>17000000</v>
      </c>
      <c r="G1220" s="2">
        <f t="shared" si="293"/>
        <v>855065</v>
      </c>
      <c r="H1220" s="113">
        <f t="shared" si="294"/>
        <v>9.9999999999999998E-13</v>
      </c>
      <c r="I1220" s="121">
        <f t="shared" si="287"/>
        <v>2187766</v>
      </c>
      <c r="K1220" s="123">
        <f t="shared" si="295"/>
        <v>3000000</v>
      </c>
      <c r="L1220" s="111">
        <f t="shared" si="296"/>
        <v>45081</v>
      </c>
      <c r="M1220" s="2">
        <f t="shared" si="297"/>
        <v>2250</v>
      </c>
      <c r="N1220" s="112">
        <f t="shared" si="288"/>
        <v>17000000</v>
      </c>
      <c r="O1220" s="2">
        <f t="shared" si="298"/>
        <v>855065</v>
      </c>
      <c r="P1220" s="113">
        <f t="shared" si="299"/>
        <v>9.9999999999999998E-13</v>
      </c>
      <c r="Q1220" s="121">
        <f t="shared" si="289"/>
        <v>2187766</v>
      </c>
    </row>
    <row r="1221" spans="2:17" hidden="1" x14ac:dyDescent="0.4">
      <c r="B1221" s="110">
        <v>45142</v>
      </c>
      <c r="C1221" s="122">
        <f t="shared" si="290"/>
        <v>3000000</v>
      </c>
      <c r="D1221" s="111">
        <f t="shared" si="291"/>
        <v>45081</v>
      </c>
      <c r="E1221" s="2">
        <f t="shared" si="292"/>
        <v>2250</v>
      </c>
      <c r="F1221" s="112">
        <f t="shared" si="286"/>
        <v>17000000</v>
      </c>
      <c r="G1221" s="2">
        <f t="shared" si="293"/>
        <v>855065</v>
      </c>
      <c r="H1221" s="113">
        <f t="shared" si="294"/>
        <v>9.9999999999999998E-13</v>
      </c>
      <c r="I1221" s="121">
        <f t="shared" si="287"/>
        <v>2187766</v>
      </c>
      <c r="K1221" s="123">
        <f t="shared" si="295"/>
        <v>3000000</v>
      </c>
      <c r="L1221" s="111">
        <f t="shared" si="296"/>
        <v>45081</v>
      </c>
      <c r="M1221" s="2">
        <f t="shared" si="297"/>
        <v>2250</v>
      </c>
      <c r="N1221" s="112">
        <f t="shared" si="288"/>
        <v>17000000</v>
      </c>
      <c r="O1221" s="2">
        <f t="shared" si="298"/>
        <v>855065</v>
      </c>
      <c r="P1221" s="113">
        <f t="shared" si="299"/>
        <v>9.9999999999999998E-13</v>
      </c>
      <c r="Q1221" s="121">
        <f t="shared" si="289"/>
        <v>2187766</v>
      </c>
    </row>
    <row r="1222" spans="2:17" hidden="1" x14ac:dyDescent="0.4">
      <c r="B1222" s="110">
        <v>45143</v>
      </c>
      <c r="C1222" s="122">
        <f t="shared" si="290"/>
        <v>3000000</v>
      </c>
      <c r="D1222" s="111">
        <f t="shared" si="291"/>
        <v>45081</v>
      </c>
      <c r="E1222" s="2">
        <f t="shared" si="292"/>
        <v>2250</v>
      </c>
      <c r="F1222" s="112">
        <f t="shared" si="286"/>
        <v>17000000</v>
      </c>
      <c r="G1222" s="2">
        <f t="shared" si="293"/>
        <v>855065</v>
      </c>
      <c r="H1222" s="113">
        <f t="shared" si="294"/>
        <v>9.9999999999999998E-13</v>
      </c>
      <c r="I1222" s="121">
        <f t="shared" si="287"/>
        <v>2187766</v>
      </c>
      <c r="K1222" s="123">
        <f t="shared" si="295"/>
        <v>3000000</v>
      </c>
      <c r="L1222" s="111">
        <f t="shared" si="296"/>
        <v>45081</v>
      </c>
      <c r="M1222" s="2">
        <f t="shared" si="297"/>
        <v>2250</v>
      </c>
      <c r="N1222" s="112">
        <f t="shared" si="288"/>
        <v>17000000</v>
      </c>
      <c r="O1222" s="2">
        <f t="shared" si="298"/>
        <v>855065</v>
      </c>
      <c r="P1222" s="113">
        <f t="shared" si="299"/>
        <v>9.9999999999999998E-13</v>
      </c>
      <c r="Q1222" s="121">
        <f t="shared" si="289"/>
        <v>2187766</v>
      </c>
    </row>
    <row r="1223" spans="2:17" hidden="1" x14ac:dyDescent="0.4">
      <c r="B1223" s="110">
        <v>45144</v>
      </c>
      <c r="C1223" s="122">
        <f t="shared" si="290"/>
        <v>3000000</v>
      </c>
      <c r="D1223" s="111">
        <f t="shared" si="291"/>
        <v>45081</v>
      </c>
      <c r="E1223" s="2">
        <f t="shared" si="292"/>
        <v>2250</v>
      </c>
      <c r="F1223" s="112">
        <f t="shared" si="286"/>
        <v>17000000</v>
      </c>
      <c r="G1223" s="2">
        <f t="shared" si="293"/>
        <v>855065</v>
      </c>
      <c r="H1223" s="113">
        <f t="shared" si="294"/>
        <v>9.9999999999999998E-13</v>
      </c>
      <c r="I1223" s="121">
        <f t="shared" si="287"/>
        <v>2187766</v>
      </c>
      <c r="K1223" s="123">
        <f t="shared" si="295"/>
        <v>3000000</v>
      </c>
      <c r="L1223" s="111">
        <f t="shared" si="296"/>
        <v>45081</v>
      </c>
      <c r="M1223" s="2">
        <f t="shared" si="297"/>
        <v>2250</v>
      </c>
      <c r="N1223" s="112">
        <f t="shared" si="288"/>
        <v>17000000</v>
      </c>
      <c r="O1223" s="2">
        <f t="shared" si="298"/>
        <v>855065</v>
      </c>
      <c r="P1223" s="113">
        <f t="shared" si="299"/>
        <v>9.9999999999999998E-13</v>
      </c>
      <c r="Q1223" s="121">
        <f t="shared" si="289"/>
        <v>2187766</v>
      </c>
    </row>
    <row r="1224" spans="2:17" hidden="1" x14ac:dyDescent="0.4">
      <c r="B1224" s="110">
        <v>45145</v>
      </c>
      <c r="C1224" s="122">
        <f t="shared" si="290"/>
        <v>3000000</v>
      </c>
      <c r="D1224" s="111">
        <f t="shared" si="291"/>
        <v>45081</v>
      </c>
      <c r="E1224" s="2">
        <f t="shared" si="292"/>
        <v>2250</v>
      </c>
      <c r="F1224" s="112">
        <f t="shared" si="286"/>
        <v>17000000</v>
      </c>
      <c r="G1224" s="2">
        <f t="shared" si="293"/>
        <v>855065</v>
      </c>
      <c r="H1224" s="113">
        <f t="shared" si="294"/>
        <v>9.9999999999999998E-13</v>
      </c>
      <c r="I1224" s="121">
        <f t="shared" si="287"/>
        <v>2187766</v>
      </c>
      <c r="K1224" s="123">
        <f t="shared" si="295"/>
        <v>3000000</v>
      </c>
      <c r="L1224" s="111">
        <f t="shared" si="296"/>
        <v>45081</v>
      </c>
      <c r="M1224" s="2">
        <f t="shared" si="297"/>
        <v>2250</v>
      </c>
      <c r="N1224" s="112">
        <f t="shared" si="288"/>
        <v>17000000</v>
      </c>
      <c r="O1224" s="2">
        <f t="shared" si="298"/>
        <v>855065</v>
      </c>
      <c r="P1224" s="113">
        <f t="shared" si="299"/>
        <v>9.9999999999999998E-13</v>
      </c>
      <c r="Q1224" s="121">
        <f t="shared" si="289"/>
        <v>2187766</v>
      </c>
    </row>
    <row r="1225" spans="2:17" hidden="1" x14ac:dyDescent="0.4">
      <c r="B1225" s="110">
        <v>45146</v>
      </c>
      <c r="C1225" s="122">
        <f t="shared" si="290"/>
        <v>3000000</v>
      </c>
      <c r="D1225" s="111">
        <f t="shared" si="291"/>
        <v>45081</v>
      </c>
      <c r="E1225" s="2">
        <f t="shared" si="292"/>
        <v>2250</v>
      </c>
      <c r="F1225" s="112">
        <f t="shared" si="286"/>
        <v>17000000</v>
      </c>
      <c r="G1225" s="2">
        <f t="shared" si="293"/>
        <v>855065</v>
      </c>
      <c r="H1225" s="113">
        <f t="shared" si="294"/>
        <v>9.9999999999999998E-13</v>
      </c>
      <c r="I1225" s="121">
        <f t="shared" si="287"/>
        <v>2187766</v>
      </c>
      <c r="K1225" s="123">
        <f t="shared" si="295"/>
        <v>3000000</v>
      </c>
      <c r="L1225" s="111">
        <f t="shared" si="296"/>
        <v>45081</v>
      </c>
      <c r="M1225" s="2">
        <f t="shared" si="297"/>
        <v>2250</v>
      </c>
      <c r="N1225" s="112">
        <f t="shared" si="288"/>
        <v>17000000</v>
      </c>
      <c r="O1225" s="2">
        <f t="shared" si="298"/>
        <v>855065</v>
      </c>
      <c r="P1225" s="113">
        <f t="shared" si="299"/>
        <v>9.9999999999999998E-13</v>
      </c>
      <c r="Q1225" s="121">
        <f t="shared" si="289"/>
        <v>2187766</v>
      </c>
    </row>
    <row r="1226" spans="2:17" hidden="1" x14ac:dyDescent="0.4">
      <c r="B1226" s="110">
        <v>45147</v>
      </c>
      <c r="C1226" s="122">
        <f t="shared" si="290"/>
        <v>3000000</v>
      </c>
      <c r="D1226" s="111">
        <f t="shared" si="291"/>
        <v>45081</v>
      </c>
      <c r="E1226" s="2">
        <f t="shared" si="292"/>
        <v>2250</v>
      </c>
      <c r="F1226" s="112">
        <f t="shared" ref="F1226:F1289" si="300">20000000-C1226</f>
        <v>17000000</v>
      </c>
      <c r="G1226" s="2">
        <f t="shared" si="293"/>
        <v>855065</v>
      </c>
      <c r="H1226" s="113">
        <f t="shared" si="294"/>
        <v>9.9999999999999998E-13</v>
      </c>
      <c r="I1226" s="121">
        <f t="shared" ref="I1226:I1289" si="301">C1226+D1226-G1226-E1226+H1226</f>
        <v>2187766</v>
      </c>
      <c r="K1226" s="123">
        <f t="shared" si="295"/>
        <v>3000000</v>
      </c>
      <c r="L1226" s="111">
        <f t="shared" si="296"/>
        <v>45081</v>
      </c>
      <c r="M1226" s="2">
        <f t="shared" si="297"/>
        <v>2250</v>
      </c>
      <c r="N1226" s="112">
        <f t="shared" ref="N1226:N1289" si="302">20000000-K1226</f>
        <v>17000000</v>
      </c>
      <c r="O1226" s="2">
        <f t="shared" si="298"/>
        <v>855065</v>
      </c>
      <c r="P1226" s="113">
        <f t="shared" si="299"/>
        <v>9.9999999999999998E-13</v>
      </c>
      <c r="Q1226" s="121">
        <f t="shared" ref="Q1226:Q1289" si="303">K1226+L1226-O1226-M1226+P1226</f>
        <v>2187766</v>
      </c>
    </row>
    <row r="1227" spans="2:17" hidden="1" x14ac:dyDescent="0.4">
      <c r="B1227" s="110">
        <v>45148</v>
      </c>
      <c r="C1227" s="122">
        <f t="shared" ref="C1227:C1290" si="304">SUMIF($B$6:$B$75,$B1227,$D$6:$D$75)+C1226</f>
        <v>3000000</v>
      </c>
      <c r="D1227" s="111">
        <f t="shared" ref="D1227:D1290" si="305">SUMIF($B$6:$B$75,$B1227,$E$6:$E$75)+D1226</f>
        <v>45081</v>
      </c>
      <c r="E1227" s="2">
        <f t="shared" ref="E1227:E1290" si="306">SUMIF($G$353:$G$376,$B1227,$J$353:$J$376)+SUMIF($E$353:$E$376,$B1227,$H$353:$H$376)+SUMIF($G$353:$G$376,$B1227,$I$353:$I$376)+E1226</f>
        <v>2250</v>
      </c>
      <c r="F1227" s="112">
        <f t="shared" si="300"/>
        <v>17000000</v>
      </c>
      <c r="G1227" s="2">
        <f t="shared" ref="G1227:G1290" si="307">SUMIF($E$353:$E$376,$B1227,$M$353:$M$376)+G1226</f>
        <v>855065</v>
      </c>
      <c r="H1227" s="113">
        <f t="shared" ref="H1227:H1290" si="308">SUMIF($G$353:$G$376,$B1227,$N$353:$N$376)+H1226</f>
        <v>9.9999999999999998E-13</v>
      </c>
      <c r="I1227" s="121">
        <f t="shared" si="301"/>
        <v>2187766</v>
      </c>
      <c r="K1227" s="123">
        <f t="shared" ref="K1227:K1290" si="309">SUMIF($B$6:$B$75,$B1227,$D$6:$D$75)+K1226</f>
        <v>3000000</v>
      </c>
      <c r="L1227" s="111">
        <f t="shared" ref="L1227:L1290" si="310">SUMIF($B$6:$B$75,$B1227,$E$6:$E$75)+L1226</f>
        <v>45081</v>
      </c>
      <c r="M1227" s="2">
        <f t="shared" ref="M1227:M1290" si="311">SUMIF($G$353:$G$376,$B1227,$J$353:$J$376)+SUMIF($E$353:$E$376,$B1227,$H$353:$H$376)+SUMIF($G$353:$G$376,$B1227,$I$353:$I$376)+M1226</f>
        <v>2250</v>
      </c>
      <c r="N1227" s="112">
        <f t="shared" si="302"/>
        <v>17000000</v>
      </c>
      <c r="O1227" s="2">
        <f t="shared" ref="O1227:O1290" si="312">SUMIF($E$353:$E$376,$B1227,$M$353:$M$376)+O1226</f>
        <v>855065</v>
      </c>
      <c r="P1227" s="113">
        <f t="shared" ref="P1227:P1290" si="313">SUMIF($G$353:$G$376,$B1227,$N$353:$N$376)+P1226</f>
        <v>9.9999999999999998E-13</v>
      </c>
      <c r="Q1227" s="121">
        <f t="shared" si="303"/>
        <v>2187766</v>
      </c>
    </row>
    <row r="1228" spans="2:17" hidden="1" x14ac:dyDescent="0.4">
      <c r="B1228" s="110">
        <v>45149</v>
      </c>
      <c r="C1228" s="122">
        <f t="shared" si="304"/>
        <v>3000000</v>
      </c>
      <c r="D1228" s="111">
        <f t="shared" si="305"/>
        <v>45081</v>
      </c>
      <c r="E1228" s="2">
        <f t="shared" si="306"/>
        <v>2250</v>
      </c>
      <c r="F1228" s="112">
        <f t="shared" si="300"/>
        <v>17000000</v>
      </c>
      <c r="G1228" s="2">
        <f t="shared" si="307"/>
        <v>855065</v>
      </c>
      <c r="H1228" s="113">
        <f t="shared" si="308"/>
        <v>9.9999999999999998E-13</v>
      </c>
      <c r="I1228" s="121">
        <f t="shared" si="301"/>
        <v>2187766</v>
      </c>
      <c r="K1228" s="123">
        <f t="shared" si="309"/>
        <v>3000000</v>
      </c>
      <c r="L1228" s="111">
        <f t="shared" si="310"/>
        <v>45081</v>
      </c>
      <c r="M1228" s="2">
        <f t="shared" si="311"/>
        <v>2250</v>
      </c>
      <c r="N1228" s="112">
        <f t="shared" si="302"/>
        <v>17000000</v>
      </c>
      <c r="O1228" s="2">
        <f t="shared" si="312"/>
        <v>855065</v>
      </c>
      <c r="P1228" s="113">
        <f t="shared" si="313"/>
        <v>9.9999999999999998E-13</v>
      </c>
      <c r="Q1228" s="121">
        <f t="shared" si="303"/>
        <v>2187766</v>
      </c>
    </row>
    <row r="1229" spans="2:17" hidden="1" x14ac:dyDescent="0.4">
      <c r="B1229" s="110">
        <v>45150</v>
      </c>
      <c r="C1229" s="122">
        <f t="shared" si="304"/>
        <v>3000000</v>
      </c>
      <c r="D1229" s="111">
        <f t="shared" si="305"/>
        <v>45081</v>
      </c>
      <c r="E1229" s="2">
        <f t="shared" si="306"/>
        <v>2250</v>
      </c>
      <c r="F1229" s="112">
        <f t="shared" si="300"/>
        <v>17000000</v>
      </c>
      <c r="G1229" s="2">
        <f t="shared" si="307"/>
        <v>855065</v>
      </c>
      <c r="H1229" s="113">
        <f t="shared" si="308"/>
        <v>9.9999999999999998E-13</v>
      </c>
      <c r="I1229" s="121">
        <f t="shared" si="301"/>
        <v>2187766</v>
      </c>
      <c r="K1229" s="123">
        <f t="shared" si="309"/>
        <v>3000000</v>
      </c>
      <c r="L1229" s="111">
        <f t="shared" si="310"/>
        <v>45081</v>
      </c>
      <c r="M1229" s="2">
        <f t="shared" si="311"/>
        <v>2250</v>
      </c>
      <c r="N1229" s="112">
        <f t="shared" si="302"/>
        <v>17000000</v>
      </c>
      <c r="O1229" s="2">
        <f t="shared" si="312"/>
        <v>855065</v>
      </c>
      <c r="P1229" s="113">
        <f t="shared" si="313"/>
        <v>9.9999999999999998E-13</v>
      </c>
      <c r="Q1229" s="121">
        <f t="shared" si="303"/>
        <v>2187766</v>
      </c>
    </row>
    <row r="1230" spans="2:17" hidden="1" x14ac:dyDescent="0.4">
      <c r="B1230" s="110">
        <v>45151</v>
      </c>
      <c r="C1230" s="122">
        <f t="shared" si="304"/>
        <v>3000000</v>
      </c>
      <c r="D1230" s="111">
        <f t="shared" si="305"/>
        <v>45081</v>
      </c>
      <c r="E1230" s="2">
        <f t="shared" si="306"/>
        <v>2250</v>
      </c>
      <c r="F1230" s="112">
        <f t="shared" si="300"/>
        <v>17000000</v>
      </c>
      <c r="G1230" s="2">
        <f t="shared" si="307"/>
        <v>855065</v>
      </c>
      <c r="H1230" s="113">
        <f t="shared" si="308"/>
        <v>9.9999999999999998E-13</v>
      </c>
      <c r="I1230" s="121">
        <f t="shared" si="301"/>
        <v>2187766</v>
      </c>
      <c r="K1230" s="123">
        <f t="shared" si="309"/>
        <v>3000000</v>
      </c>
      <c r="L1230" s="111">
        <f t="shared" si="310"/>
        <v>45081</v>
      </c>
      <c r="M1230" s="2">
        <f t="shared" si="311"/>
        <v>2250</v>
      </c>
      <c r="N1230" s="112">
        <f t="shared" si="302"/>
        <v>17000000</v>
      </c>
      <c r="O1230" s="2">
        <f t="shared" si="312"/>
        <v>855065</v>
      </c>
      <c r="P1230" s="113">
        <f t="shared" si="313"/>
        <v>9.9999999999999998E-13</v>
      </c>
      <c r="Q1230" s="121">
        <f t="shared" si="303"/>
        <v>2187766</v>
      </c>
    </row>
    <row r="1231" spans="2:17" hidden="1" x14ac:dyDescent="0.4">
      <c r="B1231" s="110">
        <v>45152</v>
      </c>
      <c r="C1231" s="122">
        <f t="shared" si="304"/>
        <v>3000000</v>
      </c>
      <c r="D1231" s="111">
        <f t="shared" si="305"/>
        <v>45081</v>
      </c>
      <c r="E1231" s="2">
        <f t="shared" si="306"/>
        <v>2250</v>
      </c>
      <c r="F1231" s="112">
        <f t="shared" si="300"/>
        <v>17000000</v>
      </c>
      <c r="G1231" s="2">
        <f t="shared" si="307"/>
        <v>855065</v>
      </c>
      <c r="H1231" s="113">
        <f t="shared" si="308"/>
        <v>9.9999999999999998E-13</v>
      </c>
      <c r="I1231" s="121">
        <f t="shared" si="301"/>
        <v>2187766</v>
      </c>
      <c r="K1231" s="123">
        <f t="shared" si="309"/>
        <v>3000000</v>
      </c>
      <c r="L1231" s="111">
        <f t="shared" si="310"/>
        <v>45081</v>
      </c>
      <c r="M1231" s="2">
        <f t="shared" si="311"/>
        <v>2250</v>
      </c>
      <c r="N1231" s="112">
        <f t="shared" si="302"/>
        <v>17000000</v>
      </c>
      <c r="O1231" s="2">
        <f t="shared" si="312"/>
        <v>855065</v>
      </c>
      <c r="P1231" s="113">
        <f t="shared" si="313"/>
        <v>9.9999999999999998E-13</v>
      </c>
      <c r="Q1231" s="121">
        <f t="shared" si="303"/>
        <v>2187766</v>
      </c>
    </row>
    <row r="1232" spans="2:17" hidden="1" x14ac:dyDescent="0.4">
      <c r="B1232" s="110">
        <v>45153</v>
      </c>
      <c r="C1232" s="122">
        <f t="shared" si="304"/>
        <v>3000000</v>
      </c>
      <c r="D1232" s="111">
        <f t="shared" si="305"/>
        <v>45081</v>
      </c>
      <c r="E1232" s="2">
        <f t="shared" si="306"/>
        <v>2250</v>
      </c>
      <c r="F1232" s="112">
        <f t="shared" si="300"/>
        <v>17000000</v>
      </c>
      <c r="G1232" s="2">
        <f t="shared" si="307"/>
        <v>855065</v>
      </c>
      <c r="H1232" s="113">
        <f t="shared" si="308"/>
        <v>9.9999999999999998E-13</v>
      </c>
      <c r="I1232" s="121">
        <f t="shared" si="301"/>
        <v>2187766</v>
      </c>
      <c r="K1232" s="123">
        <f t="shared" si="309"/>
        <v>3000000</v>
      </c>
      <c r="L1232" s="111">
        <f t="shared" si="310"/>
        <v>45081</v>
      </c>
      <c r="M1232" s="2">
        <f t="shared" si="311"/>
        <v>2250</v>
      </c>
      <c r="N1232" s="112">
        <f t="shared" si="302"/>
        <v>17000000</v>
      </c>
      <c r="O1232" s="2">
        <f t="shared" si="312"/>
        <v>855065</v>
      </c>
      <c r="P1232" s="113">
        <f t="shared" si="313"/>
        <v>9.9999999999999998E-13</v>
      </c>
      <c r="Q1232" s="121">
        <f t="shared" si="303"/>
        <v>2187766</v>
      </c>
    </row>
    <row r="1233" spans="2:17" hidden="1" x14ac:dyDescent="0.4">
      <c r="B1233" s="110">
        <v>45154</v>
      </c>
      <c r="C1233" s="122">
        <f t="shared" si="304"/>
        <v>3000000</v>
      </c>
      <c r="D1233" s="111">
        <f t="shared" si="305"/>
        <v>47247</v>
      </c>
      <c r="E1233" s="2">
        <f t="shared" si="306"/>
        <v>2250</v>
      </c>
      <c r="F1233" s="112">
        <f t="shared" si="300"/>
        <v>17000000</v>
      </c>
      <c r="G1233" s="2">
        <f t="shared" si="307"/>
        <v>855065</v>
      </c>
      <c r="H1233" s="113">
        <f t="shared" si="308"/>
        <v>9.9999999999999998E-13</v>
      </c>
      <c r="I1233" s="121">
        <f t="shared" si="301"/>
        <v>2189932</v>
      </c>
      <c r="K1233" s="123">
        <f t="shared" si="309"/>
        <v>3000000</v>
      </c>
      <c r="L1233" s="111">
        <f t="shared" si="310"/>
        <v>47247</v>
      </c>
      <c r="M1233" s="2">
        <f t="shared" si="311"/>
        <v>2250</v>
      </c>
      <c r="N1233" s="112">
        <f t="shared" si="302"/>
        <v>17000000</v>
      </c>
      <c r="O1233" s="2">
        <f t="shared" si="312"/>
        <v>855065</v>
      </c>
      <c r="P1233" s="113">
        <f t="shared" si="313"/>
        <v>9.9999999999999998E-13</v>
      </c>
      <c r="Q1233" s="121">
        <f t="shared" si="303"/>
        <v>2189932</v>
      </c>
    </row>
    <row r="1234" spans="2:17" hidden="1" x14ac:dyDescent="0.4">
      <c r="B1234" s="110">
        <v>45155</v>
      </c>
      <c r="C1234" s="122">
        <f t="shared" si="304"/>
        <v>3000000</v>
      </c>
      <c r="D1234" s="111">
        <f t="shared" si="305"/>
        <v>47247</v>
      </c>
      <c r="E1234" s="2">
        <f t="shared" si="306"/>
        <v>2250</v>
      </c>
      <c r="F1234" s="112">
        <f t="shared" si="300"/>
        <v>17000000</v>
      </c>
      <c r="G1234" s="2">
        <f t="shared" si="307"/>
        <v>855065</v>
      </c>
      <c r="H1234" s="113">
        <f t="shared" si="308"/>
        <v>9.9999999999999998E-13</v>
      </c>
      <c r="I1234" s="121">
        <f t="shared" si="301"/>
        <v>2189932</v>
      </c>
      <c r="K1234" s="123">
        <f t="shared" si="309"/>
        <v>3000000</v>
      </c>
      <c r="L1234" s="111">
        <f t="shared" si="310"/>
        <v>47247</v>
      </c>
      <c r="M1234" s="2">
        <f t="shared" si="311"/>
        <v>2250</v>
      </c>
      <c r="N1234" s="112">
        <f t="shared" si="302"/>
        <v>17000000</v>
      </c>
      <c r="O1234" s="2">
        <f t="shared" si="312"/>
        <v>855065</v>
      </c>
      <c r="P1234" s="113">
        <f t="shared" si="313"/>
        <v>9.9999999999999998E-13</v>
      </c>
      <c r="Q1234" s="121">
        <f t="shared" si="303"/>
        <v>2189932</v>
      </c>
    </row>
    <row r="1235" spans="2:17" hidden="1" x14ac:dyDescent="0.4">
      <c r="B1235" s="110">
        <v>45156</v>
      </c>
      <c r="C1235" s="122">
        <f t="shared" si="304"/>
        <v>3000000</v>
      </c>
      <c r="D1235" s="111">
        <f t="shared" si="305"/>
        <v>47247</v>
      </c>
      <c r="E1235" s="2">
        <f t="shared" si="306"/>
        <v>2250</v>
      </c>
      <c r="F1235" s="112">
        <f t="shared" si="300"/>
        <v>17000000</v>
      </c>
      <c r="G1235" s="2">
        <f t="shared" si="307"/>
        <v>855065</v>
      </c>
      <c r="H1235" s="113">
        <f t="shared" si="308"/>
        <v>9.9999999999999998E-13</v>
      </c>
      <c r="I1235" s="121">
        <f t="shared" si="301"/>
        <v>2189932</v>
      </c>
      <c r="K1235" s="123">
        <f t="shared" si="309"/>
        <v>3000000</v>
      </c>
      <c r="L1235" s="111">
        <f t="shared" si="310"/>
        <v>47247</v>
      </c>
      <c r="M1235" s="2">
        <f t="shared" si="311"/>
        <v>2250</v>
      </c>
      <c r="N1235" s="112">
        <f t="shared" si="302"/>
        <v>17000000</v>
      </c>
      <c r="O1235" s="2">
        <f t="shared" si="312"/>
        <v>855065</v>
      </c>
      <c r="P1235" s="113">
        <f t="shared" si="313"/>
        <v>9.9999999999999998E-13</v>
      </c>
      <c r="Q1235" s="121">
        <f t="shared" si="303"/>
        <v>2189932</v>
      </c>
    </row>
    <row r="1236" spans="2:17" hidden="1" x14ac:dyDescent="0.4">
      <c r="B1236" s="110">
        <v>45157</v>
      </c>
      <c r="C1236" s="122">
        <f t="shared" si="304"/>
        <v>3000000</v>
      </c>
      <c r="D1236" s="111">
        <f t="shared" si="305"/>
        <v>47247</v>
      </c>
      <c r="E1236" s="2">
        <f t="shared" si="306"/>
        <v>2250</v>
      </c>
      <c r="F1236" s="112">
        <f t="shared" si="300"/>
        <v>17000000</v>
      </c>
      <c r="G1236" s="2">
        <f t="shared" si="307"/>
        <v>855065</v>
      </c>
      <c r="H1236" s="113">
        <f t="shared" si="308"/>
        <v>9.9999999999999998E-13</v>
      </c>
      <c r="I1236" s="121">
        <f t="shared" si="301"/>
        <v>2189932</v>
      </c>
      <c r="K1236" s="123">
        <f t="shared" si="309"/>
        <v>3000000</v>
      </c>
      <c r="L1236" s="111">
        <f t="shared" si="310"/>
        <v>47247</v>
      </c>
      <c r="M1236" s="2">
        <f t="shared" si="311"/>
        <v>2250</v>
      </c>
      <c r="N1236" s="112">
        <f t="shared" si="302"/>
        <v>17000000</v>
      </c>
      <c r="O1236" s="2">
        <f t="shared" si="312"/>
        <v>855065</v>
      </c>
      <c r="P1236" s="113">
        <f t="shared" si="313"/>
        <v>9.9999999999999998E-13</v>
      </c>
      <c r="Q1236" s="121">
        <f t="shared" si="303"/>
        <v>2189932</v>
      </c>
    </row>
    <row r="1237" spans="2:17" hidden="1" x14ac:dyDescent="0.4">
      <c r="B1237" s="110">
        <v>45158</v>
      </c>
      <c r="C1237" s="122">
        <f t="shared" si="304"/>
        <v>3000000</v>
      </c>
      <c r="D1237" s="111">
        <f t="shared" si="305"/>
        <v>47247</v>
      </c>
      <c r="E1237" s="2">
        <f t="shared" si="306"/>
        <v>2250</v>
      </c>
      <c r="F1237" s="112">
        <f t="shared" si="300"/>
        <v>17000000</v>
      </c>
      <c r="G1237" s="2">
        <f t="shared" si="307"/>
        <v>855065</v>
      </c>
      <c r="H1237" s="113">
        <f t="shared" si="308"/>
        <v>9.9999999999999998E-13</v>
      </c>
      <c r="I1237" s="121">
        <f t="shared" si="301"/>
        <v>2189932</v>
      </c>
      <c r="K1237" s="123">
        <f t="shared" si="309"/>
        <v>3000000</v>
      </c>
      <c r="L1237" s="111">
        <f t="shared" si="310"/>
        <v>47247</v>
      </c>
      <c r="M1237" s="2">
        <f t="shared" si="311"/>
        <v>2250</v>
      </c>
      <c r="N1237" s="112">
        <f t="shared" si="302"/>
        <v>17000000</v>
      </c>
      <c r="O1237" s="2">
        <f t="shared" si="312"/>
        <v>855065</v>
      </c>
      <c r="P1237" s="113">
        <f t="shared" si="313"/>
        <v>9.9999999999999998E-13</v>
      </c>
      <c r="Q1237" s="121">
        <f t="shared" si="303"/>
        <v>2189932</v>
      </c>
    </row>
    <row r="1238" spans="2:17" hidden="1" x14ac:dyDescent="0.4">
      <c r="B1238" s="110">
        <v>45159</v>
      </c>
      <c r="C1238" s="122">
        <f t="shared" si="304"/>
        <v>3000000</v>
      </c>
      <c r="D1238" s="111">
        <f t="shared" si="305"/>
        <v>47247</v>
      </c>
      <c r="E1238" s="2">
        <f t="shared" si="306"/>
        <v>2250</v>
      </c>
      <c r="F1238" s="112">
        <f t="shared" si="300"/>
        <v>17000000</v>
      </c>
      <c r="G1238" s="2">
        <f t="shared" si="307"/>
        <v>855065</v>
      </c>
      <c r="H1238" s="113">
        <f t="shared" si="308"/>
        <v>9.9999999999999998E-13</v>
      </c>
      <c r="I1238" s="121">
        <f t="shared" si="301"/>
        <v>2189932</v>
      </c>
      <c r="K1238" s="123">
        <f t="shared" si="309"/>
        <v>3000000</v>
      </c>
      <c r="L1238" s="111">
        <f t="shared" si="310"/>
        <v>47247</v>
      </c>
      <c r="M1238" s="2">
        <f t="shared" si="311"/>
        <v>2250</v>
      </c>
      <c r="N1238" s="112">
        <f t="shared" si="302"/>
        <v>17000000</v>
      </c>
      <c r="O1238" s="2">
        <f t="shared" si="312"/>
        <v>855065</v>
      </c>
      <c r="P1238" s="113">
        <f t="shared" si="313"/>
        <v>9.9999999999999998E-13</v>
      </c>
      <c r="Q1238" s="121">
        <f t="shared" si="303"/>
        <v>2189932</v>
      </c>
    </row>
    <row r="1239" spans="2:17" hidden="1" x14ac:dyDescent="0.4">
      <c r="B1239" s="110">
        <v>45160</v>
      </c>
      <c r="C1239" s="122">
        <f t="shared" si="304"/>
        <v>3000000</v>
      </c>
      <c r="D1239" s="111">
        <f t="shared" si="305"/>
        <v>47247</v>
      </c>
      <c r="E1239" s="2">
        <f t="shared" si="306"/>
        <v>2250</v>
      </c>
      <c r="F1239" s="112">
        <f t="shared" si="300"/>
        <v>17000000</v>
      </c>
      <c r="G1239" s="2">
        <f t="shared" si="307"/>
        <v>855065</v>
      </c>
      <c r="H1239" s="113">
        <f t="shared" si="308"/>
        <v>9.9999999999999998E-13</v>
      </c>
      <c r="I1239" s="121">
        <f t="shared" si="301"/>
        <v>2189932</v>
      </c>
      <c r="K1239" s="123">
        <f t="shared" si="309"/>
        <v>3000000</v>
      </c>
      <c r="L1239" s="111">
        <f t="shared" si="310"/>
        <v>47247</v>
      </c>
      <c r="M1239" s="2">
        <f t="shared" si="311"/>
        <v>2250</v>
      </c>
      <c r="N1239" s="112">
        <f t="shared" si="302"/>
        <v>17000000</v>
      </c>
      <c r="O1239" s="2">
        <f t="shared" si="312"/>
        <v>855065</v>
      </c>
      <c r="P1239" s="113">
        <f t="shared" si="313"/>
        <v>9.9999999999999998E-13</v>
      </c>
      <c r="Q1239" s="121">
        <f t="shared" si="303"/>
        <v>2189932</v>
      </c>
    </row>
    <row r="1240" spans="2:17" hidden="1" x14ac:dyDescent="0.4">
      <c r="B1240" s="110">
        <v>45161</v>
      </c>
      <c r="C1240" s="122">
        <f t="shared" si="304"/>
        <v>3000000</v>
      </c>
      <c r="D1240" s="111">
        <f t="shared" si="305"/>
        <v>47247</v>
      </c>
      <c r="E1240" s="2">
        <f t="shared" si="306"/>
        <v>2250</v>
      </c>
      <c r="F1240" s="112">
        <f t="shared" si="300"/>
        <v>17000000</v>
      </c>
      <c r="G1240" s="2">
        <f t="shared" si="307"/>
        <v>855065</v>
      </c>
      <c r="H1240" s="113">
        <f t="shared" si="308"/>
        <v>9.9999999999999998E-13</v>
      </c>
      <c r="I1240" s="121">
        <f t="shared" si="301"/>
        <v>2189932</v>
      </c>
      <c r="K1240" s="123">
        <f t="shared" si="309"/>
        <v>3000000</v>
      </c>
      <c r="L1240" s="111">
        <f t="shared" si="310"/>
        <v>47247</v>
      </c>
      <c r="M1240" s="2">
        <f t="shared" si="311"/>
        <v>2250</v>
      </c>
      <c r="N1240" s="112">
        <f t="shared" si="302"/>
        <v>17000000</v>
      </c>
      <c r="O1240" s="2">
        <f t="shared" si="312"/>
        <v>855065</v>
      </c>
      <c r="P1240" s="113">
        <f t="shared" si="313"/>
        <v>9.9999999999999998E-13</v>
      </c>
      <c r="Q1240" s="121">
        <f t="shared" si="303"/>
        <v>2189932</v>
      </c>
    </row>
    <row r="1241" spans="2:17" hidden="1" x14ac:dyDescent="0.4">
      <c r="B1241" s="110">
        <v>45162</v>
      </c>
      <c r="C1241" s="122">
        <f t="shared" si="304"/>
        <v>3000000</v>
      </c>
      <c r="D1241" s="111">
        <f t="shared" si="305"/>
        <v>47247</v>
      </c>
      <c r="E1241" s="2">
        <f t="shared" si="306"/>
        <v>2250</v>
      </c>
      <c r="F1241" s="112">
        <f t="shared" si="300"/>
        <v>17000000</v>
      </c>
      <c r="G1241" s="2">
        <f t="shared" si="307"/>
        <v>855065</v>
      </c>
      <c r="H1241" s="113">
        <f t="shared" si="308"/>
        <v>9.9999999999999998E-13</v>
      </c>
      <c r="I1241" s="121">
        <f t="shared" si="301"/>
        <v>2189932</v>
      </c>
      <c r="K1241" s="123">
        <f t="shared" si="309"/>
        <v>3000000</v>
      </c>
      <c r="L1241" s="111">
        <f t="shared" si="310"/>
        <v>47247</v>
      </c>
      <c r="M1241" s="2">
        <f t="shared" si="311"/>
        <v>2250</v>
      </c>
      <c r="N1241" s="112">
        <f t="shared" si="302"/>
        <v>17000000</v>
      </c>
      <c r="O1241" s="2">
        <f t="shared" si="312"/>
        <v>855065</v>
      </c>
      <c r="P1241" s="113">
        <f t="shared" si="313"/>
        <v>9.9999999999999998E-13</v>
      </c>
      <c r="Q1241" s="121">
        <f t="shared" si="303"/>
        <v>2189932</v>
      </c>
    </row>
    <row r="1242" spans="2:17" hidden="1" x14ac:dyDescent="0.4">
      <c r="B1242" s="110">
        <v>45163</v>
      </c>
      <c r="C1242" s="122">
        <f t="shared" si="304"/>
        <v>3000000</v>
      </c>
      <c r="D1242" s="111">
        <f t="shared" si="305"/>
        <v>47247</v>
      </c>
      <c r="E1242" s="2">
        <f t="shared" si="306"/>
        <v>2250</v>
      </c>
      <c r="F1242" s="112">
        <f t="shared" si="300"/>
        <v>17000000</v>
      </c>
      <c r="G1242" s="2">
        <f t="shared" si="307"/>
        <v>855065</v>
      </c>
      <c r="H1242" s="113">
        <f t="shared" si="308"/>
        <v>9.9999999999999998E-13</v>
      </c>
      <c r="I1242" s="121">
        <f t="shared" si="301"/>
        <v>2189932</v>
      </c>
      <c r="K1242" s="123">
        <f t="shared" si="309"/>
        <v>3000000</v>
      </c>
      <c r="L1242" s="111">
        <f t="shared" si="310"/>
        <v>47247</v>
      </c>
      <c r="M1242" s="2">
        <f t="shared" si="311"/>
        <v>2250</v>
      </c>
      <c r="N1242" s="112">
        <f t="shared" si="302"/>
        <v>17000000</v>
      </c>
      <c r="O1242" s="2">
        <f t="shared" si="312"/>
        <v>855065</v>
      </c>
      <c r="P1242" s="113">
        <f t="shared" si="313"/>
        <v>9.9999999999999998E-13</v>
      </c>
      <c r="Q1242" s="121">
        <f t="shared" si="303"/>
        <v>2189932</v>
      </c>
    </row>
    <row r="1243" spans="2:17" hidden="1" x14ac:dyDescent="0.4">
      <c r="B1243" s="110">
        <v>45164</v>
      </c>
      <c r="C1243" s="122">
        <f t="shared" si="304"/>
        <v>3000000</v>
      </c>
      <c r="D1243" s="111">
        <f t="shared" si="305"/>
        <v>47247</v>
      </c>
      <c r="E1243" s="2">
        <f t="shared" si="306"/>
        <v>2250</v>
      </c>
      <c r="F1243" s="112">
        <f t="shared" si="300"/>
        <v>17000000</v>
      </c>
      <c r="G1243" s="2">
        <f t="shared" si="307"/>
        <v>855065</v>
      </c>
      <c r="H1243" s="113">
        <f t="shared" si="308"/>
        <v>9.9999999999999998E-13</v>
      </c>
      <c r="I1243" s="121">
        <f t="shared" si="301"/>
        <v>2189932</v>
      </c>
      <c r="K1243" s="123">
        <f t="shared" si="309"/>
        <v>3000000</v>
      </c>
      <c r="L1243" s="111">
        <f t="shared" si="310"/>
        <v>47247</v>
      </c>
      <c r="M1243" s="2">
        <f t="shared" si="311"/>
        <v>2250</v>
      </c>
      <c r="N1243" s="112">
        <f t="shared" si="302"/>
        <v>17000000</v>
      </c>
      <c r="O1243" s="2">
        <f t="shared" si="312"/>
        <v>855065</v>
      </c>
      <c r="P1243" s="113">
        <f t="shared" si="313"/>
        <v>9.9999999999999998E-13</v>
      </c>
      <c r="Q1243" s="121">
        <f t="shared" si="303"/>
        <v>2189932</v>
      </c>
    </row>
    <row r="1244" spans="2:17" hidden="1" x14ac:dyDescent="0.4">
      <c r="B1244" s="110">
        <v>45165</v>
      </c>
      <c r="C1244" s="122">
        <f t="shared" si="304"/>
        <v>3000000</v>
      </c>
      <c r="D1244" s="111">
        <f t="shared" si="305"/>
        <v>47247</v>
      </c>
      <c r="E1244" s="2">
        <f t="shared" si="306"/>
        <v>2250</v>
      </c>
      <c r="F1244" s="112">
        <f t="shared" si="300"/>
        <v>17000000</v>
      </c>
      <c r="G1244" s="2">
        <f t="shared" si="307"/>
        <v>855065</v>
      </c>
      <c r="H1244" s="113">
        <f t="shared" si="308"/>
        <v>9.9999999999999998E-13</v>
      </c>
      <c r="I1244" s="121">
        <f t="shared" si="301"/>
        <v>2189932</v>
      </c>
      <c r="K1244" s="123">
        <f t="shared" si="309"/>
        <v>3000000</v>
      </c>
      <c r="L1244" s="111">
        <f t="shared" si="310"/>
        <v>47247</v>
      </c>
      <c r="M1244" s="2">
        <f t="shared" si="311"/>
        <v>2250</v>
      </c>
      <c r="N1244" s="112">
        <f t="shared" si="302"/>
        <v>17000000</v>
      </c>
      <c r="O1244" s="2">
        <f t="shared" si="312"/>
        <v>855065</v>
      </c>
      <c r="P1244" s="113">
        <f t="shared" si="313"/>
        <v>9.9999999999999998E-13</v>
      </c>
      <c r="Q1244" s="121">
        <f t="shared" si="303"/>
        <v>2189932</v>
      </c>
    </row>
    <row r="1245" spans="2:17" hidden="1" x14ac:dyDescent="0.4">
      <c r="B1245" s="110">
        <v>45166</v>
      </c>
      <c r="C1245" s="122">
        <f t="shared" si="304"/>
        <v>3000000</v>
      </c>
      <c r="D1245" s="111">
        <f t="shared" si="305"/>
        <v>47247</v>
      </c>
      <c r="E1245" s="2">
        <f t="shared" si="306"/>
        <v>2250</v>
      </c>
      <c r="F1245" s="112">
        <f t="shared" si="300"/>
        <v>17000000</v>
      </c>
      <c r="G1245" s="2">
        <f t="shared" si="307"/>
        <v>855065</v>
      </c>
      <c r="H1245" s="113">
        <f t="shared" si="308"/>
        <v>9.9999999999999998E-13</v>
      </c>
      <c r="I1245" s="121">
        <f t="shared" si="301"/>
        <v>2189932</v>
      </c>
      <c r="K1245" s="123">
        <f t="shared" si="309"/>
        <v>3000000</v>
      </c>
      <c r="L1245" s="111">
        <f t="shared" si="310"/>
        <v>47247</v>
      </c>
      <c r="M1245" s="2">
        <f t="shared" si="311"/>
        <v>2250</v>
      </c>
      <c r="N1245" s="112">
        <f t="shared" si="302"/>
        <v>17000000</v>
      </c>
      <c r="O1245" s="2">
        <f t="shared" si="312"/>
        <v>855065</v>
      </c>
      <c r="P1245" s="113">
        <f t="shared" si="313"/>
        <v>9.9999999999999998E-13</v>
      </c>
      <c r="Q1245" s="121">
        <f t="shared" si="303"/>
        <v>2189932</v>
      </c>
    </row>
    <row r="1246" spans="2:17" hidden="1" x14ac:dyDescent="0.4">
      <c r="B1246" s="110">
        <v>45167</v>
      </c>
      <c r="C1246" s="122">
        <f t="shared" si="304"/>
        <v>3000000</v>
      </c>
      <c r="D1246" s="111">
        <f t="shared" si="305"/>
        <v>47247</v>
      </c>
      <c r="E1246" s="2">
        <f t="shared" si="306"/>
        <v>2250</v>
      </c>
      <c r="F1246" s="112">
        <f t="shared" si="300"/>
        <v>17000000</v>
      </c>
      <c r="G1246" s="2">
        <f t="shared" si="307"/>
        <v>855065</v>
      </c>
      <c r="H1246" s="113">
        <f t="shared" si="308"/>
        <v>9.9999999999999998E-13</v>
      </c>
      <c r="I1246" s="121">
        <f t="shared" si="301"/>
        <v>2189932</v>
      </c>
      <c r="K1246" s="123">
        <f t="shared" si="309"/>
        <v>3000000</v>
      </c>
      <c r="L1246" s="111">
        <f t="shared" si="310"/>
        <v>47247</v>
      </c>
      <c r="M1246" s="2">
        <f t="shared" si="311"/>
        <v>2250</v>
      </c>
      <c r="N1246" s="112">
        <f t="shared" si="302"/>
        <v>17000000</v>
      </c>
      <c r="O1246" s="2">
        <f t="shared" si="312"/>
        <v>855065</v>
      </c>
      <c r="P1246" s="113">
        <f t="shared" si="313"/>
        <v>9.9999999999999998E-13</v>
      </c>
      <c r="Q1246" s="121">
        <f t="shared" si="303"/>
        <v>2189932</v>
      </c>
    </row>
    <row r="1247" spans="2:17" hidden="1" x14ac:dyDescent="0.4">
      <c r="B1247" s="110">
        <v>45168</v>
      </c>
      <c r="C1247" s="122">
        <f t="shared" si="304"/>
        <v>3000000</v>
      </c>
      <c r="D1247" s="111">
        <f t="shared" si="305"/>
        <v>47247</v>
      </c>
      <c r="E1247" s="2">
        <f t="shared" si="306"/>
        <v>2250</v>
      </c>
      <c r="F1247" s="112">
        <f t="shared" si="300"/>
        <v>17000000</v>
      </c>
      <c r="G1247" s="2">
        <f t="shared" si="307"/>
        <v>855065</v>
      </c>
      <c r="H1247" s="113">
        <f t="shared" si="308"/>
        <v>9.9999999999999998E-13</v>
      </c>
      <c r="I1247" s="121">
        <f t="shared" si="301"/>
        <v>2189932</v>
      </c>
      <c r="K1247" s="123">
        <f t="shared" si="309"/>
        <v>3000000</v>
      </c>
      <c r="L1247" s="111">
        <f t="shared" si="310"/>
        <v>47247</v>
      </c>
      <c r="M1247" s="2">
        <f t="shared" si="311"/>
        <v>2250</v>
      </c>
      <c r="N1247" s="112">
        <f t="shared" si="302"/>
        <v>17000000</v>
      </c>
      <c r="O1247" s="2">
        <f t="shared" si="312"/>
        <v>855065</v>
      </c>
      <c r="P1247" s="113">
        <f t="shared" si="313"/>
        <v>9.9999999999999998E-13</v>
      </c>
      <c r="Q1247" s="121">
        <f t="shared" si="303"/>
        <v>2189932</v>
      </c>
    </row>
    <row r="1248" spans="2:17" hidden="1" x14ac:dyDescent="0.4">
      <c r="B1248" s="110">
        <v>45169</v>
      </c>
      <c r="C1248" s="122">
        <f t="shared" si="304"/>
        <v>3000000</v>
      </c>
      <c r="D1248" s="111">
        <f t="shared" si="305"/>
        <v>47247</v>
      </c>
      <c r="E1248" s="2">
        <f t="shared" si="306"/>
        <v>2250</v>
      </c>
      <c r="F1248" s="112">
        <f t="shared" si="300"/>
        <v>17000000</v>
      </c>
      <c r="G1248" s="2">
        <f t="shared" si="307"/>
        <v>855065</v>
      </c>
      <c r="H1248" s="113">
        <f t="shared" si="308"/>
        <v>9.9999999999999998E-13</v>
      </c>
      <c r="I1248" s="121">
        <f t="shared" si="301"/>
        <v>2189932</v>
      </c>
      <c r="K1248" s="123">
        <f t="shared" si="309"/>
        <v>3000000</v>
      </c>
      <c r="L1248" s="111">
        <f t="shared" si="310"/>
        <v>47247</v>
      </c>
      <c r="M1248" s="2">
        <f t="shared" si="311"/>
        <v>2250</v>
      </c>
      <c r="N1248" s="112">
        <f t="shared" si="302"/>
        <v>17000000</v>
      </c>
      <c r="O1248" s="2">
        <f t="shared" si="312"/>
        <v>855065</v>
      </c>
      <c r="P1248" s="113">
        <f t="shared" si="313"/>
        <v>9.9999999999999998E-13</v>
      </c>
      <c r="Q1248" s="121">
        <f t="shared" si="303"/>
        <v>2189932</v>
      </c>
    </row>
    <row r="1249" spans="2:17" x14ac:dyDescent="0.4">
      <c r="B1249" s="110">
        <v>45170</v>
      </c>
      <c r="C1249" s="122">
        <f t="shared" si="304"/>
        <v>3000000</v>
      </c>
      <c r="D1249" s="111">
        <f t="shared" si="305"/>
        <v>47247</v>
      </c>
      <c r="E1249" s="2">
        <f t="shared" si="306"/>
        <v>2250</v>
      </c>
      <c r="F1249" s="112">
        <f t="shared" si="300"/>
        <v>17000000</v>
      </c>
      <c r="G1249" s="2">
        <f t="shared" si="307"/>
        <v>855065</v>
      </c>
      <c r="H1249" s="113">
        <f t="shared" si="308"/>
        <v>9.9999999999999998E-13</v>
      </c>
      <c r="I1249" s="121">
        <f t="shared" si="301"/>
        <v>2189932</v>
      </c>
      <c r="K1249" s="123">
        <f t="shared" si="309"/>
        <v>3000000</v>
      </c>
      <c r="L1249" s="111">
        <f t="shared" si="310"/>
        <v>47247</v>
      </c>
      <c r="M1249" s="2">
        <f t="shared" si="311"/>
        <v>2250</v>
      </c>
      <c r="N1249" s="112">
        <f t="shared" si="302"/>
        <v>17000000</v>
      </c>
      <c r="O1249" s="2">
        <f t="shared" si="312"/>
        <v>855065</v>
      </c>
      <c r="P1249" s="113">
        <f t="shared" si="313"/>
        <v>9.9999999999999998E-13</v>
      </c>
      <c r="Q1249" s="121">
        <f t="shared" si="303"/>
        <v>2189932</v>
      </c>
    </row>
    <row r="1250" spans="2:17" hidden="1" x14ac:dyDescent="0.4">
      <c r="B1250" s="110">
        <v>45171</v>
      </c>
      <c r="C1250" s="122">
        <f t="shared" si="304"/>
        <v>3000000</v>
      </c>
      <c r="D1250" s="111">
        <f t="shared" si="305"/>
        <v>47247</v>
      </c>
      <c r="E1250" s="2">
        <f t="shared" si="306"/>
        <v>2250</v>
      </c>
      <c r="F1250" s="112">
        <f t="shared" si="300"/>
        <v>17000000</v>
      </c>
      <c r="G1250" s="2">
        <f t="shared" si="307"/>
        <v>855065</v>
      </c>
      <c r="H1250" s="113">
        <f t="shared" si="308"/>
        <v>9.9999999999999998E-13</v>
      </c>
      <c r="I1250" s="121">
        <f t="shared" si="301"/>
        <v>2189932</v>
      </c>
      <c r="K1250" s="123">
        <f t="shared" si="309"/>
        <v>3000000</v>
      </c>
      <c r="L1250" s="111">
        <f t="shared" si="310"/>
        <v>47247</v>
      </c>
      <c r="M1250" s="2">
        <f t="shared" si="311"/>
        <v>2250</v>
      </c>
      <c r="N1250" s="112">
        <f t="shared" si="302"/>
        <v>17000000</v>
      </c>
      <c r="O1250" s="2">
        <f t="shared" si="312"/>
        <v>855065</v>
      </c>
      <c r="P1250" s="113">
        <f t="shared" si="313"/>
        <v>9.9999999999999998E-13</v>
      </c>
      <c r="Q1250" s="121">
        <f t="shared" si="303"/>
        <v>2189932</v>
      </c>
    </row>
    <row r="1251" spans="2:17" hidden="1" x14ac:dyDescent="0.4">
      <c r="B1251" s="110">
        <v>45172</v>
      </c>
      <c r="C1251" s="122">
        <f t="shared" si="304"/>
        <v>3000000</v>
      </c>
      <c r="D1251" s="111">
        <f t="shared" si="305"/>
        <v>47247</v>
      </c>
      <c r="E1251" s="2">
        <f t="shared" si="306"/>
        <v>2250</v>
      </c>
      <c r="F1251" s="112">
        <f t="shared" si="300"/>
        <v>17000000</v>
      </c>
      <c r="G1251" s="2">
        <f t="shared" si="307"/>
        <v>855065</v>
      </c>
      <c r="H1251" s="113">
        <f t="shared" si="308"/>
        <v>9.9999999999999998E-13</v>
      </c>
      <c r="I1251" s="121">
        <f t="shared" si="301"/>
        <v>2189932</v>
      </c>
      <c r="K1251" s="123">
        <f t="shared" si="309"/>
        <v>3000000</v>
      </c>
      <c r="L1251" s="111">
        <f t="shared" si="310"/>
        <v>47247</v>
      </c>
      <c r="M1251" s="2">
        <f t="shared" si="311"/>
        <v>2250</v>
      </c>
      <c r="N1251" s="112">
        <f t="shared" si="302"/>
        <v>17000000</v>
      </c>
      <c r="O1251" s="2">
        <f t="shared" si="312"/>
        <v>855065</v>
      </c>
      <c r="P1251" s="113">
        <f t="shared" si="313"/>
        <v>9.9999999999999998E-13</v>
      </c>
      <c r="Q1251" s="121">
        <f t="shared" si="303"/>
        <v>2189932</v>
      </c>
    </row>
    <row r="1252" spans="2:17" hidden="1" x14ac:dyDescent="0.4">
      <c r="B1252" s="110">
        <v>45173</v>
      </c>
      <c r="C1252" s="122">
        <f t="shared" si="304"/>
        <v>3000000</v>
      </c>
      <c r="D1252" s="111">
        <f t="shared" si="305"/>
        <v>51772</v>
      </c>
      <c r="E1252" s="2">
        <f t="shared" si="306"/>
        <v>2250</v>
      </c>
      <c r="F1252" s="112">
        <f t="shared" si="300"/>
        <v>17000000</v>
      </c>
      <c r="G1252" s="2">
        <f t="shared" si="307"/>
        <v>855065</v>
      </c>
      <c r="H1252" s="113">
        <f t="shared" si="308"/>
        <v>9.9999999999999998E-13</v>
      </c>
      <c r="I1252" s="121">
        <f t="shared" si="301"/>
        <v>2194457</v>
      </c>
      <c r="K1252" s="123">
        <f t="shared" si="309"/>
        <v>3000000</v>
      </c>
      <c r="L1252" s="111">
        <f t="shared" si="310"/>
        <v>51772</v>
      </c>
      <c r="M1252" s="2">
        <f t="shared" si="311"/>
        <v>2250</v>
      </c>
      <c r="N1252" s="112">
        <f t="shared" si="302"/>
        <v>17000000</v>
      </c>
      <c r="O1252" s="2">
        <f t="shared" si="312"/>
        <v>855065</v>
      </c>
      <c r="P1252" s="113">
        <f t="shared" si="313"/>
        <v>9.9999999999999998E-13</v>
      </c>
      <c r="Q1252" s="121">
        <f t="shared" si="303"/>
        <v>2194457</v>
      </c>
    </row>
    <row r="1253" spans="2:17" hidden="1" x14ac:dyDescent="0.4">
      <c r="B1253" s="110">
        <v>45174</v>
      </c>
      <c r="C1253" s="122">
        <f t="shared" si="304"/>
        <v>3000000</v>
      </c>
      <c r="D1253" s="111">
        <f t="shared" si="305"/>
        <v>51772</v>
      </c>
      <c r="E1253" s="2">
        <f t="shared" si="306"/>
        <v>2250</v>
      </c>
      <c r="F1253" s="112">
        <f t="shared" si="300"/>
        <v>17000000</v>
      </c>
      <c r="G1253" s="2">
        <f t="shared" si="307"/>
        <v>855065</v>
      </c>
      <c r="H1253" s="113">
        <f t="shared" si="308"/>
        <v>9.9999999999999998E-13</v>
      </c>
      <c r="I1253" s="121">
        <f t="shared" si="301"/>
        <v>2194457</v>
      </c>
      <c r="K1253" s="123">
        <f t="shared" si="309"/>
        <v>3000000</v>
      </c>
      <c r="L1253" s="111">
        <f t="shared" si="310"/>
        <v>51772</v>
      </c>
      <c r="M1253" s="2">
        <f t="shared" si="311"/>
        <v>2250</v>
      </c>
      <c r="N1253" s="112">
        <f t="shared" si="302"/>
        <v>17000000</v>
      </c>
      <c r="O1253" s="2">
        <f t="shared" si="312"/>
        <v>855065</v>
      </c>
      <c r="P1253" s="113">
        <f t="shared" si="313"/>
        <v>9.9999999999999998E-13</v>
      </c>
      <c r="Q1253" s="121">
        <f t="shared" si="303"/>
        <v>2194457</v>
      </c>
    </row>
    <row r="1254" spans="2:17" hidden="1" x14ac:dyDescent="0.4">
      <c r="B1254" s="110">
        <v>45175</v>
      </c>
      <c r="C1254" s="122">
        <f t="shared" si="304"/>
        <v>3000000</v>
      </c>
      <c r="D1254" s="111">
        <f t="shared" si="305"/>
        <v>51772</v>
      </c>
      <c r="E1254" s="2">
        <f t="shared" si="306"/>
        <v>2250</v>
      </c>
      <c r="F1254" s="112">
        <f t="shared" si="300"/>
        <v>17000000</v>
      </c>
      <c r="G1254" s="2">
        <f t="shared" si="307"/>
        <v>855065</v>
      </c>
      <c r="H1254" s="113">
        <f t="shared" si="308"/>
        <v>9.9999999999999998E-13</v>
      </c>
      <c r="I1254" s="121">
        <f t="shared" si="301"/>
        <v>2194457</v>
      </c>
      <c r="K1254" s="123">
        <f t="shared" si="309"/>
        <v>3000000</v>
      </c>
      <c r="L1254" s="111">
        <f t="shared" si="310"/>
        <v>51772</v>
      </c>
      <c r="M1254" s="2">
        <f t="shared" si="311"/>
        <v>2250</v>
      </c>
      <c r="N1254" s="112">
        <f t="shared" si="302"/>
        <v>17000000</v>
      </c>
      <c r="O1254" s="2">
        <f t="shared" si="312"/>
        <v>855065</v>
      </c>
      <c r="P1254" s="113">
        <f t="shared" si="313"/>
        <v>9.9999999999999998E-13</v>
      </c>
      <c r="Q1254" s="121">
        <f t="shared" si="303"/>
        <v>2194457</v>
      </c>
    </row>
    <row r="1255" spans="2:17" hidden="1" x14ac:dyDescent="0.4">
      <c r="B1255" s="110">
        <v>45176</v>
      </c>
      <c r="C1255" s="122">
        <f t="shared" si="304"/>
        <v>3000000</v>
      </c>
      <c r="D1255" s="111">
        <f t="shared" si="305"/>
        <v>51772</v>
      </c>
      <c r="E1255" s="2">
        <f t="shared" si="306"/>
        <v>2250</v>
      </c>
      <c r="F1255" s="112">
        <f t="shared" si="300"/>
        <v>17000000</v>
      </c>
      <c r="G1255" s="2">
        <f t="shared" si="307"/>
        <v>855065</v>
      </c>
      <c r="H1255" s="113">
        <f t="shared" si="308"/>
        <v>9.9999999999999998E-13</v>
      </c>
      <c r="I1255" s="121">
        <f t="shared" si="301"/>
        <v>2194457</v>
      </c>
      <c r="K1255" s="123">
        <f t="shared" si="309"/>
        <v>3000000</v>
      </c>
      <c r="L1255" s="111">
        <f t="shared" si="310"/>
        <v>51772</v>
      </c>
      <c r="M1255" s="2">
        <f t="shared" si="311"/>
        <v>2250</v>
      </c>
      <c r="N1255" s="112">
        <f t="shared" si="302"/>
        <v>17000000</v>
      </c>
      <c r="O1255" s="2">
        <f t="shared" si="312"/>
        <v>855065</v>
      </c>
      <c r="P1255" s="113">
        <f t="shared" si="313"/>
        <v>9.9999999999999998E-13</v>
      </c>
      <c r="Q1255" s="121">
        <f t="shared" si="303"/>
        <v>2194457</v>
      </c>
    </row>
    <row r="1256" spans="2:17" hidden="1" x14ac:dyDescent="0.4">
      <c r="B1256" s="110">
        <v>45177</v>
      </c>
      <c r="C1256" s="122">
        <f t="shared" si="304"/>
        <v>3000000</v>
      </c>
      <c r="D1256" s="111">
        <f t="shared" si="305"/>
        <v>51772</v>
      </c>
      <c r="E1256" s="2">
        <f t="shared" si="306"/>
        <v>2250</v>
      </c>
      <c r="F1256" s="112">
        <f t="shared" si="300"/>
        <v>17000000</v>
      </c>
      <c r="G1256" s="2">
        <f t="shared" si="307"/>
        <v>855065</v>
      </c>
      <c r="H1256" s="113">
        <f t="shared" si="308"/>
        <v>9.9999999999999998E-13</v>
      </c>
      <c r="I1256" s="121">
        <f t="shared" si="301"/>
        <v>2194457</v>
      </c>
      <c r="K1256" s="123">
        <f t="shared" si="309"/>
        <v>3000000</v>
      </c>
      <c r="L1256" s="111">
        <f t="shared" si="310"/>
        <v>51772</v>
      </c>
      <c r="M1256" s="2">
        <f t="shared" si="311"/>
        <v>2250</v>
      </c>
      <c r="N1256" s="112">
        <f t="shared" si="302"/>
        <v>17000000</v>
      </c>
      <c r="O1256" s="2">
        <f t="shared" si="312"/>
        <v>855065</v>
      </c>
      <c r="P1256" s="113">
        <f t="shared" si="313"/>
        <v>9.9999999999999998E-13</v>
      </c>
      <c r="Q1256" s="121">
        <f t="shared" si="303"/>
        <v>2194457</v>
      </c>
    </row>
    <row r="1257" spans="2:17" hidden="1" x14ac:dyDescent="0.4">
      <c r="B1257" s="110">
        <v>45178</v>
      </c>
      <c r="C1257" s="122">
        <f t="shared" si="304"/>
        <v>3000000</v>
      </c>
      <c r="D1257" s="111">
        <f t="shared" si="305"/>
        <v>51772</v>
      </c>
      <c r="E1257" s="2">
        <f t="shared" si="306"/>
        <v>2250</v>
      </c>
      <c r="F1257" s="112">
        <f t="shared" si="300"/>
        <v>17000000</v>
      </c>
      <c r="G1257" s="2">
        <f t="shared" si="307"/>
        <v>855065</v>
      </c>
      <c r="H1257" s="113">
        <f t="shared" si="308"/>
        <v>9.9999999999999998E-13</v>
      </c>
      <c r="I1257" s="121">
        <f t="shared" si="301"/>
        <v>2194457</v>
      </c>
      <c r="K1257" s="123">
        <f t="shared" si="309"/>
        <v>3000000</v>
      </c>
      <c r="L1257" s="111">
        <f t="shared" si="310"/>
        <v>51772</v>
      </c>
      <c r="M1257" s="2">
        <f t="shared" si="311"/>
        <v>2250</v>
      </c>
      <c r="N1257" s="112">
        <f t="shared" si="302"/>
        <v>17000000</v>
      </c>
      <c r="O1257" s="2">
        <f t="shared" si="312"/>
        <v>855065</v>
      </c>
      <c r="P1257" s="113">
        <f t="shared" si="313"/>
        <v>9.9999999999999998E-13</v>
      </c>
      <c r="Q1257" s="121">
        <f t="shared" si="303"/>
        <v>2194457</v>
      </c>
    </row>
    <row r="1258" spans="2:17" hidden="1" x14ac:dyDescent="0.4">
      <c r="B1258" s="110">
        <v>45179</v>
      </c>
      <c r="C1258" s="122">
        <f t="shared" si="304"/>
        <v>3000000</v>
      </c>
      <c r="D1258" s="111">
        <f t="shared" si="305"/>
        <v>51772</v>
      </c>
      <c r="E1258" s="2">
        <f t="shared" si="306"/>
        <v>2250</v>
      </c>
      <c r="F1258" s="112">
        <f t="shared" si="300"/>
        <v>17000000</v>
      </c>
      <c r="G1258" s="2">
        <f t="shared" si="307"/>
        <v>855065</v>
      </c>
      <c r="H1258" s="113">
        <f t="shared" si="308"/>
        <v>9.9999999999999998E-13</v>
      </c>
      <c r="I1258" s="121">
        <f t="shared" si="301"/>
        <v>2194457</v>
      </c>
      <c r="K1258" s="123">
        <f t="shared" si="309"/>
        <v>3000000</v>
      </c>
      <c r="L1258" s="111">
        <f t="shared" si="310"/>
        <v>51772</v>
      </c>
      <c r="M1258" s="2">
        <f t="shared" si="311"/>
        <v>2250</v>
      </c>
      <c r="N1258" s="112">
        <f t="shared" si="302"/>
        <v>17000000</v>
      </c>
      <c r="O1258" s="2">
        <f t="shared" si="312"/>
        <v>855065</v>
      </c>
      <c r="P1258" s="113">
        <f t="shared" si="313"/>
        <v>9.9999999999999998E-13</v>
      </c>
      <c r="Q1258" s="121">
        <f t="shared" si="303"/>
        <v>2194457</v>
      </c>
    </row>
    <row r="1259" spans="2:17" hidden="1" x14ac:dyDescent="0.4">
      <c r="B1259" s="110">
        <v>45180</v>
      </c>
      <c r="C1259" s="122">
        <f t="shared" si="304"/>
        <v>3000000</v>
      </c>
      <c r="D1259" s="111">
        <f t="shared" si="305"/>
        <v>51772</v>
      </c>
      <c r="E1259" s="2">
        <f t="shared" si="306"/>
        <v>2250</v>
      </c>
      <c r="F1259" s="112">
        <f t="shared" si="300"/>
        <v>17000000</v>
      </c>
      <c r="G1259" s="2">
        <f t="shared" si="307"/>
        <v>855065</v>
      </c>
      <c r="H1259" s="113">
        <f t="shared" si="308"/>
        <v>9.9999999999999998E-13</v>
      </c>
      <c r="I1259" s="121">
        <f t="shared" si="301"/>
        <v>2194457</v>
      </c>
      <c r="K1259" s="123">
        <f t="shared" si="309"/>
        <v>3000000</v>
      </c>
      <c r="L1259" s="111">
        <f t="shared" si="310"/>
        <v>51772</v>
      </c>
      <c r="M1259" s="2">
        <f t="shared" si="311"/>
        <v>2250</v>
      </c>
      <c r="N1259" s="112">
        <f t="shared" si="302"/>
        <v>17000000</v>
      </c>
      <c r="O1259" s="2">
        <f t="shared" si="312"/>
        <v>855065</v>
      </c>
      <c r="P1259" s="113">
        <f t="shared" si="313"/>
        <v>9.9999999999999998E-13</v>
      </c>
      <c r="Q1259" s="121">
        <f t="shared" si="303"/>
        <v>2194457</v>
      </c>
    </row>
    <row r="1260" spans="2:17" hidden="1" x14ac:dyDescent="0.4">
      <c r="B1260" s="110">
        <v>45181</v>
      </c>
      <c r="C1260" s="122">
        <f t="shared" si="304"/>
        <v>3000000</v>
      </c>
      <c r="D1260" s="111">
        <f t="shared" si="305"/>
        <v>51772</v>
      </c>
      <c r="E1260" s="2">
        <f t="shared" si="306"/>
        <v>2250</v>
      </c>
      <c r="F1260" s="112">
        <f t="shared" si="300"/>
        <v>17000000</v>
      </c>
      <c r="G1260" s="2">
        <f t="shared" si="307"/>
        <v>855065</v>
      </c>
      <c r="H1260" s="113">
        <f t="shared" si="308"/>
        <v>9.9999999999999998E-13</v>
      </c>
      <c r="I1260" s="121">
        <f t="shared" si="301"/>
        <v>2194457</v>
      </c>
      <c r="K1260" s="123">
        <f t="shared" si="309"/>
        <v>3000000</v>
      </c>
      <c r="L1260" s="111">
        <f t="shared" si="310"/>
        <v>51772</v>
      </c>
      <c r="M1260" s="2">
        <f t="shared" si="311"/>
        <v>2250</v>
      </c>
      <c r="N1260" s="112">
        <f t="shared" si="302"/>
        <v>17000000</v>
      </c>
      <c r="O1260" s="2">
        <f t="shared" si="312"/>
        <v>855065</v>
      </c>
      <c r="P1260" s="113">
        <f t="shared" si="313"/>
        <v>9.9999999999999998E-13</v>
      </c>
      <c r="Q1260" s="121">
        <f t="shared" si="303"/>
        <v>2194457</v>
      </c>
    </row>
    <row r="1261" spans="2:17" hidden="1" x14ac:dyDescent="0.4">
      <c r="B1261" s="110">
        <v>45182</v>
      </c>
      <c r="C1261" s="122">
        <f t="shared" si="304"/>
        <v>3000000</v>
      </c>
      <c r="D1261" s="111">
        <f t="shared" si="305"/>
        <v>51772</v>
      </c>
      <c r="E1261" s="2">
        <f t="shared" si="306"/>
        <v>2250</v>
      </c>
      <c r="F1261" s="112">
        <f t="shared" si="300"/>
        <v>17000000</v>
      </c>
      <c r="G1261" s="2">
        <f t="shared" si="307"/>
        <v>855065</v>
      </c>
      <c r="H1261" s="113">
        <f t="shared" si="308"/>
        <v>9.9999999999999998E-13</v>
      </c>
      <c r="I1261" s="121">
        <f t="shared" si="301"/>
        <v>2194457</v>
      </c>
      <c r="K1261" s="123">
        <f t="shared" si="309"/>
        <v>3000000</v>
      </c>
      <c r="L1261" s="111">
        <f t="shared" si="310"/>
        <v>51772</v>
      </c>
      <c r="M1261" s="2">
        <f t="shared" si="311"/>
        <v>2250</v>
      </c>
      <c r="N1261" s="112">
        <f t="shared" si="302"/>
        <v>17000000</v>
      </c>
      <c r="O1261" s="2">
        <f t="shared" si="312"/>
        <v>855065</v>
      </c>
      <c r="P1261" s="113">
        <f t="shared" si="313"/>
        <v>9.9999999999999998E-13</v>
      </c>
      <c r="Q1261" s="121">
        <f t="shared" si="303"/>
        <v>2194457</v>
      </c>
    </row>
    <row r="1262" spans="2:17" hidden="1" x14ac:dyDescent="0.4">
      <c r="B1262" s="110">
        <v>45183</v>
      </c>
      <c r="C1262" s="122">
        <f t="shared" si="304"/>
        <v>3000000</v>
      </c>
      <c r="D1262" s="111">
        <f t="shared" si="305"/>
        <v>51772</v>
      </c>
      <c r="E1262" s="2">
        <f t="shared" si="306"/>
        <v>2250</v>
      </c>
      <c r="F1262" s="112">
        <f t="shared" si="300"/>
        <v>17000000</v>
      </c>
      <c r="G1262" s="2">
        <f t="shared" si="307"/>
        <v>855065</v>
      </c>
      <c r="H1262" s="113">
        <f t="shared" si="308"/>
        <v>9.9999999999999998E-13</v>
      </c>
      <c r="I1262" s="121">
        <f t="shared" si="301"/>
        <v>2194457</v>
      </c>
      <c r="K1262" s="123">
        <f t="shared" si="309"/>
        <v>3000000</v>
      </c>
      <c r="L1262" s="111">
        <f t="shared" si="310"/>
        <v>51772</v>
      </c>
      <c r="M1262" s="2">
        <f t="shared" si="311"/>
        <v>2250</v>
      </c>
      <c r="N1262" s="112">
        <f t="shared" si="302"/>
        <v>17000000</v>
      </c>
      <c r="O1262" s="2">
        <f t="shared" si="312"/>
        <v>855065</v>
      </c>
      <c r="P1262" s="113">
        <f t="shared" si="313"/>
        <v>9.9999999999999998E-13</v>
      </c>
      <c r="Q1262" s="121">
        <f t="shared" si="303"/>
        <v>2194457</v>
      </c>
    </row>
    <row r="1263" spans="2:17" hidden="1" x14ac:dyDescent="0.4">
      <c r="B1263" s="110">
        <v>45184</v>
      </c>
      <c r="C1263" s="122">
        <f t="shared" si="304"/>
        <v>3000000</v>
      </c>
      <c r="D1263" s="111">
        <f t="shared" si="305"/>
        <v>51772</v>
      </c>
      <c r="E1263" s="2">
        <f t="shared" si="306"/>
        <v>2250</v>
      </c>
      <c r="F1263" s="112">
        <f t="shared" si="300"/>
        <v>17000000</v>
      </c>
      <c r="G1263" s="2">
        <f t="shared" si="307"/>
        <v>855065</v>
      </c>
      <c r="H1263" s="113">
        <f t="shared" si="308"/>
        <v>9.9999999999999998E-13</v>
      </c>
      <c r="I1263" s="121">
        <f t="shared" si="301"/>
        <v>2194457</v>
      </c>
      <c r="K1263" s="123">
        <f t="shared" si="309"/>
        <v>3000000</v>
      </c>
      <c r="L1263" s="111">
        <f t="shared" si="310"/>
        <v>51772</v>
      </c>
      <c r="M1263" s="2">
        <f t="shared" si="311"/>
        <v>2250</v>
      </c>
      <c r="N1263" s="112">
        <f t="shared" si="302"/>
        <v>17000000</v>
      </c>
      <c r="O1263" s="2">
        <f t="shared" si="312"/>
        <v>855065</v>
      </c>
      <c r="P1263" s="113">
        <f t="shared" si="313"/>
        <v>9.9999999999999998E-13</v>
      </c>
      <c r="Q1263" s="121">
        <f t="shared" si="303"/>
        <v>2194457</v>
      </c>
    </row>
    <row r="1264" spans="2:17" hidden="1" x14ac:dyDescent="0.4">
      <c r="B1264" s="110">
        <v>45185</v>
      </c>
      <c r="C1264" s="122">
        <f t="shared" si="304"/>
        <v>3000000</v>
      </c>
      <c r="D1264" s="111">
        <f t="shared" si="305"/>
        <v>51772</v>
      </c>
      <c r="E1264" s="2">
        <f t="shared" si="306"/>
        <v>2250</v>
      </c>
      <c r="F1264" s="112">
        <f t="shared" si="300"/>
        <v>17000000</v>
      </c>
      <c r="G1264" s="2">
        <f t="shared" si="307"/>
        <v>855065</v>
      </c>
      <c r="H1264" s="113">
        <f t="shared" si="308"/>
        <v>9.9999999999999998E-13</v>
      </c>
      <c r="I1264" s="121">
        <f t="shared" si="301"/>
        <v>2194457</v>
      </c>
      <c r="K1264" s="123">
        <f t="shared" si="309"/>
        <v>3000000</v>
      </c>
      <c r="L1264" s="111">
        <f t="shared" si="310"/>
        <v>51772</v>
      </c>
      <c r="M1264" s="2">
        <f t="shared" si="311"/>
        <v>2250</v>
      </c>
      <c r="N1264" s="112">
        <f t="shared" si="302"/>
        <v>17000000</v>
      </c>
      <c r="O1264" s="2">
        <f t="shared" si="312"/>
        <v>855065</v>
      </c>
      <c r="P1264" s="113">
        <f t="shared" si="313"/>
        <v>9.9999999999999998E-13</v>
      </c>
      <c r="Q1264" s="121">
        <f t="shared" si="303"/>
        <v>2194457</v>
      </c>
    </row>
    <row r="1265" spans="2:17" hidden="1" x14ac:dyDescent="0.4">
      <c r="B1265" s="110">
        <v>45186</v>
      </c>
      <c r="C1265" s="122">
        <f t="shared" si="304"/>
        <v>3000000</v>
      </c>
      <c r="D1265" s="111">
        <f t="shared" si="305"/>
        <v>51772</v>
      </c>
      <c r="E1265" s="2">
        <f t="shared" si="306"/>
        <v>2250</v>
      </c>
      <c r="F1265" s="112">
        <f t="shared" si="300"/>
        <v>17000000</v>
      </c>
      <c r="G1265" s="2">
        <f t="shared" si="307"/>
        <v>855065</v>
      </c>
      <c r="H1265" s="113">
        <f t="shared" si="308"/>
        <v>9.9999999999999998E-13</v>
      </c>
      <c r="I1265" s="121">
        <f t="shared" si="301"/>
        <v>2194457</v>
      </c>
      <c r="K1265" s="123">
        <f t="shared" si="309"/>
        <v>3000000</v>
      </c>
      <c r="L1265" s="111">
        <f t="shared" si="310"/>
        <v>51772</v>
      </c>
      <c r="M1265" s="2">
        <f t="shared" si="311"/>
        <v>2250</v>
      </c>
      <c r="N1265" s="112">
        <f t="shared" si="302"/>
        <v>17000000</v>
      </c>
      <c r="O1265" s="2">
        <f t="shared" si="312"/>
        <v>855065</v>
      </c>
      <c r="P1265" s="113">
        <f t="shared" si="313"/>
        <v>9.9999999999999998E-13</v>
      </c>
      <c r="Q1265" s="121">
        <f t="shared" si="303"/>
        <v>2194457</v>
      </c>
    </row>
    <row r="1266" spans="2:17" hidden="1" x14ac:dyDescent="0.4">
      <c r="B1266" s="110">
        <v>45187</v>
      </c>
      <c r="C1266" s="122">
        <f t="shared" si="304"/>
        <v>3000000</v>
      </c>
      <c r="D1266" s="111">
        <f t="shared" si="305"/>
        <v>51772</v>
      </c>
      <c r="E1266" s="2">
        <f t="shared" si="306"/>
        <v>2250</v>
      </c>
      <c r="F1266" s="112">
        <f t="shared" si="300"/>
        <v>17000000</v>
      </c>
      <c r="G1266" s="2">
        <f t="shared" si="307"/>
        <v>855065</v>
      </c>
      <c r="H1266" s="113">
        <f t="shared" si="308"/>
        <v>9.9999999999999998E-13</v>
      </c>
      <c r="I1266" s="121">
        <f t="shared" si="301"/>
        <v>2194457</v>
      </c>
      <c r="K1266" s="123">
        <f t="shared" si="309"/>
        <v>3000000</v>
      </c>
      <c r="L1266" s="111">
        <f t="shared" si="310"/>
        <v>51772</v>
      </c>
      <c r="M1266" s="2">
        <f t="shared" si="311"/>
        <v>2250</v>
      </c>
      <c r="N1266" s="112">
        <f t="shared" si="302"/>
        <v>17000000</v>
      </c>
      <c r="O1266" s="2">
        <f t="shared" si="312"/>
        <v>855065</v>
      </c>
      <c r="P1266" s="113">
        <f t="shared" si="313"/>
        <v>9.9999999999999998E-13</v>
      </c>
      <c r="Q1266" s="121">
        <f t="shared" si="303"/>
        <v>2194457</v>
      </c>
    </row>
    <row r="1267" spans="2:17" hidden="1" x14ac:dyDescent="0.4">
      <c r="B1267" s="110">
        <v>45188</v>
      </c>
      <c r="C1267" s="122">
        <f t="shared" si="304"/>
        <v>3000000</v>
      </c>
      <c r="D1267" s="111">
        <f t="shared" si="305"/>
        <v>51772</v>
      </c>
      <c r="E1267" s="2">
        <f t="shared" si="306"/>
        <v>2250</v>
      </c>
      <c r="F1267" s="112">
        <f t="shared" si="300"/>
        <v>17000000</v>
      </c>
      <c r="G1267" s="2">
        <f t="shared" si="307"/>
        <v>855065</v>
      </c>
      <c r="H1267" s="113">
        <f t="shared" si="308"/>
        <v>9.9999999999999998E-13</v>
      </c>
      <c r="I1267" s="121">
        <f t="shared" si="301"/>
        <v>2194457</v>
      </c>
      <c r="K1267" s="123">
        <f t="shared" si="309"/>
        <v>3000000</v>
      </c>
      <c r="L1267" s="111">
        <f t="shared" si="310"/>
        <v>51772</v>
      </c>
      <c r="M1267" s="2">
        <f t="shared" si="311"/>
        <v>2250</v>
      </c>
      <c r="N1267" s="112">
        <f t="shared" si="302"/>
        <v>17000000</v>
      </c>
      <c r="O1267" s="2">
        <f t="shared" si="312"/>
        <v>855065</v>
      </c>
      <c r="P1267" s="113">
        <f t="shared" si="313"/>
        <v>9.9999999999999998E-13</v>
      </c>
      <c r="Q1267" s="121">
        <f t="shared" si="303"/>
        <v>2194457</v>
      </c>
    </row>
    <row r="1268" spans="2:17" hidden="1" x14ac:dyDescent="0.4">
      <c r="B1268" s="110">
        <v>45189</v>
      </c>
      <c r="C1268" s="122">
        <f t="shared" si="304"/>
        <v>3000000</v>
      </c>
      <c r="D1268" s="111">
        <f t="shared" si="305"/>
        <v>51772</v>
      </c>
      <c r="E1268" s="2">
        <f t="shared" si="306"/>
        <v>2250</v>
      </c>
      <c r="F1268" s="112">
        <f t="shared" si="300"/>
        <v>17000000</v>
      </c>
      <c r="G1268" s="2">
        <f t="shared" si="307"/>
        <v>855065</v>
      </c>
      <c r="H1268" s="113">
        <f t="shared" si="308"/>
        <v>9.9999999999999998E-13</v>
      </c>
      <c r="I1268" s="121">
        <f t="shared" si="301"/>
        <v>2194457</v>
      </c>
      <c r="K1268" s="123">
        <f t="shared" si="309"/>
        <v>3000000</v>
      </c>
      <c r="L1268" s="111">
        <f t="shared" si="310"/>
        <v>51772</v>
      </c>
      <c r="M1268" s="2">
        <f t="shared" si="311"/>
        <v>2250</v>
      </c>
      <c r="N1268" s="112">
        <f t="shared" si="302"/>
        <v>17000000</v>
      </c>
      <c r="O1268" s="2">
        <f t="shared" si="312"/>
        <v>855065</v>
      </c>
      <c r="P1268" s="113">
        <f t="shared" si="313"/>
        <v>9.9999999999999998E-13</v>
      </c>
      <c r="Q1268" s="121">
        <f t="shared" si="303"/>
        <v>2194457</v>
      </c>
    </row>
    <row r="1269" spans="2:17" hidden="1" x14ac:dyDescent="0.4">
      <c r="B1269" s="110">
        <v>45190</v>
      </c>
      <c r="C1269" s="122">
        <f t="shared" si="304"/>
        <v>3000000</v>
      </c>
      <c r="D1269" s="111">
        <f t="shared" si="305"/>
        <v>51772</v>
      </c>
      <c r="E1269" s="2">
        <f t="shared" si="306"/>
        <v>2250</v>
      </c>
      <c r="F1269" s="112">
        <f t="shared" si="300"/>
        <v>17000000</v>
      </c>
      <c r="G1269" s="2">
        <f t="shared" si="307"/>
        <v>855065</v>
      </c>
      <c r="H1269" s="113">
        <f t="shared" si="308"/>
        <v>9.9999999999999998E-13</v>
      </c>
      <c r="I1269" s="121">
        <f t="shared" si="301"/>
        <v>2194457</v>
      </c>
      <c r="K1269" s="123">
        <f t="shared" si="309"/>
        <v>3000000</v>
      </c>
      <c r="L1269" s="111">
        <f t="shared" si="310"/>
        <v>51772</v>
      </c>
      <c r="M1269" s="2">
        <f t="shared" si="311"/>
        <v>2250</v>
      </c>
      <c r="N1269" s="112">
        <f t="shared" si="302"/>
        <v>17000000</v>
      </c>
      <c r="O1269" s="2">
        <f t="shared" si="312"/>
        <v>855065</v>
      </c>
      <c r="P1269" s="113">
        <f t="shared" si="313"/>
        <v>9.9999999999999998E-13</v>
      </c>
      <c r="Q1269" s="121">
        <f t="shared" si="303"/>
        <v>2194457</v>
      </c>
    </row>
    <row r="1270" spans="2:17" hidden="1" x14ac:dyDescent="0.4">
      <c r="B1270" s="110">
        <v>45191</v>
      </c>
      <c r="C1270" s="122">
        <f t="shared" si="304"/>
        <v>3000000</v>
      </c>
      <c r="D1270" s="111">
        <f t="shared" si="305"/>
        <v>51772</v>
      </c>
      <c r="E1270" s="2">
        <f t="shared" si="306"/>
        <v>2250</v>
      </c>
      <c r="F1270" s="112">
        <f t="shared" si="300"/>
        <v>17000000</v>
      </c>
      <c r="G1270" s="2">
        <f t="shared" si="307"/>
        <v>855065</v>
      </c>
      <c r="H1270" s="113">
        <f t="shared" si="308"/>
        <v>9.9999999999999998E-13</v>
      </c>
      <c r="I1270" s="121">
        <f t="shared" si="301"/>
        <v>2194457</v>
      </c>
      <c r="K1270" s="123">
        <f t="shared" si="309"/>
        <v>3000000</v>
      </c>
      <c r="L1270" s="111">
        <f t="shared" si="310"/>
        <v>51772</v>
      </c>
      <c r="M1270" s="2">
        <f t="shared" si="311"/>
        <v>2250</v>
      </c>
      <c r="N1270" s="112">
        <f t="shared" si="302"/>
        <v>17000000</v>
      </c>
      <c r="O1270" s="2">
        <f t="shared" si="312"/>
        <v>855065</v>
      </c>
      <c r="P1270" s="113">
        <f t="shared" si="313"/>
        <v>9.9999999999999998E-13</v>
      </c>
      <c r="Q1270" s="121">
        <f t="shared" si="303"/>
        <v>2194457</v>
      </c>
    </row>
    <row r="1271" spans="2:17" hidden="1" x14ac:dyDescent="0.4">
      <c r="B1271" s="110">
        <v>45192</v>
      </c>
      <c r="C1271" s="122">
        <f t="shared" si="304"/>
        <v>3000000</v>
      </c>
      <c r="D1271" s="111">
        <f t="shared" si="305"/>
        <v>51772</v>
      </c>
      <c r="E1271" s="2">
        <f t="shared" si="306"/>
        <v>2250</v>
      </c>
      <c r="F1271" s="112">
        <f t="shared" si="300"/>
        <v>17000000</v>
      </c>
      <c r="G1271" s="2">
        <f t="shared" si="307"/>
        <v>855065</v>
      </c>
      <c r="H1271" s="113">
        <f t="shared" si="308"/>
        <v>9.9999999999999998E-13</v>
      </c>
      <c r="I1271" s="121">
        <f t="shared" si="301"/>
        <v>2194457</v>
      </c>
      <c r="K1271" s="123">
        <f t="shared" si="309"/>
        <v>3000000</v>
      </c>
      <c r="L1271" s="111">
        <f t="shared" si="310"/>
        <v>51772</v>
      </c>
      <c r="M1271" s="2">
        <f t="shared" si="311"/>
        <v>2250</v>
      </c>
      <c r="N1271" s="112">
        <f t="shared" si="302"/>
        <v>17000000</v>
      </c>
      <c r="O1271" s="2">
        <f t="shared" si="312"/>
        <v>855065</v>
      </c>
      <c r="P1271" s="113">
        <f t="shared" si="313"/>
        <v>9.9999999999999998E-13</v>
      </c>
      <c r="Q1271" s="121">
        <f t="shared" si="303"/>
        <v>2194457</v>
      </c>
    </row>
    <row r="1272" spans="2:17" hidden="1" x14ac:dyDescent="0.4">
      <c r="B1272" s="110">
        <v>45193</v>
      </c>
      <c r="C1272" s="122">
        <f t="shared" si="304"/>
        <v>3000000</v>
      </c>
      <c r="D1272" s="111">
        <f t="shared" si="305"/>
        <v>51772</v>
      </c>
      <c r="E1272" s="2">
        <f t="shared" si="306"/>
        <v>2250</v>
      </c>
      <c r="F1272" s="112">
        <f t="shared" si="300"/>
        <v>17000000</v>
      </c>
      <c r="G1272" s="2">
        <f t="shared" si="307"/>
        <v>855065</v>
      </c>
      <c r="H1272" s="113">
        <f t="shared" si="308"/>
        <v>9.9999999999999998E-13</v>
      </c>
      <c r="I1272" s="121">
        <f t="shared" si="301"/>
        <v>2194457</v>
      </c>
      <c r="K1272" s="123">
        <f t="shared" si="309"/>
        <v>3000000</v>
      </c>
      <c r="L1272" s="111">
        <f t="shared" si="310"/>
        <v>51772</v>
      </c>
      <c r="M1272" s="2">
        <f t="shared" si="311"/>
        <v>2250</v>
      </c>
      <c r="N1272" s="112">
        <f t="shared" si="302"/>
        <v>17000000</v>
      </c>
      <c r="O1272" s="2">
        <f t="shared" si="312"/>
        <v>855065</v>
      </c>
      <c r="P1272" s="113">
        <f t="shared" si="313"/>
        <v>9.9999999999999998E-13</v>
      </c>
      <c r="Q1272" s="121">
        <f t="shared" si="303"/>
        <v>2194457</v>
      </c>
    </row>
    <row r="1273" spans="2:17" hidden="1" x14ac:dyDescent="0.4">
      <c r="B1273" s="110">
        <v>45194</v>
      </c>
      <c r="C1273" s="122">
        <f t="shared" si="304"/>
        <v>3000000</v>
      </c>
      <c r="D1273" s="111">
        <f t="shared" si="305"/>
        <v>51772</v>
      </c>
      <c r="E1273" s="2">
        <f t="shared" si="306"/>
        <v>2250</v>
      </c>
      <c r="F1273" s="112">
        <f t="shared" si="300"/>
        <v>17000000</v>
      </c>
      <c r="G1273" s="2">
        <f t="shared" si="307"/>
        <v>855065</v>
      </c>
      <c r="H1273" s="113">
        <f t="shared" si="308"/>
        <v>9.9999999999999998E-13</v>
      </c>
      <c r="I1273" s="121">
        <f t="shared" si="301"/>
        <v>2194457</v>
      </c>
      <c r="K1273" s="123">
        <f t="shared" si="309"/>
        <v>3000000</v>
      </c>
      <c r="L1273" s="111">
        <f t="shared" si="310"/>
        <v>51772</v>
      </c>
      <c r="M1273" s="2">
        <f t="shared" si="311"/>
        <v>2250</v>
      </c>
      <c r="N1273" s="112">
        <f t="shared" si="302"/>
        <v>17000000</v>
      </c>
      <c r="O1273" s="2">
        <f t="shared" si="312"/>
        <v>855065</v>
      </c>
      <c r="P1273" s="113">
        <f t="shared" si="313"/>
        <v>9.9999999999999998E-13</v>
      </c>
      <c r="Q1273" s="121">
        <f t="shared" si="303"/>
        <v>2194457</v>
      </c>
    </row>
    <row r="1274" spans="2:17" hidden="1" x14ac:dyDescent="0.4">
      <c r="B1274" s="110">
        <v>45195</v>
      </c>
      <c r="C1274" s="122">
        <f t="shared" si="304"/>
        <v>3000000</v>
      </c>
      <c r="D1274" s="111">
        <f t="shared" si="305"/>
        <v>51772</v>
      </c>
      <c r="E1274" s="2">
        <f t="shared" si="306"/>
        <v>2250</v>
      </c>
      <c r="F1274" s="112">
        <f t="shared" si="300"/>
        <v>17000000</v>
      </c>
      <c r="G1274" s="2">
        <f t="shared" si="307"/>
        <v>855065</v>
      </c>
      <c r="H1274" s="113">
        <f t="shared" si="308"/>
        <v>9.9999999999999998E-13</v>
      </c>
      <c r="I1274" s="121">
        <f t="shared" si="301"/>
        <v>2194457</v>
      </c>
      <c r="K1274" s="123">
        <f t="shared" si="309"/>
        <v>3000000</v>
      </c>
      <c r="L1274" s="111">
        <f t="shared" si="310"/>
        <v>51772</v>
      </c>
      <c r="M1274" s="2">
        <f t="shared" si="311"/>
        <v>2250</v>
      </c>
      <c r="N1274" s="112">
        <f t="shared" si="302"/>
        <v>17000000</v>
      </c>
      <c r="O1274" s="2">
        <f t="shared" si="312"/>
        <v>855065</v>
      </c>
      <c r="P1274" s="113">
        <f t="shared" si="313"/>
        <v>9.9999999999999998E-13</v>
      </c>
      <c r="Q1274" s="121">
        <f t="shared" si="303"/>
        <v>2194457</v>
      </c>
    </row>
    <row r="1275" spans="2:17" hidden="1" x14ac:dyDescent="0.4">
      <c r="B1275" s="110">
        <v>45196</v>
      </c>
      <c r="C1275" s="122">
        <f t="shared" si="304"/>
        <v>3000000</v>
      </c>
      <c r="D1275" s="111">
        <f t="shared" si="305"/>
        <v>51772</v>
      </c>
      <c r="E1275" s="2">
        <f t="shared" si="306"/>
        <v>2250</v>
      </c>
      <c r="F1275" s="112">
        <f t="shared" si="300"/>
        <v>17000000</v>
      </c>
      <c r="G1275" s="2">
        <f t="shared" si="307"/>
        <v>855065</v>
      </c>
      <c r="H1275" s="113">
        <f t="shared" si="308"/>
        <v>9.9999999999999998E-13</v>
      </c>
      <c r="I1275" s="121">
        <f t="shared" si="301"/>
        <v>2194457</v>
      </c>
      <c r="K1275" s="123">
        <f t="shared" si="309"/>
        <v>3000000</v>
      </c>
      <c r="L1275" s="111">
        <f t="shared" si="310"/>
        <v>51772</v>
      </c>
      <c r="M1275" s="2">
        <f t="shared" si="311"/>
        <v>2250</v>
      </c>
      <c r="N1275" s="112">
        <f t="shared" si="302"/>
        <v>17000000</v>
      </c>
      <c r="O1275" s="2">
        <f t="shared" si="312"/>
        <v>855065</v>
      </c>
      <c r="P1275" s="113">
        <f t="shared" si="313"/>
        <v>9.9999999999999998E-13</v>
      </c>
      <c r="Q1275" s="121">
        <f t="shared" si="303"/>
        <v>2194457</v>
      </c>
    </row>
    <row r="1276" spans="2:17" hidden="1" x14ac:dyDescent="0.4">
      <c r="B1276" s="110">
        <v>45197</v>
      </c>
      <c r="C1276" s="122">
        <f t="shared" si="304"/>
        <v>3000000</v>
      </c>
      <c r="D1276" s="111">
        <f t="shared" si="305"/>
        <v>51772</v>
      </c>
      <c r="E1276" s="2">
        <f t="shared" si="306"/>
        <v>2250</v>
      </c>
      <c r="F1276" s="112">
        <f t="shared" si="300"/>
        <v>17000000</v>
      </c>
      <c r="G1276" s="2">
        <f t="shared" si="307"/>
        <v>855065</v>
      </c>
      <c r="H1276" s="113">
        <f t="shared" si="308"/>
        <v>9.9999999999999998E-13</v>
      </c>
      <c r="I1276" s="121">
        <f t="shared" si="301"/>
        <v>2194457</v>
      </c>
      <c r="K1276" s="123">
        <f t="shared" si="309"/>
        <v>3000000</v>
      </c>
      <c r="L1276" s="111">
        <f t="shared" si="310"/>
        <v>51772</v>
      </c>
      <c r="M1276" s="2">
        <f t="shared" si="311"/>
        <v>2250</v>
      </c>
      <c r="N1276" s="112">
        <f t="shared" si="302"/>
        <v>17000000</v>
      </c>
      <c r="O1276" s="2">
        <f t="shared" si="312"/>
        <v>855065</v>
      </c>
      <c r="P1276" s="113">
        <f t="shared" si="313"/>
        <v>9.9999999999999998E-13</v>
      </c>
      <c r="Q1276" s="121">
        <f t="shared" si="303"/>
        <v>2194457</v>
      </c>
    </row>
    <row r="1277" spans="2:17" hidden="1" x14ac:dyDescent="0.4">
      <c r="B1277" s="110">
        <v>45198</v>
      </c>
      <c r="C1277" s="122">
        <f t="shared" si="304"/>
        <v>3000000</v>
      </c>
      <c r="D1277" s="111">
        <f t="shared" si="305"/>
        <v>51772</v>
      </c>
      <c r="E1277" s="2">
        <f t="shared" si="306"/>
        <v>2250</v>
      </c>
      <c r="F1277" s="112">
        <f t="shared" si="300"/>
        <v>17000000</v>
      </c>
      <c r="G1277" s="2">
        <f t="shared" si="307"/>
        <v>855065</v>
      </c>
      <c r="H1277" s="113">
        <f t="shared" si="308"/>
        <v>9.9999999999999998E-13</v>
      </c>
      <c r="I1277" s="121">
        <f t="shared" si="301"/>
        <v>2194457</v>
      </c>
      <c r="K1277" s="123">
        <f t="shared" si="309"/>
        <v>3000000</v>
      </c>
      <c r="L1277" s="111">
        <f t="shared" si="310"/>
        <v>51772</v>
      </c>
      <c r="M1277" s="2">
        <f t="shared" si="311"/>
        <v>2250</v>
      </c>
      <c r="N1277" s="112">
        <f t="shared" si="302"/>
        <v>17000000</v>
      </c>
      <c r="O1277" s="2">
        <f t="shared" si="312"/>
        <v>855065</v>
      </c>
      <c r="P1277" s="113">
        <f t="shared" si="313"/>
        <v>9.9999999999999998E-13</v>
      </c>
      <c r="Q1277" s="121">
        <f t="shared" si="303"/>
        <v>2194457</v>
      </c>
    </row>
    <row r="1278" spans="2:17" hidden="1" x14ac:dyDescent="0.4">
      <c r="B1278" s="110">
        <v>45199</v>
      </c>
      <c r="C1278" s="122">
        <f t="shared" si="304"/>
        <v>3000000</v>
      </c>
      <c r="D1278" s="111">
        <f t="shared" si="305"/>
        <v>51772</v>
      </c>
      <c r="E1278" s="2">
        <f t="shared" si="306"/>
        <v>2250</v>
      </c>
      <c r="F1278" s="112">
        <f t="shared" si="300"/>
        <v>17000000</v>
      </c>
      <c r="G1278" s="2">
        <f t="shared" si="307"/>
        <v>855065</v>
      </c>
      <c r="H1278" s="113">
        <f t="shared" si="308"/>
        <v>9.9999999999999998E-13</v>
      </c>
      <c r="I1278" s="121">
        <f t="shared" si="301"/>
        <v>2194457</v>
      </c>
      <c r="K1278" s="123">
        <f t="shared" si="309"/>
        <v>3000000</v>
      </c>
      <c r="L1278" s="111">
        <f t="shared" si="310"/>
        <v>51772</v>
      </c>
      <c r="M1278" s="2">
        <f t="shared" si="311"/>
        <v>2250</v>
      </c>
      <c r="N1278" s="112">
        <f t="shared" si="302"/>
        <v>17000000</v>
      </c>
      <c r="O1278" s="2">
        <f t="shared" si="312"/>
        <v>855065</v>
      </c>
      <c r="P1278" s="113">
        <f t="shared" si="313"/>
        <v>9.9999999999999998E-13</v>
      </c>
      <c r="Q1278" s="121">
        <f t="shared" si="303"/>
        <v>2194457</v>
      </c>
    </row>
    <row r="1279" spans="2:17" x14ac:dyDescent="0.4">
      <c r="B1279" s="110">
        <v>45200</v>
      </c>
      <c r="C1279" s="122">
        <f t="shared" si="304"/>
        <v>3000000</v>
      </c>
      <c r="D1279" s="111">
        <f t="shared" si="305"/>
        <v>51772</v>
      </c>
      <c r="E1279" s="2">
        <f t="shared" si="306"/>
        <v>2250</v>
      </c>
      <c r="F1279" s="112">
        <f t="shared" si="300"/>
        <v>17000000</v>
      </c>
      <c r="G1279" s="2">
        <f t="shared" si="307"/>
        <v>855065</v>
      </c>
      <c r="H1279" s="113">
        <f t="shared" si="308"/>
        <v>9.9999999999999998E-13</v>
      </c>
      <c r="I1279" s="121">
        <f t="shared" si="301"/>
        <v>2194457</v>
      </c>
      <c r="K1279" s="123">
        <f t="shared" si="309"/>
        <v>3000000</v>
      </c>
      <c r="L1279" s="111">
        <f t="shared" si="310"/>
        <v>51772</v>
      </c>
      <c r="M1279" s="2">
        <f t="shared" si="311"/>
        <v>2250</v>
      </c>
      <c r="N1279" s="112">
        <f t="shared" si="302"/>
        <v>17000000</v>
      </c>
      <c r="O1279" s="2">
        <f t="shared" si="312"/>
        <v>855065</v>
      </c>
      <c r="P1279" s="113">
        <f t="shared" si="313"/>
        <v>9.9999999999999998E-13</v>
      </c>
      <c r="Q1279" s="121">
        <f t="shared" si="303"/>
        <v>2194457</v>
      </c>
    </row>
    <row r="1280" spans="2:17" hidden="1" x14ac:dyDescent="0.4">
      <c r="B1280" s="110">
        <v>45201</v>
      </c>
      <c r="C1280" s="122">
        <f t="shared" si="304"/>
        <v>3000000</v>
      </c>
      <c r="D1280" s="111">
        <f t="shared" si="305"/>
        <v>51772</v>
      </c>
      <c r="E1280" s="2">
        <f t="shared" si="306"/>
        <v>2250</v>
      </c>
      <c r="F1280" s="112">
        <f t="shared" si="300"/>
        <v>17000000</v>
      </c>
      <c r="G1280" s="2">
        <f t="shared" si="307"/>
        <v>855065</v>
      </c>
      <c r="H1280" s="113">
        <f t="shared" si="308"/>
        <v>9.9999999999999998E-13</v>
      </c>
      <c r="I1280" s="121">
        <f t="shared" si="301"/>
        <v>2194457</v>
      </c>
      <c r="K1280" s="123">
        <f t="shared" si="309"/>
        <v>3000000</v>
      </c>
      <c r="L1280" s="111">
        <f t="shared" si="310"/>
        <v>51772</v>
      </c>
      <c r="M1280" s="2">
        <f t="shared" si="311"/>
        <v>2250</v>
      </c>
      <c r="N1280" s="112">
        <f t="shared" si="302"/>
        <v>17000000</v>
      </c>
      <c r="O1280" s="2">
        <f t="shared" si="312"/>
        <v>855065</v>
      </c>
      <c r="P1280" s="113">
        <f t="shared" si="313"/>
        <v>9.9999999999999998E-13</v>
      </c>
      <c r="Q1280" s="121">
        <f t="shared" si="303"/>
        <v>2194457</v>
      </c>
    </row>
    <row r="1281" spans="2:17" hidden="1" x14ac:dyDescent="0.4">
      <c r="B1281" s="110">
        <v>45202</v>
      </c>
      <c r="C1281" s="122">
        <f t="shared" si="304"/>
        <v>3000000</v>
      </c>
      <c r="D1281" s="111">
        <f t="shared" si="305"/>
        <v>51772</v>
      </c>
      <c r="E1281" s="2">
        <f t="shared" si="306"/>
        <v>2250</v>
      </c>
      <c r="F1281" s="112">
        <f t="shared" si="300"/>
        <v>17000000</v>
      </c>
      <c r="G1281" s="2">
        <f t="shared" si="307"/>
        <v>855065</v>
      </c>
      <c r="H1281" s="113">
        <f t="shared" si="308"/>
        <v>9.9999999999999998E-13</v>
      </c>
      <c r="I1281" s="121">
        <f t="shared" si="301"/>
        <v>2194457</v>
      </c>
      <c r="K1281" s="123">
        <f t="shared" si="309"/>
        <v>3000000</v>
      </c>
      <c r="L1281" s="111">
        <f t="shared" si="310"/>
        <v>51772</v>
      </c>
      <c r="M1281" s="2">
        <f t="shared" si="311"/>
        <v>2250</v>
      </c>
      <c r="N1281" s="112">
        <f t="shared" si="302"/>
        <v>17000000</v>
      </c>
      <c r="O1281" s="2">
        <f t="shared" si="312"/>
        <v>855065</v>
      </c>
      <c r="P1281" s="113">
        <f t="shared" si="313"/>
        <v>9.9999999999999998E-13</v>
      </c>
      <c r="Q1281" s="121">
        <f t="shared" si="303"/>
        <v>2194457</v>
      </c>
    </row>
    <row r="1282" spans="2:17" hidden="1" x14ac:dyDescent="0.4">
      <c r="B1282" s="110">
        <v>45203</v>
      </c>
      <c r="C1282" s="122">
        <f t="shared" si="304"/>
        <v>3000000</v>
      </c>
      <c r="D1282" s="111">
        <f t="shared" si="305"/>
        <v>51772</v>
      </c>
      <c r="E1282" s="2">
        <f t="shared" si="306"/>
        <v>2250</v>
      </c>
      <c r="F1282" s="112">
        <f t="shared" si="300"/>
        <v>17000000</v>
      </c>
      <c r="G1282" s="2">
        <f t="shared" si="307"/>
        <v>855065</v>
      </c>
      <c r="H1282" s="113">
        <f t="shared" si="308"/>
        <v>9.9999999999999998E-13</v>
      </c>
      <c r="I1282" s="121">
        <f t="shared" si="301"/>
        <v>2194457</v>
      </c>
      <c r="K1282" s="123">
        <f t="shared" si="309"/>
        <v>3000000</v>
      </c>
      <c r="L1282" s="111">
        <f t="shared" si="310"/>
        <v>51772</v>
      </c>
      <c r="M1282" s="2">
        <f t="shared" si="311"/>
        <v>2250</v>
      </c>
      <c r="N1282" s="112">
        <f t="shared" si="302"/>
        <v>17000000</v>
      </c>
      <c r="O1282" s="2">
        <f t="shared" si="312"/>
        <v>855065</v>
      </c>
      <c r="P1282" s="113">
        <f t="shared" si="313"/>
        <v>9.9999999999999998E-13</v>
      </c>
      <c r="Q1282" s="121">
        <f t="shared" si="303"/>
        <v>2194457</v>
      </c>
    </row>
    <row r="1283" spans="2:17" hidden="1" x14ac:dyDescent="0.4">
      <c r="B1283" s="110">
        <v>45204</v>
      </c>
      <c r="C1283" s="122">
        <f t="shared" si="304"/>
        <v>3000000</v>
      </c>
      <c r="D1283" s="111">
        <f t="shared" si="305"/>
        <v>51772</v>
      </c>
      <c r="E1283" s="2">
        <f t="shared" si="306"/>
        <v>2250</v>
      </c>
      <c r="F1283" s="112">
        <f t="shared" si="300"/>
        <v>17000000</v>
      </c>
      <c r="G1283" s="2">
        <f t="shared" si="307"/>
        <v>855065</v>
      </c>
      <c r="H1283" s="113">
        <f t="shared" si="308"/>
        <v>9.9999999999999998E-13</v>
      </c>
      <c r="I1283" s="121">
        <f t="shared" si="301"/>
        <v>2194457</v>
      </c>
      <c r="K1283" s="123">
        <f t="shared" si="309"/>
        <v>3000000</v>
      </c>
      <c r="L1283" s="111">
        <f t="shared" si="310"/>
        <v>51772</v>
      </c>
      <c r="M1283" s="2">
        <f t="shared" si="311"/>
        <v>2250</v>
      </c>
      <c r="N1283" s="112">
        <f t="shared" si="302"/>
        <v>17000000</v>
      </c>
      <c r="O1283" s="2">
        <f t="shared" si="312"/>
        <v>855065</v>
      </c>
      <c r="P1283" s="113">
        <f t="shared" si="313"/>
        <v>9.9999999999999998E-13</v>
      </c>
      <c r="Q1283" s="121">
        <f t="shared" si="303"/>
        <v>2194457</v>
      </c>
    </row>
    <row r="1284" spans="2:17" hidden="1" x14ac:dyDescent="0.4">
      <c r="B1284" s="110">
        <v>45205</v>
      </c>
      <c r="C1284" s="122">
        <f t="shared" si="304"/>
        <v>3000000</v>
      </c>
      <c r="D1284" s="111">
        <f t="shared" si="305"/>
        <v>51772</v>
      </c>
      <c r="E1284" s="2">
        <f t="shared" si="306"/>
        <v>2250</v>
      </c>
      <c r="F1284" s="112">
        <f t="shared" si="300"/>
        <v>17000000</v>
      </c>
      <c r="G1284" s="2">
        <f t="shared" si="307"/>
        <v>855065</v>
      </c>
      <c r="H1284" s="113">
        <f t="shared" si="308"/>
        <v>9.9999999999999998E-13</v>
      </c>
      <c r="I1284" s="121">
        <f t="shared" si="301"/>
        <v>2194457</v>
      </c>
      <c r="K1284" s="123">
        <f t="shared" si="309"/>
        <v>3000000</v>
      </c>
      <c r="L1284" s="111">
        <f t="shared" si="310"/>
        <v>51772</v>
      </c>
      <c r="M1284" s="2">
        <f t="shared" si="311"/>
        <v>2250</v>
      </c>
      <c r="N1284" s="112">
        <f t="shared" si="302"/>
        <v>17000000</v>
      </c>
      <c r="O1284" s="2">
        <f t="shared" si="312"/>
        <v>855065</v>
      </c>
      <c r="P1284" s="113">
        <f t="shared" si="313"/>
        <v>9.9999999999999998E-13</v>
      </c>
      <c r="Q1284" s="121">
        <f t="shared" si="303"/>
        <v>2194457</v>
      </c>
    </row>
    <row r="1285" spans="2:17" hidden="1" x14ac:dyDescent="0.4">
      <c r="B1285" s="110">
        <v>45206</v>
      </c>
      <c r="C1285" s="122">
        <f t="shared" si="304"/>
        <v>3000000</v>
      </c>
      <c r="D1285" s="111">
        <f t="shared" si="305"/>
        <v>51772</v>
      </c>
      <c r="E1285" s="2">
        <f t="shared" si="306"/>
        <v>2250</v>
      </c>
      <c r="F1285" s="112">
        <f t="shared" si="300"/>
        <v>17000000</v>
      </c>
      <c r="G1285" s="2">
        <f t="shared" si="307"/>
        <v>855065</v>
      </c>
      <c r="H1285" s="113">
        <f t="shared" si="308"/>
        <v>9.9999999999999998E-13</v>
      </c>
      <c r="I1285" s="121">
        <f t="shared" si="301"/>
        <v>2194457</v>
      </c>
      <c r="K1285" s="123">
        <f t="shared" si="309"/>
        <v>3000000</v>
      </c>
      <c r="L1285" s="111">
        <f t="shared" si="310"/>
        <v>51772</v>
      </c>
      <c r="M1285" s="2">
        <f t="shared" si="311"/>
        <v>2250</v>
      </c>
      <c r="N1285" s="112">
        <f t="shared" si="302"/>
        <v>17000000</v>
      </c>
      <c r="O1285" s="2">
        <f t="shared" si="312"/>
        <v>855065</v>
      </c>
      <c r="P1285" s="113">
        <f t="shared" si="313"/>
        <v>9.9999999999999998E-13</v>
      </c>
      <c r="Q1285" s="121">
        <f t="shared" si="303"/>
        <v>2194457</v>
      </c>
    </row>
    <row r="1286" spans="2:17" hidden="1" x14ac:dyDescent="0.4">
      <c r="B1286" s="110">
        <v>45207</v>
      </c>
      <c r="C1286" s="122">
        <f t="shared" si="304"/>
        <v>3000000</v>
      </c>
      <c r="D1286" s="111">
        <f t="shared" si="305"/>
        <v>51772</v>
      </c>
      <c r="E1286" s="2">
        <f t="shared" si="306"/>
        <v>2250</v>
      </c>
      <c r="F1286" s="112">
        <f t="shared" si="300"/>
        <v>17000000</v>
      </c>
      <c r="G1286" s="2">
        <f t="shared" si="307"/>
        <v>855065</v>
      </c>
      <c r="H1286" s="113">
        <f t="shared" si="308"/>
        <v>9.9999999999999998E-13</v>
      </c>
      <c r="I1286" s="121">
        <f t="shared" si="301"/>
        <v>2194457</v>
      </c>
      <c r="K1286" s="123">
        <f t="shared" si="309"/>
        <v>3000000</v>
      </c>
      <c r="L1286" s="111">
        <f t="shared" si="310"/>
        <v>51772</v>
      </c>
      <c r="M1286" s="2">
        <f t="shared" si="311"/>
        <v>2250</v>
      </c>
      <c r="N1286" s="112">
        <f t="shared" si="302"/>
        <v>17000000</v>
      </c>
      <c r="O1286" s="2">
        <f t="shared" si="312"/>
        <v>855065</v>
      </c>
      <c r="P1286" s="113">
        <f t="shared" si="313"/>
        <v>9.9999999999999998E-13</v>
      </c>
      <c r="Q1286" s="121">
        <f t="shared" si="303"/>
        <v>2194457</v>
      </c>
    </row>
    <row r="1287" spans="2:17" hidden="1" x14ac:dyDescent="0.4">
      <c r="B1287" s="110">
        <v>45208</v>
      </c>
      <c r="C1287" s="122">
        <f t="shared" si="304"/>
        <v>3000000</v>
      </c>
      <c r="D1287" s="111">
        <f t="shared" si="305"/>
        <v>51772</v>
      </c>
      <c r="E1287" s="2">
        <f t="shared" si="306"/>
        <v>2250</v>
      </c>
      <c r="F1287" s="112">
        <f t="shared" si="300"/>
        <v>17000000</v>
      </c>
      <c r="G1287" s="2">
        <f t="shared" si="307"/>
        <v>855065</v>
      </c>
      <c r="H1287" s="113">
        <f t="shared" si="308"/>
        <v>9.9999999999999998E-13</v>
      </c>
      <c r="I1287" s="121">
        <f t="shared" si="301"/>
        <v>2194457</v>
      </c>
      <c r="K1287" s="123">
        <f t="shared" si="309"/>
        <v>3000000</v>
      </c>
      <c r="L1287" s="111">
        <f t="shared" si="310"/>
        <v>51772</v>
      </c>
      <c r="M1287" s="2">
        <f t="shared" si="311"/>
        <v>2250</v>
      </c>
      <c r="N1287" s="112">
        <f t="shared" si="302"/>
        <v>17000000</v>
      </c>
      <c r="O1287" s="2">
        <f t="shared" si="312"/>
        <v>855065</v>
      </c>
      <c r="P1287" s="113">
        <f t="shared" si="313"/>
        <v>9.9999999999999998E-13</v>
      </c>
      <c r="Q1287" s="121">
        <f t="shared" si="303"/>
        <v>2194457</v>
      </c>
    </row>
    <row r="1288" spans="2:17" hidden="1" x14ac:dyDescent="0.4">
      <c r="B1288" s="110">
        <v>45209</v>
      </c>
      <c r="C1288" s="122">
        <f t="shared" si="304"/>
        <v>3000000</v>
      </c>
      <c r="D1288" s="111">
        <f t="shared" si="305"/>
        <v>51772</v>
      </c>
      <c r="E1288" s="2">
        <f t="shared" si="306"/>
        <v>2250</v>
      </c>
      <c r="F1288" s="112">
        <f t="shared" si="300"/>
        <v>17000000</v>
      </c>
      <c r="G1288" s="2">
        <f t="shared" si="307"/>
        <v>855065</v>
      </c>
      <c r="H1288" s="113">
        <f t="shared" si="308"/>
        <v>9.9999999999999998E-13</v>
      </c>
      <c r="I1288" s="121">
        <f t="shared" si="301"/>
        <v>2194457</v>
      </c>
      <c r="K1288" s="123">
        <f t="shared" si="309"/>
        <v>3000000</v>
      </c>
      <c r="L1288" s="111">
        <f t="shared" si="310"/>
        <v>51772</v>
      </c>
      <c r="M1288" s="2">
        <f t="shared" si="311"/>
        <v>2250</v>
      </c>
      <c r="N1288" s="112">
        <f t="shared" si="302"/>
        <v>17000000</v>
      </c>
      <c r="O1288" s="2">
        <f t="shared" si="312"/>
        <v>855065</v>
      </c>
      <c r="P1288" s="113">
        <f t="shared" si="313"/>
        <v>9.9999999999999998E-13</v>
      </c>
      <c r="Q1288" s="121">
        <f t="shared" si="303"/>
        <v>2194457</v>
      </c>
    </row>
    <row r="1289" spans="2:17" hidden="1" x14ac:dyDescent="0.4">
      <c r="B1289" s="110">
        <v>45210</v>
      </c>
      <c r="C1289" s="122">
        <f t="shared" si="304"/>
        <v>3000000</v>
      </c>
      <c r="D1289" s="111">
        <f t="shared" si="305"/>
        <v>51772</v>
      </c>
      <c r="E1289" s="2">
        <f t="shared" si="306"/>
        <v>2250</v>
      </c>
      <c r="F1289" s="112">
        <f t="shared" si="300"/>
        <v>17000000</v>
      </c>
      <c r="G1289" s="2">
        <f t="shared" si="307"/>
        <v>855065</v>
      </c>
      <c r="H1289" s="113">
        <f t="shared" si="308"/>
        <v>9.9999999999999998E-13</v>
      </c>
      <c r="I1289" s="121">
        <f t="shared" si="301"/>
        <v>2194457</v>
      </c>
      <c r="K1289" s="123">
        <f t="shared" si="309"/>
        <v>3000000</v>
      </c>
      <c r="L1289" s="111">
        <f t="shared" si="310"/>
        <v>51772</v>
      </c>
      <c r="M1289" s="2">
        <f t="shared" si="311"/>
        <v>2250</v>
      </c>
      <c r="N1289" s="112">
        <f t="shared" si="302"/>
        <v>17000000</v>
      </c>
      <c r="O1289" s="2">
        <f t="shared" si="312"/>
        <v>855065</v>
      </c>
      <c r="P1289" s="113">
        <f t="shared" si="313"/>
        <v>9.9999999999999998E-13</v>
      </c>
      <c r="Q1289" s="121">
        <f t="shared" si="303"/>
        <v>2194457</v>
      </c>
    </row>
    <row r="1290" spans="2:17" hidden="1" x14ac:dyDescent="0.4">
      <c r="B1290" s="110">
        <v>45211</v>
      </c>
      <c r="C1290" s="122">
        <f t="shared" si="304"/>
        <v>3000000</v>
      </c>
      <c r="D1290" s="111">
        <f t="shared" si="305"/>
        <v>51772</v>
      </c>
      <c r="E1290" s="2">
        <f t="shared" si="306"/>
        <v>2250</v>
      </c>
      <c r="F1290" s="112">
        <f t="shared" ref="F1290:F1353" si="314">20000000-C1290</f>
        <v>17000000</v>
      </c>
      <c r="G1290" s="2">
        <f t="shared" si="307"/>
        <v>855065</v>
      </c>
      <c r="H1290" s="113">
        <f t="shared" si="308"/>
        <v>9.9999999999999998E-13</v>
      </c>
      <c r="I1290" s="121">
        <f t="shared" ref="I1290:I1353" si="315">C1290+D1290-G1290-E1290+H1290</f>
        <v>2194457</v>
      </c>
      <c r="K1290" s="123">
        <f t="shared" si="309"/>
        <v>3000000</v>
      </c>
      <c r="L1290" s="111">
        <f t="shared" si="310"/>
        <v>51772</v>
      </c>
      <c r="M1290" s="2">
        <f t="shared" si="311"/>
        <v>2250</v>
      </c>
      <c r="N1290" s="112">
        <f t="shared" ref="N1290:N1353" si="316">20000000-K1290</f>
        <v>17000000</v>
      </c>
      <c r="O1290" s="2">
        <f t="shared" si="312"/>
        <v>855065</v>
      </c>
      <c r="P1290" s="113">
        <f t="shared" si="313"/>
        <v>9.9999999999999998E-13</v>
      </c>
      <c r="Q1290" s="121">
        <f t="shared" ref="Q1290:Q1353" si="317">K1290+L1290-O1290-M1290+P1290</f>
        <v>2194457</v>
      </c>
    </row>
    <row r="1291" spans="2:17" hidden="1" x14ac:dyDescent="0.4">
      <c r="B1291" s="110">
        <v>45212</v>
      </c>
      <c r="C1291" s="122">
        <f t="shared" ref="C1291:C1354" si="318">SUMIF($B$6:$B$75,$B1291,$D$6:$D$75)+C1290</f>
        <v>3000000</v>
      </c>
      <c r="D1291" s="111">
        <f t="shared" ref="D1291:D1354" si="319">SUMIF($B$6:$B$75,$B1291,$E$6:$E$75)+D1290</f>
        <v>51772</v>
      </c>
      <c r="E1291" s="2">
        <f t="shared" ref="E1291:E1354" si="320">SUMIF($G$353:$G$376,$B1291,$J$353:$J$376)+SUMIF($E$353:$E$376,$B1291,$H$353:$H$376)+SUMIF($G$353:$G$376,$B1291,$I$353:$I$376)+E1290</f>
        <v>2250</v>
      </c>
      <c r="F1291" s="112">
        <f t="shared" si="314"/>
        <v>17000000</v>
      </c>
      <c r="G1291" s="2">
        <f t="shared" ref="G1291:G1354" si="321">SUMIF($E$353:$E$376,$B1291,$M$353:$M$376)+G1290</f>
        <v>855065</v>
      </c>
      <c r="H1291" s="113">
        <f t="shared" ref="H1291:H1354" si="322">SUMIF($G$353:$G$376,$B1291,$N$353:$N$376)+H1290</f>
        <v>9.9999999999999998E-13</v>
      </c>
      <c r="I1291" s="121">
        <f t="shared" si="315"/>
        <v>2194457</v>
      </c>
      <c r="K1291" s="123">
        <f t="shared" ref="K1291:K1354" si="323">SUMIF($B$6:$B$75,$B1291,$D$6:$D$75)+K1290</f>
        <v>3000000</v>
      </c>
      <c r="L1291" s="111">
        <f t="shared" ref="L1291:L1354" si="324">SUMIF($B$6:$B$75,$B1291,$E$6:$E$75)+L1290</f>
        <v>51772</v>
      </c>
      <c r="M1291" s="2">
        <f t="shared" ref="M1291:M1354" si="325">SUMIF($G$353:$G$376,$B1291,$J$353:$J$376)+SUMIF($E$353:$E$376,$B1291,$H$353:$H$376)+SUMIF($G$353:$G$376,$B1291,$I$353:$I$376)+M1290</f>
        <v>2250</v>
      </c>
      <c r="N1291" s="112">
        <f t="shared" si="316"/>
        <v>17000000</v>
      </c>
      <c r="O1291" s="2">
        <f t="shared" ref="O1291:O1354" si="326">SUMIF($E$353:$E$376,$B1291,$M$353:$M$376)+O1290</f>
        <v>855065</v>
      </c>
      <c r="P1291" s="113">
        <f t="shared" ref="P1291:P1354" si="327">SUMIF($G$353:$G$376,$B1291,$N$353:$N$376)+P1290</f>
        <v>9.9999999999999998E-13</v>
      </c>
      <c r="Q1291" s="121">
        <f t="shared" si="317"/>
        <v>2194457</v>
      </c>
    </row>
    <row r="1292" spans="2:17" hidden="1" x14ac:dyDescent="0.4">
      <c r="B1292" s="110">
        <v>45213</v>
      </c>
      <c r="C1292" s="122">
        <f t="shared" si="318"/>
        <v>3000000</v>
      </c>
      <c r="D1292" s="111">
        <f t="shared" si="319"/>
        <v>51772</v>
      </c>
      <c r="E1292" s="2">
        <f t="shared" si="320"/>
        <v>2250</v>
      </c>
      <c r="F1292" s="112">
        <f t="shared" si="314"/>
        <v>17000000</v>
      </c>
      <c r="G1292" s="2">
        <f t="shared" si="321"/>
        <v>855065</v>
      </c>
      <c r="H1292" s="113">
        <f t="shared" si="322"/>
        <v>9.9999999999999998E-13</v>
      </c>
      <c r="I1292" s="121">
        <f t="shared" si="315"/>
        <v>2194457</v>
      </c>
      <c r="K1292" s="123">
        <f t="shared" si="323"/>
        <v>3000000</v>
      </c>
      <c r="L1292" s="111">
        <f t="shared" si="324"/>
        <v>51772</v>
      </c>
      <c r="M1292" s="2">
        <f t="shared" si="325"/>
        <v>2250</v>
      </c>
      <c r="N1292" s="112">
        <f t="shared" si="316"/>
        <v>17000000</v>
      </c>
      <c r="O1292" s="2">
        <f t="shared" si="326"/>
        <v>855065</v>
      </c>
      <c r="P1292" s="113">
        <f t="shared" si="327"/>
        <v>9.9999999999999998E-13</v>
      </c>
      <c r="Q1292" s="121">
        <f t="shared" si="317"/>
        <v>2194457</v>
      </c>
    </row>
    <row r="1293" spans="2:17" hidden="1" x14ac:dyDescent="0.4">
      <c r="B1293" s="110">
        <v>45214</v>
      </c>
      <c r="C1293" s="122">
        <f t="shared" si="318"/>
        <v>3000000</v>
      </c>
      <c r="D1293" s="111">
        <f t="shared" si="319"/>
        <v>51772</v>
      </c>
      <c r="E1293" s="2">
        <f t="shared" si="320"/>
        <v>2250</v>
      </c>
      <c r="F1293" s="112">
        <f t="shared" si="314"/>
        <v>17000000</v>
      </c>
      <c r="G1293" s="2">
        <f t="shared" si="321"/>
        <v>855065</v>
      </c>
      <c r="H1293" s="113">
        <f t="shared" si="322"/>
        <v>9.9999999999999998E-13</v>
      </c>
      <c r="I1293" s="121">
        <f t="shared" si="315"/>
        <v>2194457</v>
      </c>
      <c r="K1293" s="123">
        <f t="shared" si="323"/>
        <v>3000000</v>
      </c>
      <c r="L1293" s="111">
        <f t="shared" si="324"/>
        <v>51772</v>
      </c>
      <c r="M1293" s="2">
        <f t="shared" si="325"/>
        <v>2250</v>
      </c>
      <c r="N1293" s="112">
        <f t="shared" si="316"/>
        <v>17000000</v>
      </c>
      <c r="O1293" s="2">
        <f t="shared" si="326"/>
        <v>855065</v>
      </c>
      <c r="P1293" s="113">
        <f t="shared" si="327"/>
        <v>9.9999999999999998E-13</v>
      </c>
      <c r="Q1293" s="121">
        <f t="shared" si="317"/>
        <v>2194457</v>
      </c>
    </row>
    <row r="1294" spans="2:17" hidden="1" x14ac:dyDescent="0.4">
      <c r="B1294" s="110">
        <v>45215</v>
      </c>
      <c r="C1294" s="122">
        <f t="shared" si="318"/>
        <v>3000000</v>
      </c>
      <c r="D1294" s="111">
        <f t="shared" si="319"/>
        <v>51772</v>
      </c>
      <c r="E1294" s="2">
        <f t="shared" si="320"/>
        <v>2250</v>
      </c>
      <c r="F1294" s="112">
        <f t="shared" si="314"/>
        <v>17000000</v>
      </c>
      <c r="G1294" s="2">
        <f t="shared" si="321"/>
        <v>855065</v>
      </c>
      <c r="H1294" s="113">
        <f t="shared" si="322"/>
        <v>9.9999999999999998E-13</v>
      </c>
      <c r="I1294" s="121">
        <f t="shared" si="315"/>
        <v>2194457</v>
      </c>
      <c r="K1294" s="123">
        <f t="shared" si="323"/>
        <v>3000000</v>
      </c>
      <c r="L1294" s="111">
        <f t="shared" si="324"/>
        <v>51772</v>
      </c>
      <c r="M1294" s="2">
        <f t="shared" si="325"/>
        <v>2250</v>
      </c>
      <c r="N1294" s="112">
        <f t="shared" si="316"/>
        <v>17000000</v>
      </c>
      <c r="O1294" s="2">
        <f t="shared" si="326"/>
        <v>855065</v>
      </c>
      <c r="P1294" s="113">
        <f t="shared" si="327"/>
        <v>9.9999999999999998E-13</v>
      </c>
      <c r="Q1294" s="121">
        <f t="shared" si="317"/>
        <v>2194457</v>
      </c>
    </row>
    <row r="1295" spans="2:17" hidden="1" x14ac:dyDescent="0.4">
      <c r="B1295" s="110">
        <v>45216</v>
      </c>
      <c r="C1295" s="122">
        <f t="shared" si="318"/>
        <v>3000000</v>
      </c>
      <c r="D1295" s="111">
        <f t="shared" si="319"/>
        <v>51772</v>
      </c>
      <c r="E1295" s="2">
        <f t="shared" si="320"/>
        <v>2250</v>
      </c>
      <c r="F1295" s="112">
        <f t="shared" si="314"/>
        <v>17000000</v>
      </c>
      <c r="G1295" s="2">
        <f t="shared" si="321"/>
        <v>855065</v>
      </c>
      <c r="H1295" s="113">
        <f t="shared" si="322"/>
        <v>9.9999999999999998E-13</v>
      </c>
      <c r="I1295" s="121">
        <f t="shared" si="315"/>
        <v>2194457</v>
      </c>
      <c r="K1295" s="123">
        <f t="shared" si="323"/>
        <v>3000000</v>
      </c>
      <c r="L1295" s="111">
        <f t="shared" si="324"/>
        <v>51772</v>
      </c>
      <c r="M1295" s="2">
        <f t="shared" si="325"/>
        <v>2250</v>
      </c>
      <c r="N1295" s="112">
        <f t="shared" si="316"/>
        <v>17000000</v>
      </c>
      <c r="O1295" s="2">
        <f t="shared" si="326"/>
        <v>855065</v>
      </c>
      <c r="P1295" s="113">
        <f t="shared" si="327"/>
        <v>9.9999999999999998E-13</v>
      </c>
      <c r="Q1295" s="121">
        <f t="shared" si="317"/>
        <v>2194457</v>
      </c>
    </row>
    <row r="1296" spans="2:17" hidden="1" x14ac:dyDescent="0.4">
      <c r="B1296" s="110">
        <v>45217</v>
      </c>
      <c r="C1296" s="122">
        <f t="shared" si="318"/>
        <v>3000000</v>
      </c>
      <c r="D1296" s="111">
        <f t="shared" si="319"/>
        <v>51772</v>
      </c>
      <c r="E1296" s="2">
        <f t="shared" si="320"/>
        <v>2250</v>
      </c>
      <c r="F1296" s="112">
        <f t="shared" si="314"/>
        <v>17000000</v>
      </c>
      <c r="G1296" s="2">
        <f t="shared" si="321"/>
        <v>855065</v>
      </c>
      <c r="H1296" s="113">
        <f t="shared" si="322"/>
        <v>9.9999999999999998E-13</v>
      </c>
      <c r="I1296" s="121">
        <f t="shared" si="315"/>
        <v>2194457</v>
      </c>
      <c r="K1296" s="123">
        <f t="shared" si="323"/>
        <v>3000000</v>
      </c>
      <c r="L1296" s="111">
        <f t="shared" si="324"/>
        <v>51772</v>
      </c>
      <c r="M1296" s="2">
        <f t="shared" si="325"/>
        <v>2250</v>
      </c>
      <c r="N1296" s="112">
        <f t="shared" si="316"/>
        <v>17000000</v>
      </c>
      <c r="O1296" s="2">
        <f t="shared" si="326"/>
        <v>855065</v>
      </c>
      <c r="P1296" s="113">
        <f t="shared" si="327"/>
        <v>9.9999999999999998E-13</v>
      </c>
      <c r="Q1296" s="121">
        <f t="shared" si="317"/>
        <v>2194457</v>
      </c>
    </row>
    <row r="1297" spans="2:17" hidden="1" x14ac:dyDescent="0.4">
      <c r="B1297" s="110">
        <v>45218</v>
      </c>
      <c r="C1297" s="122">
        <f t="shared" si="318"/>
        <v>3000000</v>
      </c>
      <c r="D1297" s="111">
        <f t="shared" si="319"/>
        <v>51772</v>
      </c>
      <c r="E1297" s="2">
        <f t="shared" si="320"/>
        <v>2250</v>
      </c>
      <c r="F1297" s="112">
        <f t="shared" si="314"/>
        <v>17000000</v>
      </c>
      <c r="G1297" s="2">
        <f t="shared" si="321"/>
        <v>855065</v>
      </c>
      <c r="H1297" s="113">
        <f t="shared" si="322"/>
        <v>9.9999999999999998E-13</v>
      </c>
      <c r="I1297" s="121">
        <f t="shared" si="315"/>
        <v>2194457</v>
      </c>
      <c r="K1297" s="123">
        <f t="shared" si="323"/>
        <v>3000000</v>
      </c>
      <c r="L1297" s="111">
        <f t="shared" si="324"/>
        <v>51772</v>
      </c>
      <c r="M1297" s="2">
        <f t="shared" si="325"/>
        <v>2250</v>
      </c>
      <c r="N1297" s="112">
        <f t="shared" si="316"/>
        <v>17000000</v>
      </c>
      <c r="O1297" s="2">
        <f t="shared" si="326"/>
        <v>855065</v>
      </c>
      <c r="P1297" s="113">
        <f t="shared" si="327"/>
        <v>9.9999999999999998E-13</v>
      </c>
      <c r="Q1297" s="121">
        <f t="shared" si="317"/>
        <v>2194457</v>
      </c>
    </row>
    <row r="1298" spans="2:17" hidden="1" x14ac:dyDescent="0.4">
      <c r="B1298" s="110">
        <v>45219</v>
      </c>
      <c r="C1298" s="122">
        <f t="shared" si="318"/>
        <v>3000000</v>
      </c>
      <c r="D1298" s="111">
        <f t="shared" si="319"/>
        <v>51772</v>
      </c>
      <c r="E1298" s="2">
        <f t="shared" si="320"/>
        <v>2250</v>
      </c>
      <c r="F1298" s="112">
        <f t="shared" si="314"/>
        <v>17000000</v>
      </c>
      <c r="G1298" s="2">
        <f t="shared" si="321"/>
        <v>855065</v>
      </c>
      <c r="H1298" s="113">
        <f t="shared" si="322"/>
        <v>9.9999999999999998E-13</v>
      </c>
      <c r="I1298" s="121">
        <f t="shared" si="315"/>
        <v>2194457</v>
      </c>
      <c r="K1298" s="123">
        <f t="shared" si="323"/>
        <v>3000000</v>
      </c>
      <c r="L1298" s="111">
        <f t="shared" si="324"/>
        <v>51772</v>
      </c>
      <c r="M1298" s="2">
        <f t="shared" si="325"/>
        <v>2250</v>
      </c>
      <c r="N1298" s="112">
        <f t="shared" si="316"/>
        <v>17000000</v>
      </c>
      <c r="O1298" s="2">
        <f t="shared" si="326"/>
        <v>855065</v>
      </c>
      <c r="P1298" s="113">
        <f t="shared" si="327"/>
        <v>9.9999999999999998E-13</v>
      </c>
      <c r="Q1298" s="121">
        <f t="shared" si="317"/>
        <v>2194457</v>
      </c>
    </row>
    <row r="1299" spans="2:17" hidden="1" x14ac:dyDescent="0.4">
      <c r="B1299" s="110">
        <v>45220</v>
      </c>
      <c r="C1299" s="122">
        <f t="shared" si="318"/>
        <v>3000000</v>
      </c>
      <c r="D1299" s="111">
        <f t="shared" si="319"/>
        <v>51772</v>
      </c>
      <c r="E1299" s="2">
        <f t="shared" si="320"/>
        <v>2250</v>
      </c>
      <c r="F1299" s="112">
        <f t="shared" si="314"/>
        <v>17000000</v>
      </c>
      <c r="G1299" s="2">
        <f t="shared" si="321"/>
        <v>855065</v>
      </c>
      <c r="H1299" s="113">
        <f t="shared" si="322"/>
        <v>9.9999999999999998E-13</v>
      </c>
      <c r="I1299" s="121">
        <f t="shared" si="315"/>
        <v>2194457</v>
      </c>
      <c r="K1299" s="123">
        <f t="shared" si="323"/>
        <v>3000000</v>
      </c>
      <c r="L1299" s="111">
        <f t="shared" si="324"/>
        <v>51772</v>
      </c>
      <c r="M1299" s="2">
        <f t="shared" si="325"/>
        <v>2250</v>
      </c>
      <c r="N1299" s="112">
        <f t="shared" si="316"/>
        <v>17000000</v>
      </c>
      <c r="O1299" s="2">
        <f t="shared" si="326"/>
        <v>855065</v>
      </c>
      <c r="P1299" s="113">
        <f t="shared" si="327"/>
        <v>9.9999999999999998E-13</v>
      </c>
      <c r="Q1299" s="121">
        <f t="shared" si="317"/>
        <v>2194457</v>
      </c>
    </row>
    <row r="1300" spans="2:17" hidden="1" x14ac:dyDescent="0.4">
      <c r="B1300" s="110">
        <v>45221</v>
      </c>
      <c r="C1300" s="122">
        <f t="shared" si="318"/>
        <v>3000000</v>
      </c>
      <c r="D1300" s="111">
        <f t="shared" si="319"/>
        <v>51772</v>
      </c>
      <c r="E1300" s="2">
        <f t="shared" si="320"/>
        <v>2250</v>
      </c>
      <c r="F1300" s="112">
        <f t="shared" si="314"/>
        <v>17000000</v>
      </c>
      <c r="G1300" s="2">
        <f t="shared" si="321"/>
        <v>855065</v>
      </c>
      <c r="H1300" s="113">
        <f t="shared" si="322"/>
        <v>9.9999999999999998E-13</v>
      </c>
      <c r="I1300" s="121">
        <f t="shared" si="315"/>
        <v>2194457</v>
      </c>
      <c r="K1300" s="123">
        <f t="shared" si="323"/>
        <v>3000000</v>
      </c>
      <c r="L1300" s="111">
        <f t="shared" si="324"/>
        <v>51772</v>
      </c>
      <c r="M1300" s="2">
        <f t="shared" si="325"/>
        <v>2250</v>
      </c>
      <c r="N1300" s="112">
        <f t="shared" si="316"/>
        <v>17000000</v>
      </c>
      <c r="O1300" s="2">
        <f t="shared" si="326"/>
        <v>855065</v>
      </c>
      <c r="P1300" s="113">
        <f t="shared" si="327"/>
        <v>9.9999999999999998E-13</v>
      </c>
      <c r="Q1300" s="121">
        <f t="shared" si="317"/>
        <v>2194457</v>
      </c>
    </row>
    <row r="1301" spans="2:17" hidden="1" x14ac:dyDescent="0.4">
      <c r="B1301" s="110">
        <v>45222</v>
      </c>
      <c r="C1301" s="122">
        <f t="shared" si="318"/>
        <v>3000000</v>
      </c>
      <c r="D1301" s="111">
        <f t="shared" si="319"/>
        <v>51772</v>
      </c>
      <c r="E1301" s="2">
        <f t="shared" si="320"/>
        <v>2250</v>
      </c>
      <c r="F1301" s="112">
        <f t="shared" si="314"/>
        <v>17000000</v>
      </c>
      <c r="G1301" s="2">
        <f t="shared" si="321"/>
        <v>855065</v>
      </c>
      <c r="H1301" s="113">
        <f t="shared" si="322"/>
        <v>9.9999999999999998E-13</v>
      </c>
      <c r="I1301" s="121">
        <f t="shared" si="315"/>
        <v>2194457</v>
      </c>
      <c r="K1301" s="123">
        <f t="shared" si="323"/>
        <v>3000000</v>
      </c>
      <c r="L1301" s="111">
        <f t="shared" si="324"/>
        <v>51772</v>
      </c>
      <c r="M1301" s="2">
        <f t="shared" si="325"/>
        <v>2250</v>
      </c>
      <c r="N1301" s="112">
        <f t="shared" si="316"/>
        <v>17000000</v>
      </c>
      <c r="O1301" s="2">
        <f t="shared" si="326"/>
        <v>855065</v>
      </c>
      <c r="P1301" s="113">
        <f t="shared" si="327"/>
        <v>9.9999999999999998E-13</v>
      </c>
      <c r="Q1301" s="121">
        <f t="shared" si="317"/>
        <v>2194457</v>
      </c>
    </row>
    <row r="1302" spans="2:17" hidden="1" x14ac:dyDescent="0.4">
      <c r="B1302" s="110">
        <v>45223</v>
      </c>
      <c r="C1302" s="122">
        <f t="shared" si="318"/>
        <v>3000000</v>
      </c>
      <c r="D1302" s="111">
        <f t="shared" si="319"/>
        <v>51772</v>
      </c>
      <c r="E1302" s="2">
        <f t="shared" si="320"/>
        <v>2250</v>
      </c>
      <c r="F1302" s="112">
        <f t="shared" si="314"/>
        <v>17000000</v>
      </c>
      <c r="G1302" s="2">
        <f t="shared" si="321"/>
        <v>855065</v>
      </c>
      <c r="H1302" s="113">
        <f t="shared" si="322"/>
        <v>9.9999999999999998E-13</v>
      </c>
      <c r="I1302" s="121">
        <f t="shared" si="315"/>
        <v>2194457</v>
      </c>
      <c r="K1302" s="123">
        <f t="shared" si="323"/>
        <v>3000000</v>
      </c>
      <c r="L1302" s="111">
        <f t="shared" si="324"/>
        <v>51772</v>
      </c>
      <c r="M1302" s="2">
        <f t="shared" si="325"/>
        <v>2250</v>
      </c>
      <c r="N1302" s="112">
        <f t="shared" si="316"/>
        <v>17000000</v>
      </c>
      <c r="O1302" s="2">
        <f t="shared" si="326"/>
        <v>855065</v>
      </c>
      <c r="P1302" s="113">
        <f t="shared" si="327"/>
        <v>9.9999999999999998E-13</v>
      </c>
      <c r="Q1302" s="121">
        <f t="shared" si="317"/>
        <v>2194457</v>
      </c>
    </row>
    <row r="1303" spans="2:17" hidden="1" x14ac:dyDescent="0.4">
      <c r="B1303" s="110">
        <v>45224</v>
      </c>
      <c r="C1303" s="122">
        <f t="shared" si="318"/>
        <v>3000000</v>
      </c>
      <c r="D1303" s="111">
        <f t="shared" si="319"/>
        <v>51772</v>
      </c>
      <c r="E1303" s="2">
        <f t="shared" si="320"/>
        <v>2250</v>
      </c>
      <c r="F1303" s="112">
        <f t="shared" si="314"/>
        <v>17000000</v>
      </c>
      <c r="G1303" s="2">
        <f t="shared" si="321"/>
        <v>855065</v>
      </c>
      <c r="H1303" s="113">
        <f t="shared" si="322"/>
        <v>9.9999999999999998E-13</v>
      </c>
      <c r="I1303" s="121">
        <f t="shared" si="315"/>
        <v>2194457</v>
      </c>
      <c r="K1303" s="123">
        <f t="shared" si="323"/>
        <v>3000000</v>
      </c>
      <c r="L1303" s="111">
        <f t="shared" si="324"/>
        <v>51772</v>
      </c>
      <c r="M1303" s="2">
        <f t="shared" si="325"/>
        <v>2250</v>
      </c>
      <c r="N1303" s="112">
        <f t="shared" si="316"/>
        <v>17000000</v>
      </c>
      <c r="O1303" s="2">
        <f t="shared" si="326"/>
        <v>855065</v>
      </c>
      <c r="P1303" s="113">
        <f t="shared" si="327"/>
        <v>9.9999999999999998E-13</v>
      </c>
      <c r="Q1303" s="121">
        <f t="shared" si="317"/>
        <v>2194457</v>
      </c>
    </row>
    <row r="1304" spans="2:17" hidden="1" x14ac:dyDescent="0.4">
      <c r="B1304" s="110">
        <v>45225</v>
      </c>
      <c r="C1304" s="122">
        <f t="shared" si="318"/>
        <v>3000000</v>
      </c>
      <c r="D1304" s="111">
        <f t="shared" si="319"/>
        <v>51772</v>
      </c>
      <c r="E1304" s="2">
        <f t="shared" si="320"/>
        <v>2250</v>
      </c>
      <c r="F1304" s="112">
        <f t="shared" si="314"/>
        <v>17000000</v>
      </c>
      <c r="G1304" s="2">
        <f t="shared" si="321"/>
        <v>855065</v>
      </c>
      <c r="H1304" s="113">
        <f t="shared" si="322"/>
        <v>9.9999999999999998E-13</v>
      </c>
      <c r="I1304" s="121">
        <f t="shared" si="315"/>
        <v>2194457</v>
      </c>
      <c r="K1304" s="123">
        <f t="shared" si="323"/>
        <v>3000000</v>
      </c>
      <c r="L1304" s="111">
        <f t="shared" si="324"/>
        <v>51772</v>
      </c>
      <c r="M1304" s="2">
        <f t="shared" si="325"/>
        <v>2250</v>
      </c>
      <c r="N1304" s="112">
        <f t="shared" si="316"/>
        <v>17000000</v>
      </c>
      <c r="O1304" s="2">
        <f t="shared" si="326"/>
        <v>855065</v>
      </c>
      <c r="P1304" s="113">
        <f t="shared" si="327"/>
        <v>9.9999999999999998E-13</v>
      </c>
      <c r="Q1304" s="121">
        <f t="shared" si="317"/>
        <v>2194457</v>
      </c>
    </row>
    <row r="1305" spans="2:17" hidden="1" x14ac:dyDescent="0.4">
      <c r="B1305" s="110">
        <v>45226</v>
      </c>
      <c r="C1305" s="122">
        <f t="shared" si="318"/>
        <v>3000000</v>
      </c>
      <c r="D1305" s="111">
        <f t="shared" si="319"/>
        <v>51772</v>
      </c>
      <c r="E1305" s="2">
        <f t="shared" si="320"/>
        <v>2250</v>
      </c>
      <c r="F1305" s="112">
        <f t="shared" si="314"/>
        <v>17000000</v>
      </c>
      <c r="G1305" s="2">
        <f t="shared" si="321"/>
        <v>855065</v>
      </c>
      <c r="H1305" s="113">
        <f t="shared" si="322"/>
        <v>9.9999999999999998E-13</v>
      </c>
      <c r="I1305" s="121">
        <f t="shared" si="315"/>
        <v>2194457</v>
      </c>
      <c r="K1305" s="123">
        <f t="shared" si="323"/>
        <v>3000000</v>
      </c>
      <c r="L1305" s="111">
        <f t="shared" si="324"/>
        <v>51772</v>
      </c>
      <c r="M1305" s="2">
        <f t="shared" si="325"/>
        <v>2250</v>
      </c>
      <c r="N1305" s="112">
        <f t="shared" si="316"/>
        <v>17000000</v>
      </c>
      <c r="O1305" s="2">
        <f t="shared" si="326"/>
        <v>855065</v>
      </c>
      <c r="P1305" s="113">
        <f t="shared" si="327"/>
        <v>9.9999999999999998E-13</v>
      </c>
      <c r="Q1305" s="121">
        <f t="shared" si="317"/>
        <v>2194457</v>
      </c>
    </row>
    <row r="1306" spans="2:17" hidden="1" x14ac:dyDescent="0.4">
      <c r="B1306" s="110">
        <v>45227</v>
      </c>
      <c r="C1306" s="122">
        <f t="shared" si="318"/>
        <v>3000000</v>
      </c>
      <c r="D1306" s="111">
        <f t="shared" si="319"/>
        <v>51772</v>
      </c>
      <c r="E1306" s="2">
        <f t="shared" si="320"/>
        <v>2250</v>
      </c>
      <c r="F1306" s="112">
        <f t="shared" si="314"/>
        <v>17000000</v>
      </c>
      <c r="G1306" s="2">
        <f t="shared" si="321"/>
        <v>855065</v>
      </c>
      <c r="H1306" s="113">
        <f t="shared" si="322"/>
        <v>9.9999999999999998E-13</v>
      </c>
      <c r="I1306" s="121">
        <f t="shared" si="315"/>
        <v>2194457</v>
      </c>
      <c r="K1306" s="123">
        <f t="shared" si="323"/>
        <v>3000000</v>
      </c>
      <c r="L1306" s="111">
        <f t="shared" si="324"/>
        <v>51772</v>
      </c>
      <c r="M1306" s="2">
        <f t="shared" si="325"/>
        <v>2250</v>
      </c>
      <c r="N1306" s="112">
        <f t="shared" si="316"/>
        <v>17000000</v>
      </c>
      <c r="O1306" s="2">
        <f t="shared" si="326"/>
        <v>855065</v>
      </c>
      <c r="P1306" s="113">
        <f t="shared" si="327"/>
        <v>9.9999999999999998E-13</v>
      </c>
      <c r="Q1306" s="121">
        <f t="shared" si="317"/>
        <v>2194457</v>
      </c>
    </row>
    <row r="1307" spans="2:17" hidden="1" x14ac:dyDescent="0.4">
      <c r="B1307" s="110">
        <v>45228</v>
      </c>
      <c r="C1307" s="122">
        <f t="shared" si="318"/>
        <v>3000000</v>
      </c>
      <c r="D1307" s="111">
        <f t="shared" si="319"/>
        <v>51772</v>
      </c>
      <c r="E1307" s="2">
        <f t="shared" si="320"/>
        <v>2250</v>
      </c>
      <c r="F1307" s="112">
        <f t="shared" si="314"/>
        <v>17000000</v>
      </c>
      <c r="G1307" s="2">
        <f t="shared" si="321"/>
        <v>855065</v>
      </c>
      <c r="H1307" s="113">
        <f t="shared" si="322"/>
        <v>9.9999999999999998E-13</v>
      </c>
      <c r="I1307" s="121">
        <f t="shared" si="315"/>
        <v>2194457</v>
      </c>
      <c r="K1307" s="123">
        <f t="shared" si="323"/>
        <v>3000000</v>
      </c>
      <c r="L1307" s="111">
        <f t="shared" si="324"/>
        <v>51772</v>
      </c>
      <c r="M1307" s="2">
        <f t="shared" si="325"/>
        <v>2250</v>
      </c>
      <c r="N1307" s="112">
        <f t="shared" si="316"/>
        <v>17000000</v>
      </c>
      <c r="O1307" s="2">
        <f t="shared" si="326"/>
        <v>855065</v>
      </c>
      <c r="P1307" s="113">
        <f t="shared" si="327"/>
        <v>9.9999999999999998E-13</v>
      </c>
      <c r="Q1307" s="121">
        <f t="shared" si="317"/>
        <v>2194457</v>
      </c>
    </row>
    <row r="1308" spans="2:17" hidden="1" x14ac:dyDescent="0.4">
      <c r="B1308" s="110">
        <v>45229</v>
      </c>
      <c r="C1308" s="122">
        <f t="shared" si="318"/>
        <v>3000000</v>
      </c>
      <c r="D1308" s="111">
        <f t="shared" si="319"/>
        <v>51772</v>
      </c>
      <c r="E1308" s="2">
        <f t="shared" si="320"/>
        <v>2250</v>
      </c>
      <c r="F1308" s="112">
        <f t="shared" si="314"/>
        <v>17000000</v>
      </c>
      <c r="G1308" s="2">
        <f t="shared" si="321"/>
        <v>855065</v>
      </c>
      <c r="H1308" s="113">
        <f t="shared" si="322"/>
        <v>9.9999999999999998E-13</v>
      </c>
      <c r="I1308" s="121">
        <f t="shared" si="315"/>
        <v>2194457</v>
      </c>
      <c r="K1308" s="123">
        <f t="shared" si="323"/>
        <v>3000000</v>
      </c>
      <c r="L1308" s="111">
        <f t="shared" si="324"/>
        <v>51772</v>
      </c>
      <c r="M1308" s="2">
        <f t="shared" si="325"/>
        <v>2250</v>
      </c>
      <c r="N1308" s="112">
        <f t="shared" si="316"/>
        <v>17000000</v>
      </c>
      <c r="O1308" s="2">
        <f t="shared" si="326"/>
        <v>855065</v>
      </c>
      <c r="P1308" s="113">
        <f t="shared" si="327"/>
        <v>9.9999999999999998E-13</v>
      </c>
      <c r="Q1308" s="121">
        <f t="shared" si="317"/>
        <v>2194457</v>
      </c>
    </row>
    <row r="1309" spans="2:17" hidden="1" x14ac:dyDescent="0.4">
      <c r="B1309" s="110">
        <v>45230</v>
      </c>
      <c r="C1309" s="122">
        <f t="shared" si="318"/>
        <v>3000000</v>
      </c>
      <c r="D1309" s="111">
        <f t="shared" si="319"/>
        <v>51772</v>
      </c>
      <c r="E1309" s="2">
        <f t="shared" si="320"/>
        <v>2250</v>
      </c>
      <c r="F1309" s="112">
        <f t="shared" si="314"/>
        <v>17000000</v>
      </c>
      <c r="G1309" s="2">
        <f t="shared" si="321"/>
        <v>855065</v>
      </c>
      <c r="H1309" s="113">
        <f t="shared" si="322"/>
        <v>9.9999999999999998E-13</v>
      </c>
      <c r="I1309" s="121">
        <f t="shared" si="315"/>
        <v>2194457</v>
      </c>
      <c r="K1309" s="123">
        <f t="shared" si="323"/>
        <v>3000000</v>
      </c>
      <c r="L1309" s="111">
        <f t="shared" si="324"/>
        <v>51772</v>
      </c>
      <c r="M1309" s="2">
        <f t="shared" si="325"/>
        <v>2250</v>
      </c>
      <c r="N1309" s="112">
        <f t="shared" si="316"/>
        <v>17000000</v>
      </c>
      <c r="O1309" s="2">
        <f t="shared" si="326"/>
        <v>855065</v>
      </c>
      <c r="P1309" s="113">
        <f t="shared" si="327"/>
        <v>9.9999999999999998E-13</v>
      </c>
      <c r="Q1309" s="121">
        <f t="shared" si="317"/>
        <v>2194457</v>
      </c>
    </row>
    <row r="1310" spans="2:17" x14ac:dyDescent="0.4">
      <c r="B1310" s="110">
        <v>45231</v>
      </c>
      <c r="C1310" s="122">
        <f t="shared" si="318"/>
        <v>3000000</v>
      </c>
      <c r="D1310" s="111">
        <f t="shared" si="319"/>
        <v>51772</v>
      </c>
      <c r="E1310" s="2">
        <f t="shared" si="320"/>
        <v>2250</v>
      </c>
      <c r="F1310" s="112">
        <f t="shared" si="314"/>
        <v>17000000</v>
      </c>
      <c r="G1310" s="2">
        <f t="shared" si="321"/>
        <v>855065</v>
      </c>
      <c r="H1310" s="113">
        <f t="shared" si="322"/>
        <v>9.9999999999999998E-13</v>
      </c>
      <c r="I1310" s="121">
        <f t="shared" si="315"/>
        <v>2194457</v>
      </c>
      <c r="K1310" s="123">
        <f t="shared" si="323"/>
        <v>3000000</v>
      </c>
      <c r="L1310" s="111">
        <f t="shared" si="324"/>
        <v>51772</v>
      </c>
      <c r="M1310" s="2">
        <f t="shared" si="325"/>
        <v>2250</v>
      </c>
      <c r="N1310" s="112">
        <f t="shared" si="316"/>
        <v>17000000</v>
      </c>
      <c r="O1310" s="2">
        <f t="shared" si="326"/>
        <v>855065</v>
      </c>
      <c r="P1310" s="113">
        <f t="shared" si="327"/>
        <v>9.9999999999999998E-13</v>
      </c>
      <c r="Q1310" s="121">
        <f t="shared" si="317"/>
        <v>2194457</v>
      </c>
    </row>
    <row r="1311" spans="2:17" hidden="1" x14ac:dyDescent="0.4">
      <c r="B1311" s="110">
        <v>45232</v>
      </c>
      <c r="C1311" s="122">
        <f t="shared" si="318"/>
        <v>3000000</v>
      </c>
      <c r="D1311" s="111">
        <f t="shared" si="319"/>
        <v>51772</v>
      </c>
      <c r="E1311" s="2">
        <f t="shared" si="320"/>
        <v>2250</v>
      </c>
      <c r="F1311" s="112">
        <f t="shared" si="314"/>
        <v>17000000</v>
      </c>
      <c r="G1311" s="2">
        <f t="shared" si="321"/>
        <v>855065</v>
      </c>
      <c r="H1311" s="113">
        <f t="shared" si="322"/>
        <v>9.9999999999999998E-13</v>
      </c>
      <c r="I1311" s="121">
        <f t="shared" si="315"/>
        <v>2194457</v>
      </c>
      <c r="K1311" s="123">
        <f t="shared" si="323"/>
        <v>3000000</v>
      </c>
      <c r="L1311" s="111">
        <f t="shared" si="324"/>
        <v>51772</v>
      </c>
      <c r="M1311" s="2">
        <f t="shared" si="325"/>
        <v>2250</v>
      </c>
      <c r="N1311" s="112">
        <f t="shared" si="316"/>
        <v>17000000</v>
      </c>
      <c r="O1311" s="2">
        <f t="shared" si="326"/>
        <v>855065</v>
      </c>
      <c r="P1311" s="113">
        <f t="shared" si="327"/>
        <v>9.9999999999999998E-13</v>
      </c>
      <c r="Q1311" s="121">
        <f t="shared" si="317"/>
        <v>2194457</v>
      </c>
    </row>
    <row r="1312" spans="2:17" hidden="1" x14ac:dyDescent="0.4">
      <c r="B1312" s="110">
        <v>45233</v>
      </c>
      <c r="C1312" s="122">
        <f t="shared" si="318"/>
        <v>3000000</v>
      </c>
      <c r="D1312" s="111">
        <f t="shared" si="319"/>
        <v>51772</v>
      </c>
      <c r="E1312" s="2">
        <f t="shared" si="320"/>
        <v>2250</v>
      </c>
      <c r="F1312" s="112">
        <f t="shared" si="314"/>
        <v>17000000</v>
      </c>
      <c r="G1312" s="2">
        <f t="shared" si="321"/>
        <v>855065</v>
      </c>
      <c r="H1312" s="113">
        <f t="shared" si="322"/>
        <v>9.9999999999999998E-13</v>
      </c>
      <c r="I1312" s="121">
        <f t="shared" si="315"/>
        <v>2194457</v>
      </c>
      <c r="K1312" s="123">
        <f t="shared" si="323"/>
        <v>3000000</v>
      </c>
      <c r="L1312" s="111">
        <f t="shared" si="324"/>
        <v>51772</v>
      </c>
      <c r="M1312" s="2">
        <f t="shared" si="325"/>
        <v>2250</v>
      </c>
      <c r="N1312" s="112">
        <f t="shared" si="316"/>
        <v>17000000</v>
      </c>
      <c r="O1312" s="2">
        <f t="shared" si="326"/>
        <v>855065</v>
      </c>
      <c r="P1312" s="113">
        <f t="shared" si="327"/>
        <v>9.9999999999999998E-13</v>
      </c>
      <c r="Q1312" s="121">
        <f t="shared" si="317"/>
        <v>2194457</v>
      </c>
    </row>
    <row r="1313" spans="2:17" hidden="1" x14ac:dyDescent="0.4">
      <c r="B1313" s="110">
        <v>45234</v>
      </c>
      <c r="C1313" s="122">
        <f t="shared" si="318"/>
        <v>3000000</v>
      </c>
      <c r="D1313" s="111">
        <f t="shared" si="319"/>
        <v>51772</v>
      </c>
      <c r="E1313" s="2">
        <f t="shared" si="320"/>
        <v>2250</v>
      </c>
      <c r="F1313" s="112">
        <f t="shared" si="314"/>
        <v>17000000</v>
      </c>
      <c r="G1313" s="2">
        <f t="shared" si="321"/>
        <v>855065</v>
      </c>
      <c r="H1313" s="113">
        <f t="shared" si="322"/>
        <v>9.9999999999999998E-13</v>
      </c>
      <c r="I1313" s="121">
        <f t="shared" si="315"/>
        <v>2194457</v>
      </c>
      <c r="K1313" s="123">
        <f t="shared" si="323"/>
        <v>3000000</v>
      </c>
      <c r="L1313" s="111">
        <f t="shared" si="324"/>
        <v>51772</v>
      </c>
      <c r="M1313" s="2">
        <f t="shared" si="325"/>
        <v>2250</v>
      </c>
      <c r="N1313" s="112">
        <f t="shared" si="316"/>
        <v>17000000</v>
      </c>
      <c r="O1313" s="2">
        <f t="shared" si="326"/>
        <v>855065</v>
      </c>
      <c r="P1313" s="113">
        <f t="shared" si="327"/>
        <v>9.9999999999999998E-13</v>
      </c>
      <c r="Q1313" s="121">
        <f t="shared" si="317"/>
        <v>2194457</v>
      </c>
    </row>
    <row r="1314" spans="2:17" hidden="1" x14ac:dyDescent="0.4">
      <c r="B1314" s="110">
        <v>45235</v>
      </c>
      <c r="C1314" s="122">
        <f t="shared" si="318"/>
        <v>3000000</v>
      </c>
      <c r="D1314" s="111">
        <f t="shared" si="319"/>
        <v>51772</v>
      </c>
      <c r="E1314" s="2">
        <f t="shared" si="320"/>
        <v>2250</v>
      </c>
      <c r="F1314" s="112">
        <f t="shared" si="314"/>
        <v>17000000</v>
      </c>
      <c r="G1314" s="2">
        <f t="shared" si="321"/>
        <v>855065</v>
      </c>
      <c r="H1314" s="113">
        <f t="shared" si="322"/>
        <v>9.9999999999999998E-13</v>
      </c>
      <c r="I1314" s="121">
        <f t="shared" si="315"/>
        <v>2194457</v>
      </c>
      <c r="K1314" s="123">
        <f t="shared" si="323"/>
        <v>3000000</v>
      </c>
      <c r="L1314" s="111">
        <f t="shared" si="324"/>
        <v>51772</v>
      </c>
      <c r="M1314" s="2">
        <f t="shared" si="325"/>
        <v>2250</v>
      </c>
      <c r="N1314" s="112">
        <f t="shared" si="316"/>
        <v>17000000</v>
      </c>
      <c r="O1314" s="2">
        <f t="shared" si="326"/>
        <v>855065</v>
      </c>
      <c r="P1314" s="113">
        <f t="shared" si="327"/>
        <v>9.9999999999999998E-13</v>
      </c>
      <c r="Q1314" s="121">
        <f t="shared" si="317"/>
        <v>2194457</v>
      </c>
    </row>
    <row r="1315" spans="2:17" hidden="1" x14ac:dyDescent="0.4">
      <c r="B1315" s="110">
        <v>45236</v>
      </c>
      <c r="C1315" s="122">
        <f t="shared" si="318"/>
        <v>3000000</v>
      </c>
      <c r="D1315" s="111">
        <f t="shared" si="319"/>
        <v>51772</v>
      </c>
      <c r="E1315" s="2">
        <f t="shared" si="320"/>
        <v>2250</v>
      </c>
      <c r="F1315" s="112">
        <f t="shared" si="314"/>
        <v>17000000</v>
      </c>
      <c r="G1315" s="2">
        <f t="shared" si="321"/>
        <v>855065</v>
      </c>
      <c r="H1315" s="113">
        <f t="shared" si="322"/>
        <v>9.9999999999999998E-13</v>
      </c>
      <c r="I1315" s="121">
        <f t="shared" si="315"/>
        <v>2194457</v>
      </c>
      <c r="K1315" s="123">
        <f t="shared" si="323"/>
        <v>3000000</v>
      </c>
      <c r="L1315" s="111">
        <f t="shared" si="324"/>
        <v>51772</v>
      </c>
      <c r="M1315" s="2">
        <f t="shared" si="325"/>
        <v>2250</v>
      </c>
      <c r="N1315" s="112">
        <f t="shared" si="316"/>
        <v>17000000</v>
      </c>
      <c r="O1315" s="2">
        <f t="shared" si="326"/>
        <v>855065</v>
      </c>
      <c r="P1315" s="113">
        <f t="shared" si="327"/>
        <v>9.9999999999999998E-13</v>
      </c>
      <c r="Q1315" s="121">
        <f t="shared" si="317"/>
        <v>2194457</v>
      </c>
    </row>
    <row r="1316" spans="2:17" hidden="1" x14ac:dyDescent="0.4">
      <c r="B1316" s="110">
        <v>45237</v>
      </c>
      <c r="C1316" s="122">
        <f t="shared" si="318"/>
        <v>3000000</v>
      </c>
      <c r="D1316" s="111">
        <f t="shared" si="319"/>
        <v>51772</v>
      </c>
      <c r="E1316" s="2">
        <f t="shared" si="320"/>
        <v>2250</v>
      </c>
      <c r="F1316" s="112">
        <f t="shared" si="314"/>
        <v>17000000</v>
      </c>
      <c r="G1316" s="2">
        <f t="shared" si="321"/>
        <v>855065</v>
      </c>
      <c r="H1316" s="113">
        <f t="shared" si="322"/>
        <v>9.9999999999999998E-13</v>
      </c>
      <c r="I1316" s="121">
        <f t="shared" si="315"/>
        <v>2194457</v>
      </c>
      <c r="K1316" s="123">
        <f t="shared" si="323"/>
        <v>3000000</v>
      </c>
      <c r="L1316" s="111">
        <f t="shared" si="324"/>
        <v>51772</v>
      </c>
      <c r="M1316" s="2">
        <f t="shared" si="325"/>
        <v>2250</v>
      </c>
      <c r="N1316" s="112">
        <f t="shared" si="316"/>
        <v>17000000</v>
      </c>
      <c r="O1316" s="2">
        <f t="shared" si="326"/>
        <v>855065</v>
      </c>
      <c r="P1316" s="113">
        <f t="shared" si="327"/>
        <v>9.9999999999999998E-13</v>
      </c>
      <c r="Q1316" s="121">
        <f t="shared" si="317"/>
        <v>2194457</v>
      </c>
    </row>
    <row r="1317" spans="2:17" hidden="1" x14ac:dyDescent="0.4">
      <c r="B1317" s="110">
        <v>45238</v>
      </c>
      <c r="C1317" s="122">
        <f t="shared" si="318"/>
        <v>3000000</v>
      </c>
      <c r="D1317" s="111">
        <f t="shared" si="319"/>
        <v>51772</v>
      </c>
      <c r="E1317" s="2">
        <f t="shared" si="320"/>
        <v>2250</v>
      </c>
      <c r="F1317" s="112">
        <f t="shared" si="314"/>
        <v>17000000</v>
      </c>
      <c r="G1317" s="2">
        <f t="shared" si="321"/>
        <v>855065</v>
      </c>
      <c r="H1317" s="113">
        <f t="shared" si="322"/>
        <v>9.9999999999999998E-13</v>
      </c>
      <c r="I1317" s="121">
        <f t="shared" si="315"/>
        <v>2194457</v>
      </c>
      <c r="K1317" s="123">
        <f t="shared" si="323"/>
        <v>3000000</v>
      </c>
      <c r="L1317" s="111">
        <f t="shared" si="324"/>
        <v>51772</v>
      </c>
      <c r="M1317" s="2">
        <f t="shared" si="325"/>
        <v>2250</v>
      </c>
      <c r="N1317" s="112">
        <f t="shared" si="316"/>
        <v>17000000</v>
      </c>
      <c r="O1317" s="2">
        <f t="shared" si="326"/>
        <v>855065</v>
      </c>
      <c r="P1317" s="113">
        <f t="shared" si="327"/>
        <v>9.9999999999999998E-13</v>
      </c>
      <c r="Q1317" s="121">
        <f t="shared" si="317"/>
        <v>2194457</v>
      </c>
    </row>
    <row r="1318" spans="2:17" hidden="1" x14ac:dyDescent="0.4">
      <c r="B1318" s="110">
        <v>45239</v>
      </c>
      <c r="C1318" s="122">
        <f t="shared" si="318"/>
        <v>3000000</v>
      </c>
      <c r="D1318" s="111">
        <f t="shared" si="319"/>
        <v>51772</v>
      </c>
      <c r="E1318" s="2">
        <f t="shared" si="320"/>
        <v>2250</v>
      </c>
      <c r="F1318" s="112">
        <f t="shared" si="314"/>
        <v>17000000</v>
      </c>
      <c r="G1318" s="2">
        <f t="shared" si="321"/>
        <v>855065</v>
      </c>
      <c r="H1318" s="113">
        <f t="shared" si="322"/>
        <v>9.9999999999999998E-13</v>
      </c>
      <c r="I1318" s="121">
        <f t="shared" si="315"/>
        <v>2194457</v>
      </c>
      <c r="K1318" s="123">
        <f t="shared" si="323"/>
        <v>3000000</v>
      </c>
      <c r="L1318" s="111">
        <f t="shared" si="324"/>
        <v>51772</v>
      </c>
      <c r="M1318" s="2">
        <f t="shared" si="325"/>
        <v>2250</v>
      </c>
      <c r="N1318" s="112">
        <f t="shared" si="316"/>
        <v>17000000</v>
      </c>
      <c r="O1318" s="2">
        <f t="shared" si="326"/>
        <v>855065</v>
      </c>
      <c r="P1318" s="113">
        <f t="shared" si="327"/>
        <v>9.9999999999999998E-13</v>
      </c>
      <c r="Q1318" s="121">
        <f t="shared" si="317"/>
        <v>2194457</v>
      </c>
    </row>
    <row r="1319" spans="2:17" hidden="1" x14ac:dyDescent="0.4">
      <c r="B1319" s="110">
        <v>45240</v>
      </c>
      <c r="C1319" s="122">
        <f t="shared" si="318"/>
        <v>3000000</v>
      </c>
      <c r="D1319" s="111">
        <f t="shared" si="319"/>
        <v>51772</v>
      </c>
      <c r="E1319" s="2">
        <f t="shared" si="320"/>
        <v>2250</v>
      </c>
      <c r="F1319" s="112">
        <f t="shared" si="314"/>
        <v>17000000</v>
      </c>
      <c r="G1319" s="2">
        <f t="shared" si="321"/>
        <v>855065</v>
      </c>
      <c r="H1319" s="113">
        <f t="shared" si="322"/>
        <v>9.9999999999999998E-13</v>
      </c>
      <c r="I1319" s="121">
        <f t="shared" si="315"/>
        <v>2194457</v>
      </c>
      <c r="K1319" s="123">
        <f t="shared" si="323"/>
        <v>3000000</v>
      </c>
      <c r="L1319" s="111">
        <f t="shared" si="324"/>
        <v>51772</v>
      </c>
      <c r="M1319" s="2">
        <f t="shared" si="325"/>
        <v>2250</v>
      </c>
      <c r="N1319" s="112">
        <f t="shared" si="316"/>
        <v>17000000</v>
      </c>
      <c r="O1319" s="2">
        <f t="shared" si="326"/>
        <v>855065</v>
      </c>
      <c r="P1319" s="113">
        <f t="shared" si="327"/>
        <v>9.9999999999999998E-13</v>
      </c>
      <c r="Q1319" s="121">
        <f t="shared" si="317"/>
        <v>2194457</v>
      </c>
    </row>
    <row r="1320" spans="2:17" hidden="1" x14ac:dyDescent="0.4">
      <c r="B1320" s="110">
        <v>45241</v>
      </c>
      <c r="C1320" s="122">
        <f t="shared" si="318"/>
        <v>3000000</v>
      </c>
      <c r="D1320" s="111">
        <f t="shared" si="319"/>
        <v>51772</v>
      </c>
      <c r="E1320" s="2">
        <f t="shared" si="320"/>
        <v>2250</v>
      </c>
      <c r="F1320" s="112">
        <f t="shared" si="314"/>
        <v>17000000</v>
      </c>
      <c r="G1320" s="2">
        <f t="shared" si="321"/>
        <v>855065</v>
      </c>
      <c r="H1320" s="113">
        <f t="shared" si="322"/>
        <v>9.9999999999999998E-13</v>
      </c>
      <c r="I1320" s="121">
        <f t="shared" si="315"/>
        <v>2194457</v>
      </c>
      <c r="K1320" s="123">
        <f t="shared" si="323"/>
        <v>3000000</v>
      </c>
      <c r="L1320" s="111">
        <f t="shared" si="324"/>
        <v>51772</v>
      </c>
      <c r="M1320" s="2">
        <f t="shared" si="325"/>
        <v>2250</v>
      </c>
      <c r="N1320" s="112">
        <f t="shared" si="316"/>
        <v>17000000</v>
      </c>
      <c r="O1320" s="2">
        <f t="shared" si="326"/>
        <v>855065</v>
      </c>
      <c r="P1320" s="113">
        <f t="shared" si="327"/>
        <v>9.9999999999999998E-13</v>
      </c>
      <c r="Q1320" s="121">
        <f t="shared" si="317"/>
        <v>2194457</v>
      </c>
    </row>
    <row r="1321" spans="2:17" hidden="1" x14ac:dyDescent="0.4">
      <c r="B1321" s="110">
        <v>45242</v>
      </c>
      <c r="C1321" s="122">
        <f t="shared" si="318"/>
        <v>3000000</v>
      </c>
      <c r="D1321" s="111">
        <f t="shared" si="319"/>
        <v>51772</v>
      </c>
      <c r="E1321" s="2">
        <f t="shared" si="320"/>
        <v>2250</v>
      </c>
      <c r="F1321" s="112">
        <f t="shared" si="314"/>
        <v>17000000</v>
      </c>
      <c r="G1321" s="2">
        <f t="shared" si="321"/>
        <v>855065</v>
      </c>
      <c r="H1321" s="113">
        <f t="shared" si="322"/>
        <v>9.9999999999999998E-13</v>
      </c>
      <c r="I1321" s="121">
        <f t="shared" si="315"/>
        <v>2194457</v>
      </c>
      <c r="K1321" s="123">
        <f t="shared" si="323"/>
        <v>3000000</v>
      </c>
      <c r="L1321" s="111">
        <f t="shared" si="324"/>
        <v>51772</v>
      </c>
      <c r="M1321" s="2">
        <f t="shared" si="325"/>
        <v>2250</v>
      </c>
      <c r="N1321" s="112">
        <f t="shared" si="316"/>
        <v>17000000</v>
      </c>
      <c r="O1321" s="2">
        <f t="shared" si="326"/>
        <v>855065</v>
      </c>
      <c r="P1321" s="113">
        <f t="shared" si="327"/>
        <v>9.9999999999999998E-13</v>
      </c>
      <c r="Q1321" s="121">
        <f t="shared" si="317"/>
        <v>2194457</v>
      </c>
    </row>
    <row r="1322" spans="2:17" hidden="1" x14ac:dyDescent="0.4">
      <c r="B1322" s="110">
        <v>45243</v>
      </c>
      <c r="C1322" s="122">
        <f t="shared" si="318"/>
        <v>3000000</v>
      </c>
      <c r="D1322" s="111">
        <f t="shared" si="319"/>
        <v>51772</v>
      </c>
      <c r="E1322" s="2">
        <f t="shared" si="320"/>
        <v>2250</v>
      </c>
      <c r="F1322" s="112">
        <f t="shared" si="314"/>
        <v>17000000</v>
      </c>
      <c r="G1322" s="2">
        <f t="shared" si="321"/>
        <v>855065</v>
      </c>
      <c r="H1322" s="113">
        <f t="shared" si="322"/>
        <v>9.9999999999999998E-13</v>
      </c>
      <c r="I1322" s="121">
        <f t="shared" si="315"/>
        <v>2194457</v>
      </c>
      <c r="K1322" s="123">
        <f t="shared" si="323"/>
        <v>3000000</v>
      </c>
      <c r="L1322" s="111">
        <f t="shared" si="324"/>
        <v>51772</v>
      </c>
      <c r="M1322" s="2">
        <f t="shared" si="325"/>
        <v>2250</v>
      </c>
      <c r="N1322" s="112">
        <f t="shared" si="316"/>
        <v>17000000</v>
      </c>
      <c r="O1322" s="2">
        <f t="shared" si="326"/>
        <v>855065</v>
      </c>
      <c r="P1322" s="113">
        <f t="shared" si="327"/>
        <v>9.9999999999999998E-13</v>
      </c>
      <c r="Q1322" s="121">
        <f t="shared" si="317"/>
        <v>2194457</v>
      </c>
    </row>
    <row r="1323" spans="2:17" hidden="1" x14ac:dyDescent="0.4">
      <c r="B1323" s="110">
        <v>45244</v>
      </c>
      <c r="C1323" s="122">
        <f t="shared" si="318"/>
        <v>3000000</v>
      </c>
      <c r="D1323" s="111">
        <f t="shared" si="319"/>
        <v>51772</v>
      </c>
      <c r="E1323" s="2">
        <f t="shared" si="320"/>
        <v>2250</v>
      </c>
      <c r="F1323" s="112">
        <f t="shared" si="314"/>
        <v>17000000</v>
      </c>
      <c r="G1323" s="2">
        <f t="shared" si="321"/>
        <v>855065</v>
      </c>
      <c r="H1323" s="113">
        <f t="shared" si="322"/>
        <v>9.9999999999999998E-13</v>
      </c>
      <c r="I1323" s="121">
        <f t="shared" si="315"/>
        <v>2194457</v>
      </c>
      <c r="K1323" s="123">
        <f t="shared" si="323"/>
        <v>3000000</v>
      </c>
      <c r="L1323" s="111">
        <f t="shared" si="324"/>
        <v>51772</v>
      </c>
      <c r="M1323" s="2">
        <f t="shared" si="325"/>
        <v>2250</v>
      </c>
      <c r="N1323" s="112">
        <f t="shared" si="316"/>
        <v>17000000</v>
      </c>
      <c r="O1323" s="2">
        <f t="shared" si="326"/>
        <v>855065</v>
      </c>
      <c r="P1323" s="113">
        <f t="shared" si="327"/>
        <v>9.9999999999999998E-13</v>
      </c>
      <c r="Q1323" s="121">
        <f t="shared" si="317"/>
        <v>2194457</v>
      </c>
    </row>
    <row r="1324" spans="2:17" hidden="1" x14ac:dyDescent="0.4">
      <c r="B1324" s="110">
        <v>45245</v>
      </c>
      <c r="C1324" s="122">
        <f t="shared" si="318"/>
        <v>3000000</v>
      </c>
      <c r="D1324" s="111">
        <f t="shared" si="319"/>
        <v>51772</v>
      </c>
      <c r="E1324" s="2">
        <f t="shared" si="320"/>
        <v>2250</v>
      </c>
      <c r="F1324" s="112">
        <f t="shared" si="314"/>
        <v>17000000</v>
      </c>
      <c r="G1324" s="2">
        <f t="shared" si="321"/>
        <v>855065</v>
      </c>
      <c r="H1324" s="113">
        <f t="shared" si="322"/>
        <v>9.9999999999999998E-13</v>
      </c>
      <c r="I1324" s="121">
        <f t="shared" si="315"/>
        <v>2194457</v>
      </c>
      <c r="K1324" s="123">
        <f t="shared" si="323"/>
        <v>3000000</v>
      </c>
      <c r="L1324" s="111">
        <f t="shared" si="324"/>
        <v>51772</v>
      </c>
      <c r="M1324" s="2">
        <f t="shared" si="325"/>
        <v>2250</v>
      </c>
      <c r="N1324" s="112">
        <f t="shared" si="316"/>
        <v>17000000</v>
      </c>
      <c r="O1324" s="2">
        <f t="shared" si="326"/>
        <v>855065</v>
      </c>
      <c r="P1324" s="113">
        <f t="shared" si="327"/>
        <v>9.9999999999999998E-13</v>
      </c>
      <c r="Q1324" s="121">
        <f t="shared" si="317"/>
        <v>2194457</v>
      </c>
    </row>
    <row r="1325" spans="2:17" hidden="1" x14ac:dyDescent="0.4">
      <c r="B1325" s="110">
        <v>45246</v>
      </c>
      <c r="C1325" s="122">
        <f t="shared" si="318"/>
        <v>3000000</v>
      </c>
      <c r="D1325" s="111">
        <f t="shared" si="319"/>
        <v>51772</v>
      </c>
      <c r="E1325" s="2">
        <f t="shared" si="320"/>
        <v>2250</v>
      </c>
      <c r="F1325" s="112">
        <f t="shared" si="314"/>
        <v>17000000</v>
      </c>
      <c r="G1325" s="2">
        <f t="shared" si="321"/>
        <v>855065</v>
      </c>
      <c r="H1325" s="113">
        <f t="shared" si="322"/>
        <v>9.9999999999999998E-13</v>
      </c>
      <c r="I1325" s="121">
        <f t="shared" si="315"/>
        <v>2194457</v>
      </c>
      <c r="K1325" s="123">
        <f t="shared" si="323"/>
        <v>3000000</v>
      </c>
      <c r="L1325" s="111">
        <f t="shared" si="324"/>
        <v>51772</v>
      </c>
      <c r="M1325" s="2">
        <f t="shared" si="325"/>
        <v>2250</v>
      </c>
      <c r="N1325" s="112">
        <f t="shared" si="316"/>
        <v>17000000</v>
      </c>
      <c r="O1325" s="2">
        <f t="shared" si="326"/>
        <v>855065</v>
      </c>
      <c r="P1325" s="113">
        <f t="shared" si="327"/>
        <v>9.9999999999999998E-13</v>
      </c>
      <c r="Q1325" s="121">
        <f t="shared" si="317"/>
        <v>2194457</v>
      </c>
    </row>
    <row r="1326" spans="2:17" hidden="1" x14ac:dyDescent="0.4">
      <c r="B1326" s="110">
        <v>45247</v>
      </c>
      <c r="C1326" s="122">
        <f t="shared" si="318"/>
        <v>3000000</v>
      </c>
      <c r="D1326" s="111">
        <f t="shared" si="319"/>
        <v>51772</v>
      </c>
      <c r="E1326" s="2">
        <f t="shared" si="320"/>
        <v>2250</v>
      </c>
      <c r="F1326" s="112">
        <f t="shared" si="314"/>
        <v>17000000</v>
      </c>
      <c r="G1326" s="2">
        <f t="shared" si="321"/>
        <v>855065</v>
      </c>
      <c r="H1326" s="113">
        <f t="shared" si="322"/>
        <v>9.9999999999999998E-13</v>
      </c>
      <c r="I1326" s="121">
        <f t="shared" si="315"/>
        <v>2194457</v>
      </c>
      <c r="K1326" s="123">
        <f t="shared" si="323"/>
        <v>3000000</v>
      </c>
      <c r="L1326" s="111">
        <f t="shared" si="324"/>
        <v>51772</v>
      </c>
      <c r="M1326" s="2">
        <f t="shared" si="325"/>
        <v>2250</v>
      </c>
      <c r="N1326" s="112">
        <f t="shared" si="316"/>
        <v>17000000</v>
      </c>
      <c r="O1326" s="2">
        <f t="shared" si="326"/>
        <v>855065</v>
      </c>
      <c r="P1326" s="113">
        <f t="shared" si="327"/>
        <v>9.9999999999999998E-13</v>
      </c>
      <c r="Q1326" s="121">
        <f t="shared" si="317"/>
        <v>2194457</v>
      </c>
    </row>
    <row r="1327" spans="2:17" hidden="1" x14ac:dyDescent="0.4">
      <c r="B1327" s="110">
        <v>45248</v>
      </c>
      <c r="C1327" s="122">
        <f t="shared" si="318"/>
        <v>3000000</v>
      </c>
      <c r="D1327" s="111">
        <f t="shared" si="319"/>
        <v>51772</v>
      </c>
      <c r="E1327" s="2">
        <f t="shared" si="320"/>
        <v>2250</v>
      </c>
      <c r="F1327" s="112">
        <f t="shared" si="314"/>
        <v>17000000</v>
      </c>
      <c r="G1327" s="2">
        <f t="shared" si="321"/>
        <v>855065</v>
      </c>
      <c r="H1327" s="113">
        <f t="shared" si="322"/>
        <v>9.9999999999999998E-13</v>
      </c>
      <c r="I1327" s="121">
        <f t="shared" si="315"/>
        <v>2194457</v>
      </c>
      <c r="K1327" s="123">
        <f t="shared" si="323"/>
        <v>3000000</v>
      </c>
      <c r="L1327" s="111">
        <f t="shared" si="324"/>
        <v>51772</v>
      </c>
      <c r="M1327" s="2">
        <f t="shared" si="325"/>
        <v>2250</v>
      </c>
      <c r="N1327" s="112">
        <f t="shared" si="316"/>
        <v>17000000</v>
      </c>
      <c r="O1327" s="2">
        <f t="shared" si="326"/>
        <v>855065</v>
      </c>
      <c r="P1327" s="113">
        <f t="shared" si="327"/>
        <v>9.9999999999999998E-13</v>
      </c>
      <c r="Q1327" s="121">
        <f t="shared" si="317"/>
        <v>2194457</v>
      </c>
    </row>
    <row r="1328" spans="2:17" hidden="1" x14ac:dyDescent="0.4">
      <c r="B1328" s="110">
        <v>45249</v>
      </c>
      <c r="C1328" s="122">
        <f t="shared" si="318"/>
        <v>3000000</v>
      </c>
      <c r="D1328" s="111">
        <f t="shared" si="319"/>
        <v>51772</v>
      </c>
      <c r="E1328" s="2">
        <f t="shared" si="320"/>
        <v>2250</v>
      </c>
      <c r="F1328" s="112">
        <f t="shared" si="314"/>
        <v>17000000</v>
      </c>
      <c r="G1328" s="2">
        <f t="shared" si="321"/>
        <v>855065</v>
      </c>
      <c r="H1328" s="113">
        <f t="shared" si="322"/>
        <v>9.9999999999999998E-13</v>
      </c>
      <c r="I1328" s="121">
        <f t="shared" si="315"/>
        <v>2194457</v>
      </c>
      <c r="K1328" s="123">
        <f t="shared" si="323"/>
        <v>3000000</v>
      </c>
      <c r="L1328" s="111">
        <f t="shared" si="324"/>
        <v>51772</v>
      </c>
      <c r="M1328" s="2">
        <f t="shared" si="325"/>
        <v>2250</v>
      </c>
      <c r="N1328" s="112">
        <f t="shared" si="316"/>
        <v>17000000</v>
      </c>
      <c r="O1328" s="2">
        <f t="shared" si="326"/>
        <v>855065</v>
      </c>
      <c r="P1328" s="113">
        <f t="shared" si="327"/>
        <v>9.9999999999999998E-13</v>
      </c>
      <c r="Q1328" s="121">
        <f t="shared" si="317"/>
        <v>2194457</v>
      </c>
    </row>
    <row r="1329" spans="2:17" hidden="1" x14ac:dyDescent="0.4">
      <c r="B1329" s="110">
        <v>45250</v>
      </c>
      <c r="C1329" s="122">
        <f t="shared" si="318"/>
        <v>3000000</v>
      </c>
      <c r="D1329" s="111">
        <f t="shared" si="319"/>
        <v>53938</v>
      </c>
      <c r="E1329" s="2">
        <f t="shared" si="320"/>
        <v>2250</v>
      </c>
      <c r="F1329" s="112">
        <f t="shared" si="314"/>
        <v>17000000</v>
      </c>
      <c r="G1329" s="2">
        <f t="shared" si="321"/>
        <v>855065</v>
      </c>
      <c r="H1329" s="113">
        <f t="shared" si="322"/>
        <v>9.9999999999999998E-13</v>
      </c>
      <c r="I1329" s="121">
        <f t="shared" si="315"/>
        <v>2196623</v>
      </c>
      <c r="K1329" s="123">
        <f t="shared" si="323"/>
        <v>3000000</v>
      </c>
      <c r="L1329" s="111">
        <f t="shared" si="324"/>
        <v>53938</v>
      </c>
      <c r="M1329" s="2">
        <f t="shared" si="325"/>
        <v>2250</v>
      </c>
      <c r="N1329" s="112">
        <f t="shared" si="316"/>
        <v>17000000</v>
      </c>
      <c r="O1329" s="2">
        <f t="shared" si="326"/>
        <v>855065</v>
      </c>
      <c r="P1329" s="113">
        <f t="shared" si="327"/>
        <v>9.9999999999999998E-13</v>
      </c>
      <c r="Q1329" s="121">
        <f t="shared" si="317"/>
        <v>2196623</v>
      </c>
    </row>
    <row r="1330" spans="2:17" hidden="1" x14ac:dyDescent="0.4">
      <c r="B1330" s="110">
        <v>45251</v>
      </c>
      <c r="C1330" s="122">
        <f t="shared" si="318"/>
        <v>3000000</v>
      </c>
      <c r="D1330" s="111">
        <f t="shared" si="319"/>
        <v>53938</v>
      </c>
      <c r="E1330" s="2">
        <f t="shared" si="320"/>
        <v>2250</v>
      </c>
      <c r="F1330" s="112">
        <f t="shared" si="314"/>
        <v>17000000</v>
      </c>
      <c r="G1330" s="2">
        <f t="shared" si="321"/>
        <v>855065</v>
      </c>
      <c r="H1330" s="113">
        <f t="shared" si="322"/>
        <v>9.9999999999999998E-13</v>
      </c>
      <c r="I1330" s="121">
        <f t="shared" si="315"/>
        <v>2196623</v>
      </c>
      <c r="K1330" s="123">
        <f t="shared" si="323"/>
        <v>3000000</v>
      </c>
      <c r="L1330" s="111">
        <f t="shared" si="324"/>
        <v>53938</v>
      </c>
      <c r="M1330" s="2">
        <f t="shared" si="325"/>
        <v>2250</v>
      </c>
      <c r="N1330" s="112">
        <f t="shared" si="316"/>
        <v>17000000</v>
      </c>
      <c r="O1330" s="2">
        <f t="shared" si="326"/>
        <v>855065</v>
      </c>
      <c r="P1330" s="113">
        <f t="shared" si="327"/>
        <v>9.9999999999999998E-13</v>
      </c>
      <c r="Q1330" s="121">
        <f t="shared" si="317"/>
        <v>2196623</v>
      </c>
    </row>
    <row r="1331" spans="2:17" hidden="1" x14ac:dyDescent="0.4">
      <c r="B1331" s="110">
        <v>45252</v>
      </c>
      <c r="C1331" s="122">
        <f t="shared" si="318"/>
        <v>3000000</v>
      </c>
      <c r="D1331" s="111">
        <f t="shared" si="319"/>
        <v>53938</v>
      </c>
      <c r="E1331" s="2">
        <f t="shared" si="320"/>
        <v>2250</v>
      </c>
      <c r="F1331" s="112">
        <f t="shared" si="314"/>
        <v>17000000</v>
      </c>
      <c r="G1331" s="2">
        <f t="shared" si="321"/>
        <v>855065</v>
      </c>
      <c r="H1331" s="113">
        <f t="shared" si="322"/>
        <v>9.9999999999999998E-13</v>
      </c>
      <c r="I1331" s="121">
        <f t="shared" si="315"/>
        <v>2196623</v>
      </c>
      <c r="K1331" s="123">
        <f t="shared" si="323"/>
        <v>3000000</v>
      </c>
      <c r="L1331" s="111">
        <f t="shared" si="324"/>
        <v>53938</v>
      </c>
      <c r="M1331" s="2">
        <f t="shared" si="325"/>
        <v>2250</v>
      </c>
      <c r="N1331" s="112">
        <f t="shared" si="316"/>
        <v>17000000</v>
      </c>
      <c r="O1331" s="2">
        <f t="shared" si="326"/>
        <v>855065</v>
      </c>
      <c r="P1331" s="113">
        <f t="shared" si="327"/>
        <v>9.9999999999999998E-13</v>
      </c>
      <c r="Q1331" s="121">
        <f t="shared" si="317"/>
        <v>2196623</v>
      </c>
    </row>
    <row r="1332" spans="2:17" hidden="1" x14ac:dyDescent="0.4">
      <c r="B1332" s="110">
        <v>45253</v>
      </c>
      <c r="C1332" s="122">
        <f t="shared" si="318"/>
        <v>3000000</v>
      </c>
      <c r="D1332" s="111">
        <f t="shared" si="319"/>
        <v>53938</v>
      </c>
      <c r="E1332" s="2">
        <f t="shared" si="320"/>
        <v>2250</v>
      </c>
      <c r="F1332" s="112">
        <f t="shared" si="314"/>
        <v>17000000</v>
      </c>
      <c r="G1332" s="2">
        <f t="shared" si="321"/>
        <v>855065</v>
      </c>
      <c r="H1332" s="113">
        <f t="shared" si="322"/>
        <v>9.9999999999999998E-13</v>
      </c>
      <c r="I1332" s="121">
        <f t="shared" si="315"/>
        <v>2196623</v>
      </c>
      <c r="K1332" s="123">
        <f t="shared" si="323"/>
        <v>3000000</v>
      </c>
      <c r="L1332" s="111">
        <f t="shared" si="324"/>
        <v>53938</v>
      </c>
      <c r="M1332" s="2">
        <f t="shared" si="325"/>
        <v>2250</v>
      </c>
      <c r="N1332" s="112">
        <f t="shared" si="316"/>
        <v>17000000</v>
      </c>
      <c r="O1332" s="2">
        <f t="shared" si="326"/>
        <v>855065</v>
      </c>
      <c r="P1332" s="113">
        <f t="shared" si="327"/>
        <v>9.9999999999999998E-13</v>
      </c>
      <c r="Q1332" s="121">
        <f t="shared" si="317"/>
        <v>2196623</v>
      </c>
    </row>
    <row r="1333" spans="2:17" hidden="1" x14ac:dyDescent="0.4">
      <c r="B1333" s="110">
        <v>45254</v>
      </c>
      <c r="C1333" s="122">
        <f t="shared" si="318"/>
        <v>3000000</v>
      </c>
      <c r="D1333" s="111">
        <f t="shared" si="319"/>
        <v>53938</v>
      </c>
      <c r="E1333" s="2">
        <f t="shared" si="320"/>
        <v>2250</v>
      </c>
      <c r="F1333" s="112">
        <f t="shared" si="314"/>
        <v>17000000</v>
      </c>
      <c r="G1333" s="2">
        <f t="shared" si="321"/>
        <v>855065</v>
      </c>
      <c r="H1333" s="113">
        <f t="shared" si="322"/>
        <v>9.9999999999999998E-13</v>
      </c>
      <c r="I1333" s="121">
        <f t="shared" si="315"/>
        <v>2196623</v>
      </c>
      <c r="K1333" s="123">
        <f t="shared" si="323"/>
        <v>3000000</v>
      </c>
      <c r="L1333" s="111">
        <f t="shared" si="324"/>
        <v>53938</v>
      </c>
      <c r="M1333" s="2">
        <f t="shared" si="325"/>
        <v>2250</v>
      </c>
      <c r="N1333" s="112">
        <f t="shared" si="316"/>
        <v>17000000</v>
      </c>
      <c r="O1333" s="2">
        <f t="shared" si="326"/>
        <v>855065</v>
      </c>
      <c r="P1333" s="113">
        <f t="shared" si="327"/>
        <v>9.9999999999999998E-13</v>
      </c>
      <c r="Q1333" s="121">
        <f t="shared" si="317"/>
        <v>2196623</v>
      </c>
    </row>
    <row r="1334" spans="2:17" hidden="1" x14ac:dyDescent="0.4">
      <c r="B1334" s="110">
        <v>45255</v>
      </c>
      <c r="C1334" s="122">
        <f t="shared" si="318"/>
        <v>3000000</v>
      </c>
      <c r="D1334" s="111">
        <f t="shared" si="319"/>
        <v>53938</v>
      </c>
      <c r="E1334" s="2">
        <f t="shared" si="320"/>
        <v>2250</v>
      </c>
      <c r="F1334" s="112">
        <f t="shared" si="314"/>
        <v>17000000</v>
      </c>
      <c r="G1334" s="2">
        <f t="shared" si="321"/>
        <v>855065</v>
      </c>
      <c r="H1334" s="113">
        <f t="shared" si="322"/>
        <v>9.9999999999999998E-13</v>
      </c>
      <c r="I1334" s="121">
        <f t="shared" si="315"/>
        <v>2196623</v>
      </c>
      <c r="K1334" s="123">
        <f t="shared" si="323"/>
        <v>3000000</v>
      </c>
      <c r="L1334" s="111">
        <f t="shared" si="324"/>
        <v>53938</v>
      </c>
      <c r="M1334" s="2">
        <f t="shared" si="325"/>
        <v>2250</v>
      </c>
      <c r="N1334" s="112">
        <f t="shared" si="316"/>
        <v>17000000</v>
      </c>
      <c r="O1334" s="2">
        <f t="shared" si="326"/>
        <v>855065</v>
      </c>
      <c r="P1334" s="113">
        <f t="shared" si="327"/>
        <v>9.9999999999999998E-13</v>
      </c>
      <c r="Q1334" s="121">
        <f t="shared" si="317"/>
        <v>2196623</v>
      </c>
    </row>
    <row r="1335" spans="2:17" hidden="1" x14ac:dyDescent="0.4">
      <c r="B1335" s="110">
        <v>45256</v>
      </c>
      <c r="C1335" s="122">
        <f t="shared" si="318"/>
        <v>3000000</v>
      </c>
      <c r="D1335" s="111">
        <f t="shared" si="319"/>
        <v>53938</v>
      </c>
      <c r="E1335" s="2">
        <f t="shared" si="320"/>
        <v>2250</v>
      </c>
      <c r="F1335" s="112">
        <f t="shared" si="314"/>
        <v>17000000</v>
      </c>
      <c r="G1335" s="2">
        <f t="shared" si="321"/>
        <v>855065</v>
      </c>
      <c r="H1335" s="113">
        <f t="shared" si="322"/>
        <v>9.9999999999999998E-13</v>
      </c>
      <c r="I1335" s="121">
        <f t="shared" si="315"/>
        <v>2196623</v>
      </c>
      <c r="K1335" s="123">
        <f t="shared" si="323"/>
        <v>3000000</v>
      </c>
      <c r="L1335" s="111">
        <f t="shared" si="324"/>
        <v>53938</v>
      </c>
      <c r="M1335" s="2">
        <f t="shared" si="325"/>
        <v>2250</v>
      </c>
      <c r="N1335" s="112">
        <f t="shared" si="316"/>
        <v>17000000</v>
      </c>
      <c r="O1335" s="2">
        <f t="shared" si="326"/>
        <v>855065</v>
      </c>
      <c r="P1335" s="113">
        <f t="shared" si="327"/>
        <v>9.9999999999999998E-13</v>
      </c>
      <c r="Q1335" s="121">
        <f t="shared" si="317"/>
        <v>2196623</v>
      </c>
    </row>
    <row r="1336" spans="2:17" hidden="1" x14ac:dyDescent="0.4">
      <c r="B1336" s="110">
        <v>45257</v>
      </c>
      <c r="C1336" s="122">
        <f t="shared" si="318"/>
        <v>3000000</v>
      </c>
      <c r="D1336" s="111">
        <f t="shared" si="319"/>
        <v>53938</v>
      </c>
      <c r="E1336" s="2">
        <f t="shared" si="320"/>
        <v>2250</v>
      </c>
      <c r="F1336" s="112">
        <f t="shared" si="314"/>
        <v>17000000</v>
      </c>
      <c r="G1336" s="2">
        <f t="shared" si="321"/>
        <v>855065</v>
      </c>
      <c r="H1336" s="113">
        <f t="shared" si="322"/>
        <v>9.9999999999999998E-13</v>
      </c>
      <c r="I1336" s="121">
        <f t="shared" si="315"/>
        <v>2196623</v>
      </c>
      <c r="K1336" s="123">
        <f t="shared" si="323"/>
        <v>3000000</v>
      </c>
      <c r="L1336" s="111">
        <f t="shared" si="324"/>
        <v>53938</v>
      </c>
      <c r="M1336" s="2">
        <f t="shared" si="325"/>
        <v>2250</v>
      </c>
      <c r="N1336" s="112">
        <f t="shared" si="316"/>
        <v>17000000</v>
      </c>
      <c r="O1336" s="2">
        <f t="shared" si="326"/>
        <v>855065</v>
      </c>
      <c r="P1336" s="113">
        <f t="shared" si="327"/>
        <v>9.9999999999999998E-13</v>
      </c>
      <c r="Q1336" s="121">
        <f t="shared" si="317"/>
        <v>2196623</v>
      </c>
    </row>
    <row r="1337" spans="2:17" hidden="1" x14ac:dyDescent="0.4">
      <c r="B1337" s="110">
        <v>45258</v>
      </c>
      <c r="C1337" s="122">
        <f t="shared" si="318"/>
        <v>3000000</v>
      </c>
      <c r="D1337" s="111">
        <f t="shared" si="319"/>
        <v>53938</v>
      </c>
      <c r="E1337" s="2">
        <f t="shared" si="320"/>
        <v>2250</v>
      </c>
      <c r="F1337" s="112">
        <f t="shared" si="314"/>
        <v>17000000</v>
      </c>
      <c r="G1337" s="2">
        <f t="shared" si="321"/>
        <v>855065</v>
      </c>
      <c r="H1337" s="113">
        <f t="shared" si="322"/>
        <v>9.9999999999999998E-13</v>
      </c>
      <c r="I1337" s="121">
        <f t="shared" si="315"/>
        <v>2196623</v>
      </c>
      <c r="K1337" s="123">
        <f t="shared" si="323"/>
        <v>3000000</v>
      </c>
      <c r="L1337" s="111">
        <f t="shared" si="324"/>
        <v>53938</v>
      </c>
      <c r="M1337" s="2">
        <f t="shared" si="325"/>
        <v>2250</v>
      </c>
      <c r="N1337" s="112">
        <f t="shared" si="316"/>
        <v>17000000</v>
      </c>
      <c r="O1337" s="2">
        <f t="shared" si="326"/>
        <v>855065</v>
      </c>
      <c r="P1337" s="113">
        <f t="shared" si="327"/>
        <v>9.9999999999999998E-13</v>
      </c>
      <c r="Q1337" s="121">
        <f t="shared" si="317"/>
        <v>2196623</v>
      </c>
    </row>
    <row r="1338" spans="2:17" hidden="1" x14ac:dyDescent="0.4">
      <c r="B1338" s="110">
        <v>45259</v>
      </c>
      <c r="C1338" s="122">
        <f t="shared" si="318"/>
        <v>3000000</v>
      </c>
      <c r="D1338" s="111">
        <f t="shared" si="319"/>
        <v>53938</v>
      </c>
      <c r="E1338" s="2">
        <f t="shared" si="320"/>
        <v>2250</v>
      </c>
      <c r="F1338" s="112">
        <f t="shared" si="314"/>
        <v>17000000</v>
      </c>
      <c r="G1338" s="2">
        <f t="shared" si="321"/>
        <v>855065</v>
      </c>
      <c r="H1338" s="113">
        <f t="shared" si="322"/>
        <v>9.9999999999999998E-13</v>
      </c>
      <c r="I1338" s="121">
        <f t="shared" si="315"/>
        <v>2196623</v>
      </c>
      <c r="K1338" s="123">
        <f t="shared" si="323"/>
        <v>3000000</v>
      </c>
      <c r="L1338" s="111">
        <f t="shared" si="324"/>
        <v>53938</v>
      </c>
      <c r="M1338" s="2">
        <f t="shared" si="325"/>
        <v>2250</v>
      </c>
      <c r="N1338" s="112">
        <f t="shared" si="316"/>
        <v>17000000</v>
      </c>
      <c r="O1338" s="2">
        <f t="shared" si="326"/>
        <v>855065</v>
      </c>
      <c r="P1338" s="113">
        <f t="shared" si="327"/>
        <v>9.9999999999999998E-13</v>
      </c>
      <c r="Q1338" s="121">
        <f t="shared" si="317"/>
        <v>2196623</v>
      </c>
    </row>
    <row r="1339" spans="2:17" hidden="1" x14ac:dyDescent="0.4">
      <c r="B1339" s="110">
        <v>45260</v>
      </c>
      <c r="C1339" s="122">
        <f t="shared" si="318"/>
        <v>3000000</v>
      </c>
      <c r="D1339" s="111">
        <f t="shared" si="319"/>
        <v>53938</v>
      </c>
      <c r="E1339" s="2">
        <f t="shared" si="320"/>
        <v>2250</v>
      </c>
      <c r="F1339" s="112">
        <f t="shared" si="314"/>
        <v>17000000</v>
      </c>
      <c r="G1339" s="2">
        <f t="shared" si="321"/>
        <v>855065</v>
      </c>
      <c r="H1339" s="113">
        <f t="shared" si="322"/>
        <v>9.9999999999999998E-13</v>
      </c>
      <c r="I1339" s="121">
        <f t="shared" si="315"/>
        <v>2196623</v>
      </c>
      <c r="K1339" s="123">
        <f t="shared" si="323"/>
        <v>3000000</v>
      </c>
      <c r="L1339" s="111">
        <f t="shared" si="324"/>
        <v>53938</v>
      </c>
      <c r="M1339" s="2">
        <f t="shared" si="325"/>
        <v>2250</v>
      </c>
      <c r="N1339" s="112">
        <f t="shared" si="316"/>
        <v>17000000</v>
      </c>
      <c r="O1339" s="2">
        <f t="shared" si="326"/>
        <v>855065</v>
      </c>
      <c r="P1339" s="113">
        <f t="shared" si="327"/>
        <v>9.9999999999999998E-13</v>
      </c>
      <c r="Q1339" s="121">
        <f t="shared" si="317"/>
        <v>2196623</v>
      </c>
    </row>
    <row r="1340" spans="2:17" x14ac:dyDescent="0.4">
      <c r="B1340" s="110">
        <v>45261</v>
      </c>
      <c r="C1340" s="122">
        <f t="shared" si="318"/>
        <v>3000000</v>
      </c>
      <c r="D1340" s="111">
        <f t="shared" si="319"/>
        <v>53938</v>
      </c>
      <c r="E1340" s="2">
        <f t="shared" si="320"/>
        <v>2250</v>
      </c>
      <c r="F1340" s="112">
        <f t="shared" si="314"/>
        <v>17000000</v>
      </c>
      <c r="G1340" s="2">
        <f t="shared" si="321"/>
        <v>855065</v>
      </c>
      <c r="H1340" s="113">
        <f t="shared" si="322"/>
        <v>9.9999999999999998E-13</v>
      </c>
      <c r="I1340" s="121">
        <f t="shared" si="315"/>
        <v>2196623</v>
      </c>
      <c r="K1340" s="123">
        <f t="shared" si="323"/>
        <v>3000000</v>
      </c>
      <c r="L1340" s="111">
        <f t="shared" si="324"/>
        <v>53938</v>
      </c>
      <c r="M1340" s="2">
        <f t="shared" si="325"/>
        <v>2250</v>
      </c>
      <c r="N1340" s="112">
        <f t="shared" si="316"/>
        <v>17000000</v>
      </c>
      <c r="O1340" s="2">
        <f t="shared" si="326"/>
        <v>855065</v>
      </c>
      <c r="P1340" s="113">
        <f t="shared" si="327"/>
        <v>9.9999999999999998E-13</v>
      </c>
      <c r="Q1340" s="121">
        <f t="shared" si="317"/>
        <v>2196623</v>
      </c>
    </row>
    <row r="1341" spans="2:17" hidden="1" x14ac:dyDescent="0.4">
      <c r="B1341" s="110">
        <v>45262</v>
      </c>
      <c r="C1341" s="122">
        <f t="shared" si="318"/>
        <v>3000000</v>
      </c>
      <c r="D1341" s="111">
        <f t="shared" si="319"/>
        <v>53938</v>
      </c>
      <c r="E1341" s="2">
        <f t="shared" si="320"/>
        <v>2250</v>
      </c>
      <c r="F1341" s="112">
        <f t="shared" si="314"/>
        <v>17000000</v>
      </c>
      <c r="G1341" s="2">
        <f t="shared" si="321"/>
        <v>855065</v>
      </c>
      <c r="H1341" s="113">
        <f t="shared" si="322"/>
        <v>9.9999999999999998E-13</v>
      </c>
      <c r="I1341" s="121">
        <f t="shared" si="315"/>
        <v>2196623</v>
      </c>
      <c r="K1341" s="123">
        <f t="shared" si="323"/>
        <v>3000000</v>
      </c>
      <c r="L1341" s="111">
        <f t="shared" si="324"/>
        <v>53938</v>
      </c>
      <c r="M1341" s="2">
        <f t="shared" si="325"/>
        <v>2250</v>
      </c>
      <c r="N1341" s="112">
        <f t="shared" si="316"/>
        <v>17000000</v>
      </c>
      <c r="O1341" s="2">
        <f t="shared" si="326"/>
        <v>855065</v>
      </c>
      <c r="P1341" s="113">
        <f t="shared" si="327"/>
        <v>9.9999999999999998E-13</v>
      </c>
      <c r="Q1341" s="121">
        <f t="shared" si="317"/>
        <v>2196623</v>
      </c>
    </row>
    <row r="1342" spans="2:17" hidden="1" x14ac:dyDescent="0.4">
      <c r="B1342" s="110">
        <v>45263</v>
      </c>
      <c r="C1342" s="122">
        <f t="shared" si="318"/>
        <v>3000000</v>
      </c>
      <c r="D1342" s="111">
        <f t="shared" si="319"/>
        <v>53938</v>
      </c>
      <c r="E1342" s="2">
        <f t="shared" si="320"/>
        <v>2250</v>
      </c>
      <c r="F1342" s="112">
        <f t="shared" si="314"/>
        <v>17000000</v>
      </c>
      <c r="G1342" s="2">
        <f t="shared" si="321"/>
        <v>855065</v>
      </c>
      <c r="H1342" s="113">
        <f t="shared" si="322"/>
        <v>9.9999999999999998E-13</v>
      </c>
      <c r="I1342" s="121">
        <f t="shared" si="315"/>
        <v>2196623</v>
      </c>
      <c r="K1342" s="123">
        <f t="shared" si="323"/>
        <v>3000000</v>
      </c>
      <c r="L1342" s="111">
        <f t="shared" si="324"/>
        <v>53938</v>
      </c>
      <c r="M1342" s="2">
        <f t="shared" si="325"/>
        <v>2250</v>
      </c>
      <c r="N1342" s="112">
        <f t="shared" si="316"/>
        <v>17000000</v>
      </c>
      <c r="O1342" s="2">
        <f t="shared" si="326"/>
        <v>855065</v>
      </c>
      <c r="P1342" s="113">
        <f t="shared" si="327"/>
        <v>9.9999999999999998E-13</v>
      </c>
      <c r="Q1342" s="121">
        <f t="shared" si="317"/>
        <v>2196623</v>
      </c>
    </row>
    <row r="1343" spans="2:17" hidden="1" x14ac:dyDescent="0.4">
      <c r="B1343" s="110">
        <v>45264</v>
      </c>
      <c r="C1343" s="122">
        <f t="shared" si="318"/>
        <v>3000000</v>
      </c>
      <c r="D1343" s="111">
        <f t="shared" si="319"/>
        <v>58481</v>
      </c>
      <c r="E1343" s="2">
        <f t="shared" si="320"/>
        <v>2250</v>
      </c>
      <c r="F1343" s="112">
        <f t="shared" si="314"/>
        <v>17000000</v>
      </c>
      <c r="G1343" s="2">
        <f t="shared" si="321"/>
        <v>855065</v>
      </c>
      <c r="H1343" s="113">
        <f t="shared" si="322"/>
        <v>9.9999999999999998E-13</v>
      </c>
      <c r="I1343" s="121">
        <f t="shared" si="315"/>
        <v>2201166</v>
      </c>
      <c r="K1343" s="123">
        <f t="shared" si="323"/>
        <v>3000000</v>
      </c>
      <c r="L1343" s="111">
        <f t="shared" si="324"/>
        <v>58481</v>
      </c>
      <c r="M1343" s="2">
        <f t="shared" si="325"/>
        <v>2250</v>
      </c>
      <c r="N1343" s="112">
        <f t="shared" si="316"/>
        <v>17000000</v>
      </c>
      <c r="O1343" s="2">
        <f t="shared" si="326"/>
        <v>855065</v>
      </c>
      <c r="P1343" s="113">
        <f t="shared" si="327"/>
        <v>9.9999999999999998E-13</v>
      </c>
      <c r="Q1343" s="121">
        <f t="shared" si="317"/>
        <v>2201166</v>
      </c>
    </row>
    <row r="1344" spans="2:17" hidden="1" x14ac:dyDescent="0.4">
      <c r="B1344" s="110">
        <v>45265</v>
      </c>
      <c r="C1344" s="122">
        <f t="shared" si="318"/>
        <v>3000000</v>
      </c>
      <c r="D1344" s="111">
        <f t="shared" si="319"/>
        <v>58481</v>
      </c>
      <c r="E1344" s="2">
        <f t="shared" si="320"/>
        <v>2250</v>
      </c>
      <c r="F1344" s="112">
        <f t="shared" si="314"/>
        <v>17000000</v>
      </c>
      <c r="G1344" s="2">
        <f t="shared" si="321"/>
        <v>855065</v>
      </c>
      <c r="H1344" s="113">
        <f t="shared" si="322"/>
        <v>9.9999999999999998E-13</v>
      </c>
      <c r="I1344" s="121">
        <f t="shared" si="315"/>
        <v>2201166</v>
      </c>
      <c r="K1344" s="123">
        <f t="shared" si="323"/>
        <v>3000000</v>
      </c>
      <c r="L1344" s="111">
        <f t="shared" si="324"/>
        <v>58481</v>
      </c>
      <c r="M1344" s="2">
        <f t="shared" si="325"/>
        <v>2250</v>
      </c>
      <c r="N1344" s="112">
        <f t="shared" si="316"/>
        <v>17000000</v>
      </c>
      <c r="O1344" s="2">
        <f t="shared" si="326"/>
        <v>855065</v>
      </c>
      <c r="P1344" s="113">
        <f t="shared" si="327"/>
        <v>9.9999999999999998E-13</v>
      </c>
      <c r="Q1344" s="121">
        <f t="shared" si="317"/>
        <v>2201166</v>
      </c>
    </row>
    <row r="1345" spans="2:17" hidden="1" x14ac:dyDescent="0.4">
      <c r="B1345" s="110">
        <v>45266</v>
      </c>
      <c r="C1345" s="122">
        <f t="shared" si="318"/>
        <v>3000000</v>
      </c>
      <c r="D1345" s="111">
        <f t="shared" si="319"/>
        <v>58481</v>
      </c>
      <c r="E1345" s="2">
        <f t="shared" si="320"/>
        <v>2250</v>
      </c>
      <c r="F1345" s="112">
        <f t="shared" si="314"/>
        <v>17000000</v>
      </c>
      <c r="G1345" s="2">
        <f t="shared" si="321"/>
        <v>855065</v>
      </c>
      <c r="H1345" s="113">
        <f t="shared" si="322"/>
        <v>9.9999999999999998E-13</v>
      </c>
      <c r="I1345" s="121">
        <f t="shared" si="315"/>
        <v>2201166</v>
      </c>
      <c r="K1345" s="123">
        <f t="shared" si="323"/>
        <v>3000000</v>
      </c>
      <c r="L1345" s="111">
        <f t="shared" si="324"/>
        <v>58481</v>
      </c>
      <c r="M1345" s="2">
        <f t="shared" si="325"/>
        <v>2250</v>
      </c>
      <c r="N1345" s="112">
        <f t="shared" si="316"/>
        <v>17000000</v>
      </c>
      <c r="O1345" s="2">
        <f t="shared" si="326"/>
        <v>855065</v>
      </c>
      <c r="P1345" s="113">
        <f t="shared" si="327"/>
        <v>9.9999999999999998E-13</v>
      </c>
      <c r="Q1345" s="121">
        <f t="shared" si="317"/>
        <v>2201166</v>
      </c>
    </row>
    <row r="1346" spans="2:17" hidden="1" x14ac:dyDescent="0.4">
      <c r="B1346" s="110">
        <v>45267</v>
      </c>
      <c r="C1346" s="122">
        <f t="shared" si="318"/>
        <v>3000000</v>
      </c>
      <c r="D1346" s="111">
        <f t="shared" si="319"/>
        <v>58481</v>
      </c>
      <c r="E1346" s="2">
        <f t="shared" si="320"/>
        <v>2250</v>
      </c>
      <c r="F1346" s="112">
        <f t="shared" si="314"/>
        <v>17000000</v>
      </c>
      <c r="G1346" s="2">
        <f t="shared" si="321"/>
        <v>855065</v>
      </c>
      <c r="H1346" s="113">
        <f t="shared" si="322"/>
        <v>9.9999999999999998E-13</v>
      </c>
      <c r="I1346" s="121">
        <f t="shared" si="315"/>
        <v>2201166</v>
      </c>
      <c r="K1346" s="123">
        <f t="shared" si="323"/>
        <v>3000000</v>
      </c>
      <c r="L1346" s="111">
        <f t="shared" si="324"/>
        <v>58481</v>
      </c>
      <c r="M1346" s="2">
        <f t="shared" si="325"/>
        <v>2250</v>
      </c>
      <c r="N1346" s="112">
        <f t="shared" si="316"/>
        <v>17000000</v>
      </c>
      <c r="O1346" s="2">
        <f t="shared" si="326"/>
        <v>855065</v>
      </c>
      <c r="P1346" s="113">
        <f t="shared" si="327"/>
        <v>9.9999999999999998E-13</v>
      </c>
      <c r="Q1346" s="121">
        <f t="shared" si="317"/>
        <v>2201166</v>
      </c>
    </row>
    <row r="1347" spans="2:17" hidden="1" x14ac:dyDescent="0.4">
      <c r="B1347" s="110">
        <v>45268</v>
      </c>
      <c r="C1347" s="122">
        <f t="shared" si="318"/>
        <v>3000000</v>
      </c>
      <c r="D1347" s="111">
        <f t="shared" si="319"/>
        <v>58481</v>
      </c>
      <c r="E1347" s="2">
        <f t="shared" si="320"/>
        <v>2250</v>
      </c>
      <c r="F1347" s="112">
        <f t="shared" si="314"/>
        <v>17000000</v>
      </c>
      <c r="G1347" s="2">
        <f t="shared" si="321"/>
        <v>855065</v>
      </c>
      <c r="H1347" s="113">
        <f t="shared" si="322"/>
        <v>9.9999999999999998E-13</v>
      </c>
      <c r="I1347" s="121">
        <f t="shared" si="315"/>
        <v>2201166</v>
      </c>
      <c r="K1347" s="123">
        <f t="shared" si="323"/>
        <v>3000000</v>
      </c>
      <c r="L1347" s="111">
        <f t="shared" si="324"/>
        <v>58481</v>
      </c>
      <c r="M1347" s="2">
        <f t="shared" si="325"/>
        <v>2250</v>
      </c>
      <c r="N1347" s="112">
        <f t="shared" si="316"/>
        <v>17000000</v>
      </c>
      <c r="O1347" s="2">
        <f t="shared" si="326"/>
        <v>855065</v>
      </c>
      <c r="P1347" s="113">
        <f t="shared" si="327"/>
        <v>9.9999999999999998E-13</v>
      </c>
      <c r="Q1347" s="121">
        <f t="shared" si="317"/>
        <v>2201166</v>
      </c>
    </row>
    <row r="1348" spans="2:17" hidden="1" x14ac:dyDescent="0.4">
      <c r="B1348" s="110">
        <v>45269</v>
      </c>
      <c r="C1348" s="122">
        <f t="shared" si="318"/>
        <v>3000000</v>
      </c>
      <c r="D1348" s="111">
        <f t="shared" si="319"/>
        <v>58481</v>
      </c>
      <c r="E1348" s="2">
        <f t="shared" si="320"/>
        <v>2250</v>
      </c>
      <c r="F1348" s="112">
        <f t="shared" si="314"/>
        <v>17000000</v>
      </c>
      <c r="G1348" s="2">
        <f t="shared" si="321"/>
        <v>855065</v>
      </c>
      <c r="H1348" s="113">
        <f t="shared" si="322"/>
        <v>9.9999999999999998E-13</v>
      </c>
      <c r="I1348" s="121">
        <f t="shared" si="315"/>
        <v>2201166</v>
      </c>
      <c r="K1348" s="123">
        <f t="shared" si="323"/>
        <v>3000000</v>
      </c>
      <c r="L1348" s="111">
        <f t="shared" si="324"/>
        <v>58481</v>
      </c>
      <c r="M1348" s="2">
        <f t="shared" si="325"/>
        <v>2250</v>
      </c>
      <c r="N1348" s="112">
        <f t="shared" si="316"/>
        <v>17000000</v>
      </c>
      <c r="O1348" s="2">
        <f t="shared" si="326"/>
        <v>855065</v>
      </c>
      <c r="P1348" s="113">
        <f t="shared" si="327"/>
        <v>9.9999999999999998E-13</v>
      </c>
      <c r="Q1348" s="121">
        <f t="shared" si="317"/>
        <v>2201166</v>
      </c>
    </row>
    <row r="1349" spans="2:17" hidden="1" x14ac:dyDescent="0.4">
      <c r="B1349" s="110">
        <v>45270</v>
      </c>
      <c r="C1349" s="122">
        <f t="shared" si="318"/>
        <v>3000000</v>
      </c>
      <c r="D1349" s="111">
        <f t="shared" si="319"/>
        <v>58481</v>
      </c>
      <c r="E1349" s="2">
        <f t="shared" si="320"/>
        <v>2250</v>
      </c>
      <c r="F1349" s="112">
        <f t="shared" si="314"/>
        <v>17000000</v>
      </c>
      <c r="G1349" s="2">
        <f t="shared" si="321"/>
        <v>855065</v>
      </c>
      <c r="H1349" s="113">
        <f t="shared" si="322"/>
        <v>9.9999999999999998E-13</v>
      </c>
      <c r="I1349" s="121">
        <f t="shared" si="315"/>
        <v>2201166</v>
      </c>
      <c r="K1349" s="123">
        <f t="shared" si="323"/>
        <v>3000000</v>
      </c>
      <c r="L1349" s="111">
        <f t="shared" si="324"/>
        <v>58481</v>
      </c>
      <c r="M1349" s="2">
        <f t="shared" si="325"/>
        <v>2250</v>
      </c>
      <c r="N1349" s="112">
        <f t="shared" si="316"/>
        <v>17000000</v>
      </c>
      <c r="O1349" s="2">
        <f t="shared" si="326"/>
        <v>855065</v>
      </c>
      <c r="P1349" s="113">
        <f t="shared" si="327"/>
        <v>9.9999999999999998E-13</v>
      </c>
      <c r="Q1349" s="121">
        <f t="shared" si="317"/>
        <v>2201166</v>
      </c>
    </row>
    <row r="1350" spans="2:17" hidden="1" x14ac:dyDescent="0.4">
      <c r="B1350" s="110">
        <v>45271</v>
      </c>
      <c r="C1350" s="122">
        <f t="shared" si="318"/>
        <v>3000000</v>
      </c>
      <c r="D1350" s="111">
        <f t="shared" si="319"/>
        <v>58481</v>
      </c>
      <c r="E1350" s="2">
        <f t="shared" si="320"/>
        <v>2250</v>
      </c>
      <c r="F1350" s="112">
        <f t="shared" si="314"/>
        <v>17000000</v>
      </c>
      <c r="G1350" s="2">
        <f t="shared" si="321"/>
        <v>855065</v>
      </c>
      <c r="H1350" s="113">
        <f t="shared" si="322"/>
        <v>9.9999999999999998E-13</v>
      </c>
      <c r="I1350" s="121">
        <f t="shared" si="315"/>
        <v>2201166</v>
      </c>
      <c r="K1350" s="123">
        <f t="shared" si="323"/>
        <v>3000000</v>
      </c>
      <c r="L1350" s="111">
        <f t="shared" si="324"/>
        <v>58481</v>
      </c>
      <c r="M1350" s="2">
        <f t="shared" si="325"/>
        <v>2250</v>
      </c>
      <c r="N1350" s="112">
        <f t="shared" si="316"/>
        <v>17000000</v>
      </c>
      <c r="O1350" s="2">
        <f t="shared" si="326"/>
        <v>855065</v>
      </c>
      <c r="P1350" s="113">
        <f t="shared" si="327"/>
        <v>9.9999999999999998E-13</v>
      </c>
      <c r="Q1350" s="121">
        <f t="shared" si="317"/>
        <v>2201166</v>
      </c>
    </row>
    <row r="1351" spans="2:17" hidden="1" x14ac:dyDescent="0.4">
      <c r="B1351" s="110">
        <v>45272</v>
      </c>
      <c r="C1351" s="122">
        <f t="shared" si="318"/>
        <v>3000000</v>
      </c>
      <c r="D1351" s="111">
        <f t="shared" si="319"/>
        <v>58481</v>
      </c>
      <c r="E1351" s="2">
        <f t="shared" si="320"/>
        <v>2250</v>
      </c>
      <c r="F1351" s="112">
        <f t="shared" si="314"/>
        <v>17000000</v>
      </c>
      <c r="G1351" s="2">
        <f t="shared" si="321"/>
        <v>855065</v>
      </c>
      <c r="H1351" s="113">
        <f t="shared" si="322"/>
        <v>9.9999999999999998E-13</v>
      </c>
      <c r="I1351" s="121">
        <f t="shared" si="315"/>
        <v>2201166</v>
      </c>
      <c r="K1351" s="123">
        <f t="shared" si="323"/>
        <v>3000000</v>
      </c>
      <c r="L1351" s="111">
        <f t="shared" si="324"/>
        <v>58481</v>
      </c>
      <c r="M1351" s="2">
        <f t="shared" si="325"/>
        <v>2250</v>
      </c>
      <c r="N1351" s="112">
        <f t="shared" si="316"/>
        <v>17000000</v>
      </c>
      <c r="O1351" s="2">
        <f t="shared" si="326"/>
        <v>855065</v>
      </c>
      <c r="P1351" s="113">
        <f t="shared" si="327"/>
        <v>9.9999999999999998E-13</v>
      </c>
      <c r="Q1351" s="121">
        <f t="shared" si="317"/>
        <v>2201166</v>
      </c>
    </row>
    <row r="1352" spans="2:17" hidden="1" x14ac:dyDescent="0.4">
      <c r="B1352" s="110">
        <v>45273</v>
      </c>
      <c r="C1352" s="122">
        <f t="shared" si="318"/>
        <v>3000000</v>
      </c>
      <c r="D1352" s="111">
        <f t="shared" si="319"/>
        <v>58481</v>
      </c>
      <c r="E1352" s="2">
        <f t="shared" si="320"/>
        <v>2250</v>
      </c>
      <c r="F1352" s="112">
        <f t="shared" si="314"/>
        <v>17000000</v>
      </c>
      <c r="G1352" s="2">
        <f t="shared" si="321"/>
        <v>855065</v>
      </c>
      <c r="H1352" s="113">
        <f t="shared" si="322"/>
        <v>9.9999999999999998E-13</v>
      </c>
      <c r="I1352" s="121">
        <f t="shared" si="315"/>
        <v>2201166</v>
      </c>
      <c r="K1352" s="123">
        <f t="shared" si="323"/>
        <v>3000000</v>
      </c>
      <c r="L1352" s="111">
        <f t="shared" si="324"/>
        <v>58481</v>
      </c>
      <c r="M1352" s="2">
        <f t="shared" si="325"/>
        <v>2250</v>
      </c>
      <c r="N1352" s="112">
        <f t="shared" si="316"/>
        <v>17000000</v>
      </c>
      <c r="O1352" s="2">
        <f t="shared" si="326"/>
        <v>855065</v>
      </c>
      <c r="P1352" s="113">
        <f t="shared" si="327"/>
        <v>9.9999999999999998E-13</v>
      </c>
      <c r="Q1352" s="121">
        <f t="shared" si="317"/>
        <v>2201166</v>
      </c>
    </row>
    <row r="1353" spans="2:17" hidden="1" x14ac:dyDescent="0.4">
      <c r="B1353" s="110">
        <v>45274</v>
      </c>
      <c r="C1353" s="122">
        <f t="shared" si="318"/>
        <v>3000000</v>
      </c>
      <c r="D1353" s="111">
        <f t="shared" si="319"/>
        <v>58481</v>
      </c>
      <c r="E1353" s="2">
        <f t="shared" si="320"/>
        <v>2250</v>
      </c>
      <c r="F1353" s="112">
        <f t="shared" si="314"/>
        <v>17000000</v>
      </c>
      <c r="G1353" s="2">
        <f t="shared" si="321"/>
        <v>855065</v>
      </c>
      <c r="H1353" s="113">
        <f t="shared" si="322"/>
        <v>9.9999999999999998E-13</v>
      </c>
      <c r="I1353" s="121">
        <f t="shared" si="315"/>
        <v>2201166</v>
      </c>
      <c r="K1353" s="123">
        <f t="shared" si="323"/>
        <v>3000000</v>
      </c>
      <c r="L1353" s="111">
        <f t="shared" si="324"/>
        <v>58481</v>
      </c>
      <c r="M1353" s="2">
        <f t="shared" si="325"/>
        <v>2250</v>
      </c>
      <c r="N1353" s="112">
        <f t="shared" si="316"/>
        <v>17000000</v>
      </c>
      <c r="O1353" s="2">
        <f t="shared" si="326"/>
        <v>855065</v>
      </c>
      <c r="P1353" s="113">
        <f t="shared" si="327"/>
        <v>9.9999999999999998E-13</v>
      </c>
      <c r="Q1353" s="121">
        <f t="shared" si="317"/>
        <v>2201166</v>
      </c>
    </row>
    <row r="1354" spans="2:17" hidden="1" x14ac:dyDescent="0.4">
      <c r="B1354" s="110">
        <v>45275</v>
      </c>
      <c r="C1354" s="122">
        <f t="shared" si="318"/>
        <v>3000000</v>
      </c>
      <c r="D1354" s="111">
        <f t="shared" si="319"/>
        <v>58481</v>
      </c>
      <c r="E1354" s="2">
        <f t="shared" si="320"/>
        <v>2250</v>
      </c>
      <c r="F1354" s="112">
        <f t="shared" ref="F1354:F1417" si="328">20000000-C1354</f>
        <v>17000000</v>
      </c>
      <c r="G1354" s="2">
        <f t="shared" si="321"/>
        <v>855065</v>
      </c>
      <c r="H1354" s="113">
        <f t="shared" si="322"/>
        <v>9.9999999999999998E-13</v>
      </c>
      <c r="I1354" s="121">
        <f t="shared" ref="I1354:I1417" si="329">C1354+D1354-G1354-E1354+H1354</f>
        <v>2201166</v>
      </c>
      <c r="K1354" s="123">
        <f t="shared" si="323"/>
        <v>3000000</v>
      </c>
      <c r="L1354" s="111">
        <f t="shared" si="324"/>
        <v>58481</v>
      </c>
      <c r="M1354" s="2">
        <f t="shared" si="325"/>
        <v>2250</v>
      </c>
      <c r="N1354" s="112">
        <f t="shared" ref="N1354:N1417" si="330">20000000-K1354</f>
        <v>17000000</v>
      </c>
      <c r="O1354" s="2">
        <f t="shared" si="326"/>
        <v>855065</v>
      </c>
      <c r="P1354" s="113">
        <f t="shared" si="327"/>
        <v>9.9999999999999998E-13</v>
      </c>
      <c r="Q1354" s="121">
        <f t="shared" ref="Q1354:Q1417" si="331">K1354+L1354-O1354-M1354+P1354</f>
        <v>2201166</v>
      </c>
    </row>
    <row r="1355" spans="2:17" hidden="1" x14ac:dyDescent="0.4">
      <c r="B1355" s="110">
        <v>45276</v>
      </c>
      <c r="C1355" s="122">
        <f t="shared" ref="C1355:C1418" si="332">SUMIF($B$6:$B$75,$B1355,$D$6:$D$75)+C1354</f>
        <v>3000000</v>
      </c>
      <c r="D1355" s="111">
        <f t="shared" ref="D1355:D1418" si="333">SUMIF($B$6:$B$75,$B1355,$E$6:$E$75)+D1354</f>
        <v>58481</v>
      </c>
      <c r="E1355" s="2">
        <f t="shared" ref="E1355:E1418" si="334">SUMIF($G$353:$G$376,$B1355,$J$353:$J$376)+SUMIF($E$353:$E$376,$B1355,$H$353:$H$376)+SUMIF($G$353:$G$376,$B1355,$I$353:$I$376)+E1354</f>
        <v>2250</v>
      </c>
      <c r="F1355" s="112">
        <f t="shared" si="328"/>
        <v>17000000</v>
      </c>
      <c r="G1355" s="2">
        <f t="shared" ref="G1355:G1418" si="335">SUMIF($E$353:$E$376,$B1355,$M$353:$M$376)+G1354</f>
        <v>855065</v>
      </c>
      <c r="H1355" s="113">
        <f t="shared" ref="H1355:H1418" si="336">SUMIF($G$353:$G$376,$B1355,$N$353:$N$376)+H1354</f>
        <v>9.9999999999999998E-13</v>
      </c>
      <c r="I1355" s="121">
        <f t="shared" si="329"/>
        <v>2201166</v>
      </c>
      <c r="K1355" s="123">
        <f t="shared" ref="K1355:K1418" si="337">SUMIF($B$6:$B$75,$B1355,$D$6:$D$75)+K1354</f>
        <v>3000000</v>
      </c>
      <c r="L1355" s="111">
        <f t="shared" ref="L1355:L1418" si="338">SUMIF($B$6:$B$75,$B1355,$E$6:$E$75)+L1354</f>
        <v>58481</v>
      </c>
      <c r="M1355" s="2">
        <f t="shared" ref="M1355:M1418" si="339">SUMIF($G$353:$G$376,$B1355,$J$353:$J$376)+SUMIF($E$353:$E$376,$B1355,$H$353:$H$376)+SUMIF($G$353:$G$376,$B1355,$I$353:$I$376)+M1354</f>
        <v>2250</v>
      </c>
      <c r="N1355" s="112">
        <f t="shared" si="330"/>
        <v>17000000</v>
      </c>
      <c r="O1355" s="2">
        <f t="shared" ref="O1355:O1418" si="340">SUMIF($E$353:$E$376,$B1355,$M$353:$M$376)+O1354</f>
        <v>855065</v>
      </c>
      <c r="P1355" s="113">
        <f t="shared" ref="P1355:P1418" si="341">SUMIF($G$353:$G$376,$B1355,$N$353:$N$376)+P1354</f>
        <v>9.9999999999999998E-13</v>
      </c>
      <c r="Q1355" s="121">
        <f t="shared" si="331"/>
        <v>2201166</v>
      </c>
    </row>
    <row r="1356" spans="2:17" hidden="1" x14ac:dyDescent="0.4">
      <c r="B1356" s="110">
        <v>45277</v>
      </c>
      <c r="C1356" s="122">
        <f t="shared" si="332"/>
        <v>3000000</v>
      </c>
      <c r="D1356" s="111">
        <f t="shared" si="333"/>
        <v>58481</v>
      </c>
      <c r="E1356" s="2">
        <f t="shared" si="334"/>
        <v>2250</v>
      </c>
      <c r="F1356" s="112">
        <f t="shared" si="328"/>
        <v>17000000</v>
      </c>
      <c r="G1356" s="2">
        <f t="shared" si="335"/>
        <v>855065</v>
      </c>
      <c r="H1356" s="113">
        <f t="shared" si="336"/>
        <v>9.9999999999999998E-13</v>
      </c>
      <c r="I1356" s="121">
        <f t="shared" si="329"/>
        <v>2201166</v>
      </c>
      <c r="K1356" s="123">
        <f t="shared" si="337"/>
        <v>3000000</v>
      </c>
      <c r="L1356" s="111">
        <f t="shared" si="338"/>
        <v>58481</v>
      </c>
      <c r="M1356" s="2">
        <f t="shared" si="339"/>
        <v>2250</v>
      </c>
      <c r="N1356" s="112">
        <f t="shared" si="330"/>
        <v>17000000</v>
      </c>
      <c r="O1356" s="2">
        <f t="shared" si="340"/>
        <v>855065</v>
      </c>
      <c r="P1356" s="113">
        <f t="shared" si="341"/>
        <v>9.9999999999999998E-13</v>
      </c>
      <c r="Q1356" s="121">
        <f t="shared" si="331"/>
        <v>2201166</v>
      </c>
    </row>
    <row r="1357" spans="2:17" hidden="1" x14ac:dyDescent="0.4">
      <c r="B1357" s="110">
        <v>45278</v>
      </c>
      <c r="C1357" s="122">
        <f t="shared" si="332"/>
        <v>3000000</v>
      </c>
      <c r="D1357" s="111">
        <f t="shared" si="333"/>
        <v>58481</v>
      </c>
      <c r="E1357" s="2">
        <f t="shared" si="334"/>
        <v>2250</v>
      </c>
      <c r="F1357" s="112">
        <f t="shared" si="328"/>
        <v>17000000</v>
      </c>
      <c r="G1357" s="2">
        <f t="shared" si="335"/>
        <v>855065</v>
      </c>
      <c r="H1357" s="113">
        <f t="shared" si="336"/>
        <v>9.9999999999999998E-13</v>
      </c>
      <c r="I1357" s="121">
        <f t="shared" si="329"/>
        <v>2201166</v>
      </c>
      <c r="K1357" s="123">
        <f t="shared" si="337"/>
        <v>3000000</v>
      </c>
      <c r="L1357" s="111">
        <f t="shared" si="338"/>
        <v>58481</v>
      </c>
      <c r="M1357" s="2">
        <f t="shared" si="339"/>
        <v>2250</v>
      </c>
      <c r="N1357" s="112">
        <f t="shared" si="330"/>
        <v>17000000</v>
      </c>
      <c r="O1357" s="2">
        <f t="shared" si="340"/>
        <v>855065</v>
      </c>
      <c r="P1357" s="113">
        <f t="shared" si="341"/>
        <v>9.9999999999999998E-13</v>
      </c>
      <c r="Q1357" s="121">
        <f t="shared" si="331"/>
        <v>2201166</v>
      </c>
    </row>
    <row r="1358" spans="2:17" hidden="1" x14ac:dyDescent="0.4">
      <c r="B1358" s="110">
        <v>45279</v>
      </c>
      <c r="C1358" s="122">
        <f t="shared" si="332"/>
        <v>3000000</v>
      </c>
      <c r="D1358" s="111">
        <f t="shared" si="333"/>
        <v>58481</v>
      </c>
      <c r="E1358" s="2">
        <f t="shared" si="334"/>
        <v>2250</v>
      </c>
      <c r="F1358" s="112">
        <f t="shared" si="328"/>
        <v>17000000</v>
      </c>
      <c r="G1358" s="2">
        <f t="shared" si="335"/>
        <v>855065</v>
      </c>
      <c r="H1358" s="113">
        <f t="shared" si="336"/>
        <v>9.9999999999999998E-13</v>
      </c>
      <c r="I1358" s="121">
        <f t="shared" si="329"/>
        <v>2201166</v>
      </c>
      <c r="K1358" s="123">
        <f t="shared" si="337"/>
        <v>3000000</v>
      </c>
      <c r="L1358" s="111">
        <f t="shared" si="338"/>
        <v>58481</v>
      </c>
      <c r="M1358" s="2">
        <f t="shared" si="339"/>
        <v>2250</v>
      </c>
      <c r="N1358" s="112">
        <f t="shared" si="330"/>
        <v>17000000</v>
      </c>
      <c r="O1358" s="2">
        <f t="shared" si="340"/>
        <v>855065</v>
      </c>
      <c r="P1358" s="113">
        <f t="shared" si="341"/>
        <v>9.9999999999999998E-13</v>
      </c>
      <c r="Q1358" s="121">
        <f t="shared" si="331"/>
        <v>2201166</v>
      </c>
    </row>
    <row r="1359" spans="2:17" hidden="1" x14ac:dyDescent="0.4">
      <c r="B1359" s="110">
        <v>45280</v>
      </c>
      <c r="C1359" s="122">
        <f t="shared" si="332"/>
        <v>3000000</v>
      </c>
      <c r="D1359" s="111">
        <f t="shared" si="333"/>
        <v>58481</v>
      </c>
      <c r="E1359" s="2">
        <f t="shared" si="334"/>
        <v>2250</v>
      </c>
      <c r="F1359" s="112">
        <f t="shared" si="328"/>
        <v>17000000</v>
      </c>
      <c r="G1359" s="2">
        <f t="shared" si="335"/>
        <v>855065</v>
      </c>
      <c r="H1359" s="113">
        <f t="shared" si="336"/>
        <v>9.9999999999999998E-13</v>
      </c>
      <c r="I1359" s="121">
        <f t="shared" si="329"/>
        <v>2201166</v>
      </c>
      <c r="K1359" s="123">
        <f t="shared" si="337"/>
        <v>3000000</v>
      </c>
      <c r="L1359" s="111">
        <f t="shared" si="338"/>
        <v>58481</v>
      </c>
      <c r="M1359" s="2">
        <f t="shared" si="339"/>
        <v>2250</v>
      </c>
      <c r="N1359" s="112">
        <f t="shared" si="330"/>
        <v>17000000</v>
      </c>
      <c r="O1359" s="2">
        <f t="shared" si="340"/>
        <v>855065</v>
      </c>
      <c r="P1359" s="113">
        <f t="shared" si="341"/>
        <v>9.9999999999999998E-13</v>
      </c>
      <c r="Q1359" s="121">
        <f t="shared" si="331"/>
        <v>2201166</v>
      </c>
    </row>
    <row r="1360" spans="2:17" hidden="1" x14ac:dyDescent="0.4">
      <c r="B1360" s="110">
        <v>45281</v>
      </c>
      <c r="C1360" s="122">
        <f t="shared" si="332"/>
        <v>3000000</v>
      </c>
      <c r="D1360" s="111">
        <f t="shared" si="333"/>
        <v>58481</v>
      </c>
      <c r="E1360" s="2">
        <f t="shared" si="334"/>
        <v>2250</v>
      </c>
      <c r="F1360" s="112">
        <f t="shared" si="328"/>
        <v>17000000</v>
      </c>
      <c r="G1360" s="2">
        <f t="shared" si="335"/>
        <v>855065</v>
      </c>
      <c r="H1360" s="113">
        <f t="shared" si="336"/>
        <v>9.9999999999999998E-13</v>
      </c>
      <c r="I1360" s="121">
        <f t="shared" si="329"/>
        <v>2201166</v>
      </c>
      <c r="K1360" s="123">
        <f t="shared" si="337"/>
        <v>3000000</v>
      </c>
      <c r="L1360" s="111">
        <f t="shared" si="338"/>
        <v>58481</v>
      </c>
      <c r="M1360" s="2">
        <f t="shared" si="339"/>
        <v>2250</v>
      </c>
      <c r="N1360" s="112">
        <f t="shared" si="330"/>
        <v>17000000</v>
      </c>
      <c r="O1360" s="2">
        <f t="shared" si="340"/>
        <v>855065</v>
      </c>
      <c r="P1360" s="113">
        <f t="shared" si="341"/>
        <v>9.9999999999999998E-13</v>
      </c>
      <c r="Q1360" s="121">
        <f t="shared" si="331"/>
        <v>2201166</v>
      </c>
    </row>
    <row r="1361" spans="2:17" hidden="1" x14ac:dyDescent="0.4">
      <c r="B1361" s="110">
        <v>45282</v>
      </c>
      <c r="C1361" s="122">
        <f t="shared" si="332"/>
        <v>3000000</v>
      </c>
      <c r="D1361" s="111">
        <f t="shared" si="333"/>
        <v>58481</v>
      </c>
      <c r="E1361" s="2">
        <f t="shared" si="334"/>
        <v>2250</v>
      </c>
      <c r="F1361" s="112">
        <f t="shared" si="328"/>
        <v>17000000</v>
      </c>
      <c r="G1361" s="2">
        <f t="shared" si="335"/>
        <v>855065</v>
      </c>
      <c r="H1361" s="113">
        <f t="shared" si="336"/>
        <v>9.9999999999999998E-13</v>
      </c>
      <c r="I1361" s="121">
        <f t="shared" si="329"/>
        <v>2201166</v>
      </c>
      <c r="K1361" s="123">
        <f t="shared" si="337"/>
        <v>3000000</v>
      </c>
      <c r="L1361" s="111">
        <f t="shared" si="338"/>
        <v>58481</v>
      </c>
      <c r="M1361" s="2">
        <f t="shared" si="339"/>
        <v>2250</v>
      </c>
      <c r="N1361" s="112">
        <f t="shared" si="330"/>
        <v>17000000</v>
      </c>
      <c r="O1361" s="2">
        <f t="shared" si="340"/>
        <v>855065</v>
      </c>
      <c r="P1361" s="113">
        <f t="shared" si="341"/>
        <v>9.9999999999999998E-13</v>
      </c>
      <c r="Q1361" s="121">
        <f t="shared" si="331"/>
        <v>2201166</v>
      </c>
    </row>
    <row r="1362" spans="2:17" hidden="1" x14ac:dyDescent="0.4">
      <c r="B1362" s="110">
        <v>45283</v>
      </c>
      <c r="C1362" s="122">
        <f t="shared" si="332"/>
        <v>3000000</v>
      </c>
      <c r="D1362" s="111">
        <f t="shared" si="333"/>
        <v>58481</v>
      </c>
      <c r="E1362" s="2">
        <f t="shared" si="334"/>
        <v>2250</v>
      </c>
      <c r="F1362" s="112">
        <f t="shared" si="328"/>
        <v>17000000</v>
      </c>
      <c r="G1362" s="2">
        <f t="shared" si="335"/>
        <v>855065</v>
      </c>
      <c r="H1362" s="113">
        <f t="shared" si="336"/>
        <v>9.9999999999999998E-13</v>
      </c>
      <c r="I1362" s="121">
        <f t="shared" si="329"/>
        <v>2201166</v>
      </c>
      <c r="K1362" s="123">
        <f t="shared" si="337"/>
        <v>3000000</v>
      </c>
      <c r="L1362" s="111">
        <f t="shared" si="338"/>
        <v>58481</v>
      </c>
      <c r="M1362" s="2">
        <f t="shared" si="339"/>
        <v>2250</v>
      </c>
      <c r="N1362" s="112">
        <f t="shared" si="330"/>
        <v>17000000</v>
      </c>
      <c r="O1362" s="2">
        <f t="shared" si="340"/>
        <v>855065</v>
      </c>
      <c r="P1362" s="113">
        <f t="shared" si="341"/>
        <v>9.9999999999999998E-13</v>
      </c>
      <c r="Q1362" s="121">
        <f t="shared" si="331"/>
        <v>2201166</v>
      </c>
    </row>
    <row r="1363" spans="2:17" hidden="1" x14ac:dyDescent="0.4">
      <c r="B1363" s="110">
        <v>45284</v>
      </c>
      <c r="C1363" s="122">
        <f t="shared" si="332"/>
        <v>3000000</v>
      </c>
      <c r="D1363" s="111">
        <f t="shared" si="333"/>
        <v>58481</v>
      </c>
      <c r="E1363" s="2">
        <f t="shared" si="334"/>
        <v>2250</v>
      </c>
      <c r="F1363" s="112">
        <f t="shared" si="328"/>
        <v>17000000</v>
      </c>
      <c r="G1363" s="2">
        <f t="shared" si="335"/>
        <v>855065</v>
      </c>
      <c r="H1363" s="113">
        <f t="shared" si="336"/>
        <v>9.9999999999999998E-13</v>
      </c>
      <c r="I1363" s="121">
        <f t="shared" si="329"/>
        <v>2201166</v>
      </c>
      <c r="K1363" s="123">
        <f t="shared" si="337"/>
        <v>3000000</v>
      </c>
      <c r="L1363" s="111">
        <f t="shared" si="338"/>
        <v>58481</v>
      </c>
      <c r="M1363" s="2">
        <f t="shared" si="339"/>
        <v>2250</v>
      </c>
      <c r="N1363" s="112">
        <f t="shared" si="330"/>
        <v>17000000</v>
      </c>
      <c r="O1363" s="2">
        <f t="shared" si="340"/>
        <v>855065</v>
      </c>
      <c r="P1363" s="113">
        <f t="shared" si="341"/>
        <v>9.9999999999999998E-13</v>
      </c>
      <c r="Q1363" s="121">
        <f t="shared" si="331"/>
        <v>2201166</v>
      </c>
    </row>
    <row r="1364" spans="2:17" hidden="1" x14ac:dyDescent="0.4">
      <c r="B1364" s="110">
        <v>45285</v>
      </c>
      <c r="C1364" s="122">
        <f t="shared" si="332"/>
        <v>3000000</v>
      </c>
      <c r="D1364" s="111">
        <f t="shared" si="333"/>
        <v>58481</v>
      </c>
      <c r="E1364" s="2">
        <f t="shared" si="334"/>
        <v>2250</v>
      </c>
      <c r="F1364" s="112">
        <f t="shared" si="328"/>
        <v>17000000</v>
      </c>
      <c r="G1364" s="2">
        <f t="shared" si="335"/>
        <v>855065</v>
      </c>
      <c r="H1364" s="113">
        <f t="shared" si="336"/>
        <v>9.9999999999999998E-13</v>
      </c>
      <c r="I1364" s="121">
        <f t="shared" si="329"/>
        <v>2201166</v>
      </c>
      <c r="K1364" s="123">
        <f t="shared" si="337"/>
        <v>3000000</v>
      </c>
      <c r="L1364" s="111">
        <f t="shared" si="338"/>
        <v>58481</v>
      </c>
      <c r="M1364" s="2">
        <f t="shared" si="339"/>
        <v>2250</v>
      </c>
      <c r="N1364" s="112">
        <f t="shared" si="330"/>
        <v>17000000</v>
      </c>
      <c r="O1364" s="2">
        <f t="shared" si="340"/>
        <v>855065</v>
      </c>
      <c r="P1364" s="113">
        <f t="shared" si="341"/>
        <v>9.9999999999999998E-13</v>
      </c>
      <c r="Q1364" s="121">
        <f t="shared" si="331"/>
        <v>2201166</v>
      </c>
    </row>
    <row r="1365" spans="2:17" hidden="1" x14ac:dyDescent="0.4">
      <c r="B1365" s="110">
        <v>45286</v>
      </c>
      <c r="C1365" s="122">
        <f t="shared" si="332"/>
        <v>3000000</v>
      </c>
      <c r="D1365" s="111">
        <f t="shared" si="333"/>
        <v>58481</v>
      </c>
      <c r="E1365" s="2">
        <f t="shared" si="334"/>
        <v>2250</v>
      </c>
      <c r="F1365" s="112">
        <f t="shared" si="328"/>
        <v>17000000</v>
      </c>
      <c r="G1365" s="2">
        <f t="shared" si="335"/>
        <v>855065</v>
      </c>
      <c r="H1365" s="113">
        <f t="shared" si="336"/>
        <v>9.9999999999999998E-13</v>
      </c>
      <c r="I1365" s="121">
        <f t="shared" si="329"/>
        <v>2201166</v>
      </c>
      <c r="K1365" s="123">
        <f t="shared" si="337"/>
        <v>3000000</v>
      </c>
      <c r="L1365" s="111">
        <f t="shared" si="338"/>
        <v>58481</v>
      </c>
      <c r="M1365" s="2">
        <f t="shared" si="339"/>
        <v>2250</v>
      </c>
      <c r="N1365" s="112">
        <f t="shared" si="330"/>
        <v>17000000</v>
      </c>
      <c r="O1365" s="2">
        <f t="shared" si="340"/>
        <v>855065</v>
      </c>
      <c r="P1365" s="113">
        <f t="shared" si="341"/>
        <v>9.9999999999999998E-13</v>
      </c>
      <c r="Q1365" s="121">
        <f t="shared" si="331"/>
        <v>2201166</v>
      </c>
    </row>
    <row r="1366" spans="2:17" hidden="1" x14ac:dyDescent="0.4">
      <c r="B1366" s="110">
        <v>45287</v>
      </c>
      <c r="C1366" s="122">
        <f t="shared" si="332"/>
        <v>3000000</v>
      </c>
      <c r="D1366" s="111">
        <f t="shared" si="333"/>
        <v>58481</v>
      </c>
      <c r="E1366" s="2">
        <f t="shared" si="334"/>
        <v>2250</v>
      </c>
      <c r="F1366" s="112">
        <f t="shared" si="328"/>
        <v>17000000</v>
      </c>
      <c r="G1366" s="2">
        <f t="shared" si="335"/>
        <v>855065</v>
      </c>
      <c r="H1366" s="113">
        <f t="shared" si="336"/>
        <v>9.9999999999999998E-13</v>
      </c>
      <c r="I1366" s="121">
        <f t="shared" si="329"/>
        <v>2201166</v>
      </c>
      <c r="K1366" s="123">
        <f t="shared" si="337"/>
        <v>3000000</v>
      </c>
      <c r="L1366" s="111">
        <f t="shared" si="338"/>
        <v>58481</v>
      </c>
      <c r="M1366" s="2">
        <f t="shared" si="339"/>
        <v>2250</v>
      </c>
      <c r="N1366" s="112">
        <f t="shared" si="330"/>
        <v>17000000</v>
      </c>
      <c r="O1366" s="2">
        <f t="shared" si="340"/>
        <v>855065</v>
      </c>
      <c r="P1366" s="113">
        <f t="shared" si="341"/>
        <v>9.9999999999999998E-13</v>
      </c>
      <c r="Q1366" s="121">
        <f t="shared" si="331"/>
        <v>2201166</v>
      </c>
    </row>
    <row r="1367" spans="2:17" hidden="1" x14ac:dyDescent="0.4">
      <c r="B1367" s="110">
        <v>45288</v>
      </c>
      <c r="C1367" s="122">
        <f t="shared" si="332"/>
        <v>3000000</v>
      </c>
      <c r="D1367" s="111">
        <f t="shared" si="333"/>
        <v>58481</v>
      </c>
      <c r="E1367" s="2">
        <f t="shared" si="334"/>
        <v>2250</v>
      </c>
      <c r="F1367" s="112">
        <f t="shared" si="328"/>
        <v>17000000</v>
      </c>
      <c r="G1367" s="2">
        <f t="shared" si="335"/>
        <v>855065</v>
      </c>
      <c r="H1367" s="113">
        <f t="shared" si="336"/>
        <v>9.9999999999999998E-13</v>
      </c>
      <c r="I1367" s="121">
        <f t="shared" si="329"/>
        <v>2201166</v>
      </c>
      <c r="K1367" s="123">
        <f t="shared" si="337"/>
        <v>3000000</v>
      </c>
      <c r="L1367" s="111">
        <f t="shared" si="338"/>
        <v>58481</v>
      </c>
      <c r="M1367" s="2">
        <f t="shared" si="339"/>
        <v>2250</v>
      </c>
      <c r="N1367" s="112">
        <f t="shared" si="330"/>
        <v>17000000</v>
      </c>
      <c r="O1367" s="2">
        <f t="shared" si="340"/>
        <v>855065</v>
      </c>
      <c r="P1367" s="113">
        <f t="shared" si="341"/>
        <v>9.9999999999999998E-13</v>
      </c>
      <c r="Q1367" s="121">
        <f t="shared" si="331"/>
        <v>2201166</v>
      </c>
    </row>
    <row r="1368" spans="2:17" hidden="1" x14ac:dyDescent="0.4">
      <c r="B1368" s="110">
        <v>45289</v>
      </c>
      <c r="C1368" s="122">
        <f t="shared" si="332"/>
        <v>3000000</v>
      </c>
      <c r="D1368" s="111">
        <f t="shared" si="333"/>
        <v>58481</v>
      </c>
      <c r="E1368" s="2">
        <f t="shared" si="334"/>
        <v>2250</v>
      </c>
      <c r="F1368" s="112">
        <f t="shared" si="328"/>
        <v>17000000</v>
      </c>
      <c r="G1368" s="2">
        <f t="shared" si="335"/>
        <v>855065</v>
      </c>
      <c r="H1368" s="113">
        <f t="shared" si="336"/>
        <v>9.9999999999999998E-13</v>
      </c>
      <c r="I1368" s="121">
        <f t="shared" si="329"/>
        <v>2201166</v>
      </c>
      <c r="K1368" s="123">
        <f t="shared" si="337"/>
        <v>3000000</v>
      </c>
      <c r="L1368" s="111">
        <f t="shared" si="338"/>
        <v>58481</v>
      </c>
      <c r="M1368" s="2">
        <f t="shared" si="339"/>
        <v>2250</v>
      </c>
      <c r="N1368" s="112">
        <f t="shared" si="330"/>
        <v>17000000</v>
      </c>
      <c r="O1368" s="2">
        <f t="shared" si="340"/>
        <v>855065</v>
      </c>
      <c r="P1368" s="113">
        <f t="shared" si="341"/>
        <v>9.9999999999999998E-13</v>
      </c>
      <c r="Q1368" s="121">
        <f t="shared" si="331"/>
        <v>2201166</v>
      </c>
    </row>
    <row r="1369" spans="2:17" hidden="1" x14ac:dyDescent="0.4">
      <c r="B1369" s="110">
        <v>45290</v>
      </c>
      <c r="C1369" s="122">
        <f t="shared" si="332"/>
        <v>3000000</v>
      </c>
      <c r="D1369" s="111">
        <f t="shared" si="333"/>
        <v>58481</v>
      </c>
      <c r="E1369" s="2">
        <f t="shared" si="334"/>
        <v>2250</v>
      </c>
      <c r="F1369" s="112">
        <f t="shared" si="328"/>
        <v>17000000</v>
      </c>
      <c r="G1369" s="2">
        <f t="shared" si="335"/>
        <v>855065</v>
      </c>
      <c r="H1369" s="113">
        <f t="shared" si="336"/>
        <v>9.9999999999999998E-13</v>
      </c>
      <c r="I1369" s="121">
        <f t="shared" si="329"/>
        <v>2201166</v>
      </c>
      <c r="K1369" s="123">
        <f t="shared" si="337"/>
        <v>3000000</v>
      </c>
      <c r="L1369" s="111">
        <f t="shared" si="338"/>
        <v>58481</v>
      </c>
      <c r="M1369" s="2">
        <f t="shared" si="339"/>
        <v>2250</v>
      </c>
      <c r="N1369" s="112">
        <f t="shared" si="330"/>
        <v>17000000</v>
      </c>
      <c r="O1369" s="2">
        <f t="shared" si="340"/>
        <v>855065</v>
      </c>
      <c r="P1369" s="113">
        <f t="shared" si="341"/>
        <v>9.9999999999999998E-13</v>
      </c>
      <c r="Q1369" s="121">
        <f t="shared" si="331"/>
        <v>2201166</v>
      </c>
    </row>
    <row r="1370" spans="2:17" hidden="1" x14ac:dyDescent="0.4">
      <c r="B1370" s="110">
        <v>45291</v>
      </c>
      <c r="C1370" s="122">
        <f t="shared" si="332"/>
        <v>3000000</v>
      </c>
      <c r="D1370" s="111">
        <f t="shared" si="333"/>
        <v>58481</v>
      </c>
      <c r="E1370" s="2">
        <f t="shared" si="334"/>
        <v>2250</v>
      </c>
      <c r="F1370" s="112">
        <f t="shared" si="328"/>
        <v>17000000</v>
      </c>
      <c r="G1370" s="2">
        <f t="shared" si="335"/>
        <v>855065</v>
      </c>
      <c r="H1370" s="113">
        <f t="shared" si="336"/>
        <v>9.9999999999999998E-13</v>
      </c>
      <c r="I1370" s="121">
        <f t="shared" si="329"/>
        <v>2201166</v>
      </c>
      <c r="K1370" s="123">
        <f t="shared" si="337"/>
        <v>3000000</v>
      </c>
      <c r="L1370" s="111">
        <f t="shared" si="338"/>
        <v>58481</v>
      </c>
      <c r="M1370" s="2">
        <f t="shared" si="339"/>
        <v>2250</v>
      </c>
      <c r="N1370" s="112">
        <f t="shared" si="330"/>
        <v>17000000</v>
      </c>
      <c r="O1370" s="2">
        <f t="shared" si="340"/>
        <v>855065</v>
      </c>
      <c r="P1370" s="113">
        <f t="shared" si="341"/>
        <v>9.9999999999999998E-13</v>
      </c>
      <c r="Q1370" s="121">
        <f t="shared" si="331"/>
        <v>2201166</v>
      </c>
    </row>
    <row r="1371" spans="2:17" x14ac:dyDescent="0.4">
      <c r="B1371" s="110">
        <v>45292</v>
      </c>
      <c r="C1371" s="122">
        <f t="shared" si="332"/>
        <v>3000000</v>
      </c>
      <c r="D1371" s="111">
        <f t="shared" si="333"/>
        <v>58481</v>
      </c>
      <c r="E1371" s="2">
        <f t="shared" si="334"/>
        <v>2250</v>
      </c>
      <c r="F1371" s="112">
        <f t="shared" si="328"/>
        <v>17000000</v>
      </c>
      <c r="G1371" s="2">
        <f t="shared" si="335"/>
        <v>855065</v>
      </c>
      <c r="H1371" s="113">
        <f t="shared" si="336"/>
        <v>9.9999999999999998E-13</v>
      </c>
      <c r="I1371" s="121">
        <f t="shared" si="329"/>
        <v>2201166</v>
      </c>
      <c r="K1371" s="123">
        <f t="shared" si="337"/>
        <v>3000000</v>
      </c>
      <c r="L1371" s="111">
        <f t="shared" si="338"/>
        <v>58481</v>
      </c>
      <c r="M1371" s="2">
        <f t="shared" si="339"/>
        <v>2250</v>
      </c>
      <c r="N1371" s="112">
        <f t="shared" si="330"/>
        <v>17000000</v>
      </c>
      <c r="O1371" s="2">
        <f t="shared" si="340"/>
        <v>855065</v>
      </c>
      <c r="P1371" s="113">
        <f t="shared" si="341"/>
        <v>9.9999999999999998E-13</v>
      </c>
      <c r="Q1371" s="121">
        <f t="shared" si="331"/>
        <v>2201166</v>
      </c>
    </row>
    <row r="1372" spans="2:17" hidden="1" x14ac:dyDescent="0.4">
      <c r="B1372" s="110">
        <v>45293</v>
      </c>
      <c r="C1372" s="122">
        <f t="shared" si="332"/>
        <v>3000000</v>
      </c>
      <c r="D1372" s="111">
        <f t="shared" si="333"/>
        <v>58481</v>
      </c>
      <c r="E1372" s="2">
        <f t="shared" si="334"/>
        <v>2250</v>
      </c>
      <c r="F1372" s="112">
        <f t="shared" si="328"/>
        <v>17000000</v>
      </c>
      <c r="G1372" s="2">
        <f t="shared" si="335"/>
        <v>855065</v>
      </c>
      <c r="H1372" s="113">
        <f t="shared" si="336"/>
        <v>9.9999999999999998E-13</v>
      </c>
      <c r="I1372" s="121">
        <f t="shared" si="329"/>
        <v>2201166</v>
      </c>
      <c r="K1372" s="123">
        <f t="shared" si="337"/>
        <v>3000000</v>
      </c>
      <c r="L1372" s="111">
        <f t="shared" si="338"/>
        <v>58481</v>
      </c>
      <c r="M1372" s="2">
        <f t="shared" si="339"/>
        <v>2250</v>
      </c>
      <c r="N1372" s="112">
        <f t="shared" si="330"/>
        <v>17000000</v>
      </c>
      <c r="O1372" s="2">
        <f t="shared" si="340"/>
        <v>855065</v>
      </c>
      <c r="P1372" s="113">
        <f t="shared" si="341"/>
        <v>9.9999999999999998E-13</v>
      </c>
      <c r="Q1372" s="121">
        <f t="shared" si="331"/>
        <v>2201166</v>
      </c>
    </row>
    <row r="1373" spans="2:17" hidden="1" x14ac:dyDescent="0.4">
      <c r="B1373" s="110">
        <v>45294</v>
      </c>
      <c r="C1373" s="122">
        <f t="shared" si="332"/>
        <v>3000000</v>
      </c>
      <c r="D1373" s="111">
        <f t="shared" si="333"/>
        <v>58481</v>
      </c>
      <c r="E1373" s="2">
        <f t="shared" si="334"/>
        <v>2250</v>
      </c>
      <c r="F1373" s="112">
        <f t="shared" si="328"/>
        <v>17000000</v>
      </c>
      <c r="G1373" s="2">
        <f t="shared" si="335"/>
        <v>855065</v>
      </c>
      <c r="H1373" s="113">
        <f t="shared" si="336"/>
        <v>9.9999999999999998E-13</v>
      </c>
      <c r="I1373" s="121">
        <f t="shared" si="329"/>
        <v>2201166</v>
      </c>
      <c r="K1373" s="123">
        <f t="shared" si="337"/>
        <v>3000000</v>
      </c>
      <c r="L1373" s="111">
        <f t="shared" si="338"/>
        <v>58481</v>
      </c>
      <c r="M1373" s="2">
        <f t="shared" si="339"/>
        <v>2250</v>
      </c>
      <c r="N1373" s="112">
        <f t="shared" si="330"/>
        <v>17000000</v>
      </c>
      <c r="O1373" s="2">
        <f t="shared" si="340"/>
        <v>855065</v>
      </c>
      <c r="P1373" s="113">
        <f t="shared" si="341"/>
        <v>9.9999999999999998E-13</v>
      </c>
      <c r="Q1373" s="121">
        <f t="shared" si="331"/>
        <v>2201166</v>
      </c>
    </row>
    <row r="1374" spans="2:17" hidden="1" x14ac:dyDescent="0.4">
      <c r="B1374" s="110">
        <v>45295</v>
      </c>
      <c r="C1374" s="122">
        <f t="shared" si="332"/>
        <v>3000000</v>
      </c>
      <c r="D1374" s="111">
        <f t="shared" si="333"/>
        <v>58481</v>
      </c>
      <c r="E1374" s="2">
        <f t="shared" si="334"/>
        <v>2250</v>
      </c>
      <c r="F1374" s="112">
        <f t="shared" si="328"/>
        <v>17000000</v>
      </c>
      <c r="G1374" s="2">
        <f t="shared" si="335"/>
        <v>855065</v>
      </c>
      <c r="H1374" s="113">
        <f t="shared" si="336"/>
        <v>9.9999999999999998E-13</v>
      </c>
      <c r="I1374" s="121">
        <f t="shared" si="329"/>
        <v>2201166</v>
      </c>
      <c r="K1374" s="123">
        <f t="shared" si="337"/>
        <v>3000000</v>
      </c>
      <c r="L1374" s="111">
        <f t="shared" si="338"/>
        <v>58481</v>
      </c>
      <c r="M1374" s="2">
        <f t="shared" si="339"/>
        <v>2250</v>
      </c>
      <c r="N1374" s="112">
        <f t="shared" si="330"/>
        <v>17000000</v>
      </c>
      <c r="O1374" s="2">
        <f t="shared" si="340"/>
        <v>855065</v>
      </c>
      <c r="P1374" s="113">
        <f t="shared" si="341"/>
        <v>9.9999999999999998E-13</v>
      </c>
      <c r="Q1374" s="121">
        <f t="shared" si="331"/>
        <v>2201166</v>
      </c>
    </row>
    <row r="1375" spans="2:17" hidden="1" x14ac:dyDescent="0.4">
      <c r="B1375" s="110">
        <v>45296</v>
      </c>
      <c r="C1375" s="122">
        <f t="shared" si="332"/>
        <v>3000000</v>
      </c>
      <c r="D1375" s="111">
        <f t="shared" si="333"/>
        <v>58481</v>
      </c>
      <c r="E1375" s="2">
        <f t="shared" si="334"/>
        <v>2250</v>
      </c>
      <c r="F1375" s="112">
        <f t="shared" si="328"/>
        <v>17000000</v>
      </c>
      <c r="G1375" s="2">
        <f t="shared" si="335"/>
        <v>855065</v>
      </c>
      <c r="H1375" s="113">
        <f t="shared" si="336"/>
        <v>9.9999999999999998E-13</v>
      </c>
      <c r="I1375" s="121">
        <f t="shared" si="329"/>
        <v>2201166</v>
      </c>
      <c r="K1375" s="123">
        <f t="shared" si="337"/>
        <v>3000000</v>
      </c>
      <c r="L1375" s="111">
        <f t="shared" si="338"/>
        <v>58481</v>
      </c>
      <c r="M1375" s="2">
        <f t="shared" si="339"/>
        <v>2250</v>
      </c>
      <c r="N1375" s="112">
        <f t="shared" si="330"/>
        <v>17000000</v>
      </c>
      <c r="O1375" s="2">
        <f t="shared" si="340"/>
        <v>855065</v>
      </c>
      <c r="P1375" s="113">
        <f t="shared" si="341"/>
        <v>9.9999999999999998E-13</v>
      </c>
      <c r="Q1375" s="121">
        <f t="shared" si="331"/>
        <v>2201166</v>
      </c>
    </row>
    <row r="1376" spans="2:17" hidden="1" x14ac:dyDescent="0.4">
      <c r="B1376" s="110">
        <v>45297</v>
      </c>
      <c r="C1376" s="122">
        <f t="shared" si="332"/>
        <v>3000000</v>
      </c>
      <c r="D1376" s="111">
        <f t="shared" si="333"/>
        <v>58481</v>
      </c>
      <c r="E1376" s="2">
        <f t="shared" si="334"/>
        <v>2250</v>
      </c>
      <c r="F1376" s="112">
        <f t="shared" si="328"/>
        <v>17000000</v>
      </c>
      <c r="G1376" s="2">
        <f t="shared" si="335"/>
        <v>855065</v>
      </c>
      <c r="H1376" s="113">
        <f t="shared" si="336"/>
        <v>9.9999999999999998E-13</v>
      </c>
      <c r="I1376" s="121">
        <f t="shared" si="329"/>
        <v>2201166</v>
      </c>
      <c r="K1376" s="123">
        <f t="shared" si="337"/>
        <v>3000000</v>
      </c>
      <c r="L1376" s="111">
        <f t="shared" si="338"/>
        <v>58481</v>
      </c>
      <c r="M1376" s="2">
        <f t="shared" si="339"/>
        <v>2250</v>
      </c>
      <c r="N1376" s="112">
        <f t="shared" si="330"/>
        <v>17000000</v>
      </c>
      <c r="O1376" s="2">
        <f t="shared" si="340"/>
        <v>855065</v>
      </c>
      <c r="P1376" s="113">
        <f t="shared" si="341"/>
        <v>9.9999999999999998E-13</v>
      </c>
      <c r="Q1376" s="121">
        <f t="shared" si="331"/>
        <v>2201166</v>
      </c>
    </row>
    <row r="1377" spans="2:17" hidden="1" x14ac:dyDescent="0.4">
      <c r="B1377" s="110">
        <v>45298</v>
      </c>
      <c r="C1377" s="122">
        <f t="shared" si="332"/>
        <v>3000000</v>
      </c>
      <c r="D1377" s="111">
        <f t="shared" si="333"/>
        <v>58481</v>
      </c>
      <c r="E1377" s="2">
        <f t="shared" si="334"/>
        <v>2250</v>
      </c>
      <c r="F1377" s="112">
        <f t="shared" si="328"/>
        <v>17000000</v>
      </c>
      <c r="G1377" s="2">
        <f t="shared" si="335"/>
        <v>855065</v>
      </c>
      <c r="H1377" s="113">
        <f t="shared" si="336"/>
        <v>9.9999999999999998E-13</v>
      </c>
      <c r="I1377" s="121">
        <f t="shared" si="329"/>
        <v>2201166</v>
      </c>
      <c r="K1377" s="123">
        <f t="shared" si="337"/>
        <v>3000000</v>
      </c>
      <c r="L1377" s="111">
        <f t="shared" si="338"/>
        <v>58481</v>
      </c>
      <c r="M1377" s="2">
        <f t="shared" si="339"/>
        <v>2250</v>
      </c>
      <c r="N1377" s="112">
        <f t="shared" si="330"/>
        <v>17000000</v>
      </c>
      <c r="O1377" s="2">
        <f t="shared" si="340"/>
        <v>855065</v>
      </c>
      <c r="P1377" s="113">
        <f t="shared" si="341"/>
        <v>9.9999999999999998E-13</v>
      </c>
      <c r="Q1377" s="121">
        <f t="shared" si="331"/>
        <v>2201166</v>
      </c>
    </row>
    <row r="1378" spans="2:17" hidden="1" x14ac:dyDescent="0.4">
      <c r="B1378" s="110">
        <v>45299</v>
      </c>
      <c r="C1378" s="122">
        <f t="shared" si="332"/>
        <v>3000000</v>
      </c>
      <c r="D1378" s="111">
        <f t="shared" si="333"/>
        <v>58481</v>
      </c>
      <c r="E1378" s="2">
        <f t="shared" si="334"/>
        <v>2250</v>
      </c>
      <c r="F1378" s="112">
        <f t="shared" si="328"/>
        <v>17000000</v>
      </c>
      <c r="G1378" s="2">
        <f t="shared" si="335"/>
        <v>855065</v>
      </c>
      <c r="H1378" s="113">
        <f t="shared" si="336"/>
        <v>9.9999999999999998E-13</v>
      </c>
      <c r="I1378" s="121">
        <f t="shared" si="329"/>
        <v>2201166</v>
      </c>
      <c r="K1378" s="123">
        <f t="shared" si="337"/>
        <v>3000000</v>
      </c>
      <c r="L1378" s="111">
        <f t="shared" si="338"/>
        <v>58481</v>
      </c>
      <c r="M1378" s="2">
        <f t="shared" si="339"/>
        <v>2250</v>
      </c>
      <c r="N1378" s="112">
        <f t="shared" si="330"/>
        <v>17000000</v>
      </c>
      <c r="O1378" s="2">
        <f t="shared" si="340"/>
        <v>855065</v>
      </c>
      <c r="P1378" s="113">
        <f t="shared" si="341"/>
        <v>9.9999999999999998E-13</v>
      </c>
      <c r="Q1378" s="121">
        <f t="shared" si="331"/>
        <v>2201166</v>
      </c>
    </row>
    <row r="1379" spans="2:17" hidden="1" x14ac:dyDescent="0.4">
      <c r="B1379" s="110">
        <v>45300</v>
      </c>
      <c r="C1379" s="122">
        <f t="shared" si="332"/>
        <v>3000000</v>
      </c>
      <c r="D1379" s="111">
        <f t="shared" si="333"/>
        <v>58481</v>
      </c>
      <c r="E1379" s="2">
        <f t="shared" si="334"/>
        <v>2250</v>
      </c>
      <c r="F1379" s="112">
        <f t="shared" si="328"/>
        <v>17000000</v>
      </c>
      <c r="G1379" s="2">
        <f t="shared" si="335"/>
        <v>855065</v>
      </c>
      <c r="H1379" s="113">
        <f t="shared" si="336"/>
        <v>9.9999999999999998E-13</v>
      </c>
      <c r="I1379" s="121">
        <f t="shared" si="329"/>
        <v>2201166</v>
      </c>
      <c r="K1379" s="123">
        <f t="shared" si="337"/>
        <v>3000000</v>
      </c>
      <c r="L1379" s="111">
        <f t="shared" si="338"/>
        <v>58481</v>
      </c>
      <c r="M1379" s="2">
        <f t="shared" si="339"/>
        <v>2250</v>
      </c>
      <c r="N1379" s="112">
        <f t="shared" si="330"/>
        <v>17000000</v>
      </c>
      <c r="O1379" s="2">
        <f t="shared" si="340"/>
        <v>855065</v>
      </c>
      <c r="P1379" s="113">
        <f t="shared" si="341"/>
        <v>9.9999999999999998E-13</v>
      </c>
      <c r="Q1379" s="121">
        <f t="shared" si="331"/>
        <v>2201166</v>
      </c>
    </row>
    <row r="1380" spans="2:17" hidden="1" x14ac:dyDescent="0.4">
      <c r="B1380" s="110">
        <v>45301</v>
      </c>
      <c r="C1380" s="122">
        <f t="shared" si="332"/>
        <v>3000000</v>
      </c>
      <c r="D1380" s="111">
        <f t="shared" si="333"/>
        <v>58481</v>
      </c>
      <c r="E1380" s="2">
        <f t="shared" si="334"/>
        <v>2250</v>
      </c>
      <c r="F1380" s="112">
        <f t="shared" si="328"/>
        <v>17000000</v>
      </c>
      <c r="G1380" s="2">
        <f t="shared" si="335"/>
        <v>855065</v>
      </c>
      <c r="H1380" s="113">
        <f t="shared" si="336"/>
        <v>9.9999999999999998E-13</v>
      </c>
      <c r="I1380" s="121">
        <f t="shared" si="329"/>
        <v>2201166</v>
      </c>
      <c r="K1380" s="123">
        <f t="shared" si="337"/>
        <v>3000000</v>
      </c>
      <c r="L1380" s="111">
        <f t="shared" si="338"/>
        <v>58481</v>
      </c>
      <c r="M1380" s="2">
        <f t="shared" si="339"/>
        <v>2250</v>
      </c>
      <c r="N1380" s="112">
        <f t="shared" si="330"/>
        <v>17000000</v>
      </c>
      <c r="O1380" s="2">
        <f t="shared" si="340"/>
        <v>855065</v>
      </c>
      <c r="P1380" s="113">
        <f t="shared" si="341"/>
        <v>9.9999999999999998E-13</v>
      </c>
      <c r="Q1380" s="121">
        <f t="shared" si="331"/>
        <v>2201166</v>
      </c>
    </row>
    <row r="1381" spans="2:17" hidden="1" x14ac:dyDescent="0.4">
      <c r="B1381" s="110">
        <v>45302</v>
      </c>
      <c r="C1381" s="122">
        <f t="shared" si="332"/>
        <v>3000000</v>
      </c>
      <c r="D1381" s="111">
        <f t="shared" si="333"/>
        <v>58481</v>
      </c>
      <c r="E1381" s="2">
        <f t="shared" si="334"/>
        <v>2250</v>
      </c>
      <c r="F1381" s="112">
        <f t="shared" si="328"/>
        <v>17000000</v>
      </c>
      <c r="G1381" s="2">
        <f t="shared" si="335"/>
        <v>855065</v>
      </c>
      <c r="H1381" s="113">
        <f t="shared" si="336"/>
        <v>9.9999999999999998E-13</v>
      </c>
      <c r="I1381" s="121">
        <f t="shared" si="329"/>
        <v>2201166</v>
      </c>
      <c r="K1381" s="123">
        <f t="shared" si="337"/>
        <v>3000000</v>
      </c>
      <c r="L1381" s="111">
        <f t="shared" si="338"/>
        <v>58481</v>
      </c>
      <c r="M1381" s="2">
        <f t="shared" si="339"/>
        <v>2250</v>
      </c>
      <c r="N1381" s="112">
        <f t="shared" si="330"/>
        <v>17000000</v>
      </c>
      <c r="O1381" s="2">
        <f t="shared" si="340"/>
        <v>855065</v>
      </c>
      <c r="P1381" s="113">
        <f t="shared" si="341"/>
        <v>9.9999999999999998E-13</v>
      </c>
      <c r="Q1381" s="121">
        <f t="shared" si="331"/>
        <v>2201166</v>
      </c>
    </row>
    <row r="1382" spans="2:17" hidden="1" x14ac:dyDescent="0.4">
      <c r="B1382" s="110">
        <v>45303</v>
      </c>
      <c r="C1382" s="122">
        <f t="shared" si="332"/>
        <v>3000000</v>
      </c>
      <c r="D1382" s="111">
        <f t="shared" si="333"/>
        <v>58481</v>
      </c>
      <c r="E1382" s="2">
        <f t="shared" si="334"/>
        <v>2250</v>
      </c>
      <c r="F1382" s="112">
        <f t="shared" si="328"/>
        <v>17000000</v>
      </c>
      <c r="G1382" s="2">
        <f t="shared" si="335"/>
        <v>855065</v>
      </c>
      <c r="H1382" s="113">
        <f t="shared" si="336"/>
        <v>9.9999999999999998E-13</v>
      </c>
      <c r="I1382" s="121">
        <f t="shared" si="329"/>
        <v>2201166</v>
      </c>
      <c r="K1382" s="123">
        <f t="shared" si="337"/>
        <v>3000000</v>
      </c>
      <c r="L1382" s="111">
        <f t="shared" si="338"/>
        <v>58481</v>
      </c>
      <c r="M1382" s="2">
        <f t="shared" si="339"/>
        <v>2250</v>
      </c>
      <c r="N1382" s="112">
        <f t="shared" si="330"/>
        <v>17000000</v>
      </c>
      <c r="O1382" s="2">
        <f t="shared" si="340"/>
        <v>855065</v>
      </c>
      <c r="P1382" s="113">
        <f t="shared" si="341"/>
        <v>9.9999999999999998E-13</v>
      </c>
      <c r="Q1382" s="121">
        <f t="shared" si="331"/>
        <v>2201166</v>
      </c>
    </row>
    <row r="1383" spans="2:17" hidden="1" x14ac:dyDescent="0.4">
      <c r="B1383" s="110">
        <v>45304</v>
      </c>
      <c r="C1383" s="122">
        <f t="shared" si="332"/>
        <v>3000000</v>
      </c>
      <c r="D1383" s="111">
        <f t="shared" si="333"/>
        <v>58481</v>
      </c>
      <c r="E1383" s="2">
        <f t="shared" si="334"/>
        <v>2250</v>
      </c>
      <c r="F1383" s="112">
        <f t="shared" si="328"/>
        <v>17000000</v>
      </c>
      <c r="G1383" s="2">
        <f t="shared" si="335"/>
        <v>855065</v>
      </c>
      <c r="H1383" s="113">
        <f t="shared" si="336"/>
        <v>9.9999999999999998E-13</v>
      </c>
      <c r="I1383" s="121">
        <f t="shared" si="329"/>
        <v>2201166</v>
      </c>
      <c r="K1383" s="123">
        <f t="shared" si="337"/>
        <v>3000000</v>
      </c>
      <c r="L1383" s="111">
        <f t="shared" si="338"/>
        <v>58481</v>
      </c>
      <c r="M1383" s="2">
        <f t="shared" si="339"/>
        <v>2250</v>
      </c>
      <c r="N1383" s="112">
        <f t="shared" si="330"/>
        <v>17000000</v>
      </c>
      <c r="O1383" s="2">
        <f t="shared" si="340"/>
        <v>855065</v>
      </c>
      <c r="P1383" s="113">
        <f t="shared" si="341"/>
        <v>9.9999999999999998E-13</v>
      </c>
      <c r="Q1383" s="121">
        <f t="shared" si="331"/>
        <v>2201166</v>
      </c>
    </row>
    <row r="1384" spans="2:17" hidden="1" x14ac:dyDescent="0.4">
      <c r="B1384" s="110">
        <v>45305</v>
      </c>
      <c r="C1384" s="122">
        <f t="shared" si="332"/>
        <v>3000000</v>
      </c>
      <c r="D1384" s="111">
        <f t="shared" si="333"/>
        <v>58481</v>
      </c>
      <c r="E1384" s="2">
        <f t="shared" si="334"/>
        <v>2250</v>
      </c>
      <c r="F1384" s="112">
        <f t="shared" si="328"/>
        <v>17000000</v>
      </c>
      <c r="G1384" s="2">
        <f t="shared" si="335"/>
        <v>855065</v>
      </c>
      <c r="H1384" s="113">
        <f t="shared" si="336"/>
        <v>9.9999999999999998E-13</v>
      </c>
      <c r="I1384" s="121">
        <f t="shared" si="329"/>
        <v>2201166</v>
      </c>
      <c r="K1384" s="123">
        <f t="shared" si="337"/>
        <v>3000000</v>
      </c>
      <c r="L1384" s="111">
        <f t="shared" si="338"/>
        <v>58481</v>
      </c>
      <c r="M1384" s="2">
        <f t="shared" si="339"/>
        <v>2250</v>
      </c>
      <c r="N1384" s="112">
        <f t="shared" si="330"/>
        <v>17000000</v>
      </c>
      <c r="O1384" s="2">
        <f t="shared" si="340"/>
        <v>855065</v>
      </c>
      <c r="P1384" s="113">
        <f t="shared" si="341"/>
        <v>9.9999999999999998E-13</v>
      </c>
      <c r="Q1384" s="121">
        <f t="shared" si="331"/>
        <v>2201166</v>
      </c>
    </row>
    <row r="1385" spans="2:17" hidden="1" x14ac:dyDescent="0.4">
      <c r="B1385" s="110">
        <v>45306</v>
      </c>
      <c r="C1385" s="122">
        <f t="shared" si="332"/>
        <v>3000000</v>
      </c>
      <c r="D1385" s="111">
        <f t="shared" si="333"/>
        <v>58481</v>
      </c>
      <c r="E1385" s="2">
        <f t="shared" si="334"/>
        <v>2250</v>
      </c>
      <c r="F1385" s="112">
        <f t="shared" si="328"/>
        <v>17000000</v>
      </c>
      <c r="G1385" s="2">
        <f t="shared" si="335"/>
        <v>855065</v>
      </c>
      <c r="H1385" s="113">
        <f t="shared" si="336"/>
        <v>9.9999999999999998E-13</v>
      </c>
      <c r="I1385" s="121">
        <f t="shared" si="329"/>
        <v>2201166</v>
      </c>
      <c r="K1385" s="123">
        <f t="shared" si="337"/>
        <v>3000000</v>
      </c>
      <c r="L1385" s="111">
        <f t="shared" si="338"/>
        <v>58481</v>
      </c>
      <c r="M1385" s="2">
        <f t="shared" si="339"/>
        <v>2250</v>
      </c>
      <c r="N1385" s="112">
        <f t="shared" si="330"/>
        <v>17000000</v>
      </c>
      <c r="O1385" s="2">
        <f t="shared" si="340"/>
        <v>855065</v>
      </c>
      <c r="P1385" s="113">
        <f t="shared" si="341"/>
        <v>9.9999999999999998E-13</v>
      </c>
      <c r="Q1385" s="121">
        <f t="shared" si="331"/>
        <v>2201166</v>
      </c>
    </row>
    <row r="1386" spans="2:17" hidden="1" x14ac:dyDescent="0.4">
      <c r="B1386" s="110">
        <v>45307</v>
      </c>
      <c r="C1386" s="122">
        <f t="shared" si="332"/>
        <v>3000000</v>
      </c>
      <c r="D1386" s="111">
        <f t="shared" si="333"/>
        <v>58481</v>
      </c>
      <c r="E1386" s="2">
        <f t="shared" si="334"/>
        <v>2250</v>
      </c>
      <c r="F1386" s="112">
        <f t="shared" si="328"/>
        <v>17000000</v>
      </c>
      <c r="G1386" s="2">
        <f t="shared" si="335"/>
        <v>855065</v>
      </c>
      <c r="H1386" s="113">
        <f t="shared" si="336"/>
        <v>9.9999999999999998E-13</v>
      </c>
      <c r="I1386" s="121">
        <f t="shared" si="329"/>
        <v>2201166</v>
      </c>
      <c r="K1386" s="123">
        <f t="shared" si="337"/>
        <v>3000000</v>
      </c>
      <c r="L1386" s="111">
        <f t="shared" si="338"/>
        <v>58481</v>
      </c>
      <c r="M1386" s="2">
        <f t="shared" si="339"/>
        <v>2250</v>
      </c>
      <c r="N1386" s="112">
        <f t="shared" si="330"/>
        <v>17000000</v>
      </c>
      <c r="O1386" s="2">
        <f t="shared" si="340"/>
        <v>855065</v>
      </c>
      <c r="P1386" s="113">
        <f t="shared" si="341"/>
        <v>9.9999999999999998E-13</v>
      </c>
      <c r="Q1386" s="121">
        <f t="shared" si="331"/>
        <v>2201166</v>
      </c>
    </row>
    <row r="1387" spans="2:17" hidden="1" x14ac:dyDescent="0.4">
      <c r="B1387" s="110">
        <v>45308</v>
      </c>
      <c r="C1387" s="122">
        <f t="shared" si="332"/>
        <v>3000000</v>
      </c>
      <c r="D1387" s="111">
        <f t="shared" si="333"/>
        <v>58481</v>
      </c>
      <c r="E1387" s="2">
        <f t="shared" si="334"/>
        <v>2250</v>
      </c>
      <c r="F1387" s="112">
        <f t="shared" si="328"/>
        <v>17000000</v>
      </c>
      <c r="G1387" s="2">
        <f t="shared" si="335"/>
        <v>855065</v>
      </c>
      <c r="H1387" s="113">
        <f t="shared" si="336"/>
        <v>9.9999999999999998E-13</v>
      </c>
      <c r="I1387" s="121">
        <f t="shared" si="329"/>
        <v>2201166</v>
      </c>
      <c r="K1387" s="123">
        <f t="shared" si="337"/>
        <v>3000000</v>
      </c>
      <c r="L1387" s="111">
        <f t="shared" si="338"/>
        <v>58481</v>
      </c>
      <c r="M1387" s="2">
        <f t="shared" si="339"/>
        <v>2250</v>
      </c>
      <c r="N1387" s="112">
        <f t="shared" si="330"/>
        <v>17000000</v>
      </c>
      <c r="O1387" s="2">
        <f t="shared" si="340"/>
        <v>855065</v>
      </c>
      <c r="P1387" s="113">
        <f t="shared" si="341"/>
        <v>9.9999999999999998E-13</v>
      </c>
      <c r="Q1387" s="121">
        <f t="shared" si="331"/>
        <v>2201166</v>
      </c>
    </row>
    <row r="1388" spans="2:17" hidden="1" x14ac:dyDescent="0.4">
      <c r="B1388" s="110">
        <v>45309</v>
      </c>
      <c r="C1388" s="122">
        <f t="shared" si="332"/>
        <v>3000000</v>
      </c>
      <c r="D1388" s="111">
        <f t="shared" si="333"/>
        <v>58481</v>
      </c>
      <c r="E1388" s="2">
        <f t="shared" si="334"/>
        <v>2250</v>
      </c>
      <c r="F1388" s="112">
        <f t="shared" si="328"/>
        <v>17000000</v>
      </c>
      <c r="G1388" s="2">
        <f t="shared" si="335"/>
        <v>855065</v>
      </c>
      <c r="H1388" s="113">
        <f t="shared" si="336"/>
        <v>9.9999999999999998E-13</v>
      </c>
      <c r="I1388" s="121">
        <f t="shared" si="329"/>
        <v>2201166</v>
      </c>
      <c r="K1388" s="123">
        <f t="shared" si="337"/>
        <v>3000000</v>
      </c>
      <c r="L1388" s="111">
        <f t="shared" si="338"/>
        <v>58481</v>
      </c>
      <c r="M1388" s="2">
        <f t="shared" si="339"/>
        <v>2250</v>
      </c>
      <c r="N1388" s="112">
        <f t="shared" si="330"/>
        <v>17000000</v>
      </c>
      <c r="O1388" s="2">
        <f t="shared" si="340"/>
        <v>855065</v>
      </c>
      <c r="P1388" s="113">
        <f t="shared" si="341"/>
        <v>9.9999999999999998E-13</v>
      </c>
      <c r="Q1388" s="121">
        <f t="shared" si="331"/>
        <v>2201166</v>
      </c>
    </row>
    <row r="1389" spans="2:17" hidden="1" x14ac:dyDescent="0.4">
      <c r="B1389" s="110">
        <v>45310</v>
      </c>
      <c r="C1389" s="122">
        <f t="shared" si="332"/>
        <v>3000000</v>
      </c>
      <c r="D1389" s="111">
        <f t="shared" si="333"/>
        <v>58481</v>
      </c>
      <c r="E1389" s="2">
        <f t="shared" si="334"/>
        <v>2250</v>
      </c>
      <c r="F1389" s="112">
        <f t="shared" si="328"/>
        <v>17000000</v>
      </c>
      <c r="G1389" s="2">
        <f t="shared" si="335"/>
        <v>855065</v>
      </c>
      <c r="H1389" s="113">
        <f t="shared" si="336"/>
        <v>9.9999999999999998E-13</v>
      </c>
      <c r="I1389" s="121">
        <f t="shared" si="329"/>
        <v>2201166</v>
      </c>
      <c r="K1389" s="123">
        <f t="shared" si="337"/>
        <v>3000000</v>
      </c>
      <c r="L1389" s="111">
        <f t="shared" si="338"/>
        <v>58481</v>
      </c>
      <c r="M1389" s="2">
        <f t="shared" si="339"/>
        <v>2250</v>
      </c>
      <c r="N1389" s="112">
        <f t="shared" si="330"/>
        <v>17000000</v>
      </c>
      <c r="O1389" s="2">
        <f t="shared" si="340"/>
        <v>855065</v>
      </c>
      <c r="P1389" s="113">
        <f t="shared" si="341"/>
        <v>9.9999999999999998E-13</v>
      </c>
      <c r="Q1389" s="121">
        <f t="shared" si="331"/>
        <v>2201166</v>
      </c>
    </row>
    <row r="1390" spans="2:17" hidden="1" x14ac:dyDescent="0.4">
      <c r="B1390" s="110">
        <v>45311</v>
      </c>
      <c r="C1390" s="122">
        <f t="shared" si="332"/>
        <v>3000000</v>
      </c>
      <c r="D1390" s="111">
        <f t="shared" si="333"/>
        <v>58481</v>
      </c>
      <c r="E1390" s="2">
        <f t="shared" si="334"/>
        <v>2250</v>
      </c>
      <c r="F1390" s="112">
        <f t="shared" si="328"/>
        <v>17000000</v>
      </c>
      <c r="G1390" s="2">
        <f t="shared" si="335"/>
        <v>855065</v>
      </c>
      <c r="H1390" s="113">
        <f t="shared" si="336"/>
        <v>9.9999999999999998E-13</v>
      </c>
      <c r="I1390" s="121">
        <f t="shared" si="329"/>
        <v>2201166</v>
      </c>
      <c r="K1390" s="123">
        <f t="shared" si="337"/>
        <v>3000000</v>
      </c>
      <c r="L1390" s="111">
        <f t="shared" si="338"/>
        <v>58481</v>
      </c>
      <c r="M1390" s="2">
        <f t="shared" si="339"/>
        <v>2250</v>
      </c>
      <c r="N1390" s="112">
        <f t="shared" si="330"/>
        <v>17000000</v>
      </c>
      <c r="O1390" s="2">
        <f t="shared" si="340"/>
        <v>855065</v>
      </c>
      <c r="P1390" s="113">
        <f t="shared" si="341"/>
        <v>9.9999999999999998E-13</v>
      </c>
      <c r="Q1390" s="121">
        <f t="shared" si="331"/>
        <v>2201166</v>
      </c>
    </row>
    <row r="1391" spans="2:17" hidden="1" x14ac:dyDescent="0.4">
      <c r="B1391" s="110">
        <v>45312</v>
      </c>
      <c r="C1391" s="122">
        <f t="shared" si="332"/>
        <v>3000000</v>
      </c>
      <c r="D1391" s="111">
        <f t="shared" si="333"/>
        <v>58481</v>
      </c>
      <c r="E1391" s="2">
        <f t="shared" si="334"/>
        <v>2250</v>
      </c>
      <c r="F1391" s="112">
        <f t="shared" si="328"/>
        <v>17000000</v>
      </c>
      <c r="G1391" s="2">
        <f t="shared" si="335"/>
        <v>855065</v>
      </c>
      <c r="H1391" s="113">
        <f t="shared" si="336"/>
        <v>9.9999999999999998E-13</v>
      </c>
      <c r="I1391" s="121">
        <f t="shared" si="329"/>
        <v>2201166</v>
      </c>
      <c r="K1391" s="123">
        <f t="shared" si="337"/>
        <v>3000000</v>
      </c>
      <c r="L1391" s="111">
        <f t="shared" si="338"/>
        <v>58481</v>
      </c>
      <c r="M1391" s="2">
        <f t="shared" si="339"/>
        <v>2250</v>
      </c>
      <c r="N1391" s="112">
        <f t="shared" si="330"/>
        <v>17000000</v>
      </c>
      <c r="O1391" s="2">
        <f t="shared" si="340"/>
        <v>855065</v>
      </c>
      <c r="P1391" s="113">
        <f t="shared" si="341"/>
        <v>9.9999999999999998E-13</v>
      </c>
      <c r="Q1391" s="121">
        <f t="shared" si="331"/>
        <v>2201166</v>
      </c>
    </row>
    <row r="1392" spans="2:17" hidden="1" x14ac:dyDescent="0.4">
      <c r="B1392" s="110">
        <v>45313</v>
      </c>
      <c r="C1392" s="122">
        <f t="shared" si="332"/>
        <v>3000000</v>
      </c>
      <c r="D1392" s="111">
        <f t="shared" si="333"/>
        <v>58481</v>
      </c>
      <c r="E1392" s="2">
        <f t="shared" si="334"/>
        <v>2250</v>
      </c>
      <c r="F1392" s="112">
        <f t="shared" si="328"/>
        <v>17000000</v>
      </c>
      <c r="G1392" s="2">
        <f t="shared" si="335"/>
        <v>855065</v>
      </c>
      <c r="H1392" s="113">
        <f t="shared" si="336"/>
        <v>9.9999999999999998E-13</v>
      </c>
      <c r="I1392" s="121">
        <f t="shared" si="329"/>
        <v>2201166</v>
      </c>
      <c r="K1392" s="123">
        <f t="shared" si="337"/>
        <v>3000000</v>
      </c>
      <c r="L1392" s="111">
        <f t="shared" si="338"/>
        <v>58481</v>
      </c>
      <c r="M1392" s="2">
        <f t="shared" si="339"/>
        <v>2250</v>
      </c>
      <c r="N1392" s="112">
        <f t="shared" si="330"/>
        <v>17000000</v>
      </c>
      <c r="O1392" s="2">
        <f t="shared" si="340"/>
        <v>855065</v>
      </c>
      <c r="P1392" s="113">
        <f t="shared" si="341"/>
        <v>9.9999999999999998E-13</v>
      </c>
      <c r="Q1392" s="121">
        <f t="shared" si="331"/>
        <v>2201166</v>
      </c>
    </row>
    <row r="1393" spans="2:17" hidden="1" x14ac:dyDescent="0.4">
      <c r="B1393" s="110">
        <v>45314</v>
      </c>
      <c r="C1393" s="122">
        <f t="shared" si="332"/>
        <v>3000000</v>
      </c>
      <c r="D1393" s="111">
        <f t="shared" si="333"/>
        <v>58481</v>
      </c>
      <c r="E1393" s="2">
        <f t="shared" si="334"/>
        <v>2250</v>
      </c>
      <c r="F1393" s="112">
        <f t="shared" si="328"/>
        <v>17000000</v>
      </c>
      <c r="G1393" s="2">
        <f t="shared" si="335"/>
        <v>855065</v>
      </c>
      <c r="H1393" s="113">
        <f t="shared" si="336"/>
        <v>9.9999999999999998E-13</v>
      </c>
      <c r="I1393" s="121">
        <f t="shared" si="329"/>
        <v>2201166</v>
      </c>
      <c r="K1393" s="123">
        <f t="shared" si="337"/>
        <v>3000000</v>
      </c>
      <c r="L1393" s="111">
        <f t="shared" si="338"/>
        <v>58481</v>
      </c>
      <c r="M1393" s="2">
        <f t="shared" si="339"/>
        <v>2250</v>
      </c>
      <c r="N1393" s="112">
        <f t="shared" si="330"/>
        <v>17000000</v>
      </c>
      <c r="O1393" s="2">
        <f t="shared" si="340"/>
        <v>855065</v>
      </c>
      <c r="P1393" s="113">
        <f t="shared" si="341"/>
        <v>9.9999999999999998E-13</v>
      </c>
      <c r="Q1393" s="121">
        <f t="shared" si="331"/>
        <v>2201166</v>
      </c>
    </row>
    <row r="1394" spans="2:17" hidden="1" x14ac:dyDescent="0.4">
      <c r="B1394" s="110">
        <v>45315</v>
      </c>
      <c r="C1394" s="122">
        <f t="shared" si="332"/>
        <v>3000000</v>
      </c>
      <c r="D1394" s="111">
        <f t="shared" si="333"/>
        <v>58481</v>
      </c>
      <c r="E1394" s="2">
        <f t="shared" si="334"/>
        <v>2250</v>
      </c>
      <c r="F1394" s="112">
        <f t="shared" si="328"/>
        <v>17000000</v>
      </c>
      <c r="G1394" s="2">
        <f t="shared" si="335"/>
        <v>855065</v>
      </c>
      <c r="H1394" s="113">
        <f t="shared" si="336"/>
        <v>9.9999999999999998E-13</v>
      </c>
      <c r="I1394" s="121">
        <f t="shared" si="329"/>
        <v>2201166</v>
      </c>
      <c r="K1394" s="123">
        <f t="shared" si="337"/>
        <v>3000000</v>
      </c>
      <c r="L1394" s="111">
        <f t="shared" si="338"/>
        <v>58481</v>
      </c>
      <c r="M1394" s="2">
        <f t="shared" si="339"/>
        <v>2250</v>
      </c>
      <c r="N1394" s="112">
        <f t="shared" si="330"/>
        <v>17000000</v>
      </c>
      <c r="O1394" s="2">
        <f t="shared" si="340"/>
        <v>855065</v>
      </c>
      <c r="P1394" s="113">
        <f t="shared" si="341"/>
        <v>9.9999999999999998E-13</v>
      </c>
      <c r="Q1394" s="121">
        <f t="shared" si="331"/>
        <v>2201166</v>
      </c>
    </row>
    <row r="1395" spans="2:17" hidden="1" x14ac:dyDescent="0.4">
      <c r="B1395" s="110">
        <v>45316</v>
      </c>
      <c r="C1395" s="122">
        <f t="shared" si="332"/>
        <v>3000000</v>
      </c>
      <c r="D1395" s="111">
        <f t="shared" si="333"/>
        <v>58481</v>
      </c>
      <c r="E1395" s="2">
        <f t="shared" si="334"/>
        <v>2250</v>
      </c>
      <c r="F1395" s="112">
        <f t="shared" si="328"/>
        <v>17000000</v>
      </c>
      <c r="G1395" s="2">
        <f t="shared" si="335"/>
        <v>855065</v>
      </c>
      <c r="H1395" s="113">
        <f t="shared" si="336"/>
        <v>9.9999999999999998E-13</v>
      </c>
      <c r="I1395" s="121">
        <f t="shared" si="329"/>
        <v>2201166</v>
      </c>
      <c r="K1395" s="123">
        <f t="shared" si="337"/>
        <v>3000000</v>
      </c>
      <c r="L1395" s="111">
        <f t="shared" si="338"/>
        <v>58481</v>
      </c>
      <c r="M1395" s="2">
        <f t="shared" si="339"/>
        <v>2250</v>
      </c>
      <c r="N1395" s="112">
        <f t="shared" si="330"/>
        <v>17000000</v>
      </c>
      <c r="O1395" s="2">
        <f t="shared" si="340"/>
        <v>855065</v>
      </c>
      <c r="P1395" s="113">
        <f t="shared" si="341"/>
        <v>9.9999999999999998E-13</v>
      </c>
      <c r="Q1395" s="121">
        <f t="shared" si="331"/>
        <v>2201166</v>
      </c>
    </row>
    <row r="1396" spans="2:17" hidden="1" x14ac:dyDescent="0.4">
      <c r="B1396" s="110">
        <v>45317</v>
      </c>
      <c r="C1396" s="122">
        <f t="shared" si="332"/>
        <v>3000000</v>
      </c>
      <c r="D1396" s="111">
        <f t="shared" si="333"/>
        <v>58481</v>
      </c>
      <c r="E1396" s="2">
        <f t="shared" si="334"/>
        <v>2250</v>
      </c>
      <c r="F1396" s="112">
        <f t="shared" si="328"/>
        <v>17000000</v>
      </c>
      <c r="G1396" s="2">
        <f t="shared" si="335"/>
        <v>855065</v>
      </c>
      <c r="H1396" s="113">
        <f t="shared" si="336"/>
        <v>9.9999999999999998E-13</v>
      </c>
      <c r="I1396" s="121">
        <f t="shared" si="329"/>
        <v>2201166</v>
      </c>
      <c r="K1396" s="123">
        <f t="shared" si="337"/>
        <v>3000000</v>
      </c>
      <c r="L1396" s="111">
        <f t="shared" si="338"/>
        <v>58481</v>
      </c>
      <c r="M1396" s="2">
        <f t="shared" si="339"/>
        <v>2250</v>
      </c>
      <c r="N1396" s="112">
        <f t="shared" si="330"/>
        <v>17000000</v>
      </c>
      <c r="O1396" s="2">
        <f t="shared" si="340"/>
        <v>855065</v>
      </c>
      <c r="P1396" s="113">
        <f t="shared" si="341"/>
        <v>9.9999999999999998E-13</v>
      </c>
      <c r="Q1396" s="121">
        <f t="shared" si="331"/>
        <v>2201166</v>
      </c>
    </row>
    <row r="1397" spans="2:17" hidden="1" x14ac:dyDescent="0.4">
      <c r="B1397" s="110">
        <v>45318</v>
      </c>
      <c r="C1397" s="122">
        <f t="shared" si="332"/>
        <v>3000000</v>
      </c>
      <c r="D1397" s="111">
        <f t="shared" si="333"/>
        <v>58481</v>
      </c>
      <c r="E1397" s="2">
        <f t="shared" si="334"/>
        <v>2250</v>
      </c>
      <c r="F1397" s="112">
        <f t="shared" si="328"/>
        <v>17000000</v>
      </c>
      <c r="G1397" s="2">
        <f t="shared" si="335"/>
        <v>855065</v>
      </c>
      <c r="H1397" s="113">
        <f t="shared" si="336"/>
        <v>9.9999999999999998E-13</v>
      </c>
      <c r="I1397" s="121">
        <f t="shared" si="329"/>
        <v>2201166</v>
      </c>
      <c r="K1397" s="123">
        <f t="shared" si="337"/>
        <v>3000000</v>
      </c>
      <c r="L1397" s="111">
        <f t="shared" si="338"/>
        <v>58481</v>
      </c>
      <c r="M1397" s="2">
        <f t="shared" si="339"/>
        <v>2250</v>
      </c>
      <c r="N1397" s="112">
        <f t="shared" si="330"/>
        <v>17000000</v>
      </c>
      <c r="O1397" s="2">
        <f t="shared" si="340"/>
        <v>855065</v>
      </c>
      <c r="P1397" s="113">
        <f t="shared" si="341"/>
        <v>9.9999999999999998E-13</v>
      </c>
      <c r="Q1397" s="121">
        <f t="shared" si="331"/>
        <v>2201166</v>
      </c>
    </row>
    <row r="1398" spans="2:17" hidden="1" x14ac:dyDescent="0.4">
      <c r="B1398" s="110">
        <v>45319</v>
      </c>
      <c r="C1398" s="122">
        <f t="shared" si="332"/>
        <v>3000000</v>
      </c>
      <c r="D1398" s="111">
        <f t="shared" si="333"/>
        <v>58481</v>
      </c>
      <c r="E1398" s="2">
        <f t="shared" si="334"/>
        <v>2250</v>
      </c>
      <c r="F1398" s="112">
        <f t="shared" si="328"/>
        <v>17000000</v>
      </c>
      <c r="G1398" s="2">
        <f t="shared" si="335"/>
        <v>855065</v>
      </c>
      <c r="H1398" s="113">
        <f t="shared" si="336"/>
        <v>9.9999999999999998E-13</v>
      </c>
      <c r="I1398" s="121">
        <f t="shared" si="329"/>
        <v>2201166</v>
      </c>
      <c r="K1398" s="123">
        <f t="shared" si="337"/>
        <v>3000000</v>
      </c>
      <c r="L1398" s="111">
        <f t="shared" si="338"/>
        <v>58481</v>
      </c>
      <c r="M1398" s="2">
        <f t="shared" si="339"/>
        <v>2250</v>
      </c>
      <c r="N1398" s="112">
        <f t="shared" si="330"/>
        <v>17000000</v>
      </c>
      <c r="O1398" s="2">
        <f t="shared" si="340"/>
        <v>855065</v>
      </c>
      <c r="P1398" s="113">
        <f t="shared" si="341"/>
        <v>9.9999999999999998E-13</v>
      </c>
      <c r="Q1398" s="121">
        <f t="shared" si="331"/>
        <v>2201166</v>
      </c>
    </row>
    <row r="1399" spans="2:17" hidden="1" x14ac:dyDescent="0.4">
      <c r="B1399" s="110">
        <v>45320</v>
      </c>
      <c r="C1399" s="122">
        <f t="shared" si="332"/>
        <v>3000000</v>
      </c>
      <c r="D1399" s="111">
        <f t="shared" si="333"/>
        <v>58481</v>
      </c>
      <c r="E1399" s="2">
        <f t="shared" si="334"/>
        <v>2250</v>
      </c>
      <c r="F1399" s="112">
        <f t="shared" si="328"/>
        <v>17000000</v>
      </c>
      <c r="G1399" s="2">
        <f t="shared" si="335"/>
        <v>855065</v>
      </c>
      <c r="H1399" s="113">
        <f t="shared" si="336"/>
        <v>9.9999999999999998E-13</v>
      </c>
      <c r="I1399" s="121">
        <f t="shared" si="329"/>
        <v>2201166</v>
      </c>
      <c r="K1399" s="123">
        <f t="shared" si="337"/>
        <v>3000000</v>
      </c>
      <c r="L1399" s="111">
        <f t="shared" si="338"/>
        <v>58481</v>
      </c>
      <c r="M1399" s="2">
        <f t="shared" si="339"/>
        <v>2250</v>
      </c>
      <c r="N1399" s="112">
        <f t="shared" si="330"/>
        <v>17000000</v>
      </c>
      <c r="O1399" s="2">
        <f t="shared" si="340"/>
        <v>855065</v>
      </c>
      <c r="P1399" s="113">
        <f t="shared" si="341"/>
        <v>9.9999999999999998E-13</v>
      </c>
      <c r="Q1399" s="121">
        <f t="shared" si="331"/>
        <v>2201166</v>
      </c>
    </row>
    <row r="1400" spans="2:17" hidden="1" x14ac:dyDescent="0.4">
      <c r="B1400" s="110">
        <v>45321</v>
      </c>
      <c r="C1400" s="122">
        <f t="shared" si="332"/>
        <v>3000000</v>
      </c>
      <c r="D1400" s="111">
        <f t="shared" si="333"/>
        <v>58481</v>
      </c>
      <c r="E1400" s="2">
        <f t="shared" si="334"/>
        <v>2250</v>
      </c>
      <c r="F1400" s="112">
        <f t="shared" si="328"/>
        <v>17000000</v>
      </c>
      <c r="G1400" s="2">
        <f t="shared" si="335"/>
        <v>855065</v>
      </c>
      <c r="H1400" s="113">
        <f t="shared" si="336"/>
        <v>9.9999999999999998E-13</v>
      </c>
      <c r="I1400" s="121">
        <f t="shared" si="329"/>
        <v>2201166</v>
      </c>
      <c r="K1400" s="123">
        <f t="shared" si="337"/>
        <v>3000000</v>
      </c>
      <c r="L1400" s="111">
        <f t="shared" si="338"/>
        <v>58481</v>
      </c>
      <c r="M1400" s="2">
        <f t="shared" si="339"/>
        <v>2250</v>
      </c>
      <c r="N1400" s="112">
        <f t="shared" si="330"/>
        <v>17000000</v>
      </c>
      <c r="O1400" s="2">
        <f t="shared" si="340"/>
        <v>855065</v>
      </c>
      <c r="P1400" s="113">
        <f t="shared" si="341"/>
        <v>9.9999999999999998E-13</v>
      </c>
      <c r="Q1400" s="121">
        <f t="shared" si="331"/>
        <v>2201166</v>
      </c>
    </row>
    <row r="1401" spans="2:17" hidden="1" x14ac:dyDescent="0.4">
      <c r="B1401" s="110">
        <v>45322</v>
      </c>
      <c r="C1401" s="122">
        <f t="shared" si="332"/>
        <v>3000000</v>
      </c>
      <c r="D1401" s="111">
        <f t="shared" si="333"/>
        <v>58481</v>
      </c>
      <c r="E1401" s="2">
        <f t="shared" si="334"/>
        <v>2250</v>
      </c>
      <c r="F1401" s="112">
        <f t="shared" si="328"/>
        <v>17000000</v>
      </c>
      <c r="G1401" s="2">
        <f t="shared" si="335"/>
        <v>855065</v>
      </c>
      <c r="H1401" s="113">
        <f t="shared" si="336"/>
        <v>9.9999999999999998E-13</v>
      </c>
      <c r="I1401" s="121">
        <f t="shared" si="329"/>
        <v>2201166</v>
      </c>
      <c r="K1401" s="123">
        <f t="shared" si="337"/>
        <v>3000000</v>
      </c>
      <c r="L1401" s="111">
        <f t="shared" si="338"/>
        <v>58481</v>
      </c>
      <c r="M1401" s="2">
        <f t="shared" si="339"/>
        <v>2250</v>
      </c>
      <c r="N1401" s="112">
        <f t="shared" si="330"/>
        <v>17000000</v>
      </c>
      <c r="O1401" s="2">
        <f t="shared" si="340"/>
        <v>855065</v>
      </c>
      <c r="P1401" s="113">
        <f t="shared" si="341"/>
        <v>9.9999999999999998E-13</v>
      </c>
      <c r="Q1401" s="121">
        <f t="shared" si="331"/>
        <v>2201166</v>
      </c>
    </row>
    <row r="1402" spans="2:17" x14ac:dyDescent="0.4">
      <c r="B1402" s="110">
        <v>45323</v>
      </c>
      <c r="C1402" s="122">
        <f t="shared" si="332"/>
        <v>3000000</v>
      </c>
      <c r="D1402" s="111">
        <f t="shared" si="333"/>
        <v>58481</v>
      </c>
      <c r="E1402" s="2">
        <f t="shared" si="334"/>
        <v>2250</v>
      </c>
      <c r="F1402" s="112">
        <f t="shared" si="328"/>
        <v>17000000</v>
      </c>
      <c r="G1402" s="2">
        <f t="shared" si="335"/>
        <v>855065</v>
      </c>
      <c r="H1402" s="113">
        <f t="shared" si="336"/>
        <v>9.9999999999999998E-13</v>
      </c>
      <c r="I1402" s="121">
        <f t="shared" si="329"/>
        <v>2201166</v>
      </c>
      <c r="K1402" s="123">
        <f t="shared" si="337"/>
        <v>3000000</v>
      </c>
      <c r="L1402" s="111">
        <f t="shared" si="338"/>
        <v>58481</v>
      </c>
      <c r="M1402" s="2">
        <f t="shared" si="339"/>
        <v>2250</v>
      </c>
      <c r="N1402" s="112">
        <f t="shared" si="330"/>
        <v>17000000</v>
      </c>
      <c r="O1402" s="2">
        <f t="shared" si="340"/>
        <v>855065</v>
      </c>
      <c r="P1402" s="113">
        <f t="shared" si="341"/>
        <v>9.9999999999999998E-13</v>
      </c>
      <c r="Q1402" s="121">
        <f t="shared" si="331"/>
        <v>2201166</v>
      </c>
    </row>
    <row r="1403" spans="2:17" hidden="1" x14ac:dyDescent="0.4">
      <c r="B1403" s="110">
        <v>45324</v>
      </c>
      <c r="C1403" s="122">
        <f t="shared" si="332"/>
        <v>3000000</v>
      </c>
      <c r="D1403" s="111">
        <f t="shared" si="333"/>
        <v>58481</v>
      </c>
      <c r="E1403" s="2">
        <f t="shared" si="334"/>
        <v>2250</v>
      </c>
      <c r="F1403" s="112">
        <f t="shared" si="328"/>
        <v>17000000</v>
      </c>
      <c r="G1403" s="2">
        <f t="shared" si="335"/>
        <v>855065</v>
      </c>
      <c r="H1403" s="113">
        <f t="shared" si="336"/>
        <v>9.9999999999999998E-13</v>
      </c>
      <c r="I1403" s="121">
        <f t="shared" si="329"/>
        <v>2201166</v>
      </c>
      <c r="K1403" s="123">
        <f t="shared" si="337"/>
        <v>3000000</v>
      </c>
      <c r="L1403" s="111">
        <f t="shared" si="338"/>
        <v>58481</v>
      </c>
      <c r="M1403" s="2">
        <f t="shared" si="339"/>
        <v>2250</v>
      </c>
      <c r="N1403" s="112">
        <f t="shared" si="330"/>
        <v>17000000</v>
      </c>
      <c r="O1403" s="2">
        <f t="shared" si="340"/>
        <v>855065</v>
      </c>
      <c r="P1403" s="113">
        <f t="shared" si="341"/>
        <v>9.9999999999999998E-13</v>
      </c>
      <c r="Q1403" s="121">
        <f t="shared" si="331"/>
        <v>2201166</v>
      </c>
    </row>
    <row r="1404" spans="2:17" hidden="1" x14ac:dyDescent="0.4">
      <c r="B1404" s="110">
        <v>45325</v>
      </c>
      <c r="C1404" s="122">
        <f t="shared" si="332"/>
        <v>3000000</v>
      </c>
      <c r="D1404" s="111">
        <f t="shared" si="333"/>
        <v>58481</v>
      </c>
      <c r="E1404" s="2">
        <f t="shared" si="334"/>
        <v>2250</v>
      </c>
      <c r="F1404" s="112">
        <f t="shared" si="328"/>
        <v>17000000</v>
      </c>
      <c r="G1404" s="2">
        <f t="shared" si="335"/>
        <v>855065</v>
      </c>
      <c r="H1404" s="113">
        <f t="shared" si="336"/>
        <v>9.9999999999999998E-13</v>
      </c>
      <c r="I1404" s="121">
        <f t="shared" si="329"/>
        <v>2201166</v>
      </c>
      <c r="K1404" s="123">
        <f t="shared" si="337"/>
        <v>3000000</v>
      </c>
      <c r="L1404" s="111">
        <f t="shared" si="338"/>
        <v>58481</v>
      </c>
      <c r="M1404" s="2">
        <f t="shared" si="339"/>
        <v>2250</v>
      </c>
      <c r="N1404" s="112">
        <f t="shared" si="330"/>
        <v>17000000</v>
      </c>
      <c r="O1404" s="2">
        <f t="shared" si="340"/>
        <v>855065</v>
      </c>
      <c r="P1404" s="113">
        <f t="shared" si="341"/>
        <v>9.9999999999999998E-13</v>
      </c>
      <c r="Q1404" s="121">
        <f t="shared" si="331"/>
        <v>2201166</v>
      </c>
    </row>
    <row r="1405" spans="2:17" hidden="1" x14ac:dyDescent="0.4">
      <c r="B1405" s="110">
        <v>45326</v>
      </c>
      <c r="C1405" s="122">
        <f t="shared" si="332"/>
        <v>3000000</v>
      </c>
      <c r="D1405" s="111">
        <f t="shared" si="333"/>
        <v>58481</v>
      </c>
      <c r="E1405" s="2">
        <f t="shared" si="334"/>
        <v>2250</v>
      </c>
      <c r="F1405" s="112">
        <f t="shared" si="328"/>
        <v>17000000</v>
      </c>
      <c r="G1405" s="2">
        <f t="shared" si="335"/>
        <v>855065</v>
      </c>
      <c r="H1405" s="113">
        <f t="shared" si="336"/>
        <v>9.9999999999999998E-13</v>
      </c>
      <c r="I1405" s="121">
        <f t="shared" si="329"/>
        <v>2201166</v>
      </c>
      <c r="K1405" s="123">
        <f t="shared" si="337"/>
        <v>3000000</v>
      </c>
      <c r="L1405" s="111">
        <f t="shared" si="338"/>
        <v>58481</v>
      </c>
      <c r="M1405" s="2">
        <f t="shared" si="339"/>
        <v>2250</v>
      </c>
      <c r="N1405" s="112">
        <f t="shared" si="330"/>
        <v>17000000</v>
      </c>
      <c r="O1405" s="2">
        <f t="shared" si="340"/>
        <v>855065</v>
      </c>
      <c r="P1405" s="113">
        <f t="shared" si="341"/>
        <v>9.9999999999999998E-13</v>
      </c>
      <c r="Q1405" s="121">
        <f t="shared" si="331"/>
        <v>2201166</v>
      </c>
    </row>
    <row r="1406" spans="2:17" hidden="1" x14ac:dyDescent="0.4">
      <c r="B1406" s="110">
        <v>45327</v>
      </c>
      <c r="C1406" s="122">
        <f t="shared" si="332"/>
        <v>3000000</v>
      </c>
      <c r="D1406" s="111">
        <f t="shared" si="333"/>
        <v>58481</v>
      </c>
      <c r="E1406" s="2">
        <f t="shared" si="334"/>
        <v>2250</v>
      </c>
      <c r="F1406" s="112">
        <f t="shared" si="328"/>
        <v>17000000</v>
      </c>
      <c r="G1406" s="2">
        <f t="shared" si="335"/>
        <v>855065</v>
      </c>
      <c r="H1406" s="113">
        <f t="shared" si="336"/>
        <v>9.9999999999999998E-13</v>
      </c>
      <c r="I1406" s="121">
        <f t="shared" si="329"/>
        <v>2201166</v>
      </c>
      <c r="K1406" s="123">
        <f t="shared" si="337"/>
        <v>3000000</v>
      </c>
      <c r="L1406" s="111">
        <f t="shared" si="338"/>
        <v>58481</v>
      </c>
      <c r="M1406" s="2">
        <f t="shared" si="339"/>
        <v>2250</v>
      </c>
      <c r="N1406" s="112">
        <f t="shared" si="330"/>
        <v>17000000</v>
      </c>
      <c r="O1406" s="2">
        <f t="shared" si="340"/>
        <v>855065</v>
      </c>
      <c r="P1406" s="113">
        <f t="shared" si="341"/>
        <v>9.9999999999999998E-13</v>
      </c>
      <c r="Q1406" s="121">
        <f t="shared" si="331"/>
        <v>2201166</v>
      </c>
    </row>
    <row r="1407" spans="2:17" hidden="1" x14ac:dyDescent="0.4">
      <c r="B1407" s="110">
        <v>45328</v>
      </c>
      <c r="C1407" s="122">
        <f t="shared" si="332"/>
        <v>3000000</v>
      </c>
      <c r="D1407" s="111">
        <f t="shared" si="333"/>
        <v>58481</v>
      </c>
      <c r="E1407" s="2">
        <f t="shared" si="334"/>
        <v>2250</v>
      </c>
      <c r="F1407" s="112">
        <f t="shared" si="328"/>
        <v>17000000</v>
      </c>
      <c r="G1407" s="2">
        <f t="shared" si="335"/>
        <v>855065</v>
      </c>
      <c r="H1407" s="113">
        <f t="shared" si="336"/>
        <v>9.9999999999999998E-13</v>
      </c>
      <c r="I1407" s="121">
        <f t="shared" si="329"/>
        <v>2201166</v>
      </c>
      <c r="K1407" s="123">
        <f t="shared" si="337"/>
        <v>3000000</v>
      </c>
      <c r="L1407" s="111">
        <f t="shared" si="338"/>
        <v>58481</v>
      </c>
      <c r="M1407" s="2">
        <f t="shared" si="339"/>
        <v>2250</v>
      </c>
      <c r="N1407" s="112">
        <f t="shared" si="330"/>
        <v>17000000</v>
      </c>
      <c r="O1407" s="2">
        <f t="shared" si="340"/>
        <v>855065</v>
      </c>
      <c r="P1407" s="113">
        <f t="shared" si="341"/>
        <v>9.9999999999999998E-13</v>
      </c>
      <c r="Q1407" s="121">
        <f t="shared" si="331"/>
        <v>2201166</v>
      </c>
    </row>
    <row r="1408" spans="2:17" hidden="1" x14ac:dyDescent="0.4">
      <c r="B1408" s="110">
        <v>45329</v>
      </c>
      <c r="C1408" s="122">
        <f t="shared" si="332"/>
        <v>3000000</v>
      </c>
      <c r="D1408" s="111">
        <f t="shared" si="333"/>
        <v>58481</v>
      </c>
      <c r="E1408" s="2">
        <f t="shared" si="334"/>
        <v>2250</v>
      </c>
      <c r="F1408" s="112">
        <f t="shared" si="328"/>
        <v>17000000</v>
      </c>
      <c r="G1408" s="2">
        <f t="shared" si="335"/>
        <v>855065</v>
      </c>
      <c r="H1408" s="113">
        <f t="shared" si="336"/>
        <v>9.9999999999999998E-13</v>
      </c>
      <c r="I1408" s="121">
        <f t="shared" si="329"/>
        <v>2201166</v>
      </c>
      <c r="K1408" s="123">
        <f t="shared" si="337"/>
        <v>3000000</v>
      </c>
      <c r="L1408" s="111">
        <f t="shared" si="338"/>
        <v>58481</v>
      </c>
      <c r="M1408" s="2">
        <f t="shared" si="339"/>
        <v>2250</v>
      </c>
      <c r="N1408" s="112">
        <f t="shared" si="330"/>
        <v>17000000</v>
      </c>
      <c r="O1408" s="2">
        <f t="shared" si="340"/>
        <v>855065</v>
      </c>
      <c r="P1408" s="113">
        <f t="shared" si="341"/>
        <v>9.9999999999999998E-13</v>
      </c>
      <c r="Q1408" s="121">
        <f t="shared" si="331"/>
        <v>2201166</v>
      </c>
    </row>
    <row r="1409" spans="2:17" hidden="1" x14ac:dyDescent="0.4">
      <c r="B1409" s="110">
        <v>45330</v>
      </c>
      <c r="C1409" s="122">
        <f t="shared" si="332"/>
        <v>3000000</v>
      </c>
      <c r="D1409" s="111">
        <f t="shared" si="333"/>
        <v>58481</v>
      </c>
      <c r="E1409" s="2">
        <f t="shared" si="334"/>
        <v>2250</v>
      </c>
      <c r="F1409" s="112">
        <f t="shared" si="328"/>
        <v>17000000</v>
      </c>
      <c r="G1409" s="2">
        <f t="shared" si="335"/>
        <v>855065</v>
      </c>
      <c r="H1409" s="113">
        <f t="shared" si="336"/>
        <v>9.9999999999999998E-13</v>
      </c>
      <c r="I1409" s="121">
        <f t="shared" si="329"/>
        <v>2201166</v>
      </c>
      <c r="K1409" s="123">
        <f t="shared" si="337"/>
        <v>3000000</v>
      </c>
      <c r="L1409" s="111">
        <f t="shared" si="338"/>
        <v>58481</v>
      </c>
      <c r="M1409" s="2">
        <f t="shared" si="339"/>
        <v>2250</v>
      </c>
      <c r="N1409" s="112">
        <f t="shared" si="330"/>
        <v>17000000</v>
      </c>
      <c r="O1409" s="2">
        <f t="shared" si="340"/>
        <v>855065</v>
      </c>
      <c r="P1409" s="113">
        <f t="shared" si="341"/>
        <v>9.9999999999999998E-13</v>
      </c>
      <c r="Q1409" s="121">
        <f t="shared" si="331"/>
        <v>2201166</v>
      </c>
    </row>
    <row r="1410" spans="2:17" hidden="1" x14ac:dyDescent="0.4">
      <c r="B1410" s="110">
        <v>45331</v>
      </c>
      <c r="C1410" s="122">
        <f t="shared" si="332"/>
        <v>3000000</v>
      </c>
      <c r="D1410" s="111">
        <f t="shared" si="333"/>
        <v>58481</v>
      </c>
      <c r="E1410" s="2">
        <f t="shared" si="334"/>
        <v>2250</v>
      </c>
      <c r="F1410" s="112">
        <f t="shared" si="328"/>
        <v>17000000</v>
      </c>
      <c r="G1410" s="2">
        <f t="shared" si="335"/>
        <v>855065</v>
      </c>
      <c r="H1410" s="113">
        <f t="shared" si="336"/>
        <v>9.9999999999999998E-13</v>
      </c>
      <c r="I1410" s="121">
        <f t="shared" si="329"/>
        <v>2201166</v>
      </c>
      <c r="K1410" s="123">
        <f t="shared" si="337"/>
        <v>3000000</v>
      </c>
      <c r="L1410" s="111">
        <f t="shared" si="338"/>
        <v>58481</v>
      </c>
      <c r="M1410" s="2">
        <f t="shared" si="339"/>
        <v>2250</v>
      </c>
      <c r="N1410" s="112">
        <f t="shared" si="330"/>
        <v>17000000</v>
      </c>
      <c r="O1410" s="2">
        <f t="shared" si="340"/>
        <v>855065</v>
      </c>
      <c r="P1410" s="113">
        <f t="shared" si="341"/>
        <v>9.9999999999999998E-13</v>
      </c>
      <c r="Q1410" s="121">
        <f t="shared" si="331"/>
        <v>2201166</v>
      </c>
    </row>
    <row r="1411" spans="2:17" hidden="1" x14ac:dyDescent="0.4">
      <c r="B1411" s="110">
        <v>45332</v>
      </c>
      <c r="C1411" s="122">
        <f t="shared" si="332"/>
        <v>3000000</v>
      </c>
      <c r="D1411" s="111">
        <f t="shared" si="333"/>
        <v>58481</v>
      </c>
      <c r="E1411" s="2">
        <f t="shared" si="334"/>
        <v>2250</v>
      </c>
      <c r="F1411" s="112">
        <f t="shared" si="328"/>
        <v>17000000</v>
      </c>
      <c r="G1411" s="2">
        <f t="shared" si="335"/>
        <v>855065</v>
      </c>
      <c r="H1411" s="113">
        <f t="shared" si="336"/>
        <v>9.9999999999999998E-13</v>
      </c>
      <c r="I1411" s="121">
        <f t="shared" si="329"/>
        <v>2201166</v>
      </c>
      <c r="K1411" s="123">
        <f t="shared" si="337"/>
        <v>3000000</v>
      </c>
      <c r="L1411" s="111">
        <f t="shared" si="338"/>
        <v>58481</v>
      </c>
      <c r="M1411" s="2">
        <f t="shared" si="339"/>
        <v>2250</v>
      </c>
      <c r="N1411" s="112">
        <f t="shared" si="330"/>
        <v>17000000</v>
      </c>
      <c r="O1411" s="2">
        <f t="shared" si="340"/>
        <v>855065</v>
      </c>
      <c r="P1411" s="113">
        <f t="shared" si="341"/>
        <v>9.9999999999999998E-13</v>
      </c>
      <c r="Q1411" s="121">
        <f t="shared" si="331"/>
        <v>2201166</v>
      </c>
    </row>
    <row r="1412" spans="2:17" hidden="1" x14ac:dyDescent="0.4">
      <c r="B1412" s="110">
        <v>45333</v>
      </c>
      <c r="C1412" s="122">
        <f t="shared" si="332"/>
        <v>3000000</v>
      </c>
      <c r="D1412" s="111">
        <f t="shared" si="333"/>
        <v>58481</v>
      </c>
      <c r="E1412" s="2">
        <f t="shared" si="334"/>
        <v>2250</v>
      </c>
      <c r="F1412" s="112">
        <f t="shared" si="328"/>
        <v>17000000</v>
      </c>
      <c r="G1412" s="2">
        <f t="shared" si="335"/>
        <v>855065</v>
      </c>
      <c r="H1412" s="113">
        <f t="shared" si="336"/>
        <v>9.9999999999999998E-13</v>
      </c>
      <c r="I1412" s="121">
        <f t="shared" si="329"/>
        <v>2201166</v>
      </c>
      <c r="K1412" s="123">
        <f t="shared" si="337"/>
        <v>3000000</v>
      </c>
      <c r="L1412" s="111">
        <f t="shared" si="338"/>
        <v>58481</v>
      </c>
      <c r="M1412" s="2">
        <f t="shared" si="339"/>
        <v>2250</v>
      </c>
      <c r="N1412" s="112">
        <f t="shared" si="330"/>
        <v>17000000</v>
      </c>
      <c r="O1412" s="2">
        <f t="shared" si="340"/>
        <v>855065</v>
      </c>
      <c r="P1412" s="113">
        <f t="shared" si="341"/>
        <v>9.9999999999999998E-13</v>
      </c>
      <c r="Q1412" s="121">
        <f t="shared" si="331"/>
        <v>2201166</v>
      </c>
    </row>
    <row r="1413" spans="2:17" hidden="1" x14ac:dyDescent="0.4">
      <c r="B1413" s="110">
        <v>45334</v>
      </c>
      <c r="C1413" s="122">
        <f t="shared" si="332"/>
        <v>3000000</v>
      </c>
      <c r="D1413" s="111">
        <f t="shared" si="333"/>
        <v>58481</v>
      </c>
      <c r="E1413" s="2">
        <f t="shared" si="334"/>
        <v>2250</v>
      </c>
      <c r="F1413" s="112">
        <f t="shared" si="328"/>
        <v>17000000</v>
      </c>
      <c r="G1413" s="2">
        <f t="shared" si="335"/>
        <v>855065</v>
      </c>
      <c r="H1413" s="113">
        <f t="shared" si="336"/>
        <v>9.9999999999999998E-13</v>
      </c>
      <c r="I1413" s="121">
        <f t="shared" si="329"/>
        <v>2201166</v>
      </c>
      <c r="K1413" s="123">
        <f t="shared" si="337"/>
        <v>3000000</v>
      </c>
      <c r="L1413" s="111">
        <f t="shared" si="338"/>
        <v>58481</v>
      </c>
      <c r="M1413" s="2">
        <f t="shared" si="339"/>
        <v>2250</v>
      </c>
      <c r="N1413" s="112">
        <f t="shared" si="330"/>
        <v>17000000</v>
      </c>
      <c r="O1413" s="2">
        <f t="shared" si="340"/>
        <v>855065</v>
      </c>
      <c r="P1413" s="113">
        <f t="shared" si="341"/>
        <v>9.9999999999999998E-13</v>
      </c>
      <c r="Q1413" s="121">
        <f t="shared" si="331"/>
        <v>2201166</v>
      </c>
    </row>
    <row r="1414" spans="2:17" hidden="1" x14ac:dyDescent="0.4">
      <c r="B1414" s="110">
        <v>45335</v>
      </c>
      <c r="C1414" s="122">
        <f t="shared" si="332"/>
        <v>3000000</v>
      </c>
      <c r="D1414" s="111">
        <f t="shared" si="333"/>
        <v>58481</v>
      </c>
      <c r="E1414" s="2">
        <f t="shared" si="334"/>
        <v>2250</v>
      </c>
      <c r="F1414" s="112">
        <f t="shared" si="328"/>
        <v>17000000</v>
      </c>
      <c r="G1414" s="2">
        <f t="shared" si="335"/>
        <v>855065</v>
      </c>
      <c r="H1414" s="113">
        <f t="shared" si="336"/>
        <v>9.9999999999999998E-13</v>
      </c>
      <c r="I1414" s="121">
        <f t="shared" si="329"/>
        <v>2201166</v>
      </c>
      <c r="K1414" s="123">
        <f t="shared" si="337"/>
        <v>3000000</v>
      </c>
      <c r="L1414" s="111">
        <f t="shared" si="338"/>
        <v>58481</v>
      </c>
      <c r="M1414" s="2">
        <f t="shared" si="339"/>
        <v>2250</v>
      </c>
      <c r="N1414" s="112">
        <f t="shared" si="330"/>
        <v>17000000</v>
      </c>
      <c r="O1414" s="2">
        <f t="shared" si="340"/>
        <v>855065</v>
      </c>
      <c r="P1414" s="113">
        <f t="shared" si="341"/>
        <v>9.9999999999999998E-13</v>
      </c>
      <c r="Q1414" s="121">
        <f t="shared" si="331"/>
        <v>2201166</v>
      </c>
    </row>
    <row r="1415" spans="2:17" hidden="1" x14ac:dyDescent="0.4">
      <c r="B1415" s="110">
        <v>45336</v>
      </c>
      <c r="C1415" s="122">
        <f t="shared" si="332"/>
        <v>3000000</v>
      </c>
      <c r="D1415" s="111">
        <f t="shared" si="333"/>
        <v>58481</v>
      </c>
      <c r="E1415" s="2">
        <f t="shared" si="334"/>
        <v>2250</v>
      </c>
      <c r="F1415" s="112">
        <f t="shared" si="328"/>
        <v>17000000</v>
      </c>
      <c r="G1415" s="2">
        <f t="shared" si="335"/>
        <v>855065</v>
      </c>
      <c r="H1415" s="113">
        <f t="shared" si="336"/>
        <v>9.9999999999999998E-13</v>
      </c>
      <c r="I1415" s="121">
        <f t="shared" si="329"/>
        <v>2201166</v>
      </c>
      <c r="K1415" s="123">
        <f t="shared" si="337"/>
        <v>3000000</v>
      </c>
      <c r="L1415" s="111">
        <f t="shared" si="338"/>
        <v>58481</v>
      </c>
      <c r="M1415" s="2">
        <f t="shared" si="339"/>
        <v>2250</v>
      </c>
      <c r="N1415" s="112">
        <f t="shared" si="330"/>
        <v>17000000</v>
      </c>
      <c r="O1415" s="2">
        <f t="shared" si="340"/>
        <v>855065</v>
      </c>
      <c r="P1415" s="113">
        <f t="shared" si="341"/>
        <v>9.9999999999999998E-13</v>
      </c>
      <c r="Q1415" s="121">
        <f t="shared" si="331"/>
        <v>2201166</v>
      </c>
    </row>
    <row r="1416" spans="2:17" hidden="1" x14ac:dyDescent="0.4">
      <c r="B1416" s="110">
        <v>45337</v>
      </c>
      <c r="C1416" s="122">
        <f t="shared" si="332"/>
        <v>3000000</v>
      </c>
      <c r="D1416" s="111">
        <f t="shared" si="333"/>
        <v>58481</v>
      </c>
      <c r="E1416" s="2">
        <f t="shared" si="334"/>
        <v>2250</v>
      </c>
      <c r="F1416" s="112">
        <f t="shared" si="328"/>
        <v>17000000</v>
      </c>
      <c r="G1416" s="2">
        <f t="shared" si="335"/>
        <v>855065</v>
      </c>
      <c r="H1416" s="113">
        <f t="shared" si="336"/>
        <v>9.9999999999999998E-13</v>
      </c>
      <c r="I1416" s="121">
        <f t="shared" si="329"/>
        <v>2201166</v>
      </c>
      <c r="K1416" s="123">
        <f t="shared" si="337"/>
        <v>3000000</v>
      </c>
      <c r="L1416" s="111">
        <f t="shared" si="338"/>
        <v>58481</v>
      </c>
      <c r="M1416" s="2">
        <f t="shared" si="339"/>
        <v>2250</v>
      </c>
      <c r="N1416" s="112">
        <f t="shared" si="330"/>
        <v>17000000</v>
      </c>
      <c r="O1416" s="2">
        <f t="shared" si="340"/>
        <v>855065</v>
      </c>
      <c r="P1416" s="113">
        <f t="shared" si="341"/>
        <v>9.9999999999999998E-13</v>
      </c>
      <c r="Q1416" s="121">
        <f t="shared" si="331"/>
        <v>2201166</v>
      </c>
    </row>
    <row r="1417" spans="2:17" hidden="1" x14ac:dyDescent="0.4">
      <c r="B1417" s="110">
        <v>45338</v>
      </c>
      <c r="C1417" s="122">
        <f t="shared" si="332"/>
        <v>3000000</v>
      </c>
      <c r="D1417" s="111">
        <f t="shared" si="333"/>
        <v>58481</v>
      </c>
      <c r="E1417" s="2">
        <f t="shared" si="334"/>
        <v>2250</v>
      </c>
      <c r="F1417" s="112">
        <f t="shared" si="328"/>
        <v>17000000</v>
      </c>
      <c r="G1417" s="2">
        <f t="shared" si="335"/>
        <v>855065</v>
      </c>
      <c r="H1417" s="113">
        <f t="shared" si="336"/>
        <v>9.9999999999999998E-13</v>
      </c>
      <c r="I1417" s="121">
        <f t="shared" si="329"/>
        <v>2201166</v>
      </c>
      <c r="K1417" s="123">
        <f t="shared" si="337"/>
        <v>3000000</v>
      </c>
      <c r="L1417" s="111">
        <f t="shared" si="338"/>
        <v>58481</v>
      </c>
      <c r="M1417" s="2">
        <f t="shared" si="339"/>
        <v>2250</v>
      </c>
      <c r="N1417" s="112">
        <f t="shared" si="330"/>
        <v>17000000</v>
      </c>
      <c r="O1417" s="2">
        <f t="shared" si="340"/>
        <v>855065</v>
      </c>
      <c r="P1417" s="113">
        <f t="shared" si="341"/>
        <v>9.9999999999999998E-13</v>
      </c>
      <c r="Q1417" s="121">
        <f t="shared" si="331"/>
        <v>2201166</v>
      </c>
    </row>
    <row r="1418" spans="2:17" hidden="1" x14ac:dyDescent="0.4">
      <c r="B1418" s="110">
        <v>45339</v>
      </c>
      <c r="C1418" s="122">
        <f t="shared" si="332"/>
        <v>3000000</v>
      </c>
      <c r="D1418" s="111">
        <f t="shared" si="333"/>
        <v>58481</v>
      </c>
      <c r="E1418" s="2">
        <f t="shared" si="334"/>
        <v>2250</v>
      </c>
      <c r="F1418" s="112">
        <f t="shared" ref="F1418:F1481" si="342">20000000-C1418</f>
        <v>17000000</v>
      </c>
      <c r="G1418" s="2">
        <f t="shared" si="335"/>
        <v>855065</v>
      </c>
      <c r="H1418" s="113">
        <f t="shared" si="336"/>
        <v>9.9999999999999998E-13</v>
      </c>
      <c r="I1418" s="121">
        <f t="shared" ref="I1418:I1481" si="343">C1418+D1418-G1418-E1418+H1418</f>
        <v>2201166</v>
      </c>
      <c r="K1418" s="123">
        <f t="shared" si="337"/>
        <v>3000000</v>
      </c>
      <c r="L1418" s="111">
        <f t="shared" si="338"/>
        <v>58481</v>
      </c>
      <c r="M1418" s="2">
        <f t="shared" si="339"/>
        <v>2250</v>
      </c>
      <c r="N1418" s="112">
        <f t="shared" ref="N1418:N1481" si="344">20000000-K1418</f>
        <v>17000000</v>
      </c>
      <c r="O1418" s="2">
        <f t="shared" si="340"/>
        <v>855065</v>
      </c>
      <c r="P1418" s="113">
        <f t="shared" si="341"/>
        <v>9.9999999999999998E-13</v>
      </c>
      <c r="Q1418" s="121">
        <f t="shared" ref="Q1418:Q1481" si="345">K1418+L1418-O1418-M1418+P1418</f>
        <v>2201166</v>
      </c>
    </row>
    <row r="1419" spans="2:17" hidden="1" x14ac:dyDescent="0.4">
      <c r="B1419" s="110">
        <v>45340</v>
      </c>
      <c r="C1419" s="122">
        <f t="shared" ref="C1419:C1482" si="346">SUMIF($B$6:$B$75,$B1419,$D$6:$D$75)+C1418</f>
        <v>3000000</v>
      </c>
      <c r="D1419" s="111">
        <f t="shared" ref="D1419:D1482" si="347">SUMIF($B$6:$B$75,$B1419,$E$6:$E$75)+D1418</f>
        <v>58481</v>
      </c>
      <c r="E1419" s="2">
        <f t="shared" ref="E1419:E1482" si="348">SUMIF($G$353:$G$376,$B1419,$J$353:$J$376)+SUMIF($E$353:$E$376,$B1419,$H$353:$H$376)+SUMIF($G$353:$G$376,$B1419,$I$353:$I$376)+E1418</f>
        <v>2250</v>
      </c>
      <c r="F1419" s="112">
        <f t="shared" si="342"/>
        <v>17000000</v>
      </c>
      <c r="G1419" s="2">
        <f t="shared" ref="G1419:G1482" si="349">SUMIF($E$353:$E$376,$B1419,$M$353:$M$376)+G1418</f>
        <v>855065</v>
      </c>
      <c r="H1419" s="113">
        <f t="shared" ref="H1419:H1482" si="350">SUMIF($G$353:$G$376,$B1419,$N$353:$N$376)+H1418</f>
        <v>9.9999999999999998E-13</v>
      </c>
      <c r="I1419" s="121">
        <f t="shared" si="343"/>
        <v>2201166</v>
      </c>
      <c r="K1419" s="123">
        <f t="shared" ref="K1419:K1482" si="351">SUMIF($B$6:$B$75,$B1419,$D$6:$D$75)+K1418</f>
        <v>3000000</v>
      </c>
      <c r="L1419" s="111">
        <f t="shared" ref="L1419:L1482" si="352">SUMIF($B$6:$B$75,$B1419,$E$6:$E$75)+L1418</f>
        <v>58481</v>
      </c>
      <c r="M1419" s="2">
        <f t="shared" ref="M1419:M1482" si="353">SUMIF($G$353:$G$376,$B1419,$J$353:$J$376)+SUMIF($E$353:$E$376,$B1419,$H$353:$H$376)+SUMIF($G$353:$G$376,$B1419,$I$353:$I$376)+M1418</f>
        <v>2250</v>
      </c>
      <c r="N1419" s="112">
        <f t="shared" si="344"/>
        <v>17000000</v>
      </c>
      <c r="O1419" s="2">
        <f t="shared" ref="O1419:O1482" si="354">SUMIF($E$353:$E$376,$B1419,$M$353:$M$376)+O1418</f>
        <v>855065</v>
      </c>
      <c r="P1419" s="113">
        <f t="shared" ref="P1419:P1482" si="355">SUMIF($G$353:$G$376,$B1419,$N$353:$N$376)+P1418</f>
        <v>9.9999999999999998E-13</v>
      </c>
      <c r="Q1419" s="121">
        <f t="shared" si="345"/>
        <v>2201166</v>
      </c>
    </row>
    <row r="1420" spans="2:17" hidden="1" x14ac:dyDescent="0.4">
      <c r="B1420" s="110">
        <v>45341</v>
      </c>
      <c r="C1420" s="122">
        <f t="shared" si="346"/>
        <v>3000000</v>
      </c>
      <c r="D1420" s="111">
        <f t="shared" si="347"/>
        <v>58481</v>
      </c>
      <c r="E1420" s="2">
        <f t="shared" si="348"/>
        <v>2250</v>
      </c>
      <c r="F1420" s="112">
        <f t="shared" si="342"/>
        <v>17000000</v>
      </c>
      <c r="G1420" s="2">
        <f t="shared" si="349"/>
        <v>855065</v>
      </c>
      <c r="H1420" s="113">
        <f t="shared" si="350"/>
        <v>9.9999999999999998E-13</v>
      </c>
      <c r="I1420" s="121">
        <f t="shared" si="343"/>
        <v>2201166</v>
      </c>
      <c r="K1420" s="123">
        <f t="shared" si="351"/>
        <v>3000000</v>
      </c>
      <c r="L1420" s="111">
        <f t="shared" si="352"/>
        <v>58481</v>
      </c>
      <c r="M1420" s="2">
        <f t="shared" si="353"/>
        <v>2250</v>
      </c>
      <c r="N1420" s="112">
        <f t="shared" si="344"/>
        <v>17000000</v>
      </c>
      <c r="O1420" s="2">
        <f t="shared" si="354"/>
        <v>855065</v>
      </c>
      <c r="P1420" s="113">
        <f t="shared" si="355"/>
        <v>9.9999999999999998E-13</v>
      </c>
      <c r="Q1420" s="121">
        <f t="shared" si="345"/>
        <v>2201166</v>
      </c>
    </row>
    <row r="1421" spans="2:17" hidden="1" x14ac:dyDescent="0.4">
      <c r="B1421" s="110">
        <v>45342</v>
      </c>
      <c r="C1421" s="122">
        <f t="shared" si="346"/>
        <v>3000000</v>
      </c>
      <c r="D1421" s="111">
        <f t="shared" si="347"/>
        <v>58481</v>
      </c>
      <c r="E1421" s="2">
        <f t="shared" si="348"/>
        <v>2250</v>
      </c>
      <c r="F1421" s="112">
        <f t="shared" si="342"/>
        <v>17000000</v>
      </c>
      <c r="G1421" s="2">
        <f t="shared" si="349"/>
        <v>855065</v>
      </c>
      <c r="H1421" s="113">
        <f t="shared" si="350"/>
        <v>9.9999999999999998E-13</v>
      </c>
      <c r="I1421" s="121">
        <f t="shared" si="343"/>
        <v>2201166</v>
      </c>
      <c r="K1421" s="123">
        <f t="shared" si="351"/>
        <v>3000000</v>
      </c>
      <c r="L1421" s="111">
        <f t="shared" si="352"/>
        <v>58481</v>
      </c>
      <c r="M1421" s="2">
        <f t="shared" si="353"/>
        <v>2250</v>
      </c>
      <c r="N1421" s="112">
        <f t="shared" si="344"/>
        <v>17000000</v>
      </c>
      <c r="O1421" s="2">
        <f t="shared" si="354"/>
        <v>855065</v>
      </c>
      <c r="P1421" s="113">
        <f t="shared" si="355"/>
        <v>9.9999999999999998E-13</v>
      </c>
      <c r="Q1421" s="121">
        <f t="shared" si="345"/>
        <v>2201166</v>
      </c>
    </row>
    <row r="1422" spans="2:17" hidden="1" x14ac:dyDescent="0.4">
      <c r="B1422" s="110">
        <v>45343</v>
      </c>
      <c r="C1422" s="122">
        <f t="shared" si="346"/>
        <v>3000000</v>
      </c>
      <c r="D1422" s="111">
        <f t="shared" si="347"/>
        <v>58481</v>
      </c>
      <c r="E1422" s="2">
        <f t="shared" si="348"/>
        <v>2250</v>
      </c>
      <c r="F1422" s="112">
        <f t="shared" si="342"/>
        <v>17000000</v>
      </c>
      <c r="G1422" s="2">
        <f t="shared" si="349"/>
        <v>855065</v>
      </c>
      <c r="H1422" s="113">
        <f t="shared" si="350"/>
        <v>9.9999999999999998E-13</v>
      </c>
      <c r="I1422" s="121">
        <f t="shared" si="343"/>
        <v>2201166</v>
      </c>
      <c r="K1422" s="123">
        <f t="shared" si="351"/>
        <v>3000000</v>
      </c>
      <c r="L1422" s="111">
        <f t="shared" si="352"/>
        <v>58481</v>
      </c>
      <c r="M1422" s="2">
        <f t="shared" si="353"/>
        <v>2250</v>
      </c>
      <c r="N1422" s="112">
        <f t="shared" si="344"/>
        <v>17000000</v>
      </c>
      <c r="O1422" s="2">
        <f t="shared" si="354"/>
        <v>855065</v>
      </c>
      <c r="P1422" s="113">
        <f t="shared" si="355"/>
        <v>9.9999999999999998E-13</v>
      </c>
      <c r="Q1422" s="121">
        <f t="shared" si="345"/>
        <v>2201166</v>
      </c>
    </row>
    <row r="1423" spans="2:17" hidden="1" x14ac:dyDescent="0.4">
      <c r="B1423" s="110">
        <v>45344</v>
      </c>
      <c r="C1423" s="122">
        <f t="shared" si="346"/>
        <v>3000000</v>
      </c>
      <c r="D1423" s="111">
        <f t="shared" si="347"/>
        <v>58481</v>
      </c>
      <c r="E1423" s="2">
        <f t="shared" si="348"/>
        <v>2250</v>
      </c>
      <c r="F1423" s="112">
        <f t="shared" si="342"/>
        <v>17000000</v>
      </c>
      <c r="G1423" s="2">
        <f t="shared" si="349"/>
        <v>855065</v>
      </c>
      <c r="H1423" s="113">
        <f t="shared" si="350"/>
        <v>9.9999999999999998E-13</v>
      </c>
      <c r="I1423" s="121">
        <f t="shared" si="343"/>
        <v>2201166</v>
      </c>
      <c r="K1423" s="123">
        <f t="shared" si="351"/>
        <v>3000000</v>
      </c>
      <c r="L1423" s="111">
        <f t="shared" si="352"/>
        <v>58481</v>
      </c>
      <c r="M1423" s="2">
        <f t="shared" si="353"/>
        <v>2250</v>
      </c>
      <c r="N1423" s="112">
        <f t="shared" si="344"/>
        <v>17000000</v>
      </c>
      <c r="O1423" s="2">
        <f t="shared" si="354"/>
        <v>855065</v>
      </c>
      <c r="P1423" s="113">
        <f t="shared" si="355"/>
        <v>9.9999999999999998E-13</v>
      </c>
      <c r="Q1423" s="121">
        <f t="shared" si="345"/>
        <v>2201166</v>
      </c>
    </row>
    <row r="1424" spans="2:17" hidden="1" x14ac:dyDescent="0.4">
      <c r="B1424" s="110">
        <v>45345</v>
      </c>
      <c r="C1424" s="122">
        <f t="shared" si="346"/>
        <v>3000000</v>
      </c>
      <c r="D1424" s="111">
        <f t="shared" si="347"/>
        <v>58481</v>
      </c>
      <c r="E1424" s="2">
        <f t="shared" si="348"/>
        <v>2250</v>
      </c>
      <c r="F1424" s="112">
        <f t="shared" si="342"/>
        <v>17000000</v>
      </c>
      <c r="G1424" s="2">
        <f t="shared" si="349"/>
        <v>855065</v>
      </c>
      <c r="H1424" s="113">
        <f t="shared" si="350"/>
        <v>9.9999999999999998E-13</v>
      </c>
      <c r="I1424" s="121">
        <f t="shared" si="343"/>
        <v>2201166</v>
      </c>
      <c r="K1424" s="123">
        <f t="shared" si="351"/>
        <v>3000000</v>
      </c>
      <c r="L1424" s="111">
        <f t="shared" si="352"/>
        <v>58481</v>
      </c>
      <c r="M1424" s="2">
        <f t="shared" si="353"/>
        <v>2250</v>
      </c>
      <c r="N1424" s="112">
        <f t="shared" si="344"/>
        <v>17000000</v>
      </c>
      <c r="O1424" s="2">
        <f t="shared" si="354"/>
        <v>855065</v>
      </c>
      <c r="P1424" s="113">
        <f t="shared" si="355"/>
        <v>9.9999999999999998E-13</v>
      </c>
      <c r="Q1424" s="121">
        <f t="shared" si="345"/>
        <v>2201166</v>
      </c>
    </row>
    <row r="1425" spans="2:17" hidden="1" x14ac:dyDescent="0.4">
      <c r="B1425" s="110">
        <v>45346</v>
      </c>
      <c r="C1425" s="122">
        <f t="shared" si="346"/>
        <v>3000000</v>
      </c>
      <c r="D1425" s="111">
        <f t="shared" si="347"/>
        <v>58481</v>
      </c>
      <c r="E1425" s="2">
        <f t="shared" si="348"/>
        <v>2250</v>
      </c>
      <c r="F1425" s="112">
        <f t="shared" si="342"/>
        <v>17000000</v>
      </c>
      <c r="G1425" s="2">
        <f t="shared" si="349"/>
        <v>855065</v>
      </c>
      <c r="H1425" s="113">
        <f t="shared" si="350"/>
        <v>9.9999999999999998E-13</v>
      </c>
      <c r="I1425" s="121">
        <f t="shared" si="343"/>
        <v>2201166</v>
      </c>
      <c r="K1425" s="123">
        <f t="shared" si="351"/>
        <v>3000000</v>
      </c>
      <c r="L1425" s="111">
        <f t="shared" si="352"/>
        <v>58481</v>
      </c>
      <c r="M1425" s="2">
        <f t="shared" si="353"/>
        <v>2250</v>
      </c>
      <c r="N1425" s="112">
        <f t="shared" si="344"/>
        <v>17000000</v>
      </c>
      <c r="O1425" s="2">
        <f t="shared" si="354"/>
        <v>855065</v>
      </c>
      <c r="P1425" s="113">
        <f t="shared" si="355"/>
        <v>9.9999999999999998E-13</v>
      </c>
      <c r="Q1425" s="121">
        <f t="shared" si="345"/>
        <v>2201166</v>
      </c>
    </row>
    <row r="1426" spans="2:17" hidden="1" x14ac:dyDescent="0.4">
      <c r="B1426" s="110">
        <v>45347</v>
      </c>
      <c r="C1426" s="122">
        <f t="shared" si="346"/>
        <v>3000000</v>
      </c>
      <c r="D1426" s="111">
        <f t="shared" si="347"/>
        <v>58481</v>
      </c>
      <c r="E1426" s="2">
        <f t="shared" si="348"/>
        <v>2250</v>
      </c>
      <c r="F1426" s="112">
        <f t="shared" si="342"/>
        <v>17000000</v>
      </c>
      <c r="G1426" s="2">
        <f t="shared" si="349"/>
        <v>855065</v>
      </c>
      <c r="H1426" s="113">
        <f t="shared" si="350"/>
        <v>9.9999999999999998E-13</v>
      </c>
      <c r="I1426" s="121">
        <f t="shared" si="343"/>
        <v>2201166</v>
      </c>
      <c r="K1426" s="123">
        <f t="shared" si="351"/>
        <v>3000000</v>
      </c>
      <c r="L1426" s="111">
        <f t="shared" si="352"/>
        <v>58481</v>
      </c>
      <c r="M1426" s="2">
        <f t="shared" si="353"/>
        <v>2250</v>
      </c>
      <c r="N1426" s="112">
        <f t="shared" si="344"/>
        <v>17000000</v>
      </c>
      <c r="O1426" s="2">
        <f t="shared" si="354"/>
        <v>855065</v>
      </c>
      <c r="P1426" s="113">
        <f t="shared" si="355"/>
        <v>9.9999999999999998E-13</v>
      </c>
      <c r="Q1426" s="121">
        <f t="shared" si="345"/>
        <v>2201166</v>
      </c>
    </row>
    <row r="1427" spans="2:17" hidden="1" x14ac:dyDescent="0.4">
      <c r="B1427" s="110">
        <v>45348</v>
      </c>
      <c r="C1427" s="122">
        <f t="shared" si="346"/>
        <v>3000000</v>
      </c>
      <c r="D1427" s="111">
        <f t="shared" si="347"/>
        <v>58481</v>
      </c>
      <c r="E1427" s="2">
        <f t="shared" si="348"/>
        <v>2250</v>
      </c>
      <c r="F1427" s="112">
        <f t="shared" si="342"/>
        <v>17000000</v>
      </c>
      <c r="G1427" s="2">
        <f t="shared" si="349"/>
        <v>855065</v>
      </c>
      <c r="H1427" s="113">
        <f t="shared" si="350"/>
        <v>9.9999999999999998E-13</v>
      </c>
      <c r="I1427" s="121">
        <f t="shared" si="343"/>
        <v>2201166</v>
      </c>
      <c r="K1427" s="123">
        <f t="shared" si="351"/>
        <v>3000000</v>
      </c>
      <c r="L1427" s="111">
        <f t="shared" si="352"/>
        <v>58481</v>
      </c>
      <c r="M1427" s="2">
        <f t="shared" si="353"/>
        <v>2250</v>
      </c>
      <c r="N1427" s="112">
        <f t="shared" si="344"/>
        <v>17000000</v>
      </c>
      <c r="O1427" s="2">
        <f t="shared" si="354"/>
        <v>855065</v>
      </c>
      <c r="P1427" s="113">
        <f t="shared" si="355"/>
        <v>9.9999999999999998E-13</v>
      </c>
      <c r="Q1427" s="121">
        <f t="shared" si="345"/>
        <v>2201166</v>
      </c>
    </row>
    <row r="1428" spans="2:17" hidden="1" x14ac:dyDescent="0.4">
      <c r="B1428" s="110">
        <v>45349</v>
      </c>
      <c r="C1428" s="122">
        <f t="shared" si="346"/>
        <v>3000000</v>
      </c>
      <c r="D1428" s="111">
        <f t="shared" si="347"/>
        <v>58481</v>
      </c>
      <c r="E1428" s="2">
        <f t="shared" si="348"/>
        <v>2250</v>
      </c>
      <c r="F1428" s="112">
        <f t="shared" si="342"/>
        <v>17000000</v>
      </c>
      <c r="G1428" s="2">
        <f t="shared" si="349"/>
        <v>855065</v>
      </c>
      <c r="H1428" s="113">
        <f t="shared" si="350"/>
        <v>9.9999999999999998E-13</v>
      </c>
      <c r="I1428" s="121">
        <f t="shared" si="343"/>
        <v>2201166</v>
      </c>
      <c r="K1428" s="123">
        <f t="shared" si="351"/>
        <v>3000000</v>
      </c>
      <c r="L1428" s="111">
        <f t="shared" si="352"/>
        <v>58481</v>
      </c>
      <c r="M1428" s="2">
        <f t="shared" si="353"/>
        <v>2250</v>
      </c>
      <c r="N1428" s="112">
        <f t="shared" si="344"/>
        <v>17000000</v>
      </c>
      <c r="O1428" s="2">
        <f t="shared" si="354"/>
        <v>855065</v>
      </c>
      <c r="P1428" s="113">
        <f t="shared" si="355"/>
        <v>9.9999999999999998E-13</v>
      </c>
      <c r="Q1428" s="121">
        <f t="shared" si="345"/>
        <v>2201166</v>
      </c>
    </row>
    <row r="1429" spans="2:17" hidden="1" x14ac:dyDescent="0.4">
      <c r="B1429" s="110">
        <v>45350</v>
      </c>
      <c r="C1429" s="122">
        <f t="shared" si="346"/>
        <v>3000000</v>
      </c>
      <c r="D1429" s="111">
        <f t="shared" si="347"/>
        <v>58481</v>
      </c>
      <c r="E1429" s="2">
        <f t="shared" si="348"/>
        <v>2250</v>
      </c>
      <c r="F1429" s="112">
        <f t="shared" si="342"/>
        <v>17000000</v>
      </c>
      <c r="G1429" s="2">
        <f t="shared" si="349"/>
        <v>855065</v>
      </c>
      <c r="H1429" s="113">
        <f t="shared" si="350"/>
        <v>9.9999999999999998E-13</v>
      </c>
      <c r="I1429" s="121">
        <f t="shared" si="343"/>
        <v>2201166</v>
      </c>
      <c r="K1429" s="123">
        <f t="shared" si="351"/>
        <v>3000000</v>
      </c>
      <c r="L1429" s="111">
        <f t="shared" si="352"/>
        <v>58481</v>
      </c>
      <c r="M1429" s="2">
        <f t="shared" si="353"/>
        <v>2250</v>
      </c>
      <c r="N1429" s="112">
        <f t="shared" si="344"/>
        <v>17000000</v>
      </c>
      <c r="O1429" s="2">
        <f t="shared" si="354"/>
        <v>855065</v>
      </c>
      <c r="P1429" s="113">
        <f t="shared" si="355"/>
        <v>9.9999999999999998E-13</v>
      </c>
      <c r="Q1429" s="121">
        <f t="shared" si="345"/>
        <v>2201166</v>
      </c>
    </row>
    <row r="1430" spans="2:17" hidden="1" x14ac:dyDescent="0.4">
      <c r="B1430" s="110">
        <v>45351</v>
      </c>
      <c r="C1430" s="122">
        <f t="shared" si="346"/>
        <v>3000000</v>
      </c>
      <c r="D1430" s="111">
        <f t="shared" si="347"/>
        <v>58481</v>
      </c>
      <c r="E1430" s="2">
        <f t="shared" si="348"/>
        <v>2250</v>
      </c>
      <c r="F1430" s="112">
        <f t="shared" si="342"/>
        <v>17000000</v>
      </c>
      <c r="G1430" s="2">
        <f t="shared" si="349"/>
        <v>855065</v>
      </c>
      <c r="H1430" s="113">
        <f t="shared" si="350"/>
        <v>9.9999999999999998E-13</v>
      </c>
      <c r="I1430" s="121">
        <f t="shared" si="343"/>
        <v>2201166</v>
      </c>
      <c r="K1430" s="123">
        <f t="shared" si="351"/>
        <v>3000000</v>
      </c>
      <c r="L1430" s="111">
        <f t="shared" si="352"/>
        <v>58481</v>
      </c>
      <c r="M1430" s="2">
        <f t="shared" si="353"/>
        <v>2250</v>
      </c>
      <c r="N1430" s="112">
        <f t="shared" si="344"/>
        <v>17000000</v>
      </c>
      <c r="O1430" s="2">
        <f t="shared" si="354"/>
        <v>855065</v>
      </c>
      <c r="P1430" s="113">
        <f t="shared" si="355"/>
        <v>9.9999999999999998E-13</v>
      </c>
      <c r="Q1430" s="121">
        <f t="shared" si="345"/>
        <v>2201166</v>
      </c>
    </row>
    <row r="1431" spans="2:17" x14ac:dyDescent="0.4">
      <c r="B1431" s="110">
        <v>45352</v>
      </c>
      <c r="C1431" s="122">
        <f t="shared" si="346"/>
        <v>3000000</v>
      </c>
      <c r="D1431" s="111">
        <f t="shared" si="347"/>
        <v>58481</v>
      </c>
      <c r="E1431" s="2">
        <f t="shared" si="348"/>
        <v>2250</v>
      </c>
      <c r="F1431" s="112">
        <f t="shared" si="342"/>
        <v>17000000</v>
      </c>
      <c r="G1431" s="2">
        <f t="shared" si="349"/>
        <v>855065</v>
      </c>
      <c r="H1431" s="113">
        <f t="shared" si="350"/>
        <v>9.9999999999999998E-13</v>
      </c>
      <c r="I1431" s="121">
        <f t="shared" si="343"/>
        <v>2201166</v>
      </c>
      <c r="K1431" s="123">
        <f t="shared" si="351"/>
        <v>3000000</v>
      </c>
      <c r="L1431" s="111">
        <f t="shared" si="352"/>
        <v>58481</v>
      </c>
      <c r="M1431" s="2">
        <f t="shared" si="353"/>
        <v>2250</v>
      </c>
      <c r="N1431" s="112">
        <f t="shared" si="344"/>
        <v>17000000</v>
      </c>
      <c r="O1431" s="2">
        <f t="shared" si="354"/>
        <v>855065</v>
      </c>
      <c r="P1431" s="113">
        <f t="shared" si="355"/>
        <v>9.9999999999999998E-13</v>
      </c>
      <c r="Q1431" s="121">
        <f t="shared" si="345"/>
        <v>2201166</v>
      </c>
    </row>
    <row r="1432" spans="2:17" hidden="1" x14ac:dyDescent="0.4">
      <c r="B1432" s="110">
        <v>45353</v>
      </c>
      <c r="C1432" s="122">
        <f t="shared" si="346"/>
        <v>3000000</v>
      </c>
      <c r="D1432" s="111">
        <f t="shared" si="347"/>
        <v>58481</v>
      </c>
      <c r="E1432" s="2">
        <f t="shared" si="348"/>
        <v>2250</v>
      </c>
      <c r="F1432" s="112">
        <f t="shared" si="342"/>
        <v>17000000</v>
      </c>
      <c r="G1432" s="2">
        <f t="shared" si="349"/>
        <v>855065</v>
      </c>
      <c r="H1432" s="113">
        <f t="shared" si="350"/>
        <v>9.9999999999999998E-13</v>
      </c>
      <c r="I1432" s="121">
        <f t="shared" si="343"/>
        <v>2201166</v>
      </c>
      <c r="K1432" s="123">
        <f t="shared" si="351"/>
        <v>3000000</v>
      </c>
      <c r="L1432" s="111">
        <f t="shared" si="352"/>
        <v>58481</v>
      </c>
      <c r="M1432" s="2">
        <f t="shared" si="353"/>
        <v>2250</v>
      </c>
      <c r="N1432" s="112">
        <f t="shared" si="344"/>
        <v>17000000</v>
      </c>
      <c r="O1432" s="2">
        <f t="shared" si="354"/>
        <v>855065</v>
      </c>
      <c r="P1432" s="113">
        <f t="shared" si="355"/>
        <v>9.9999999999999998E-13</v>
      </c>
      <c r="Q1432" s="121">
        <f t="shared" si="345"/>
        <v>2201166</v>
      </c>
    </row>
    <row r="1433" spans="2:17" hidden="1" x14ac:dyDescent="0.4">
      <c r="B1433" s="110">
        <v>45354</v>
      </c>
      <c r="C1433" s="122">
        <f t="shared" si="346"/>
        <v>3000000</v>
      </c>
      <c r="D1433" s="111">
        <f t="shared" si="347"/>
        <v>58481</v>
      </c>
      <c r="E1433" s="2">
        <f t="shared" si="348"/>
        <v>2250</v>
      </c>
      <c r="F1433" s="112">
        <f t="shared" si="342"/>
        <v>17000000</v>
      </c>
      <c r="G1433" s="2">
        <f t="shared" si="349"/>
        <v>855065</v>
      </c>
      <c r="H1433" s="113">
        <f t="shared" si="350"/>
        <v>9.9999999999999998E-13</v>
      </c>
      <c r="I1433" s="121">
        <f t="shared" si="343"/>
        <v>2201166</v>
      </c>
      <c r="K1433" s="123">
        <f t="shared" si="351"/>
        <v>3000000</v>
      </c>
      <c r="L1433" s="111">
        <f t="shared" si="352"/>
        <v>58481</v>
      </c>
      <c r="M1433" s="2">
        <f t="shared" si="353"/>
        <v>2250</v>
      </c>
      <c r="N1433" s="112">
        <f t="shared" si="344"/>
        <v>17000000</v>
      </c>
      <c r="O1433" s="2">
        <f t="shared" si="354"/>
        <v>855065</v>
      </c>
      <c r="P1433" s="113">
        <f t="shared" si="355"/>
        <v>9.9999999999999998E-13</v>
      </c>
      <c r="Q1433" s="121">
        <f t="shared" si="345"/>
        <v>2201166</v>
      </c>
    </row>
    <row r="1434" spans="2:17" hidden="1" x14ac:dyDescent="0.4">
      <c r="B1434" s="110">
        <v>45355</v>
      </c>
      <c r="C1434" s="122">
        <f t="shared" si="346"/>
        <v>3000000</v>
      </c>
      <c r="D1434" s="111">
        <f t="shared" si="347"/>
        <v>63020</v>
      </c>
      <c r="E1434" s="2">
        <f t="shared" si="348"/>
        <v>2250</v>
      </c>
      <c r="F1434" s="112">
        <f t="shared" si="342"/>
        <v>17000000</v>
      </c>
      <c r="G1434" s="2">
        <f t="shared" si="349"/>
        <v>855065</v>
      </c>
      <c r="H1434" s="113">
        <f t="shared" si="350"/>
        <v>9.9999999999999998E-13</v>
      </c>
      <c r="I1434" s="121">
        <f t="shared" si="343"/>
        <v>2205705</v>
      </c>
      <c r="K1434" s="123">
        <f t="shared" si="351"/>
        <v>3000000</v>
      </c>
      <c r="L1434" s="111">
        <f t="shared" si="352"/>
        <v>63020</v>
      </c>
      <c r="M1434" s="2">
        <f t="shared" si="353"/>
        <v>2250</v>
      </c>
      <c r="N1434" s="112">
        <f t="shared" si="344"/>
        <v>17000000</v>
      </c>
      <c r="O1434" s="2">
        <f t="shared" si="354"/>
        <v>855065</v>
      </c>
      <c r="P1434" s="113">
        <f t="shared" si="355"/>
        <v>9.9999999999999998E-13</v>
      </c>
      <c r="Q1434" s="121">
        <f t="shared" si="345"/>
        <v>2205705</v>
      </c>
    </row>
    <row r="1435" spans="2:17" hidden="1" x14ac:dyDescent="0.4">
      <c r="B1435" s="110">
        <v>45356</v>
      </c>
      <c r="C1435" s="122">
        <f t="shared" si="346"/>
        <v>3000000</v>
      </c>
      <c r="D1435" s="111">
        <f t="shared" si="347"/>
        <v>63020</v>
      </c>
      <c r="E1435" s="2">
        <f t="shared" si="348"/>
        <v>2250</v>
      </c>
      <c r="F1435" s="112">
        <f t="shared" si="342"/>
        <v>17000000</v>
      </c>
      <c r="G1435" s="2">
        <f t="shared" si="349"/>
        <v>855065</v>
      </c>
      <c r="H1435" s="113">
        <f t="shared" si="350"/>
        <v>9.9999999999999998E-13</v>
      </c>
      <c r="I1435" s="121">
        <f t="shared" si="343"/>
        <v>2205705</v>
      </c>
      <c r="K1435" s="123">
        <f t="shared" si="351"/>
        <v>3000000</v>
      </c>
      <c r="L1435" s="111">
        <f t="shared" si="352"/>
        <v>63020</v>
      </c>
      <c r="M1435" s="2">
        <f t="shared" si="353"/>
        <v>2250</v>
      </c>
      <c r="N1435" s="112">
        <f t="shared" si="344"/>
        <v>17000000</v>
      </c>
      <c r="O1435" s="2">
        <f t="shared" si="354"/>
        <v>855065</v>
      </c>
      <c r="P1435" s="113">
        <f t="shared" si="355"/>
        <v>9.9999999999999998E-13</v>
      </c>
      <c r="Q1435" s="121">
        <f t="shared" si="345"/>
        <v>2205705</v>
      </c>
    </row>
    <row r="1436" spans="2:17" hidden="1" x14ac:dyDescent="0.4">
      <c r="B1436" s="110">
        <v>45357</v>
      </c>
      <c r="C1436" s="122">
        <f t="shared" si="346"/>
        <v>3000000</v>
      </c>
      <c r="D1436" s="111">
        <f t="shared" si="347"/>
        <v>63020</v>
      </c>
      <c r="E1436" s="2">
        <f t="shared" si="348"/>
        <v>2250</v>
      </c>
      <c r="F1436" s="112">
        <f t="shared" si="342"/>
        <v>17000000</v>
      </c>
      <c r="G1436" s="2">
        <f t="shared" si="349"/>
        <v>855065</v>
      </c>
      <c r="H1436" s="113">
        <f t="shared" si="350"/>
        <v>9.9999999999999998E-13</v>
      </c>
      <c r="I1436" s="121">
        <f t="shared" si="343"/>
        <v>2205705</v>
      </c>
      <c r="K1436" s="123">
        <f t="shared" si="351"/>
        <v>3000000</v>
      </c>
      <c r="L1436" s="111">
        <f t="shared" si="352"/>
        <v>63020</v>
      </c>
      <c r="M1436" s="2">
        <f t="shared" si="353"/>
        <v>2250</v>
      </c>
      <c r="N1436" s="112">
        <f t="shared" si="344"/>
        <v>17000000</v>
      </c>
      <c r="O1436" s="2">
        <f t="shared" si="354"/>
        <v>855065</v>
      </c>
      <c r="P1436" s="113">
        <f t="shared" si="355"/>
        <v>9.9999999999999998E-13</v>
      </c>
      <c r="Q1436" s="121">
        <f t="shared" si="345"/>
        <v>2205705</v>
      </c>
    </row>
    <row r="1437" spans="2:17" hidden="1" x14ac:dyDescent="0.4">
      <c r="B1437" s="110">
        <v>45358</v>
      </c>
      <c r="C1437" s="122">
        <f t="shared" si="346"/>
        <v>3000000</v>
      </c>
      <c r="D1437" s="111">
        <f t="shared" si="347"/>
        <v>63020</v>
      </c>
      <c r="E1437" s="2">
        <f t="shared" si="348"/>
        <v>2250</v>
      </c>
      <c r="F1437" s="112">
        <f t="shared" si="342"/>
        <v>17000000</v>
      </c>
      <c r="G1437" s="2">
        <f t="shared" si="349"/>
        <v>855065</v>
      </c>
      <c r="H1437" s="113">
        <f t="shared" si="350"/>
        <v>9.9999999999999998E-13</v>
      </c>
      <c r="I1437" s="121">
        <f t="shared" si="343"/>
        <v>2205705</v>
      </c>
      <c r="K1437" s="123">
        <f t="shared" si="351"/>
        <v>3000000</v>
      </c>
      <c r="L1437" s="111">
        <f t="shared" si="352"/>
        <v>63020</v>
      </c>
      <c r="M1437" s="2">
        <f t="shared" si="353"/>
        <v>2250</v>
      </c>
      <c r="N1437" s="112">
        <f t="shared" si="344"/>
        <v>17000000</v>
      </c>
      <c r="O1437" s="2">
        <f t="shared" si="354"/>
        <v>855065</v>
      </c>
      <c r="P1437" s="113">
        <f t="shared" si="355"/>
        <v>9.9999999999999998E-13</v>
      </c>
      <c r="Q1437" s="121">
        <f t="shared" si="345"/>
        <v>2205705</v>
      </c>
    </row>
    <row r="1438" spans="2:17" hidden="1" x14ac:dyDescent="0.4">
      <c r="B1438" s="110">
        <v>45359</v>
      </c>
      <c r="C1438" s="122">
        <f t="shared" si="346"/>
        <v>3000000</v>
      </c>
      <c r="D1438" s="111">
        <f t="shared" si="347"/>
        <v>63020</v>
      </c>
      <c r="E1438" s="2">
        <f t="shared" si="348"/>
        <v>2250</v>
      </c>
      <c r="F1438" s="112">
        <f t="shared" si="342"/>
        <v>17000000</v>
      </c>
      <c r="G1438" s="2">
        <f t="shared" si="349"/>
        <v>855065</v>
      </c>
      <c r="H1438" s="113">
        <f t="shared" si="350"/>
        <v>9.9999999999999998E-13</v>
      </c>
      <c r="I1438" s="121">
        <f t="shared" si="343"/>
        <v>2205705</v>
      </c>
      <c r="K1438" s="123">
        <f t="shared" si="351"/>
        <v>3000000</v>
      </c>
      <c r="L1438" s="111">
        <f t="shared" si="352"/>
        <v>63020</v>
      </c>
      <c r="M1438" s="2">
        <f t="shared" si="353"/>
        <v>2250</v>
      </c>
      <c r="N1438" s="112">
        <f t="shared" si="344"/>
        <v>17000000</v>
      </c>
      <c r="O1438" s="2">
        <f t="shared" si="354"/>
        <v>855065</v>
      </c>
      <c r="P1438" s="113">
        <f t="shared" si="355"/>
        <v>9.9999999999999998E-13</v>
      </c>
      <c r="Q1438" s="121">
        <f t="shared" si="345"/>
        <v>2205705</v>
      </c>
    </row>
    <row r="1439" spans="2:17" hidden="1" x14ac:dyDescent="0.4">
      <c r="B1439" s="110">
        <v>45360</v>
      </c>
      <c r="C1439" s="122">
        <f t="shared" si="346"/>
        <v>3000000</v>
      </c>
      <c r="D1439" s="111">
        <f t="shared" si="347"/>
        <v>63020</v>
      </c>
      <c r="E1439" s="2">
        <f t="shared" si="348"/>
        <v>2250</v>
      </c>
      <c r="F1439" s="112">
        <f t="shared" si="342"/>
        <v>17000000</v>
      </c>
      <c r="G1439" s="2">
        <f t="shared" si="349"/>
        <v>855065</v>
      </c>
      <c r="H1439" s="113">
        <f t="shared" si="350"/>
        <v>9.9999999999999998E-13</v>
      </c>
      <c r="I1439" s="121">
        <f t="shared" si="343"/>
        <v>2205705</v>
      </c>
      <c r="K1439" s="123">
        <f t="shared" si="351"/>
        <v>3000000</v>
      </c>
      <c r="L1439" s="111">
        <f t="shared" si="352"/>
        <v>63020</v>
      </c>
      <c r="M1439" s="2">
        <f t="shared" si="353"/>
        <v>2250</v>
      </c>
      <c r="N1439" s="112">
        <f t="shared" si="344"/>
        <v>17000000</v>
      </c>
      <c r="O1439" s="2">
        <f t="shared" si="354"/>
        <v>855065</v>
      </c>
      <c r="P1439" s="113">
        <f t="shared" si="355"/>
        <v>9.9999999999999998E-13</v>
      </c>
      <c r="Q1439" s="121">
        <f t="shared" si="345"/>
        <v>2205705</v>
      </c>
    </row>
    <row r="1440" spans="2:17" hidden="1" x14ac:dyDescent="0.4">
      <c r="B1440" s="110">
        <v>45361</v>
      </c>
      <c r="C1440" s="122">
        <f t="shared" si="346"/>
        <v>3000000</v>
      </c>
      <c r="D1440" s="111">
        <f t="shared" si="347"/>
        <v>63020</v>
      </c>
      <c r="E1440" s="2">
        <f t="shared" si="348"/>
        <v>2250</v>
      </c>
      <c r="F1440" s="112">
        <f t="shared" si="342"/>
        <v>17000000</v>
      </c>
      <c r="G1440" s="2">
        <f t="shared" si="349"/>
        <v>855065</v>
      </c>
      <c r="H1440" s="113">
        <f t="shared" si="350"/>
        <v>9.9999999999999998E-13</v>
      </c>
      <c r="I1440" s="121">
        <f t="shared" si="343"/>
        <v>2205705</v>
      </c>
      <c r="K1440" s="123">
        <f t="shared" si="351"/>
        <v>3000000</v>
      </c>
      <c r="L1440" s="111">
        <f t="shared" si="352"/>
        <v>63020</v>
      </c>
      <c r="M1440" s="2">
        <f t="shared" si="353"/>
        <v>2250</v>
      </c>
      <c r="N1440" s="112">
        <f t="shared" si="344"/>
        <v>17000000</v>
      </c>
      <c r="O1440" s="2">
        <f t="shared" si="354"/>
        <v>855065</v>
      </c>
      <c r="P1440" s="113">
        <f t="shared" si="355"/>
        <v>9.9999999999999998E-13</v>
      </c>
      <c r="Q1440" s="121">
        <f t="shared" si="345"/>
        <v>2205705</v>
      </c>
    </row>
    <row r="1441" spans="2:17" hidden="1" x14ac:dyDescent="0.4">
      <c r="B1441" s="110">
        <v>45362</v>
      </c>
      <c r="C1441" s="122">
        <f t="shared" si="346"/>
        <v>3000000</v>
      </c>
      <c r="D1441" s="111">
        <f t="shared" si="347"/>
        <v>63020</v>
      </c>
      <c r="E1441" s="2">
        <f t="shared" si="348"/>
        <v>2250</v>
      </c>
      <c r="F1441" s="112">
        <f t="shared" si="342"/>
        <v>17000000</v>
      </c>
      <c r="G1441" s="2">
        <f t="shared" si="349"/>
        <v>855065</v>
      </c>
      <c r="H1441" s="113">
        <f t="shared" si="350"/>
        <v>9.9999999999999998E-13</v>
      </c>
      <c r="I1441" s="121">
        <f t="shared" si="343"/>
        <v>2205705</v>
      </c>
      <c r="K1441" s="123">
        <f t="shared" si="351"/>
        <v>3000000</v>
      </c>
      <c r="L1441" s="111">
        <f t="shared" si="352"/>
        <v>63020</v>
      </c>
      <c r="M1441" s="2">
        <f t="shared" si="353"/>
        <v>2250</v>
      </c>
      <c r="N1441" s="112">
        <f t="shared" si="344"/>
        <v>17000000</v>
      </c>
      <c r="O1441" s="2">
        <f t="shared" si="354"/>
        <v>855065</v>
      </c>
      <c r="P1441" s="113">
        <f t="shared" si="355"/>
        <v>9.9999999999999998E-13</v>
      </c>
      <c r="Q1441" s="121">
        <f t="shared" si="345"/>
        <v>2205705</v>
      </c>
    </row>
    <row r="1442" spans="2:17" hidden="1" x14ac:dyDescent="0.4">
      <c r="B1442" s="110">
        <v>45363</v>
      </c>
      <c r="C1442" s="122">
        <f t="shared" si="346"/>
        <v>3000000</v>
      </c>
      <c r="D1442" s="111">
        <f t="shared" si="347"/>
        <v>63020</v>
      </c>
      <c r="E1442" s="2">
        <f t="shared" si="348"/>
        <v>2250</v>
      </c>
      <c r="F1442" s="112">
        <f t="shared" si="342"/>
        <v>17000000</v>
      </c>
      <c r="G1442" s="2">
        <f t="shared" si="349"/>
        <v>855065</v>
      </c>
      <c r="H1442" s="113">
        <f t="shared" si="350"/>
        <v>9.9999999999999998E-13</v>
      </c>
      <c r="I1442" s="121">
        <f t="shared" si="343"/>
        <v>2205705</v>
      </c>
      <c r="K1442" s="123">
        <f t="shared" si="351"/>
        <v>3000000</v>
      </c>
      <c r="L1442" s="111">
        <f t="shared" si="352"/>
        <v>63020</v>
      </c>
      <c r="M1442" s="2">
        <f t="shared" si="353"/>
        <v>2250</v>
      </c>
      <c r="N1442" s="112">
        <f t="shared" si="344"/>
        <v>17000000</v>
      </c>
      <c r="O1442" s="2">
        <f t="shared" si="354"/>
        <v>855065</v>
      </c>
      <c r="P1442" s="113">
        <f t="shared" si="355"/>
        <v>9.9999999999999998E-13</v>
      </c>
      <c r="Q1442" s="121">
        <f t="shared" si="345"/>
        <v>2205705</v>
      </c>
    </row>
    <row r="1443" spans="2:17" hidden="1" x14ac:dyDescent="0.4">
      <c r="B1443" s="110">
        <v>45364</v>
      </c>
      <c r="C1443" s="122">
        <f t="shared" si="346"/>
        <v>3000000</v>
      </c>
      <c r="D1443" s="111">
        <f t="shared" si="347"/>
        <v>63020</v>
      </c>
      <c r="E1443" s="2">
        <f t="shared" si="348"/>
        <v>2250</v>
      </c>
      <c r="F1443" s="112">
        <f t="shared" si="342"/>
        <v>17000000</v>
      </c>
      <c r="G1443" s="2">
        <f t="shared" si="349"/>
        <v>855065</v>
      </c>
      <c r="H1443" s="113">
        <f t="shared" si="350"/>
        <v>9.9999999999999998E-13</v>
      </c>
      <c r="I1443" s="121">
        <f t="shared" si="343"/>
        <v>2205705</v>
      </c>
      <c r="K1443" s="123">
        <f t="shared" si="351"/>
        <v>3000000</v>
      </c>
      <c r="L1443" s="111">
        <f t="shared" si="352"/>
        <v>63020</v>
      </c>
      <c r="M1443" s="2">
        <f t="shared" si="353"/>
        <v>2250</v>
      </c>
      <c r="N1443" s="112">
        <f t="shared" si="344"/>
        <v>17000000</v>
      </c>
      <c r="O1443" s="2">
        <f t="shared" si="354"/>
        <v>855065</v>
      </c>
      <c r="P1443" s="113">
        <f t="shared" si="355"/>
        <v>9.9999999999999998E-13</v>
      </c>
      <c r="Q1443" s="121">
        <f t="shared" si="345"/>
        <v>2205705</v>
      </c>
    </row>
    <row r="1444" spans="2:17" hidden="1" x14ac:dyDescent="0.4">
      <c r="B1444" s="110">
        <v>45365</v>
      </c>
      <c r="C1444" s="122">
        <f t="shared" si="346"/>
        <v>3000000</v>
      </c>
      <c r="D1444" s="111">
        <f t="shared" si="347"/>
        <v>63020</v>
      </c>
      <c r="E1444" s="2">
        <f t="shared" si="348"/>
        <v>2250</v>
      </c>
      <c r="F1444" s="112">
        <f t="shared" si="342"/>
        <v>17000000</v>
      </c>
      <c r="G1444" s="2">
        <f t="shared" si="349"/>
        <v>855065</v>
      </c>
      <c r="H1444" s="113">
        <f t="shared" si="350"/>
        <v>9.9999999999999998E-13</v>
      </c>
      <c r="I1444" s="121">
        <f t="shared" si="343"/>
        <v>2205705</v>
      </c>
      <c r="K1444" s="123">
        <f t="shared" si="351"/>
        <v>3000000</v>
      </c>
      <c r="L1444" s="111">
        <f t="shared" si="352"/>
        <v>63020</v>
      </c>
      <c r="M1444" s="2">
        <f t="shared" si="353"/>
        <v>2250</v>
      </c>
      <c r="N1444" s="112">
        <f t="shared" si="344"/>
        <v>17000000</v>
      </c>
      <c r="O1444" s="2">
        <f t="shared" si="354"/>
        <v>855065</v>
      </c>
      <c r="P1444" s="113">
        <f t="shared" si="355"/>
        <v>9.9999999999999998E-13</v>
      </c>
      <c r="Q1444" s="121">
        <f t="shared" si="345"/>
        <v>2205705</v>
      </c>
    </row>
    <row r="1445" spans="2:17" hidden="1" x14ac:dyDescent="0.4">
      <c r="B1445" s="110">
        <v>45366</v>
      </c>
      <c r="C1445" s="122">
        <f t="shared" si="346"/>
        <v>3000000</v>
      </c>
      <c r="D1445" s="111">
        <f t="shared" si="347"/>
        <v>63020</v>
      </c>
      <c r="E1445" s="2">
        <f t="shared" si="348"/>
        <v>2250</v>
      </c>
      <c r="F1445" s="112">
        <f t="shared" si="342"/>
        <v>17000000</v>
      </c>
      <c r="G1445" s="2">
        <f t="shared" si="349"/>
        <v>855065</v>
      </c>
      <c r="H1445" s="113">
        <f t="shared" si="350"/>
        <v>9.9999999999999998E-13</v>
      </c>
      <c r="I1445" s="121">
        <f t="shared" si="343"/>
        <v>2205705</v>
      </c>
      <c r="K1445" s="123">
        <f t="shared" si="351"/>
        <v>3000000</v>
      </c>
      <c r="L1445" s="111">
        <f t="shared" si="352"/>
        <v>63020</v>
      </c>
      <c r="M1445" s="2">
        <f t="shared" si="353"/>
        <v>2250</v>
      </c>
      <c r="N1445" s="112">
        <f t="shared" si="344"/>
        <v>17000000</v>
      </c>
      <c r="O1445" s="2">
        <f t="shared" si="354"/>
        <v>855065</v>
      </c>
      <c r="P1445" s="113">
        <f t="shared" si="355"/>
        <v>9.9999999999999998E-13</v>
      </c>
      <c r="Q1445" s="121">
        <f t="shared" si="345"/>
        <v>2205705</v>
      </c>
    </row>
    <row r="1446" spans="2:17" hidden="1" x14ac:dyDescent="0.4">
      <c r="B1446" s="110">
        <v>45367</v>
      </c>
      <c r="C1446" s="122">
        <f t="shared" si="346"/>
        <v>3000000</v>
      </c>
      <c r="D1446" s="111">
        <f t="shared" si="347"/>
        <v>63020</v>
      </c>
      <c r="E1446" s="2">
        <f t="shared" si="348"/>
        <v>2250</v>
      </c>
      <c r="F1446" s="112">
        <f t="shared" si="342"/>
        <v>17000000</v>
      </c>
      <c r="G1446" s="2">
        <f t="shared" si="349"/>
        <v>855065</v>
      </c>
      <c r="H1446" s="113">
        <f t="shared" si="350"/>
        <v>9.9999999999999998E-13</v>
      </c>
      <c r="I1446" s="121">
        <f t="shared" si="343"/>
        <v>2205705</v>
      </c>
      <c r="K1446" s="123">
        <f t="shared" si="351"/>
        <v>3000000</v>
      </c>
      <c r="L1446" s="111">
        <f t="shared" si="352"/>
        <v>63020</v>
      </c>
      <c r="M1446" s="2">
        <f t="shared" si="353"/>
        <v>2250</v>
      </c>
      <c r="N1446" s="112">
        <f t="shared" si="344"/>
        <v>17000000</v>
      </c>
      <c r="O1446" s="2">
        <f t="shared" si="354"/>
        <v>855065</v>
      </c>
      <c r="P1446" s="113">
        <f t="shared" si="355"/>
        <v>9.9999999999999998E-13</v>
      </c>
      <c r="Q1446" s="121">
        <f t="shared" si="345"/>
        <v>2205705</v>
      </c>
    </row>
    <row r="1447" spans="2:17" hidden="1" x14ac:dyDescent="0.4">
      <c r="B1447" s="110">
        <v>45368</v>
      </c>
      <c r="C1447" s="122">
        <f t="shared" si="346"/>
        <v>3000000</v>
      </c>
      <c r="D1447" s="111">
        <f t="shared" si="347"/>
        <v>63020</v>
      </c>
      <c r="E1447" s="2">
        <f t="shared" si="348"/>
        <v>2250</v>
      </c>
      <c r="F1447" s="112">
        <f t="shared" si="342"/>
        <v>17000000</v>
      </c>
      <c r="G1447" s="2">
        <f t="shared" si="349"/>
        <v>855065</v>
      </c>
      <c r="H1447" s="113">
        <f t="shared" si="350"/>
        <v>9.9999999999999998E-13</v>
      </c>
      <c r="I1447" s="121">
        <f t="shared" si="343"/>
        <v>2205705</v>
      </c>
      <c r="K1447" s="123">
        <f t="shared" si="351"/>
        <v>3000000</v>
      </c>
      <c r="L1447" s="111">
        <f t="shared" si="352"/>
        <v>63020</v>
      </c>
      <c r="M1447" s="2">
        <f t="shared" si="353"/>
        <v>2250</v>
      </c>
      <c r="N1447" s="112">
        <f t="shared" si="344"/>
        <v>17000000</v>
      </c>
      <c r="O1447" s="2">
        <f t="shared" si="354"/>
        <v>855065</v>
      </c>
      <c r="P1447" s="113">
        <f t="shared" si="355"/>
        <v>9.9999999999999998E-13</v>
      </c>
      <c r="Q1447" s="121">
        <f t="shared" si="345"/>
        <v>2205705</v>
      </c>
    </row>
    <row r="1448" spans="2:17" hidden="1" x14ac:dyDescent="0.4">
      <c r="B1448" s="110">
        <v>45369</v>
      </c>
      <c r="C1448" s="122">
        <f t="shared" si="346"/>
        <v>3000000</v>
      </c>
      <c r="D1448" s="111">
        <f t="shared" si="347"/>
        <v>63020</v>
      </c>
      <c r="E1448" s="2">
        <f t="shared" si="348"/>
        <v>2250</v>
      </c>
      <c r="F1448" s="112">
        <f t="shared" si="342"/>
        <v>17000000</v>
      </c>
      <c r="G1448" s="2">
        <f t="shared" si="349"/>
        <v>855065</v>
      </c>
      <c r="H1448" s="113">
        <f t="shared" si="350"/>
        <v>9.9999999999999998E-13</v>
      </c>
      <c r="I1448" s="121">
        <f t="shared" si="343"/>
        <v>2205705</v>
      </c>
      <c r="K1448" s="123">
        <f t="shared" si="351"/>
        <v>3000000</v>
      </c>
      <c r="L1448" s="111">
        <f t="shared" si="352"/>
        <v>63020</v>
      </c>
      <c r="M1448" s="2">
        <f t="shared" si="353"/>
        <v>2250</v>
      </c>
      <c r="N1448" s="112">
        <f t="shared" si="344"/>
        <v>17000000</v>
      </c>
      <c r="O1448" s="2">
        <f t="shared" si="354"/>
        <v>855065</v>
      </c>
      <c r="P1448" s="113">
        <f t="shared" si="355"/>
        <v>9.9999999999999998E-13</v>
      </c>
      <c r="Q1448" s="121">
        <f t="shared" si="345"/>
        <v>2205705</v>
      </c>
    </row>
    <row r="1449" spans="2:17" hidden="1" x14ac:dyDescent="0.4">
      <c r="B1449" s="110">
        <v>45370</v>
      </c>
      <c r="C1449" s="122">
        <f t="shared" si="346"/>
        <v>3000000</v>
      </c>
      <c r="D1449" s="111">
        <f t="shared" si="347"/>
        <v>63020</v>
      </c>
      <c r="E1449" s="2">
        <f t="shared" si="348"/>
        <v>2250</v>
      </c>
      <c r="F1449" s="112">
        <f t="shared" si="342"/>
        <v>17000000</v>
      </c>
      <c r="G1449" s="2">
        <f t="shared" si="349"/>
        <v>855065</v>
      </c>
      <c r="H1449" s="113">
        <f t="shared" si="350"/>
        <v>9.9999999999999998E-13</v>
      </c>
      <c r="I1449" s="121">
        <f t="shared" si="343"/>
        <v>2205705</v>
      </c>
      <c r="K1449" s="123">
        <f t="shared" si="351"/>
        <v>3000000</v>
      </c>
      <c r="L1449" s="111">
        <f t="shared" si="352"/>
        <v>63020</v>
      </c>
      <c r="M1449" s="2">
        <f t="shared" si="353"/>
        <v>2250</v>
      </c>
      <c r="N1449" s="112">
        <f t="shared" si="344"/>
        <v>17000000</v>
      </c>
      <c r="O1449" s="2">
        <f t="shared" si="354"/>
        <v>855065</v>
      </c>
      <c r="P1449" s="113">
        <f t="shared" si="355"/>
        <v>9.9999999999999998E-13</v>
      </c>
      <c r="Q1449" s="121">
        <f t="shared" si="345"/>
        <v>2205705</v>
      </c>
    </row>
    <row r="1450" spans="2:17" hidden="1" x14ac:dyDescent="0.4">
      <c r="B1450" s="110">
        <v>45371</v>
      </c>
      <c r="C1450" s="122">
        <f t="shared" si="346"/>
        <v>3000000</v>
      </c>
      <c r="D1450" s="111">
        <f t="shared" si="347"/>
        <v>63020</v>
      </c>
      <c r="E1450" s="2">
        <f t="shared" si="348"/>
        <v>2250</v>
      </c>
      <c r="F1450" s="112">
        <f t="shared" si="342"/>
        <v>17000000</v>
      </c>
      <c r="G1450" s="2">
        <f t="shared" si="349"/>
        <v>855065</v>
      </c>
      <c r="H1450" s="113">
        <f t="shared" si="350"/>
        <v>9.9999999999999998E-13</v>
      </c>
      <c r="I1450" s="121">
        <f t="shared" si="343"/>
        <v>2205705</v>
      </c>
      <c r="K1450" s="123">
        <f t="shared" si="351"/>
        <v>3000000</v>
      </c>
      <c r="L1450" s="111">
        <f t="shared" si="352"/>
        <v>63020</v>
      </c>
      <c r="M1450" s="2">
        <f t="shared" si="353"/>
        <v>2250</v>
      </c>
      <c r="N1450" s="112">
        <f t="shared" si="344"/>
        <v>17000000</v>
      </c>
      <c r="O1450" s="2">
        <f t="shared" si="354"/>
        <v>855065</v>
      </c>
      <c r="P1450" s="113">
        <f t="shared" si="355"/>
        <v>9.9999999999999998E-13</v>
      </c>
      <c r="Q1450" s="121">
        <f t="shared" si="345"/>
        <v>2205705</v>
      </c>
    </row>
    <row r="1451" spans="2:17" hidden="1" x14ac:dyDescent="0.4">
      <c r="B1451" s="110">
        <v>45372</v>
      </c>
      <c r="C1451" s="122">
        <f t="shared" si="346"/>
        <v>3000000</v>
      </c>
      <c r="D1451" s="111">
        <f t="shared" si="347"/>
        <v>63020</v>
      </c>
      <c r="E1451" s="2">
        <f t="shared" si="348"/>
        <v>2250</v>
      </c>
      <c r="F1451" s="112">
        <f t="shared" si="342"/>
        <v>17000000</v>
      </c>
      <c r="G1451" s="2">
        <f t="shared" si="349"/>
        <v>855065</v>
      </c>
      <c r="H1451" s="113">
        <f t="shared" si="350"/>
        <v>9.9999999999999998E-13</v>
      </c>
      <c r="I1451" s="121">
        <f t="shared" si="343"/>
        <v>2205705</v>
      </c>
      <c r="K1451" s="123">
        <f t="shared" si="351"/>
        <v>3000000</v>
      </c>
      <c r="L1451" s="111">
        <f t="shared" si="352"/>
        <v>63020</v>
      </c>
      <c r="M1451" s="2">
        <f t="shared" si="353"/>
        <v>2250</v>
      </c>
      <c r="N1451" s="112">
        <f t="shared" si="344"/>
        <v>17000000</v>
      </c>
      <c r="O1451" s="2">
        <f t="shared" si="354"/>
        <v>855065</v>
      </c>
      <c r="P1451" s="113">
        <f t="shared" si="355"/>
        <v>9.9999999999999998E-13</v>
      </c>
      <c r="Q1451" s="121">
        <f t="shared" si="345"/>
        <v>2205705</v>
      </c>
    </row>
    <row r="1452" spans="2:17" hidden="1" x14ac:dyDescent="0.4">
      <c r="B1452" s="110">
        <v>45373</v>
      </c>
      <c r="C1452" s="122">
        <f t="shared" si="346"/>
        <v>3000000</v>
      </c>
      <c r="D1452" s="111">
        <f t="shared" si="347"/>
        <v>63020</v>
      </c>
      <c r="E1452" s="2">
        <f t="shared" si="348"/>
        <v>2250</v>
      </c>
      <c r="F1452" s="112">
        <f t="shared" si="342"/>
        <v>17000000</v>
      </c>
      <c r="G1452" s="2">
        <f t="shared" si="349"/>
        <v>855065</v>
      </c>
      <c r="H1452" s="113">
        <f t="shared" si="350"/>
        <v>9.9999999999999998E-13</v>
      </c>
      <c r="I1452" s="121">
        <f t="shared" si="343"/>
        <v>2205705</v>
      </c>
      <c r="K1452" s="123">
        <f t="shared" si="351"/>
        <v>3000000</v>
      </c>
      <c r="L1452" s="111">
        <f t="shared" si="352"/>
        <v>63020</v>
      </c>
      <c r="M1452" s="2">
        <f t="shared" si="353"/>
        <v>2250</v>
      </c>
      <c r="N1452" s="112">
        <f t="shared" si="344"/>
        <v>17000000</v>
      </c>
      <c r="O1452" s="2">
        <f t="shared" si="354"/>
        <v>855065</v>
      </c>
      <c r="P1452" s="113">
        <f t="shared" si="355"/>
        <v>9.9999999999999998E-13</v>
      </c>
      <c r="Q1452" s="121">
        <f t="shared" si="345"/>
        <v>2205705</v>
      </c>
    </row>
    <row r="1453" spans="2:17" hidden="1" x14ac:dyDescent="0.4">
      <c r="B1453" s="110">
        <v>45374</v>
      </c>
      <c r="C1453" s="122">
        <f t="shared" si="346"/>
        <v>3000000</v>
      </c>
      <c r="D1453" s="111">
        <f t="shared" si="347"/>
        <v>63020</v>
      </c>
      <c r="E1453" s="2">
        <f t="shared" si="348"/>
        <v>2250</v>
      </c>
      <c r="F1453" s="112">
        <f t="shared" si="342"/>
        <v>17000000</v>
      </c>
      <c r="G1453" s="2">
        <f t="shared" si="349"/>
        <v>855065</v>
      </c>
      <c r="H1453" s="113">
        <f t="shared" si="350"/>
        <v>9.9999999999999998E-13</v>
      </c>
      <c r="I1453" s="121">
        <f t="shared" si="343"/>
        <v>2205705</v>
      </c>
      <c r="K1453" s="123">
        <f t="shared" si="351"/>
        <v>3000000</v>
      </c>
      <c r="L1453" s="111">
        <f t="shared" si="352"/>
        <v>63020</v>
      </c>
      <c r="M1453" s="2">
        <f t="shared" si="353"/>
        <v>2250</v>
      </c>
      <c r="N1453" s="112">
        <f t="shared" si="344"/>
        <v>17000000</v>
      </c>
      <c r="O1453" s="2">
        <f t="shared" si="354"/>
        <v>855065</v>
      </c>
      <c r="P1453" s="113">
        <f t="shared" si="355"/>
        <v>9.9999999999999998E-13</v>
      </c>
      <c r="Q1453" s="121">
        <f t="shared" si="345"/>
        <v>2205705</v>
      </c>
    </row>
    <row r="1454" spans="2:17" hidden="1" x14ac:dyDescent="0.4">
      <c r="B1454" s="110">
        <v>45375</v>
      </c>
      <c r="C1454" s="122">
        <f t="shared" si="346"/>
        <v>3000000</v>
      </c>
      <c r="D1454" s="111">
        <f t="shared" si="347"/>
        <v>63020</v>
      </c>
      <c r="E1454" s="2">
        <f t="shared" si="348"/>
        <v>2250</v>
      </c>
      <c r="F1454" s="112">
        <f t="shared" si="342"/>
        <v>17000000</v>
      </c>
      <c r="G1454" s="2">
        <f t="shared" si="349"/>
        <v>855065</v>
      </c>
      <c r="H1454" s="113">
        <f t="shared" si="350"/>
        <v>9.9999999999999998E-13</v>
      </c>
      <c r="I1454" s="121">
        <f t="shared" si="343"/>
        <v>2205705</v>
      </c>
      <c r="K1454" s="123">
        <f t="shared" si="351"/>
        <v>3000000</v>
      </c>
      <c r="L1454" s="111">
        <f t="shared" si="352"/>
        <v>63020</v>
      </c>
      <c r="M1454" s="2">
        <f t="shared" si="353"/>
        <v>2250</v>
      </c>
      <c r="N1454" s="112">
        <f t="shared" si="344"/>
        <v>17000000</v>
      </c>
      <c r="O1454" s="2">
        <f t="shared" si="354"/>
        <v>855065</v>
      </c>
      <c r="P1454" s="113">
        <f t="shared" si="355"/>
        <v>9.9999999999999998E-13</v>
      </c>
      <c r="Q1454" s="121">
        <f t="shared" si="345"/>
        <v>2205705</v>
      </c>
    </row>
    <row r="1455" spans="2:17" hidden="1" x14ac:dyDescent="0.4">
      <c r="B1455" s="110">
        <v>45376</v>
      </c>
      <c r="C1455" s="122">
        <f t="shared" si="346"/>
        <v>3000000</v>
      </c>
      <c r="D1455" s="111">
        <f t="shared" si="347"/>
        <v>63020</v>
      </c>
      <c r="E1455" s="2">
        <f t="shared" si="348"/>
        <v>2250</v>
      </c>
      <c r="F1455" s="112">
        <f t="shared" si="342"/>
        <v>17000000</v>
      </c>
      <c r="G1455" s="2">
        <f t="shared" si="349"/>
        <v>855065</v>
      </c>
      <c r="H1455" s="113">
        <f t="shared" si="350"/>
        <v>9.9999999999999998E-13</v>
      </c>
      <c r="I1455" s="121">
        <f t="shared" si="343"/>
        <v>2205705</v>
      </c>
      <c r="K1455" s="123">
        <f t="shared" si="351"/>
        <v>3000000</v>
      </c>
      <c r="L1455" s="111">
        <f t="shared" si="352"/>
        <v>63020</v>
      </c>
      <c r="M1455" s="2">
        <f t="shared" si="353"/>
        <v>2250</v>
      </c>
      <c r="N1455" s="112">
        <f t="shared" si="344"/>
        <v>17000000</v>
      </c>
      <c r="O1455" s="2">
        <f t="shared" si="354"/>
        <v>855065</v>
      </c>
      <c r="P1455" s="113">
        <f t="shared" si="355"/>
        <v>9.9999999999999998E-13</v>
      </c>
      <c r="Q1455" s="121">
        <f t="shared" si="345"/>
        <v>2205705</v>
      </c>
    </row>
    <row r="1456" spans="2:17" hidden="1" x14ac:dyDescent="0.4">
      <c r="B1456" s="110">
        <v>45377</v>
      </c>
      <c r="C1456" s="122">
        <f t="shared" si="346"/>
        <v>3000000</v>
      </c>
      <c r="D1456" s="111">
        <f t="shared" si="347"/>
        <v>63020</v>
      </c>
      <c r="E1456" s="2">
        <f t="shared" si="348"/>
        <v>2250</v>
      </c>
      <c r="F1456" s="112">
        <f t="shared" si="342"/>
        <v>17000000</v>
      </c>
      <c r="G1456" s="2">
        <f t="shared" si="349"/>
        <v>855065</v>
      </c>
      <c r="H1456" s="113">
        <f t="shared" si="350"/>
        <v>9.9999999999999998E-13</v>
      </c>
      <c r="I1456" s="121">
        <f t="shared" si="343"/>
        <v>2205705</v>
      </c>
      <c r="K1456" s="123">
        <f t="shared" si="351"/>
        <v>3000000</v>
      </c>
      <c r="L1456" s="111">
        <f t="shared" si="352"/>
        <v>63020</v>
      </c>
      <c r="M1456" s="2">
        <f t="shared" si="353"/>
        <v>2250</v>
      </c>
      <c r="N1456" s="112">
        <f t="shared" si="344"/>
        <v>17000000</v>
      </c>
      <c r="O1456" s="2">
        <f t="shared" si="354"/>
        <v>855065</v>
      </c>
      <c r="P1456" s="113">
        <f t="shared" si="355"/>
        <v>9.9999999999999998E-13</v>
      </c>
      <c r="Q1456" s="121">
        <f t="shared" si="345"/>
        <v>2205705</v>
      </c>
    </row>
    <row r="1457" spans="2:17" hidden="1" x14ac:dyDescent="0.4">
      <c r="B1457" s="110">
        <v>45378</v>
      </c>
      <c r="C1457" s="122">
        <f t="shared" si="346"/>
        <v>3000000</v>
      </c>
      <c r="D1457" s="111">
        <f t="shared" si="347"/>
        <v>63020</v>
      </c>
      <c r="E1457" s="2">
        <f t="shared" si="348"/>
        <v>2250</v>
      </c>
      <c r="F1457" s="112">
        <f t="shared" si="342"/>
        <v>17000000</v>
      </c>
      <c r="G1457" s="2">
        <f t="shared" si="349"/>
        <v>855065</v>
      </c>
      <c r="H1457" s="113">
        <f t="shared" si="350"/>
        <v>9.9999999999999998E-13</v>
      </c>
      <c r="I1457" s="121">
        <f t="shared" si="343"/>
        <v>2205705</v>
      </c>
      <c r="K1457" s="123">
        <f t="shared" si="351"/>
        <v>3000000</v>
      </c>
      <c r="L1457" s="111">
        <f t="shared" si="352"/>
        <v>63020</v>
      </c>
      <c r="M1457" s="2">
        <f t="shared" si="353"/>
        <v>2250</v>
      </c>
      <c r="N1457" s="112">
        <f t="shared" si="344"/>
        <v>17000000</v>
      </c>
      <c r="O1457" s="2">
        <f t="shared" si="354"/>
        <v>855065</v>
      </c>
      <c r="P1457" s="113">
        <f t="shared" si="355"/>
        <v>9.9999999999999998E-13</v>
      </c>
      <c r="Q1457" s="121">
        <f t="shared" si="345"/>
        <v>2205705</v>
      </c>
    </row>
    <row r="1458" spans="2:17" hidden="1" x14ac:dyDescent="0.4">
      <c r="B1458" s="110">
        <v>45379</v>
      </c>
      <c r="C1458" s="122">
        <f t="shared" si="346"/>
        <v>3000000</v>
      </c>
      <c r="D1458" s="111">
        <f t="shared" si="347"/>
        <v>63020</v>
      </c>
      <c r="E1458" s="2">
        <f t="shared" si="348"/>
        <v>2250</v>
      </c>
      <c r="F1458" s="112">
        <f t="shared" si="342"/>
        <v>17000000</v>
      </c>
      <c r="G1458" s="2">
        <f t="shared" si="349"/>
        <v>855065</v>
      </c>
      <c r="H1458" s="113">
        <f t="shared" si="350"/>
        <v>9.9999999999999998E-13</v>
      </c>
      <c r="I1458" s="121">
        <f t="shared" si="343"/>
        <v>2205705</v>
      </c>
      <c r="K1458" s="123">
        <f t="shared" si="351"/>
        <v>3000000</v>
      </c>
      <c r="L1458" s="111">
        <f t="shared" si="352"/>
        <v>63020</v>
      </c>
      <c r="M1458" s="2">
        <f t="shared" si="353"/>
        <v>2250</v>
      </c>
      <c r="N1458" s="112">
        <f t="shared" si="344"/>
        <v>17000000</v>
      </c>
      <c r="O1458" s="2">
        <f t="shared" si="354"/>
        <v>855065</v>
      </c>
      <c r="P1458" s="113">
        <f t="shared" si="355"/>
        <v>9.9999999999999998E-13</v>
      </c>
      <c r="Q1458" s="121">
        <f t="shared" si="345"/>
        <v>2205705</v>
      </c>
    </row>
    <row r="1459" spans="2:17" hidden="1" x14ac:dyDescent="0.4">
      <c r="B1459" s="110">
        <v>45380</v>
      </c>
      <c r="C1459" s="122">
        <f t="shared" si="346"/>
        <v>3000000</v>
      </c>
      <c r="D1459" s="111">
        <f t="shared" si="347"/>
        <v>63020</v>
      </c>
      <c r="E1459" s="2">
        <f t="shared" si="348"/>
        <v>2250</v>
      </c>
      <c r="F1459" s="112">
        <f t="shared" si="342"/>
        <v>17000000</v>
      </c>
      <c r="G1459" s="2">
        <f t="shared" si="349"/>
        <v>855065</v>
      </c>
      <c r="H1459" s="113">
        <f t="shared" si="350"/>
        <v>9.9999999999999998E-13</v>
      </c>
      <c r="I1459" s="121">
        <f t="shared" si="343"/>
        <v>2205705</v>
      </c>
      <c r="K1459" s="123">
        <f t="shared" si="351"/>
        <v>3000000</v>
      </c>
      <c r="L1459" s="111">
        <f t="shared" si="352"/>
        <v>63020</v>
      </c>
      <c r="M1459" s="2">
        <f t="shared" si="353"/>
        <v>2250</v>
      </c>
      <c r="N1459" s="112">
        <f t="shared" si="344"/>
        <v>17000000</v>
      </c>
      <c r="O1459" s="2">
        <f t="shared" si="354"/>
        <v>855065</v>
      </c>
      <c r="P1459" s="113">
        <f t="shared" si="355"/>
        <v>9.9999999999999998E-13</v>
      </c>
      <c r="Q1459" s="121">
        <f t="shared" si="345"/>
        <v>2205705</v>
      </c>
    </row>
    <row r="1460" spans="2:17" hidden="1" x14ac:dyDescent="0.4">
      <c r="B1460" s="110">
        <v>45381</v>
      </c>
      <c r="C1460" s="122">
        <f t="shared" si="346"/>
        <v>3000000</v>
      </c>
      <c r="D1460" s="111">
        <f t="shared" si="347"/>
        <v>63020</v>
      </c>
      <c r="E1460" s="2">
        <f t="shared" si="348"/>
        <v>2250</v>
      </c>
      <c r="F1460" s="112">
        <f t="shared" si="342"/>
        <v>17000000</v>
      </c>
      <c r="G1460" s="2">
        <f t="shared" si="349"/>
        <v>855065</v>
      </c>
      <c r="H1460" s="113">
        <f t="shared" si="350"/>
        <v>9.9999999999999998E-13</v>
      </c>
      <c r="I1460" s="121">
        <f t="shared" si="343"/>
        <v>2205705</v>
      </c>
      <c r="K1460" s="123">
        <f t="shared" si="351"/>
        <v>3000000</v>
      </c>
      <c r="L1460" s="111">
        <f t="shared" si="352"/>
        <v>63020</v>
      </c>
      <c r="M1460" s="2">
        <f t="shared" si="353"/>
        <v>2250</v>
      </c>
      <c r="N1460" s="112">
        <f t="shared" si="344"/>
        <v>17000000</v>
      </c>
      <c r="O1460" s="2">
        <f t="shared" si="354"/>
        <v>855065</v>
      </c>
      <c r="P1460" s="113">
        <f t="shared" si="355"/>
        <v>9.9999999999999998E-13</v>
      </c>
      <c r="Q1460" s="121">
        <f t="shared" si="345"/>
        <v>2205705</v>
      </c>
    </row>
    <row r="1461" spans="2:17" hidden="1" x14ac:dyDescent="0.4">
      <c r="B1461" s="110">
        <v>45382</v>
      </c>
      <c r="C1461" s="122">
        <f t="shared" si="346"/>
        <v>3000000</v>
      </c>
      <c r="D1461" s="111">
        <f t="shared" si="347"/>
        <v>63020</v>
      </c>
      <c r="E1461" s="2">
        <f t="shared" si="348"/>
        <v>2250</v>
      </c>
      <c r="F1461" s="112">
        <f t="shared" si="342"/>
        <v>17000000</v>
      </c>
      <c r="G1461" s="2">
        <f t="shared" si="349"/>
        <v>855065</v>
      </c>
      <c r="H1461" s="113">
        <f t="shared" si="350"/>
        <v>9.9999999999999998E-13</v>
      </c>
      <c r="I1461" s="121">
        <f t="shared" si="343"/>
        <v>2205705</v>
      </c>
      <c r="K1461" s="123">
        <f t="shared" si="351"/>
        <v>3000000</v>
      </c>
      <c r="L1461" s="111">
        <f t="shared" si="352"/>
        <v>63020</v>
      </c>
      <c r="M1461" s="2">
        <f t="shared" si="353"/>
        <v>2250</v>
      </c>
      <c r="N1461" s="112">
        <f t="shared" si="344"/>
        <v>17000000</v>
      </c>
      <c r="O1461" s="2">
        <f t="shared" si="354"/>
        <v>855065</v>
      </c>
      <c r="P1461" s="113">
        <f t="shared" si="355"/>
        <v>9.9999999999999998E-13</v>
      </c>
      <c r="Q1461" s="121">
        <f t="shared" si="345"/>
        <v>2205705</v>
      </c>
    </row>
    <row r="1462" spans="2:17" x14ac:dyDescent="0.4">
      <c r="B1462" s="110">
        <v>45383</v>
      </c>
      <c r="C1462" s="122">
        <f t="shared" si="346"/>
        <v>3000000</v>
      </c>
      <c r="D1462" s="111">
        <f t="shared" si="347"/>
        <v>63020</v>
      </c>
      <c r="E1462" s="2">
        <f t="shared" si="348"/>
        <v>2250</v>
      </c>
      <c r="F1462" s="112">
        <f t="shared" si="342"/>
        <v>17000000</v>
      </c>
      <c r="G1462" s="2">
        <f t="shared" si="349"/>
        <v>855065</v>
      </c>
      <c r="H1462" s="113">
        <f t="shared" si="350"/>
        <v>9.9999999999999998E-13</v>
      </c>
      <c r="I1462" s="121">
        <f t="shared" si="343"/>
        <v>2205705</v>
      </c>
      <c r="K1462" s="123">
        <f t="shared" si="351"/>
        <v>3000000</v>
      </c>
      <c r="L1462" s="111">
        <f t="shared" si="352"/>
        <v>63020</v>
      </c>
      <c r="M1462" s="2">
        <f t="shared" si="353"/>
        <v>2250</v>
      </c>
      <c r="N1462" s="112">
        <f t="shared" si="344"/>
        <v>17000000</v>
      </c>
      <c r="O1462" s="2">
        <f t="shared" si="354"/>
        <v>855065</v>
      </c>
      <c r="P1462" s="113">
        <f t="shared" si="355"/>
        <v>9.9999999999999998E-13</v>
      </c>
      <c r="Q1462" s="121">
        <f t="shared" si="345"/>
        <v>2205705</v>
      </c>
    </row>
    <row r="1463" spans="2:17" hidden="1" x14ac:dyDescent="0.4">
      <c r="B1463" s="110">
        <v>45384</v>
      </c>
      <c r="C1463" s="122">
        <f t="shared" si="346"/>
        <v>3000000</v>
      </c>
      <c r="D1463" s="111">
        <f t="shared" si="347"/>
        <v>63020</v>
      </c>
      <c r="E1463" s="2">
        <f t="shared" si="348"/>
        <v>2250</v>
      </c>
      <c r="F1463" s="112">
        <f t="shared" si="342"/>
        <v>17000000</v>
      </c>
      <c r="G1463" s="2">
        <f t="shared" si="349"/>
        <v>855065</v>
      </c>
      <c r="H1463" s="113">
        <f t="shared" si="350"/>
        <v>9.9999999999999998E-13</v>
      </c>
      <c r="I1463" s="121">
        <f t="shared" si="343"/>
        <v>2205705</v>
      </c>
      <c r="K1463" s="123">
        <f t="shared" si="351"/>
        <v>3000000</v>
      </c>
      <c r="L1463" s="111">
        <f t="shared" si="352"/>
        <v>63020</v>
      </c>
      <c r="M1463" s="2">
        <f t="shared" si="353"/>
        <v>2250</v>
      </c>
      <c r="N1463" s="112">
        <f t="shared" si="344"/>
        <v>17000000</v>
      </c>
      <c r="O1463" s="2">
        <f t="shared" si="354"/>
        <v>855065</v>
      </c>
      <c r="P1463" s="113">
        <f t="shared" si="355"/>
        <v>9.9999999999999998E-13</v>
      </c>
      <c r="Q1463" s="121">
        <f t="shared" si="345"/>
        <v>2205705</v>
      </c>
    </row>
    <row r="1464" spans="2:17" hidden="1" x14ac:dyDescent="0.4">
      <c r="B1464" s="110">
        <v>45385</v>
      </c>
      <c r="C1464" s="122">
        <f t="shared" si="346"/>
        <v>3000000</v>
      </c>
      <c r="D1464" s="111">
        <f t="shared" si="347"/>
        <v>63020</v>
      </c>
      <c r="E1464" s="2">
        <f t="shared" si="348"/>
        <v>2250</v>
      </c>
      <c r="F1464" s="112">
        <f t="shared" si="342"/>
        <v>17000000</v>
      </c>
      <c r="G1464" s="2">
        <f t="shared" si="349"/>
        <v>855065</v>
      </c>
      <c r="H1464" s="113">
        <f t="shared" si="350"/>
        <v>9.9999999999999998E-13</v>
      </c>
      <c r="I1464" s="121">
        <f t="shared" si="343"/>
        <v>2205705</v>
      </c>
      <c r="K1464" s="123">
        <f t="shared" si="351"/>
        <v>3000000</v>
      </c>
      <c r="L1464" s="111">
        <f t="shared" si="352"/>
        <v>63020</v>
      </c>
      <c r="M1464" s="2">
        <f t="shared" si="353"/>
        <v>2250</v>
      </c>
      <c r="N1464" s="112">
        <f t="shared" si="344"/>
        <v>17000000</v>
      </c>
      <c r="O1464" s="2">
        <f t="shared" si="354"/>
        <v>855065</v>
      </c>
      <c r="P1464" s="113">
        <f t="shared" si="355"/>
        <v>9.9999999999999998E-13</v>
      </c>
      <c r="Q1464" s="121">
        <f t="shared" si="345"/>
        <v>2205705</v>
      </c>
    </row>
    <row r="1465" spans="2:17" hidden="1" x14ac:dyDescent="0.4">
      <c r="B1465" s="110">
        <v>45386</v>
      </c>
      <c r="C1465" s="122">
        <f t="shared" si="346"/>
        <v>3000000</v>
      </c>
      <c r="D1465" s="111">
        <f t="shared" si="347"/>
        <v>63020</v>
      </c>
      <c r="E1465" s="2">
        <f t="shared" si="348"/>
        <v>2250</v>
      </c>
      <c r="F1465" s="112">
        <f t="shared" si="342"/>
        <v>17000000</v>
      </c>
      <c r="G1465" s="2">
        <f t="shared" si="349"/>
        <v>855065</v>
      </c>
      <c r="H1465" s="113">
        <f t="shared" si="350"/>
        <v>9.9999999999999998E-13</v>
      </c>
      <c r="I1465" s="121">
        <f t="shared" si="343"/>
        <v>2205705</v>
      </c>
      <c r="K1465" s="123">
        <f t="shared" si="351"/>
        <v>3000000</v>
      </c>
      <c r="L1465" s="111">
        <f t="shared" si="352"/>
        <v>63020</v>
      </c>
      <c r="M1465" s="2">
        <f t="shared" si="353"/>
        <v>2250</v>
      </c>
      <c r="N1465" s="112">
        <f t="shared" si="344"/>
        <v>17000000</v>
      </c>
      <c r="O1465" s="2">
        <f t="shared" si="354"/>
        <v>855065</v>
      </c>
      <c r="P1465" s="113">
        <f t="shared" si="355"/>
        <v>9.9999999999999998E-13</v>
      </c>
      <c r="Q1465" s="121">
        <f t="shared" si="345"/>
        <v>2205705</v>
      </c>
    </row>
    <row r="1466" spans="2:17" hidden="1" x14ac:dyDescent="0.4">
      <c r="B1466" s="110">
        <v>45387</v>
      </c>
      <c r="C1466" s="122">
        <f t="shared" si="346"/>
        <v>3000000</v>
      </c>
      <c r="D1466" s="111">
        <f t="shared" si="347"/>
        <v>63020</v>
      </c>
      <c r="E1466" s="2">
        <f t="shared" si="348"/>
        <v>2250</v>
      </c>
      <c r="F1466" s="112">
        <f t="shared" si="342"/>
        <v>17000000</v>
      </c>
      <c r="G1466" s="2">
        <f t="shared" si="349"/>
        <v>855065</v>
      </c>
      <c r="H1466" s="113">
        <f t="shared" si="350"/>
        <v>9.9999999999999998E-13</v>
      </c>
      <c r="I1466" s="121">
        <f t="shared" si="343"/>
        <v>2205705</v>
      </c>
      <c r="K1466" s="123">
        <f t="shared" si="351"/>
        <v>3000000</v>
      </c>
      <c r="L1466" s="111">
        <f t="shared" si="352"/>
        <v>63020</v>
      </c>
      <c r="M1466" s="2">
        <f t="shared" si="353"/>
        <v>2250</v>
      </c>
      <c r="N1466" s="112">
        <f t="shared" si="344"/>
        <v>17000000</v>
      </c>
      <c r="O1466" s="2">
        <f t="shared" si="354"/>
        <v>855065</v>
      </c>
      <c r="P1466" s="113">
        <f t="shared" si="355"/>
        <v>9.9999999999999998E-13</v>
      </c>
      <c r="Q1466" s="121">
        <f t="shared" si="345"/>
        <v>2205705</v>
      </c>
    </row>
    <row r="1467" spans="2:17" hidden="1" x14ac:dyDescent="0.4">
      <c r="B1467" s="110">
        <v>45388</v>
      </c>
      <c r="C1467" s="122">
        <f t="shared" si="346"/>
        <v>3000000</v>
      </c>
      <c r="D1467" s="111">
        <f t="shared" si="347"/>
        <v>63020</v>
      </c>
      <c r="E1467" s="2">
        <f t="shared" si="348"/>
        <v>2250</v>
      </c>
      <c r="F1467" s="112">
        <f t="shared" si="342"/>
        <v>17000000</v>
      </c>
      <c r="G1467" s="2">
        <f t="shared" si="349"/>
        <v>855065</v>
      </c>
      <c r="H1467" s="113">
        <f t="shared" si="350"/>
        <v>9.9999999999999998E-13</v>
      </c>
      <c r="I1467" s="121">
        <f t="shared" si="343"/>
        <v>2205705</v>
      </c>
      <c r="K1467" s="123">
        <f t="shared" si="351"/>
        <v>3000000</v>
      </c>
      <c r="L1467" s="111">
        <f t="shared" si="352"/>
        <v>63020</v>
      </c>
      <c r="M1467" s="2">
        <f t="shared" si="353"/>
        <v>2250</v>
      </c>
      <c r="N1467" s="112">
        <f t="shared" si="344"/>
        <v>17000000</v>
      </c>
      <c r="O1467" s="2">
        <f t="shared" si="354"/>
        <v>855065</v>
      </c>
      <c r="P1467" s="113">
        <f t="shared" si="355"/>
        <v>9.9999999999999998E-13</v>
      </c>
      <c r="Q1467" s="121">
        <f t="shared" si="345"/>
        <v>2205705</v>
      </c>
    </row>
    <row r="1468" spans="2:17" hidden="1" x14ac:dyDescent="0.4">
      <c r="B1468" s="110">
        <v>45389</v>
      </c>
      <c r="C1468" s="122">
        <f t="shared" si="346"/>
        <v>3000000</v>
      </c>
      <c r="D1468" s="111">
        <f t="shared" si="347"/>
        <v>63020</v>
      </c>
      <c r="E1468" s="2">
        <f t="shared" si="348"/>
        <v>2250</v>
      </c>
      <c r="F1468" s="112">
        <f t="shared" si="342"/>
        <v>17000000</v>
      </c>
      <c r="G1468" s="2">
        <f t="shared" si="349"/>
        <v>855065</v>
      </c>
      <c r="H1468" s="113">
        <f t="shared" si="350"/>
        <v>9.9999999999999998E-13</v>
      </c>
      <c r="I1468" s="121">
        <f t="shared" si="343"/>
        <v>2205705</v>
      </c>
      <c r="K1468" s="123">
        <f t="shared" si="351"/>
        <v>3000000</v>
      </c>
      <c r="L1468" s="111">
        <f t="shared" si="352"/>
        <v>63020</v>
      </c>
      <c r="M1468" s="2">
        <f t="shared" si="353"/>
        <v>2250</v>
      </c>
      <c r="N1468" s="112">
        <f t="shared" si="344"/>
        <v>17000000</v>
      </c>
      <c r="O1468" s="2">
        <f t="shared" si="354"/>
        <v>855065</v>
      </c>
      <c r="P1468" s="113">
        <f t="shared" si="355"/>
        <v>9.9999999999999998E-13</v>
      </c>
      <c r="Q1468" s="121">
        <f t="shared" si="345"/>
        <v>2205705</v>
      </c>
    </row>
    <row r="1469" spans="2:17" hidden="1" x14ac:dyDescent="0.4">
      <c r="B1469" s="110">
        <v>45390</v>
      </c>
      <c r="C1469" s="122">
        <f t="shared" si="346"/>
        <v>3000000</v>
      </c>
      <c r="D1469" s="111">
        <f t="shared" si="347"/>
        <v>63020</v>
      </c>
      <c r="E1469" s="2">
        <f t="shared" si="348"/>
        <v>2250</v>
      </c>
      <c r="F1469" s="112">
        <f t="shared" si="342"/>
        <v>17000000</v>
      </c>
      <c r="G1469" s="2">
        <f t="shared" si="349"/>
        <v>855065</v>
      </c>
      <c r="H1469" s="113">
        <f t="shared" si="350"/>
        <v>9.9999999999999998E-13</v>
      </c>
      <c r="I1469" s="121">
        <f t="shared" si="343"/>
        <v>2205705</v>
      </c>
      <c r="K1469" s="123">
        <f t="shared" si="351"/>
        <v>3000000</v>
      </c>
      <c r="L1469" s="111">
        <f t="shared" si="352"/>
        <v>63020</v>
      </c>
      <c r="M1469" s="2">
        <f t="shared" si="353"/>
        <v>2250</v>
      </c>
      <c r="N1469" s="112">
        <f t="shared" si="344"/>
        <v>17000000</v>
      </c>
      <c r="O1469" s="2">
        <f t="shared" si="354"/>
        <v>855065</v>
      </c>
      <c r="P1469" s="113">
        <f t="shared" si="355"/>
        <v>9.9999999999999998E-13</v>
      </c>
      <c r="Q1469" s="121">
        <f t="shared" si="345"/>
        <v>2205705</v>
      </c>
    </row>
    <row r="1470" spans="2:17" hidden="1" x14ac:dyDescent="0.4">
      <c r="B1470" s="110">
        <v>45391</v>
      </c>
      <c r="C1470" s="122">
        <f t="shared" si="346"/>
        <v>3000000</v>
      </c>
      <c r="D1470" s="111">
        <f t="shared" si="347"/>
        <v>64820</v>
      </c>
      <c r="E1470" s="2">
        <f t="shared" si="348"/>
        <v>2250</v>
      </c>
      <c r="F1470" s="112">
        <f t="shared" si="342"/>
        <v>17000000</v>
      </c>
      <c r="G1470" s="2">
        <f t="shared" si="349"/>
        <v>855065</v>
      </c>
      <c r="H1470" s="113">
        <f t="shared" si="350"/>
        <v>9.9999999999999998E-13</v>
      </c>
      <c r="I1470" s="121">
        <f t="shared" si="343"/>
        <v>2207505</v>
      </c>
      <c r="K1470" s="123">
        <f t="shared" si="351"/>
        <v>3000000</v>
      </c>
      <c r="L1470" s="111">
        <f t="shared" si="352"/>
        <v>64820</v>
      </c>
      <c r="M1470" s="2">
        <f t="shared" si="353"/>
        <v>2250</v>
      </c>
      <c r="N1470" s="112">
        <f t="shared" si="344"/>
        <v>17000000</v>
      </c>
      <c r="O1470" s="2">
        <f t="shared" si="354"/>
        <v>855065</v>
      </c>
      <c r="P1470" s="113">
        <f t="shared" si="355"/>
        <v>9.9999999999999998E-13</v>
      </c>
      <c r="Q1470" s="121">
        <f t="shared" si="345"/>
        <v>2207505</v>
      </c>
    </row>
    <row r="1471" spans="2:17" hidden="1" x14ac:dyDescent="0.4">
      <c r="B1471" s="110">
        <v>45392</v>
      </c>
      <c r="C1471" s="122">
        <f t="shared" si="346"/>
        <v>3000000</v>
      </c>
      <c r="D1471" s="111">
        <f t="shared" si="347"/>
        <v>64820</v>
      </c>
      <c r="E1471" s="2">
        <f t="shared" si="348"/>
        <v>2250</v>
      </c>
      <c r="F1471" s="112">
        <f t="shared" si="342"/>
        <v>17000000</v>
      </c>
      <c r="G1471" s="2">
        <f t="shared" si="349"/>
        <v>855065</v>
      </c>
      <c r="H1471" s="113">
        <f t="shared" si="350"/>
        <v>9.9999999999999998E-13</v>
      </c>
      <c r="I1471" s="121">
        <f t="shared" si="343"/>
        <v>2207505</v>
      </c>
      <c r="K1471" s="123">
        <f t="shared" si="351"/>
        <v>3000000</v>
      </c>
      <c r="L1471" s="111">
        <f t="shared" si="352"/>
        <v>64820</v>
      </c>
      <c r="M1471" s="2">
        <f t="shared" si="353"/>
        <v>2250</v>
      </c>
      <c r="N1471" s="112">
        <f t="shared" si="344"/>
        <v>17000000</v>
      </c>
      <c r="O1471" s="2">
        <f t="shared" si="354"/>
        <v>855065</v>
      </c>
      <c r="P1471" s="113">
        <f t="shared" si="355"/>
        <v>9.9999999999999998E-13</v>
      </c>
      <c r="Q1471" s="121">
        <f t="shared" si="345"/>
        <v>2207505</v>
      </c>
    </row>
    <row r="1472" spans="2:17" hidden="1" x14ac:dyDescent="0.4">
      <c r="B1472" s="110">
        <v>45393</v>
      </c>
      <c r="C1472" s="122">
        <f t="shared" si="346"/>
        <v>3000000</v>
      </c>
      <c r="D1472" s="111">
        <f t="shared" si="347"/>
        <v>64820</v>
      </c>
      <c r="E1472" s="2">
        <f t="shared" si="348"/>
        <v>2250</v>
      </c>
      <c r="F1472" s="112">
        <f t="shared" si="342"/>
        <v>17000000</v>
      </c>
      <c r="G1472" s="2">
        <f t="shared" si="349"/>
        <v>855065</v>
      </c>
      <c r="H1472" s="113">
        <f t="shared" si="350"/>
        <v>9.9999999999999998E-13</v>
      </c>
      <c r="I1472" s="121">
        <f t="shared" si="343"/>
        <v>2207505</v>
      </c>
      <c r="K1472" s="123">
        <f t="shared" si="351"/>
        <v>3000000</v>
      </c>
      <c r="L1472" s="111">
        <f t="shared" si="352"/>
        <v>64820</v>
      </c>
      <c r="M1472" s="2">
        <f t="shared" si="353"/>
        <v>2250</v>
      </c>
      <c r="N1472" s="112">
        <f t="shared" si="344"/>
        <v>17000000</v>
      </c>
      <c r="O1472" s="2">
        <f t="shared" si="354"/>
        <v>855065</v>
      </c>
      <c r="P1472" s="113">
        <f t="shared" si="355"/>
        <v>9.9999999999999998E-13</v>
      </c>
      <c r="Q1472" s="121">
        <f t="shared" si="345"/>
        <v>2207505</v>
      </c>
    </row>
    <row r="1473" spans="2:17" hidden="1" x14ac:dyDescent="0.4">
      <c r="B1473" s="110">
        <v>45394</v>
      </c>
      <c r="C1473" s="122">
        <f t="shared" si="346"/>
        <v>3000000</v>
      </c>
      <c r="D1473" s="111">
        <f t="shared" si="347"/>
        <v>64820</v>
      </c>
      <c r="E1473" s="2">
        <f t="shared" si="348"/>
        <v>2250</v>
      </c>
      <c r="F1473" s="112">
        <f t="shared" si="342"/>
        <v>17000000</v>
      </c>
      <c r="G1473" s="2">
        <f t="shared" si="349"/>
        <v>855065</v>
      </c>
      <c r="H1473" s="113">
        <f t="shared" si="350"/>
        <v>9.9999999999999998E-13</v>
      </c>
      <c r="I1473" s="121">
        <f t="shared" si="343"/>
        <v>2207505</v>
      </c>
      <c r="K1473" s="123">
        <f t="shared" si="351"/>
        <v>3000000</v>
      </c>
      <c r="L1473" s="111">
        <f t="shared" si="352"/>
        <v>64820</v>
      </c>
      <c r="M1473" s="2">
        <f t="shared" si="353"/>
        <v>2250</v>
      </c>
      <c r="N1473" s="112">
        <f t="shared" si="344"/>
        <v>17000000</v>
      </c>
      <c r="O1473" s="2">
        <f t="shared" si="354"/>
        <v>855065</v>
      </c>
      <c r="P1473" s="113">
        <f t="shared" si="355"/>
        <v>9.9999999999999998E-13</v>
      </c>
      <c r="Q1473" s="121">
        <f t="shared" si="345"/>
        <v>2207505</v>
      </c>
    </row>
    <row r="1474" spans="2:17" hidden="1" x14ac:dyDescent="0.4">
      <c r="B1474" s="110">
        <v>45395</v>
      </c>
      <c r="C1474" s="122">
        <f t="shared" si="346"/>
        <v>3000000</v>
      </c>
      <c r="D1474" s="111">
        <f t="shared" si="347"/>
        <v>64820</v>
      </c>
      <c r="E1474" s="2">
        <f t="shared" si="348"/>
        <v>2250</v>
      </c>
      <c r="F1474" s="112">
        <f t="shared" si="342"/>
        <v>17000000</v>
      </c>
      <c r="G1474" s="2">
        <f t="shared" si="349"/>
        <v>855065</v>
      </c>
      <c r="H1474" s="113">
        <f t="shared" si="350"/>
        <v>9.9999999999999998E-13</v>
      </c>
      <c r="I1474" s="121">
        <f t="shared" si="343"/>
        <v>2207505</v>
      </c>
      <c r="K1474" s="123">
        <f t="shared" si="351"/>
        <v>3000000</v>
      </c>
      <c r="L1474" s="111">
        <f t="shared" si="352"/>
        <v>64820</v>
      </c>
      <c r="M1474" s="2">
        <f t="shared" si="353"/>
        <v>2250</v>
      </c>
      <c r="N1474" s="112">
        <f t="shared" si="344"/>
        <v>17000000</v>
      </c>
      <c r="O1474" s="2">
        <f t="shared" si="354"/>
        <v>855065</v>
      </c>
      <c r="P1474" s="113">
        <f t="shared" si="355"/>
        <v>9.9999999999999998E-13</v>
      </c>
      <c r="Q1474" s="121">
        <f t="shared" si="345"/>
        <v>2207505</v>
      </c>
    </row>
    <row r="1475" spans="2:17" hidden="1" x14ac:dyDescent="0.4">
      <c r="B1475" s="110">
        <v>45396</v>
      </c>
      <c r="C1475" s="122">
        <f t="shared" si="346"/>
        <v>3000000</v>
      </c>
      <c r="D1475" s="111">
        <f t="shared" si="347"/>
        <v>64820</v>
      </c>
      <c r="E1475" s="2">
        <f t="shared" si="348"/>
        <v>2250</v>
      </c>
      <c r="F1475" s="112">
        <f t="shared" si="342"/>
        <v>17000000</v>
      </c>
      <c r="G1475" s="2">
        <f t="shared" si="349"/>
        <v>855065</v>
      </c>
      <c r="H1475" s="113">
        <f t="shared" si="350"/>
        <v>9.9999999999999998E-13</v>
      </c>
      <c r="I1475" s="121">
        <f t="shared" si="343"/>
        <v>2207505</v>
      </c>
      <c r="K1475" s="123">
        <f t="shared" si="351"/>
        <v>3000000</v>
      </c>
      <c r="L1475" s="111">
        <f t="shared" si="352"/>
        <v>64820</v>
      </c>
      <c r="M1475" s="2">
        <f t="shared" si="353"/>
        <v>2250</v>
      </c>
      <c r="N1475" s="112">
        <f t="shared" si="344"/>
        <v>17000000</v>
      </c>
      <c r="O1475" s="2">
        <f t="shared" si="354"/>
        <v>855065</v>
      </c>
      <c r="P1475" s="113">
        <f t="shared" si="355"/>
        <v>9.9999999999999998E-13</v>
      </c>
      <c r="Q1475" s="121">
        <f t="shared" si="345"/>
        <v>2207505</v>
      </c>
    </row>
    <row r="1476" spans="2:17" hidden="1" x14ac:dyDescent="0.4">
      <c r="B1476" s="110">
        <v>45397</v>
      </c>
      <c r="C1476" s="122">
        <f t="shared" si="346"/>
        <v>3000000</v>
      </c>
      <c r="D1476" s="111">
        <f t="shared" si="347"/>
        <v>64820</v>
      </c>
      <c r="E1476" s="2">
        <f t="shared" si="348"/>
        <v>2250</v>
      </c>
      <c r="F1476" s="112">
        <f t="shared" si="342"/>
        <v>17000000</v>
      </c>
      <c r="G1476" s="2">
        <f t="shared" si="349"/>
        <v>855065</v>
      </c>
      <c r="H1476" s="113">
        <f t="shared" si="350"/>
        <v>9.9999999999999998E-13</v>
      </c>
      <c r="I1476" s="121">
        <f t="shared" si="343"/>
        <v>2207505</v>
      </c>
      <c r="K1476" s="123">
        <f t="shared" si="351"/>
        <v>3000000</v>
      </c>
      <c r="L1476" s="111">
        <f t="shared" si="352"/>
        <v>64820</v>
      </c>
      <c r="M1476" s="2">
        <f t="shared" si="353"/>
        <v>2250</v>
      </c>
      <c r="N1476" s="112">
        <f t="shared" si="344"/>
        <v>17000000</v>
      </c>
      <c r="O1476" s="2">
        <f t="shared" si="354"/>
        <v>855065</v>
      </c>
      <c r="P1476" s="113">
        <f t="shared" si="355"/>
        <v>9.9999999999999998E-13</v>
      </c>
      <c r="Q1476" s="121">
        <f t="shared" si="345"/>
        <v>2207505</v>
      </c>
    </row>
    <row r="1477" spans="2:17" hidden="1" x14ac:dyDescent="0.4">
      <c r="B1477" s="110">
        <v>45398</v>
      </c>
      <c r="C1477" s="122">
        <f t="shared" si="346"/>
        <v>3000000</v>
      </c>
      <c r="D1477" s="111">
        <f t="shared" si="347"/>
        <v>64820</v>
      </c>
      <c r="E1477" s="2">
        <f t="shared" si="348"/>
        <v>2250</v>
      </c>
      <c r="F1477" s="112">
        <f t="shared" si="342"/>
        <v>17000000</v>
      </c>
      <c r="G1477" s="2">
        <f t="shared" si="349"/>
        <v>855065</v>
      </c>
      <c r="H1477" s="113">
        <f t="shared" si="350"/>
        <v>9.9999999999999998E-13</v>
      </c>
      <c r="I1477" s="121">
        <f t="shared" si="343"/>
        <v>2207505</v>
      </c>
      <c r="K1477" s="123">
        <f t="shared" si="351"/>
        <v>3000000</v>
      </c>
      <c r="L1477" s="111">
        <f t="shared" si="352"/>
        <v>64820</v>
      </c>
      <c r="M1477" s="2">
        <f t="shared" si="353"/>
        <v>2250</v>
      </c>
      <c r="N1477" s="112">
        <f t="shared" si="344"/>
        <v>17000000</v>
      </c>
      <c r="O1477" s="2">
        <f t="shared" si="354"/>
        <v>855065</v>
      </c>
      <c r="P1477" s="113">
        <f t="shared" si="355"/>
        <v>9.9999999999999998E-13</v>
      </c>
      <c r="Q1477" s="121">
        <f t="shared" si="345"/>
        <v>2207505</v>
      </c>
    </row>
    <row r="1478" spans="2:17" hidden="1" x14ac:dyDescent="0.4">
      <c r="B1478" s="110">
        <v>45399</v>
      </c>
      <c r="C1478" s="122">
        <f t="shared" si="346"/>
        <v>3000000</v>
      </c>
      <c r="D1478" s="111">
        <f t="shared" si="347"/>
        <v>64820</v>
      </c>
      <c r="E1478" s="2">
        <f t="shared" si="348"/>
        <v>2250</v>
      </c>
      <c r="F1478" s="112">
        <f t="shared" si="342"/>
        <v>17000000</v>
      </c>
      <c r="G1478" s="2">
        <f t="shared" si="349"/>
        <v>855065</v>
      </c>
      <c r="H1478" s="113">
        <f t="shared" si="350"/>
        <v>9.9999999999999998E-13</v>
      </c>
      <c r="I1478" s="121">
        <f t="shared" si="343"/>
        <v>2207505</v>
      </c>
      <c r="K1478" s="123">
        <f t="shared" si="351"/>
        <v>3000000</v>
      </c>
      <c r="L1478" s="111">
        <f t="shared" si="352"/>
        <v>64820</v>
      </c>
      <c r="M1478" s="2">
        <f t="shared" si="353"/>
        <v>2250</v>
      </c>
      <c r="N1478" s="112">
        <f t="shared" si="344"/>
        <v>17000000</v>
      </c>
      <c r="O1478" s="2">
        <f t="shared" si="354"/>
        <v>855065</v>
      </c>
      <c r="P1478" s="113">
        <f t="shared" si="355"/>
        <v>9.9999999999999998E-13</v>
      </c>
      <c r="Q1478" s="121">
        <f t="shared" si="345"/>
        <v>2207505</v>
      </c>
    </row>
    <row r="1479" spans="2:17" hidden="1" x14ac:dyDescent="0.4">
      <c r="B1479" s="110">
        <v>45400</v>
      </c>
      <c r="C1479" s="122">
        <f t="shared" si="346"/>
        <v>3000000</v>
      </c>
      <c r="D1479" s="111">
        <f t="shared" si="347"/>
        <v>64820</v>
      </c>
      <c r="E1479" s="2">
        <f t="shared" si="348"/>
        <v>2250</v>
      </c>
      <c r="F1479" s="112">
        <f t="shared" si="342"/>
        <v>17000000</v>
      </c>
      <c r="G1479" s="2">
        <f t="shared" si="349"/>
        <v>855065</v>
      </c>
      <c r="H1479" s="113">
        <f t="shared" si="350"/>
        <v>9.9999999999999998E-13</v>
      </c>
      <c r="I1479" s="121">
        <f t="shared" si="343"/>
        <v>2207505</v>
      </c>
      <c r="K1479" s="123">
        <f t="shared" si="351"/>
        <v>3000000</v>
      </c>
      <c r="L1479" s="111">
        <f t="shared" si="352"/>
        <v>64820</v>
      </c>
      <c r="M1479" s="2">
        <f t="shared" si="353"/>
        <v>2250</v>
      </c>
      <c r="N1479" s="112">
        <f t="shared" si="344"/>
        <v>17000000</v>
      </c>
      <c r="O1479" s="2">
        <f t="shared" si="354"/>
        <v>855065</v>
      </c>
      <c r="P1479" s="113">
        <f t="shared" si="355"/>
        <v>9.9999999999999998E-13</v>
      </c>
      <c r="Q1479" s="121">
        <f t="shared" si="345"/>
        <v>2207505</v>
      </c>
    </row>
    <row r="1480" spans="2:17" hidden="1" x14ac:dyDescent="0.4">
      <c r="B1480" s="110">
        <v>45401</v>
      </c>
      <c r="C1480" s="122">
        <f t="shared" si="346"/>
        <v>3000000</v>
      </c>
      <c r="D1480" s="111">
        <f t="shared" si="347"/>
        <v>67426</v>
      </c>
      <c r="E1480" s="2">
        <f t="shared" si="348"/>
        <v>2250</v>
      </c>
      <c r="F1480" s="112">
        <f t="shared" si="342"/>
        <v>17000000</v>
      </c>
      <c r="G1480" s="2">
        <f t="shared" si="349"/>
        <v>855065</v>
      </c>
      <c r="H1480" s="113">
        <f t="shared" si="350"/>
        <v>9.9999999999999998E-13</v>
      </c>
      <c r="I1480" s="121">
        <f t="shared" si="343"/>
        <v>2210111</v>
      </c>
      <c r="K1480" s="123">
        <f t="shared" si="351"/>
        <v>3000000</v>
      </c>
      <c r="L1480" s="111">
        <f t="shared" si="352"/>
        <v>67426</v>
      </c>
      <c r="M1480" s="2">
        <f t="shared" si="353"/>
        <v>2250</v>
      </c>
      <c r="N1480" s="112">
        <f t="shared" si="344"/>
        <v>17000000</v>
      </c>
      <c r="O1480" s="2">
        <f t="shared" si="354"/>
        <v>855065</v>
      </c>
      <c r="P1480" s="113">
        <f t="shared" si="355"/>
        <v>9.9999999999999998E-13</v>
      </c>
      <c r="Q1480" s="121">
        <f t="shared" si="345"/>
        <v>2210111</v>
      </c>
    </row>
    <row r="1481" spans="2:17" hidden="1" x14ac:dyDescent="0.4">
      <c r="B1481" s="110">
        <v>45402</v>
      </c>
      <c r="C1481" s="122">
        <f t="shared" si="346"/>
        <v>3000000</v>
      </c>
      <c r="D1481" s="111">
        <f t="shared" si="347"/>
        <v>67426</v>
      </c>
      <c r="E1481" s="2">
        <f t="shared" si="348"/>
        <v>2250</v>
      </c>
      <c r="F1481" s="112">
        <f t="shared" si="342"/>
        <v>17000000</v>
      </c>
      <c r="G1481" s="2">
        <f t="shared" si="349"/>
        <v>855065</v>
      </c>
      <c r="H1481" s="113">
        <f t="shared" si="350"/>
        <v>9.9999999999999998E-13</v>
      </c>
      <c r="I1481" s="121">
        <f t="shared" si="343"/>
        <v>2210111</v>
      </c>
      <c r="K1481" s="123">
        <f t="shared" si="351"/>
        <v>3000000</v>
      </c>
      <c r="L1481" s="111">
        <f t="shared" si="352"/>
        <v>67426</v>
      </c>
      <c r="M1481" s="2">
        <f t="shared" si="353"/>
        <v>2250</v>
      </c>
      <c r="N1481" s="112">
        <f t="shared" si="344"/>
        <v>17000000</v>
      </c>
      <c r="O1481" s="2">
        <f t="shared" si="354"/>
        <v>855065</v>
      </c>
      <c r="P1481" s="113">
        <f t="shared" si="355"/>
        <v>9.9999999999999998E-13</v>
      </c>
      <c r="Q1481" s="121">
        <f t="shared" si="345"/>
        <v>2210111</v>
      </c>
    </row>
    <row r="1482" spans="2:17" hidden="1" x14ac:dyDescent="0.4">
      <c r="B1482" s="110">
        <v>45403</v>
      </c>
      <c r="C1482" s="122">
        <f t="shared" si="346"/>
        <v>3000000</v>
      </c>
      <c r="D1482" s="111">
        <f t="shared" si="347"/>
        <v>67426</v>
      </c>
      <c r="E1482" s="2">
        <f t="shared" si="348"/>
        <v>2250</v>
      </c>
      <c r="F1482" s="112">
        <f t="shared" ref="F1482:F1545" si="356">20000000-C1482</f>
        <v>17000000</v>
      </c>
      <c r="G1482" s="2">
        <f t="shared" si="349"/>
        <v>855065</v>
      </c>
      <c r="H1482" s="113">
        <f t="shared" si="350"/>
        <v>9.9999999999999998E-13</v>
      </c>
      <c r="I1482" s="121">
        <f t="shared" ref="I1482:I1545" si="357">C1482+D1482-G1482-E1482+H1482</f>
        <v>2210111</v>
      </c>
      <c r="K1482" s="123">
        <f t="shared" si="351"/>
        <v>3000000</v>
      </c>
      <c r="L1482" s="111">
        <f t="shared" si="352"/>
        <v>67426</v>
      </c>
      <c r="M1482" s="2">
        <f t="shared" si="353"/>
        <v>2250</v>
      </c>
      <c r="N1482" s="112">
        <f t="shared" ref="N1482:N1545" si="358">20000000-K1482</f>
        <v>17000000</v>
      </c>
      <c r="O1482" s="2">
        <f t="shared" si="354"/>
        <v>855065</v>
      </c>
      <c r="P1482" s="113">
        <f t="shared" si="355"/>
        <v>9.9999999999999998E-13</v>
      </c>
      <c r="Q1482" s="121">
        <f t="shared" ref="Q1482:Q1545" si="359">K1482+L1482-O1482-M1482+P1482</f>
        <v>2210111</v>
      </c>
    </row>
    <row r="1483" spans="2:17" hidden="1" x14ac:dyDescent="0.4">
      <c r="B1483" s="110">
        <v>45404</v>
      </c>
      <c r="C1483" s="122">
        <f t="shared" ref="C1483:C1546" si="360">SUMIF($B$6:$B$75,$B1483,$D$6:$D$75)+C1482</f>
        <v>3000000</v>
      </c>
      <c r="D1483" s="111">
        <f t="shared" ref="D1483:D1546" si="361">SUMIF($B$6:$B$75,$B1483,$E$6:$E$75)+D1482</f>
        <v>67426</v>
      </c>
      <c r="E1483" s="2">
        <f t="shared" ref="E1483:E1546" si="362">SUMIF($G$353:$G$376,$B1483,$J$353:$J$376)+SUMIF($E$353:$E$376,$B1483,$H$353:$H$376)+SUMIF($G$353:$G$376,$B1483,$I$353:$I$376)+E1482</f>
        <v>2250</v>
      </c>
      <c r="F1483" s="112">
        <f t="shared" si="356"/>
        <v>17000000</v>
      </c>
      <c r="G1483" s="2">
        <f t="shared" ref="G1483:G1546" si="363">SUMIF($E$353:$E$376,$B1483,$M$353:$M$376)+G1482</f>
        <v>855065</v>
      </c>
      <c r="H1483" s="113">
        <f t="shared" ref="H1483:H1546" si="364">SUMIF($G$353:$G$376,$B1483,$N$353:$N$376)+H1482</f>
        <v>9.9999999999999998E-13</v>
      </c>
      <c r="I1483" s="121">
        <f t="shared" si="357"/>
        <v>2210111</v>
      </c>
      <c r="K1483" s="123">
        <f t="shared" ref="K1483:K1546" si="365">SUMIF($B$6:$B$75,$B1483,$D$6:$D$75)+K1482</f>
        <v>3000000</v>
      </c>
      <c r="L1483" s="111">
        <f t="shared" ref="L1483:L1546" si="366">SUMIF($B$6:$B$75,$B1483,$E$6:$E$75)+L1482</f>
        <v>67426</v>
      </c>
      <c r="M1483" s="2">
        <f t="shared" ref="M1483:M1546" si="367">SUMIF($G$353:$G$376,$B1483,$J$353:$J$376)+SUMIF($E$353:$E$376,$B1483,$H$353:$H$376)+SUMIF($G$353:$G$376,$B1483,$I$353:$I$376)+M1482</f>
        <v>2250</v>
      </c>
      <c r="N1483" s="112">
        <f t="shared" si="358"/>
        <v>17000000</v>
      </c>
      <c r="O1483" s="2">
        <f t="shared" ref="O1483:O1546" si="368">SUMIF($E$353:$E$376,$B1483,$M$353:$M$376)+O1482</f>
        <v>855065</v>
      </c>
      <c r="P1483" s="113">
        <f t="shared" ref="P1483:P1546" si="369">SUMIF($G$353:$G$376,$B1483,$N$353:$N$376)+P1482</f>
        <v>9.9999999999999998E-13</v>
      </c>
      <c r="Q1483" s="121">
        <f t="shared" si="359"/>
        <v>2210111</v>
      </c>
    </row>
    <row r="1484" spans="2:17" hidden="1" x14ac:dyDescent="0.4">
      <c r="B1484" s="110">
        <v>45405</v>
      </c>
      <c r="C1484" s="122">
        <f t="shared" si="360"/>
        <v>3000000</v>
      </c>
      <c r="D1484" s="111">
        <f t="shared" si="361"/>
        <v>67426</v>
      </c>
      <c r="E1484" s="2">
        <f t="shared" si="362"/>
        <v>2250</v>
      </c>
      <c r="F1484" s="112">
        <f t="shared" si="356"/>
        <v>17000000</v>
      </c>
      <c r="G1484" s="2">
        <f t="shared" si="363"/>
        <v>855065</v>
      </c>
      <c r="H1484" s="113">
        <f t="shared" si="364"/>
        <v>9.9999999999999998E-13</v>
      </c>
      <c r="I1484" s="121">
        <f t="shared" si="357"/>
        <v>2210111</v>
      </c>
      <c r="K1484" s="123">
        <f t="shared" si="365"/>
        <v>3000000</v>
      </c>
      <c r="L1484" s="111">
        <f t="shared" si="366"/>
        <v>67426</v>
      </c>
      <c r="M1484" s="2">
        <f t="shared" si="367"/>
        <v>2250</v>
      </c>
      <c r="N1484" s="112">
        <f t="shared" si="358"/>
        <v>17000000</v>
      </c>
      <c r="O1484" s="2">
        <f t="shared" si="368"/>
        <v>855065</v>
      </c>
      <c r="P1484" s="113">
        <f t="shared" si="369"/>
        <v>9.9999999999999998E-13</v>
      </c>
      <c r="Q1484" s="121">
        <f t="shared" si="359"/>
        <v>2210111</v>
      </c>
    </row>
    <row r="1485" spans="2:17" hidden="1" x14ac:dyDescent="0.4">
      <c r="B1485" s="110">
        <v>45406</v>
      </c>
      <c r="C1485" s="122">
        <f t="shared" si="360"/>
        <v>3000000</v>
      </c>
      <c r="D1485" s="111">
        <f t="shared" si="361"/>
        <v>67426</v>
      </c>
      <c r="E1485" s="2">
        <f t="shared" si="362"/>
        <v>2250</v>
      </c>
      <c r="F1485" s="112">
        <f t="shared" si="356"/>
        <v>17000000</v>
      </c>
      <c r="G1485" s="2">
        <f t="shared" si="363"/>
        <v>855065</v>
      </c>
      <c r="H1485" s="113">
        <f t="shared" si="364"/>
        <v>9.9999999999999998E-13</v>
      </c>
      <c r="I1485" s="121">
        <f t="shared" si="357"/>
        <v>2210111</v>
      </c>
      <c r="K1485" s="123">
        <f t="shared" si="365"/>
        <v>3000000</v>
      </c>
      <c r="L1485" s="111">
        <f t="shared" si="366"/>
        <v>67426</v>
      </c>
      <c r="M1485" s="2">
        <f t="shared" si="367"/>
        <v>2250</v>
      </c>
      <c r="N1485" s="112">
        <f t="shared" si="358"/>
        <v>17000000</v>
      </c>
      <c r="O1485" s="2">
        <f t="shared" si="368"/>
        <v>855065</v>
      </c>
      <c r="P1485" s="113">
        <f t="shared" si="369"/>
        <v>9.9999999999999998E-13</v>
      </c>
      <c r="Q1485" s="121">
        <f t="shared" si="359"/>
        <v>2210111</v>
      </c>
    </row>
    <row r="1486" spans="2:17" hidden="1" x14ac:dyDescent="0.4">
      <c r="B1486" s="110">
        <v>45407</v>
      </c>
      <c r="C1486" s="122">
        <f t="shared" si="360"/>
        <v>3000000</v>
      </c>
      <c r="D1486" s="111">
        <f t="shared" si="361"/>
        <v>67487</v>
      </c>
      <c r="E1486" s="2">
        <f t="shared" si="362"/>
        <v>2250</v>
      </c>
      <c r="F1486" s="112">
        <f t="shared" si="356"/>
        <v>17000000</v>
      </c>
      <c r="G1486" s="2">
        <f t="shared" si="363"/>
        <v>855065</v>
      </c>
      <c r="H1486" s="113">
        <f t="shared" si="364"/>
        <v>9.9999999999999998E-13</v>
      </c>
      <c r="I1486" s="121">
        <f t="shared" si="357"/>
        <v>2210172</v>
      </c>
      <c r="K1486" s="123">
        <f t="shared" si="365"/>
        <v>3000000</v>
      </c>
      <c r="L1486" s="111">
        <f t="shared" si="366"/>
        <v>67487</v>
      </c>
      <c r="M1486" s="2">
        <f t="shared" si="367"/>
        <v>2250</v>
      </c>
      <c r="N1486" s="112">
        <f t="shared" si="358"/>
        <v>17000000</v>
      </c>
      <c r="O1486" s="2">
        <f t="shared" si="368"/>
        <v>855065</v>
      </c>
      <c r="P1486" s="113">
        <f t="shared" si="369"/>
        <v>9.9999999999999998E-13</v>
      </c>
      <c r="Q1486" s="121">
        <f t="shared" si="359"/>
        <v>2210172</v>
      </c>
    </row>
    <row r="1487" spans="2:17" hidden="1" x14ac:dyDescent="0.4">
      <c r="B1487" s="110">
        <v>45408</v>
      </c>
      <c r="C1487" s="122">
        <f t="shared" si="360"/>
        <v>3000000</v>
      </c>
      <c r="D1487" s="111">
        <f t="shared" si="361"/>
        <v>67487</v>
      </c>
      <c r="E1487" s="2">
        <f t="shared" si="362"/>
        <v>2250</v>
      </c>
      <c r="F1487" s="112">
        <f t="shared" si="356"/>
        <v>17000000</v>
      </c>
      <c r="G1487" s="2">
        <f t="shared" si="363"/>
        <v>855065</v>
      </c>
      <c r="H1487" s="113">
        <f t="shared" si="364"/>
        <v>9.9999999999999998E-13</v>
      </c>
      <c r="I1487" s="121">
        <f t="shared" si="357"/>
        <v>2210172</v>
      </c>
      <c r="K1487" s="123">
        <f t="shared" si="365"/>
        <v>3000000</v>
      </c>
      <c r="L1487" s="111">
        <f t="shared" si="366"/>
        <v>67487</v>
      </c>
      <c r="M1487" s="2">
        <f t="shared" si="367"/>
        <v>2250</v>
      </c>
      <c r="N1487" s="112">
        <f t="shared" si="358"/>
        <v>17000000</v>
      </c>
      <c r="O1487" s="2">
        <f t="shared" si="368"/>
        <v>855065</v>
      </c>
      <c r="P1487" s="113">
        <f t="shared" si="369"/>
        <v>9.9999999999999998E-13</v>
      </c>
      <c r="Q1487" s="121">
        <f t="shared" si="359"/>
        <v>2210172</v>
      </c>
    </row>
    <row r="1488" spans="2:17" hidden="1" x14ac:dyDescent="0.4">
      <c r="B1488" s="110">
        <v>45409</v>
      </c>
      <c r="C1488" s="122">
        <f t="shared" si="360"/>
        <v>3000000</v>
      </c>
      <c r="D1488" s="111">
        <f t="shared" si="361"/>
        <v>67487</v>
      </c>
      <c r="E1488" s="2">
        <f t="shared" si="362"/>
        <v>2250</v>
      </c>
      <c r="F1488" s="112">
        <f t="shared" si="356"/>
        <v>17000000</v>
      </c>
      <c r="G1488" s="2">
        <f t="shared" si="363"/>
        <v>855065</v>
      </c>
      <c r="H1488" s="113">
        <f t="shared" si="364"/>
        <v>9.9999999999999998E-13</v>
      </c>
      <c r="I1488" s="121">
        <f t="shared" si="357"/>
        <v>2210172</v>
      </c>
      <c r="K1488" s="123">
        <f t="shared" si="365"/>
        <v>3000000</v>
      </c>
      <c r="L1488" s="111">
        <f t="shared" si="366"/>
        <v>67487</v>
      </c>
      <c r="M1488" s="2">
        <f t="shared" si="367"/>
        <v>2250</v>
      </c>
      <c r="N1488" s="112">
        <f t="shared" si="358"/>
        <v>17000000</v>
      </c>
      <c r="O1488" s="2">
        <f t="shared" si="368"/>
        <v>855065</v>
      </c>
      <c r="P1488" s="113">
        <f t="shared" si="369"/>
        <v>9.9999999999999998E-13</v>
      </c>
      <c r="Q1488" s="121">
        <f t="shared" si="359"/>
        <v>2210172</v>
      </c>
    </row>
    <row r="1489" spans="2:17" hidden="1" x14ac:dyDescent="0.4">
      <c r="B1489" s="110">
        <v>45410</v>
      </c>
      <c r="C1489" s="122">
        <f t="shared" si="360"/>
        <v>3000000</v>
      </c>
      <c r="D1489" s="111">
        <f t="shared" si="361"/>
        <v>67487</v>
      </c>
      <c r="E1489" s="2">
        <f t="shared" si="362"/>
        <v>2250</v>
      </c>
      <c r="F1489" s="112">
        <f t="shared" si="356"/>
        <v>17000000</v>
      </c>
      <c r="G1489" s="2">
        <f t="shared" si="363"/>
        <v>855065</v>
      </c>
      <c r="H1489" s="113">
        <f t="shared" si="364"/>
        <v>9.9999999999999998E-13</v>
      </c>
      <c r="I1489" s="121">
        <f t="shared" si="357"/>
        <v>2210172</v>
      </c>
      <c r="K1489" s="123">
        <f t="shared" si="365"/>
        <v>3000000</v>
      </c>
      <c r="L1489" s="111">
        <f t="shared" si="366"/>
        <v>67487</v>
      </c>
      <c r="M1489" s="2">
        <f t="shared" si="367"/>
        <v>2250</v>
      </c>
      <c r="N1489" s="112">
        <f t="shared" si="358"/>
        <v>17000000</v>
      </c>
      <c r="O1489" s="2">
        <f t="shared" si="368"/>
        <v>855065</v>
      </c>
      <c r="P1489" s="113">
        <f t="shared" si="369"/>
        <v>9.9999999999999998E-13</v>
      </c>
      <c r="Q1489" s="121">
        <f t="shared" si="359"/>
        <v>2210172</v>
      </c>
    </row>
    <row r="1490" spans="2:17" hidden="1" x14ac:dyDescent="0.4">
      <c r="B1490" s="110">
        <v>45411</v>
      </c>
      <c r="C1490" s="122">
        <f t="shared" si="360"/>
        <v>3000000</v>
      </c>
      <c r="D1490" s="111">
        <f t="shared" si="361"/>
        <v>67487</v>
      </c>
      <c r="E1490" s="2">
        <f t="shared" si="362"/>
        <v>2250</v>
      </c>
      <c r="F1490" s="112">
        <f t="shared" si="356"/>
        <v>17000000</v>
      </c>
      <c r="G1490" s="2">
        <f t="shared" si="363"/>
        <v>855065</v>
      </c>
      <c r="H1490" s="113">
        <f t="shared" si="364"/>
        <v>9.9999999999999998E-13</v>
      </c>
      <c r="I1490" s="121">
        <f t="shared" si="357"/>
        <v>2210172</v>
      </c>
      <c r="K1490" s="123">
        <f t="shared" si="365"/>
        <v>3000000</v>
      </c>
      <c r="L1490" s="111">
        <f t="shared" si="366"/>
        <v>67487</v>
      </c>
      <c r="M1490" s="2">
        <f t="shared" si="367"/>
        <v>2250</v>
      </c>
      <c r="N1490" s="112">
        <f t="shared" si="358"/>
        <v>17000000</v>
      </c>
      <c r="O1490" s="2">
        <f t="shared" si="368"/>
        <v>855065</v>
      </c>
      <c r="P1490" s="113">
        <f t="shared" si="369"/>
        <v>9.9999999999999998E-13</v>
      </c>
      <c r="Q1490" s="121">
        <f t="shared" si="359"/>
        <v>2210172</v>
      </c>
    </row>
    <row r="1491" spans="2:17" hidden="1" x14ac:dyDescent="0.4">
      <c r="B1491" s="110">
        <v>45412</v>
      </c>
      <c r="C1491" s="122">
        <f t="shared" si="360"/>
        <v>3000000</v>
      </c>
      <c r="D1491" s="111">
        <f t="shared" si="361"/>
        <v>67487</v>
      </c>
      <c r="E1491" s="2">
        <f t="shared" si="362"/>
        <v>2250</v>
      </c>
      <c r="F1491" s="112">
        <f t="shared" si="356"/>
        <v>17000000</v>
      </c>
      <c r="G1491" s="2">
        <f t="shared" si="363"/>
        <v>855065</v>
      </c>
      <c r="H1491" s="113">
        <f t="shared" si="364"/>
        <v>9.9999999999999998E-13</v>
      </c>
      <c r="I1491" s="121">
        <f t="shared" si="357"/>
        <v>2210172</v>
      </c>
      <c r="K1491" s="123">
        <f t="shared" si="365"/>
        <v>3000000</v>
      </c>
      <c r="L1491" s="111">
        <f t="shared" si="366"/>
        <v>67487</v>
      </c>
      <c r="M1491" s="2">
        <f t="shared" si="367"/>
        <v>2250</v>
      </c>
      <c r="N1491" s="112">
        <f t="shared" si="358"/>
        <v>17000000</v>
      </c>
      <c r="O1491" s="2">
        <f t="shared" si="368"/>
        <v>855065</v>
      </c>
      <c r="P1491" s="113">
        <f t="shared" si="369"/>
        <v>9.9999999999999998E-13</v>
      </c>
      <c r="Q1491" s="121">
        <f t="shared" si="359"/>
        <v>2210172</v>
      </c>
    </row>
    <row r="1492" spans="2:17" x14ac:dyDescent="0.4">
      <c r="B1492" s="110">
        <v>45413</v>
      </c>
      <c r="C1492" s="122">
        <f t="shared" si="360"/>
        <v>3000000</v>
      </c>
      <c r="D1492" s="111">
        <f t="shared" si="361"/>
        <v>67487</v>
      </c>
      <c r="E1492" s="2">
        <f t="shared" si="362"/>
        <v>2250</v>
      </c>
      <c r="F1492" s="112">
        <f t="shared" si="356"/>
        <v>17000000</v>
      </c>
      <c r="G1492" s="2">
        <f t="shared" si="363"/>
        <v>855065</v>
      </c>
      <c r="H1492" s="113">
        <f t="shared" si="364"/>
        <v>9.9999999999999998E-13</v>
      </c>
      <c r="I1492" s="121">
        <f t="shared" si="357"/>
        <v>2210172</v>
      </c>
      <c r="K1492" s="123">
        <f t="shared" si="365"/>
        <v>3000000</v>
      </c>
      <c r="L1492" s="111">
        <f t="shared" si="366"/>
        <v>67487</v>
      </c>
      <c r="M1492" s="2">
        <f t="shared" si="367"/>
        <v>2250</v>
      </c>
      <c r="N1492" s="112">
        <f t="shared" si="358"/>
        <v>17000000</v>
      </c>
      <c r="O1492" s="2">
        <f t="shared" si="368"/>
        <v>855065</v>
      </c>
      <c r="P1492" s="113">
        <f t="shared" si="369"/>
        <v>9.9999999999999998E-13</v>
      </c>
      <c r="Q1492" s="121">
        <f t="shared" si="359"/>
        <v>2210172</v>
      </c>
    </row>
    <row r="1493" spans="2:17" hidden="1" x14ac:dyDescent="0.4">
      <c r="B1493" s="110">
        <v>45414</v>
      </c>
      <c r="C1493" s="122">
        <f t="shared" si="360"/>
        <v>3000000</v>
      </c>
      <c r="D1493" s="111">
        <f t="shared" si="361"/>
        <v>67487</v>
      </c>
      <c r="E1493" s="2">
        <f t="shared" si="362"/>
        <v>2250</v>
      </c>
      <c r="F1493" s="112">
        <f t="shared" si="356"/>
        <v>17000000</v>
      </c>
      <c r="G1493" s="2">
        <f t="shared" si="363"/>
        <v>855065</v>
      </c>
      <c r="H1493" s="113">
        <f t="shared" si="364"/>
        <v>9.9999999999999998E-13</v>
      </c>
      <c r="I1493" s="121">
        <f t="shared" si="357"/>
        <v>2210172</v>
      </c>
      <c r="K1493" s="123">
        <f t="shared" si="365"/>
        <v>3000000</v>
      </c>
      <c r="L1493" s="111">
        <f t="shared" si="366"/>
        <v>67487</v>
      </c>
      <c r="M1493" s="2">
        <f t="shared" si="367"/>
        <v>2250</v>
      </c>
      <c r="N1493" s="112">
        <f t="shared" si="358"/>
        <v>17000000</v>
      </c>
      <c r="O1493" s="2">
        <f t="shared" si="368"/>
        <v>855065</v>
      </c>
      <c r="P1493" s="113">
        <f t="shared" si="369"/>
        <v>9.9999999999999998E-13</v>
      </c>
      <c r="Q1493" s="121">
        <f t="shared" si="359"/>
        <v>2210172</v>
      </c>
    </row>
    <row r="1494" spans="2:17" hidden="1" x14ac:dyDescent="0.4">
      <c r="B1494" s="110">
        <v>45415</v>
      </c>
      <c r="C1494" s="122">
        <f t="shared" si="360"/>
        <v>3000000</v>
      </c>
      <c r="D1494" s="111">
        <f t="shared" si="361"/>
        <v>67487</v>
      </c>
      <c r="E1494" s="2">
        <f t="shared" si="362"/>
        <v>2250</v>
      </c>
      <c r="F1494" s="112">
        <f t="shared" si="356"/>
        <v>17000000</v>
      </c>
      <c r="G1494" s="2">
        <f t="shared" si="363"/>
        <v>855065</v>
      </c>
      <c r="H1494" s="113">
        <f t="shared" si="364"/>
        <v>9.9999999999999998E-13</v>
      </c>
      <c r="I1494" s="121">
        <f t="shared" si="357"/>
        <v>2210172</v>
      </c>
      <c r="K1494" s="123">
        <f t="shared" si="365"/>
        <v>3000000</v>
      </c>
      <c r="L1494" s="111">
        <f t="shared" si="366"/>
        <v>67487</v>
      </c>
      <c r="M1494" s="2">
        <f t="shared" si="367"/>
        <v>2250</v>
      </c>
      <c r="N1494" s="112">
        <f t="shared" si="358"/>
        <v>17000000</v>
      </c>
      <c r="O1494" s="2">
        <f t="shared" si="368"/>
        <v>855065</v>
      </c>
      <c r="P1494" s="113">
        <f t="shared" si="369"/>
        <v>9.9999999999999998E-13</v>
      </c>
      <c r="Q1494" s="121">
        <f t="shared" si="359"/>
        <v>2210172</v>
      </c>
    </row>
    <row r="1495" spans="2:17" hidden="1" x14ac:dyDescent="0.4">
      <c r="B1495" s="110">
        <v>45416</v>
      </c>
      <c r="C1495" s="122">
        <f t="shared" si="360"/>
        <v>3000000</v>
      </c>
      <c r="D1495" s="111">
        <f t="shared" si="361"/>
        <v>67487</v>
      </c>
      <c r="E1495" s="2">
        <f t="shared" si="362"/>
        <v>2250</v>
      </c>
      <c r="F1495" s="112">
        <f t="shared" si="356"/>
        <v>17000000</v>
      </c>
      <c r="G1495" s="2">
        <f t="shared" si="363"/>
        <v>855065</v>
      </c>
      <c r="H1495" s="113">
        <f t="shared" si="364"/>
        <v>9.9999999999999998E-13</v>
      </c>
      <c r="I1495" s="121">
        <f t="shared" si="357"/>
        <v>2210172</v>
      </c>
      <c r="K1495" s="123">
        <f t="shared" si="365"/>
        <v>3000000</v>
      </c>
      <c r="L1495" s="111">
        <f t="shared" si="366"/>
        <v>67487</v>
      </c>
      <c r="M1495" s="2">
        <f t="shared" si="367"/>
        <v>2250</v>
      </c>
      <c r="N1495" s="112">
        <f t="shared" si="358"/>
        <v>17000000</v>
      </c>
      <c r="O1495" s="2">
        <f t="shared" si="368"/>
        <v>855065</v>
      </c>
      <c r="P1495" s="113">
        <f t="shared" si="369"/>
        <v>9.9999999999999998E-13</v>
      </c>
      <c r="Q1495" s="121">
        <f t="shared" si="359"/>
        <v>2210172</v>
      </c>
    </row>
    <row r="1496" spans="2:17" hidden="1" x14ac:dyDescent="0.4">
      <c r="B1496" s="110">
        <v>45417</v>
      </c>
      <c r="C1496" s="122">
        <f t="shared" si="360"/>
        <v>3000000</v>
      </c>
      <c r="D1496" s="111">
        <f t="shared" si="361"/>
        <v>67487</v>
      </c>
      <c r="E1496" s="2">
        <f t="shared" si="362"/>
        <v>2250</v>
      </c>
      <c r="F1496" s="112">
        <f t="shared" si="356"/>
        <v>17000000</v>
      </c>
      <c r="G1496" s="2">
        <f t="shared" si="363"/>
        <v>855065</v>
      </c>
      <c r="H1496" s="113">
        <f t="shared" si="364"/>
        <v>9.9999999999999998E-13</v>
      </c>
      <c r="I1496" s="121">
        <f t="shared" si="357"/>
        <v>2210172</v>
      </c>
      <c r="K1496" s="123">
        <f t="shared" si="365"/>
        <v>3000000</v>
      </c>
      <c r="L1496" s="111">
        <f t="shared" si="366"/>
        <v>67487</v>
      </c>
      <c r="M1496" s="2">
        <f t="shared" si="367"/>
        <v>2250</v>
      </c>
      <c r="N1496" s="112">
        <f t="shared" si="358"/>
        <v>17000000</v>
      </c>
      <c r="O1496" s="2">
        <f t="shared" si="368"/>
        <v>855065</v>
      </c>
      <c r="P1496" s="113">
        <f t="shared" si="369"/>
        <v>9.9999999999999998E-13</v>
      </c>
      <c r="Q1496" s="121">
        <f t="shared" si="359"/>
        <v>2210172</v>
      </c>
    </row>
    <row r="1497" spans="2:17" hidden="1" x14ac:dyDescent="0.4">
      <c r="B1497" s="110">
        <v>45418</v>
      </c>
      <c r="C1497" s="122">
        <f t="shared" si="360"/>
        <v>3000000</v>
      </c>
      <c r="D1497" s="111">
        <f t="shared" si="361"/>
        <v>67487</v>
      </c>
      <c r="E1497" s="2">
        <f t="shared" si="362"/>
        <v>2250</v>
      </c>
      <c r="F1497" s="112">
        <f t="shared" si="356"/>
        <v>17000000</v>
      </c>
      <c r="G1497" s="2">
        <f t="shared" si="363"/>
        <v>855065</v>
      </c>
      <c r="H1497" s="113">
        <f t="shared" si="364"/>
        <v>9.9999999999999998E-13</v>
      </c>
      <c r="I1497" s="121">
        <f t="shared" si="357"/>
        <v>2210172</v>
      </c>
      <c r="K1497" s="123">
        <f t="shared" si="365"/>
        <v>3000000</v>
      </c>
      <c r="L1497" s="111">
        <f t="shared" si="366"/>
        <v>67487</v>
      </c>
      <c r="M1497" s="2">
        <f t="shared" si="367"/>
        <v>2250</v>
      </c>
      <c r="N1497" s="112">
        <f t="shared" si="358"/>
        <v>17000000</v>
      </c>
      <c r="O1497" s="2">
        <f t="shared" si="368"/>
        <v>855065</v>
      </c>
      <c r="P1497" s="113">
        <f t="shared" si="369"/>
        <v>9.9999999999999998E-13</v>
      </c>
      <c r="Q1497" s="121">
        <f t="shared" si="359"/>
        <v>2210172</v>
      </c>
    </row>
    <row r="1498" spans="2:17" hidden="1" x14ac:dyDescent="0.4">
      <c r="B1498" s="110">
        <v>45419</v>
      </c>
      <c r="C1498" s="122">
        <f t="shared" si="360"/>
        <v>3000000</v>
      </c>
      <c r="D1498" s="111">
        <f t="shared" si="361"/>
        <v>67487</v>
      </c>
      <c r="E1498" s="2">
        <f t="shared" si="362"/>
        <v>2250</v>
      </c>
      <c r="F1498" s="112">
        <f t="shared" si="356"/>
        <v>17000000</v>
      </c>
      <c r="G1498" s="2">
        <f t="shared" si="363"/>
        <v>855065</v>
      </c>
      <c r="H1498" s="113">
        <f t="shared" si="364"/>
        <v>9.9999999999999998E-13</v>
      </c>
      <c r="I1498" s="121">
        <f t="shared" si="357"/>
        <v>2210172</v>
      </c>
      <c r="K1498" s="123">
        <f t="shared" si="365"/>
        <v>3000000</v>
      </c>
      <c r="L1498" s="111">
        <f t="shared" si="366"/>
        <v>67487</v>
      </c>
      <c r="M1498" s="2">
        <f t="shared" si="367"/>
        <v>2250</v>
      </c>
      <c r="N1498" s="112">
        <f t="shared" si="358"/>
        <v>17000000</v>
      </c>
      <c r="O1498" s="2">
        <f t="shared" si="368"/>
        <v>855065</v>
      </c>
      <c r="P1498" s="113">
        <f t="shared" si="369"/>
        <v>9.9999999999999998E-13</v>
      </c>
      <c r="Q1498" s="121">
        <f t="shared" si="359"/>
        <v>2210172</v>
      </c>
    </row>
    <row r="1499" spans="2:17" hidden="1" x14ac:dyDescent="0.4">
      <c r="B1499" s="110">
        <v>45420</v>
      </c>
      <c r="C1499" s="122">
        <f t="shared" si="360"/>
        <v>3000000</v>
      </c>
      <c r="D1499" s="111">
        <f t="shared" si="361"/>
        <v>67487</v>
      </c>
      <c r="E1499" s="2">
        <f t="shared" si="362"/>
        <v>2250</v>
      </c>
      <c r="F1499" s="112">
        <f t="shared" si="356"/>
        <v>17000000</v>
      </c>
      <c r="G1499" s="2">
        <f t="shared" si="363"/>
        <v>855065</v>
      </c>
      <c r="H1499" s="113">
        <f t="shared" si="364"/>
        <v>9.9999999999999998E-13</v>
      </c>
      <c r="I1499" s="121">
        <f t="shared" si="357"/>
        <v>2210172</v>
      </c>
      <c r="K1499" s="123">
        <f t="shared" si="365"/>
        <v>3000000</v>
      </c>
      <c r="L1499" s="111">
        <f t="shared" si="366"/>
        <v>67487</v>
      </c>
      <c r="M1499" s="2">
        <f t="shared" si="367"/>
        <v>2250</v>
      </c>
      <c r="N1499" s="112">
        <f t="shared" si="358"/>
        <v>17000000</v>
      </c>
      <c r="O1499" s="2">
        <f t="shared" si="368"/>
        <v>855065</v>
      </c>
      <c r="P1499" s="113">
        <f t="shared" si="369"/>
        <v>9.9999999999999998E-13</v>
      </c>
      <c r="Q1499" s="121">
        <f t="shared" si="359"/>
        <v>2210172</v>
      </c>
    </row>
    <row r="1500" spans="2:17" hidden="1" x14ac:dyDescent="0.4">
      <c r="B1500" s="110">
        <v>45421</v>
      </c>
      <c r="C1500" s="122">
        <f t="shared" si="360"/>
        <v>3000000</v>
      </c>
      <c r="D1500" s="111">
        <f t="shared" si="361"/>
        <v>67487</v>
      </c>
      <c r="E1500" s="2">
        <f t="shared" si="362"/>
        <v>2250</v>
      </c>
      <c r="F1500" s="112">
        <f t="shared" si="356"/>
        <v>17000000</v>
      </c>
      <c r="G1500" s="2">
        <f t="shared" si="363"/>
        <v>855065</v>
      </c>
      <c r="H1500" s="113">
        <f t="shared" si="364"/>
        <v>9.9999999999999998E-13</v>
      </c>
      <c r="I1500" s="121">
        <f t="shared" si="357"/>
        <v>2210172</v>
      </c>
      <c r="K1500" s="123">
        <f t="shared" si="365"/>
        <v>3000000</v>
      </c>
      <c r="L1500" s="111">
        <f t="shared" si="366"/>
        <v>67487</v>
      </c>
      <c r="M1500" s="2">
        <f t="shared" si="367"/>
        <v>2250</v>
      </c>
      <c r="N1500" s="112">
        <f t="shared" si="358"/>
        <v>17000000</v>
      </c>
      <c r="O1500" s="2">
        <f t="shared" si="368"/>
        <v>855065</v>
      </c>
      <c r="P1500" s="113">
        <f t="shared" si="369"/>
        <v>9.9999999999999998E-13</v>
      </c>
      <c r="Q1500" s="121">
        <f t="shared" si="359"/>
        <v>2210172</v>
      </c>
    </row>
    <row r="1501" spans="2:17" hidden="1" x14ac:dyDescent="0.4">
      <c r="B1501" s="110">
        <v>45422</v>
      </c>
      <c r="C1501" s="122">
        <f t="shared" si="360"/>
        <v>3000000</v>
      </c>
      <c r="D1501" s="111">
        <f t="shared" si="361"/>
        <v>67487</v>
      </c>
      <c r="E1501" s="2">
        <f t="shared" si="362"/>
        <v>2250</v>
      </c>
      <c r="F1501" s="112">
        <f t="shared" si="356"/>
        <v>17000000</v>
      </c>
      <c r="G1501" s="2">
        <f t="shared" si="363"/>
        <v>855065</v>
      </c>
      <c r="H1501" s="113">
        <f t="shared" si="364"/>
        <v>9.9999999999999998E-13</v>
      </c>
      <c r="I1501" s="121">
        <f t="shared" si="357"/>
        <v>2210172</v>
      </c>
      <c r="K1501" s="123">
        <f t="shared" si="365"/>
        <v>3000000</v>
      </c>
      <c r="L1501" s="111">
        <f t="shared" si="366"/>
        <v>67487</v>
      </c>
      <c r="M1501" s="2">
        <f t="shared" si="367"/>
        <v>2250</v>
      </c>
      <c r="N1501" s="112">
        <f t="shared" si="358"/>
        <v>17000000</v>
      </c>
      <c r="O1501" s="2">
        <f t="shared" si="368"/>
        <v>855065</v>
      </c>
      <c r="P1501" s="113">
        <f t="shared" si="369"/>
        <v>9.9999999999999998E-13</v>
      </c>
      <c r="Q1501" s="121">
        <f t="shared" si="359"/>
        <v>2210172</v>
      </c>
    </row>
    <row r="1502" spans="2:17" hidden="1" x14ac:dyDescent="0.4">
      <c r="B1502" s="110">
        <v>45423</v>
      </c>
      <c r="C1502" s="122">
        <f t="shared" si="360"/>
        <v>3000000</v>
      </c>
      <c r="D1502" s="111">
        <f t="shared" si="361"/>
        <v>67487</v>
      </c>
      <c r="E1502" s="2">
        <f t="shared" si="362"/>
        <v>2250</v>
      </c>
      <c r="F1502" s="112">
        <f t="shared" si="356"/>
        <v>17000000</v>
      </c>
      <c r="G1502" s="2">
        <f t="shared" si="363"/>
        <v>855065</v>
      </c>
      <c r="H1502" s="113">
        <f t="shared" si="364"/>
        <v>9.9999999999999998E-13</v>
      </c>
      <c r="I1502" s="121">
        <f t="shared" si="357"/>
        <v>2210172</v>
      </c>
      <c r="K1502" s="123">
        <f t="shared" si="365"/>
        <v>3000000</v>
      </c>
      <c r="L1502" s="111">
        <f t="shared" si="366"/>
        <v>67487</v>
      </c>
      <c r="M1502" s="2">
        <f t="shared" si="367"/>
        <v>2250</v>
      </c>
      <c r="N1502" s="112">
        <f t="shared" si="358"/>
        <v>17000000</v>
      </c>
      <c r="O1502" s="2">
        <f t="shared" si="368"/>
        <v>855065</v>
      </c>
      <c r="P1502" s="113">
        <f t="shared" si="369"/>
        <v>9.9999999999999998E-13</v>
      </c>
      <c r="Q1502" s="121">
        <f t="shared" si="359"/>
        <v>2210172</v>
      </c>
    </row>
    <row r="1503" spans="2:17" hidden="1" x14ac:dyDescent="0.4">
      <c r="B1503" s="110">
        <v>45424</v>
      </c>
      <c r="C1503" s="122">
        <f t="shared" si="360"/>
        <v>3000000</v>
      </c>
      <c r="D1503" s="111">
        <f t="shared" si="361"/>
        <v>67487</v>
      </c>
      <c r="E1503" s="2">
        <f t="shared" si="362"/>
        <v>2250</v>
      </c>
      <c r="F1503" s="112">
        <f t="shared" si="356"/>
        <v>17000000</v>
      </c>
      <c r="G1503" s="2">
        <f t="shared" si="363"/>
        <v>855065</v>
      </c>
      <c r="H1503" s="113">
        <f t="shared" si="364"/>
        <v>9.9999999999999998E-13</v>
      </c>
      <c r="I1503" s="121">
        <f t="shared" si="357"/>
        <v>2210172</v>
      </c>
      <c r="K1503" s="123">
        <f t="shared" si="365"/>
        <v>3000000</v>
      </c>
      <c r="L1503" s="111">
        <f t="shared" si="366"/>
        <v>67487</v>
      </c>
      <c r="M1503" s="2">
        <f t="shared" si="367"/>
        <v>2250</v>
      </c>
      <c r="N1503" s="112">
        <f t="shared" si="358"/>
        <v>17000000</v>
      </c>
      <c r="O1503" s="2">
        <f t="shared" si="368"/>
        <v>855065</v>
      </c>
      <c r="P1503" s="113">
        <f t="shared" si="369"/>
        <v>9.9999999999999998E-13</v>
      </c>
      <c r="Q1503" s="121">
        <f t="shared" si="359"/>
        <v>2210172</v>
      </c>
    </row>
    <row r="1504" spans="2:17" hidden="1" x14ac:dyDescent="0.4">
      <c r="B1504" s="110">
        <v>45425</v>
      </c>
      <c r="C1504" s="122">
        <f t="shared" si="360"/>
        <v>3000000</v>
      </c>
      <c r="D1504" s="111">
        <f t="shared" si="361"/>
        <v>67487</v>
      </c>
      <c r="E1504" s="2">
        <f t="shared" si="362"/>
        <v>2250</v>
      </c>
      <c r="F1504" s="112">
        <f t="shared" si="356"/>
        <v>17000000</v>
      </c>
      <c r="G1504" s="2">
        <f t="shared" si="363"/>
        <v>855065</v>
      </c>
      <c r="H1504" s="113">
        <f t="shared" si="364"/>
        <v>9.9999999999999998E-13</v>
      </c>
      <c r="I1504" s="121">
        <f t="shared" si="357"/>
        <v>2210172</v>
      </c>
      <c r="K1504" s="123">
        <f t="shared" si="365"/>
        <v>3000000</v>
      </c>
      <c r="L1504" s="111">
        <f t="shared" si="366"/>
        <v>67487</v>
      </c>
      <c r="M1504" s="2">
        <f t="shared" si="367"/>
        <v>2250</v>
      </c>
      <c r="N1504" s="112">
        <f t="shared" si="358"/>
        <v>17000000</v>
      </c>
      <c r="O1504" s="2">
        <f t="shared" si="368"/>
        <v>855065</v>
      </c>
      <c r="P1504" s="113">
        <f t="shared" si="369"/>
        <v>9.9999999999999998E-13</v>
      </c>
      <c r="Q1504" s="121">
        <f t="shared" si="359"/>
        <v>2210172</v>
      </c>
    </row>
    <row r="1505" spans="2:17" hidden="1" x14ac:dyDescent="0.4">
      <c r="B1505" s="110">
        <v>45426</v>
      </c>
      <c r="C1505" s="122">
        <f t="shared" si="360"/>
        <v>3000000</v>
      </c>
      <c r="D1505" s="111">
        <f t="shared" si="361"/>
        <v>67487</v>
      </c>
      <c r="E1505" s="2">
        <f t="shared" si="362"/>
        <v>2250</v>
      </c>
      <c r="F1505" s="112">
        <f t="shared" si="356"/>
        <v>17000000</v>
      </c>
      <c r="G1505" s="2">
        <f t="shared" si="363"/>
        <v>855065</v>
      </c>
      <c r="H1505" s="113">
        <f t="shared" si="364"/>
        <v>9.9999999999999998E-13</v>
      </c>
      <c r="I1505" s="121">
        <f t="shared" si="357"/>
        <v>2210172</v>
      </c>
      <c r="K1505" s="123">
        <f t="shared" si="365"/>
        <v>3000000</v>
      </c>
      <c r="L1505" s="111">
        <f t="shared" si="366"/>
        <v>67487</v>
      </c>
      <c r="M1505" s="2">
        <f t="shared" si="367"/>
        <v>2250</v>
      </c>
      <c r="N1505" s="112">
        <f t="shared" si="358"/>
        <v>17000000</v>
      </c>
      <c r="O1505" s="2">
        <f t="shared" si="368"/>
        <v>855065</v>
      </c>
      <c r="P1505" s="113">
        <f t="shared" si="369"/>
        <v>9.9999999999999998E-13</v>
      </c>
      <c r="Q1505" s="121">
        <f t="shared" si="359"/>
        <v>2210172</v>
      </c>
    </row>
    <row r="1506" spans="2:17" hidden="1" x14ac:dyDescent="0.4">
      <c r="B1506" s="110">
        <v>45427</v>
      </c>
      <c r="C1506" s="122">
        <f t="shared" si="360"/>
        <v>3000000</v>
      </c>
      <c r="D1506" s="111">
        <f t="shared" si="361"/>
        <v>67487</v>
      </c>
      <c r="E1506" s="2">
        <f t="shared" si="362"/>
        <v>2250</v>
      </c>
      <c r="F1506" s="112">
        <f t="shared" si="356"/>
        <v>17000000</v>
      </c>
      <c r="G1506" s="2">
        <f t="shared" si="363"/>
        <v>855065</v>
      </c>
      <c r="H1506" s="113">
        <f t="shared" si="364"/>
        <v>9.9999999999999998E-13</v>
      </c>
      <c r="I1506" s="121">
        <f t="shared" si="357"/>
        <v>2210172</v>
      </c>
      <c r="K1506" s="123">
        <f t="shared" si="365"/>
        <v>3000000</v>
      </c>
      <c r="L1506" s="111">
        <f t="shared" si="366"/>
        <v>67487</v>
      </c>
      <c r="M1506" s="2">
        <f t="shared" si="367"/>
        <v>2250</v>
      </c>
      <c r="N1506" s="112">
        <f t="shared" si="358"/>
        <v>17000000</v>
      </c>
      <c r="O1506" s="2">
        <f t="shared" si="368"/>
        <v>855065</v>
      </c>
      <c r="P1506" s="113">
        <f t="shared" si="369"/>
        <v>9.9999999999999998E-13</v>
      </c>
      <c r="Q1506" s="121">
        <f t="shared" si="359"/>
        <v>2210172</v>
      </c>
    </row>
    <row r="1507" spans="2:17" hidden="1" x14ac:dyDescent="0.4">
      <c r="B1507" s="110">
        <v>45428</v>
      </c>
      <c r="C1507" s="122">
        <f t="shared" si="360"/>
        <v>3000000</v>
      </c>
      <c r="D1507" s="111">
        <f t="shared" si="361"/>
        <v>67487</v>
      </c>
      <c r="E1507" s="2">
        <f t="shared" si="362"/>
        <v>2250</v>
      </c>
      <c r="F1507" s="112">
        <f t="shared" si="356"/>
        <v>17000000</v>
      </c>
      <c r="G1507" s="2">
        <f t="shared" si="363"/>
        <v>855065</v>
      </c>
      <c r="H1507" s="113">
        <f t="shared" si="364"/>
        <v>9.9999999999999998E-13</v>
      </c>
      <c r="I1507" s="121">
        <f t="shared" si="357"/>
        <v>2210172</v>
      </c>
      <c r="K1507" s="123">
        <f t="shared" si="365"/>
        <v>3000000</v>
      </c>
      <c r="L1507" s="111">
        <f t="shared" si="366"/>
        <v>67487</v>
      </c>
      <c r="M1507" s="2">
        <f t="shared" si="367"/>
        <v>2250</v>
      </c>
      <c r="N1507" s="112">
        <f t="shared" si="358"/>
        <v>17000000</v>
      </c>
      <c r="O1507" s="2">
        <f t="shared" si="368"/>
        <v>855065</v>
      </c>
      <c r="P1507" s="113">
        <f t="shared" si="369"/>
        <v>9.9999999999999998E-13</v>
      </c>
      <c r="Q1507" s="121">
        <f t="shared" si="359"/>
        <v>2210172</v>
      </c>
    </row>
    <row r="1508" spans="2:17" hidden="1" x14ac:dyDescent="0.4">
      <c r="B1508" s="110">
        <v>45429</v>
      </c>
      <c r="C1508" s="122">
        <f t="shared" si="360"/>
        <v>3000000</v>
      </c>
      <c r="D1508" s="111">
        <f t="shared" si="361"/>
        <v>67487</v>
      </c>
      <c r="E1508" s="2">
        <f t="shared" si="362"/>
        <v>2250</v>
      </c>
      <c r="F1508" s="112">
        <f t="shared" si="356"/>
        <v>17000000</v>
      </c>
      <c r="G1508" s="2">
        <f t="shared" si="363"/>
        <v>855065</v>
      </c>
      <c r="H1508" s="113">
        <f t="shared" si="364"/>
        <v>9.9999999999999998E-13</v>
      </c>
      <c r="I1508" s="121">
        <f t="shared" si="357"/>
        <v>2210172</v>
      </c>
      <c r="K1508" s="123">
        <f t="shared" si="365"/>
        <v>3000000</v>
      </c>
      <c r="L1508" s="111">
        <f t="shared" si="366"/>
        <v>67487</v>
      </c>
      <c r="M1508" s="2">
        <f t="shared" si="367"/>
        <v>2250</v>
      </c>
      <c r="N1508" s="112">
        <f t="shared" si="358"/>
        <v>17000000</v>
      </c>
      <c r="O1508" s="2">
        <f t="shared" si="368"/>
        <v>855065</v>
      </c>
      <c r="P1508" s="113">
        <f t="shared" si="369"/>
        <v>9.9999999999999998E-13</v>
      </c>
      <c r="Q1508" s="121">
        <f t="shared" si="359"/>
        <v>2210172</v>
      </c>
    </row>
    <row r="1509" spans="2:17" hidden="1" x14ac:dyDescent="0.4">
      <c r="B1509" s="110">
        <v>45430</v>
      </c>
      <c r="C1509" s="122">
        <f t="shared" si="360"/>
        <v>3000000</v>
      </c>
      <c r="D1509" s="111">
        <f t="shared" si="361"/>
        <v>67487</v>
      </c>
      <c r="E1509" s="2">
        <f t="shared" si="362"/>
        <v>2250</v>
      </c>
      <c r="F1509" s="112">
        <f t="shared" si="356"/>
        <v>17000000</v>
      </c>
      <c r="G1509" s="2">
        <f t="shared" si="363"/>
        <v>855065</v>
      </c>
      <c r="H1509" s="113">
        <f t="shared" si="364"/>
        <v>9.9999999999999998E-13</v>
      </c>
      <c r="I1509" s="121">
        <f t="shared" si="357"/>
        <v>2210172</v>
      </c>
      <c r="K1509" s="123">
        <f t="shared" si="365"/>
        <v>3000000</v>
      </c>
      <c r="L1509" s="111">
        <f t="shared" si="366"/>
        <v>67487</v>
      </c>
      <c r="M1509" s="2">
        <f t="shared" si="367"/>
        <v>2250</v>
      </c>
      <c r="N1509" s="112">
        <f t="shared" si="358"/>
        <v>17000000</v>
      </c>
      <c r="O1509" s="2">
        <f t="shared" si="368"/>
        <v>855065</v>
      </c>
      <c r="P1509" s="113">
        <f t="shared" si="369"/>
        <v>9.9999999999999998E-13</v>
      </c>
      <c r="Q1509" s="121">
        <f t="shared" si="359"/>
        <v>2210172</v>
      </c>
    </row>
    <row r="1510" spans="2:17" hidden="1" x14ac:dyDescent="0.4">
      <c r="B1510" s="110">
        <v>45431</v>
      </c>
      <c r="C1510" s="122">
        <f t="shared" si="360"/>
        <v>3000000</v>
      </c>
      <c r="D1510" s="111">
        <f t="shared" si="361"/>
        <v>67487</v>
      </c>
      <c r="E1510" s="2">
        <f t="shared" si="362"/>
        <v>2250</v>
      </c>
      <c r="F1510" s="112">
        <f t="shared" si="356"/>
        <v>17000000</v>
      </c>
      <c r="G1510" s="2">
        <f t="shared" si="363"/>
        <v>855065</v>
      </c>
      <c r="H1510" s="113">
        <f t="shared" si="364"/>
        <v>9.9999999999999998E-13</v>
      </c>
      <c r="I1510" s="121">
        <f t="shared" si="357"/>
        <v>2210172</v>
      </c>
      <c r="K1510" s="123">
        <f t="shared" si="365"/>
        <v>3000000</v>
      </c>
      <c r="L1510" s="111">
        <f t="shared" si="366"/>
        <v>67487</v>
      </c>
      <c r="M1510" s="2">
        <f t="shared" si="367"/>
        <v>2250</v>
      </c>
      <c r="N1510" s="112">
        <f t="shared" si="358"/>
        <v>17000000</v>
      </c>
      <c r="O1510" s="2">
        <f t="shared" si="368"/>
        <v>855065</v>
      </c>
      <c r="P1510" s="113">
        <f t="shared" si="369"/>
        <v>9.9999999999999998E-13</v>
      </c>
      <c r="Q1510" s="121">
        <f t="shared" si="359"/>
        <v>2210172</v>
      </c>
    </row>
    <row r="1511" spans="2:17" hidden="1" x14ac:dyDescent="0.4">
      <c r="B1511" s="110">
        <v>45432</v>
      </c>
      <c r="C1511" s="122">
        <f t="shared" si="360"/>
        <v>3000000</v>
      </c>
      <c r="D1511" s="111">
        <f t="shared" si="361"/>
        <v>69653</v>
      </c>
      <c r="E1511" s="2">
        <f t="shared" si="362"/>
        <v>2250</v>
      </c>
      <c r="F1511" s="112">
        <f t="shared" si="356"/>
        <v>17000000</v>
      </c>
      <c r="G1511" s="2">
        <f t="shared" si="363"/>
        <v>855065</v>
      </c>
      <c r="H1511" s="113">
        <f t="shared" si="364"/>
        <v>9.9999999999999998E-13</v>
      </c>
      <c r="I1511" s="121">
        <f t="shared" si="357"/>
        <v>2212338</v>
      </c>
      <c r="K1511" s="123">
        <f t="shared" si="365"/>
        <v>3000000</v>
      </c>
      <c r="L1511" s="111">
        <f t="shared" si="366"/>
        <v>69653</v>
      </c>
      <c r="M1511" s="2">
        <f t="shared" si="367"/>
        <v>2250</v>
      </c>
      <c r="N1511" s="112">
        <f t="shared" si="358"/>
        <v>17000000</v>
      </c>
      <c r="O1511" s="2">
        <f t="shared" si="368"/>
        <v>855065</v>
      </c>
      <c r="P1511" s="113">
        <f t="shared" si="369"/>
        <v>9.9999999999999998E-13</v>
      </c>
      <c r="Q1511" s="121">
        <f t="shared" si="359"/>
        <v>2212338</v>
      </c>
    </row>
    <row r="1512" spans="2:17" hidden="1" x14ac:dyDescent="0.4">
      <c r="B1512" s="110">
        <v>45433</v>
      </c>
      <c r="C1512" s="122">
        <f t="shared" si="360"/>
        <v>3000000</v>
      </c>
      <c r="D1512" s="111">
        <f t="shared" si="361"/>
        <v>69653</v>
      </c>
      <c r="E1512" s="2">
        <f t="shared" si="362"/>
        <v>2250</v>
      </c>
      <c r="F1512" s="112">
        <f t="shared" si="356"/>
        <v>17000000</v>
      </c>
      <c r="G1512" s="2">
        <f t="shared" si="363"/>
        <v>855065</v>
      </c>
      <c r="H1512" s="113">
        <f t="shared" si="364"/>
        <v>9.9999999999999998E-13</v>
      </c>
      <c r="I1512" s="121">
        <f t="shared" si="357"/>
        <v>2212338</v>
      </c>
      <c r="K1512" s="123">
        <f t="shared" si="365"/>
        <v>3000000</v>
      </c>
      <c r="L1512" s="111">
        <f t="shared" si="366"/>
        <v>69653</v>
      </c>
      <c r="M1512" s="2">
        <f t="shared" si="367"/>
        <v>2250</v>
      </c>
      <c r="N1512" s="112">
        <f t="shared" si="358"/>
        <v>17000000</v>
      </c>
      <c r="O1512" s="2">
        <f t="shared" si="368"/>
        <v>855065</v>
      </c>
      <c r="P1512" s="113">
        <f t="shared" si="369"/>
        <v>9.9999999999999998E-13</v>
      </c>
      <c r="Q1512" s="121">
        <f t="shared" si="359"/>
        <v>2212338</v>
      </c>
    </row>
    <row r="1513" spans="2:17" hidden="1" x14ac:dyDescent="0.4">
      <c r="B1513" s="110">
        <v>45434</v>
      </c>
      <c r="C1513" s="122">
        <f t="shared" si="360"/>
        <v>3000000</v>
      </c>
      <c r="D1513" s="111">
        <f t="shared" si="361"/>
        <v>69653</v>
      </c>
      <c r="E1513" s="2">
        <f t="shared" si="362"/>
        <v>2250</v>
      </c>
      <c r="F1513" s="112">
        <f t="shared" si="356"/>
        <v>17000000</v>
      </c>
      <c r="G1513" s="2">
        <f t="shared" si="363"/>
        <v>855065</v>
      </c>
      <c r="H1513" s="113">
        <f t="shared" si="364"/>
        <v>9.9999999999999998E-13</v>
      </c>
      <c r="I1513" s="121">
        <f t="shared" si="357"/>
        <v>2212338</v>
      </c>
      <c r="K1513" s="123">
        <f t="shared" si="365"/>
        <v>3000000</v>
      </c>
      <c r="L1513" s="111">
        <f t="shared" si="366"/>
        <v>69653</v>
      </c>
      <c r="M1513" s="2">
        <f t="shared" si="367"/>
        <v>2250</v>
      </c>
      <c r="N1513" s="112">
        <f t="shared" si="358"/>
        <v>17000000</v>
      </c>
      <c r="O1513" s="2">
        <f t="shared" si="368"/>
        <v>855065</v>
      </c>
      <c r="P1513" s="113">
        <f t="shared" si="369"/>
        <v>9.9999999999999998E-13</v>
      </c>
      <c r="Q1513" s="121">
        <f t="shared" si="359"/>
        <v>2212338</v>
      </c>
    </row>
    <row r="1514" spans="2:17" hidden="1" x14ac:dyDescent="0.4">
      <c r="B1514" s="110">
        <v>45435</v>
      </c>
      <c r="C1514" s="122">
        <f t="shared" si="360"/>
        <v>3000000</v>
      </c>
      <c r="D1514" s="111">
        <f t="shared" si="361"/>
        <v>69653</v>
      </c>
      <c r="E1514" s="2">
        <f t="shared" si="362"/>
        <v>2250</v>
      </c>
      <c r="F1514" s="112">
        <f t="shared" si="356"/>
        <v>17000000</v>
      </c>
      <c r="G1514" s="2">
        <f t="shared" si="363"/>
        <v>855065</v>
      </c>
      <c r="H1514" s="113">
        <f t="shared" si="364"/>
        <v>9.9999999999999998E-13</v>
      </c>
      <c r="I1514" s="121">
        <f t="shared" si="357"/>
        <v>2212338</v>
      </c>
      <c r="K1514" s="123">
        <f t="shared" si="365"/>
        <v>3000000</v>
      </c>
      <c r="L1514" s="111">
        <f t="shared" si="366"/>
        <v>69653</v>
      </c>
      <c r="M1514" s="2">
        <f t="shared" si="367"/>
        <v>2250</v>
      </c>
      <c r="N1514" s="112">
        <f t="shared" si="358"/>
        <v>17000000</v>
      </c>
      <c r="O1514" s="2">
        <f t="shared" si="368"/>
        <v>855065</v>
      </c>
      <c r="P1514" s="113">
        <f t="shared" si="369"/>
        <v>9.9999999999999998E-13</v>
      </c>
      <c r="Q1514" s="121">
        <f t="shared" si="359"/>
        <v>2212338</v>
      </c>
    </row>
    <row r="1515" spans="2:17" hidden="1" x14ac:dyDescent="0.4">
      <c r="B1515" s="110">
        <v>45436</v>
      </c>
      <c r="C1515" s="122">
        <f t="shared" si="360"/>
        <v>3000000</v>
      </c>
      <c r="D1515" s="111">
        <f t="shared" si="361"/>
        <v>69653</v>
      </c>
      <c r="E1515" s="2">
        <f t="shared" si="362"/>
        <v>2250</v>
      </c>
      <c r="F1515" s="112">
        <f t="shared" si="356"/>
        <v>17000000</v>
      </c>
      <c r="G1515" s="2">
        <f t="shared" si="363"/>
        <v>855065</v>
      </c>
      <c r="H1515" s="113">
        <f t="shared" si="364"/>
        <v>9.9999999999999998E-13</v>
      </c>
      <c r="I1515" s="121">
        <f t="shared" si="357"/>
        <v>2212338</v>
      </c>
      <c r="K1515" s="123">
        <f t="shared" si="365"/>
        <v>3000000</v>
      </c>
      <c r="L1515" s="111">
        <f t="shared" si="366"/>
        <v>69653</v>
      </c>
      <c r="M1515" s="2">
        <f t="shared" si="367"/>
        <v>2250</v>
      </c>
      <c r="N1515" s="112">
        <f t="shared" si="358"/>
        <v>17000000</v>
      </c>
      <c r="O1515" s="2">
        <f t="shared" si="368"/>
        <v>855065</v>
      </c>
      <c r="P1515" s="113">
        <f t="shared" si="369"/>
        <v>9.9999999999999998E-13</v>
      </c>
      <c r="Q1515" s="121">
        <f t="shared" si="359"/>
        <v>2212338</v>
      </c>
    </row>
    <row r="1516" spans="2:17" hidden="1" x14ac:dyDescent="0.4">
      <c r="B1516" s="110">
        <v>45437</v>
      </c>
      <c r="C1516" s="122">
        <f t="shared" si="360"/>
        <v>3000000</v>
      </c>
      <c r="D1516" s="111">
        <f t="shared" si="361"/>
        <v>69653</v>
      </c>
      <c r="E1516" s="2">
        <f t="shared" si="362"/>
        <v>2250</v>
      </c>
      <c r="F1516" s="112">
        <f t="shared" si="356"/>
        <v>17000000</v>
      </c>
      <c r="G1516" s="2">
        <f t="shared" si="363"/>
        <v>855065</v>
      </c>
      <c r="H1516" s="113">
        <f t="shared" si="364"/>
        <v>9.9999999999999998E-13</v>
      </c>
      <c r="I1516" s="121">
        <f t="shared" si="357"/>
        <v>2212338</v>
      </c>
      <c r="K1516" s="123">
        <f t="shared" si="365"/>
        <v>3000000</v>
      </c>
      <c r="L1516" s="111">
        <f t="shared" si="366"/>
        <v>69653</v>
      </c>
      <c r="M1516" s="2">
        <f t="shared" si="367"/>
        <v>2250</v>
      </c>
      <c r="N1516" s="112">
        <f t="shared" si="358"/>
        <v>17000000</v>
      </c>
      <c r="O1516" s="2">
        <f t="shared" si="368"/>
        <v>855065</v>
      </c>
      <c r="P1516" s="113">
        <f t="shared" si="369"/>
        <v>9.9999999999999998E-13</v>
      </c>
      <c r="Q1516" s="121">
        <f t="shared" si="359"/>
        <v>2212338</v>
      </c>
    </row>
    <row r="1517" spans="2:17" hidden="1" x14ac:dyDescent="0.4">
      <c r="B1517" s="110">
        <v>45438</v>
      </c>
      <c r="C1517" s="122">
        <f t="shared" si="360"/>
        <v>3000000</v>
      </c>
      <c r="D1517" s="111">
        <f t="shared" si="361"/>
        <v>69653</v>
      </c>
      <c r="E1517" s="2">
        <f t="shared" si="362"/>
        <v>2250</v>
      </c>
      <c r="F1517" s="112">
        <f t="shared" si="356"/>
        <v>17000000</v>
      </c>
      <c r="G1517" s="2">
        <f t="shared" si="363"/>
        <v>855065</v>
      </c>
      <c r="H1517" s="113">
        <f t="shared" si="364"/>
        <v>9.9999999999999998E-13</v>
      </c>
      <c r="I1517" s="121">
        <f t="shared" si="357"/>
        <v>2212338</v>
      </c>
      <c r="K1517" s="123">
        <f t="shared" si="365"/>
        <v>3000000</v>
      </c>
      <c r="L1517" s="111">
        <f t="shared" si="366"/>
        <v>69653</v>
      </c>
      <c r="M1517" s="2">
        <f t="shared" si="367"/>
        <v>2250</v>
      </c>
      <c r="N1517" s="112">
        <f t="shared" si="358"/>
        <v>17000000</v>
      </c>
      <c r="O1517" s="2">
        <f t="shared" si="368"/>
        <v>855065</v>
      </c>
      <c r="P1517" s="113">
        <f t="shared" si="369"/>
        <v>9.9999999999999998E-13</v>
      </c>
      <c r="Q1517" s="121">
        <f t="shared" si="359"/>
        <v>2212338</v>
      </c>
    </row>
    <row r="1518" spans="2:17" hidden="1" x14ac:dyDescent="0.4">
      <c r="B1518" s="110">
        <v>45439</v>
      </c>
      <c r="C1518" s="122">
        <f t="shared" si="360"/>
        <v>3000000</v>
      </c>
      <c r="D1518" s="111">
        <f t="shared" si="361"/>
        <v>69653</v>
      </c>
      <c r="E1518" s="2">
        <f t="shared" si="362"/>
        <v>2250</v>
      </c>
      <c r="F1518" s="112">
        <f t="shared" si="356"/>
        <v>17000000</v>
      </c>
      <c r="G1518" s="2">
        <f t="shared" si="363"/>
        <v>855065</v>
      </c>
      <c r="H1518" s="113">
        <f t="shared" si="364"/>
        <v>9.9999999999999998E-13</v>
      </c>
      <c r="I1518" s="121">
        <f t="shared" si="357"/>
        <v>2212338</v>
      </c>
      <c r="K1518" s="123">
        <f t="shared" si="365"/>
        <v>3000000</v>
      </c>
      <c r="L1518" s="111">
        <f t="shared" si="366"/>
        <v>69653</v>
      </c>
      <c r="M1518" s="2">
        <f t="shared" si="367"/>
        <v>2250</v>
      </c>
      <c r="N1518" s="112">
        <f t="shared" si="358"/>
        <v>17000000</v>
      </c>
      <c r="O1518" s="2">
        <f t="shared" si="368"/>
        <v>855065</v>
      </c>
      <c r="P1518" s="113">
        <f t="shared" si="369"/>
        <v>9.9999999999999998E-13</v>
      </c>
      <c r="Q1518" s="121">
        <f t="shared" si="359"/>
        <v>2212338</v>
      </c>
    </row>
    <row r="1519" spans="2:17" hidden="1" x14ac:dyDescent="0.4">
      <c r="B1519" s="110">
        <v>45440</v>
      </c>
      <c r="C1519" s="122">
        <f t="shared" si="360"/>
        <v>3000000</v>
      </c>
      <c r="D1519" s="111">
        <f t="shared" si="361"/>
        <v>69653</v>
      </c>
      <c r="E1519" s="2">
        <f t="shared" si="362"/>
        <v>2250</v>
      </c>
      <c r="F1519" s="112">
        <f t="shared" si="356"/>
        <v>17000000</v>
      </c>
      <c r="G1519" s="2">
        <f t="shared" si="363"/>
        <v>855065</v>
      </c>
      <c r="H1519" s="113">
        <f t="shared" si="364"/>
        <v>9.9999999999999998E-13</v>
      </c>
      <c r="I1519" s="121">
        <f t="shared" si="357"/>
        <v>2212338</v>
      </c>
      <c r="K1519" s="123">
        <f t="shared" si="365"/>
        <v>3000000</v>
      </c>
      <c r="L1519" s="111">
        <f t="shared" si="366"/>
        <v>69653</v>
      </c>
      <c r="M1519" s="2">
        <f t="shared" si="367"/>
        <v>2250</v>
      </c>
      <c r="N1519" s="112">
        <f t="shared" si="358"/>
        <v>17000000</v>
      </c>
      <c r="O1519" s="2">
        <f t="shared" si="368"/>
        <v>855065</v>
      </c>
      <c r="P1519" s="113">
        <f t="shared" si="369"/>
        <v>9.9999999999999998E-13</v>
      </c>
      <c r="Q1519" s="121">
        <f t="shared" si="359"/>
        <v>2212338</v>
      </c>
    </row>
    <row r="1520" spans="2:17" hidden="1" x14ac:dyDescent="0.4">
      <c r="B1520" s="110">
        <v>45441</v>
      </c>
      <c r="C1520" s="122">
        <f t="shared" si="360"/>
        <v>3000000</v>
      </c>
      <c r="D1520" s="111">
        <f t="shared" si="361"/>
        <v>69653</v>
      </c>
      <c r="E1520" s="2">
        <f t="shared" si="362"/>
        <v>2250</v>
      </c>
      <c r="F1520" s="112">
        <f t="shared" si="356"/>
        <v>17000000</v>
      </c>
      <c r="G1520" s="2">
        <f t="shared" si="363"/>
        <v>855065</v>
      </c>
      <c r="H1520" s="113">
        <f t="shared" si="364"/>
        <v>9.9999999999999998E-13</v>
      </c>
      <c r="I1520" s="121">
        <f t="shared" si="357"/>
        <v>2212338</v>
      </c>
      <c r="K1520" s="123">
        <f t="shared" si="365"/>
        <v>3000000</v>
      </c>
      <c r="L1520" s="111">
        <f t="shared" si="366"/>
        <v>69653</v>
      </c>
      <c r="M1520" s="2">
        <f t="shared" si="367"/>
        <v>2250</v>
      </c>
      <c r="N1520" s="112">
        <f t="shared" si="358"/>
        <v>17000000</v>
      </c>
      <c r="O1520" s="2">
        <f t="shared" si="368"/>
        <v>855065</v>
      </c>
      <c r="P1520" s="113">
        <f t="shared" si="369"/>
        <v>9.9999999999999998E-13</v>
      </c>
      <c r="Q1520" s="121">
        <f t="shared" si="359"/>
        <v>2212338</v>
      </c>
    </row>
    <row r="1521" spans="2:17" hidden="1" x14ac:dyDescent="0.4">
      <c r="B1521" s="110">
        <v>45442</v>
      </c>
      <c r="C1521" s="122">
        <f t="shared" si="360"/>
        <v>3000000</v>
      </c>
      <c r="D1521" s="111">
        <f t="shared" si="361"/>
        <v>69653</v>
      </c>
      <c r="E1521" s="2">
        <f t="shared" si="362"/>
        <v>2250</v>
      </c>
      <c r="F1521" s="112">
        <f t="shared" si="356"/>
        <v>17000000</v>
      </c>
      <c r="G1521" s="2">
        <f t="shared" si="363"/>
        <v>855065</v>
      </c>
      <c r="H1521" s="113">
        <f t="shared" si="364"/>
        <v>9.9999999999999998E-13</v>
      </c>
      <c r="I1521" s="121">
        <f t="shared" si="357"/>
        <v>2212338</v>
      </c>
      <c r="K1521" s="123">
        <f t="shared" si="365"/>
        <v>3000000</v>
      </c>
      <c r="L1521" s="111">
        <f t="shared" si="366"/>
        <v>69653</v>
      </c>
      <c r="M1521" s="2">
        <f t="shared" si="367"/>
        <v>2250</v>
      </c>
      <c r="N1521" s="112">
        <f t="shared" si="358"/>
        <v>17000000</v>
      </c>
      <c r="O1521" s="2">
        <f t="shared" si="368"/>
        <v>855065</v>
      </c>
      <c r="P1521" s="113">
        <f t="shared" si="369"/>
        <v>9.9999999999999998E-13</v>
      </c>
      <c r="Q1521" s="121">
        <f t="shared" si="359"/>
        <v>2212338</v>
      </c>
    </row>
    <row r="1522" spans="2:17" hidden="1" x14ac:dyDescent="0.4">
      <c r="B1522" s="110">
        <v>45443</v>
      </c>
      <c r="C1522" s="122">
        <f t="shared" si="360"/>
        <v>3000000</v>
      </c>
      <c r="D1522" s="111">
        <f t="shared" si="361"/>
        <v>69653</v>
      </c>
      <c r="E1522" s="2">
        <f t="shared" si="362"/>
        <v>2250</v>
      </c>
      <c r="F1522" s="112">
        <f t="shared" si="356"/>
        <v>17000000</v>
      </c>
      <c r="G1522" s="2">
        <f t="shared" si="363"/>
        <v>855065</v>
      </c>
      <c r="H1522" s="113">
        <f t="shared" si="364"/>
        <v>9.9999999999999998E-13</v>
      </c>
      <c r="I1522" s="121">
        <f t="shared" si="357"/>
        <v>2212338</v>
      </c>
      <c r="K1522" s="123">
        <f t="shared" si="365"/>
        <v>3000000</v>
      </c>
      <c r="L1522" s="111">
        <f t="shared" si="366"/>
        <v>69653</v>
      </c>
      <c r="M1522" s="2">
        <f t="shared" si="367"/>
        <v>2250</v>
      </c>
      <c r="N1522" s="112">
        <f t="shared" si="358"/>
        <v>17000000</v>
      </c>
      <c r="O1522" s="2">
        <f t="shared" si="368"/>
        <v>855065</v>
      </c>
      <c r="P1522" s="113">
        <f t="shared" si="369"/>
        <v>9.9999999999999998E-13</v>
      </c>
      <c r="Q1522" s="121">
        <f t="shared" si="359"/>
        <v>2212338</v>
      </c>
    </row>
    <row r="1523" spans="2:17" x14ac:dyDescent="0.4">
      <c r="B1523" s="110">
        <v>45444</v>
      </c>
      <c r="C1523" s="122">
        <f t="shared" si="360"/>
        <v>3000000</v>
      </c>
      <c r="D1523" s="111">
        <f t="shared" si="361"/>
        <v>69653</v>
      </c>
      <c r="E1523" s="2">
        <f t="shared" si="362"/>
        <v>2250</v>
      </c>
      <c r="F1523" s="112">
        <f t="shared" si="356"/>
        <v>17000000</v>
      </c>
      <c r="G1523" s="2">
        <f t="shared" si="363"/>
        <v>855065</v>
      </c>
      <c r="H1523" s="113">
        <f t="shared" si="364"/>
        <v>9.9999999999999998E-13</v>
      </c>
      <c r="I1523" s="121">
        <f t="shared" si="357"/>
        <v>2212338</v>
      </c>
      <c r="K1523" s="123">
        <f t="shared" si="365"/>
        <v>3000000</v>
      </c>
      <c r="L1523" s="111">
        <f t="shared" si="366"/>
        <v>69653</v>
      </c>
      <c r="M1523" s="2">
        <f t="shared" si="367"/>
        <v>2250</v>
      </c>
      <c r="N1523" s="112">
        <f t="shared" si="358"/>
        <v>17000000</v>
      </c>
      <c r="O1523" s="2">
        <f t="shared" si="368"/>
        <v>855065</v>
      </c>
      <c r="P1523" s="113">
        <f t="shared" si="369"/>
        <v>9.9999999999999998E-13</v>
      </c>
      <c r="Q1523" s="121">
        <f t="shared" si="359"/>
        <v>2212338</v>
      </c>
    </row>
    <row r="1524" spans="2:17" hidden="1" x14ac:dyDescent="0.4">
      <c r="B1524" s="110">
        <v>45445</v>
      </c>
      <c r="C1524" s="122">
        <f t="shared" si="360"/>
        <v>3000000</v>
      </c>
      <c r="D1524" s="111">
        <f t="shared" si="361"/>
        <v>69653</v>
      </c>
      <c r="E1524" s="2">
        <f t="shared" si="362"/>
        <v>2250</v>
      </c>
      <c r="F1524" s="112">
        <f t="shared" si="356"/>
        <v>17000000</v>
      </c>
      <c r="G1524" s="2">
        <f t="shared" si="363"/>
        <v>855065</v>
      </c>
      <c r="H1524" s="113">
        <f t="shared" si="364"/>
        <v>9.9999999999999998E-13</v>
      </c>
      <c r="I1524" s="121">
        <f t="shared" si="357"/>
        <v>2212338</v>
      </c>
      <c r="K1524" s="123">
        <f t="shared" si="365"/>
        <v>3000000</v>
      </c>
      <c r="L1524" s="111">
        <f t="shared" si="366"/>
        <v>69653</v>
      </c>
      <c r="M1524" s="2">
        <f t="shared" si="367"/>
        <v>2250</v>
      </c>
      <c r="N1524" s="112">
        <f t="shared" si="358"/>
        <v>17000000</v>
      </c>
      <c r="O1524" s="2">
        <f t="shared" si="368"/>
        <v>855065</v>
      </c>
      <c r="P1524" s="113">
        <f t="shared" si="369"/>
        <v>9.9999999999999998E-13</v>
      </c>
      <c r="Q1524" s="121">
        <f t="shared" si="359"/>
        <v>2212338</v>
      </c>
    </row>
    <row r="1525" spans="2:17" hidden="1" x14ac:dyDescent="0.4">
      <c r="B1525" s="110">
        <v>45446</v>
      </c>
      <c r="C1525" s="122">
        <f t="shared" si="360"/>
        <v>3000000</v>
      </c>
      <c r="D1525" s="111">
        <f t="shared" si="361"/>
        <v>69653</v>
      </c>
      <c r="E1525" s="2">
        <f t="shared" si="362"/>
        <v>2250</v>
      </c>
      <c r="F1525" s="112">
        <f t="shared" si="356"/>
        <v>17000000</v>
      </c>
      <c r="G1525" s="2">
        <f t="shared" si="363"/>
        <v>855065</v>
      </c>
      <c r="H1525" s="113">
        <f t="shared" si="364"/>
        <v>9.9999999999999998E-13</v>
      </c>
      <c r="I1525" s="121">
        <f t="shared" si="357"/>
        <v>2212338</v>
      </c>
      <c r="K1525" s="123">
        <f t="shared" si="365"/>
        <v>3000000</v>
      </c>
      <c r="L1525" s="111">
        <f t="shared" si="366"/>
        <v>69653</v>
      </c>
      <c r="M1525" s="2">
        <f t="shared" si="367"/>
        <v>2250</v>
      </c>
      <c r="N1525" s="112">
        <f t="shared" si="358"/>
        <v>17000000</v>
      </c>
      <c r="O1525" s="2">
        <f t="shared" si="368"/>
        <v>855065</v>
      </c>
      <c r="P1525" s="113">
        <f t="shared" si="369"/>
        <v>9.9999999999999998E-13</v>
      </c>
      <c r="Q1525" s="121">
        <f t="shared" si="359"/>
        <v>2212338</v>
      </c>
    </row>
    <row r="1526" spans="2:17" hidden="1" x14ac:dyDescent="0.4">
      <c r="B1526" s="110">
        <v>45447</v>
      </c>
      <c r="C1526" s="122">
        <f t="shared" si="360"/>
        <v>3000000</v>
      </c>
      <c r="D1526" s="111">
        <f t="shared" si="361"/>
        <v>69653</v>
      </c>
      <c r="E1526" s="2">
        <f t="shared" si="362"/>
        <v>2250</v>
      </c>
      <c r="F1526" s="112">
        <f t="shared" si="356"/>
        <v>17000000</v>
      </c>
      <c r="G1526" s="2">
        <f t="shared" si="363"/>
        <v>855065</v>
      </c>
      <c r="H1526" s="113">
        <f t="shared" si="364"/>
        <v>9.9999999999999998E-13</v>
      </c>
      <c r="I1526" s="121">
        <f t="shared" si="357"/>
        <v>2212338</v>
      </c>
      <c r="K1526" s="123">
        <f t="shared" si="365"/>
        <v>3000000</v>
      </c>
      <c r="L1526" s="111">
        <f t="shared" si="366"/>
        <v>69653</v>
      </c>
      <c r="M1526" s="2">
        <f t="shared" si="367"/>
        <v>2250</v>
      </c>
      <c r="N1526" s="112">
        <f t="shared" si="358"/>
        <v>17000000</v>
      </c>
      <c r="O1526" s="2">
        <f t="shared" si="368"/>
        <v>855065</v>
      </c>
      <c r="P1526" s="113">
        <f t="shared" si="369"/>
        <v>9.9999999999999998E-13</v>
      </c>
      <c r="Q1526" s="121">
        <f t="shared" si="359"/>
        <v>2212338</v>
      </c>
    </row>
    <row r="1527" spans="2:17" hidden="1" x14ac:dyDescent="0.4">
      <c r="B1527" s="110">
        <v>45448</v>
      </c>
      <c r="C1527" s="122">
        <f t="shared" si="360"/>
        <v>3000000</v>
      </c>
      <c r="D1527" s="111">
        <f t="shared" si="361"/>
        <v>69653</v>
      </c>
      <c r="E1527" s="2">
        <f t="shared" si="362"/>
        <v>2250</v>
      </c>
      <c r="F1527" s="112">
        <f t="shared" si="356"/>
        <v>17000000</v>
      </c>
      <c r="G1527" s="2">
        <f t="shared" si="363"/>
        <v>855065</v>
      </c>
      <c r="H1527" s="113">
        <f t="shared" si="364"/>
        <v>9.9999999999999998E-13</v>
      </c>
      <c r="I1527" s="121">
        <f t="shared" si="357"/>
        <v>2212338</v>
      </c>
      <c r="K1527" s="123">
        <f t="shared" si="365"/>
        <v>3000000</v>
      </c>
      <c r="L1527" s="111">
        <f t="shared" si="366"/>
        <v>69653</v>
      </c>
      <c r="M1527" s="2">
        <f t="shared" si="367"/>
        <v>2250</v>
      </c>
      <c r="N1527" s="112">
        <f t="shared" si="358"/>
        <v>17000000</v>
      </c>
      <c r="O1527" s="2">
        <f t="shared" si="368"/>
        <v>855065</v>
      </c>
      <c r="P1527" s="113">
        <f t="shared" si="369"/>
        <v>9.9999999999999998E-13</v>
      </c>
      <c r="Q1527" s="121">
        <f t="shared" si="359"/>
        <v>2212338</v>
      </c>
    </row>
    <row r="1528" spans="2:17" hidden="1" x14ac:dyDescent="0.4">
      <c r="B1528" s="110">
        <v>45449</v>
      </c>
      <c r="C1528" s="122">
        <f t="shared" si="360"/>
        <v>3000000</v>
      </c>
      <c r="D1528" s="111">
        <f t="shared" si="361"/>
        <v>69653</v>
      </c>
      <c r="E1528" s="2">
        <f t="shared" si="362"/>
        <v>2250</v>
      </c>
      <c r="F1528" s="112">
        <f t="shared" si="356"/>
        <v>17000000</v>
      </c>
      <c r="G1528" s="2">
        <f t="shared" si="363"/>
        <v>855065</v>
      </c>
      <c r="H1528" s="113">
        <f t="shared" si="364"/>
        <v>9.9999999999999998E-13</v>
      </c>
      <c r="I1528" s="121">
        <f t="shared" si="357"/>
        <v>2212338</v>
      </c>
      <c r="K1528" s="123">
        <f t="shared" si="365"/>
        <v>3000000</v>
      </c>
      <c r="L1528" s="111">
        <f t="shared" si="366"/>
        <v>69653</v>
      </c>
      <c r="M1528" s="2">
        <f t="shared" si="367"/>
        <v>2250</v>
      </c>
      <c r="N1528" s="112">
        <f t="shared" si="358"/>
        <v>17000000</v>
      </c>
      <c r="O1528" s="2">
        <f t="shared" si="368"/>
        <v>855065</v>
      </c>
      <c r="P1528" s="113">
        <f t="shared" si="369"/>
        <v>9.9999999999999998E-13</v>
      </c>
      <c r="Q1528" s="121">
        <f t="shared" si="359"/>
        <v>2212338</v>
      </c>
    </row>
    <row r="1529" spans="2:17" hidden="1" x14ac:dyDescent="0.4">
      <c r="B1529" s="110">
        <v>45450</v>
      </c>
      <c r="C1529" s="122">
        <f t="shared" si="360"/>
        <v>3000000</v>
      </c>
      <c r="D1529" s="111">
        <f t="shared" si="361"/>
        <v>69653</v>
      </c>
      <c r="E1529" s="2">
        <f t="shared" si="362"/>
        <v>2250</v>
      </c>
      <c r="F1529" s="112">
        <f t="shared" si="356"/>
        <v>17000000</v>
      </c>
      <c r="G1529" s="2">
        <f t="shared" si="363"/>
        <v>855065</v>
      </c>
      <c r="H1529" s="113">
        <f t="shared" si="364"/>
        <v>9.9999999999999998E-13</v>
      </c>
      <c r="I1529" s="121">
        <f t="shared" si="357"/>
        <v>2212338</v>
      </c>
      <c r="K1529" s="123">
        <f t="shared" si="365"/>
        <v>3000000</v>
      </c>
      <c r="L1529" s="111">
        <f t="shared" si="366"/>
        <v>69653</v>
      </c>
      <c r="M1529" s="2">
        <f t="shared" si="367"/>
        <v>2250</v>
      </c>
      <c r="N1529" s="112">
        <f t="shared" si="358"/>
        <v>17000000</v>
      </c>
      <c r="O1529" s="2">
        <f t="shared" si="368"/>
        <v>855065</v>
      </c>
      <c r="P1529" s="113">
        <f t="shared" si="369"/>
        <v>9.9999999999999998E-13</v>
      </c>
      <c r="Q1529" s="121">
        <f t="shared" si="359"/>
        <v>2212338</v>
      </c>
    </row>
    <row r="1530" spans="2:17" hidden="1" x14ac:dyDescent="0.4">
      <c r="B1530" s="110">
        <v>45451</v>
      </c>
      <c r="C1530" s="122">
        <f t="shared" si="360"/>
        <v>3000000</v>
      </c>
      <c r="D1530" s="111">
        <f t="shared" si="361"/>
        <v>69653</v>
      </c>
      <c r="E1530" s="2">
        <f t="shared" si="362"/>
        <v>2250</v>
      </c>
      <c r="F1530" s="112">
        <f t="shared" si="356"/>
        <v>17000000</v>
      </c>
      <c r="G1530" s="2">
        <f t="shared" si="363"/>
        <v>855065</v>
      </c>
      <c r="H1530" s="113">
        <f t="shared" si="364"/>
        <v>9.9999999999999998E-13</v>
      </c>
      <c r="I1530" s="121">
        <f t="shared" si="357"/>
        <v>2212338</v>
      </c>
      <c r="K1530" s="123">
        <f t="shared" si="365"/>
        <v>3000000</v>
      </c>
      <c r="L1530" s="111">
        <f t="shared" si="366"/>
        <v>69653</v>
      </c>
      <c r="M1530" s="2">
        <f t="shared" si="367"/>
        <v>2250</v>
      </c>
      <c r="N1530" s="112">
        <f t="shared" si="358"/>
        <v>17000000</v>
      </c>
      <c r="O1530" s="2">
        <f t="shared" si="368"/>
        <v>855065</v>
      </c>
      <c r="P1530" s="113">
        <f t="shared" si="369"/>
        <v>9.9999999999999998E-13</v>
      </c>
      <c r="Q1530" s="121">
        <f t="shared" si="359"/>
        <v>2212338</v>
      </c>
    </row>
    <row r="1531" spans="2:17" hidden="1" x14ac:dyDescent="0.4">
      <c r="B1531" s="110">
        <v>45452</v>
      </c>
      <c r="C1531" s="122">
        <f t="shared" si="360"/>
        <v>3000000</v>
      </c>
      <c r="D1531" s="111">
        <f t="shared" si="361"/>
        <v>69653</v>
      </c>
      <c r="E1531" s="2">
        <f t="shared" si="362"/>
        <v>2250</v>
      </c>
      <c r="F1531" s="112">
        <f t="shared" si="356"/>
        <v>17000000</v>
      </c>
      <c r="G1531" s="2">
        <f t="shared" si="363"/>
        <v>855065</v>
      </c>
      <c r="H1531" s="113">
        <f t="shared" si="364"/>
        <v>9.9999999999999998E-13</v>
      </c>
      <c r="I1531" s="121">
        <f t="shared" si="357"/>
        <v>2212338</v>
      </c>
      <c r="K1531" s="123">
        <f t="shared" si="365"/>
        <v>3000000</v>
      </c>
      <c r="L1531" s="111">
        <f t="shared" si="366"/>
        <v>69653</v>
      </c>
      <c r="M1531" s="2">
        <f t="shared" si="367"/>
        <v>2250</v>
      </c>
      <c r="N1531" s="112">
        <f t="shared" si="358"/>
        <v>17000000</v>
      </c>
      <c r="O1531" s="2">
        <f t="shared" si="368"/>
        <v>855065</v>
      </c>
      <c r="P1531" s="113">
        <f t="shared" si="369"/>
        <v>9.9999999999999998E-13</v>
      </c>
      <c r="Q1531" s="121">
        <f t="shared" si="359"/>
        <v>2212338</v>
      </c>
    </row>
    <row r="1532" spans="2:17" hidden="1" x14ac:dyDescent="0.4">
      <c r="B1532" s="110">
        <v>45453</v>
      </c>
      <c r="C1532" s="122">
        <f t="shared" si="360"/>
        <v>3000000</v>
      </c>
      <c r="D1532" s="111">
        <f t="shared" si="361"/>
        <v>69653</v>
      </c>
      <c r="E1532" s="2">
        <f t="shared" si="362"/>
        <v>2250</v>
      </c>
      <c r="F1532" s="112">
        <f t="shared" si="356"/>
        <v>17000000</v>
      </c>
      <c r="G1532" s="2">
        <f t="shared" si="363"/>
        <v>855065</v>
      </c>
      <c r="H1532" s="113">
        <f t="shared" si="364"/>
        <v>9.9999999999999998E-13</v>
      </c>
      <c r="I1532" s="121">
        <f t="shared" si="357"/>
        <v>2212338</v>
      </c>
      <c r="K1532" s="123">
        <f t="shared" si="365"/>
        <v>3000000</v>
      </c>
      <c r="L1532" s="111">
        <f t="shared" si="366"/>
        <v>69653</v>
      </c>
      <c r="M1532" s="2">
        <f t="shared" si="367"/>
        <v>2250</v>
      </c>
      <c r="N1532" s="112">
        <f t="shared" si="358"/>
        <v>17000000</v>
      </c>
      <c r="O1532" s="2">
        <f t="shared" si="368"/>
        <v>855065</v>
      </c>
      <c r="P1532" s="113">
        <f t="shared" si="369"/>
        <v>9.9999999999999998E-13</v>
      </c>
      <c r="Q1532" s="121">
        <f t="shared" si="359"/>
        <v>2212338</v>
      </c>
    </row>
    <row r="1533" spans="2:17" hidden="1" x14ac:dyDescent="0.4">
      <c r="B1533" s="110">
        <v>45454</v>
      </c>
      <c r="C1533" s="122">
        <f t="shared" si="360"/>
        <v>3000000</v>
      </c>
      <c r="D1533" s="111">
        <f t="shared" si="361"/>
        <v>69653</v>
      </c>
      <c r="E1533" s="2">
        <f t="shared" si="362"/>
        <v>2250</v>
      </c>
      <c r="F1533" s="112">
        <f t="shared" si="356"/>
        <v>17000000</v>
      </c>
      <c r="G1533" s="2">
        <f t="shared" si="363"/>
        <v>855065</v>
      </c>
      <c r="H1533" s="113">
        <f t="shared" si="364"/>
        <v>9.9999999999999998E-13</v>
      </c>
      <c r="I1533" s="121">
        <f t="shared" si="357"/>
        <v>2212338</v>
      </c>
      <c r="K1533" s="123">
        <f t="shared" si="365"/>
        <v>3000000</v>
      </c>
      <c r="L1533" s="111">
        <f t="shared" si="366"/>
        <v>69653</v>
      </c>
      <c r="M1533" s="2">
        <f t="shared" si="367"/>
        <v>2250</v>
      </c>
      <c r="N1533" s="112">
        <f t="shared" si="358"/>
        <v>17000000</v>
      </c>
      <c r="O1533" s="2">
        <f t="shared" si="368"/>
        <v>855065</v>
      </c>
      <c r="P1533" s="113">
        <f t="shared" si="369"/>
        <v>9.9999999999999998E-13</v>
      </c>
      <c r="Q1533" s="121">
        <f t="shared" si="359"/>
        <v>2212338</v>
      </c>
    </row>
    <row r="1534" spans="2:17" hidden="1" x14ac:dyDescent="0.4">
      <c r="B1534" s="110">
        <v>45455</v>
      </c>
      <c r="C1534" s="122">
        <f t="shared" si="360"/>
        <v>3000000</v>
      </c>
      <c r="D1534" s="111">
        <f t="shared" si="361"/>
        <v>69653</v>
      </c>
      <c r="E1534" s="2">
        <f t="shared" si="362"/>
        <v>2250</v>
      </c>
      <c r="F1534" s="112">
        <f t="shared" si="356"/>
        <v>17000000</v>
      </c>
      <c r="G1534" s="2">
        <f t="shared" si="363"/>
        <v>855065</v>
      </c>
      <c r="H1534" s="113">
        <f t="shared" si="364"/>
        <v>9.9999999999999998E-13</v>
      </c>
      <c r="I1534" s="121">
        <f t="shared" si="357"/>
        <v>2212338</v>
      </c>
      <c r="K1534" s="123">
        <f t="shared" si="365"/>
        <v>3000000</v>
      </c>
      <c r="L1534" s="111">
        <f t="shared" si="366"/>
        <v>69653</v>
      </c>
      <c r="M1534" s="2">
        <f t="shared" si="367"/>
        <v>2250</v>
      </c>
      <c r="N1534" s="112">
        <f t="shared" si="358"/>
        <v>17000000</v>
      </c>
      <c r="O1534" s="2">
        <f t="shared" si="368"/>
        <v>855065</v>
      </c>
      <c r="P1534" s="113">
        <f t="shared" si="369"/>
        <v>9.9999999999999998E-13</v>
      </c>
      <c r="Q1534" s="121">
        <f t="shared" si="359"/>
        <v>2212338</v>
      </c>
    </row>
    <row r="1535" spans="2:17" hidden="1" x14ac:dyDescent="0.4">
      <c r="B1535" s="110">
        <v>45456</v>
      </c>
      <c r="C1535" s="122">
        <f t="shared" si="360"/>
        <v>3000000</v>
      </c>
      <c r="D1535" s="111">
        <f t="shared" si="361"/>
        <v>69653</v>
      </c>
      <c r="E1535" s="2">
        <f t="shared" si="362"/>
        <v>2250</v>
      </c>
      <c r="F1535" s="112">
        <f t="shared" si="356"/>
        <v>17000000</v>
      </c>
      <c r="G1535" s="2">
        <f t="shared" si="363"/>
        <v>855065</v>
      </c>
      <c r="H1535" s="113">
        <f t="shared" si="364"/>
        <v>9.9999999999999998E-13</v>
      </c>
      <c r="I1535" s="121">
        <f t="shared" si="357"/>
        <v>2212338</v>
      </c>
      <c r="K1535" s="123">
        <f t="shared" si="365"/>
        <v>3000000</v>
      </c>
      <c r="L1535" s="111">
        <f t="shared" si="366"/>
        <v>69653</v>
      </c>
      <c r="M1535" s="2">
        <f t="shared" si="367"/>
        <v>2250</v>
      </c>
      <c r="N1535" s="112">
        <f t="shared" si="358"/>
        <v>17000000</v>
      </c>
      <c r="O1535" s="2">
        <f t="shared" si="368"/>
        <v>855065</v>
      </c>
      <c r="P1535" s="113">
        <f t="shared" si="369"/>
        <v>9.9999999999999998E-13</v>
      </c>
      <c r="Q1535" s="121">
        <f t="shared" si="359"/>
        <v>2212338</v>
      </c>
    </row>
    <row r="1536" spans="2:17" hidden="1" x14ac:dyDescent="0.4">
      <c r="B1536" s="110">
        <v>45457</v>
      </c>
      <c r="C1536" s="122">
        <f t="shared" si="360"/>
        <v>3000000</v>
      </c>
      <c r="D1536" s="111">
        <f t="shared" si="361"/>
        <v>69653</v>
      </c>
      <c r="E1536" s="2">
        <f t="shared" si="362"/>
        <v>2250</v>
      </c>
      <c r="F1536" s="112">
        <f t="shared" si="356"/>
        <v>17000000</v>
      </c>
      <c r="G1536" s="2">
        <f t="shared" si="363"/>
        <v>855065</v>
      </c>
      <c r="H1536" s="113">
        <f t="shared" si="364"/>
        <v>9.9999999999999998E-13</v>
      </c>
      <c r="I1536" s="121">
        <f t="shared" si="357"/>
        <v>2212338</v>
      </c>
      <c r="K1536" s="123">
        <f t="shared" si="365"/>
        <v>3000000</v>
      </c>
      <c r="L1536" s="111">
        <f t="shared" si="366"/>
        <v>69653</v>
      </c>
      <c r="M1536" s="2">
        <f t="shared" si="367"/>
        <v>2250</v>
      </c>
      <c r="N1536" s="112">
        <f t="shared" si="358"/>
        <v>17000000</v>
      </c>
      <c r="O1536" s="2">
        <f t="shared" si="368"/>
        <v>855065</v>
      </c>
      <c r="P1536" s="113">
        <f t="shared" si="369"/>
        <v>9.9999999999999998E-13</v>
      </c>
      <c r="Q1536" s="121">
        <f t="shared" si="359"/>
        <v>2212338</v>
      </c>
    </row>
    <row r="1537" spans="2:17" hidden="1" x14ac:dyDescent="0.4">
      <c r="B1537" s="110">
        <v>45458</v>
      </c>
      <c r="C1537" s="122">
        <f t="shared" si="360"/>
        <v>3000000</v>
      </c>
      <c r="D1537" s="111">
        <f t="shared" si="361"/>
        <v>69653</v>
      </c>
      <c r="E1537" s="2">
        <f t="shared" si="362"/>
        <v>2250</v>
      </c>
      <c r="F1537" s="112">
        <f t="shared" si="356"/>
        <v>17000000</v>
      </c>
      <c r="G1537" s="2">
        <f t="shared" si="363"/>
        <v>855065</v>
      </c>
      <c r="H1537" s="113">
        <f t="shared" si="364"/>
        <v>9.9999999999999998E-13</v>
      </c>
      <c r="I1537" s="121">
        <f t="shared" si="357"/>
        <v>2212338</v>
      </c>
      <c r="K1537" s="123">
        <f t="shared" si="365"/>
        <v>3000000</v>
      </c>
      <c r="L1537" s="111">
        <f t="shared" si="366"/>
        <v>69653</v>
      </c>
      <c r="M1537" s="2">
        <f t="shared" si="367"/>
        <v>2250</v>
      </c>
      <c r="N1537" s="112">
        <f t="shared" si="358"/>
        <v>17000000</v>
      </c>
      <c r="O1537" s="2">
        <f t="shared" si="368"/>
        <v>855065</v>
      </c>
      <c r="P1537" s="113">
        <f t="shared" si="369"/>
        <v>9.9999999999999998E-13</v>
      </c>
      <c r="Q1537" s="121">
        <f t="shared" si="359"/>
        <v>2212338</v>
      </c>
    </row>
    <row r="1538" spans="2:17" hidden="1" x14ac:dyDescent="0.4">
      <c r="B1538" s="110">
        <v>45459</v>
      </c>
      <c r="C1538" s="122">
        <f t="shared" si="360"/>
        <v>3000000</v>
      </c>
      <c r="D1538" s="111">
        <f t="shared" si="361"/>
        <v>69653</v>
      </c>
      <c r="E1538" s="2">
        <f t="shared" si="362"/>
        <v>2250</v>
      </c>
      <c r="F1538" s="112">
        <f t="shared" si="356"/>
        <v>17000000</v>
      </c>
      <c r="G1538" s="2">
        <f t="shared" si="363"/>
        <v>855065</v>
      </c>
      <c r="H1538" s="113">
        <f t="shared" si="364"/>
        <v>9.9999999999999998E-13</v>
      </c>
      <c r="I1538" s="121">
        <f t="shared" si="357"/>
        <v>2212338</v>
      </c>
      <c r="K1538" s="123">
        <f t="shared" si="365"/>
        <v>3000000</v>
      </c>
      <c r="L1538" s="111">
        <f t="shared" si="366"/>
        <v>69653</v>
      </c>
      <c r="M1538" s="2">
        <f t="shared" si="367"/>
        <v>2250</v>
      </c>
      <c r="N1538" s="112">
        <f t="shared" si="358"/>
        <v>17000000</v>
      </c>
      <c r="O1538" s="2">
        <f t="shared" si="368"/>
        <v>855065</v>
      </c>
      <c r="P1538" s="113">
        <f t="shared" si="369"/>
        <v>9.9999999999999998E-13</v>
      </c>
      <c r="Q1538" s="121">
        <f t="shared" si="359"/>
        <v>2212338</v>
      </c>
    </row>
    <row r="1539" spans="2:17" hidden="1" x14ac:dyDescent="0.4">
      <c r="B1539" s="110">
        <v>45460</v>
      </c>
      <c r="C1539" s="122">
        <f t="shared" si="360"/>
        <v>3000000</v>
      </c>
      <c r="D1539" s="111">
        <f t="shared" si="361"/>
        <v>69653</v>
      </c>
      <c r="E1539" s="2">
        <f t="shared" si="362"/>
        <v>2250</v>
      </c>
      <c r="F1539" s="112">
        <f t="shared" si="356"/>
        <v>17000000</v>
      </c>
      <c r="G1539" s="2">
        <f t="shared" si="363"/>
        <v>855065</v>
      </c>
      <c r="H1539" s="113">
        <f t="shared" si="364"/>
        <v>9.9999999999999998E-13</v>
      </c>
      <c r="I1539" s="121">
        <f t="shared" si="357"/>
        <v>2212338</v>
      </c>
      <c r="K1539" s="123">
        <f t="shared" si="365"/>
        <v>3000000</v>
      </c>
      <c r="L1539" s="111">
        <f t="shared" si="366"/>
        <v>69653</v>
      </c>
      <c r="M1539" s="2">
        <f t="shared" si="367"/>
        <v>2250</v>
      </c>
      <c r="N1539" s="112">
        <f t="shared" si="358"/>
        <v>17000000</v>
      </c>
      <c r="O1539" s="2">
        <f t="shared" si="368"/>
        <v>855065</v>
      </c>
      <c r="P1539" s="113">
        <f t="shared" si="369"/>
        <v>9.9999999999999998E-13</v>
      </c>
      <c r="Q1539" s="121">
        <f t="shared" si="359"/>
        <v>2212338</v>
      </c>
    </row>
    <row r="1540" spans="2:17" hidden="1" x14ac:dyDescent="0.4">
      <c r="B1540" s="110">
        <v>45461</v>
      </c>
      <c r="C1540" s="122">
        <f t="shared" si="360"/>
        <v>3000000</v>
      </c>
      <c r="D1540" s="111">
        <f t="shared" si="361"/>
        <v>69653</v>
      </c>
      <c r="E1540" s="2">
        <f t="shared" si="362"/>
        <v>2250</v>
      </c>
      <c r="F1540" s="112">
        <f t="shared" si="356"/>
        <v>17000000</v>
      </c>
      <c r="G1540" s="2">
        <f t="shared" si="363"/>
        <v>855065</v>
      </c>
      <c r="H1540" s="113">
        <f t="shared" si="364"/>
        <v>9.9999999999999998E-13</v>
      </c>
      <c r="I1540" s="121">
        <f t="shared" si="357"/>
        <v>2212338</v>
      </c>
      <c r="K1540" s="123">
        <f t="shared" si="365"/>
        <v>3000000</v>
      </c>
      <c r="L1540" s="111">
        <f t="shared" si="366"/>
        <v>69653</v>
      </c>
      <c r="M1540" s="2">
        <f t="shared" si="367"/>
        <v>2250</v>
      </c>
      <c r="N1540" s="112">
        <f t="shared" si="358"/>
        <v>17000000</v>
      </c>
      <c r="O1540" s="2">
        <f t="shared" si="368"/>
        <v>855065</v>
      </c>
      <c r="P1540" s="113">
        <f t="shared" si="369"/>
        <v>9.9999999999999998E-13</v>
      </c>
      <c r="Q1540" s="121">
        <f t="shared" si="359"/>
        <v>2212338</v>
      </c>
    </row>
    <row r="1541" spans="2:17" hidden="1" x14ac:dyDescent="0.4">
      <c r="B1541" s="110">
        <v>45462</v>
      </c>
      <c r="C1541" s="122">
        <f t="shared" si="360"/>
        <v>3000000</v>
      </c>
      <c r="D1541" s="111">
        <f t="shared" si="361"/>
        <v>69653</v>
      </c>
      <c r="E1541" s="2">
        <f t="shared" si="362"/>
        <v>2250</v>
      </c>
      <c r="F1541" s="112">
        <f t="shared" si="356"/>
        <v>17000000</v>
      </c>
      <c r="G1541" s="2">
        <f t="shared" si="363"/>
        <v>855065</v>
      </c>
      <c r="H1541" s="113">
        <f t="shared" si="364"/>
        <v>9.9999999999999998E-13</v>
      </c>
      <c r="I1541" s="121">
        <f t="shared" si="357"/>
        <v>2212338</v>
      </c>
      <c r="K1541" s="123">
        <f t="shared" si="365"/>
        <v>3000000</v>
      </c>
      <c r="L1541" s="111">
        <f t="shared" si="366"/>
        <v>69653</v>
      </c>
      <c r="M1541" s="2">
        <f t="shared" si="367"/>
        <v>2250</v>
      </c>
      <c r="N1541" s="112">
        <f t="shared" si="358"/>
        <v>17000000</v>
      </c>
      <c r="O1541" s="2">
        <f t="shared" si="368"/>
        <v>855065</v>
      </c>
      <c r="P1541" s="113">
        <f t="shared" si="369"/>
        <v>9.9999999999999998E-13</v>
      </c>
      <c r="Q1541" s="121">
        <f t="shared" si="359"/>
        <v>2212338</v>
      </c>
    </row>
    <row r="1542" spans="2:17" hidden="1" x14ac:dyDescent="0.4">
      <c r="B1542" s="110">
        <v>45463</v>
      </c>
      <c r="C1542" s="122">
        <f t="shared" si="360"/>
        <v>3000000</v>
      </c>
      <c r="D1542" s="111">
        <f t="shared" si="361"/>
        <v>69653</v>
      </c>
      <c r="E1542" s="2">
        <f t="shared" si="362"/>
        <v>2250</v>
      </c>
      <c r="F1542" s="112">
        <f t="shared" si="356"/>
        <v>17000000</v>
      </c>
      <c r="G1542" s="2">
        <f t="shared" si="363"/>
        <v>855065</v>
      </c>
      <c r="H1542" s="113">
        <f t="shared" si="364"/>
        <v>9.9999999999999998E-13</v>
      </c>
      <c r="I1542" s="121">
        <f t="shared" si="357"/>
        <v>2212338</v>
      </c>
      <c r="K1542" s="123">
        <f t="shared" si="365"/>
        <v>3000000</v>
      </c>
      <c r="L1542" s="111">
        <f t="shared" si="366"/>
        <v>69653</v>
      </c>
      <c r="M1542" s="2">
        <f t="shared" si="367"/>
        <v>2250</v>
      </c>
      <c r="N1542" s="112">
        <f t="shared" si="358"/>
        <v>17000000</v>
      </c>
      <c r="O1542" s="2">
        <f t="shared" si="368"/>
        <v>855065</v>
      </c>
      <c r="P1542" s="113">
        <f t="shared" si="369"/>
        <v>9.9999999999999998E-13</v>
      </c>
      <c r="Q1542" s="121">
        <f t="shared" si="359"/>
        <v>2212338</v>
      </c>
    </row>
    <row r="1543" spans="2:17" hidden="1" x14ac:dyDescent="0.4">
      <c r="B1543" s="110">
        <v>45464</v>
      </c>
      <c r="C1543" s="122">
        <f t="shared" si="360"/>
        <v>3000000</v>
      </c>
      <c r="D1543" s="111">
        <f t="shared" si="361"/>
        <v>69653</v>
      </c>
      <c r="E1543" s="2">
        <f t="shared" si="362"/>
        <v>2250</v>
      </c>
      <c r="F1543" s="112">
        <f t="shared" si="356"/>
        <v>17000000</v>
      </c>
      <c r="G1543" s="2">
        <f t="shared" si="363"/>
        <v>855065</v>
      </c>
      <c r="H1543" s="113">
        <f t="shared" si="364"/>
        <v>9.9999999999999998E-13</v>
      </c>
      <c r="I1543" s="121">
        <f t="shared" si="357"/>
        <v>2212338</v>
      </c>
      <c r="K1543" s="123">
        <f t="shared" si="365"/>
        <v>3000000</v>
      </c>
      <c r="L1543" s="111">
        <f t="shared" si="366"/>
        <v>69653</v>
      </c>
      <c r="M1543" s="2">
        <f t="shared" si="367"/>
        <v>2250</v>
      </c>
      <c r="N1543" s="112">
        <f t="shared" si="358"/>
        <v>17000000</v>
      </c>
      <c r="O1543" s="2">
        <f t="shared" si="368"/>
        <v>855065</v>
      </c>
      <c r="P1543" s="113">
        <f t="shared" si="369"/>
        <v>9.9999999999999998E-13</v>
      </c>
      <c r="Q1543" s="121">
        <f t="shared" si="359"/>
        <v>2212338</v>
      </c>
    </row>
    <row r="1544" spans="2:17" hidden="1" x14ac:dyDescent="0.4">
      <c r="B1544" s="110">
        <v>45465</v>
      </c>
      <c r="C1544" s="122">
        <f t="shared" si="360"/>
        <v>3000000</v>
      </c>
      <c r="D1544" s="111">
        <f t="shared" si="361"/>
        <v>69653</v>
      </c>
      <c r="E1544" s="2">
        <f t="shared" si="362"/>
        <v>2250</v>
      </c>
      <c r="F1544" s="112">
        <f t="shared" si="356"/>
        <v>17000000</v>
      </c>
      <c r="G1544" s="2">
        <f t="shared" si="363"/>
        <v>855065</v>
      </c>
      <c r="H1544" s="113">
        <f t="shared" si="364"/>
        <v>9.9999999999999998E-13</v>
      </c>
      <c r="I1544" s="121">
        <f t="shared" si="357"/>
        <v>2212338</v>
      </c>
      <c r="K1544" s="123">
        <f t="shared" si="365"/>
        <v>3000000</v>
      </c>
      <c r="L1544" s="111">
        <f t="shared" si="366"/>
        <v>69653</v>
      </c>
      <c r="M1544" s="2">
        <f t="shared" si="367"/>
        <v>2250</v>
      </c>
      <c r="N1544" s="112">
        <f t="shared" si="358"/>
        <v>17000000</v>
      </c>
      <c r="O1544" s="2">
        <f t="shared" si="368"/>
        <v>855065</v>
      </c>
      <c r="P1544" s="113">
        <f t="shared" si="369"/>
        <v>9.9999999999999998E-13</v>
      </c>
      <c r="Q1544" s="121">
        <f t="shared" si="359"/>
        <v>2212338</v>
      </c>
    </row>
    <row r="1545" spans="2:17" hidden="1" x14ac:dyDescent="0.4">
      <c r="B1545" s="110">
        <v>45466</v>
      </c>
      <c r="C1545" s="122">
        <f t="shared" si="360"/>
        <v>3000000</v>
      </c>
      <c r="D1545" s="111">
        <f t="shared" si="361"/>
        <v>69653</v>
      </c>
      <c r="E1545" s="2">
        <f t="shared" si="362"/>
        <v>2250</v>
      </c>
      <c r="F1545" s="112">
        <f t="shared" si="356"/>
        <v>17000000</v>
      </c>
      <c r="G1545" s="2">
        <f t="shared" si="363"/>
        <v>855065</v>
      </c>
      <c r="H1545" s="113">
        <f t="shared" si="364"/>
        <v>9.9999999999999998E-13</v>
      </c>
      <c r="I1545" s="121">
        <f t="shared" si="357"/>
        <v>2212338</v>
      </c>
      <c r="K1545" s="123">
        <f t="shared" si="365"/>
        <v>3000000</v>
      </c>
      <c r="L1545" s="111">
        <f t="shared" si="366"/>
        <v>69653</v>
      </c>
      <c r="M1545" s="2">
        <f t="shared" si="367"/>
        <v>2250</v>
      </c>
      <c r="N1545" s="112">
        <f t="shared" si="358"/>
        <v>17000000</v>
      </c>
      <c r="O1545" s="2">
        <f t="shared" si="368"/>
        <v>855065</v>
      </c>
      <c r="P1545" s="113">
        <f t="shared" si="369"/>
        <v>9.9999999999999998E-13</v>
      </c>
      <c r="Q1545" s="121">
        <f t="shared" si="359"/>
        <v>2212338</v>
      </c>
    </row>
    <row r="1546" spans="2:17" hidden="1" x14ac:dyDescent="0.4">
      <c r="B1546" s="110">
        <v>45467</v>
      </c>
      <c r="C1546" s="122">
        <f t="shared" si="360"/>
        <v>3000000</v>
      </c>
      <c r="D1546" s="111">
        <f t="shared" si="361"/>
        <v>69653</v>
      </c>
      <c r="E1546" s="2">
        <f t="shared" si="362"/>
        <v>2250</v>
      </c>
      <c r="F1546" s="112">
        <f t="shared" ref="F1546:F1609" si="370">20000000-C1546</f>
        <v>17000000</v>
      </c>
      <c r="G1546" s="2">
        <f t="shared" si="363"/>
        <v>855065</v>
      </c>
      <c r="H1546" s="113">
        <f t="shared" si="364"/>
        <v>9.9999999999999998E-13</v>
      </c>
      <c r="I1546" s="121">
        <f t="shared" ref="I1546:I1609" si="371">C1546+D1546-G1546-E1546+H1546</f>
        <v>2212338</v>
      </c>
      <c r="K1546" s="123">
        <f t="shared" si="365"/>
        <v>3000000</v>
      </c>
      <c r="L1546" s="111">
        <f t="shared" si="366"/>
        <v>69653</v>
      </c>
      <c r="M1546" s="2">
        <f t="shared" si="367"/>
        <v>2250</v>
      </c>
      <c r="N1546" s="112">
        <f t="shared" ref="N1546:N1609" si="372">20000000-K1546</f>
        <v>17000000</v>
      </c>
      <c r="O1546" s="2">
        <f t="shared" si="368"/>
        <v>855065</v>
      </c>
      <c r="P1546" s="113">
        <f t="shared" si="369"/>
        <v>9.9999999999999998E-13</v>
      </c>
      <c r="Q1546" s="121">
        <f t="shared" ref="Q1546:Q1609" si="373">K1546+L1546-O1546-M1546+P1546</f>
        <v>2212338</v>
      </c>
    </row>
    <row r="1547" spans="2:17" hidden="1" x14ac:dyDescent="0.4">
      <c r="B1547" s="110">
        <v>45468</v>
      </c>
      <c r="C1547" s="122">
        <f t="shared" ref="C1547:C1610" si="374">SUMIF($B$6:$B$75,$B1547,$D$6:$D$75)+C1546</f>
        <v>3000000</v>
      </c>
      <c r="D1547" s="111">
        <f t="shared" ref="D1547:D1610" si="375">SUMIF($B$6:$B$75,$B1547,$E$6:$E$75)+D1546</f>
        <v>69653</v>
      </c>
      <c r="E1547" s="2">
        <f t="shared" ref="E1547:E1610" si="376">SUMIF($G$353:$G$376,$B1547,$J$353:$J$376)+SUMIF($E$353:$E$376,$B1547,$H$353:$H$376)+SUMIF($G$353:$G$376,$B1547,$I$353:$I$376)+E1546</f>
        <v>2250</v>
      </c>
      <c r="F1547" s="112">
        <f t="shared" si="370"/>
        <v>17000000</v>
      </c>
      <c r="G1547" s="2">
        <f t="shared" ref="G1547:G1610" si="377">SUMIF($E$353:$E$376,$B1547,$M$353:$M$376)+G1546</f>
        <v>855065</v>
      </c>
      <c r="H1547" s="113">
        <f t="shared" ref="H1547:H1610" si="378">SUMIF($G$353:$G$376,$B1547,$N$353:$N$376)+H1546</f>
        <v>9.9999999999999998E-13</v>
      </c>
      <c r="I1547" s="121">
        <f t="shared" si="371"/>
        <v>2212338</v>
      </c>
      <c r="K1547" s="123">
        <f t="shared" ref="K1547:K1610" si="379">SUMIF($B$6:$B$75,$B1547,$D$6:$D$75)+K1546</f>
        <v>3000000</v>
      </c>
      <c r="L1547" s="111">
        <f t="shared" ref="L1547:L1610" si="380">SUMIF($B$6:$B$75,$B1547,$E$6:$E$75)+L1546</f>
        <v>69653</v>
      </c>
      <c r="M1547" s="2">
        <f t="shared" ref="M1547:M1610" si="381">SUMIF($G$353:$G$376,$B1547,$J$353:$J$376)+SUMIF($E$353:$E$376,$B1547,$H$353:$H$376)+SUMIF($G$353:$G$376,$B1547,$I$353:$I$376)+M1546</f>
        <v>2250</v>
      </c>
      <c r="N1547" s="112">
        <f t="shared" si="372"/>
        <v>17000000</v>
      </c>
      <c r="O1547" s="2">
        <f t="shared" ref="O1547:O1610" si="382">SUMIF($E$353:$E$376,$B1547,$M$353:$M$376)+O1546</f>
        <v>855065</v>
      </c>
      <c r="P1547" s="113">
        <f t="shared" ref="P1547:P1610" si="383">SUMIF($G$353:$G$376,$B1547,$N$353:$N$376)+P1546</f>
        <v>9.9999999999999998E-13</v>
      </c>
      <c r="Q1547" s="121">
        <f t="shared" si="373"/>
        <v>2212338</v>
      </c>
    </row>
    <row r="1548" spans="2:17" hidden="1" x14ac:dyDescent="0.4">
      <c r="B1548" s="110">
        <v>45469</v>
      </c>
      <c r="C1548" s="122">
        <f t="shared" si="374"/>
        <v>3000000</v>
      </c>
      <c r="D1548" s="111">
        <f t="shared" si="375"/>
        <v>69653</v>
      </c>
      <c r="E1548" s="2">
        <f t="shared" si="376"/>
        <v>2250</v>
      </c>
      <c r="F1548" s="112">
        <f t="shared" si="370"/>
        <v>17000000</v>
      </c>
      <c r="G1548" s="2">
        <f t="shared" si="377"/>
        <v>855065</v>
      </c>
      <c r="H1548" s="113">
        <f t="shared" si="378"/>
        <v>9.9999999999999998E-13</v>
      </c>
      <c r="I1548" s="121">
        <f t="shared" si="371"/>
        <v>2212338</v>
      </c>
      <c r="K1548" s="123">
        <f t="shared" si="379"/>
        <v>3000000</v>
      </c>
      <c r="L1548" s="111">
        <f t="shared" si="380"/>
        <v>69653</v>
      </c>
      <c r="M1548" s="2">
        <f t="shared" si="381"/>
        <v>2250</v>
      </c>
      <c r="N1548" s="112">
        <f t="shared" si="372"/>
        <v>17000000</v>
      </c>
      <c r="O1548" s="2">
        <f t="shared" si="382"/>
        <v>855065</v>
      </c>
      <c r="P1548" s="113">
        <f t="shared" si="383"/>
        <v>9.9999999999999998E-13</v>
      </c>
      <c r="Q1548" s="121">
        <f t="shared" si="373"/>
        <v>2212338</v>
      </c>
    </row>
    <row r="1549" spans="2:17" hidden="1" x14ac:dyDescent="0.4">
      <c r="B1549" s="110">
        <v>45470</v>
      </c>
      <c r="C1549" s="122">
        <f t="shared" si="374"/>
        <v>3000000</v>
      </c>
      <c r="D1549" s="111">
        <f t="shared" si="375"/>
        <v>69653</v>
      </c>
      <c r="E1549" s="2">
        <f t="shared" si="376"/>
        <v>2250</v>
      </c>
      <c r="F1549" s="112">
        <f t="shared" si="370"/>
        <v>17000000</v>
      </c>
      <c r="G1549" s="2">
        <f t="shared" si="377"/>
        <v>855065</v>
      </c>
      <c r="H1549" s="113">
        <f t="shared" si="378"/>
        <v>9.9999999999999998E-13</v>
      </c>
      <c r="I1549" s="121">
        <f t="shared" si="371"/>
        <v>2212338</v>
      </c>
      <c r="K1549" s="123">
        <f t="shared" si="379"/>
        <v>3000000</v>
      </c>
      <c r="L1549" s="111">
        <f t="shared" si="380"/>
        <v>69653</v>
      </c>
      <c r="M1549" s="2">
        <f t="shared" si="381"/>
        <v>2250</v>
      </c>
      <c r="N1549" s="112">
        <f t="shared" si="372"/>
        <v>17000000</v>
      </c>
      <c r="O1549" s="2">
        <f t="shared" si="382"/>
        <v>855065</v>
      </c>
      <c r="P1549" s="113">
        <f t="shared" si="383"/>
        <v>9.9999999999999998E-13</v>
      </c>
      <c r="Q1549" s="121">
        <f t="shared" si="373"/>
        <v>2212338</v>
      </c>
    </row>
    <row r="1550" spans="2:17" hidden="1" x14ac:dyDescent="0.4">
      <c r="B1550" s="110">
        <v>45471</v>
      </c>
      <c r="C1550" s="122">
        <f t="shared" si="374"/>
        <v>3000000</v>
      </c>
      <c r="D1550" s="111">
        <f t="shared" si="375"/>
        <v>69653</v>
      </c>
      <c r="E1550" s="2">
        <f t="shared" si="376"/>
        <v>2250</v>
      </c>
      <c r="F1550" s="112">
        <f t="shared" si="370"/>
        <v>17000000</v>
      </c>
      <c r="G1550" s="2">
        <f t="shared" si="377"/>
        <v>855065</v>
      </c>
      <c r="H1550" s="113">
        <f t="shared" si="378"/>
        <v>9.9999999999999998E-13</v>
      </c>
      <c r="I1550" s="121">
        <f t="shared" si="371"/>
        <v>2212338</v>
      </c>
      <c r="K1550" s="123">
        <f t="shared" si="379"/>
        <v>3000000</v>
      </c>
      <c r="L1550" s="111">
        <f t="shared" si="380"/>
        <v>69653</v>
      </c>
      <c r="M1550" s="2">
        <f t="shared" si="381"/>
        <v>2250</v>
      </c>
      <c r="N1550" s="112">
        <f t="shared" si="372"/>
        <v>17000000</v>
      </c>
      <c r="O1550" s="2">
        <f t="shared" si="382"/>
        <v>855065</v>
      </c>
      <c r="P1550" s="113">
        <f t="shared" si="383"/>
        <v>9.9999999999999998E-13</v>
      </c>
      <c r="Q1550" s="121">
        <f t="shared" si="373"/>
        <v>2212338</v>
      </c>
    </row>
    <row r="1551" spans="2:17" hidden="1" x14ac:dyDescent="0.4">
      <c r="B1551" s="110">
        <v>45472</v>
      </c>
      <c r="C1551" s="122">
        <f t="shared" si="374"/>
        <v>3000000</v>
      </c>
      <c r="D1551" s="111">
        <f t="shared" si="375"/>
        <v>69653</v>
      </c>
      <c r="E1551" s="2">
        <f t="shared" si="376"/>
        <v>2250</v>
      </c>
      <c r="F1551" s="112">
        <f t="shared" si="370"/>
        <v>17000000</v>
      </c>
      <c r="G1551" s="2">
        <f t="shared" si="377"/>
        <v>855065</v>
      </c>
      <c r="H1551" s="113">
        <f t="shared" si="378"/>
        <v>9.9999999999999998E-13</v>
      </c>
      <c r="I1551" s="121">
        <f t="shared" si="371"/>
        <v>2212338</v>
      </c>
      <c r="K1551" s="123">
        <f t="shared" si="379"/>
        <v>3000000</v>
      </c>
      <c r="L1551" s="111">
        <f t="shared" si="380"/>
        <v>69653</v>
      </c>
      <c r="M1551" s="2">
        <f t="shared" si="381"/>
        <v>2250</v>
      </c>
      <c r="N1551" s="112">
        <f t="shared" si="372"/>
        <v>17000000</v>
      </c>
      <c r="O1551" s="2">
        <f t="shared" si="382"/>
        <v>855065</v>
      </c>
      <c r="P1551" s="113">
        <f t="shared" si="383"/>
        <v>9.9999999999999998E-13</v>
      </c>
      <c r="Q1551" s="121">
        <f t="shared" si="373"/>
        <v>2212338</v>
      </c>
    </row>
    <row r="1552" spans="2:17" hidden="1" x14ac:dyDescent="0.4">
      <c r="B1552" s="110">
        <v>45473</v>
      </c>
      <c r="C1552" s="122">
        <f t="shared" si="374"/>
        <v>3000000</v>
      </c>
      <c r="D1552" s="111">
        <f t="shared" si="375"/>
        <v>69653</v>
      </c>
      <c r="E1552" s="2">
        <f t="shared" si="376"/>
        <v>2250</v>
      </c>
      <c r="F1552" s="112">
        <f t="shared" si="370"/>
        <v>17000000</v>
      </c>
      <c r="G1552" s="2">
        <f t="shared" si="377"/>
        <v>855065</v>
      </c>
      <c r="H1552" s="113">
        <f t="shared" si="378"/>
        <v>9.9999999999999998E-13</v>
      </c>
      <c r="I1552" s="121">
        <f t="shared" si="371"/>
        <v>2212338</v>
      </c>
      <c r="K1552" s="123">
        <f t="shared" si="379"/>
        <v>3000000</v>
      </c>
      <c r="L1552" s="111">
        <f t="shared" si="380"/>
        <v>69653</v>
      </c>
      <c r="M1552" s="2">
        <f t="shared" si="381"/>
        <v>2250</v>
      </c>
      <c r="N1552" s="112">
        <f t="shared" si="372"/>
        <v>17000000</v>
      </c>
      <c r="O1552" s="2">
        <f t="shared" si="382"/>
        <v>855065</v>
      </c>
      <c r="P1552" s="113">
        <f t="shared" si="383"/>
        <v>9.9999999999999998E-13</v>
      </c>
      <c r="Q1552" s="121">
        <f t="shared" si="373"/>
        <v>2212338</v>
      </c>
    </row>
    <row r="1553" spans="2:17" x14ac:dyDescent="0.4">
      <c r="B1553" s="110">
        <v>45474</v>
      </c>
      <c r="C1553" s="122">
        <f t="shared" si="374"/>
        <v>3000000</v>
      </c>
      <c r="D1553" s="111">
        <f t="shared" si="375"/>
        <v>69653</v>
      </c>
      <c r="E1553" s="2">
        <f t="shared" si="376"/>
        <v>2250</v>
      </c>
      <c r="F1553" s="112">
        <f t="shared" si="370"/>
        <v>17000000</v>
      </c>
      <c r="G1553" s="2">
        <f t="shared" si="377"/>
        <v>855065</v>
      </c>
      <c r="H1553" s="113">
        <f t="shared" si="378"/>
        <v>9.9999999999999998E-13</v>
      </c>
      <c r="I1553" s="121">
        <f t="shared" si="371"/>
        <v>2212338</v>
      </c>
      <c r="K1553" s="123">
        <f t="shared" si="379"/>
        <v>3000000</v>
      </c>
      <c r="L1553" s="111">
        <f t="shared" si="380"/>
        <v>69653</v>
      </c>
      <c r="M1553" s="2">
        <f t="shared" si="381"/>
        <v>2250</v>
      </c>
      <c r="N1553" s="112">
        <f t="shared" si="372"/>
        <v>17000000</v>
      </c>
      <c r="O1553" s="2">
        <f t="shared" si="382"/>
        <v>855065</v>
      </c>
      <c r="P1553" s="113">
        <f t="shared" si="383"/>
        <v>9.9999999999999998E-13</v>
      </c>
      <c r="Q1553" s="121">
        <f t="shared" si="373"/>
        <v>2212338</v>
      </c>
    </row>
    <row r="1554" spans="2:17" hidden="1" x14ac:dyDescent="0.4">
      <c r="B1554" s="110">
        <v>45475</v>
      </c>
      <c r="C1554" s="122">
        <f t="shared" si="374"/>
        <v>3000000</v>
      </c>
      <c r="D1554" s="111">
        <f t="shared" si="375"/>
        <v>69653</v>
      </c>
      <c r="E1554" s="2">
        <f t="shared" si="376"/>
        <v>2250</v>
      </c>
      <c r="F1554" s="112">
        <f t="shared" si="370"/>
        <v>17000000</v>
      </c>
      <c r="G1554" s="2">
        <f t="shared" si="377"/>
        <v>855065</v>
      </c>
      <c r="H1554" s="113">
        <f t="shared" si="378"/>
        <v>9.9999999999999998E-13</v>
      </c>
      <c r="I1554" s="121">
        <f t="shared" si="371"/>
        <v>2212338</v>
      </c>
      <c r="K1554" s="123">
        <f t="shared" si="379"/>
        <v>3000000</v>
      </c>
      <c r="L1554" s="111">
        <f t="shared" si="380"/>
        <v>69653</v>
      </c>
      <c r="M1554" s="2">
        <f t="shared" si="381"/>
        <v>2250</v>
      </c>
      <c r="N1554" s="112">
        <f t="shared" si="372"/>
        <v>17000000</v>
      </c>
      <c r="O1554" s="2">
        <f t="shared" si="382"/>
        <v>855065</v>
      </c>
      <c r="P1554" s="113">
        <f t="shared" si="383"/>
        <v>9.9999999999999998E-13</v>
      </c>
      <c r="Q1554" s="121">
        <f t="shared" si="373"/>
        <v>2212338</v>
      </c>
    </row>
    <row r="1555" spans="2:17" hidden="1" x14ac:dyDescent="0.4">
      <c r="B1555" s="110">
        <v>45476</v>
      </c>
      <c r="C1555" s="122">
        <f t="shared" si="374"/>
        <v>3000000</v>
      </c>
      <c r="D1555" s="111">
        <f t="shared" si="375"/>
        <v>69653</v>
      </c>
      <c r="E1555" s="2">
        <f t="shared" si="376"/>
        <v>2250</v>
      </c>
      <c r="F1555" s="112">
        <f t="shared" si="370"/>
        <v>17000000</v>
      </c>
      <c r="G1555" s="2">
        <f t="shared" si="377"/>
        <v>855065</v>
      </c>
      <c r="H1555" s="113">
        <f t="shared" si="378"/>
        <v>9.9999999999999998E-13</v>
      </c>
      <c r="I1555" s="121">
        <f t="shared" si="371"/>
        <v>2212338</v>
      </c>
      <c r="K1555" s="123">
        <f t="shared" si="379"/>
        <v>3000000</v>
      </c>
      <c r="L1555" s="111">
        <f t="shared" si="380"/>
        <v>69653</v>
      </c>
      <c r="M1555" s="2">
        <f t="shared" si="381"/>
        <v>2250</v>
      </c>
      <c r="N1555" s="112">
        <f t="shared" si="372"/>
        <v>17000000</v>
      </c>
      <c r="O1555" s="2">
        <f t="shared" si="382"/>
        <v>855065</v>
      </c>
      <c r="P1555" s="113">
        <f t="shared" si="383"/>
        <v>9.9999999999999998E-13</v>
      </c>
      <c r="Q1555" s="121">
        <f t="shared" si="373"/>
        <v>2212338</v>
      </c>
    </row>
    <row r="1556" spans="2:17" hidden="1" x14ac:dyDescent="0.4">
      <c r="B1556" s="110">
        <v>45477</v>
      </c>
      <c r="C1556" s="122">
        <f t="shared" si="374"/>
        <v>3000000</v>
      </c>
      <c r="D1556" s="111">
        <f t="shared" si="375"/>
        <v>69653</v>
      </c>
      <c r="E1556" s="2">
        <f t="shared" si="376"/>
        <v>2250</v>
      </c>
      <c r="F1556" s="112">
        <f t="shared" si="370"/>
        <v>17000000</v>
      </c>
      <c r="G1556" s="2">
        <f t="shared" si="377"/>
        <v>855065</v>
      </c>
      <c r="H1556" s="113">
        <f t="shared" si="378"/>
        <v>9.9999999999999998E-13</v>
      </c>
      <c r="I1556" s="121">
        <f t="shared" si="371"/>
        <v>2212338</v>
      </c>
      <c r="K1556" s="123">
        <f t="shared" si="379"/>
        <v>3000000</v>
      </c>
      <c r="L1556" s="111">
        <f t="shared" si="380"/>
        <v>69653</v>
      </c>
      <c r="M1556" s="2">
        <f t="shared" si="381"/>
        <v>2250</v>
      </c>
      <c r="N1556" s="112">
        <f t="shared" si="372"/>
        <v>17000000</v>
      </c>
      <c r="O1556" s="2">
        <f t="shared" si="382"/>
        <v>855065</v>
      </c>
      <c r="P1556" s="113">
        <f t="shared" si="383"/>
        <v>9.9999999999999998E-13</v>
      </c>
      <c r="Q1556" s="121">
        <f t="shared" si="373"/>
        <v>2212338</v>
      </c>
    </row>
    <row r="1557" spans="2:17" hidden="1" x14ac:dyDescent="0.4">
      <c r="B1557" s="110">
        <v>45478</v>
      </c>
      <c r="C1557" s="122">
        <f t="shared" si="374"/>
        <v>3000000</v>
      </c>
      <c r="D1557" s="111">
        <f t="shared" si="375"/>
        <v>69653</v>
      </c>
      <c r="E1557" s="2">
        <f t="shared" si="376"/>
        <v>2250</v>
      </c>
      <c r="F1557" s="112">
        <f t="shared" si="370"/>
        <v>17000000</v>
      </c>
      <c r="G1557" s="2">
        <f t="shared" si="377"/>
        <v>855065</v>
      </c>
      <c r="H1557" s="113">
        <f t="shared" si="378"/>
        <v>9.9999999999999998E-13</v>
      </c>
      <c r="I1557" s="121">
        <f t="shared" si="371"/>
        <v>2212338</v>
      </c>
      <c r="K1557" s="123">
        <f t="shared" si="379"/>
        <v>3000000</v>
      </c>
      <c r="L1557" s="111">
        <f t="shared" si="380"/>
        <v>69653</v>
      </c>
      <c r="M1557" s="2">
        <f t="shared" si="381"/>
        <v>2250</v>
      </c>
      <c r="N1557" s="112">
        <f t="shared" si="372"/>
        <v>17000000</v>
      </c>
      <c r="O1557" s="2">
        <f t="shared" si="382"/>
        <v>855065</v>
      </c>
      <c r="P1557" s="113">
        <f t="shared" si="383"/>
        <v>9.9999999999999998E-13</v>
      </c>
      <c r="Q1557" s="121">
        <f t="shared" si="373"/>
        <v>2212338</v>
      </c>
    </row>
    <row r="1558" spans="2:17" hidden="1" x14ac:dyDescent="0.4">
      <c r="B1558" s="110">
        <v>45479</v>
      </c>
      <c r="C1558" s="122">
        <f t="shared" si="374"/>
        <v>3000000</v>
      </c>
      <c r="D1558" s="111">
        <f t="shared" si="375"/>
        <v>69653</v>
      </c>
      <c r="E1558" s="2">
        <f t="shared" si="376"/>
        <v>2250</v>
      </c>
      <c r="F1558" s="112">
        <f t="shared" si="370"/>
        <v>17000000</v>
      </c>
      <c r="G1558" s="2">
        <f t="shared" si="377"/>
        <v>855065</v>
      </c>
      <c r="H1558" s="113">
        <f t="shared" si="378"/>
        <v>9.9999999999999998E-13</v>
      </c>
      <c r="I1558" s="121">
        <f t="shared" si="371"/>
        <v>2212338</v>
      </c>
      <c r="K1558" s="123">
        <f t="shared" si="379"/>
        <v>3000000</v>
      </c>
      <c r="L1558" s="111">
        <f t="shared" si="380"/>
        <v>69653</v>
      </c>
      <c r="M1558" s="2">
        <f t="shared" si="381"/>
        <v>2250</v>
      </c>
      <c r="N1558" s="112">
        <f t="shared" si="372"/>
        <v>17000000</v>
      </c>
      <c r="O1558" s="2">
        <f t="shared" si="382"/>
        <v>855065</v>
      </c>
      <c r="P1558" s="113">
        <f t="shared" si="383"/>
        <v>9.9999999999999998E-13</v>
      </c>
      <c r="Q1558" s="121">
        <f t="shared" si="373"/>
        <v>2212338</v>
      </c>
    </row>
    <row r="1559" spans="2:17" hidden="1" x14ac:dyDescent="0.4">
      <c r="B1559" s="110">
        <v>45480</v>
      </c>
      <c r="C1559" s="122">
        <f t="shared" si="374"/>
        <v>3000000</v>
      </c>
      <c r="D1559" s="111">
        <f t="shared" si="375"/>
        <v>69653</v>
      </c>
      <c r="E1559" s="2">
        <f t="shared" si="376"/>
        <v>2250</v>
      </c>
      <c r="F1559" s="112">
        <f t="shared" si="370"/>
        <v>17000000</v>
      </c>
      <c r="G1559" s="2">
        <f t="shared" si="377"/>
        <v>855065</v>
      </c>
      <c r="H1559" s="113">
        <f t="shared" si="378"/>
        <v>9.9999999999999998E-13</v>
      </c>
      <c r="I1559" s="121">
        <f t="shared" si="371"/>
        <v>2212338</v>
      </c>
      <c r="K1559" s="123">
        <f t="shared" si="379"/>
        <v>3000000</v>
      </c>
      <c r="L1559" s="111">
        <f t="shared" si="380"/>
        <v>69653</v>
      </c>
      <c r="M1559" s="2">
        <f t="shared" si="381"/>
        <v>2250</v>
      </c>
      <c r="N1559" s="112">
        <f t="shared" si="372"/>
        <v>17000000</v>
      </c>
      <c r="O1559" s="2">
        <f t="shared" si="382"/>
        <v>855065</v>
      </c>
      <c r="P1559" s="113">
        <f t="shared" si="383"/>
        <v>9.9999999999999998E-13</v>
      </c>
      <c r="Q1559" s="121">
        <f t="shared" si="373"/>
        <v>2212338</v>
      </c>
    </row>
    <row r="1560" spans="2:17" hidden="1" x14ac:dyDescent="0.4">
      <c r="B1560" s="110">
        <v>45481</v>
      </c>
      <c r="C1560" s="122">
        <f t="shared" si="374"/>
        <v>3000000</v>
      </c>
      <c r="D1560" s="111">
        <f t="shared" si="375"/>
        <v>69653</v>
      </c>
      <c r="E1560" s="2">
        <f t="shared" si="376"/>
        <v>2250</v>
      </c>
      <c r="F1560" s="112">
        <f t="shared" si="370"/>
        <v>17000000</v>
      </c>
      <c r="G1560" s="2">
        <f t="shared" si="377"/>
        <v>855065</v>
      </c>
      <c r="H1560" s="113">
        <f t="shared" si="378"/>
        <v>9.9999999999999998E-13</v>
      </c>
      <c r="I1560" s="121">
        <f t="shared" si="371"/>
        <v>2212338</v>
      </c>
      <c r="K1560" s="123">
        <f t="shared" si="379"/>
        <v>3000000</v>
      </c>
      <c r="L1560" s="111">
        <f t="shared" si="380"/>
        <v>69653</v>
      </c>
      <c r="M1560" s="2">
        <f t="shared" si="381"/>
        <v>2250</v>
      </c>
      <c r="N1560" s="112">
        <f t="shared" si="372"/>
        <v>17000000</v>
      </c>
      <c r="O1560" s="2">
        <f t="shared" si="382"/>
        <v>855065</v>
      </c>
      <c r="P1560" s="113">
        <f t="shared" si="383"/>
        <v>9.9999999999999998E-13</v>
      </c>
      <c r="Q1560" s="121">
        <f t="shared" si="373"/>
        <v>2212338</v>
      </c>
    </row>
    <row r="1561" spans="2:17" hidden="1" x14ac:dyDescent="0.4">
      <c r="B1561" s="110">
        <v>45482</v>
      </c>
      <c r="C1561" s="122">
        <f t="shared" si="374"/>
        <v>3000000</v>
      </c>
      <c r="D1561" s="111">
        <f t="shared" si="375"/>
        <v>69653</v>
      </c>
      <c r="E1561" s="2">
        <f t="shared" si="376"/>
        <v>2250</v>
      </c>
      <c r="F1561" s="112">
        <f t="shared" si="370"/>
        <v>17000000</v>
      </c>
      <c r="G1561" s="2">
        <f t="shared" si="377"/>
        <v>855065</v>
      </c>
      <c r="H1561" s="113">
        <f t="shared" si="378"/>
        <v>9.9999999999999998E-13</v>
      </c>
      <c r="I1561" s="121">
        <f t="shared" si="371"/>
        <v>2212338</v>
      </c>
      <c r="K1561" s="123">
        <f t="shared" si="379"/>
        <v>3000000</v>
      </c>
      <c r="L1561" s="111">
        <f t="shared" si="380"/>
        <v>69653</v>
      </c>
      <c r="M1561" s="2">
        <f t="shared" si="381"/>
        <v>2250</v>
      </c>
      <c r="N1561" s="112">
        <f t="shared" si="372"/>
        <v>17000000</v>
      </c>
      <c r="O1561" s="2">
        <f t="shared" si="382"/>
        <v>855065</v>
      </c>
      <c r="P1561" s="113">
        <f t="shared" si="383"/>
        <v>9.9999999999999998E-13</v>
      </c>
      <c r="Q1561" s="121">
        <f t="shared" si="373"/>
        <v>2212338</v>
      </c>
    </row>
    <row r="1562" spans="2:17" hidden="1" x14ac:dyDescent="0.4">
      <c r="B1562" s="110">
        <v>45483</v>
      </c>
      <c r="C1562" s="122">
        <f t="shared" si="374"/>
        <v>3000000</v>
      </c>
      <c r="D1562" s="111">
        <f t="shared" si="375"/>
        <v>69653</v>
      </c>
      <c r="E1562" s="2">
        <f t="shared" si="376"/>
        <v>2250</v>
      </c>
      <c r="F1562" s="112">
        <f t="shared" si="370"/>
        <v>17000000</v>
      </c>
      <c r="G1562" s="2">
        <f t="shared" si="377"/>
        <v>855065</v>
      </c>
      <c r="H1562" s="113">
        <f t="shared" si="378"/>
        <v>9.9999999999999998E-13</v>
      </c>
      <c r="I1562" s="121">
        <f t="shared" si="371"/>
        <v>2212338</v>
      </c>
      <c r="K1562" s="123">
        <f t="shared" si="379"/>
        <v>3000000</v>
      </c>
      <c r="L1562" s="111">
        <f t="shared" si="380"/>
        <v>69653</v>
      </c>
      <c r="M1562" s="2">
        <f t="shared" si="381"/>
        <v>2250</v>
      </c>
      <c r="N1562" s="112">
        <f t="shared" si="372"/>
        <v>17000000</v>
      </c>
      <c r="O1562" s="2">
        <f t="shared" si="382"/>
        <v>855065</v>
      </c>
      <c r="P1562" s="113">
        <f t="shared" si="383"/>
        <v>9.9999999999999998E-13</v>
      </c>
      <c r="Q1562" s="121">
        <f t="shared" si="373"/>
        <v>2212338</v>
      </c>
    </row>
    <row r="1563" spans="2:17" hidden="1" x14ac:dyDescent="0.4">
      <c r="B1563" s="110">
        <v>45484</v>
      </c>
      <c r="C1563" s="122">
        <f t="shared" si="374"/>
        <v>3000000</v>
      </c>
      <c r="D1563" s="111">
        <f t="shared" si="375"/>
        <v>69653</v>
      </c>
      <c r="E1563" s="2">
        <f t="shared" si="376"/>
        <v>2250</v>
      </c>
      <c r="F1563" s="112">
        <f t="shared" si="370"/>
        <v>17000000</v>
      </c>
      <c r="G1563" s="2">
        <f t="shared" si="377"/>
        <v>855065</v>
      </c>
      <c r="H1563" s="113">
        <f t="shared" si="378"/>
        <v>9.9999999999999998E-13</v>
      </c>
      <c r="I1563" s="121">
        <f t="shared" si="371"/>
        <v>2212338</v>
      </c>
      <c r="K1563" s="123">
        <f t="shared" si="379"/>
        <v>3000000</v>
      </c>
      <c r="L1563" s="111">
        <f t="shared" si="380"/>
        <v>69653</v>
      </c>
      <c r="M1563" s="2">
        <f t="shared" si="381"/>
        <v>2250</v>
      </c>
      <c r="N1563" s="112">
        <f t="shared" si="372"/>
        <v>17000000</v>
      </c>
      <c r="O1563" s="2">
        <f t="shared" si="382"/>
        <v>855065</v>
      </c>
      <c r="P1563" s="113">
        <f t="shared" si="383"/>
        <v>9.9999999999999998E-13</v>
      </c>
      <c r="Q1563" s="121">
        <f t="shared" si="373"/>
        <v>2212338</v>
      </c>
    </row>
    <row r="1564" spans="2:17" hidden="1" x14ac:dyDescent="0.4">
      <c r="B1564" s="110">
        <v>45485</v>
      </c>
      <c r="C1564" s="122">
        <f t="shared" si="374"/>
        <v>3000000</v>
      </c>
      <c r="D1564" s="111">
        <f t="shared" si="375"/>
        <v>69653</v>
      </c>
      <c r="E1564" s="2">
        <f t="shared" si="376"/>
        <v>2250</v>
      </c>
      <c r="F1564" s="112">
        <f t="shared" si="370"/>
        <v>17000000</v>
      </c>
      <c r="G1564" s="2">
        <f t="shared" si="377"/>
        <v>855065</v>
      </c>
      <c r="H1564" s="113">
        <f t="shared" si="378"/>
        <v>9.9999999999999998E-13</v>
      </c>
      <c r="I1564" s="121">
        <f t="shared" si="371"/>
        <v>2212338</v>
      </c>
      <c r="K1564" s="123">
        <f t="shared" si="379"/>
        <v>3000000</v>
      </c>
      <c r="L1564" s="111">
        <f t="shared" si="380"/>
        <v>69653</v>
      </c>
      <c r="M1564" s="2">
        <f t="shared" si="381"/>
        <v>2250</v>
      </c>
      <c r="N1564" s="112">
        <f t="shared" si="372"/>
        <v>17000000</v>
      </c>
      <c r="O1564" s="2">
        <f t="shared" si="382"/>
        <v>855065</v>
      </c>
      <c r="P1564" s="113">
        <f t="shared" si="383"/>
        <v>9.9999999999999998E-13</v>
      </c>
      <c r="Q1564" s="121">
        <f t="shared" si="373"/>
        <v>2212338</v>
      </c>
    </row>
    <row r="1565" spans="2:17" hidden="1" x14ac:dyDescent="0.4">
      <c r="B1565" s="110">
        <v>45486</v>
      </c>
      <c r="C1565" s="122">
        <f t="shared" si="374"/>
        <v>3000000</v>
      </c>
      <c r="D1565" s="111">
        <f t="shared" si="375"/>
        <v>69653</v>
      </c>
      <c r="E1565" s="2">
        <f t="shared" si="376"/>
        <v>2250</v>
      </c>
      <c r="F1565" s="112">
        <f t="shared" si="370"/>
        <v>17000000</v>
      </c>
      <c r="G1565" s="2">
        <f t="shared" si="377"/>
        <v>855065</v>
      </c>
      <c r="H1565" s="113">
        <f t="shared" si="378"/>
        <v>9.9999999999999998E-13</v>
      </c>
      <c r="I1565" s="121">
        <f t="shared" si="371"/>
        <v>2212338</v>
      </c>
      <c r="K1565" s="123">
        <f t="shared" si="379"/>
        <v>3000000</v>
      </c>
      <c r="L1565" s="111">
        <f t="shared" si="380"/>
        <v>69653</v>
      </c>
      <c r="M1565" s="2">
        <f t="shared" si="381"/>
        <v>2250</v>
      </c>
      <c r="N1565" s="112">
        <f t="shared" si="372"/>
        <v>17000000</v>
      </c>
      <c r="O1565" s="2">
        <f t="shared" si="382"/>
        <v>855065</v>
      </c>
      <c r="P1565" s="113">
        <f t="shared" si="383"/>
        <v>9.9999999999999998E-13</v>
      </c>
      <c r="Q1565" s="121">
        <f t="shared" si="373"/>
        <v>2212338</v>
      </c>
    </row>
    <row r="1566" spans="2:17" hidden="1" x14ac:dyDescent="0.4">
      <c r="B1566" s="110">
        <v>45487</v>
      </c>
      <c r="C1566" s="122">
        <f t="shared" si="374"/>
        <v>3000000</v>
      </c>
      <c r="D1566" s="111">
        <f t="shared" si="375"/>
        <v>69653</v>
      </c>
      <c r="E1566" s="2">
        <f t="shared" si="376"/>
        <v>2250</v>
      </c>
      <c r="F1566" s="112">
        <f t="shared" si="370"/>
        <v>17000000</v>
      </c>
      <c r="G1566" s="2">
        <f t="shared" si="377"/>
        <v>855065</v>
      </c>
      <c r="H1566" s="113">
        <f t="shared" si="378"/>
        <v>9.9999999999999998E-13</v>
      </c>
      <c r="I1566" s="121">
        <f t="shared" si="371"/>
        <v>2212338</v>
      </c>
      <c r="K1566" s="123">
        <f t="shared" si="379"/>
        <v>3000000</v>
      </c>
      <c r="L1566" s="111">
        <f t="shared" si="380"/>
        <v>69653</v>
      </c>
      <c r="M1566" s="2">
        <f t="shared" si="381"/>
        <v>2250</v>
      </c>
      <c r="N1566" s="112">
        <f t="shared" si="372"/>
        <v>17000000</v>
      </c>
      <c r="O1566" s="2">
        <f t="shared" si="382"/>
        <v>855065</v>
      </c>
      <c r="P1566" s="113">
        <f t="shared" si="383"/>
        <v>9.9999999999999998E-13</v>
      </c>
      <c r="Q1566" s="121">
        <f t="shared" si="373"/>
        <v>2212338</v>
      </c>
    </row>
    <row r="1567" spans="2:17" hidden="1" x14ac:dyDescent="0.4">
      <c r="B1567" s="110">
        <v>45488</v>
      </c>
      <c r="C1567" s="122">
        <f t="shared" si="374"/>
        <v>3000000</v>
      </c>
      <c r="D1567" s="111">
        <f t="shared" si="375"/>
        <v>69653</v>
      </c>
      <c r="E1567" s="2">
        <f t="shared" si="376"/>
        <v>2250</v>
      </c>
      <c r="F1567" s="112">
        <f t="shared" si="370"/>
        <v>17000000</v>
      </c>
      <c r="G1567" s="2">
        <f t="shared" si="377"/>
        <v>855065</v>
      </c>
      <c r="H1567" s="113">
        <f t="shared" si="378"/>
        <v>9.9999999999999998E-13</v>
      </c>
      <c r="I1567" s="121">
        <f t="shared" si="371"/>
        <v>2212338</v>
      </c>
      <c r="K1567" s="123">
        <f t="shared" si="379"/>
        <v>3000000</v>
      </c>
      <c r="L1567" s="111">
        <f t="shared" si="380"/>
        <v>69653</v>
      </c>
      <c r="M1567" s="2">
        <f t="shared" si="381"/>
        <v>2250</v>
      </c>
      <c r="N1567" s="112">
        <f t="shared" si="372"/>
        <v>17000000</v>
      </c>
      <c r="O1567" s="2">
        <f t="shared" si="382"/>
        <v>855065</v>
      </c>
      <c r="P1567" s="113">
        <f t="shared" si="383"/>
        <v>9.9999999999999998E-13</v>
      </c>
      <c r="Q1567" s="121">
        <f t="shared" si="373"/>
        <v>2212338</v>
      </c>
    </row>
    <row r="1568" spans="2:17" hidden="1" x14ac:dyDescent="0.4">
      <c r="B1568" s="110">
        <v>45489</v>
      </c>
      <c r="C1568" s="122">
        <f t="shared" si="374"/>
        <v>3000000</v>
      </c>
      <c r="D1568" s="111">
        <f t="shared" si="375"/>
        <v>69653</v>
      </c>
      <c r="E1568" s="2">
        <f t="shared" si="376"/>
        <v>2250</v>
      </c>
      <c r="F1568" s="112">
        <f t="shared" si="370"/>
        <v>17000000</v>
      </c>
      <c r="G1568" s="2">
        <f t="shared" si="377"/>
        <v>855065</v>
      </c>
      <c r="H1568" s="113">
        <f t="shared" si="378"/>
        <v>9.9999999999999998E-13</v>
      </c>
      <c r="I1568" s="121">
        <f t="shared" si="371"/>
        <v>2212338</v>
      </c>
      <c r="K1568" s="123">
        <f t="shared" si="379"/>
        <v>3000000</v>
      </c>
      <c r="L1568" s="111">
        <f t="shared" si="380"/>
        <v>69653</v>
      </c>
      <c r="M1568" s="2">
        <f t="shared" si="381"/>
        <v>2250</v>
      </c>
      <c r="N1568" s="112">
        <f t="shared" si="372"/>
        <v>17000000</v>
      </c>
      <c r="O1568" s="2">
        <f t="shared" si="382"/>
        <v>855065</v>
      </c>
      <c r="P1568" s="113">
        <f t="shared" si="383"/>
        <v>9.9999999999999998E-13</v>
      </c>
      <c r="Q1568" s="121">
        <f t="shared" si="373"/>
        <v>2212338</v>
      </c>
    </row>
    <row r="1569" spans="2:17" hidden="1" x14ac:dyDescent="0.4">
      <c r="B1569" s="110">
        <v>45490</v>
      </c>
      <c r="C1569" s="122">
        <f t="shared" si="374"/>
        <v>3000000</v>
      </c>
      <c r="D1569" s="111">
        <f t="shared" si="375"/>
        <v>69653</v>
      </c>
      <c r="E1569" s="2">
        <f t="shared" si="376"/>
        <v>2250</v>
      </c>
      <c r="F1569" s="112">
        <f t="shared" si="370"/>
        <v>17000000</v>
      </c>
      <c r="G1569" s="2">
        <f t="shared" si="377"/>
        <v>855065</v>
      </c>
      <c r="H1569" s="113">
        <f t="shared" si="378"/>
        <v>9.9999999999999998E-13</v>
      </c>
      <c r="I1569" s="121">
        <f t="shared" si="371"/>
        <v>2212338</v>
      </c>
      <c r="K1569" s="123">
        <f t="shared" si="379"/>
        <v>3000000</v>
      </c>
      <c r="L1569" s="111">
        <f t="shared" si="380"/>
        <v>69653</v>
      </c>
      <c r="M1569" s="2">
        <f t="shared" si="381"/>
        <v>2250</v>
      </c>
      <c r="N1569" s="112">
        <f t="shared" si="372"/>
        <v>17000000</v>
      </c>
      <c r="O1569" s="2">
        <f t="shared" si="382"/>
        <v>855065</v>
      </c>
      <c r="P1569" s="113">
        <f t="shared" si="383"/>
        <v>9.9999999999999998E-13</v>
      </c>
      <c r="Q1569" s="121">
        <f t="shared" si="373"/>
        <v>2212338</v>
      </c>
    </row>
    <row r="1570" spans="2:17" hidden="1" x14ac:dyDescent="0.4">
      <c r="B1570" s="110">
        <v>45491</v>
      </c>
      <c r="C1570" s="122">
        <f t="shared" si="374"/>
        <v>3000000</v>
      </c>
      <c r="D1570" s="111">
        <f t="shared" si="375"/>
        <v>69653</v>
      </c>
      <c r="E1570" s="2">
        <f t="shared" si="376"/>
        <v>2250</v>
      </c>
      <c r="F1570" s="112">
        <f t="shared" si="370"/>
        <v>17000000</v>
      </c>
      <c r="G1570" s="2">
        <f t="shared" si="377"/>
        <v>855065</v>
      </c>
      <c r="H1570" s="113">
        <f t="shared" si="378"/>
        <v>9.9999999999999998E-13</v>
      </c>
      <c r="I1570" s="121">
        <f t="shared" si="371"/>
        <v>2212338</v>
      </c>
      <c r="K1570" s="123">
        <f t="shared" si="379"/>
        <v>3000000</v>
      </c>
      <c r="L1570" s="111">
        <f t="shared" si="380"/>
        <v>69653</v>
      </c>
      <c r="M1570" s="2">
        <f t="shared" si="381"/>
        <v>2250</v>
      </c>
      <c r="N1570" s="112">
        <f t="shared" si="372"/>
        <v>17000000</v>
      </c>
      <c r="O1570" s="2">
        <f t="shared" si="382"/>
        <v>855065</v>
      </c>
      <c r="P1570" s="113">
        <f t="shared" si="383"/>
        <v>9.9999999999999998E-13</v>
      </c>
      <c r="Q1570" s="121">
        <f t="shared" si="373"/>
        <v>2212338</v>
      </c>
    </row>
    <row r="1571" spans="2:17" hidden="1" x14ac:dyDescent="0.4">
      <c r="B1571" s="110">
        <v>45492</v>
      </c>
      <c r="C1571" s="122">
        <f t="shared" si="374"/>
        <v>3000000</v>
      </c>
      <c r="D1571" s="111">
        <f t="shared" si="375"/>
        <v>69653</v>
      </c>
      <c r="E1571" s="2">
        <f t="shared" si="376"/>
        <v>2250</v>
      </c>
      <c r="F1571" s="112">
        <f t="shared" si="370"/>
        <v>17000000</v>
      </c>
      <c r="G1571" s="2">
        <f t="shared" si="377"/>
        <v>855065</v>
      </c>
      <c r="H1571" s="113">
        <f t="shared" si="378"/>
        <v>9.9999999999999998E-13</v>
      </c>
      <c r="I1571" s="121">
        <f t="shared" si="371"/>
        <v>2212338</v>
      </c>
      <c r="K1571" s="123">
        <f t="shared" si="379"/>
        <v>3000000</v>
      </c>
      <c r="L1571" s="111">
        <f t="shared" si="380"/>
        <v>69653</v>
      </c>
      <c r="M1571" s="2">
        <f t="shared" si="381"/>
        <v>2250</v>
      </c>
      <c r="N1571" s="112">
        <f t="shared" si="372"/>
        <v>17000000</v>
      </c>
      <c r="O1571" s="2">
        <f t="shared" si="382"/>
        <v>855065</v>
      </c>
      <c r="P1571" s="113">
        <f t="shared" si="383"/>
        <v>9.9999999999999998E-13</v>
      </c>
      <c r="Q1571" s="121">
        <f t="shared" si="373"/>
        <v>2212338</v>
      </c>
    </row>
    <row r="1572" spans="2:17" hidden="1" x14ac:dyDescent="0.4">
      <c r="B1572" s="110">
        <v>45493</v>
      </c>
      <c r="C1572" s="122">
        <f t="shared" si="374"/>
        <v>3000000</v>
      </c>
      <c r="D1572" s="111">
        <f t="shared" si="375"/>
        <v>69653</v>
      </c>
      <c r="E1572" s="2">
        <f t="shared" si="376"/>
        <v>2250</v>
      </c>
      <c r="F1572" s="112">
        <f t="shared" si="370"/>
        <v>17000000</v>
      </c>
      <c r="G1572" s="2">
        <f t="shared" si="377"/>
        <v>855065</v>
      </c>
      <c r="H1572" s="113">
        <f t="shared" si="378"/>
        <v>9.9999999999999998E-13</v>
      </c>
      <c r="I1572" s="121">
        <f t="shared" si="371"/>
        <v>2212338</v>
      </c>
      <c r="K1572" s="123">
        <f t="shared" si="379"/>
        <v>3000000</v>
      </c>
      <c r="L1572" s="111">
        <f t="shared" si="380"/>
        <v>69653</v>
      </c>
      <c r="M1572" s="2">
        <f t="shared" si="381"/>
        <v>2250</v>
      </c>
      <c r="N1572" s="112">
        <f t="shared" si="372"/>
        <v>17000000</v>
      </c>
      <c r="O1572" s="2">
        <f t="shared" si="382"/>
        <v>855065</v>
      </c>
      <c r="P1572" s="113">
        <f t="shared" si="383"/>
        <v>9.9999999999999998E-13</v>
      </c>
      <c r="Q1572" s="121">
        <f t="shared" si="373"/>
        <v>2212338</v>
      </c>
    </row>
    <row r="1573" spans="2:17" hidden="1" x14ac:dyDescent="0.4">
      <c r="B1573" s="110">
        <v>45494</v>
      </c>
      <c r="C1573" s="122">
        <f t="shared" si="374"/>
        <v>3000000</v>
      </c>
      <c r="D1573" s="111">
        <f t="shared" si="375"/>
        <v>69653</v>
      </c>
      <c r="E1573" s="2">
        <f t="shared" si="376"/>
        <v>2250</v>
      </c>
      <c r="F1573" s="112">
        <f t="shared" si="370"/>
        <v>17000000</v>
      </c>
      <c r="G1573" s="2">
        <f t="shared" si="377"/>
        <v>855065</v>
      </c>
      <c r="H1573" s="113">
        <f t="shared" si="378"/>
        <v>9.9999999999999998E-13</v>
      </c>
      <c r="I1573" s="121">
        <f t="shared" si="371"/>
        <v>2212338</v>
      </c>
      <c r="K1573" s="123">
        <f t="shared" si="379"/>
        <v>3000000</v>
      </c>
      <c r="L1573" s="111">
        <f t="shared" si="380"/>
        <v>69653</v>
      </c>
      <c r="M1573" s="2">
        <f t="shared" si="381"/>
        <v>2250</v>
      </c>
      <c r="N1573" s="112">
        <f t="shared" si="372"/>
        <v>17000000</v>
      </c>
      <c r="O1573" s="2">
        <f t="shared" si="382"/>
        <v>855065</v>
      </c>
      <c r="P1573" s="113">
        <f t="shared" si="383"/>
        <v>9.9999999999999998E-13</v>
      </c>
      <c r="Q1573" s="121">
        <f t="shared" si="373"/>
        <v>2212338</v>
      </c>
    </row>
    <row r="1574" spans="2:17" hidden="1" x14ac:dyDescent="0.4">
      <c r="B1574" s="110">
        <v>45495</v>
      </c>
      <c r="C1574" s="122">
        <f t="shared" si="374"/>
        <v>3000000</v>
      </c>
      <c r="D1574" s="111">
        <f t="shared" si="375"/>
        <v>69653</v>
      </c>
      <c r="E1574" s="2">
        <f t="shared" si="376"/>
        <v>2250</v>
      </c>
      <c r="F1574" s="112">
        <f t="shared" si="370"/>
        <v>17000000</v>
      </c>
      <c r="G1574" s="2">
        <f t="shared" si="377"/>
        <v>855065</v>
      </c>
      <c r="H1574" s="113">
        <f t="shared" si="378"/>
        <v>9.9999999999999998E-13</v>
      </c>
      <c r="I1574" s="121">
        <f t="shared" si="371"/>
        <v>2212338</v>
      </c>
      <c r="K1574" s="123">
        <f t="shared" si="379"/>
        <v>3000000</v>
      </c>
      <c r="L1574" s="111">
        <f t="shared" si="380"/>
        <v>69653</v>
      </c>
      <c r="M1574" s="2">
        <f t="shared" si="381"/>
        <v>2250</v>
      </c>
      <c r="N1574" s="112">
        <f t="shared" si="372"/>
        <v>17000000</v>
      </c>
      <c r="O1574" s="2">
        <f t="shared" si="382"/>
        <v>855065</v>
      </c>
      <c r="P1574" s="113">
        <f t="shared" si="383"/>
        <v>9.9999999999999998E-13</v>
      </c>
      <c r="Q1574" s="121">
        <f t="shared" si="373"/>
        <v>2212338</v>
      </c>
    </row>
    <row r="1575" spans="2:17" hidden="1" x14ac:dyDescent="0.4">
      <c r="B1575" s="110">
        <v>45496</v>
      </c>
      <c r="C1575" s="122">
        <f t="shared" si="374"/>
        <v>3000000</v>
      </c>
      <c r="D1575" s="111">
        <f t="shared" si="375"/>
        <v>69653</v>
      </c>
      <c r="E1575" s="2">
        <f t="shared" si="376"/>
        <v>2250</v>
      </c>
      <c r="F1575" s="112">
        <f t="shared" si="370"/>
        <v>17000000</v>
      </c>
      <c r="G1575" s="2">
        <f t="shared" si="377"/>
        <v>855065</v>
      </c>
      <c r="H1575" s="113">
        <f t="shared" si="378"/>
        <v>9.9999999999999998E-13</v>
      </c>
      <c r="I1575" s="121">
        <f t="shared" si="371"/>
        <v>2212338</v>
      </c>
      <c r="K1575" s="123">
        <f t="shared" si="379"/>
        <v>3000000</v>
      </c>
      <c r="L1575" s="111">
        <f t="shared" si="380"/>
        <v>69653</v>
      </c>
      <c r="M1575" s="2">
        <f t="shared" si="381"/>
        <v>2250</v>
      </c>
      <c r="N1575" s="112">
        <f t="shared" si="372"/>
        <v>17000000</v>
      </c>
      <c r="O1575" s="2">
        <f t="shared" si="382"/>
        <v>855065</v>
      </c>
      <c r="P1575" s="113">
        <f t="shared" si="383"/>
        <v>9.9999999999999998E-13</v>
      </c>
      <c r="Q1575" s="121">
        <f t="shared" si="373"/>
        <v>2212338</v>
      </c>
    </row>
    <row r="1576" spans="2:17" hidden="1" x14ac:dyDescent="0.4">
      <c r="B1576" s="110">
        <v>45497</v>
      </c>
      <c r="C1576" s="122">
        <f t="shared" si="374"/>
        <v>3000000</v>
      </c>
      <c r="D1576" s="111">
        <f t="shared" si="375"/>
        <v>69653</v>
      </c>
      <c r="E1576" s="2">
        <f t="shared" si="376"/>
        <v>2250</v>
      </c>
      <c r="F1576" s="112">
        <f t="shared" si="370"/>
        <v>17000000</v>
      </c>
      <c r="G1576" s="2">
        <f t="shared" si="377"/>
        <v>855065</v>
      </c>
      <c r="H1576" s="113">
        <f t="shared" si="378"/>
        <v>9.9999999999999998E-13</v>
      </c>
      <c r="I1576" s="121">
        <f t="shared" si="371"/>
        <v>2212338</v>
      </c>
      <c r="K1576" s="123">
        <f t="shared" si="379"/>
        <v>3000000</v>
      </c>
      <c r="L1576" s="111">
        <f t="shared" si="380"/>
        <v>69653</v>
      </c>
      <c r="M1576" s="2">
        <f t="shared" si="381"/>
        <v>2250</v>
      </c>
      <c r="N1576" s="112">
        <f t="shared" si="372"/>
        <v>17000000</v>
      </c>
      <c r="O1576" s="2">
        <f t="shared" si="382"/>
        <v>855065</v>
      </c>
      <c r="P1576" s="113">
        <f t="shared" si="383"/>
        <v>9.9999999999999998E-13</v>
      </c>
      <c r="Q1576" s="121">
        <f t="shared" si="373"/>
        <v>2212338</v>
      </c>
    </row>
    <row r="1577" spans="2:17" hidden="1" x14ac:dyDescent="0.4">
      <c r="B1577" s="110">
        <v>45498</v>
      </c>
      <c r="C1577" s="122">
        <f t="shared" si="374"/>
        <v>3000000</v>
      </c>
      <c r="D1577" s="111">
        <f t="shared" si="375"/>
        <v>69653</v>
      </c>
      <c r="E1577" s="2">
        <f t="shared" si="376"/>
        <v>2250</v>
      </c>
      <c r="F1577" s="112">
        <f t="shared" si="370"/>
        <v>17000000</v>
      </c>
      <c r="G1577" s="2">
        <f t="shared" si="377"/>
        <v>855065</v>
      </c>
      <c r="H1577" s="113">
        <f t="shared" si="378"/>
        <v>9.9999999999999998E-13</v>
      </c>
      <c r="I1577" s="121">
        <f t="shared" si="371"/>
        <v>2212338</v>
      </c>
      <c r="K1577" s="123">
        <f t="shared" si="379"/>
        <v>3000000</v>
      </c>
      <c r="L1577" s="111">
        <f t="shared" si="380"/>
        <v>69653</v>
      </c>
      <c r="M1577" s="2">
        <f t="shared" si="381"/>
        <v>2250</v>
      </c>
      <c r="N1577" s="112">
        <f t="shared" si="372"/>
        <v>17000000</v>
      </c>
      <c r="O1577" s="2">
        <f t="shared" si="382"/>
        <v>855065</v>
      </c>
      <c r="P1577" s="113">
        <f t="shared" si="383"/>
        <v>9.9999999999999998E-13</v>
      </c>
      <c r="Q1577" s="121">
        <f t="shared" si="373"/>
        <v>2212338</v>
      </c>
    </row>
    <row r="1578" spans="2:17" hidden="1" x14ac:dyDescent="0.4">
      <c r="B1578" s="110">
        <v>45499</v>
      </c>
      <c r="C1578" s="122">
        <f t="shared" si="374"/>
        <v>3000000</v>
      </c>
      <c r="D1578" s="111">
        <f t="shared" si="375"/>
        <v>69653</v>
      </c>
      <c r="E1578" s="2">
        <f t="shared" si="376"/>
        <v>2250</v>
      </c>
      <c r="F1578" s="112">
        <f t="shared" si="370"/>
        <v>17000000</v>
      </c>
      <c r="G1578" s="2">
        <f t="shared" si="377"/>
        <v>855065</v>
      </c>
      <c r="H1578" s="113">
        <f t="shared" si="378"/>
        <v>9.9999999999999998E-13</v>
      </c>
      <c r="I1578" s="121">
        <f t="shared" si="371"/>
        <v>2212338</v>
      </c>
      <c r="K1578" s="123">
        <f t="shared" si="379"/>
        <v>3000000</v>
      </c>
      <c r="L1578" s="111">
        <f t="shared" si="380"/>
        <v>69653</v>
      </c>
      <c r="M1578" s="2">
        <f t="shared" si="381"/>
        <v>2250</v>
      </c>
      <c r="N1578" s="112">
        <f t="shared" si="372"/>
        <v>17000000</v>
      </c>
      <c r="O1578" s="2">
        <f t="shared" si="382"/>
        <v>855065</v>
      </c>
      <c r="P1578" s="113">
        <f t="shared" si="383"/>
        <v>9.9999999999999998E-13</v>
      </c>
      <c r="Q1578" s="121">
        <f t="shared" si="373"/>
        <v>2212338</v>
      </c>
    </row>
    <row r="1579" spans="2:17" hidden="1" x14ac:dyDescent="0.4">
      <c r="B1579" s="110">
        <v>45500</v>
      </c>
      <c r="C1579" s="122">
        <f t="shared" si="374"/>
        <v>3000000</v>
      </c>
      <c r="D1579" s="111">
        <f t="shared" si="375"/>
        <v>69653</v>
      </c>
      <c r="E1579" s="2">
        <f t="shared" si="376"/>
        <v>2250</v>
      </c>
      <c r="F1579" s="112">
        <f t="shared" si="370"/>
        <v>17000000</v>
      </c>
      <c r="G1579" s="2">
        <f t="shared" si="377"/>
        <v>855065</v>
      </c>
      <c r="H1579" s="113">
        <f t="shared" si="378"/>
        <v>9.9999999999999998E-13</v>
      </c>
      <c r="I1579" s="121">
        <f t="shared" si="371"/>
        <v>2212338</v>
      </c>
      <c r="K1579" s="123">
        <f t="shared" si="379"/>
        <v>3000000</v>
      </c>
      <c r="L1579" s="111">
        <f t="shared" si="380"/>
        <v>69653</v>
      </c>
      <c r="M1579" s="2">
        <f t="shared" si="381"/>
        <v>2250</v>
      </c>
      <c r="N1579" s="112">
        <f t="shared" si="372"/>
        <v>17000000</v>
      </c>
      <c r="O1579" s="2">
        <f t="shared" si="382"/>
        <v>855065</v>
      </c>
      <c r="P1579" s="113">
        <f t="shared" si="383"/>
        <v>9.9999999999999998E-13</v>
      </c>
      <c r="Q1579" s="121">
        <f t="shared" si="373"/>
        <v>2212338</v>
      </c>
    </row>
    <row r="1580" spans="2:17" hidden="1" x14ac:dyDescent="0.4">
      <c r="B1580" s="110">
        <v>45501</v>
      </c>
      <c r="C1580" s="122">
        <f t="shared" si="374"/>
        <v>3000000</v>
      </c>
      <c r="D1580" s="111">
        <f t="shared" si="375"/>
        <v>69653</v>
      </c>
      <c r="E1580" s="2">
        <f t="shared" si="376"/>
        <v>2250</v>
      </c>
      <c r="F1580" s="112">
        <f t="shared" si="370"/>
        <v>17000000</v>
      </c>
      <c r="G1580" s="2">
        <f t="shared" si="377"/>
        <v>855065</v>
      </c>
      <c r="H1580" s="113">
        <f t="shared" si="378"/>
        <v>9.9999999999999998E-13</v>
      </c>
      <c r="I1580" s="121">
        <f t="shared" si="371"/>
        <v>2212338</v>
      </c>
      <c r="K1580" s="123">
        <f t="shared" si="379"/>
        <v>3000000</v>
      </c>
      <c r="L1580" s="111">
        <f t="shared" si="380"/>
        <v>69653</v>
      </c>
      <c r="M1580" s="2">
        <f t="shared" si="381"/>
        <v>2250</v>
      </c>
      <c r="N1580" s="112">
        <f t="shared" si="372"/>
        <v>17000000</v>
      </c>
      <c r="O1580" s="2">
        <f t="shared" si="382"/>
        <v>855065</v>
      </c>
      <c r="P1580" s="113">
        <f t="shared" si="383"/>
        <v>9.9999999999999998E-13</v>
      </c>
      <c r="Q1580" s="121">
        <f t="shared" si="373"/>
        <v>2212338</v>
      </c>
    </row>
    <row r="1581" spans="2:17" hidden="1" x14ac:dyDescent="0.4">
      <c r="B1581" s="110">
        <v>45502</v>
      </c>
      <c r="C1581" s="122">
        <f t="shared" si="374"/>
        <v>3000000</v>
      </c>
      <c r="D1581" s="111">
        <f t="shared" si="375"/>
        <v>69653</v>
      </c>
      <c r="E1581" s="2">
        <f t="shared" si="376"/>
        <v>2250</v>
      </c>
      <c r="F1581" s="112">
        <f t="shared" si="370"/>
        <v>17000000</v>
      </c>
      <c r="G1581" s="2">
        <f t="shared" si="377"/>
        <v>855065</v>
      </c>
      <c r="H1581" s="113">
        <f t="shared" si="378"/>
        <v>9.9999999999999998E-13</v>
      </c>
      <c r="I1581" s="121">
        <f t="shared" si="371"/>
        <v>2212338</v>
      </c>
      <c r="K1581" s="123">
        <f t="shared" si="379"/>
        <v>3000000</v>
      </c>
      <c r="L1581" s="111">
        <f t="shared" si="380"/>
        <v>69653</v>
      </c>
      <c r="M1581" s="2">
        <f t="shared" si="381"/>
        <v>2250</v>
      </c>
      <c r="N1581" s="112">
        <f t="shared" si="372"/>
        <v>17000000</v>
      </c>
      <c r="O1581" s="2">
        <f t="shared" si="382"/>
        <v>855065</v>
      </c>
      <c r="P1581" s="113">
        <f t="shared" si="383"/>
        <v>9.9999999999999998E-13</v>
      </c>
      <c r="Q1581" s="121">
        <f t="shared" si="373"/>
        <v>2212338</v>
      </c>
    </row>
    <row r="1582" spans="2:17" hidden="1" x14ac:dyDescent="0.4">
      <c r="B1582" s="110">
        <v>45503</v>
      </c>
      <c r="C1582" s="122">
        <f t="shared" si="374"/>
        <v>3000000</v>
      </c>
      <c r="D1582" s="111">
        <f t="shared" si="375"/>
        <v>69653</v>
      </c>
      <c r="E1582" s="2">
        <f t="shared" si="376"/>
        <v>2250</v>
      </c>
      <c r="F1582" s="112">
        <f t="shared" si="370"/>
        <v>17000000</v>
      </c>
      <c r="G1582" s="2">
        <f t="shared" si="377"/>
        <v>855065</v>
      </c>
      <c r="H1582" s="113">
        <f t="shared" si="378"/>
        <v>9.9999999999999998E-13</v>
      </c>
      <c r="I1582" s="121">
        <f t="shared" si="371"/>
        <v>2212338</v>
      </c>
      <c r="K1582" s="123">
        <f t="shared" si="379"/>
        <v>3000000</v>
      </c>
      <c r="L1582" s="111">
        <f t="shared" si="380"/>
        <v>69653</v>
      </c>
      <c r="M1582" s="2">
        <f t="shared" si="381"/>
        <v>2250</v>
      </c>
      <c r="N1582" s="112">
        <f t="shared" si="372"/>
        <v>17000000</v>
      </c>
      <c r="O1582" s="2">
        <f t="shared" si="382"/>
        <v>855065</v>
      </c>
      <c r="P1582" s="113">
        <f t="shared" si="383"/>
        <v>9.9999999999999998E-13</v>
      </c>
      <c r="Q1582" s="121">
        <f t="shared" si="373"/>
        <v>2212338</v>
      </c>
    </row>
    <row r="1583" spans="2:17" hidden="1" x14ac:dyDescent="0.4">
      <c r="B1583" s="110">
        <v>45504</v>
      </c>
      <c r="C1583" s="122">
        <f t="shared" si="374"/>
        <v>3000000</v>
      </c>
      <c r="D1583" s="111">
        <f t="shared" si="375"/>
        <v>69653</v>
      </c>
      <c r="E1583" s="2">
        <f t="shared" si="376"/>
        <v>2250</v>
      </c>
      <c r="F1583" s="112">
        <f t="shared" si="370"/>
        <v>17000000</v>
      </c>
      <c r="G1583" s="2">
        <f t="shared" si="377"/>
        <v>855065</v>
      </c>
      <c r="H1583" s="113">
        <f t="shared" si="378"/>
        <v>9.9999999999999998E-13</v>
      </c>
      <c r="I1583" s="121">
        <f t="shared" si="371"/>
        <v>2212338</v>
      </c>
      <c r="K1583" s="123">
        <f t="shared" si="379"/>
        <v>3000000</v>
      </c>
      <c r="L1583" s="111">
        <f t="shared" si="380"/>
        <v>69653</v>
      </c>
      <c r="M1583" s="2">
        <f t="shared" si="381"/>
        <v>2250</v>
      </c>
      <c r="N1583" s="112">
        <f t="shared" si="372"/>
        <v>17000000</v>
      </c>
      <c r="O1583" s="2">
        <f t="shared" si="382"/>
        <v>855065</v>
      </c>
      <c r="P1583" s="113">
        <f t="shared" si="383"/>
        <v>9.9999999999999998E-13</v>
      </c>
      <c r="Q1583" s="121">
        <f t="shared" si="373"/>
        <v>2212338</v>
      </c>
    </row>
    <row r="1584" spans="2:17" x14ac:dyDescent="0.4">
      <c r="B1584" s="110">
        <v>45505</v>
      </c>
      <c r="C1584" s="122">
        <f t="shared" si="374"/>
        <v>3000000</v>
      </c>
      <c r="D1584" s="111">
        <f t="shared" si="375"/>
        <v>69653</v>
      </c>
      <c r="E1584" s="2">
        <f t="shared" si="376"/>
        <v>2250</v>
      </c>
      <c r="F1584" s="112">
        <f t="shared" si="370"/>
        <v>17000000</v>
      </c>
      <c r="G1584" s="2">
        <f t="shared" si="377"/>
        <v>855065</v>
      </c>
      <c r="H1584" s="113">
        <f t="shared" si="378"/>
        <v>9.9999999999999998E-13</v>
      </c>
      <c r="I1584" s="121">
        <f t="shared" si="371"/>
        <v>2212338</v>
      </c>
      <c r="K1584" s="123">
        <f t="shared" si="379"/>
        <v>3000000</v>
      </c>
      <c r="L1584" s="111">
        <f t="shared" si="380"/>
        <v>69653</v>
      </c>
      <c r="M1584" s="2">
        <f t="shared" si="381"/>
        <v>2250</v>
      </c>
      <c r="N1584" s="112">
        <f t="shared" si="372"/>
        <v>17000000</v>
      </c>
      <c r="O1584" s="2">
        <f t="shared" si="382"/>
        <v>855065</v>
      </c>
      <c r="P1584" s="113">
        <f t="shared" si="383"/>
        <v>9.9999999999999998E-13</v>
      </c>
      <c r="Q1584" s="121">
        <f t="shared" si="373"/>
        <v>2212338</v>
      </c>
    </row>
    <row r="1585" spans="2:17" hidden="1" x14ac:dyDescent="0.4">
      <c r="B1585" s="110">
        <v>45506</v>
      </c>
      <c r="C1585" s="122">
        <f t="shared" si="374"/>
        <v>3000000</v>
      </c>
      <c r="D1585" s="111">
        <f t="shared" si="375"/>
        <v>69653</v>
      </c>
      <c r="E1585" s="2">
        <f t="shared" si="376"/>
        <v>2250</v>
      </c>
      <c r="F1585" s="112">
        <f t="shared" si="370"/>
        <v>17000000</v>
      </c>
      <c r="G1585" s="2">
        <f t="shared" si="377"/>
        <v>855065</v>
      </c>
      <c r="H1585" s="113">
        <f t="shared" si="378"/>
        <v>9.9999999999999998E-13</v>
      </c>
      <c r="I1585" s="121">
        <f t="shared" si="371"/>
        <v>2212338</v>
      </c>
      <c r="K1585" s="123">
        <f t="shared" si="379"/>
        <v>3000000</v>
      </c>
      <c r="L1585" s="111">
        <f t="shared" si="380"/>
        <v>69653</v>
      </c>
      <c r="M1585" s="2">
        <f t="shared" si="381"/>
        <v>2250</v>
      </c>
      <c r="N1585" s="112">
        <f t="shared" si="372"/>
        <v>17000000</v>
      </c>
      <c r="O1585" s="2">
        <f t="shared" si="382"/>
        <v>855065</v>
      </c>
      <c r="P1585" s="113">
        <f t="shared" si="383"/>
        <v>9.9999999999999998E-13</v>
      </c>
      <c r="Q1585" s="121">
        <f t="shared" si="373"/>
        <v>2212338</v>
      </c>
    </row>
    <row r="1586" spans="2:17" hidden="1" x14ac:dyDescent="0.4">
      <c r="B1586" s="110">
        <v>45507</v>
      </c>
      <c r="C1586" s="122">
        <f t="shared" si="374"/>
        <v>3000000</v>
      </c>
      <c r="D1586" s="111">
        <f t="shared" si="375"/>
        <v>69653</v>
      </c>
      <c r="E1586" s="2">
        <f t="shared" si="376"/>
        <v>2250</v>
      </c>
      <c r="F1586" s="112">
        <f t="shared" si="370"/>
        <v>17000000</v>
      </c>
      <c r="G1586" s="2">
        <f t="shared" si="377"/>
        <v>855065</v>
      </c>
      <c r="H1586" s="113">
        <f t="shared" si="378"/>
        <v>9.9999999999999998E-13</v>
      </c>
      <c r="I1586" s="121">
        <f t="shared" si="371"/>
        <v>2212338</v>
      </c>
      <c r="K1586" s="123">
        <f t="shared" si="379"/>
        <v>3000000</v>
      </c>
      <c r="L1586" s="111">
        <f t="shared" si="380"/>
        <v>69653</v>
      </c>
      <c r="M1586" s="2">
        <f t="shared" si="381"/>
        <v>2250</v>
      </c>
      <c r="N1586" s="112">
        <f t="shared" si="372"/>
        <v>17000000</v>
      </c>
      <c r="O1586" s="2">
        <f t="shared" si="382"/>
        <v>855065</v>
      </c>
      <c r="P1586" s="113">
        <f t="shared" si="383"/>
        <v>9.9999999999999998E-13</v>
      </c>
      <c r="Q1586" s="121">
        <f t="shared" si="373"/>
        <v>2212338</v>
      </c>
    </row>
    <row r="1587" spans="2:17" hidden="1" x14ac:dyDescent="0.4">
      <c r="B1587" s="110">
        <v>45508</v>
      </c>
      <c r="C1587" s="122">
        <f t="shared" si="374"/>
        <v>3000000</v>
      </c>
      <c r="D1587" s="111">
        <f t="shared" si="375"/>
        <v>69653</v>
      </c>
      <c r="E1587" s="2">
        <f t="shared" si="376"/>
        <v>2250</v>
      </c>
      <c r="F1587" s="112">
        <f t="shared" si="370"/>
        <v>17000000</v>
      </c>
      <c r="G1587" s="2">
        <f t="shared" si="377"/>
        <v>855065</v>
      </c>
      <c r="H1587" s="113">
        <f t="shared" si="378"/>
        <v>9.9999999999999998E-13</v>
      </c>
      <c r="I1587" s="121">
        <f t="shared" si="371"/>
        <v>2212338</v>
      </c>
      <c r="K1587" s="123">
        <f t="shared" si="379"/>
        <v>3000000</v>
      </c>
      <c r="L1587" s="111">
        <f t="shared" si="380"/>
        <v>69653</v>
      </c>
      <c r="M1587" s="2">
        <f t="shared" si="381"/>
        <v>2250</v>
      </c>
      <c r="N1587" s="112">
        <f t="shared" si="372"/>
        <v>17000000</v>
      </c>
      <c r="O1587" s="2">
        <f t="shared" si="382"/>
        <v>855065</v>
      </c>
      <c r="P1587" s="113">
        <f t="shared" si="383"/>
        <v>9.9999999999999998E-13</v>
      </c>
      <c r="Q1587" s="121">
        <f t="shared" si="373"/>
        <v>2212338</v>
      </c>
    </row>
    <row r="1588" spans="2:17" hidden="1" x14ac:dyDescent="0.4">
      <c r="B1588" s="110">
        <v>45509</v>
      </c>
      <c r="C1588" s="122">
        <f t="shared" si="374"/>
        <v>3000000</v>
      </c>
      <c r="D1588" s="111">
        <f t="shared" si="375"/>
        <v>69653</v>
      </c>
      <c r="E1588" s="2">
        <f t="shared" si="376"/>
        <v>2250</v>
      </c>
      <c r="F1588" s="112">
        <f t="shared" si="370"/>
        <v>17000000</v>
      </c>
      <c r="G1588" s="2">
        <f t="shared" si="377"/>
        <v>855065</v>
      </c>
      <c r="H1588" s="113">
        <f t="shared" si="378"/>
        <v>9.9999999999999998E-13</v>
      </c>
      <c r="I1588" s="121">
        <f t="shared" si="371"/>
        <v>2212338</v>
      </c>
      <c r="K1588" s="123">
        <f t="shared" si="379"/>
        <v>3000000</v>
      </c>
      <c r="L1588" s="111">
        <f t="shared" si="380"/>
        <v>69653</v>
      </c>
      <c r="M1588" s="2">
        <f t="shared" si="381"/>
        <v>2250</v>
      </c>
      <c r="N1588" s="112">
        <f t="shared" si="372"/>
        <v>17000000</v>
      </c>
      <c r="O1588" s="2">
        <f t="shared" si="382"/>
        <v>855065</v>
      </c>
      <c r="P1588" s="113">
        <f t="shared" si="383"/>
        <v>9.9999999999999998E-13</v>
      </c>
      <c r="Q1588" s="121">
        <f t="shared" si="373"/>
        <v>2212338</v>
      </c>
    </row>
    <row r="1589" spans="2:17" hidden="1" x14ac:dyDescent="0.4">
      <c r="B1589" s="110">
        <v>45510</v>
      </c>
      <c r="C1589" s="122">
        <f t="shared" si="374"/>
        <v>3000000</v>
      </c>
      <c r="D1589" s="111">
        <f t="shared" si="375"/>
        <v>69653</v>
      </c>
      <c r="E1589" s="2">
        <f t="shared" si="376"/>
        <v>2250</v>
      </c>
      <c r="F1589" s="112">
        <f t="shared" si="370"/>
        <v>17000000</v>
      </c>
      <c r="G1589" s="2">
        <f t="shared" si="377"/>
        <v>855065</v>
      </c>
      <c r="H1589" s="113">
        <f t="shared" si="378"/>
        <v>9.9999999999999998E-13</v>
      </c>
      <c r="I1589" s="121">
        <f t="shared" si="371"/>
        <v>2212338</v>
      </c>
      <c r="K1589" s="123">
        <f t="shared" si="379"/>
        <v>3000000</v>
      </c>
      <c r="L1589" s="111">
        <f t="shared" si="380"/>
        <v>69653</v>
      </c>
      <c r="M1589" s="2">
        <f t="shared" si="381"/>
        <v>2250</v>
      </c>
      <c r="N1589" s="112">
        <f t="shared" si="372"/>
        <v>17000000</v>
      </c>
      <c r="O1589" s="2">
        <f t="shared" si="382"/>
        <v>855065</v>
      </c>
      <c r="P1589" s="113">
        <f t="shared" si="383"/>
        <v>9.9999999999999998E-13</v>
      </c>
      <c r="Q1589" s="121">
        <f t="shared" si="373"/>
        <v>2212338</v>
      </c>
    </row>
    <row r="1590" spans="2:17" hidden="1" x14ac:dyDescent="0.4">
      <c r="B1590" s="110">
        <v>45511</v>
      </c>
      <c r="C1590" s="122">
        <f t="shared" si="374"/>
        <v>3000000</v>
      </c>
      <c r="D1590" s="111">
        <f t="shared" si="375"/>
        <v>69653</v>
      </c>
      <c r="E1590" s="2">
        <f t="shared" si="376"/>
        <v>2250</v>
      </c>
      <c r="F1590" s="112">
        <f t="shared" si="370"/>
        <v>17000000</v>
      </c>
      <c r="G1590" s="2">
        <f t="shared" si="377"/>
        <v>855065</v>
      </c>
      <c r="H1590" s="113">
        <f t="shared" si="378"/>
        <v>9.9999999999999998E-13</v>
      </c>
      <c r="I1590" s="121">
        <f t="shared" si="371"/>
        <v>2212338</v>
      </c>
      <c r="K1590" s="123">
        <f t="shared" si="379"/>
        <v>3000000</v>
      </c>
      <c r="L1590" s="111">
        <f t="shared" si="380"/>
        <v>69653</v>
      </c>
      <c r="M1590" s="2">
        <f t="shared" si="381"/>
        <v>2250</v>
      </c>
      <c r="N1590" s="112">
        <f t="shared" si="372"/>
        <v>17000000</v>
      </c>
      <c r="O1590" s="2">
        <f t="shared" si="382"/>
        <v>855065</v>
      </c>
      <c r="P1590" s="113">
        <f t="shared" si="383"/>
        <v>9.9999999999999998E-13</v>
      </c>
      <c r="Q1590" s="121">
        <f t="shared" si="373"/>
        <v>2212338</v>
      </c>
    </row>
    <row r="1591" spans="2:17" hidden="1" x14ac:dyDescent="0.4">
      <c r="B1591" s="110">
        <v>45512</v>
      </c>
      <c r="C1591" s="122">
        <f t="shared" si="374"/>
        <v>3000000</v>
      </c>
      <c r="D1591" s="111">
        <f t="shared" si="375"/>
        <v>69653</v>
      </c>
      <c r="E1591" s="2">
        <f t="shared" si="376"/>
        <v>2250</v>
      </c>
      <c r="F1591" s="112">
        <f t="shared" si="370"/>
        <v>17000000</v>
      </c>
      <c r="G1591" s="2">
        <f t="shared" si="377"/>
        <v>855065</v>
      </c>
      <c r="H1591" s="113">
        <f t="shared" si="378"/>
        <v>9.9999999999999998E-13</v>
      </c>
      <c r="I1591" s="121">
        <f t="shared" si="371"/>
        <v>2212338</v>
      </c>
      <c r="K1591" s="123">
        <f t="shared" si="379"/>
        <v>3000000</v>
      </c>
      <c r="L1591" s="111">
        <f t="shared" si="380"/>
        <v>69653</v>
      </c>
      <c r="M1591" s="2">
        <f t="shared" si="381"/>
        <v>2250</v>
      </c>
      <c r="N1591" s="112">
        <f t="shared" si="372"/>
        <v>17000000</v>
      </c>
      <c r="O1591" s="2">
        <f t="shared" si="382"/>
        <v>855065</v>
      </c>
      <c r="P1591" s="113">
        <f t="shared" si="383"/>
        <v>9.9999999999999998E-13</v>
      </c>
      <c r="Q1591" s="121">
        <f t="shared" si="373"/>
        <v>2212338</v>
      </c>
    </row>
    <row r="1592" spans="2:17" hidden="1" x14ac:dyDescent="0.4">
      <c r="B1592" s="110">
        <v>45513</v>
      </c>
      <c r="C1592" s="122">
        <f t="shared" si="374"/>
        <v>3000000</v>
      </c>
      <c r="D1592" s="111">
        <f t="shared" si="375"/>
        <v>69653</v>
      </c>
      <c r="E1592" s="2">
        <f t="shared" si="376"/>
        <v>2250</v>
      </c>
      <c r="F1592" s="112">
        <f t="shared" si="370"/>
        <v>17000000</v>
      </c>
      <c r="G1592" s="2">
        <f t="shared" si="377"/>
        <v>855065</v>
      </c>
      <c r="H1592" s="113">
        <f t="shared" si="378"/>
        <v>9.9999999999999998E-13</v>
      </c>
      <c r="I1592" s="121">
        <f t="shared" si="371"/>
        <v>2212338</v>
      </c>
      <c r="K1592" s="123">
        <f t="shared" si="379"/>
        <v>3000000</v>
      </c>
      <c r="L1592" s="111">
        <f t="shared" si="380"/>
        <v>69653</v>
      </c>
      <c r="M1592" s="2">
        <f t="shared" si="381"/>
        <v>2250</v>
      </c>
      <c r="N1592" s="112">
        <f t="shared" si="372"/>
        <v>17000000</v>
      </c>
      <c r="O1592" s="2">
        <f t="shared" si="382"/>
        <v>855065</v>
      </c>
      <c r="P1592" s="113">
        <f t="shared" si="383"/>
        <v>9.9999999999999998E-13</v>
      </c>
      <c r="Q1592" s="121">
        <f t="shared" si="373"/>
        <v>2212338</v>
      </c>
    </row>
    <row r="1593" spans="2:17" hidden="1" x14ac:dyDescent="0.4">
      <c r="B1593" s="110">
        <v>45514</v>
      </c>
      <c r="C1593" s="122">
        <f t="shared" si="374"/>
        <v>3000000</v>
      </c>
      <c r="D1593" s="111">
        <f t="shared" si="375"/>
        <v>69653</v>
      </c>
      <c r="E1593" s="2">
        <f t="shared" si="376"/>
        <v>2250</v>
      </c>
      <c r="F1593" s="112">
        <f t="shared" si="370"/>
        <v>17000000</v>
      </c>
      <c r="G1593" s="2">
        <f t="shared" si="377"/>
        <v>855065</v>
      </c>
      <c r="H1593" s="113">
        <f t="shared" si="378"/>
        <v>9.9999999999999998E-13</v>
      </c>
      <c r="I1593" s="121">
        <f t="shared" si="371"/>
        <v>2212338</v>
      </c>
      <c r="K1593" s="123">
        <f t="shared" si="379"/>
        <v>3000000</v>
      </c>
      <c r="L1593" s="111">
        <f t="shared" si="380"/>
        <v>69653</v>
      </c>
      <c r="M1593" s="2">
        <f t="shared" si="381"/>
        <v>2250</v>
      </c>
      <c r="N1593" s="112">
        <f t="shared" si="372"/>
        <v>17000000</v>
      </c>
      <c r="O1593" s="2">
        <f t="shared" si="382"/>
        <v>855065</v>
      </c>
      <c r="P1593" s="113">
        <f t="shared" si="383"/>
        <v>9.9999999999999998E-13</v>
      </c>
      <c r="Q1593" s="121">
        <f t="shared" si="373"/>
        <v>2212338</v>
      </c>
    </row>
    <row r="1594" spans="2:17" hidden="1" x14ac:dyDescent="0.4">
      <c r="B1594" s="110">
        <v>45515</v>
      </c>
      <c r="C1594" s="122">
        <f t="shared" si="374"/>
        <v>3000000</v>
      </c>
      <c r="D1594" s="111">
        <f t="shared" si="375"/>
        <v>69653</v>
      </c>
      <c r="E1594" s="2">
        <f t="shared" si="376"/>
        <v>2250</v>
      </c>
      <c r="F1594" s="112">
        <f t="shared" si="370"/>
        <v>17000000</v>
      </c>
      <c r="G1594" s="2">
        <f t="shared" si="377"/>
        <v>855065</v>
      </c>
      <c r="H1594" s="113">
        <f t="shared" si="378"/>
        <v>9.9999999999999998E-13</v>
      </c>
      <c r="I1594" s="121">
        <f t="shared" si="371"/>
        <v>2212338</v>
      </c>
      <c r="K1594" s="123">
        <f t="shared" si="379"/>
        <v>3000000</v>
      </c>
      <c r="L1594" s="111">
        <f t="shared" si="380"/>
        <v>69653</v>
      </c>
      <c r="M1594" s="2">
        <f t="shared" si="381"/>
        <v>2250</v>
      </c>
      <c r="N1594" s="112">
        <f t="shared" si="372"/>
        <v>17000000</v>
      </c>
      <c r="O1594" s="2">
        <f t="shared" si="382"/>
        <v>855065</v>
      </c>
      <c r="P1594" s="113">
        <f t="shared" si="383"/>
        <v>9.9999999999999998E-13</v>
      </c>
      <c r="Q1594" s="121">
        <f t="shared" si="373"/>
        <v>2212338</v>
      </c>
    </row>
    <row r="1595" spans="2:17" hidden="1" x14ac:dyDescent="0.4">
      <c r="B1595" s="110">
        <v>45516</v>
      </c>
      <c r="C1595" s="122">
        <f t="shared" si="374"/>
        <v>3000000</v>
      </c>
      <c r="D1595" s="111">
        <f t="shared" si="375"/>
        <v>69653</v>
      </c>
      <c r="E1595" s="2">
        <f t="shared" si="376"/>
        <v>2250</v>
      </c>
      <c r="F1595" s="112">
        <f t="shared" si="370"/>
        <v>17000000</v>
      </c>
      <c r="G1595" s="2">
        <f t="shared" si="377"/>
        <v>855065</v>
      </c>
      <c r="H1595" s="113">
        <f t="shared" si="378"/>
        <v>9.9999999999999998E-13</v>
      </c>
      <c r="I1595" s="121">
        <f t="shared" si="371"/>
        <v>2212338</v>
      </c>
      <c r="K1595" s="123">
        <f t="shared" si="379"/>
        <v>3000000</v>
      </c>
      <c r="L1595" s="111">
        <f t="shared" si="380"/>
        <v>69653</v>
      </c>
      <c r="M1595" s="2">
        <f t="shared" si="381"/>
        <v>2250</v>
      </c>
      <c r="N1595" s="112">
        <f t="shared" si="372"/>
        <v>17000000</v>
      </c>
      <c r="O1595" s="2">
        <f t="shared" si="382"/>
        <v>855065</v>
      </c>
      <c r="P1595" s="113">
        <f t="shared" si="383"/>
        <v>9.9999999999999998E-13</v>
      </c>
      <c r="Q1595" s="121">
        <f t="shared" si="373"/>
        <v>2212338</v>
      </c>
    </row>
    <row r="1596" spans="2:17" hidden="1" x14ac:dyDescent="0.4">
      <c r="B1596" s="110">
        <v>45517</v>
      </c>
      <c r="C1596" s="122">
        <f t="shared" si="374"/>
        <v>3000000</v>
      </c>
      <c r="D1596" s="111">
        <f t="shared" si="375"/>
        <v>69653</v>
      </c>
      <c r="E1596" s="2">
        <f t="shared" si="376"/>
        <v>2250</v>
      </c>
      <c r="F1596" s="112">
        <f t="shared" si="370"/>
        <v>17000000</v>
      </c>
      <c r="G1596" s="2">
        <f t="shared" si="377"/>
        <v>855065</v>
      </c>
      <c r="H1596" s="113">
        <f t="shared" si="378"/>
        <v>9.9999999999999998E-13</v>
      </c>
      <c r="I1596" s="121">
        <f t="shared" si="371"/>
        <v>2212338</v>
      </c>
      <c r="K1596" s="123">
        <f t="shared" si="379"/>
        <v>3000000</v>
      </c>
      <c r="L1596" s="111">
        <f t="shared" si="380"/>
        <v>69653</v>
      </c>
      <c r="M1596" s="2">
        <f t="shared" si="381"/>
        <v>2250</v>
      </c>
      <c r="N1596" s="112">
        <f t="shared" si="372"/>
        <v>17000000</v>
      </c>
      <c r="O1596" s="2">
        <f t="shared" si="382"/>
        <v>855065</v>
      </c>
      <c r="P1596" s="113">
        <f t="shared" si="383"/>
        <v>9.9999999999999998E-13</v>
      </c>
      <c r="Q1596" s="121">
        <f t="shared" si="373"/>
        <v>2212338</v>
      </c>
    </row>
    <row r="1597" spans="2:17" hidden="1" x14ac:dyDescent="0.4">
      <c r="B1597" s="110">
        <v>45518</v>
      </c>
      <c r="C1597" s="122">
        <f t="shared" si="374"/>
        <v>3000000</v>
      </c>
      <c r="D1597" s="111">
        <f t="shared" si="375"/>
        <v>69653</v>
      </c>
      <c r="E1597" s="2">
        <f t="shared" si="376"/>
        <v>2250</v>
      </c>
      <c r="F1597" s="112">
        <f t="shared" si="370"/>
        <v>17000000</v>
      </c>
      <c r="G1597" s="2">
        <f t="shared" si="377"/>
        <v>855065</v>
      </c>
      <c r="H1597" s="113">
        <f t="shared" si="378"/>
        <v>9.9999999999999998E-13</v>
      </c>
      <c r="I1597" s="121">
        <f t="shared" si="371"/>
        <v>2212338</v>
      </c>
      <c r="K1597" s="123">
        <f t="shared" si="379"/>
        <v>3000000</v>
      </c>
      <c r="L1597" s="111">
        <f t="shared" si="380"/>
        <v>69653</v>
      </c>
      <c r="M1597" s="2">
        <f t="shared" si="381"/>
        <v>2250</v>
      </c>
      <c r="N1597" s="112">
        <f t="shared" si="372"/>
        <v>17000000</v>
      </c>
      <c r="O1597" s="2">
        <f t="shared" si="382"/>
        <v>855065</v>
      </c>
      <c r="P1597" s="113">
        <f t="shared" si="383"/>
        <v>9.9999999999999998E-13</v>
      </c>
      <c r="Q1597" s="121">
        <f t="shared" si="373"/>
        <v>2212338</v>
      </c>
    </row>
    <row r="1598" spans="2:17" hidden="1" x14ac:dyDescent="0.4">
      <c r="B1598" s="110">
        <v>45519</v>
      </c>
      <c r="C1598" s="122">
        <f t="shared" si="374"/>
        <v>3000000</v>
      </c>
      <c r="D1598" s="111">
        <f t="shared" si="375"/>
        <v>69653</v>
      </c>
      <c r="E1598" s="2">
        <f t="shared" si="376"/>
        <v>2250</v>
      </c>
      <c r="F1598" s="112">
        <f t="shared" si="370"/>
        <v>17000000</v>
      </c>
      <c r="G1598" s="2">
        <f t="shared" si="377"/>
        <v>855065</v>
      </c>
      <c r="H1598" s="113">
        <f t="shared" si="378"/>
        <v>9.9999999999999998E-13</v>
      </c>
      <c r="I1598" s="121">
        <f t="shared" si="371"/>
        <v>2212338</v>
      </c>
      <c r="K1598" s="123">
        <f t="shared" si="379"/>
        <v>3000000</v>
      </c>
      <c r="L1598" s="111">
        <f t="shared" si="380"/>
        <v>69653</v>
      </c>
      <c r="M1598" s="2">
        <f t="shared" si="381"/>
        <v>2250</v>
      </c>
      <c r="N1598" s="112">
        <f t="shared" si="372"/>
        <v>17000000</v>
      </c>
      <c r="O1598" s="2">
        <f t="shared" si="382"/>
        <v>855065</v>
      </c>
      <c r="P1598" s="113">
        <f t="shared" si="383"/>
        <v>9.9999999999999998E-13</v>
      </c>
      <c r="Q1598" s="121">
        <f t="shared" si="373"/>
        <v>2212338</v>
      </c>
    </row>
    <row r="1599" spans="2:17" hidden="1" x14ac:dyDescent="0.4">
      <c r="B1599" s="110">
        <v>45520</v>
      </c>
      <c r="C1599" s="122">
        <f t="shared" si="374"/>
        <v>3000000</v>
      </c>
      <c r="D1599" s="111">
        <f t="shared" si="375"/>
        <v>69653</v>
      </c>
      <c r="E1599" s="2">
        <f t="shared" si="376"/>
        <v>2250</v>
      </c>
      <c r="F1599" s="112">
        <f t="shared" si="370"/>
        <v>17000000</v>
      </c>
      <c r="G1599" s="2">
        <f t="shared" si="377"/>
        <v>855065</v>
      </c>
      <c r="H1599" s="113">
        <f t="shared" si="378"/>
        <v>9.9999999999999998E-13</v>
      </c>
      <c r="I1599" s="121">
        <f t="shared" si="371"/>
        <v>2212338</v>
      </c>
      <c r="K1599" s="123">
        <f t="shared" si="379"/>
        <v>3000000</v>
      </c>
      <c r="L1599" s="111">
        <f t="shared" si="380"/>
        <v>69653</v>
      </c>
      <c r="M1599" s="2">
        <f t="shared" si="381"/>
        <v>2250</v>
      </c>
      <c r="N1599" s="112">
        <f t="shared" si="372"/>
        <v>17000000</v>
      </c>
      <c r="O1599" s="2">
        <f t="shared" si="382"/>
        <v>855065</v>
      </c>
      <c r="P1599" s="113">
        <f t="shared" si="383"/>
        <v>9.9999999999999998E-13</v>
      </c>
      <c r="Q1599" s="121">
        <f t="shared" si="373"/>
        <v>2212338</v>
      </c>
    </row>
    <row r="1600" spans="2:17" hidden="1" x14ac:dyDescent="0.4">
      <c r="B1600" s="110">
        <v>45521</v>
      </c>
      <c r="C1600" s="122">
        <f t="shared" si="374"/>
        <v>3000000</v>
      </c>
      <c r="D1600" s="111">
        <f t="shared" si="375"/>
        <v>69653</v>
      </c>
      <c r="E1600" s="2">
        <f t="shared" si="376"/>
        <v>2250</v>
      </c>
      <c r="F1600" s="112">
        <f t="shared" si="370"/>
        <v>17000000</v>
      </c>
      <c r="G1600" s="2">
        <f t="shared" si="377"/>
        <v>855065</v>
      </c>
      <c r="H1600" s="113">
        <f t="shared" si="378"/>
        <v>9.9999999999999998E-13</v>
      </c>
      <c r="I1600" s="121">
        <f t="shared" si="371"/>
        <v>2212338</v>
      </c>
      <c r="K1600" s="123">
        <f t="shared" si="379"/>
        <v>3000000</v>
      </c>
      <c r="L1600" s="111">
        <f t="shared" si="380"/>
        <v>69653</v>
      </c>
      <c r="M1600" s="2">
        <f t="shared" si="381"/>
        <v>2250</v>
      </c>
      <c r="N1600" s="112">
        <f t="shared" si="372"/>
        <v>17000000</v>
      </c>
      <c r="O1600" s="2">
        <f t="shared" si="382"/>
        <v>855065</v>
      </c>
      <c r="P1600" s="113">
        <f t="shared" si="383"/>
        <v>9.9999999999999998E-13</v>
      </c>
      <c r="Q1600" s="121">
        <f t="shared" si="373"/>
        <v>2212338</v>
      </c>
    </row>
    <row r="1601" spans="2:17" hidden="1" x14ac:dyDescent="0.4">
      <c r="B1601" s="110">
        <v>45522</v>
      </c>
      <c r="C1601" s="122">
        <f t="shared" si="374"/>
        <v>3000000</v>
      </c>
      <c r="D1601" s="111">
        <f t="shared" si="375"/>
        <v>69653</v>
      </c>
      <c r="E1601" s="2">
        <f t="shared" si="376"/>
        <v>2250</v>
      </c>
      <c r="F1601" s="112">
        <f t="shared" si="370"/>
        <v>17000000</v>
      </c>
      <c r="G1601" s="2">
        <f t="shared" si="377"/>
        <v>855065</v>
      </c>
      <c r="H1601" s="113">
        <f t="shared" si="378"/>
        <v>9.9999999999999998E-13</v>
      </c>
      <c r="I1601" s="121">
        <f t="shared" si="371"/>
        <v>2212338</v>
      </c>
      <c r="K1601" s="123">
        <f t="shared" si="379"/>
        <v>3000000</v>
      </c>
      <c r="L1601" s="111">
        <f t="shared" si="380"/>
        <v>69653</v>
      </c>
      <c r="M1601" s="2">
        <f t="shared" si="381"/>
        <v>2250</v>
      </c>
      <c r="N1601" s="112">
        <f t="shared" si="372"/>
        <v>17000000</v>
      </c>
      <c r="O1601" s="2">
        <f t="shared" si="382"/>
        <v>855065</v>
      </c>
      <c r="P1601" s="113">
        <f t="shared" si="383"/>
        <v>9.9999999999999998E-13</v>
      </c>
      <c r="Q1601" s="121">
        <f t="shared" si="373"/>
        <v>2212338</v>
      </c>
    </row>
    <row r="1602" spans="2:17" hidden="1" x14ac:dyDescent="0.4">
      <c r="B1602" s="110">
        <v>45523</v>
      </c>
      <c r="C1602" s="122">
        <f t="shared" si="374"/>
        <v>3000000</v>
      </c>
      <c r="D1602" s="111">
        <f t="shared" si="375"/>
        <v>69653</v>
      </c>
      <c r="E1602" s="2">
        <f t="shared" si="376"/>
        <v>2250</v>
      </c>
      <c r="F1602" s="112">
        <f t="shared" si="370"/>
        <v>17000000</v>
      </c>
      <c r="G1602" s="2">
        <f t="shared" si="377"/>
        <v>855065</v>
      </c>
      <c r="H1602" s="113">
        <f t="shared" si="378"/>
        <v>9.9999999999999998E-13</v>
      </c>
      <c r="I1602" s="121">
        <f t="shared" si="371"/>
        <v>2212338</v>
      </c>
      <c r="K1602" s="123">
        <f t="shared" si="379"/>
        <v>3000000</v>
      </c>
      <c r="L1602" s="111">
        <f t="shared" si="380"/>
        <v>69653</v>
      </c>
      <c r="M1602" s="2">
        <f t="shared" si="381"/>
        <v>2250</v>
      </c>
      <c r="N1602" s="112">
        <f t="shared" si="372"/>
        <v>17000000</v>
      </c>
      <c r="O1602" s="2">
        <f t="shared" si="382"/>
        <v>855065</v>
      </c>
      <c r="P1602" s="113">
        <f t="shared" si="383"/>
        <v>9.9999999999999998E-13</v>
      </c>
      <c r="Q1602" s="121">
        <f t="shared" si="373"/>
        <v>2212338</v>
      </c>
    </row>
    <row r="1603" spans="2:17" hidden="1" x14ac:dyDescent="0.4">
      <c r="B1603" s="110">
        <v>45524</v>
      </c>
      <c r="C1603" s="122">
        <f t="shared" si="374"/>
        <v>3000000</v>
      </c>
      <c r="D1603" s="111">
        <f t="shared" si="375"/>
        <v>69653</v>
      </c>
      <c r="E1603" s="2">
        <f t="shared" si="376"/>
        <v>2250</v>
      </c>
      <c r="F1603" s="112">
        <f t="shared" si="370"/>
        <v>17000000</v>
      </c>
      <c r="G1603" s="2">
        <f t="shared" si="377"/>
        <v>855065</v>
      </c>
      <c r="H1603" s="113">
        <f t="shared" si="378"/>
        <v>9.9999999999999998E-13</v>
      </c>
      <c r="I1603" s="121">
        <f t="shared" si="371"/>
        <v>2212338</v>
      </c>
      <c r="K1603" s="123">
        <f t="shared" si="379"/>
        <v>3000000</v>
      </c>
      <c r="L1603" s="111">
        <f t="shared" si="380"/>
        <v>69653</v>
      </c>
      <c r="M1603" s="2">
        <f t="shared" si="381"/>
        <v>2250</v>
      </c>
      <c r="N1603" s="112">
        <f t="shared" si="372"/>
        <v>17000000</v>
      </c>
      <c r="O1603" s="2">
        <f t="shared" si="382"/>
        <v>855065</v>
      </c>
      <c r="P1603" s="113">
        <f t="shared" si="383"/>
        <v>9.9999999999999998E-13</v>
      </c>
      <c r="Q1603" s="121">
        <f t="shared" si="373"/>
        <v>2212338</v>
      </c>
    </row>
    <row r="1604" spans="2:17" hidden="1" x14ac:dyDescent="0.4">
      <c r="B1604" s="110">
        <v>45525</v>
      </c>
      <c r="C1604" s="122">
        <f t="shared" si="374"/>
        <v>3000000</v>
      </c>
      <c r="D1604" s="111">
        <f t="shared" si="375"/>
        <v>69653</v>
      </c>
      <c r="E1604" s="2">
        <f t="shared" si="376"/>
        <v>2250</v>
      </c>
      <c r="F1604" s="112">
        <f t="shared" si="370"/>
        <v>17000000</v>
      </c>
      <c r="G1604" s="2">
        <f t="shared" si="377"/>
        <v>855065</v>
      </c>
      <c r="H1604" s="113">
        <f t="shared" si="378"/>
        <v>9.9999999999999998E-13</v>
      </c>
      <c r="I1604" s="121">
        <f t="shared" si="371"/>
        <v>2212338</v>
      </c>
      <c r="K1604" s="123">
        <f t="shared" si="379"/>
        <v>3000000</v>
      </c>
      <c r="L1604" s="111">
        <f t="shared" si="380"/>
        <v>69653</v>
      </c>
      <c r="M1604" s="2">
        <f t="shared" si="381"/>
        <v>2250</v>
      </c>
      <c r="N1604" s="112">
        <f t="shared" si="372"/>
        <v>17000000</v>
      </c>
      <c r="O1604" s="2">
        <f t="shared" si="382"/>
        <v>855065</v>
      </c>
      <c r="P1604" s="113">
        <f t="shared" si="383"/>
        <v>9.9999999999999998E-13</v>
      </c>
      <c r="Q1604" s="121">
        <f t="shared" si="373"/>
        <v>2212338</v>
      </c>
    </row>
    <row r="1605" spans="2:17" hidden="1" x14ac:dyDescent="0.4">
      <c r="B1605" s="110">
        <v>45526</v>
      </c>
      <c r="C1605" s="122">
        <f t="shared" si="374"/>
        <v>3000000</v>
      </c>
      <c r="D1605" s="111">
        <f t="shared" si="375"/>
        <v>69653</v>
      </c>
      <c r="E1605" s="2">
        <f t="shared" si="376"/>
        <v>2250</v>
      </c>
      <c r="F1605" s="112">
        <f t="shared" si="370"/>
        <v>17000000</v>
      </c>
      <c r="G1605" s="2">
        <f t="shared" si="377"/>
        <v>855065</v>
      </c>
      <c r="H1605" s="113">
        <f t="shared" si="378"/>
        <v>9.9999999999999998E-13</v>
      </c>
      <c r="I1605" s="121">
        <f t="shared" si="371"/>
        <v>2212338</v>
      </c>
      <c r="K1605" s="123">
        <f t="shared" si="379"/>
        <v>3000000</v>
      </c>
      <c r="L1605" s="111">
        <f t="shared" si="380"/>
        <v>69653</v>
      </c>
      <c r="M1605" s="2">
        <f t="shared" si="381"/>
        <v>2250</v>
      </c>
      <c r="N1605" s="112">
        <f t="shared" si="372"/>
        <v>17000000</v>
      </c>
      <c r="O1605" s="2">
        <f t="shared" si="382"/>
        <v>855065</v>
      </c>
      <c r="P1605" s="113">
        <f t="shared" si="383"/>
        <v>9.9999999999999998E-13</v>
      </c>
      <c r="Q1605" s="121">
        <f t="shared" si="373"/>
        <v>2212338</v>
      </c>
    </row>
    <row r="1606" spans="2:17" hidden="1" x14ac:dyDescent="0.4">
      <c r="B1606" s="110">
        <v>45527</v>
      </c>
      <c r="C1606" s="122">
        <f t="shared" si="374"/>
        <v>3000000</v>
      </c>
      <c r="D1606" s="111">
        <f t="shared" si="375"/>
        <v>69653</v>
      </c>
      <c r="E1606" s="2">
        <f t="shared" si="376"/>
        <v>2250</v>
      </c>
      <c r="F1606" s="112">
        <f t="shared" si="370"/>
        <v>17000000</v>
      </c>
      <c r="G1606" s="2">
        <f t="shared" si="377"/>
        <v>855065</v>
      </c>
      <c r="H1606" s="113">
        <f t="shared" si="378"/>
        <v>9.9999999999999998E-13</v>
      </c>
      <c r="I1606" s="121">
        <f t="shared" si="371"/>
        <v>2212338</v>
      </c>
      <c r="K1606" s="123">
        <f t="shared" si="379"/>
        <v>3000000</v>
      </c>
      <c r="L1606" s="111">
        <f t="shared" si="380"/>
        <v>69653</v>
      </c>
      <c r="M1606" s="2">
        <f t="shared" si="381"/>
        <v>2250</v>
      </c>
      <c r="N1606" s="112">
        <f t="shared" si="372"/>
        <v>17000000</v>
      </c>
      <c r="O1606" s="2">
        <f t="shared" si="382"/>
        <v>855065</v>
      </c>
      <c r="P1606" s="113">
        <f t="shared" si="383"/>
        <v>9.9999999999999998E-13</v>
      </c>
      <c r="Q1606" s="121">
        <f t="shared" si="373"/>
        <v>2212338</v>
      </c>
    </row>
    <row r="1607" spans="2:17" hidden="1" x14ac:dyDescent="0.4">
      <c r="B1607" s="110">
        <v>45528</v>
      </c>
      <c r="C1607" s="122">
        <f t="shared" si="374"/>
        <v>3000000</v>
      </c>
      <c r="D1607" s="111">
        <f t="shared" si="375"/>
        <v>69653</v>
      </c>
      <c r="E1607" s="2">
        <f t="shared" si="376"/>
        <v>2250</v>
      </c>
      <c r="F1607" s="112">
        <f t="shared" si="370"/>
        <v>17000000</v>
      </c>
      <c r="G1607" s="2">
        <f t="shared" si="377"/>
        <v>855065</v>
      </c>
      <c r="H1607" s="113">
        <f t="shared" si="378"/>
        <v>9.9999999999999998E-13</v>
      </c>
      <c r="I1607" s="121">
        <f t="shared" si="371"/>
        <v>2212338</v>
      </c>
      <c r="K1607" s="123">
        <f t="shared" si="379"/>
        <v>3000000</v>
      </c>
      <c r="L1607" s="111">
        <f t="shared" si="380"/>
        <v>69653</v>
      </c>
      <c r="M1607" s="2">
        <f t="shared" si="381"/>
        <v>2250</v>
      </c>
      <c r="N1607" s="112">
        <f t="shared" si="372"/>
        <v>17000000</v>
      </c>
      <c r="O1607" s="2">
        <f t="shared" si="382"/>
        <v>855065</v>
      </c>
      <c r="P1607" s="113">
        <f t="shared" si="383"/>
        <v>9.9999999999999998E-13</v>
      </c>
      <c r="Q1607" s="121">
        <f t="shared" si="373"/>
        <v>2212338</v>
      </c>
    </row>
    <row r="1608" spans="2:17" hidden="1" x14ac:dyDescent="0.4">
      <c r="B1608" s="110">
        <v>45529</v>
      </c>
      <c r="C1608" s="122">
        <f t="shared" si="374"/>
        <v>3000000</v>
      </c>
      <c r="D1608" s="111">
        <f t="shared" si="375"/>
        <v>69653</v>
      </c>
      <c r="E1608" s="2">
        <f t="shared" si="376"/>
        <v>2250</v>
      </c>
      <c r="F1608" s="112">
        <f t="shared" si="370"/>
        <v>17000000</v>
      </c>
      <c r="G1608" s="2">
        <f t="shared" si="377"/>
        <v>855065</v>
      </c>
      <c r="H1608" s="113">
        <f t="shared" si="378"/>
        <v>9.9999999999999998E-13</v>
      </c>
      <c r="I1608" s="121">
        <f t="shared" si="371"/>
        <v>2212338</v>
      </c>
      <c r="K1608" s="123">
        <f t="shared" si="379"/>
        <v>3000000</v>
      </c>
      <c r="L1608" s="111">
        <f t="shared" si="380"/>
        <v>69653</v>
      </c>
      <c r="M1608" s="2">
        <f t="shared" si="381"/>
        <v>2250</v>
      </c>
      <c r="N1608" s="112">
        <f t="shared" si="372"/>
        <v>17000000</v>
      </c>
      <c r="O1608" s="2">
        <f t="shared" si="382"/>
        <v>855065</v>
      </c>
      <c r="P1608" s="113">
        <f t="shared" si="383"/>
        <v>9.9999999999999998E-13</v>
      </c>
      <c r="Q1608" s="121">
        <f t="shared" si="373"/>
        <v>2212338</v>
      </c>
    </row>
    <row r="1609" spans="2:17" hidden="1" x14ac:dyDescent="0.4">
      <c r="B1609" s="110">
        <v>45530</v>
      </c>
      <c r="C1609" s="122">
        <f t="shared" si="374"/>
        <v>3000000</v>
      </c>
      <c r="D1609" s="111">
        <f t="shared" si="375"/>
        <v>69653</v>
      </c>
      <c r="E1609" s="2">
        <f t="shared" si="376"/>
        <v>2250</v>
      </c>
      <c r="F1609" s="112">
        <f t="shared" si="370"/>
        <v>17000000</v>
      </c>
      <c r="G1609" s="2">
        <f t="shared" si="377"/>
        <v>855065</v>
      </c>
      <c r="H1609" s="113">
        <f t="shared" si="378"/>
        <v>9.9999999999999998E-13</v>
      </c>
      <c r="I1609" s="121">
        <f t="shared" si="371"/>
        <v>2212338</v>
      </c>
      <c r="K1609" s="123">
        <f t="shared" si="379"/>
        <v>3000000</v>
      </c>
      <c r="L1609" s="111">
        <f t="shared" si="380"/>
        <v>69653</v>
      </c>
      <c r="M1609" s="2">
        <f t="shared" si="381"/>
        <v>2250</v>
      </c>
      <c r="N1609" s="112">
        <f t="shared" si="372"/>
        <v>17000000</v>
      </c>
      <c r="O1609" s="2">
        <f t="shared" si="382"/>
        <v>855065</v>
      </c>
      <c r="P1609" s="113">
        <f t="shared" si="383"/>
        <v>9.9999999999999998E-13</v>
      </c>
      <c r="Q1609" s="121">
        <f t="shared" si="373"/>
        <v>2212338</v>
      </c>
    </row>
    <row r="1610" spans="2:17" hidden="1" x14ac:dyDescent="0.4">
      <c r="B1610" s="110">
        <v>45531</v>
      </c>
      <c r="C1610" s="122">
        <f t="shared" si="374"/>
        <v>3000000</v>
      </c>
      <c r="D1610" s="111">
        <f t="shared" si="375"/>
        <v>69653</v>
      </c>
      <c r="E1610" s="2">
        <f t="shared" si="376"/>
        <v>2250</v>
      </c>
      <c r="F1610" s="112">
        <f t="shared" ref="F1610:F1673" si="384">20000000-C1610</f>
        <v>17000000</v>
      </c>
      <c r="G1610" s="2">
        <f t="shared" si="377"/>
        <v>855065</v>
      </c>
      <c r="H1610" s="113">
        <f t="shared" si="378"/>
        <v>9.9999999999999998E-13</v>
      </c>
      <c r="I1610" s="121">
        <f t="shared" ref="I1610:I1673" si="385">C1610+D1610-G1610-E1610+H1610</f>
        <v>2212338</v>
      </c>
      <c r="K1610" s="123">
        <f t="shared" si="379"/>
        <v>3000000</v>
      </c>
      <c r="L1610" s="111">
        <f t="shared" si="380"/>
        <v>69653</v>
      </c>
      <c r="M1610" s="2">
        <f t="shared" si="381"/>
        <v>2250</v>
      </c>
      <c r="N1610" s="112">
        <f t="shared" ref="N1610:N1673" si="386">20000000-K1610</f>
        <v>17000000</v>
      </c>
      <c r="O1610" s="2">
        <f t="shared" si="382"/>
        <v>855065</v>
      </c>
      <c r="P1610" s="113">
        <f t="shared" si="383"/>
        <v>9.9999999999999998E-13</v>
      </c>
      <c r="Q1610" s="121">
        <f t="shared" ref="Q1610:Q1673" si="387">K1610+L1610-O1610-M1610+P1610</f>
        <v>2212338</v>
      </c>
    </row>
    <row r="1611" spans="2:17" hidden="1" x14ac:dyDescent="0.4">
      <c r="B1611" s="110">
        <v>45532</v>
      </c>
      <c r="C1611" s="122">
        <f t="shared" ref="C1611:C1674" si="388">SUMIF($B$6:$B$75,$B1611,$D$6:$D$75)+C1610</f>
        <v>3000000</v>
      </c>
      <c r="D1611" s="111">
        <f t="shared" ref="D1611:D1674" si="389">SUMIF($B$6:$B$75,$B1611,$E$6:$E$75)+D1610</f>
        <v>69653</v>
      </c>
      <c r="E1611" s="2">
        <f t="shared" ref="E1611:E1674" si="390">SUMIF($G$353:$G$376,$B1611,$J$353:$J$376)+SUMIF($E$353:$E$376,$B1611,$H$353:$H$376)+SUMIF($G$353:$G$376,$B1611,$I$353:$I$376)+E1610</f>
        <v>2250</v>
      </c>
      <c r="F1611" s="112">
        <f t="shared" si="384"/>
        <v>17000000</v>
      </c>
      <c r="G1611" s="2">
        <f t="shared" ref="G1611:G1674" si="391">SUMIF($E$353:$E$376,$B1611,$M$353:$M$376)+G1610</f>
        <v>855065</v>
      </c>
      <c r="H1611" s="113">
        <f t="shared" ref="H1611:H1674" si="392">SUMIF($G$353:$G$376,$B1611,$N$353:$N$376)+H1610</f>
        <v>9.9999999999999998E-13</v>
      </c>
      <c r="I1611" s="121">
        <f t="shared" si="385"/>
        <v>2212338</v>
      </c>
      <c r="K1611" s="123">
        <f t="shared" ref="K1611:K1674" si="393">SUMIF($B$6:$B$75,$B1611,$D$6:$D$75)+K1610</f>
        <v>3000000</v>
      </c>
      <c r="L1611" s="111">
        <f t="shared" ref="L1611:L1674" si="394">SUMIF($B$6:$B$75,$B1611,$E$6:$E$75)+L1610</f>
        <v>69653</v>
      </c>
      <c r="M1611" s="2">
        <f t="shared" ref="M1611:M1674" si="395">SUMIF($G$353:$G$376,$B1611,$J$353:$J$376)+SUMIF($E$353:$E$376,$B1611,$H$353:$H$376)+SUMIF($G$353:$G$376,$B1611,$I$353:$I$376)+M1610</f>
        <v>2250</v>
      </c>
      <c r="N1611" s="112">
        <f t="shared" si="386"/>
        <v>17000000</v>
      </c>
      <c r="O1611" s="2">
        <f t="shared" ref="O1611:O1674" si="396">SUMIF($E$353:$E$376,$B1611,$M$353:$M$376)+O1610</f>
        <v>855065</v>
      </c>
      <c r="P1611" s="113">
        <f t="shared" ref="P1611:P1674" si="397">SUMIF($G$353:$G$376,$B1611,$N$353:$N$376)+P1610</f>
        <v>9.9999999999999998E-13</v>
      </c>
      <c r="Q1611" s="121">
        <f t="shared" si="387"/>
        <v>2212338</v>
      </c>
    </row>
    <row r="1612" spans="2:17" hidden="1" x14ac:dyDescent="0.4">
      <c r="B1612" s="110">
        <v>45533</v>
      </c>
      <c r="C1612" s="122">
        <f t="shared" si="388"/>
        <v>3000000</v>
      </c>
      <c r="D1612" s="111">
        <f t="shared" si="389"/>
        <v>69653</v>
      </c>
      <c r="E1612" s="2">
        <f t="shared" si="390"/>
        <v>2250</v>
      </c>
      <c r="F1612" s="112">
        <f t="shared" si="384"/>
        <v>17000000</v>
      </c>
      <c r="G1612" s="2">
        <f t="shared" si="391"/>
        <v>855065</v>
      </c>
      <c r="H1612" s="113">
        <f t="shared" si="392"/>
        <v>9.9999999999999998E-13</v>
      </c>
      <c r="I1612" s="121">
        <f t="shared" si="385"/>
        <v>2212338</v>
      </c>
      <c r="K1612" s="123">
        <f t="shared" si="393"/>
        <v>3000000</v>
      </c>
      <c r="L1612" s="111">
        <f t="shared" si="394"/>
        <v>69653</v>
      </c>
      <c r="M1612" s="2">
        <f t="shared" si="395"/>
        <v>2250</v>
      </c>
      <c r="N1612" s="112">
        <f t="shared" si="386"/>
        <v>17000000</v>
      </c>
      <c r="O1612" s="2">
        <f t="shared" si="396"/>
        <v>855065</v>
      </c>
      <c r="P1612" s="113">
        <f t="shared" si="397"/>
        <v>9.9999999999999998E-13</v>
      </c>
      <c r="Q1612" s="121">
        <f t="shared" si="387"/>
        <v>2212338</v>
      </c>
    </row>
    <row r="1613" spans="2:17" hidden="1" x14ac:dyDescent="0.4">
      <c r="B1613" s="110">
        <v>45534</v>
      </c>
      <c r="C1613" s="122">
        <f t="shared" si="388"/>
        <v>3000000</v>
      </c>
      <c r="D1613" s="111">
        <f t="shared" si="389"/>
        <v>69653</v>
      </c>
      <c r="E1613" s="2">
        <f t="shared" si="390"/>
        <v>2250</v>
      </c>
      <c r="F1613" s="112">
        <f t="shared" si="384"/>
        <v>17000000</v>
      </c>
      <c r="G1613" s="2">
        <f t="shared" si="391"/>
        <v>855065</v>
      </c>
      <c r="H1613" s="113">
        <f t="shared" si="392"/>
        <v>9.9999999999999998E-13</v>
      </c>
      <c r="I1613" s="121">
        <f t="shared" si="385"/>
        <v>2212338</v>
      </c>
      <c r="K1613" s="123">
        <f t="shared" si="393"/>
        <v>3000000</v>
      </c>
      <c r="L1613" s="111">
        <f t="shared" si="394"/>
        <v>69653</v>
      </c>
      <c r="M1613" s="2">
        <f t="shared" si="395"/>
        <v>2250</v>
      </c>
      <c r="N1613" s="112">
        <f t="shared" si="386"/>
        <v>17000000</v>
      </c>
      <c r="O1613" s="2">
        <f t="shared" si="396"/>
        <v>855065</v>
      </c>
      <c r="P1613" s="113">
        <f t="shared" si="397"/>
        <v>9.9999999999999998E-13</v>
      </c>
      <c r="Q1613" s="121">
        <f t="shared" si="387"/>
        <v>2212338</v>
      </c>
    </row>
    <row r="1614" spans="2:17" hidden="1" x14ac:dyDescent="0.4">
      <c r="B1614" s="110">
        <v>45535</v>
      </c>
      <c r="C1614" s="122">
        <f t="shared" si="388"/>
        <v>3000000</v>
      </c>
      <c r="D1614" s="111">
        <f t="shared" si="389"/>
        <v>69653</v>
      </c>
      <c r="E1614" s="2">
        <f t="shared" si="390"/>
        <v>2250</v>
      </c>
      <c r="F1614" s="112">
        <f t="shared" si="384"/>
        <v>17000000</v>
      </c>
      <c r="G1614" s="2">
        <f t="shared" si="391"/>
        <v>855065</v>
      </c>
      <c r="H1614" s="113">
        <f t="shared" si="392"/>
        <v>9.9999999999999998E-13</v>
      </c>
      <c r="I1614" s="121">
        <f t="shared" si="385"/>
        <v>2212338</v>
      </c>
      <c r="K1614" s="123">
        <f t="shared" si="393"/>
        <v>3000000</v>
      </c>
      <c r="L1614" s="111">
        <f t="shared" si="394"/>
        <v>69653</v>
      </c>
      <c r="M1614" s="2">
        <f t="shared" si="395"/>
        <v>2250</v>
      </c>
      <c r="N1614" s="112">
        <f t="shared" si="386"/>
        <v>17000000</v>
      </c>
      <c r="O1614" s="2">
        <f t="shared" si="396"/>
        <v>855065</v>
      </c>
      <c r="P1614" s="113">
        <f t="shared" si="397"/>
        <v>9.9999999999999998E-13</v>
      </c>
      <c r="Q1614" s="121">
        <f t="shared" si="387"/>
        <v>2212338</v>
      </c>
    </row>
    <row r="1615" spans="2:17" x14ac:dyDescent="0.4">
      <c r="B1615" s="110">
        <v>45536</v>
      </c>
      <c r="C1615" s="122">
        <f t="shared" si="388"/>
        <v>3000000</v>
      </c>
      <c r="D1615" s="111">
        <f t="shared" si="389"/>
        <v>69653</v>
      </c>
      <c r="E1615" s="2">
        <f t="shared" si="390"/>
        <v>2250</v>
      </c>
      <c r="F1615" s="112">
        <f t="shared" si="384"/>
        <v>17000000</v>
      </c>
      <c r="G1615" s="2">
        <f t="shared" si="391"/>
        <v>855065</v>
      </c>
      <c r="H1615" s="113">
        <f t="shared" si="392"/>
        <v>9.9999999999999998E-13</v>
      </c>
      <c r="I1615" s="121">
        <f t="shared" si="385"/>
        <v>2212338</v>
      </c>
      <c r="K1615" s="123">
        <f t="shared" si="393"/>
        <v>3000000</v>
      </c>
      <c r="L1615" s="111">
        <f t="shared" si="394"/>
        <v>69653</v>
      </c>
      <c r="M1615" s="2">
        <f t="shared" si="395"/>
        <v>2250</v>
      </c>
      <c r="N1615" s="112">
        <f t="shared" si="386"/>
        <v>17000000</v>
      </c>
      <c r="O1615" s="2">
        <f t="shared" si="396"/>
        <v>855065</v>
      </c>
      <c r="P1615" s="113">
        <f t="shared" si="397"/>
        <v>9.9999999999999998E-13</v>
      </c>
      <c r="Q1615" s="121">
        <f t="shared" si="387"/>
        <v>2212338</v>
      </c>
    </row>
    <row r="1616" spans="2:17" hidden="1" x14ac:dyDescent="0.4">
      <c r="B1616" s="110">
        <v>45537</v>
      </c>
      <c r="C1616" s="122">
        <f t="shared" si="388"/>
        <v>3000000</v>
      </c>
      <c r="D1616" s="111">
        <f t="shared" si="389"/>
        <v>74012</v>
      </c>
      <c r="E1616" s="2">
        <f t="shared" si="390"/>
        <v>2250</v>
      </c>
      <c r="F1616" s="112">
        <f t="shared" si="384"/>
        <v>17000000</v>
      </c>
      <c r="G1616" s="2">
        <f t="shared" si="391"/>
        <v>855065</v>
      </c>
      <c r="H1616" s="113">
        <f t="shared" si="392"/>
        <v>9.9999999999999998E-13</v>
      </c>
      <c r="I1616" s="121">
        <f t="shared" si="385"/>
        <v>2216697</v>
      </c>
      <c r="K1616" s="123">
        <f t="shared" si="393"/>
        <v>3000000</v>
      </c>
      <c r="L1616" s="111">
        <f t="shared" si="394"/>
        <v>74012</v>
      </c>
      <c r="M1616" s="2">
        <f t="shared" si="395"/>
        <v>2250</v>
      </c>
      <c r="N1616" s="112">
        <f t="shared" si="386"/>
        <v>17000000</v>
      </c>
      <c r="O1616" s="2">
        <f t="shared" si="396"/>
        <v>855065</v>
      </c>
      <c r="P1616" s="113">
        <f t="shared" si="397"/>
        <v>9.9999999999999998E-13</v>
      </c>
      <c r="Q1616" s="121">
        <f t="shared" si="387"/>
        <v>2216697</v>
      </c>
    </row>
    <row r="1617" spans="2:17" hidden="1" x14ac:dyDescent="0.4">
      <c r="B1617" s="110">
        <v>45538</v>
      </c>
      <c r="C1617" s="122">
        <f t="shared" si="388"/>
        <v>3000000</v>
      </c>
      <c r="D1617" s="111">
        <f t="shared" si="389"/>
        <v>74012</v>
      </c>
      <c r="E1617" s="2">
        <f t="shared" si="390"/>
        <v>2250</v>
      </c>
      <c r="F1617" s="112">
        <f t="shared" si="384"/>
        <v>17000000</v>
      </c>
      <c r="G1617" s="2">
        <f t="shared" si="391"/>
        <v>855065</v>
      </c>
      <c r="H1617" s="113">
        <f t="shared" si="392"/>
        <v>9.9999999999999998E-13</v>
      </c>
      <c r="I1617" s="121">
        <f t="shared" si="385"/>
        <v>2216697</v>
      </c>
      <c r="K1617" s="123">
        <f t="shared" si="393"/>
        <v>3000000</v>
      </c>
      <c r="L1617" s="111">
        <f t="shared" si="394"/>
        <v>74012</v>
      </c>
      <c r="M1617" s="2">
        <f t="shared" si="395"/>
        <v>2250</v>
      </c>
      <c r="N1617" s="112">
        <f t="shared" si="386"/>
        <v>17000000</v>
      </c>
      <c r="O1617" s="2">
        <f t="shared" si="396"/>
        <v>855065</v>
      </c>
      <c r="P1617" s="113">
        <f t="shared" si="397"/>
        <v>9.9999999999999998E-13</v>
      </c>
      <c r="Q1617" s="121">
        <f t="shared" si="387"/>
        <v>2216697</v>
      </c>
    </row>
    <row r="1618" spans="2:17" hidden="1" x14ac:dyDescent="0.4">
      <c r="B1618" s="110">
        <v>45539</v>
      </c>
      <c r="C1618" s="122">
        <f t="shared" si="388"/>
        <v>3000000</v>
      </c>
      <c r="D1618" s="111">
        <f t="shared" si="389"/>
        <v>74012</v>
      </c>
      <c r="E1618" s="2">
        <f t="shared" si="390"/>
        <v>2250</v>
      </c>
      <c r="F1618" s="112">
        <f t="shared" si="384"/>
        <v>17000000</v>
      </c>
      <c r="G1618" s="2">
        <f t="shared" si="391"/>
        <v>855065</v>
      </c>
      <c r="H1618" s="113">
        <f t="shared" si="392"/>
        <v>9.9999999999999998E-13</v>
      </c>
      <c r="I1618" s="121">
        <f t="shared" si="385"/>
        <v>2216697</v>
      </c>
      <c r="K1618" s="123">
        <f t="shared" si="393"/>
        <v>3000000</v>
      </c>
      <c r="L1618" s="111">
        <f t="shared" si="394"/>
        <v>74012</v>
      </c>
      <c r="M1618" s="2">
        <f t="shared" si="395"/>
        <v>2250</v>
      </c>
      <c r="N1618" s="112">
        <f t="shared" si="386"/>
        <v>17000000</v>
      </c>
      <c r="O1618" s="2">
        <f t="shared" si="396"/>
        <v>855065</v>
      </c>
      <c r="P1618" s="113">
        <f t="shared" si="397"/>
        <v>9.9999999999999998E-13</v>
      </c>
      <c r="Q1618" s="121">
        <f t="shared" si="387"/>
        <v>2216697</v>
      </c>
    </row>
    <row r="1619" spans="2:17" hidden="1" x14ac:dyDescent="0.4">
      <c r="B1619" s="110">
        <v>45540</v>
      </c>
      <c r="C1619" s="122">
        <f t="shared" si="388"/>
        <v>3000000</v>
      </c>
      <c r="D1619" s="111">
        <f t="shared" si="389"/>
        <v>74012</v>
      </c>
      <c r="E1619" s="2">
        <f t="shared" si="390"/>
        <v>2250</v>
      </c>
      <c r="F1619" s="112">
        <f t="shared" si="384"/>
        <v>17000000</v>
      </c>
      <c r="G1619" s="2">
        <f t="shared" si="391"/>
        <v>855065</v>
      </c>
      <c r="H1619" s="113">
        <f t="shared" si="392"/>
        <v>9.9999999999999998E-13</v>
      </c>
      <c r="I1619" s="121">
        <f t="shared" si="385"/>
        <v>2216697</v>
      </c>
      <c r="K1619" s="123">
        <f t="shared" si="393"/>
        <v>3000000</v>
      </c>
      <c r="L1619" s="111">
        <f t="shared" si="394"/>
        <v>74012</v>
      </c>
      <c r="M1619" s="2">
        <f t="shared" si="395"/>
        <v>2250</v>
      </c>
      <c r="N1619" s="112">
        <f t="shared" si="386"/>
        <v>17000000</v>
      </c>
      <c r="O1619" s="2">
        <f t="shared" si="396"/>
        <v>855065</v>
      </c>
      <c r="P1619" s="113">
        <f t="shared" si="397"/>
        <v>9.9999999999999998E-13</v>
      </c>
      <c r="Q1619" s="121">
        <f t="shared" si="387"/>
        <v>2216697</v>
      </c>
    </row>
    <row r="1620" spans="2:17" hidden="1" x14ac:dyDescent="0.4">
      <c r="B1620" s="110">
        <v>45541</v>
      </c>
      <c r="C1620" s="122">
        <f t="shared" si="388"/>
        <v>3000000</v>
      </c>
      <c r="D1620" s="111">
        <f t="shared" si="389"/>
        <v>74012</v>
      </c>
      <c r="E1620" s="2">
        <f t="shared" si="390"/>
        <v>2250</v>
      </c>
      <c r="F1620" s="112">
        <f t="shared" si="384"/>
        <v>17000000</v>
      </c>
      <c r="G1620" s="2">
        <f t="shared" si="391"/>
        <v>855065</v>
      </c>
      <c r="H1620" s="113">
        <f t="shared" si="392"/>
        <v>9.9999999999999998E-13</v>
      </c>
      <c r="I1620" s="121">
        <f t="shared" si="385"/>
        <v>2216697</v>
      </c>
      <c r="K1620" s="123">
        <f t="shared" si="393"/>
        <v>3000000</v>
      </c>
      <c r="L1620" s="111">
        <f t="shared" si="394"/>
        <v>74012</v>
      </c>
      <c r="M1620" s="2">
        <f t="shared" si="395"/>
        <v>2250</v>
      </c>
      <c r="N1620" s="112">
        <f t="shared" si="386"/>
        <v>17000000</v>
      </c>
      <c r="O1620" s="2">
        <f t="shared" si="396"/>
        <v>855065</v>
      </c>
      <c r="P1620" s="113">
        <f t="shared" si="397"/>
        <v>9.9999999999999998E-13</v>
      </c>
      <c r="Q1620" s="121">
        <f t="shared" si="387"/>
        <v>2216697</v>
      </c>
    </row>
    <row r="1621" spans="2:17" hidden="1" x14ac:dyDescent="0.4">
      <c r="B1621" s="110">
        <v>45542</v>
      </c>
      <c r="C1621" s="122">
        <f t="shared" si="388"/>
        <v>3000000</v>
      </c>
      <c r="D1621" s="111">
        <f t="shared" si="389"/>
        <v>74012</v>
      </c>
      <c r="E1621" s="2">
        <f t="shared" si="390"/>
        <v>2250</v>
      </c>
      <c r="F1621" s="112">
        <f t="shared" si="384"/>
        <v>17000000</v>
      </c>
      <c r="G1621" s="2">
        <f t="shared" si="391"/>
        <v>855065</v>
      </c>
      <c r="H1621" s="113">
        <f t="shared" si="392"/>
        <v>9.9999999999999998E-13</v>
      </c>
      <c r="I1621" s="121">
        <f t="shared" si="385"/>
        <v>2216697</v>
      </c>
      <c r="K1621" s="123">
        <f t="shared" si="393"/>
        <v>3000000</v>
      </c>
      <c r="L1621" s="111">
        <f t="shared" si="394"/>
        <v>74012</v>
      </c>
      <c r="M1621" s="2">
        <f t="shared" si="395"/>
        <v>2250</v>
      </c>
      <c r="N1621" s="112">
        <f t="shared" si="386"/>
        <v>17000000</v>
      </c>
      <c r="O1621" s="2">
        <f t="shared" si="396"/>
        <v>855065</v>
      </c>
      <c r="P1621" s="113">
        <f t="shared" si="397"/>
        <v>9.9999999999999998E-13</v>
      </c>
      <c r="Q1621" s="121">
        <f t="shared" si="387"/>
        <v>2216697</v>
      </c>
    </row>
    <row r="1622" spans="2:17" hidden="1" x14ac:dyDescent="0.4">
      <c r="B1622" s="110">
        <v>45543</v>
      </c>
      <c r="C1622" s="122">
        <f t="shared" si="388"/>
        <v>3000000</v>
      </c>
      <c r="D1622" s="111">
        <f t="shared" si="389"/>
        <v>74012</v>
      </c>
      <c r="E1622" s="2">
        <f t="shared" si="390"/>
        <v>2250</v>
      </c>
      <c r="F1622" s="112">
        <f t="shared" si="384"/>
        <v>17000000</v>
      </c>
      <c r="G1622" s="2">
        <f t="shared" si="391"/>
        <v>855065</v>
      </c>
      <c r="H1622" s="113">
        <f t="shared" si="392"/>
        <v>9.9999999999999998E-13</v>
      </c>
      <c r="I1622" s="121">
        <f t="shared" si="385"/>
        <v>2216697</v>
      </c>
      <c r="K1622" s="123">
        <f t="shared" si="393"/>
        <v>3000000</v>
      </c>
      <c r="L1622" s="111">
        <f t="shared" si="394"/>
        <v>74012</v>
      </c>
      <c r="M1622" s="2">
        <f t="shared" si="395"/>
        <v>2250</v>
      </c>
      <c r="N1622" s="112">
        <f t="shared" si="386"/>
        <v>17000000</v>
      </c>
      <c r="O1622" s="2">
        <f t="shared" si="396"/>
        <v>855065</v>
      </c>
      <c r="P1622" s="113">
        <f t="shared" si="397"/>
        <v>9.9999999999999998E-13</v>
      </c>
      <c r="Q1622" s="121">
        <f t="shared" si="387"/>
        <v>2216697</v>
      </c>
    </row>
    <row r="1623" spans="2:17" hidden="1" x14ac:dyDescent="0.4">
      <c r="B1623" s="110">
        <v>45544</v>
      </c>
      <c r="C1623" s="122">
        <f t="shared" si="388"/>
        <v>3000000</v>
      </c>
      <c r="D1623" s="111">
        <f t="shared" si="389"/>
        <v>74012</v>
      </c>
      <c r="E1623" s="2">
        <f t="shared" si="390"/>
        <v>2250</v>
      </c>
      <c r="F1623" s="112">
        <f t="shared" si="384"/>
        <v>17000000</v>
      </c>
      <c r="G1623" s="2">
        <f t="shared" si="391"/>
        <v>855065</v>
      </c>
      <c r="H1623" s="113">
        <f t="shared" si="392"/>
        <v>9.9999999999999998E-13</v>
      </c>
      <c r="I1623" s="121">
        <f t="shared" si="385"/>
        <v>2216697</v>
      </c>
      <c r="K1623" s="123">
        <f t="shared" si="393"/>
        <v>3000000</v>
      </c>
      <c r="L1623" s="111">
        <f t="shared" si="394"/>
        <v>74012</v>
      </c>
      <c r="M1623" s="2">
        <f t="shared" si="395"/>
        <v>2250</v>
      </c>
      <c r="N1623" s="112">
        <f t="shared" si="386"/>
        <v>17000000</v>
      </c>
      <c r="O1623" s="2">
        <f t="shared" si="396"/>
        <v>855065</v>
      </c>
      <c r="P1623" s="113">
        <f t="shared" si="397"/>
        <v>9.9999999999999998E-13</v>
      </c>
      <c r="Q1623" s="121">
        <f t="shared" si="387"/>
        <v>2216697</v>
      </c>
    </row>
    <row r="1624" spans="2:17" hidden="1" x14ac:dyDescent="0.4">
      <c r="B1624" s="110">
        <v>45545</v>
      </c>
      <c r="C1624" s="122">
        <f t="shared" si="388"/>
        <v>3000000</v>
      </c>
      <c r="D1624" s="111">
        <f t="shared" si="389"/>
        <v>74012</v>
      </c>
      <c r="E1624" s="2">
        <f t="shared" si="390"/>
        <v>2250</v>
      </c>
      <c r="F1624" s="112">
        <f t="shared" si="384"/>
        <v>17000000</v>
      </c>
      <c r="G1624" s="2">
        <f t="shared" si="391"/>
        <v>855065</v>
      </c>
      <c r="H1624" s="113">
        <f t="shared" si="392"/>
        <v>9.9999999999999998E-13</v>
      </c>
      <c r="I1624" s="121">
        <f t="shared" si="385"/>
        <v>2216697</v>
      </c>
      <c r="K1624" s="123">
        <f t="shared" si="393"/>
        <v>3000000</v>
      </c>
      <c r="L1624" s="111">
        <f t="shared" si="394"/>
        <v>74012</v>
      </c>
      <c r="M1624" s="2">
        <f t="shared" si="395"/>
        <v>2250</v>
      </c>
      <c r="N1624" s="112">
        <f t="shared" si="386"/>
        <v>17000000</v>
      </c>
      <c r="O1624" s="2">
        <f t="shared" si="396"/>
        <v>855065</v>
      </c>
      <c r="P1624" s="113">
        <f t="shared" si="397"/>
        <v>9.9999999999999998E-13</v>
      </c>
      <c r="Q1624" s="121">
        <f t="shared" si="387"/>
        <v>2216697</v>
      </c>
    </row>
    <row r="1625" spans="2:17" hidden="1" x14ac:dyDescent="0.4">
      <c r="B1625" s="110">
        <v>45546</v>
      </c>
      <c r="C1625" s="122">
        <f t="shared" si="388"/>
        <v>3000000</v>
      </c>
      <c r="D1625" s="111">
        <f t="shared" si="389"/>
        <v>74012</v>
      </c>
      <c r="E1625" s="2">
        <f t="shared" si="390"/>
        <v>2250</v>
      </c>
      <c r="F1625" s="112">
        <f t="shared" si="384"/>
        <v>17000000</v>
      </c>
      <c r="G1625" s="2">
        <f t="shared" si="391"/>
        <v>855065</v>
      </c>
      <c r="H1625" s="113">
        <f t="shared" si="392"/>
        <v>9.9999999999999998E-13</v>
      </c>
      <c r="I1625" s="121">
        <f t="shared" si="385"/>
        <v>2216697</v>
      </c>
      <c r="K1625" s="123">
        <f t="shared" si="393"/>
        <v>3000000</v>
      </c>
      <c r="L1625" s="111">
        <f t="shared" si="394"/>
        <v>74012</v>
      </c>
      <c r="M1625" s="2">
        <f t="shared" si="395"/>
        <v>2250</v>
      </c>
      <c r="N1625" s="112">
        <f t="shared" si="386"/>
        <v>17000000</v>
      </c>
      <c r="O1625" s="2">
        <f t="shared" si="396"/>
        <v>855065</v>
      </c>
      <c r="P1625" s="113">
        <f t="shared" si="397"/>
        <v>9.9999999999999998E-13</v>
      </c>
      <c r="Q1625" s="121">
        <f t="shared" si="387"/>
        <v>2216697</v>
      </c>
    </row>
    <row r="1626" spans="2:17" hidden="1" x14ac:dyDescent="0.4">
      <c r="B1626" s="110">
        <v>45547</v>
      </c>
      <c r="C1626" s="122">
        <f t="shared" si="388"/>
        <v>3000000</v>
      </c>
      <c r="D1626" s="111">
        <f t="shared" si="389"/>
        <v>74012</v>
      </c>
      <c r="E1626" s="2">
        <f t="shared" si="390"/>
        <v>2250</v>
      </c>
      <c r="F1626" s="112">
        <f t="shared" si="384"/>
        <v>17000000</v>
      </c>
      <c r="G1626" s="2">
        <f t="shared" si="391"/>
        <v>855065</v>
      </c>
      <c r="H1626" s="113">
        <f t="shared" si="392"/>
        <v>9.9999999999999998E-13</v>
      </c>
      <c r="I1626" s="121">
        <f t="shared" si="385"/>
        <v>2216697</v>
      </c>
      <c r="K1626" s="123">
        <f t="shared" si="393"/>
        <v>3000000</v>
      </c>
      <c r="L1626" s="111">
        <f t="shared" si="394"/>
        <v>74012</v>
      </c>
      <c r="M1626" s="2">
        <f t="shared" si="395"/>
        <v>2250</v>
      </c>
      <c r="N1626" s="112">
        <f t="shared" si="386"/>
        <v>17000000</v>
      </c>
      <c r="O1626" s="2">
        <f t="shared" si="396"/>
        <v>855065</v>
      </c>
      <c r="P1626" s="113">
        <f t="shared" si="397"/>
        <v>9.9999999999999998E-13</v>
      </c>
      <c r="Q1626" s="121">
        <f t="shared" si="387"/>
        <v>2216697</v>
      </c>
    </row>
    <row r="1627" spans="2:17" hidden="1" x14ac:dyDescent="0.4">
      <c r="B1627" s="110">
        <v>45548</v>
      </c>
      <c r="C1627" s="122">
        <f t="shared" si="388"/>
        <v>3000000</v>
      </c>
      <c r="D1627" s="111">
        <f t="shared" si="389"/>
        <v>74012</v>
      </c>
      <c r="E1627" s="2">
        <f t="shared" si="390"/>
        <v>2250</v>
      </c>
      <c r="F1627" s="112">
        <f t="shared" si="384"/>
        <v>17000000</v>
      </c>
      <c r="G1627" s="2">
        <f t="shared" si="391"/>
        <v>855065</v>
      </c>
      <c r="H1627" s="113">
        <f t="shared" si="392"/>
        <v>9.9999999999999998E-13</v>
      </c>
      <c r="I1627" s="121">
        <f t="shared" si="385"/>
        <v>2216697</v>
      </c>
      <c r="K1627" s="123">
        <f t="shared" si="393"/>
        <v>3000000</v>
      </c>
      <c r="L1627" s="111">
        <f t="shared" si="394"/>
        <v>74012</v>
      </c>
      <c r="M1627" s="2">
        <f t="shared" si="395"/>
        <v>2250</v>
      </c>
      <c r="N1627" s="112">
        <f t="shared" si="386"/>
        <v>17000000</v>
      </c>
      <c r="O1627" s="2">
        <f t="shared" si="396"/>
        <v>855065</v>
      </c>
      <c r="P1627" s="113">
        <f t="shared" si="397"/>
        <v>9.9999999999999998E-13</v>
      </c>
      <c r="Q1627" s="121">
        <f t="shared" si="387"/>
        <v>2216697</v>
      </c>
    </row>
    <row r="1628" spans="2:17" hidden="1" x14ac:dyDescent="0.4">
      <c r="B1628" s="110">
        <v>45549</v>
      </c>
      <c r="C1628" s="122">
        <f t="shared" si="388"/>
        <v>3000000</v>
      </c>
      <c r="D1628" s="111">
        <f t="shared" si="389"/>
        <v>74012</v>
      </c>
      <c r="E1628" s="2">
        <f t="shared" si="390"/>
        <v>2250</v>
      </c>
      <c r="F1628" s="112">
        <f t="shared" si="384"/>
        <v>17000000</v>
      </c>
      <c r="G1628" s="2">
        <f t="shared" si="391"/>
        <v>855065</v>
      </c>
      <c r="H1628" s="113">
        <f t="shared" si="392"/>
        <v>9.9999999999999998E-13</v>
      </c>
      <c r="I1628" s="121">
        <f t="shared" si="385"/>
        <v>2216697</v>
      </c>
      <c r="K1628" s="123">
        <f t="shared" si="393"/>
        <v>3000000</v>
      </c>
      <c r="L1628" s="111">
        <f t="shared" si="394"/>
        <v>74012</v>
      </c>
      <c r="M1628" s="2">
        <f t="shared" si="395"/>
        <v>2250</v>
      </c>
      <c r="N1628" s="112">
        <f t="shared" si="386"/>
        <v>17000000</v>
      </c>
      <c r="O1628" s="2">
        <f t="shared" si="396"/>
        <v>855065</v>
      </c>
      <c r="P1628" s="113">
        <f t="shared" si="397"/>
        <v>9.9999999999999998E-13</v>
      </c>
      <c r="Q1628" s="121">
        <f t="shared" si="387"/>
        <v>2216697</v>
      </c>
    </row>
    <row r="1629" spans="2:17" hidden="1" x14ac:dyDescent="0.4">
      <c r="B1629" s="110">
        <v>45550</v>
      </c>
      <c r="C1629" s="122">
        <f t="shared" si="388"/>
        <v>3000000</v>
      </c>
      <c r="D1629" s="111">
        <f t="shared" si="389"/>
        <v>74012</v>
      </c>
      <c r="E1629" s="2">
        <f t="shared" si="390"/>
        <v>2250</v>
      </c>
      <c r="F1629" s="112">
        <f t="shared" si="384"/>
        <v>17000000</v>
      </c>
      <c r="G1629" s="2">
        <f t="shared" si="391"/>
        <v>855065</v>
      </c>
      <c r="H1629" s="113">
        <f t="shared" si="392"/>
        <v>9.9999999999999998E-13</v>
      </c>
      <c r="I1629" s="121">
        <f t="shared" si="385"/>
        <v>2216697</v>
      </c>
      <c r="K1629" s="123">
        <f t="shared" si="393"/>
        <v>3000000</v>
      </c>
      <c r="L1629" s="111">
        <f t="shared" si="394"/>
        <v>74012</v>
      </c>
      <c r="M1629" s="2">
        <f t="shared" si="395"/>
        <v>2250</v>
      </c>
      <c r="N1629" s="112">
        <f t="shared" si="386"/>
        <v>17000000</v>
      </c>
      <c r="O1629" s="2">
        <f t="shared" si="396"/>
        <v>855065</v>
      </c>
      <c r="P1629" s="113">
        <f t="shared" si="397"/>
        <v>9.9999999999999998E-13</v>
      </c>
      <c r="Q1629" s="121">
        <f t="shared" si="387"/>
        <v>2216697</v>
      </c>
    </row>
    <row r="1630" spans="2:17" hidden="1" x14ac:dyDescent="0.4">
      <c r="B1630" s="110">
        <v>45551</v>
      </c>
      <c r="C1630" s="122">
        <f t="shared" si="388"/>
        <v>3000000</v>
      </c>
      <c r="D1630" s="111">
        <f t="shared" si="389"/>
        <v>74012</v>
      </c>
      <c r="E1630" s="2">
        <f t="shared" si="390"/>
        <v>2250</v>
      </c>
      <c r="F1630" s="112">
        <f t="shared" si="384"/>
        <v>17000000</v>
      </c>
      <c r="G1630" s="2">
        <f t="shared" si="391"/>
        <v>855065</v>
      </c>
      <c r="H1630" s="113">
        <f t="shared" si="392"/>
        <v>9.9999999999999998E-13</v>
      </c>
      <c r="I1630" s="121">
        <f t="shared" si="385"/>
        <v>2216697</v>
      </c>
      <c r="K1630" s="123">
        <f t="shared" si="393"/>
        <v>3000000</v>
      </c>
      <c r="L1630" s="111">
        <f t="shared" si="394"/>
        <v>74012</v>
      </c>
      <c r="M1630" s="2">
        <f t="shared" si="395"/>
        <v>2250</v>
      </c>
      <c r="N1630" s="112">
        <f t="shared" si="386"/>
        <v>17000000</v>
      </c>
      <c r="O1630" s="2">
        <f t="shared" si="396"/>
        <v>855065</v>
      </c>
      <c r="P1630" s="113">
        <f t="shared" si="397"/>
        <v>9.9999999999999998E-13</v>
      </c>
      <c r="Q1630" s="121">
        <f t="shared" si="387"/>
        <v>2216697</v>
      </c>
    </row>
    <row r="1631" spans="2:17" hidden="1" x14ac:dyDescent="0.4">
      <c r="B1631" s="110">
        <v>45552</v>
      </c>
      <c r="C1631" s="122">
        <f t="shared" si="388"/>
        <v>3000000</v>
      </c>
      <c r="D1631" s="111">
        <f t="shared" si="389"/>
        <v>74012</v>
      </c>
      <c r="E1631" s="2">
        <f t="shared" si="390"/>
        <v>2250</v>
      </c>
      <c r="F1631" s="112">
        <f t="shared" si="384"/>
        <v>17000000</v>
      </c>
      <c r="G1631" s="2">
        <f t="shared" si="391"/>
        <v>855065</v>
      </c>
      <c r="H1631" s="113">
        <f t="shared" si="392"/>
        <v>9.9999999999999998E-13</v>
      </c>
      <c r="I1631" s="121">
        <f t="shared" si="385"/>
        <v>2216697</v>
      </c>
      <c r="K1631" s="123">
        <f t="shared" si="393"/>
        <v>3000000</v>
      </c>
      <c r="L1631" s="111">
        <f t="shared" si="394"/>
        <v>74012</v>
      </c>
      <c r="M1631" s="2">
        <f t="shared" si="395"/>
        <v>2250</v>
      </c>
      <c r="N1631" s="112">
        <f t="shared" si="386"/>
        <v>17000000</v>
      </c>
      <c r="O1631" s="2">
        <f t="shared" si="396"/>
        <v>855065</v>
      </c>
      <c r="P1631" s="113">
        <f t="shared" si="397"/>
        <v>9.9999999999999998E-13</v>
      </c>
      <c r="Q1631" s="121">
        <f t="shared" si="387"/>
        <v>2216697</v>
      </c>
    </row>
    <row r="1632" spans="2:17" hidden="1" x14ac:dyDescent="0.4">
      <c r="B1632" s="110">
        <v>45553</v>
      </c>
      <c r="C1632" s="122">
        <f t="shared" si="388"/>
        <v>3000000</v>
      </c>
      <c r="D1632" s="111">
        <f t="shared" si="389"/>
        <v>74012</v>
      </c>
      <c r="E1632" s="2">
        <f t="shared" si="390"/>
        <v>2250</v>
      </c>
      <c r="F1632" s="112">
        <f t="shared" si="384"/>
        <v>17000000</v>
      </c>
      <c r="G1632" s="2">
        <f t="shared" si="391"/>
        <v>855065</v>
      </c>
      <c r="H1632" s="113">
        <f t="shared" si="392"/>
        <v>9.9999999999999998E-13</v>
      </c>
      <c r="I1632" s="121">
        <f t="shared" si="385"/>
        <v>2216697</v>
      </c>
      <c r="K1632" s="123">
        <f t="shared" si="393"/>
        <v>3000000</v>
      </c>
      <c r="L1632" s="111">
        <f t="shared" si="394"/>
        <v>74012</v>
      </c>
      <c r="M1632" s="2">
        <f t="shared" si="395"/>
        <v>2250</v>
      </c>
      <c r="N1632" s="112">
        <f t="shared" si="386"/>
        <v>17000000</v>
      </c>
      <c r="O1632" s="2">
        <f t="shared" si="396"/>
        <v>855065</v>
      </c>
      <c r="P1632" s="113">
        <f t="shared" si="397"/>
        <v>9.9999999999999998E-13</v>
      </c>
      <c r="Q1632" s="121">
        <f t="shared" si="387"/>
        <v>2216697</v>
      </c>
    </row>
    <row r="1633" spans="2:17" hidden="1" x14ac:dyDescent="0.4">
      <c r="B1633" s="110">
        <v>45554</v>
      </c>
      <c r="C1633" s="122">
        <f t="shared" si="388"/>
        <v>3000000</v>
      </c>
      <c r="D1633" s="111">
        <f t="shared" si="389"/>
        <v>74012</v>
      </c>
      <c r="E1633" s="2">
        <f t="shared" si="390"/>
        <v>2250</v>
      </c>
      <c r="F1633" s="112">
        <f t="shared" si="384"/>
        <v>17000000</v>
      </c>
      <c r="G1633" s="2">
        <f t="shared" si="391"/>
        <v>855065</v>
      </c>
      <c r="H1633" s="113">
        <f t="shared" si="392"/>
        <v>9.9999999999999998E-13</v>
      </c>
      <c r="I1633" s="121">
        <f t="shared" si="385"/>
        <v>2216697</v>
      </c>
      <c r="K1633" s="123">
        <f t="shared" si="393"/>
        <v>3000000</v>
      </c>
      <c r="L1633" s="111">
        <f t="shared" si="394"/>
        <v>74012</v>
      </c>
      <c r="M1633" s="2">
        <f t="shared" si="395"/>
        <v>2250</v>
      </c>
      <c r="N1633" s="112">
        <f t="shared" si="386"/>
        <v>17000000</v>
      </c>
      <c r="O1633" s="2">
        <f t="shared" si="396"/>
        <v>855065</v>
      </c>
      <c r="P1633" s="113">
        <f t="shared" si="397"/>
        <v>9.9999999999999998E-13</v>
      </c>
      <c r="Q1633" s="121">
        <f t="shared" si="387"/>
        <v>2216697</v>
      </c>
    </row>
    <row r="1634" spans="2:17" hidden="1" x14ac:dyDescent="0.4">
      <c r="B1634" s="110">
        <v>45555</v>
      </c>
      <c r="C1634" s="122">
        <f t="shared" si="388"/>
        <v>3000000</v>
      </c>
      <c r="D1634" s="111">
        <f t="shared" si="389"/>
        <v>74012</v>
      </c>
      <c r="E1634" s="2">
        <f t="shared" si="390"/>
        <v>2250</v>
      </c>
      <c r="F1634" s="112">
        <f t="shared" si="384"/>
        <v>17000000</v>
      </c>
      <c r="G1634" s="2">
        <f t="shared" si="391"/>
        <v>855065</v>
      </c>
      <c r="H1634" s="113">
        <f t="shared" si="392"/>
        <v>9.9999999999999998E-13</v>
      </c>
      <c r="I1634" s="121">
        <f t="shared" si="385"/>
        <v>2216697</v>
      </c>
      <c r="K1634" s="123">
        <f t="shared" si="393"/>
        <v>3000000</v>
      </c>
      <c r="L1634" s="111">
        <f t="shared" si="394"/>
        <v>74012</v>
      </c>
      <c r="M1634" s="2">
        <f t="shared" si="395"/>
        <v>2250</v>
      </c>
      <c r="N1634" s="112">
        <f t="shared" si="386"/>
        <v>17000000</v>
      </c>
      <c r="O1634" s="2">
        <f t="shared" si="396"/>
        <v>855065</v>
      </c>
      <c r="P1634" s="113">
        <f t="shared" si="397"/>
        <v>9.9999999999999998E-13</v>
      </c>
      <c r="Q1634" s="121">
        <f t="shared" si="387"/>
        <v>2216697</v>
      </c>
    </row>
    <row r="1635" spans="2:17" hidden="1" x14ac:dyDescent="0.4">
      <c r="B1635" s="110">
        <v>45556</v>
      </c>
      <c r="C1635" s="122">
        <f t="shared" si="388"/>
        <v>3000000</v>
      </c>
      <c r="D1635" s="111">
        <f t="shared" si="389"/>
        <v>74012</v>
      </c>
      <c r="E1635" s="2">
        <f t="shared" si="390"/>
        <v>2250</v>
      </c>
      <c r="F1635" s="112">
        <f t="shared" si="384"/>
        <v>17000000</v>
      </c>
      <c r="G1635" s="2">
        <f t="shared" si="391"/>
        <v>855065</v>
      </c>
      <c r="H1635" s="113">
        <f t="shared" si="392"/>
        <v>9.9999999999999998E-13</v>
      </c>
      <c r="I1635" s="121">
        <f t="shared" si="385"/>
        <v>2216697</v>
      </c>
      <c r="K1635" s="123">
        <f t="shared" si="393"/>
        <v>3000000</v>
      </c>
      <c r="L1635" s="111">
        <f t="shared" si="394"/>
        <v>74012</v>
      </c>
      <c r="M1635" s="2">
        <f t="shared" si="395"/>
        <v>2250</v>
      </c>
      <c r="N1635" s="112">
        <f t="shared" si="386"/>
        <v>17000000</v>
      </c>
      <c r="O1635" s="2">
        <f t="shared" si="396"/>
        <v>855065</v>
      </c>
      <c r="P1635" s="113">
        <f t="shared" si="397"/>
        <v>9.9999999999999998E-13</v>
      </c>
      <c r="Q1635" s="121">
        <f t="shared" si="387"/>
        <v>2216697</v>
      </c>
    </row>
    <row r="1636" spans="2:17" hidden="1" x14ac:dyDescent="0.4">
      <c r="B1636" s="110">
        <v>45557</v>
      </c>
      <c r="C1636" s="122">
        <f t="shared" si="388"/>
        <v>3000000</v>
      </c>
      <c r="D1636" s="111">
        <f t="shared" si="389"/>
        <v>74012</v>
      </c>
      <c r="E1636" s="2">
        <f t="shared" si="390"/>
        <v>2250</v>
      </c>
      <c r="F1636" s="112">
        <f t="shared" si="384"/>
        <v>17000000</v>
      </c>
      <c r="G1636" s="2">
        <f t="shared" si="391"/>
        <v>855065</v>
      </c>
      <c r="H1636" s="113">
        <f t="shared" si="392"/>
        <v>9.9999999999999998E-13</v>
      </c>
      <c r="I1636" s="121">
        <f t="shared" si="385"/>
        <v>2216697</v>
      </c>
      <c r="K1636" s="123">
        <f t="shared" si="393"/>
        <v>3000000</v>
      </c>
      <c r="L1636" s="111">
        <f t="shared" si="394"/>
        <v>74012</v>
      </c>
      <c r="M1636" s="2">
        <f t="shared" si="395"/>
        <v>2250</v>
      </c>
      <c r="N1636" s="112">
        <f t="shared" si="386"/>
        <v>17000000</v>
      </c>
      <c r="O1636" s="2">
        <f t="shared" si="396"/>
        <v>855065</v>
      </c>
      <c r="P1636" s="113">
        <f t="shared" si="397"/>
        <v>9.9999999999999998E-13</v>
      </c>
      <c r="Q1636" s="121">
        <f t="shared" si="387"/>
        <v>2216697</v>
      </c>
    </row>
    <row r="1637" spans="2:17" hidden="1" x14ac:dyDescent="0.4">
      <c r="B1637" s="110">
        <v>45558</v>
      </c>
      <c r="C1637" s="122">
        <f t="shared" si="388"/>
        <v>3000000</v>
      </c>
      <c r="D1637" s="111">
        <f t="shared" si="389"/>
        <v>74012</v>
      </c>
      <c r="E1637" s="2">
        <f t="shared" si="390"/>
        <v>2250</v>
      </c>
      <c r="F1637" s="112">
        <f t="shared" si="384"/>
        <v>17000000</v>
      </c>
      <c r="G1637" s="2">
        <f t="shared" si="391"/>
        <v>855065</v>
      </c>
      <c r="H1637" s="113">
        <f t="shared" si="392"/>
        <v>9.9999999999999998E-13</v>
      </c>
      <c r="I1637" s="121">
        <f t="shared" si="385"/>
        <v>2216697</v>
      </c>
      <c r="K1637" s="123">
        <f t="shared" si="393"/>
        <v>3000000</v>
      </c>
      <c r="L1637" s="111">
        <f t="shared" si="394"/>
        <v>74012</v>
      </c>
      <c r="M1637" s="2">
        <f t="shared" si="395"/>
        <v>2250</v>
      </c>
      <c r="N1637" s="112">
        <f t="shared" si="386"/>
        <v>17000000</v>
      </c>
      <c r="O1637" s="2">
        <f t="shared" si="396"/>
        <v>855065</v>
      </c>
      <c r="P1637" s="113">
        <f t="shared" si="397"/>
        <v>9.9999999999999998E-13</v>
      </c>
      <c r="Q1637" s="121">
        <f t="shared" si="387"/>
        <v>2216697</v>
      </c>
    </row>
    <row r="1638" spans="2:17" hidden="1" x14ac:dyDescent="0.4">
      <c r="B1638" s="110">
        <v>45559</v>
      </c>
      <c r="C1638" s="122">
        <f t="shared" si="388"/>
        <v>3000000</v>
      </c>
      <c r="D1638" s="111">
        <f t="shared" si="389"/>
        <v>74012</v>
      </c>
      <c r="E1638" s="2">
        <f t="shared" si="390"/>
        <v>2250</v>
      </c>
      <c r="F1638" s="112">
        <f t="shared" si="384"/>
        <v>17000000</v>
      </c>
      <c r="G1638" s="2">
        <f t="shared" si="391"/>
        <v>855065</v>
      </c>
      <c r="H1638" s="113">
        <f t="shared" si="392"/>
        <v>9.9999999999999998E-13</v>
      </c>
      <c r="I1638" s="121">
        <f t="shared" si="385"/>
        <v>2216697</v>
      </c>
      <c r="K1638" s="123">
        <f t="shared" si="393"/>
        <v>3000000</v>
      </c>
      <c r="L1638" s="111">
        <f t="shared" si="394"/>
        <v>74012</v>
      </c>
      <c r="M1638" s="2">
        <f t="shared" si="395"/>
        <v>2250</v>
      </c>
      <c r="N1638" s="112">
        <f t="shared" si="386"/>
        <v>17000000</v>
      </c>
      <c r="O1638" s="2">
        <f t="shared" si="396"/>
        <v>855065</v>
      </c>
      <c r="P1638" s="113">
        <f t="shared" si="397"/>
        <v>9.9999999999999998E-13</v>
      </c>
      <c r="Q1638" s="121">
        <f t="shared" si="387"/>
        <v>2216697</v>
      </c>
    </row>
    <row r="1639" spans="2:17" hidden="1" x14ac:dyDescent="0.4">
      <c r="B1639" s="110">
        <v>45560</v>
      </c>
      <c r="C1639" s="122">
        <f t="shared" si="388"/>
        <v>3000000</v>
      </c>
      <c r="D1639" s="111">
        <f t="shared" si="389"/>
        <v>74012</v>
      </c>
      <c r="E1639" s="2">
        <f t="shared" si="390"/>
        <v>2250</v>
      </c>
      <c r="F1639" s="112">
        <f t="shared" si="384"/>
        <v>17000000</v>
      </c>
      <c r="G1639" s="2">
        <f t="shared" si="391"/>
        <v>855065</v>
      </c>
      <c r="H1639" s="113">
        <f t="shared" si="392"/>
        <v>9.9999999999999998E-13</v>
      </c>
      <c r="I1639" s="121">
        <f t="shared" si="385"/>
        <v>2216697</v>
      </c>
      <c r="K1639" s="123">
        <f t="shared" si="393"/>
        <v>3000000</v>
      </c>
      <c r="L1639" s="111">
        <f t="shared" si="394"/>
        <v>74012</v>
      </c>
      <c r="M1639" s="2">
        <f t="shared" si="395"/>
        <v>2250</v>
      </c>
      <c r="N1639" s="112">
        <f t="shared" si="386"/>
        <v>17000000</v>
      </c>
      <c r="O1639" s="2">
        <f t="shared" si="396"/>
        <v>855065</v>
      </c>
      <c r="P1639" s="113">
        <f t="shared" si="397"/>
        <v>9.9999999999999998E-13</v>
      </c>
      <c r="Q1639" s="121">
        <f t="shared" si="387"/>
        <v>2216697</v>
      </c>
    </row>
    <row r="1640" spans="2:17" hidden="1" x14ac:dyDescent="0.4">
      <c r="B1640" s="110">
        <v>45561</v>
      </c>
      <c r="C1640" s="122">
        <f t="shared" si="388"/>
        <v>3000000</v>
      </c>
      <c r="D1640" s="111">
        <f t="shared" si="389"/>
        <v>74012</v>
      </c>
      <c r="E1640" s="2">
        <f t="shared" si="390"/>
        <v>2250</v>
      </c>
      <c r="F1640" s="112">
        <f t="shared" si="384"/>
        <v>17000000</v>
      </c>
      <c r="G1640" s="2">
        <f t="shared" si="391"/>
        <v>855065</v>
      </c>
      <c r="H1640" s="113">
        <f t="shared" si="392"/>
        <v>9.9999999999999998E-13</v>
      </c>
      <c r="I1640" s="121">
        <f t="shared" si="385"/>
        <v>2216697</v>
      </c>
      <c r="K1640" s="123">
        <f t="shared" si="393"/>
        <v>3000000</v>
      </c>
      <c r="L1640" s="111">
        <f t="shared" si="394"/>
        <v>74012</v>
      </c>
      <c r="M1640" s="2">
        <f t="shared" si="395"/>
        <v>2250</v>
      </c>
      <c r="N1640" s="112">
        <f t="shared" si="386"/>
        <v>17000000</v>
      </c>
      <c r="O1640" s="2">
        <f t="shared" si="396"/>
        <v>855065</v>
      </c>
      <c r="P1640" s="113">
        <f t="shared" si="397"/>
        <v>9.9999999999999998E-13</v>
      </c>
      <c r="Q1640" s="121">
        <f t="shared" si="387"/>
        <v>2216697</v>
      </c>
    </row>
    <row r="1641" spans="2:17" hidden="1" x14ac:dyDescent="0.4">
      <c r="B1641" s="110">
        <v>45562</v>
      </c>
      <c r="C1641" s="122">
        <f t="shared" si="388"/>
        <v>3000000</v>
      </c>
      <c r="D1641" s="111">
        <f t="shared" si="389"/>
        <v>74012</v>
      </c>
      <c r="E1641" s="2">
        <f t="shared" si="390"/>
        <v>2250</v>
      </c>
      <c r="F1641" s="112">
        <f t="shared" si="384"/>
        <v>17000000</v>
      </c>
      <c r="G1641" s="2">
        <f t="shared" si="391"/>
        <v>855065</v>
      </c>
      <c r="H1641" s="113">
        <f t="shared" si="392"/>
        <v>9.9999999999999998E-13</v>
      </c>
      <c r="I1641" s="121">
        <f t="shared" si="385"/>
        <v>2216697</v>
      </c>
      <c r="K1641" s="123">
        <f t="shared" si="393"/>
        <v>3000000</v>
      </c>
      <c r="L1641" s="111">
        <f t="shared" si="394"/>
        <v>74012</v>
      </c>
      <c r="M1641" s="2">
        <f t="shared" si="395"/>
        <v>2250</v>
      </c>
      <c r="N1641" s="112">
        <f t="shared" si="386"/>
        <v>17000000</v>
      </c>
      <c r="O1641" s="2">
        <f t="shared" si="396"/>
        <v>855065</v>
      </c>
      <c r="P1641" s="113">
        <f t="shared" si="397"/>
        <v>9.9999999999999998E-13</v>
      </c>
      <c r="Q1641" s="121">
        <f t="shared" si="387"/>
        <v>2216697</v>
      </c>
    </row>
    <row r="1642" spans="2:17" hidden="1" x14ac:dyDescent="0.4">
      <c r="B1642" s="110">
        <v>45563</v>
      </c>
      <c r="C1642" s="122">
        <f t="shared" si="388"/>
        <v>3000000</v>
      </c>
      <c r="D1642" s="111">
        <f t="shared" si="389"/>
        <v>74012</v>
      </c>
      <c r="E1642" s="2">
        <f t="shared" si="390"/>
        <v>2250</v>
      </c>
      <c r="F1642" s="112">
        <f t="shared" si="384"/>
        <v>17000000</v>
      </c>
      <c r="G1642" s="2">
        <f t="shared" si="391"/>
        <v>855065</v>
      </c>
      <c r="H1642" s="113">
        <f t="shared" si="392"/>
        <v>9.9999999999999998E-13</v>
      </c>
      <c r="I1642" s="121">
        <f t="shared" si="385"/>
        <v>2216697</v>
      </c>
      <c r="K1642" s="123">
        <f t="shared" si="393"/>
        <v>3000000</v>
      </c>
      <c r="L1642" s="111">
        <f t="shared" si="394"/>
        <v>74012</v>
      </c>
      <c r="M1642" s="2">
        <f t="shared" si="395"/>
        <v>2250</v>
      </c>
      <c r="N1642" s="112">
        <f t="shared" si="386"/>
        <v>17000000</v>
      </c>
      <c r="O1642" s="2">
        <f t="shared" si="396"/>
        <v>855065</v>
      </c>
      <c r="P1642" s="113">
        <f t="shared" si="397"/>
        <v>9.9999999999999998E-13</v>
      </c>
      <c r="Q1642" s="121">
        <f t="shared" si="387"/>
        <v>2216697</v>
      </c>
    </row>
    <row r="1643" spans="2:17" hidden="1" x14ac:dyDescent="0.4">
      <c r="B1643" s="110">
        <v>45564</v>
      </c>
      <c r="C1643" s="122">
        <f t="shared" si="388"/>
        <v>3000000</v>
      </c>
      <c r="D1643" s="111">
        <f t="shared" si="389"/>
        <v>74012</v>
      </c>
      <c r="E1643" s="2">
        <f t="shared" si="390"/>
        <v>2250</v>
      </c>
      <c r="F1643" s="112">
        <f t="shared" si="384"/>
        <v>17000000</v>
      </c>
      <c r="G1643" s="2">
        <f t="shared" si="391"/>
        <v>855065</v>
      </c>
      <c r="H1643" s="113">
        <f t="shared" si="392"/>
        <v>9.9999999999999998E-13</v>
      </c>
      <c r="I1643" s="121">
        <f t="shared" si="385"/>
        <v>2216697</v>
      </c>
      <c r="K1643" s="123">
        <f t="shared" si="393"/>
        <v>3000000</v>
      </c>
      <c r="L1643" s="111">
        <f t="shared" si="394"/>
        <v>74012</v>
      </c>
      <c r="M1643" s="2">
        <f t="shared" si="395"/>
        <v>2250</v>
      </c>
      <c r="N1643" s="112">
        <f t="shared" si="386"/>
        <v>17000000</v>
      </c>
      <c r="O1643" s="2">
        <f t="shared" si="396"/>
        <v>855065</v>
      </c>
      <c r="P1643" s="113">
        <f t="shared" si="397"/>
        <v>9.9999999999999998E-13</v>
      </c>
      <c r="Q1643" s="121">
        <f t="shared" si="387"/>
        <v>2216697</v>
      </c>
    </row>
    <row r="1644" spans="2:17" hidden="1" x14ac:dyDescent="0.4">
      <c r="B1644" s="110">
        <v>45565</v>
      </c>
      <c r="C1644" s="122">
        <f t="shared" si="388"/>
        <v>3000000</v>
      </c>
      <c r="D1644" s="111">
        <f t="shared" si="389"/>
        <v>74012</v>
      </c>
      <c r="E1644" s="2">
        <f t="shared" si="390"/>
        <v>2250</v>
      </c>
      <c r="F1644" s="112">
        <f t="shared" si="384"/>
        <v>17000000</v>
      </c>
      <c r="G1644" s="2">
        <f t="shared" si="391"/>
        <v>855065</v>
      </c>
      <c r="H1644" s="113">
        <f t="shared" si="392"/>
        <v>9.9999999999999998E-13</v>
      </c>
      <c r="I1644" s="121">
        <f t="shared" si="385"/>
        <v>2216697</v>
      </c>
      <c r="K1644" s="123">
        <f t="shared" si="393"/>
        <v>3000000</v>
      </c>
      <c r="L1644" s="111">
        <f t="shared" si="394"/>
        <v>74012</v>
      </c>
      <c r="M1644" s="2">
        <f t="shared" si="395"/>
        <v>2250</v>
      </c>
      <c r="N1644" s="112">
        <f t="shared" si="386"/>
        <v>17000000</v>
      </c>
      <c r="O1644" s="2">
        <f t="shared" si="396"/>
        <v>855065</v>
      </c>
      <c r="P1644" s="113">
        <f t="shared" si="397"/>
        <v>9.9999999999999998E-13</v>
      </c>
      <c r="Q1644" s="121">
        <f t="shared" si="387"/>
        <v>2216697</v>
      </c>
    </row>
    <row r="1645" spans="2:17" x14ac:dyDescent="0.4">
      <c r="B1645" s="110">
        <v>45566</v>
      </c>
      <c r="C1645" s="122">
        <f t="shared" si="388"/>
        <v>3000000</v>
      </c>
      <c r="D1645" s="111">
        <f t="shared" si="389"/>
        <v>74012</v>
      </c>
      <c r="E1645" s="2">
        <f t="shared" si="390"/>
        <v>2250</v>
      </c>
      <c r="F1645" s="112">
        <f t="shared" si="384"/>
        <v>17000000</v>
      </c>
      <c r="G1645" s="2">
        <f t="shared" si="391"/>
        <v>855065</v>
      </c>
      <c r="H1645" s="113">
        <f t="shared" si="392"/>
        <v>9.9999999999999998E-13</v>
      </c>
      <c r="I1645" s="121">
        <f t="shared" si="385"/>
        <v>2216697</v>
      </c>
      <c r="K1645" s="123">
        <f t="shared" si="393"/>
        <v>3000000</v>
      </c>
      <c r="L1645" s="111">
        <f t="shared" si="394"/>
        <v>74012</v>
      </c>
      <c r="M1645" s="2">
        <f t="shared" si="395"/>
        <v>2250</v>
      </c>
      <c r="N1645" s="112">
        <f t="shared" si="386"/>
        <v>17000000</v>
      </c>
      <c r="O1645" s="2">
        <f t="shared" si="396"/>
        <v>855065</v>
      </c>
      <c r="P1645" s="113">
        <f t="shared" si="397"/>
        <v>9.9999999999999998E-13</v>
      </c>
      <c r="Q1645" s="121">
        <f t="shared" si="387"/>
        <v>2216697</v>
      </c>
    </row>
    <row r="1646" spans="2:17" hidden="1" x14ac:dyDescent="0.4">
      <c r="B1646" s="110">
        <v>45567</v>
      </c>
      <c r="C1646" s="122">
        <f t="shared" si="388"/>
        <v>3000000</v>
      </c>
      <c r="D1646" s="111">
        <f t="shared" si="389"/>
        <v>74012</v>
      </c>
      <c r="E1646" s="2">
        <f t="shared" si="390"/>
        <v>2250</v>
      </c>
      <c r="F1646" s="112">
        <f t="shared" si="384"/>
        <v>17000000</v>
      </c>
      <c r="G1646" s="2">
        <f t="shared" si="391"/>
        <v>855065</v>
      </c>
      <c r="H1646" s="113">
        <f t="shared" si="392"/>
        <v>9.9999999999999998E-13</v>
      </c>
      <c r="I1646" s="121">
        <f t="shared" si="385"/>
        <v>2216697</v>
      </c>
      <c r="K1646" s="123">
        <f t="shared" si="393"/>
        <v>3000000</v>
      </c>
      <c r="L1646" s="111">
        <f t="shared" si="394"/>
        <v>74012</v>
      </c>
      <c r="M1646" s="2">
        <f t="shared" si="395"/>
        <v>2250</v>
      </c>
      <c r="N1646" s="112">
        <f t="shared" si="386"/>
        <v>17000000</v>
      </c>
      <c r="O1646" s="2">
        <f t="shared" si="396"/>
        <v>855065</v>
      </c>
      <c r="P1646" s="113">
        <f t="shared" si="397"/>
        <v>9.9999999999999998E-13</v>
      </c>
      <c r="Q1646" s="121">
        <f t="shared" si="387"/>
        <v>2216697</v>
      </c>
    </row>
    <row r="1647" spans="2:17" hidden="1" x14ac:dyDescent="0.4">
      <c r="B1647" s="110">
        <v>45568</v>
      </c>
      <c r="C1647" s="122">
        <f t="shared" si="388"/>
        <v>3000000</v>
      </c>
      <c r="D1647" s="111">
        <f t="shared" si="389"/>
        <v>74012</v>
      </c>
      <c r="E1647" s="2">
        <f t="shared" si="390"/>
        <v>2250</v>
      </c>
      <c r="F1647" s="112">
        <f t="shared" si="384"/>
        <v>17000000</v>
      </c>
      <c r="G1647" s="2">
        <f t="shared" si="391"/>
        <v>855065</v>
      </c>
      <c r="H1647" s="113">
        <f t="shared" si="392"/>
        <v>9.9999999999999998E-13</v>
      </c>
      <c r="I1647" s="121">
        <f t="shared" si="385"/>
        <v>2216697</v>
      </c>
      <c r="K1647" s="123">
        <f t="shared" si="393"/>
        <v>3000000</v>
      </c>
      <c r="L1647" s="111">
        <f t="shared" si="394"/>
        <v>74012</v>
      </c>
      <c r="M1647" s="2">
        <f t="shared" si="395"/>
        <v>2250</v>
      </c>
      <c r="N1647" s="112">
        <f t="shared" si="386"/>
        <v>17000000</v>
      </c>
      <c r="O1647" s="2">
        <f t="shared" si="396"/>
        <v>855065</v>
      </c>
      <c r="P1647" s="113">
        <f t="shared" si="397"/>
        <v>9.9999999999999998E-13</v>
      </c>
      <c r="Q1647" s="121">
        <f t="shared" si="387"/>
        <v>2216697</v>
      </c>
    </row>
    <row r="1648" spans="2:17" hidden="1" x14ac:dyDescent="0.4">
      <c r="B1648" s="110">
        <v>45569</v>
      </c>
      <c r="C1648" s="122">
        <f t="shared" si="388"/>
        <v>3000000</v>
      </c>
      <c r="D1648" s="111">
        <f t="shared" si="389"/>
        <v>74012</v>
      </c>
      <c r="E1648" s="2">
        <f t="shared" si="390"/>
        <v>2250</v>
      </c>
      <c r="F1648" s="112">
        <f t="shared" si="384"/>
        <v>17000000</v>
      </c>
      <c r="G1648" s="2">
        <f t="shared" si="391"/>
        <v>855065</v>
      </c>
      <c r="H1648" s="113">
        <f t="shared" si="392"/>
        <v>9.9999999999999998E-13</v>
      </c>
      <c r="I1648" s="121">
        <f t="shared" si="385"/>
        <v>2216697</v>
      </c>
      <c r="K1648" s="123">
        <f t="shared" si="393"/>
        <v>3000000</v>
      </c>
      <c r="L1648" s="111">
        <f t="shared" si="394"/>
        <v>74012</v>
      </c>
      <c r="M1648" s="2">
        <f t="shared" si="395"/>
        <v>2250</v>
      </c>
      <c r="N1648" s="112">
        <f t="shared" si="386"/>
        <v>17000000</v>
      </c>
      <c r="O1648" s="2">
        <f t="shared" si="396"/>
        <v>855065</v>
      </c>
      <c r="P1648" s="113">
        <f t="shared" si="397"/>
        <v>9.9999999999999998E-13</v>
      </c>
      <c r="Q1648" s="121">
        <f t="shared" si="387"/>
        <v>2216697</v>
      </c>
    </row>
    <row r="1649" spans="2:17" hidden="1" x14ac:dyDescent="0.4">
      <c r="B1649" s="110">
        <v>45570</v>
      </c>
      <c r="C1649" s="122">
        <f t="shared" si="388"/>
        <v>3000000</v>
      </c>
      <c r="D1649" s="111">
        <f t="shared" si="389"/>
        <v>74012</v>
      </c>
      <c r="E1649" s="2">
        <f t="shared" si="390"/>
        <v>2250</v>
      </c>
      <c r="F1649" s="112">
        <f t="shared" si="384"/>
        <v>17000000</v>
      </c>
      <c r="G1649" s="2">
        <f t="shared" si="391"/>
        <v>855065</v>
      </c>
      <c r="H1649" s="113">
        <f t="shared" si="392"/>
        <v>9.9999999999999998E-13</v>
      </c>
      <c r="I1649" s="121">
        <f t="shared" si="385"/>
        <v>2216697</v>
      </c>
      <c r="K1649" s="123">
        <f t="shared" si="393"/>
        <v>3000000</v>
      </c>
      <c r="L1649" s="111">
        <f t="shared" si="394"/>
        <v>74012</v>
      </c>
      <c r="M1649" s="2">
        <f t="shared" si="395"/>
        <v>2250</v>
      </c>
      <c r="N1649" s="112">
        <f t="shared" si="386"/>
        <v>17000000</v>
      </c>
      <c r="O1649" s="2">
        <f t="shared" si="396"/>
        <v>855065</v>
      </c>
      <c r="P1649" s="113">
        <f t="shared" si="397"/>
        <v>9.9999999999999998E-13</v>
      </c>
      <c r="Q1649" s="121">
        <f t="shared" si="387"/>
        <v>2216697</v>
      </c>
    </row>
    <row r="1650" spans="2:17" hidden="1" x14ac:dyDescent="0.4">
      <c r="B1650" s="110">
        <v>45571</v>
      </c>
      <c r="C1650" s="122">
        <f t="shared" si="388"/>
        <v>3000000</v>
      </c>
      <c r="D1650" s="111">
        <f t="shared" si="389"/>
        <v>74012</v>
      </c>
      <c r="E1650" s="2">
        <f t="shared" si="390"/>
        <v>2250</v>
      </c>
      <c r="F1650" s="112">
        <f t="shared" si="384"/>
        <v>17000000</v>
      </c>
      <c r="G1650" s="2">
        <f t="shared" si="391"/>
        <v>855065</v>
      </c>
      <c r="H1650" s="113">
        <f t="shared" si="392"/>
        <v>9.9999999999999998E-13</v>
      </c>
      <c r="I1650" s="121">
        <f t="shared" si="385"/>
        <v>2216697</v>
      </c>
      <c r="K1650" s="123">
        <f t="shared" si="393"/>
        <v>3000000</v>
      </c>
      <c r="L1650" s="111">
        <f t="shared" si="394"/>
        <v>74012</v>
      </c>
      <c r="M1650" s="2">
        <f t="shared" si="395"/>
        <v>2250</v>
      </c>
      <c r="N1650" s="112">
        <f t="shared" si="386"/>
        <v>17000000</v>
      </c>
      <c r="O1650" s="2">
        <f t="shared" si="396"/>
        <v>855065</v>
      </c>
      <c r="P1650" s="113">
        <f t="shared" si="397"/>
        <v>9.9999999999999998E-13</v>
      </c>
      <c r="Q1650" s="121">
        <f t="shared" si="387"/>
        <v>2216697</v>
      </c>
    </row>
    <row r="1651" spans="2:17" hidden="1" x14ac:dyDescent="0.4">
      <c r="B1651" s="110">
        <v>45572</v>
      </c>
      <c r="C1651" s="122">
        <f t="shared" si="388"/>
        <v>3000000</v>
      </c>
      <c r="D1651" s="111">
        <f t="shared" si="389"/>
        <v>74012</v>
      </c>
      <c r="E1651" s="2">
        <f t="shared" si="390"/>
        <v>2250</v>
      </c>
      <c r="F1651" s="112">
        <f t="shared" si="384"/>
        <v>17000000</v>
      </c>
      <c r="G1651" s="2">
        <f t="shared" si="391"/>
        <v>855065</v>
      </c>
      <c r="H1651" s="113">
        <f t="shared" si="392"/>
        <v>9.9999999999999998E-13</v>
      </c>
      <c r="I1651" s="121">
        <f t="shared" si="385"/>
        <v>2216697</v>
      </c>
      <c r="K1651" s="123">
        <f t="shared" si="393"/>
        <v>3000000</v>
      </c>
      <c r="L1651" s="111">
        <f t="shared" si="394"/>
        <v>74012</v>
      </c>
      <c r="M1651" s="2">
        <f t="shared" si="395"/>
        <v>2250</v>
      </c>
      <c r="N1651" s="112">
        <f t="shared" si="386"/>
        <v>17000000</v>
      </c>
      <c r="O1651" s="2">
        <f t="shared" si="396"/>
        <v>855065</v>
      </c>
      <c r="P1651" s="113">
        <f t="shared" si="397"/>
        <v>9.9999999999999998E-13</v>
      </c>
      <c r="Q1651" s="121">
        <f t="shared" si="387"/>
        <v>2216697</v>
      </c>
    </row>
    <row r="1652" spans="2:17" hidden="1" x14ac:dyDescent="0.4">
      <c r="B1652" s="110">
        <v>45573</v>
      </c>
      <c r="C1652" s="122">
        <f t="shared" si="388"/>
        <v>3000000</v>
      </c>
      <c r="D1652" s="111">
        <f t="shared" si="389"/>
        <v>74012</v>
      </c>
      <c r="E1652" s="2">
        <f t="shared" si="390"/>
        <v>2250</v>
      </c>
      <c r="F1652" s="112">
        <f t="shared" si="384"/>
        <v>17000000</v>
      </c>
      <c r="G1652" s="2">
        <f t="shared" si="391"/>
        <v>855065</v>
      </c>
      <c r="H1652" s="113">
        <f t="shared" si="392"/>
        <v>9.9999999999999998E-13</v>
      </c>
      <c r="I1652" s="121">
        <f t="shared" si="385"/>
        <v>2216697</v>
      </c>
      <c r="K1652" s="123">
        <f t="shared" si="393"/>
        <v>3000000</v>
      </c>
      <c r="L1652" s="111">
        <f t="shared" si="394"/>
        <v>74012</v>
      </c>
      <c r="M1652" s="2">
        <f t="shared" si="395"/>
        <v>2250</v>
      </c>
      <c r="N1652" s="112">
        <f t="shared" si="386"/>
        <v>17000000</v>
      </c>
      <c r="O1652" s="2">
        <f t="shared" si="396"/>
        <v>855065</v>
      </c>
      <c r="P1652" s="113">
        <f t="shared" si="397"/>
        <v>9.9999999999999998E-13</v>
      </c>
      <c r="Q1652" s="121">
        <f t="shared" si="387"/>
        <v>2216697</v>
      </c>
    </row>
    <row r="1653" spans="2:17" hidden="1" x14ac:dyDescent="0.4">
      <c r="B1653" s="110">
        <v>45574</v>
      </c>
      <c r="C1653" s="122">
        <f t="shared" si="388"/>
        <v>3000000</v>
      </c>
      <c r="D1653" s="111">
        <f t="shared" si="389"/>
        <v>74012</v>
      </c>
      <c r="E1653" s="2">
        <f t="shared" si="390"/>
        <v>2250</v>
      </c>
      <c r="F1653" s="112">
        <f t="shared" si="384"/>
        <v>17000000</v>
      </c>
      <c r="G1653" s="2">
        <f t="shared" si="391"/>
        <v>855065</v>
      </c>
      <c r="H1653" s="113">
        <f t="shared" si="392"/>
        <v>9.9999999999999998E-13</v>
      </c>
      <c r="I1653" s="121">
        <f t="shared" si="385"/>
        <v>2216697</v>
      </c>
      <c r="K1653" s="123">
        <f t="shared" si="393"/>
        <v>3000000</v>
      </c>
      <c r="L1653" s="111">
        <f t="shared" si="394"/>
        <v>74012</v>
      </c>
      <c r="M1653" s="2">
        <f t="shared" si="395"/>
        <v>2250</v>
      </c>
      <c r="N1653" s="112">
        <f t="shared" si="386"/>
        <v>17000000</v>
      </c>
      <c r="O1653" s="2">
        <f t="shared" si="396"/>
        <v>855065</v>
      </c>
      <c r="P1653" s="113">
        <f t="shared" si="397"/>
        <v>9.9999999999999998E-13</v>
      </c>
      <c r="Q1653" s="121">
        <f t="shared" si="387"/>
        <v>2216697</v>
      </c>
    </row>
    <row r="1654" spans="2:17" hidden="1" x14ac:dyDescent="0.4">
      <c r="B1654" s="110">
        <v>45575</v>
      </c>
      <c r="C1654" s="122">
        <f t="shared" si="388"/>
        <v>3000000</v>
      </c>
      <c r="D1654" s="111">
        <f t="shared" si="389"/>
        <v>74012</v>
      </c>
      <c r="E1654" s="2">
        <f t="shared" si="390"/>
        <v>2250</v>
      </c>
      <c r="F1654" s="112">
        <f t="shared" si="384"/>
        <v>17000000</v>
      </c>
      <c r="G1654" s="2">
        <f t="shared" si="391"/>
        <v>855065</v>
      </c>
      <c r="H1654" s="113">
        <f t="shared" si="392"/>
        <v>9.9999999999999998E-13</v>
      </c>
      <c r="I1654" s="121">
        <f t="shared" si="385"/>
        <v>2216697</v>
      </c>
      <c r="K1654" s="123">
        <f t="shared" si="393"/>
        <v>3000000</v>
      </c>
      <c r="L1654" s="111">
        <f t="shared" si="394"/>
        <v>74012</v>
      </c>
      <c r="M1654" s="2">
        <f t="shared" si="395"/>
        <v>2250</v>
      </c>
      <c r="N1654" s="112">
        <f t="shared" si="386"/>
        <v>17000000</v>
      </c>
      <c r="O1654" s="2">
        <f t="shared" si="396"/>
        <v>855065</v>
      </c>
      <c r="P1654" s="113">
        <f t="shared" si="397"/>
        <v>9.9999999999999998E-13</v>
      </c>
      <c r="Q1654" s="121">
        <f t="shared" si="387"/>
        <v>2216697</v>
      </c>
    </row>
    <row r="1655" spans="2:17" hidden="1" x14ac:dyDescent="0.4">
      <c r="B1655" s="110">
        <v>45576</v>
      </c>
      <c r="C1655" s="122">
        <f t="shared" si="388"/>
        <v>3000000</v>
      </c>
      <c r="D1655" s="111">
        <f t="shared" si="389"/>
        <v>74012</v>
      </c>
      <c r="E1655" s="2">
        <f t="shared" si="390"/>
        <v>2250</v>
      </c>
      <c r="F1655" s="112">
        <f t="shared" si="384"/>
        <v>17000000</v>
      </c>
      <c r="G1655" s="2">
        <f t="shared" si="391"/>
        <v>855065</v>
      </c>
      <c r="H1655" s="113">
        <f t="shared" si="392"/>
        <v>9.9999999999999998E-13</v>
      </c>
      <c r="I1655" s="121">
        <f t="shared" si="385"/>
        <v>2216697</v>
      </c>
      <c r="K1655" s="123">
        <f t="shared" si="393"/>
        <v>3000000</v>
      </c>
      <c r="L1655" s="111">
        <f t="shared" si="394"/>
        <v>74012</v>
      </c>
      <c r="M1655" s="2">
        <f t="shared" si="395"/>
        <v>2250</v>
      </c>
      <c r="N1655" s="112">
        <f t="shared" si="386"/>
        <v>17000000</v>
      </c>
      <c r="O1655" s="2">
        <f t="shared" si="396"/>
        <v>855065</v>
      </c>
      <c r="P1655" s="113">
        <f t="shared" si="397"/>
        <v>9.9999999999999998E-13</v>
      </c>
      <c r="Q1655" s="121">
        <f t="shared" si="387"/>
        <v>2216697</v>
      </c>
    </row>
    <row r="1656" spans="2:17" hidden="1" x14ac:dyDescent="0.4">
      <c r="B1656" s="110">
        <v>45577</v>
      </c>
      <c r="C1656" s="122">
        <f t="shared" si="388"/>
        <v>3000000</v>
      </c>
      <c r="D1656" s="111">
        <f t="shared" si="389"/>
        <v>74012</v>
      </c>
      <c r="E1656" s="2">
        <f t="shared" si="390"/>
        <v>2250</v>
      </c>
      <c r="F1656" s="112">
        <f t="shared" si="384"/>
        <v>17000000</v>
      </c>
      <c r="G1656" s="2">
        <f t="shared" si="391"/>
        <v>855065</v>
      </c>
      <c r="H1656" s="113">
        <f t="shared" si="392"/>
        <v>9.9999999999999998E-13</v>
      </c>
      <c r="I1656" s="121">
        <f t="shared" si="385"/>
        <v>2216697</v>
      </c>
      <c r="K1656" s="123">
        <f t="shared" si="393"/>
        <v>3000000</v>
      </c>
      <c r="L1656" s="111">
        <f t="shared" si="394"/>
        <v>74012</v>
      </c>
      <c r="M1656" s="2">
        <f t="shared" si="395"/>
        <v>2250</v>
      </c>
      <c r="N1656" s="112">
        <f t="shared" si="386"/>
        <v>17000000</v>
      </c>
      <c r="O1656" s="2">
        <f t="shared" si="396"/>
        <v>855065</v>
      </c>
      <c r="P1656" s="113">
        <f t="shared" si="397"/>
        <v>9.9999999999999998E-13</v>
      </c>
      <c r="Q1656" s="121">
        <f t="shared" si="387"/>
        <v>2216697</v>
      </c>
    </row>
    <row r="1657" spans="2:17" hidden="1" x14ac:dyDescent="0.4">
      <c r="B1657" s="110">
        <v>45578</v>
      </c>
      <c r="C1657" s="122">
        <f t="shared" si="388"/>
        <v>3000000</v>
      </c>
      <c r="D1657" s="111">
        <f t="shared" si="389"/>
        <v>74012</v>
      </c>
      <c r="E1657" s="2">
        <f t="shared" si="390"/>
        <v>2250</v>
      </c>
      <c r="F1657" s="112">
        <f t="shared" si="384"/>
        <v>17000000</v>
      </c>
      <c r="G1657" s="2">
        <f t="shared" si="391"/>
        <v>855065</v>
      </c>
      <c r="H1657" s="113">
        <f t="shared" si="392"/>
        <v>9.9999999999999998E-13</v>
      </c>
      <c r="I1657" s="121">
        <f t="shared" si="385"/>
        <v>2216697</v>
      </c>
      <c r="K1657" s="123">
        <f t="shared" si="393"/>
        <v>3000000</v>
      </c>
      <c r="L1657" s="111">
        <f t="shared" si="394"/>
        <v>74012</v>
      </c>
      <c r="M1657" s="2">
        <f t="shared" si="395"/>
        <v>2250</v>
      </c>
      <c r="N1657" s="112">
        <f t="shared" si="386"/>
        <v>17000000</v>
      </c>
      <c r="O1657" s="2">
        <f t="shared" si="396"/>
        <v>855065</v>
      </c>
      <c r="P1657" s="113">
        <f t="shared" si="397"/>
        <v>9.9999999999999998E-13</v>
      </c>
      <c r="Q1657" s="121">
        <f t="shared" si="387"/>
        <v>2216697</v>
      </c>
    </row>
    <row r="1658" spans="2:17" hidden="1" x14ac:dyDescent="0.4">
      <c r="B1658" s="110">
        <v>45579</v>
      </c>
      <c r="C1658" s="122">
        <f t="shared" si="388"/>
        <v>3000000</v>
      </c>
      <c r="D1658" s="111">
        <f t="shared" si="389"/>
        <v>74012</v>
      </c>
      <c r="E1658" s="2">
        <f t="shared" si="390"/>
        <v>2250</v>
      </c>
      <c r="F1658" s="112">
        <f t="shared" si="384"/>
        <v>17000000</v>
      </c>
      <c r="G1658" s="2">
        <f t="shared" si="391"/>
        <v>855065</v>
      </c>
      <c r="H1658" s="113">
        <f t="shared" si="392"/>
        <v>9.9999999999999998E-13</v>
      </c>
      <c r="I1658" s="121">
        <f t="shared" si="385"/>
        <v>2216697</v>
      </c>
      <c r="K1658" s="123">
        <f t="shared" si="393"/>
        <v>3000000</v>
      </c>
      <c r="L1658" s="111">
        <f t="shared" si="394"/>
        <v>74012</v>
      </c>
      <c r="M1658" s="2">
        <f t="shared" si="395"/>
        <v>2250</v>
      </c>
      <c r="N1658" s="112">
        <f t="shared" si="386"/>
        <v>17000000</v>
      </c>
      <c r="O1658" s="2">
        <f t="shared" si="396"/>
        <v>855065</v>
      </c>
      <c r="P1658" s="113">
        <f t="shared" si="397"/>
        <v>9.9999999999999998E-13</v>
      </c>
      <c r="Q1658" s="121">
        <f t="shared" si="387"/>
        <v>2216697</v>
      </c>
    </row>
    <row r="1659" spans="2:17" hidden="1" x14ac:dyDescent="0.4">
      <c r="B1659" s="110">
        <v>45580</v>
      </c>
      <c r="C1659" s="122">
        <f t="shared" si="388"/>
        <v>3000000</v>
      </c>
      <c r="D1659" s="111">
        <f t="shared" si="389"/>
        <v>74012</v>
      </c>
      <c r="E1659" s="2">
        <f t="shared" si="390"/>
        <v>2250</v>
      </c>
      <c r="F1659" s="112">
        <f t="shared" si="384"/>
        <v>17000000</v>
      </c>
      <c r="G1659" s="2">
        <f t="shared" si="391"/>
        <v>855065</v>
      </c>
      <c r="H1659" s="113">
        <f t="shared" si="392"/>
        <v>9.9999999999999998E-13</v>
      </c>
      <c r="I1659" s="121">
        <f t="shared" si="385"/>
        <v>2216697</v>
      </c>
      <c r="K1659" s="123">
        <f t="shared" si="393"/>
        <v>3000000</v>
      </c>
      <c r="L1659" s="111">
        <f t="shared" si="394"/>
        <v>74012</v>
      </c>
      <c r="M1659" s="2">
        <f t="shared" si="395"/>
        <v>2250</v>
      </c>
      <c r="N1659" s="112">
        <f t="shared" si="386"/>
        <v>17000000</v>
      </c>
      <c r="O1659" s="2">
        <f t="shared" si="396"/>
        <v>855065</v>
      </c>
      <c r="P1659" s="113">
        <f t="shared" si="397"/>
        <v>9.9999999999999998E-13</v>
      </c>
      <c r="Q1659" s="121">
        <f t="shared" si="387"/>
        <v>2216697</v>
      </c>
    </row>
    <row r="1660" spans="2:17" hidden="1" x14ac:dyDescent="0.4">
      <c r="B1660" s="110">
        <v>45581</v>
      </c>
      <c r="C1660" s="122">
        <f t="shared" si="388"/>
        <v>3000000</v>
      </c>
      <c r="D1660" s="111">
        <f t="shared" si="389"/>
        <v>74012</v>
      </c>
      <c r="E1660" s="2">
        <f t="shared" si="390"/>
        <v>2250</v>
      </c>
      <c r="F1660" s="112">
        <f t="shared" si="384"/>
        <v>17000000</v>
      </c>
      <c r="G1660" s="2">
        <f t="shared" si="391"/>
        <v>855065</v>
      </c>
      <c r="H1660" s="113">
        <f t="shared" si="392"/>
        <v>9.9999999999999998E-13</v>
      </c>
      <c r="I1660" s="121">
        <f t="shared" si="385"/>
        <v>2216697</v>
      </c>
      <c r="K1660" s="123">
        <f t="shared" si="393"/>
        <v>3000000</v>
      </c>
      <c r="L1660" s="111">
        <f t="shared" si="394"/>
        <v>74012</v>
      </c>
      <c r="M1660" s="2">
        <f t="shared" si="395"/>
        <v>2250</v>
      </c>
      <c r="N1660" s="112">
        <f t="shared" si="386"/>
        <v>17000000</v>
      </c>
      <c r="O1660" s="2">
        <f t="shared" si="396"/>
        <v>855065</v>
      </c>
      <c r="P1660" s="113">
        <f t="shared" si="397"/>
        <v>9.9999999999999998E-13</v>
      </c>
      <c r="Q1660" s="121">
        <f t="shared" si="387"/>
        <v>2216697</v>
      </c>
    </row>
    <row r="1661" spans="2:17" hidden="1" x14ac:dyDescent="0.4">
      <c r="B1661" s="110">
        <v>45582</v>
      </c>
      <c r="C1661" s="122">
        <f t="shared" si="388"/>
        <v>3000000</v>
      </c>
      <c r="D1661" s="111">
        <f t="shared" si="389"/>
        <v>74012</v>
      </c>
      <c r="E1661" s="2">
        <f t="shared" si="390"/>
        <v>2250</v>
      </c>
      <c r="F1661" s="112">
        <f t="shared" si="384"/>
        <v>17000000</v>
      </c>
      <c r="G1661" s="2">
        <f t="shared" si="391"/>
        <v>855065</v>
      </c>
      <c r="H1661" s="113">
        <f t="shared" si="392"/>
        <v>9.9999999999999998E-13</v>
      </c>
      <c r="I1661" s="121">
        <f t="shared" si="385"/>
        <v>2216697</v>
      </c>
      <c r="K1661" s="123">
        <f t="shared" si="393"/>
        <v>3000000</v>
      </c>
      <c r="L1661" s="111">
        <f t="shared" si="394"/>
        <v>74012</v>
      </c>
      <c r="M1661" s="2">
        <f t="shared" si="395"/>
        <v>2250</v>
      </c>
      <c r="N1661" s="112">
        <f t="shared" si="386"/>
        <v>17000000</v>
      </c>
      <c r="O1661" s="2">
        <f t="shared" si="396"/>
        <v>855065</v>
      </c>
      <c r="P1661" s="113">
        <f t="shared" si="397"/>
        <v>9.9999999999999998E-13</v>
      </c>
      <c r="Q1661" s="121">
        <f t="shared" si="387"/>
        <v>2216697</v>
      </c>
    </row>
    <row r="1662" spans="2:17" hidden="1" x14ac:dyDescent="0.4">
      <c r="B1662" s="110">
        <v>45583</v>
      </c>
      <c r="C1662" s="122">
        <f t="shared" si="388"/>
        <v>3000000</v>
      </c>
      <c r="D1662" s="111">
        <f t="shared" si="389"/>
        <v>74012</v>
      </c>
      <c r="E1662" s="2">
        <f t="shared" si="390"/>
        <v>2250</v>
      </c>
      <c r="F1662" s="112">
        <f t="shared" si="384"/>
        <v>17000000</v>
      </c>
      <c r="G1662" s="2">
        <f t="shared" si="391"/>
        <v>855065</v>
      </c>
      <c r="H1662" s="113">
        <f t="shared" si="392"/>
        <v>9.9999999999999998E-13</v>
      </c>
      <c r="I1662" s="121">
        <f t="shared" si="385"/>
        <v>2216697</v>
      </c>
      <c r="K1662" s="123">
        <f t="shared" si="393"/>
        <v>3000000</v>
      </c>
      <c r="L1662" s="111">
        <f t="shared" si="394"/>
        <v>74012</v>
      </c>
      <c r="M1662" s="2">
        <f t="shared" si="395"/>
        <v>2250</v>
      </c>
      <c r="N1662" s="112">
        <f t="shared" si="386"/>
        <v>17000000</v>
      </c>
      <c r="O1662" s="2">
        <f t="shared" si="396"/>
        <v>855065</v>
      </c>
      <c r="P1662" s="113">
        <f t="shared" si="397"/>
        <v>9.9999999999999998E-13</v>
      </c>
      <c r="Q1662" s="121">
        <f t="shared" si="387"/>
        <v>2216697</v>
      </c>
    </row>
    <row r="1663" spans="2:17" hidden="1" x14ac:dyDescent="0.4">
      <c r="B1663" s="110">
        <v>45584</v>
      </c>
      <c r="C1663" s="122">
        <f t="shared" si="388"/>
        <v>3000000</v>
      </c>
      <c r="D1663" s="111">
        <f t="shared" si="389"/>
        <v>74012</v>
      </c>
      <c r="E1663" s="2">
        <f t="shared" si="390"/>
        <v>2250</v>
      </c>
      <c r="F1663" s="112">
        <f t="shared" si="384"/>
        <v>17000000</v>
      </c>
      <c r="G1663" s="2">
        <f t="shared" si="391"/>
        <v>855065</v>
      </c>
      <c r="H1663" s="113">
        <f t="shared" si="392"/>
        <v>9.9999999999999998E-13</v>
      </c>
      <c r="I1663" s="121">
        <f t="shared" si="385"/>
        <v>2216697</v>
      </c>
      <c r="K1663" s="123">
        <f t="shared" si="393"/>
        <v>3000000</v>
      </c>
      <c r="L1663" s="111">
        <f t="shared" si="394"/>
        <v>74012</v>
      </c>
      <c r="M1663" s="2">
        <f t="shared" si="395"/>
        <v>2250</v>
      </c>
      <c r="N1663" s="112">
        <f t="shared" si="386"/>
        <v>17000000</v>
      </c>
      <c r="O1663" s="2">
        <f t="shared" si="396"/>
        <v>855065</v>
      </c>
      <c r="P1663" s="113">
        <f t="shared" si="397"/>
        <v>9.9999999999999998E-13</v>
      </c>
      <c r="Q1663" s="121">
        <f t="shared" si="387"/>
        <v>2216697</v>
      </c>
    </row>
    <row r="1664" spans="2:17" hidden="1" x14ac:dyDescent="0.4">
      <c r="B1664" s="110">
        <v>45585</v>
      </c>
      <c r="C1664" s="122">
        <f t="shared" si="388"/>
        <v>3000000</v>
      </c>
      <c r="D1664" s="111">
        <f t="shared" si="389"/>
        <v>74012</v>
      </c>
      <c r="E1664" s="2">
        <f t="shared" si="390"/>
        <v>2250</v>
      </c>
      <c r="F1664" s="112">
        <f t="shared" si="384"/>
        <v>17000000</v>
      </c>
      <c r="G1664" s="2">
        <f t="shared" si="391"/>
        <v>855065</v>
      </c>
      <c r="H1664" s="113">
        <f t="shared" si="392"/>
        <v>9.9999999999999998E-13</v>
      </c>
      <c r="I1664" s="121">
        <f t="shared" si="385"/>
        <v>2216697</v>
      </c>
      <c r="K1664" s="123">
        <f t="shared" si="393"/>
        <v>3000000</v>
      </c>
      <c r="L1664" s="111">
        <f t="shared" si="394"/>
        <v>74012</v>
      </c>
      <c r="M1664" s="2">
        <f t="shared" si="395"/>
        <v>2250</v>
      </c>
      <c r="N1664" s="112">
        <f t="shared" si="386"/>
        <v>17000000</v>
      </c>
      <c r="O1664" s="2">
        <f t="shared" si="396"/>
        <v>855065</v>
      </c>
      <c r="P1664" s="113">
        <f t="shared" si="397"/>
        <v>9.9999999999999998E-13</v>
      </c>
      <c r="Q1664" s="121">
        <f t="shared" si="387"/>
        <v>2216697</v>
      </c>
    </row>
    <row r="1665" spans="2:17" hidden="1" x14ac:dyDescent="0.4">
      <c r="B1665" s="110">
        <v>45586</v>
      </c>
      <c r="C1665" s="122">
        <f t="shared" si="388"/>
        <v>3000000</v>
      </c>
      <c r="D1665" s="111">
        <f t="shared" si="389"/>
        <v>74012</v>
      </c>
      <c r="E1665" s="2">
        <f t="shared" si="390"/>
        <v>2250</v>
      </c>
      <c r="F1665" s="112">
        <f t="shared" si="384"/>
        <v>17000000</v>
      </c>
      <c r="G1665" s="2">
        <f t="shared" si="391"/>
        <v>855065</v>
      </c>
      <c r="H1665" s="113">
        <f t="shared" si="392"/>
        <v>9.9999999999999998E-13</v>
      </c>
      <c r="I1665" s="121">
        <f t="shared" si="385"/>
        <v>2216697</v>
      </c>
      <c r="K1665" s="123">
        <f t="shared" si="393"/>
        <v>3000000</v>
      </c>
      <c r="L1665" s="111">
        <f t="shared" si="394"/>
        <v>74012</v>
      </c>
      <c r="M1665" s="2">
        <f t="shared" si="395"/>
        <v>2250</v>
      </c>
      <c r="N1665" s="112">
        <f t="shared" si="386"/>
        <v>17000000</v>
      </c>
      <c r="O1665" s="2">
        <f t="shared" si="396"/>
        <v>855065</v>
      </c>
      <c r="P1665" s="113">
        <f t="shared" si="397"/>
        <v>9.9999999999999998E-13</v>
      </c>
      <c r="Q1665" s="121">
        <f t="shared" si="387"/>
        <v>2216697</v>
      </c>
    </row>
    <row r="1666" spans="2:17" hidden="1" x14ac:dyDescent="0.4">
      <c r="B1666" s="110">
        <v>45587</v>
      </c>
      <c r="C1666" s="122">
        <f t="shared" si="388"/>
        <v>3000000</v>
      </c>
      <c r="D1666" s="111">
        <f t="shared" si="389"/>
        <v>74012</v>
      </c>
      <c r="E1666" s="2">
        <f t="shared" si="390"/>
        <v>2250</v>
      </c>
      <c r="F1666" s="112">
        <f t="shared" si="384"/>
        <v>17000000</v>
      </c>
      <c r="G1666" s="2">
        <f t="shared" si="391"/>
        <v>855065</v>
      </c>
      <c r="H1666" s="113">
        <f t="shared" si="392"/>
        <v>9.9999999999999998E-13</v>
      </c>
      <c r="I1666" s="121">
        <f t="shared" si="385"/>
        <v>2216697</v>
      </c>
      <c r="K1666" s="123">
        <f t="shared" si="393"/>
        <v>3000000</v>
      </c>
      <c r="L1666" s="111">
        <f t="shared" si="394"/>
        <v>74012</v>
      </c>
      <c r="M1666" s="2">
        <f t="shared" si="395"/>
        <v>2250</v>
      </c>
      <c r="N1666" s="112">
        <f t="shared" si="386"/>
        <v>17000000</v>
      </c>
      <c r="O1666" s="2">
        <f t="shared" si="396"/>
        <v>855065</v>
      </c>
      <c r="P1666" s="113">
        <f t="shared" si="397"/>
        <v>9.9999999999999998E-13</v>
      </c>
      <c r="Q1666" s="121">
        <f t="shared" si="387"/>
        <v>2216697</v>
      </c>
    </row>
    <row r="1667" spans="2:17" hidden="1" x14ac:dyDescent="0.4">
      <c r="B1667" s="110">
        <v>45588</v>
      </c>
      <c r="C1667" s="122">
        <f t="shared" si="388"/>
        <v>3000000</v>
      </c>
      <c r="D1667" s="111">
        <f t="shared" si="389"/>
        <v>74012</v>
      </c>
      <c r="E1667" s="2">
        <f t="shared" si="390"/>
        <v>2250</v>
      </c>
      <c r="F1667" s="112">
        <f t="shared" si="384"/>
        <v>17000000</v>
      </c>
      <c r="G1667" s="2">
        <f t="shared" si="391"/>
        <v>855065</v>
      </c>
      <c r="H1667" s="113">
        <f t="shared" si="392"/>
        <v>9.9999999999999998E-13</v>
      </c>
      <c r="I1667" s="121">
        <f t="shared" si="385"/>
        <v>2216697</v>
      </c>
      <c r="K1667" s="123">
        <f t="shared" si="393"/>
        <v>3000000</v>
      </c>
      <c r="L1667" s="111">
        <f t="shared" si="394"/>
        <v>74012</v>
      </c>
      <c r="M1667" s="2">
        <f t="shared" si="395"/>
        <v>2250</v>
      </c>
      <c r="N1667" s="112">
        <f t="shared" si="386"/>
        <v>17000000</v>
      </c>
      <c r="O1667" s="2">
        <f t="shared" si="396"/>
        <v>855065</v>
      </c>
      <c r="P1667" s="113">
        <f t="shared" si="397"/>
        <v>9.9999999999999998E-13</v>
      </c>
      <c r="Q1667" s="121">
        <f t="shared" si="387"/>
        <v>2216697</v>
      </c>
    </row>
    <row r="1668" spans="2:17" hidden="1" x14ac:dyDescent="0.4">
      <c r="B1668" s="110">
        <v>45589</v>
      </c>
      <c r="C1668" s="122">
        <f t="shared" si="388"/>
        <v>3000000</v>
      </c>
      <c r="D1668" s="111">
        <f t="shared" si="389"/>
        <v>74012</v>
      </c>
      <c r="E1668" s="2">
        <f t="shared" si="390"/>
        <v>2250</v>
      </c>
      <c r="F1668" s="112">
        <f t="shared" si="384"/>
        <v>17000000</v>
      </c>
      <c r="G1668" s="2">
        <f t="shared" si="391"/>
        <v>855065</v>
      </c>
      <c r="H1668" s="113">
        <f t="shared" si="392"/>
        <v>9.9999999999999998E-13</v>
      </c>
      <c r="I1668" s="121">
        <f t="shared" si="385"/>
        <v>2216697</v>
      </c>
      <c r="K1668" s="123">
        <f t="shared" si="393"/>
        <v>3000000</v>
      </c>
      <c r="L1668" s="111">
        <f t="shared" si="394"/>
        <v>74012</v>
      </c>
      <c r="M1668" s="2">
        <f t="shared" si="395"/>
        <v>2250</v>
      </c>
      <c r="N1668" s="112">
        <f t="shared" si="386"/>
        <v>17000000</v>
      </c>
      <c r="O1668" s="2">
        <f t="shared" si="396"/>
        <v>855065</v>
      </c>
      <c r="P1668" s="113">
        <f t="shared" si="397"/>
        <v>9.9999999999999998E-13</v>
      </c>
      <c r="Q1668" s="121">
        <f t="shared" si="387"/>
        <v>2216697</v>
      </c>
    </row>
    <row r="1669" spans="2:17" hidden="1" x14ac:dyDescent="0.4">
      <c r="B1669" s="110">
        <v>45590</v>
      </c>
      <c r="C1669" s="122">
        <f t="shared" si="388"/>
        <v>3000000</v>
      </c>
      <c r="D1669" s="111">
        <f t="shared" si="389"/>
        <v>74012</v>
      </c>
      <c r="E1669" s="2">
        <f t="shared" si="390"/>
        <v>2250</v>
      </c>
      <c r="F1669" s="112">
        <f t="shared" si="384"/>
        <v>17000000</v>
      </c>
      <c r="G1669" s="2">
        <f t="shared" si="391"/>
        <v>855065</v>
      </c>
      <c r="H1669" s="113">
        <f t="shared" si="392"/>
        <v>9.9999999999999998E-13</v>
      </c>
      <c r="I1669" s="121">
        <f t="shared" si="385"/>
        <v>2216697</v>
      </c>
      <c r="K1669" s="123">
        <f t="shared" si="393"/>
        <v>3000000</v>
      </c>
      <c r="L1669" s="111">
        <f t="shared" si="394"/>
        <v>74012</v>
      </c>
      <c r="M1669" s="2">
        <f t="shared" si="395"/>
        <v>2250</v>
      </c>
      <c r="N1669" s="112">
        <f t="shared" si="386"/>
        <v>17000000</v>
      </c>
      <c r="O1669" s="2">
        <f t="shared" si="396"/>
        <v>855065</v>
      </c>
      <c r="P1669" s="113">
        <f t="shared" si="397"/>
        <v>9.9999999999999998E-13</v>
      </c>
      <c r="Q1669" s="121">
        <f t="shared" si="387"/>
        <v>2216697</v>
      </c>
    </row>
    <row r="1670" spans="2:17" hidden="1" x14ac:dyDescent="0.4">
      <c r="B1670" s="110">
        <v>45591</v>
      </c>
      <c r="C1670" s="122">
        <f t="shared" si="388"/>
        <v>3000000</v>
      </c>
      <c r="D1670" s="111">
        <f t="shared" si="389"/>
        <v>74012</v>
      </c>
      <c r="E1670" s="2">
        <f t="shared" si="390"/>
        <v>2250</v>
      </c>
      <c r="F1670" s="112">
        <f t="shared" si="384"/>
        <v>17000000</v>
      </c>
      <c r="G1670" s="2">
        <f t="shared" si="391"/>
        <v>855065</v>
      </c>
      <c r="H1670" s="113">
        <f t="shared" si="392"/>
        <v>9.9999999999999998E-13</v>
      </c>
      <c r="I1670" s="121">
        <f t="shared" si="385"/>
        <v>2216697</v>
      </c>
      <c r="K1670" s="123">
        <f t="shared" si="393"/>
        <v>3000000</v>
      </c>
      <c r="L1670" s="111">
        <f t="shared" si="394"/>
        <v>74012</v>
      </c>
      <c r="M1670" s="2">
        <f t="shared" si="395"/>
        <v>2250</v>
      </c>
      <c r="N1670" s="112">
        <f t="shared" si="386"/>
        <v>17000000</v>
      </c>
      <c r="O1670" s="2">
        <f t="shared" si="396"/>
        <v>855065</v>
      </c>
      <c r="P1670" s="113">
        <f t="shared" si="397"/>
        <v>9.9999999999999998E-13</v>
      </c>
      <c r="Q1670" s="121">
        <f t="shared" si="387"/>
        <v>2216697</v>
      </c>
    </row>
    <row r="1671" spans="2:17" hidden="1" x14ac:dyDescent="0.4">
      <c r="B1671" s="110">
        <v>45592</v>
      </c>
      <c r="C1671" s="122">
        <f t="shared" si="388"/>
        <v>3000000</v>
      </c>
      <c r="D1671" s="111">
        <f t="shared" si="389"/>
        <v>74012</v>
      </c>
      <c r="E1671" s="2">
        <f t="shared" si="390"/>
        <v>2250</v>
      </c>
      <c r="F1671" s="112">
        <f t="shared" si="384"/>
        <v>17000000</v>
      </c>
      <c r="G1671" s="2">
        <f t="shared" si="391"/>
        <v>855065</v>
      </c>
      <c r="H1671" s="113">
        <f t="shared" si="392"/>
        <v>9.9999999999999998E-13</v>
      </c>
      <c r="I1671" s="121">
        <f t="shared" si="385"/>
        <v>2216697</v>
      </c>
      <c r="K1671" s="123">
        <f t="shared" si="393"/>
        <v>3000000</v>
      </c>
      <c r="L1671" s="111">
        <f t="shared" si="394"/>
        <v>74012</v>
      </c>
      <c r="M1671" s="2">
        <f t="shared" si="395"/>
        <v>2250</v>
      </c>
      <c r="N1671" s="112">
        <f t="shared" si="386"/>
        <v>17000000</v>
      </c>
      <c r="O1671" s="2">
        <f t="shared" si="396"/>
        <v>855065</v>
      </c>
      <c r="P1671" s="113">
        <f t="shared" si="397"/>
        <v>9.9999999999999998E-13</v>
      </c>
      <c r="Q1671" s="121">
        <f t="shared" si="387"/>
        <v>2216697</v>
      </c>
    </row>
    <row r="1672" spans="2:17" hidden="1" x14ac:dyDescent="0.4">
      <c r="B1672" s="110">
        <v>45593</v>
      </c>
      <c r="C1672" s="122">
        <f t="shared" si="388"/>
        <v>3000000</v>
      </c>
      <c r="D1672" s="111">
        <f t="shared" si="389"/>
        <v>74012</v>
      </c>
      <c r="E1672" s="2">
        <f t="shared" si="390"/>
        <v>2250</v>
      </c>
      <c r="F1672" s="112">
        <f t="shared" si="384"/>
        <v>17000000</v>
      </c>
      <c r="G1672" s="2">
        <f t="shared" si="391"/>
        <v>855065</v>
      </c>
      <c r="H1672" s="113">
        <f t="shared" si="392"/>
        <v>9.9999999999999998E-13</v>
      </c>
      <c r="I1672" s="121">
        <f t="shared" si="385"/>
        <v>2216697</v>
      </c>
      <c r="K1672" s="123">
        <f t="shared" si="393"/>
        <v>3000000</v>
      </c>
      <c r="L1672" s="111">
        <f t="shared" si="394"/>
        <v>74012</v>
      </c>
      <c r="M1672" s="2">
        <f t="shared" si="395"/>
        <v>2250</v>
      </c>
      <c r="N1672" s="112">
        <f t="shared" si="386"/>
        <v>17000000</v>
      </c>
      <c r="O1672" s="2">
        <f t="shared" si="396"/>
        <v>855065</v>
      </c>
      <c r="P1672" s="113">
        <f t="shared" si="397"/>
        <v>9.9999999999999998E-13</v>
      </c>
      <c r="Q1672" s="121">
        <f t="shared" si="387"/>
        <v>2216697</v>
      </c>
    </row>
    <row r="1673" spans="2:17" hidden="1" x14ac:dyDescent="0.4">
      <c r="B1673" s="110">
        <v>45594</v>
      </c>
      <c r="C1673" s="122">
        <f t="shared" si="388"/>
        <v>3000000</v>
      </c>
      <c r="D1673" s="111">
        <f t="shared" si="389"/>
        <v>74012</v>
      </c>
      <c r="E1673" s="2">
        <f t="shared" si="390"/>
        <v>2250</v>
      </c>
      <c r="F1673" s="112">
        <f t="shared" si="384"/>
        <v>17000000</v>
      </c>
      <c r="G1673" s="2">
        <f t="shared" si="391"/>
        <v>855065</v>
      </c>
      <c r="H1673" s="113">
        <f t="shared" si="392"/>
        <v>9.9999999999999998E-13</v>
      </c>
      <c r="I1673" s="121">
        <f t="shared" si="385"/>
        <v>2216697</v>
      </c>
      <c r="K1673" s="123">
        <f t="shared" si="393"/>
        <v>3000000</v>
      </c>
      <c r="L1673" s="111">
        <f t="shared" si="394"/>
        <v>74012</v>
      </c>
      <c r="M1673" s="2">
        <f t="shared" si="395"/>
        <v>2250</v>
      </c>
      <c r="N1673" s="112">
        <f t="shared" si="386"/>
        <v>17000000</v>
      </c>
      <c r="O1673" s="2">
        <f t="shared" si="396"/>
        <v>855065</v>
      </c>
      <c r="P1673" s="113">
        <f t="shared" si="397"/>
        <v>9.9999999999999998E-13</v>
      </c>
      <c r="Q1673" s="121">
        <f t="shared" si="387"/>
        <v>2216697</v>
      </c>
    </row>
    <row r="1674" spans="2:17" hidden="1" x14ac:dyDescent="0.4">
      <c r="B1674" s="110">
        <v>45595</v>
      </c>
      <c r="C1674" s="122">
        <f t="shared" si="388"/>
        <v>3000000</v>
      </c>
      <c r="D1674" s="111">
        <f t="shared" si="389"/>
        <v>74012</v>
      </c>
      <c r="E1674" s="2">
        <f t="shared" si="390"/>
        <v>2250</v>
      </c>
      <c r="F1674" s="112">
        <f t="shared" ref="F1674:F1737" si="398">20000000-C1674</f>
        <v>17000000</v>
      </c>
      <c r="G1674" s="2">
        <f t="shared" si="391"/>
        <v>855065</v>
      </c>
      <c r="H1674" s="113">
        <f t="shared" si="392"/>
        <v>9.9999999999999998E-13</v>
      </c>
      <c r="I1674" s="121">
        <f t="shared" ref="I1674:I1737" si="399">C1674+D1674-G1674-E1674+H1674</f>
        <v>2216697</v>
      </c>
      <c r="K1674" s="123">
        <f t="shared" si="393"/>
        <v>3000000</v>
      </c>
      <c r="L1674" s="111">
        <f t="shared" si="394"/>
        <v>74012</v>
      </c>
      <c r="M1674" s="2">
        <f t="shared" si="395"/>
        <v>2250</v>
      </c>
      <c r="N1674" s="112">
        <f t="shared" ref="N1674:N1737" si="400">20000000-K1674</f>
        <v>17000000</v>
      </c>
      <c r="O1674" s="2">
        <f t="shared" si="396"/>
        <v>855065</v>
      </c>
      <c r="P1674" s="113">
        <f t="shared" si="397"/>
        <v>9.9999999999999998E-13</v>
      </c>
      <c r="Q1674" s="121">
        <f t="shared" ref="Q1674:Q1737" si="401">K1674+L1674-O1674-M1674+P1674</f>
        <v>2216697</v>
      </c>
    </row>
    <row r="1675" spans="2:17" hidden="1" x14ac:dyDescent="0.4">
      <c r="B1675" s="110">
        <v>45596</v>
      </c>
      <c r="C1675" s="122">
        <f t="shared" ref="C1675:C1738" si="402">SUMIF($B$6:$B$75,$B1675,$D$6:$D$75)+C1674</f>
        <v>3000000</v>
      </c>
      <c r="D1675" s="111">
        <f t="shared" ref="D1675:D1738" si="403">SUMIF($B$6:$B$75,$B1675,$E$6:$E$75)+D1674</f>
        <v>74012</v>
      </c>
      <c r="E1675" s="2">
        <f t="shared" ref="E1675:E1738" si="404">SUMIF($G$353:$G$376,$B1675,$J$353:$J$376)+SUMIF($E$353:$E$376,$B1675,$H$353:$H$376)+SUMIF($G$353:$G$376,$B1675,$I$353:$I$376)+E1674</f>
        <v>2250</v>
      </c>
      <c r="F1675" s="112">
        <f t="shared" si="398"/>
        <v>17000000</v>
      </c>
      <c r="G1675" s="2">
        <f t="shared" ref="G1675:G1738" si="405">SUMIF($E$353:$E$376,$B1675,$M$353:$M$376)+G1674</f>
        <v>855065</v>
      </c>
      <c r="H1675" s="113">
        <f t="shared" ref="H1675:H1738" si="406">SUMIF($G$353:$G$376,$B1675,$N$353:$N$376)+H1674</f>
        <v>9.9999999999999998E-13</v>
      </c>
      <c r="I1675" s="121">
        <f t="shared" si="399"/>
        <v>2216697</v>
      </c>
      <c r="K1675" s="123">
        <f t="shared" ref="K1675:K1738" si="407">SUMIF($B$6:$B$75,$B1675,$D$6:$D$75)+K1674</f>
        <v>3000000</v>
      </c>
      <c r="L1675" s="111">
        <f t="shared" ref="L1675:L1738" si="408">SUMIF($B$6:$B$75,$B1675,$E$6:$E$75)+L1674</f>
        <v>74012</v>
      </c>
      <c r="M1675" s="2">
        <f t="shared" ref="M1675:M1738" si="409">SUMIF($G$353:$G$376,$B1675,$J$353:$J$376)+SUMIF($E$353:$E$376,$B1675,$H$353:$H$376)+SUMIF($G$353:$G$376,$B1675,$I$353:$I$376)+M1674</f>
        <v>2250</v>
      </c>
      <c r="N1675" s="112">
        <f t="shared" si="400"/>
        <v>17000000</v>
      </c>
      <c r="O1675" s="2">
        <f t="shared" ref="O1675:O1738" si="410">SUMIF($E$353:$E$376,$B1675,$M$353:$M$376)+O1674</f>
        <v>855065</v>
      </c>
      <c r="P1675" s="113">
        <f t="shared" ref="P1675:P1738" si="411">SUMIF($G$353:$G$376,$B1675,$N$353:$N$376)+P1674</f>
        <v>9.9999999999999998E-13</v>
      </c>
      <c r="Q1675" s="121">
        <f t="shared" si="401"/>
        <v>2216697</v>
      </c>
    </row>
    <row r="1676" spans="2:17" x14ac:dyDescent="0.4">
      <c r="B1676" s="110">
        <v>45597</v>
      </c>
      <c r="C1676" s="122">
        <f t="shared" si="402"/>
        <v>3000000</v>
      </c>
      <c r="D1676" s="111">
        <f t="shared" si="403"/>
        <v>74012</v>
      </c>
      <c r="E1676" s="2">
        <f t="shared" si="404"/>
        <v>2250</v>
      </c>
      <c r="F1676" s="112">
        <f t="shared" si="398"/>
        <v>17000000</v>
      </c>
      <c r="G1676" s="2">
        <f t="shared" si="405"/>
        <v>855065</v>
      </c>
      <c r="H1676" s="113">
        <f t="shared" si="406"/>
        <v>9.9999999999999998E-13</v>
      </c>
      <c r="I1676" s="121">
        <f t="shared" si="399"/>
        <v>2216697</v>
      </c>
      <c r="K1676" s="123">
        <f t="shared" si="407"/>
        <v>3000000</v>
      </c>
      <c r="L1676" s="111">
        <f t="shared" si="408"/>
        <v>74012</v>
      </c>
      <c r="M1676" s="2">
        <f t="shared" si="409"/>
        <v>2250</v>
      </c>
      <c r="N1676" s="112">
        <f t="shared" si="400"/>
        <v>17000000</v>
      </c>
      <c r="O1676" s="2">
        <f t="shared" si="410"/>
        <v>855065</v>
      </c>
      <c r="P1676" s="113">
        <f t="shared" si="411"/>
        <v>9.9999999999999998E-13</v>
      </c>
      <c r="Q1676" s="121">
        <f t="shared" si="401"/>
        <v>2216697</v>
      </c>
    </row>
    <row r="1677" spans="2:17" hidden="1" x14ac:dyDescent="0.4">
      <c r="B1677" s="110">
        <v>45598</v>
      </c>
      <c r="C1677" s="122">
        <f t="shared" si="402"/>
        <v>3000000</v>
      </c>
      <c r="D1677" s="111">
        <f t="shared" si="403"/>
        <v>74012</v>
      </c>
      <c r="E1677" s="2">
        <f t="shared" si="404"/>
        <v>2250</v>
      </c>
      <c r="F1677" s="112">
        <f t="shared" si="398"/>
        <v>17000000</v>
      </c>
      <c r="G1677" s="2">
        <f t="shared" si="405"/>
        <v>855065</v>
      </c>
      <c r="H1677" s="113">
        <f t="shared" si="406"/>
        <v>9.9999999999999998E-13</v>
      </c>
      <c r="I1677" s="121">
        <f t="shared" si="399"/>
        <v>2216697</v>
      </c>
      <c r="K1677" s="123">
        <f t="shared" si="407"/>
        <v>3000000</v>
      </c>
      <c r="L1677" s="111">
        <f t="shared" si="408"/>
        <v>74012</v>
      </c>
      <c r="M1677" s="2">
        <f t="shared" si="409"/>
        <v>2250</v>
      </c>
      <c r="N1677" s="112">
        <f t="shared" si="400"/>
        <v>17000000</v>
      </c>
      <c r="O1677" s="2">
        <f t="shared" si="410"/>
        <v>855065</v>
      </c>
      <c r="P1677" s="113">
        <f t="shared" si="411"/>
        <v>9.9999999999999998E-13</v>
      </c>
      <c r="Q1677" s="121">
        <f t="shared" si="401"/>
        <v>2216697</v>
      </c>
    </row>
    <row r="1678" spans="2:17" hidden="1" x14ac:dyDescent="0.4">
      <c r="B1678" s="110">
        <v>45599</v>
      </c>
      <c r="C1678" s="122">
        <f t="shared" si="402"/>
        <v>3000000</v>
      </c>
      <c r="D1678" s="111">
        <f t="shared" si="403"/>
        <v>74012</v>
      </c>
      <c r="E1678" s="2">
        <f t="shared" si="404"/>
        <v>2250</v>
      </c>
      <c r="F1678" s="112">
        <f t="shared" si="398"/>
        <v>17000000</v>
      </c>
      <c r="G1678" s="2">
        <f t="shared" si="405"/>
        <v>855065</v>
      </c>
      <c r="H1678" s="113">
        <f t="shared" si="406"/>
        <v>9.9999999999999998E-13</v>
      </c>
      <c r="I1678" s="121">
        <f t="shared" si="399"/>
        <v>2216697</v>
      </c>
      <c r="K1678" s="123">
        <f t="shared" si="407"/>
        <v>3000000</v>
      </c>
      <c r="L1678" s="111">
        <f t="shared" si="408"/>
        <v>74012</v>
      </c>
      <c r="M1678" s="2">
        <f t="shared" si="409"/>
        <v>2250</v>
      </c>
      <c r="N1678" s="112">
        <f t="shared" si="400"/>
        <v>17000000</v>
      </c>
      <c r="O1678" s="2">
        <f t="shared" si="410"/>
        <v>855065</v>
      </c>
      <c r="P1678" s="113">
        <f t="shared" si="411"/>
        <v>9.9999999999999998E-13</v>
      </c>
      <c r="Q1678" s="121">
        <f t="shared" si="401"/>
        <v>2216697</v>
      </c>
    </row>
    <row r="1679" spans="2:17" hidden="1" x14ac:dyDescent="0.4">
      <c r="B1679" s="110">
        <v>45600</v>
      </c>
      <c r="C1679" s="122">
        <f t="shared" si="402"/>
        <v>3000000</v>
      </c>
      <c r="D1679" s="111">
        <f t="shared" si="403"/>
        <v>74012</v>
      </c>
      <c r="E1679" s="2">
        <f t="shared" si="404"/>
        <v>2250</v>
      </c>
      <c r="F1679" s="112">
        <f t="shared" si="398"/>
        <v>17000000</v>
      </c>
      <c r="G1679" s="2">
        <f t="shared" si="405"/>
        <v>855065</v>
      </c>
      <c r="H1679" s="113">
        <f t="shared" si="406"/>
        <v>9.9999999999999998E-13</v>
      </c>
      <c r="I1679" s="121">
        <f t="shared" si="399"/>
        <v>2216697</v>
      </c>
      <c r="K1679" s="123">
        <f t="shared" si="407"/>
        <v>3000000</v>
      </c>
      <c r="L1679" s="111">
        <f t="shared" si="408"/>
        <v>74012</v>
      </c>
      <c r="M1679" s="2">
        <f t="shared" si="409"/>
        <v>2250</v>
      </c>
      <c r="N1679" s="112">
        <f t="shared" si="400"/>
        <v>17000000</v>
      </c>
      <c r="O1679" s="2">
        <f t="shared" si="410"/>
        <v>855065</v>
      </c>
      <c r="P1679" s="113">
        <f t="shared" si="411"/>
        <v>9.9999999999999998E-13</v>
      </c>
      <c r="Q1679" s="121">
        <f t="shared" si="401"/>
        <v>2216697</v>
      </c>
    </row>
    <row r="1680" spans="2:17" hidden="1" x14ac:dyDescent="0.4">
      <c r="B1680" s="110">
        <v>45601</v>
      </c>
      <c r="C1680" s="122">
        <f t="shared" si="402"/>
        <v>3000000</v>
      </c>
      <c r="D1680" s="111">
        <f t="shared" si="403"/>
        <v>74012</v>
      </c>
      <c r="E1680" s="2">
        <f t="shared" si="404"/>
        <v>2250</v>
      </c>
      <c r="F1680" s="112">
        <f t="shared" si="398"/>
        <v>17000000</v>
      </c>
      <c r="G1680" s="2">
        <f t="shared" si="405"/>
        <v>855065</v>
      </c>
      <c r="H1680" s="113">
        <f t="shared" si="406"/>
        <v>9.9999999999999998E-13</v>
      </c>
      <c r="I1680" s="121">
        <f t="shared" si="399"/>
        <v>2216697</v>
      </c>
      <c r="K1680" s="123">
        <f t="shared" si="407"/>
        <v>3000000</v>
      </c>
      <c r="L1680" s="111">
        <f t="shared" si="408"/>
        <v>74012</v>
      </c>
      <c r="M1680" s="2">
        <f t="shared" si="409"/>
        <v>2250</v>
      </c>
      <c r="N1680" s="112">
        <f t="shared" si="400"/>
        <v>17000000</v>
      </c>
      <c r="O1680" s="2">
        <f t="shared" si="410"/>
        <v>855065</v>
      </c>
      <c r="P1680" s="113">
        <f t="shared" si="411"/>
        <v>9.9999999999999998E-13</v>
      </c>
      <c r="Q1680" s="121">
        <f t="shared" si="401"/>
        <v>2216697</v>
      </c>
    </row>
    <row r="1681" spans="2:17" hidden="1" x14ac:dyDescent="0.4">
      <c r="B1681" s="110">
        <v>45602</v>
      </c>
      <c r="C1681" s="122">
        <f t="shared" si="402"/>
        <v>3000000</v>
      </c>
      <c r="D1681" s="111">
        <f t="shared" si="403"/>
        <v>74012</v>
      </c>
      <c r="E1681" s="2">
        <f t="shared" si="404"/>
        <v>2250</v>
      </c>
      <c r="F1681" s="112">
        <f t="shared" si="398"/>
        <v>17000000</v>
      </c>
      <c r="G1681" s="2">
        <f t="shared" si="405"/>
        <v>855065</v>
      </c>
      <c r="H1681" s="113">
        <f t="shared" si="406"/>
        <v>9.9999999999999998E-13</v>
      </c>
      <c r="I1681" s="121">
        <f t="shared" si="399"/>
        <v>2216697</v>
      </c>
      <c r="K1681" s="123">
        <f t="shared" si="407"/>
        <v>3000000</v>
      </c>
      <c r="L1681" s="111">
        <f t="shared" si="408"/>
        <v>74012</v>
      </c>
      <c r="M1681" s="2">
        <f t="shared" si="409"/>
        <v>2250</v>
      </c>
      <c r="N1681" s="112">
        <f t="shared" si="400"/>
        <v>17000000</v>
      </c>
      <c r="O1681" s="2">
        <f t="shared" si="410"/>
        <v>855065</v>
      </c>
      <c r="P1681" s="113">
        <f t="shared" si="411"/>
        <v>9.9999999999999998E-13</v>
      </c>
      <c r="Q1681" s="121">
        <f t="shared" si="401"/>
        <v>2216697</v>
      </c>
    </row>
    <row r="1682" spans="2:17" hidden="1" x14ac:dyDescent="0.4">
      <c r="B1682" s="110">
        <v>45603</v>
      </c>
      <c r="C1682" s="122">
        <f t="shared" si="402"/>
        <v>3000000</v>
      </c>
      <c r="D1682" s="111">
        <f t="shared" si="403"/>
        <v>74012</v>
      </c>
      <c r="E1682" s="2">
        <f t="shared" si="404"/>
        <v>2250</v>
      </c>
      <c r="F1682" s="112">
        <f t="shared" si="398"/>
        <v>17000000</v>
      </c>
      <c r="G1682" s="2">
        <f t="shared" si="405"/>
        <v>855065</v>
      </c>
      <c r="H1682" s="113">
        <f t="shared" si="406"/>
        <v>9.9999999999999998E-13</v>
      </c>
      <c r="I1682" s="121">
        <f t="shared" si="399"/>
        <v>2216697</v>
      </c>
      <c r="K1682" s="123">
        <f t="shared" si="407"/>
        <v>3000000</v>
      </c>
      <c r="L1682" s="111">
        <f t="shared" si="408"/>
        <v>74012</v>
      </c>
      <c r="M1682" s="2">
        <f t="shared" si="409"/>
        <v>2250</v>
      </c>
      <c r="N1682" s="112">
        <f t="shared" si="400"/>
        <v>17000000</v>
      </c>
      <c r="O1682" s="2">
        <f t="shared" si="410"/>
        <v>855065</v>
      </c>
      <c r="P1682" s="113">
        <f t="shared" si="411"/>
        <v>9.9999999999999998E-13</v>
      </c>
      <c r="Q1682" s="121">
        <f t="shared" si="401"/>
        <v>2216697</v>
      </c>
    </row>
    <row r="1683" spans="2:17" hidden="1" x14ac:dyDescent="0.4">
      <c r="B1683" s="110">
        <v>45604</v>
      </c>
      <c r="C1683" s="122">
        <f t="shared" si="402"/>
        <v>3000000</v>
      </c>
      <c r="D1683" s="111">
        <f t="shared" si="403"/>
        <v>74012</v>
      </c>
      <c r="E1683" s="2">
        <f t="shared" si="404"/>
        <v>2250</v>
      </c>
      <c r="F1683" s="112">
        <f t="shared" si="398"/>
        <v>17000000</v>
      </c>
      <c r="G1683" s="2">
        <f t="shared" si="405"/>
        <v>855065</v>
      </c>
      <c r="H1683" s="113">
        <f t="shared" si="406"/>
        <v>9.9999999999999998E-13</v>
      </c>
      <c r="I1683" s="121">
        <f t="shared" si="399"/>
        <v>2216697</v>
      </c>
      <c r="K1683" s="123">
        <f t="shared" si="407"/>
        <v>3000000</v>
      </c>
      <c r="L1683" s="111">
        <f t="shared" si="408"/>
        <v>74012</v>
      </c>
      <c r="M1683" s="2">
        <f t="shared" si="409"/>
        <v>2250</v>
      </c>
      <c r="N1683" s="112">
        <f t="shared" si="400"/>
        <v>17000000</v>
      </c>
      <c r="O1683" s="2">
        <f t="shared" si="410"/>
        <v>855065</v>
      </c>
      <c r="P1683" s="113">
        <f t="shared" si="411"/>
        <v>9.9999999999999998E-13</v>
      </c>
      <c r="Q1683" s="121">
        <f t="shared" si="401"/>
        <v>2216697</v>
      </c>
    </row>
    <row r="1684" spans="2:17" hidden="1" x14ac:dyDescent="0.4">
      <c r="B1684" s="110">
        <v>45605</v>
      </c>
      <c r="C1684" s="122">
        <f t="shared" si="402"/>
        <v>3000000</v>
      </c>
      <c r="D1684" s="111">
        <f t="shared" si="403"/>
        <v>74012</v>
      </c>
      <c r="E1684" s="2">
        <f t="shared" si="404"/>
        <v>2250</v>
      </c>
      <c r="F1684" s="112">
        <f t="shared" si="398"/>
        <v>17000000</v>
      </c>
      <c r="G1684" s="2">
        <f t="shared" si="405"/>
        <v>855065</v>
      </c>
      <c r="H1684" s="113">
        <f t="shared" si="406"/>
        <v>9.9999999999999998E-13</v>
      </c>
      <c r="I1684" s="121">
        <f t="shared" si="399"/>
        <v>2216697</v>
      </c>
      <c r="K1684" s="123">
        <f t="shared" si="407"/>
        <v>3000000</v>
      </c>
      <c r="L1684" s="111">
        <f t="shared" si="408"/>
        <v>74012</v>
      </c>
      <c r="M1684" s="2">
        <f t="shared" si="409"/>
        <v>2250</v>
      </c>
      <c r="N1684" s="112">
        <f t="shared" si="400"/>
        <v>17000000</v>
      </c>
      <c r="O1684" s="2">
        <f t="shared" si="410"/>
        <v>855065</v>
      </c>
      <c r="P1684" s="113">
        <f t="shared" si="411"/>
        <v>9.9999999999999998E-13</v>
      </c>
      <c r="Q1684" s="121">
        <f t="shared" si="401"/>
        <v>2216697</v>
      </c>
    </row>
    <row r="1685" spans="2:17" hidden="1" x14ac:dyDescent="0.4">
      <c r="B1685" s="110">
        <v>45606</v>
      </c>
      <c r="C1685" s="122">
        <f t="shared" si="402"/>
        <v>3000000</v>
      </c>
      <c r="D1685" s="111">
        <f t="shared" si="403"/>
        <v>74012</v>
      </c>
      <c r="E1685" s="2">
        <f t="shared" si="404"/>
        <v>2250</v>
      </c>
      <c r="F1685" s="112">
        <f t="shared" si="398"/>
        <v>17000000</v>
      </c>
      <c r="G1685" s="2">
        <f t="shared" si="405"/>
        <v>855065</v>
      </c>
      <c r="H1685" s="113">
        <f t="shared" si="406"/>
        <v>9.9999999999999998E-13</v>
      </c>
      <c r="I1685" s="121">
        <f t="shared" si="399"/>
        <v>2216697</v>
      </c>
      <c r="K1685" s="123">
        <f t="shared" si="407"/>
        <v>3000000</v>
      </c>
      <c r="L1685" s="111">
        <f t="shared" si="408"/>
        <v>74012</v>
      </c>
      <c r="M1685" s="2">
        <f t="shared" si="409"/>
        <v>2250</v>
      </c>
      <c r="N1685" s="112">
        <f t="shared" si="400"/>
        <v>17000000</v>
      </c>
      <c r="O1685" s="2">
        <f t="shared" si="410"/>
        <v>855065</v>
      </c>
      <c r="P1685" s="113">
        <f t="shared" si="411"/>
        <v>9.9999999999999998E-13</v>
      </c>
      <c r="Q1685" s="121">
        <f t="shared" si="401"/>
        <v>2216697</v>
      </c>
    </row>
    <row r="1686" spans="2:17" hidden="1" x14ac:dyDescent="0.4">
      <c r="B1686" s="110">
        <v>45607</v>
      </c>
      <c r="C1686" s="122">
        <f t="shared" si="402"/>
        <v>3000000</v>
      </c>
      <c r="D1686" s="111">
        <f t="shared" si="403"/>
        <v>74012</v>
      </c>
      <c r="E1686" s="2">
        <f t="shared" si="404"/>
        <v>2250</v>
      </c>
      <c r="F1686" s="112">
        <f t="shared" si="398"/>
        <v>17000000</v>
      </c>
      <c r="G1686" s="2">
        <f t="shared" si="405"/>
        <v>855065</v>
      </c>
      <c r="H1686" s="113">
        <f t="shared" si="406"/>
        <v>9.9999999999999998E-13</v>
      </c>
      <c r="I1686" s="121">
        <f t="shared" si="399"/>
        <v>2216697</v>
      </c>
      <c r="K1686" s="123">
        <f t="shared" si="407"/>
        <v>3000000</v>
      </c>
      <c r="L1686" s="111">
        <f t="shared" si="408"/>
        <v>74012</v>
      </c>
      <c r="M1686" s="2">
        <f t="shared" si="409"/>
        <v>2250</v>
      </c>
      <c r="N1686" s="112">
        <f t="shared" si="400"/>
        <v>17000000</v>
      </c>
      <c r="O1686" s="2">
        <f t="shared" si="410"/>
        <v>855065</v>
      </c>
      <c r="P1686" s="113">
        <f t="shared" si="411"/>
        <v>9.9999999999999998E-13</v>
      </c>
      <c r="Q1686" s="121">
        <f t="shared" si="401"/>
        <v>2216697</v>
      </c>
    </row>
    <row r="1687" spans="2:17" hidden="1" x14ac:dyDescent="0.4">
      <c r="B1687" s="110">
        <v>45608</v>
      </c>
      <c r="C1687" s="122">
        <f t="shared" si="402"/>
        <v>3000000</v>
      </c>
      <c r="D1687" s="111">
        <f t="shared" si="403"/>
        <v>74012</v>
      </c>
      <c r="E1687" s="2">
        <f t="shared" si="404"/>
        <v>2250</v>
      </c>
      <c r="F1687" s="112">
        <f t="shared" si="398"/>
        <v>17000000</v>
      </c>
      <c r="G1687" s="2">
        <f t="shared" si="405"/>
        <v>855065</v>
      </c>
      <c r="H1687" s="113">
        <f t="shared" si="406"/>
        <v>9.9999999999999998E-13</v>
      </c>
      <c r="I1687" s="121">
        <f t="shared" si="399"/>
        <v>2216697</v>
      </c>
      <c r="K1687" s="123">
        <f t="shared" si="407"/>
        <v>3000000</v>
      </c>
      <c r="L1687" s="111">
        <f t="shared" si="408"/>
        <v>74012</v>
      </c>
      <c r="M1687" s="2">
        <f t="shared" si="409"/>
        <v>2250</v>
      </c>
      <c r="N1687" s="112">
        <f t="shared" si="400"/>
        <v>17000000</v>
      </c>
      <c r="O1687" s="2">
        <f t="shared" si="410"/>
        <v>855065</v>
      </c>
      <c r="P1687" s="113">
        <f t="shared" si="411"/>
        <v>9.9999999999999998E-13</v>
      </c>
      <c r="Q1687" s="121">
        <f t="shared" si="401"/>
        <v>2216697</v>
      </c>
    </row>
    <row r="1688" spans="2:17" hidden="1" x14ac:dyDescent="0.4">
      <c r="B1688" s="110">
        <v>45609</v>
      </c>
      <c r="C1688" s="122">
        <f t="shared" si="402"/>
        <v>3000000</v>
      </c>
      <c r="D1688" s="111">
        <f t="shared" si="403"/>
        <v>74012</v>
      </c>
      <c r="E1688" s="2">
        <f t="shared" si="404"/>
        <v>2250</v>
      </c>
      <c r="F1688" s="112">
        <f t="shared" si="398"/>
        <v>17000000</v>
      </c>
      <c r="G1688" s="2">
        <f t="shared" si="405"/>
        <v>855065</v>
      </c>
      <c r="H1688" s="113">
        <f t="shared" si="406"/>
        <v>9.9999999999999998E-13</v>
      </c>
      <c r="I1688" s="121">
        <f t="shared" si="399"/>
        <v>2216697</v>
      </c>
      <c r="K1688" s="123">
        <f t="shared" si="407"/>
        <v>3000000</v>
      </c>
      <c r="L1688" s="111">
        <f t="shared" si="408"/>
        <v>74012</v>
      </c>
      <c r="M1688" s="2">
        <f t="shared" si="409"/>
        <v>2250</v>
      </c>
      <c r="N1688" s="112">
        <f t="shared" si="400"/>
        <v>17000000</v>
      </c>
      <c r="O1688" s="2">
        <f t="shared" si="410"/>
        <v>855065</v>
      </c>
      <c r="P1688" s="113">
        <f t="shared" si="411"/>
        <v>9.9999999999999998E-13</v>
      </c>
      <c r="Q1688" s="121">
        <f t="shared" si="401"/>
        <v>2216697</v>
      </c>
    </row>
    <row r="1689" spans="2:17" hidden="1" x14ac:dyDescent="0.4">
      <c r="B1689" s="110">
        <v>45610</v>
      </c>
      <c r="C1689" s="122">
        <f t="shared" si="402"/>
        <v>3000000</v>
      </c>
      <c r="D1689" s="111">
        <f t="shared" si="403"/>
        <v>74012</v>
      </c>
      <c r="E1689" s="2">
        <f t="shared" si="404"/>
        <v>2250</v>
      </c>
      <c r="F1689" s="112">
        <f t="shared" si="398"/>
        <v>17000000</v>
      </c>
      <c r="G1689" s="2">
        <f t="shared" si="405"/>
        <v>855065</v>
      </c>
      <c r="H1689" s="113">
        <f t="shared" si="406"/>
        <v>9.9999999999999998E-13</v>
      </c>
      <c r="I1689" s="121">
        <f t="shared" si="399"/>
        <v>2216697</v>
      </c>
      <c r="K1689" s="123">
        <f t="shared" si="407"/>
        <v>3000000</v>
      </c>
      <c r="L1689" s="111">
        <f t="shared" si="408"/>
        <v>74012</v>
      </c>
      <c r="M1689" s="2">
        <f t="shared" si="409"/>
        <v>2250</v>
      </c>
      <c r="N1689" s="112">
        <f t="shared" si="400"/>
        <v>17000000</v>
      </c>
      <c r="O1689" s="2">
        <f t="shared" si="410"/>
        <v>855065</v>
      </c>
      <c r="P1689" s="113">
        <f t="shared" si="411"/>
        <v>9.9999999999999998E-13</v>
      </c>
      <c r="Q1689" s="121">
        <f t="shared" si="401"/>
        <v>2216697</v>
      </c>
    </row>
    <row r="1690" spans="2:17" hidden="1" x14ac:dyDescent="0.4">
      <c r="B1690" s="110">
        <v>45611</v>
      </c>
      <c r="C1690" s="122">
        <f t="shared" si="402"/>
        <v>3000000</v>
      </c>
      <c r="D1690" s="111">
        <f t="shared" si="403"/>
        <v>74012</v>
      </c>
      <c r="E1690" s="2">
        <f t="shared" si="404"/>
        <v>2250</v>
      </c>
      <c r="F1690" s="112">
        <f t="shared" si="398"/>
        <v>17000000</v>
      </c>
      <c r="G1690" s="2">
        <f t="shared" si="405"/>
        <v>855065</v>
      </c>
      <c r="H1690" s="113">
        <f t="shared" si="406"/>
        <v>9.9999999999999998E-13</v>
      </c>
      <c r="I1690" s="121">
        <f t="shared" si="399"/>
        <v>2216697</v>
      </c>
      <c r="K1690" s="123">
        <f t="shared" si="407"/>
        <v>3000000</v>
      </c>
      <c r="L1690" s="111">
        <f t="shared" si="408"/>
        <v>74012</v>
      </c>
      <c r="M1690" s="2">
        <f t="shared" si="409"/>
        <v>2250</v>
      </c>
      <c r="N1690" s="112">
        <f t="shared" si="400"/>
        <v>17000000</v>
      </c>
      <c r="O1690" s="2">
        <f t="shared" si="410"/>
        <v>855065</v>
      </c>
      <c r="P1690" s="113">
        <f t="shared" si="411"/>
        <v>9.9999999999999998E-13</v>
      </c>
      <c r="Q1690" s="121">
        <f t="shared" si="401"/>
        <v>2216697</v>
      </c>
    </row>
    <row r="1691" spans="2:17" hidden="1" x14ac:dyDescent="0.4">
      <c r="B1691" s="110">
        <v>45612</v>
      </c>
      <c r="C1691" s="122">
        <f t="shared" si="402"/>
        <v>3000000</v>
      </c>
      <c r="D1691" s="111">
        <f t="shared" si="403"/>
        <v>74012</v>
      </c>
      <c r="E1691" s="2">
        <f t="shared" si="404"/>
        <v>2250</v>
      </c>
      <c r="F1691" s="112">
        <f t="shared" si="398"/>
        <v>17000000</v>
      </c>
      <c r="G1691" s="2">
        <f t="shared" si="405"/>
        <v>855065</v>
      </c>
      <c r="H1691" s="113">
        <f t="shared" si="406"/>
        <v>9.9999999999999998E-13</v>
      </c>
      <c r="I1691" s="121">
        <f t="shared" si="399"/>
        <v>2216697</v>
      </c>
      <c r="K1691" s="123">
        <f t="shared" si="407"/>
        <v>3000000</v>
      </c>
      <c r="L1691" s="111">
        <f t="shared" si="408"/>
        <v>74012</v>
      </c>
      <c r="M1691" s="2">
        <f t="shared" si="409"/>
        <v>2250</v>
      </c>
      <c r="N1691" s="112">
        <f t="shared" si="400"/>
        <v>17000000</v>
      </c>
      <c r="O1691" s="2">
        <f t="shared" si="410"/>
        <v>855065</v>
      </c>
      <c r="P1691" s="113">
        <f t="shared" si="411"/>
        <v>9.9999999999999998E-13</v>
      </c>
      <c r="Q1691" s="121">
        <f t="shared" si="401"/>
        <v>2216697</v>
      </c>
    </row>
    <row r="1692" spans="2:17" hidden="1" x14ac:dyDescent="0.4">
      <c r="B1692" s="110">
        <v>45613</v>
      </c>
      <c r="C1692" s="122">
        <f t="shared" si="402"/>
        <v>3000000</v>
      </c>
      <c r="D1692" s="111">
        <f t="shared" si="403"/>
        <v>74012</v>
      </c>
      <c r="E1692" s="2">
        <f t="shared" si="404"/>
        <v>2250</v>
      </c>
      <c r="F1692" s="112">
        <f t="shared" si="398"/>
        <v>17000000</v>
      </c>
      <c r="G1692" s="2">
        <f t="shared" si="405"/>
        <v>855065</v>
      </c>
      <c r="H1692" s="113">
        <f t="shared" si="406"/>
        <v>9.9999999999999998E-13</v>
      </c>
      <c r="I1692" s="121">
        <f t="shared" si="399"/>
        <v>2216697</v>
      </c>
      <c r="K1692" s="123">
        <f t="shared" si="407"/>
        <v>3000000</v>
      </c>
      <c r="L1692" s="111">
        <f t="shared" si="408"/>
        <v>74012</v>
      </c>
      <c r="M1692" s="2">
        <f t="shared" si="409"/>
        <v>2250</v>
      </c>
      <c r="N1692" s="112">
        <f t="shared" si="400"/>
        <v>17000000</v>
      </c>
      <c r="O1692" s="2">
        <f t="shared" si="410"/>
        <v>855065</v>
      </c>
      <c r="P1692" s="113">
        <f t="shared" si="411"/>
        <v>9.9999999999999998E-13</v>
      </c>
      <c r="Q1692" s="121">
        <f t="shared" si="401"/>
        <v>2216697</v>
      </c>
    </row>
    <row r="1693" spans="2:17" hidden="1" x14ac:dyDescent="0.4">
      <c r="B1693" s="110">
        <v>45614</v>
      </c>
      <c r="C1693" s="122">
        <f t="shared" si="402"/>
        <v>3000000</v>
      </c>
      <c r="D1693" s="111">
        <f t="shared" si="403"/>
        <v>74012</v>
      </c>
      <c r="E1693" s="2">
        <f t="shared" si="404"/>
        <v>2250</v>
      </c>
      <c r="F1693" s="112">
        <f t="shared" si="398"/>
        <v>17000000</v>
      </c>
      <c r="G1693" s="2">
        <f t="shared" si="405"/>
        <v>855065</v>
      </c>
      <c r="H1693" s="113">
        <f t="shared" si="406"/>
        <v>9.9999999999999998E-13</v>
      </c>
      <c r="I1693" s="121">
        <f t="shared" si="399"/>
        <v>2216697</v>
      </c>
      <c r="K1693" s="123">
        <f t="shared" si="407"/>
        <v>3000000</v>
      </c>
      <c r="L1693" s="111">
        <f t="shared" si="408"/>
        <v>74012</v>
      </c>
      <c r="M1693" s="2">
        <f t="shared" si="409"/>
        <v>2250</v>
      </c>
      <c r="N1693" s="112">
        <f t="shared" si="400"/>
        <v>17000000</v>
      </c>
      <c r="O1693" s="2">
        <f t="shared" si="410"/>
        <v>855065</v>
      </c>
      <c r="P1693" s="113">
        <f t="shared" si="411"/>
        <v>9.9999999999999998E-13</v>
      </c>
      <c r="Q1693" s="121">
        <f t="shared" si="401"/>
        <v>2216697</v>
      </c>
    </row>
    <row r="1694" spans="2:17" hidden="1" x14ac:dyDescent="0.4">
      <c r="B1694" s="110">
        <v>45615</v>
      </c>
      <c r="C1694" s="122">
        <f t="shared" si="402"/>
        <v>3000000</v>
      </c>
      <c r="D1694" s="111">
        <f t="shared" si="403"/>
        <v>74012</v>
      </c>
      <c r="E1694" s="2">
        <f t="shared" si="404"/>
        <v>2250</v>
      </c>
      <c r="F1694" s="112">
        <f t="shared" si="398"/>
        <v>17000000</v>
      </c>
      <c r="G1694" s="2">
        <f t="shared" si="405"/>
        <v>855065</v>
      </c>
      <c r="H1694" s="113">
        <f t="shared" si="406"/>
        <v>9.9999999999999998E-13</v>
      </c>
      <c r="I1694" s="121">
        <f t="shared" si="399"/>
        <v>2216697</v>
      </c>
      <c r="K1694" s="123">
        <f t="shared" si="407"/>
        <v>3000000</v>
      </c>
      <c r="L1694" s="111">
        <f t="shared" si="408"/>
        <v>74012</v>
      </c>
      <c r="M1694" s="2">
        <f t="shared" si="409"/>
        <v>2250</v>
      </c>
      <c r="N1694" s="112">
        <f t="shared" si="400"/>
        <v>17000000</v>
      </c>
      <c r="O1694" s="2">
        <f t="shared" si="410"/>
        <v>855065</v>
      </c>
      <c r="P1694" s="113">
        <f t="shared" si="411"/>
        <v>9.9999999999999998E-13</v>
      </c>
      <c r="Q1694" s="121">
        <f t="shared" si="401"/>
        <v>2216697</v>
      </c>
    </row>
    <row r="1695" spans="2:17" hidden="1" x14ac:dyDescent="0.4">
      <c r="B1695" s="110">
        <v>45616</v>
      </c>
      <c r="C1695" s="122">
        <f t="shared" si="402"/>
        <v>3000000</v>
      </c>
      <c r="D1695" s="111">
        <f t="shared" si="403"/>
        <v>76178</v>
      </c>
      <c r="E1695" s="2">
        <f t="shared" si="404"/>
        <v>2250</v>
      </c>
      <c r="F1695" s="112">
        <f t="shared" si="398"/>
        <v>17000000</v>
      </c>
      <c r="G1695" s="2">
        <f t="shared" si="405"/>
        <v>855065</v>
      </c>
      <c r="H1695" s="113">
        <f t="shared" si="406"/>
        <v>9.9999999999999998E-13</v>
      </c>
      <c r="I1695" s="121">
        <f t="shared" si="399"/>
        <v>2218863</v>
      </c>
      <c r="K1695" s="123">
        <f t="shared" si="407"/>
        <v>3000000</v>
      </c>
      <c r="L1695" s="111">
        <f t="shared" si="408"/>
        <v>76178</v>
      </c>
      <c r="M1695" s="2">
        <f t="shared" si="409"/>
        <v>2250</v>
      </c>
      <c r="N1695" s="112">
        <f t="shared" si="400"/>
        <v>17000000</v>
      </c>
      <c r="O1695" s="2">
        <f t="shared" si="410"/>
        <v>855065</v>
      </c>
      <c r="P1695" s="113">
        <f t="shared" si="411"/>
        <v>9.9999999999999998E-13</v>
      </c>
      <c r="Q1695" s="121">
        <f t="shared" si="401"/>
        <v>2218863</v>
      </c>
    </row>
    <row r="1696" spans="2:17" hidden="1" x14ac:dyDescent="0.4">
      <c r="B1696" s="110">
        <v>45617</v>
      </c>
      <c r="C1696" s="122">
        <f t="shared" si="402"/>
        <v>3000000</v>
      </c>
      <c r="D1696" s="111">
        <f t="shared" si="403"/>
        <v>76178</v>
      </c>
      <c r="E1696" s="2">
        <f t="shared" si="404"/>
        <v>2250</v>
      </c>
      <c r="F1696" s="112">
        <f t="shared" si="398"/>
        <v>17000000</v>
      </c>
      <c r="G1696" s="2">
        <f t="shared" si="405"/>
        <v>855065</v>
      </c>
      <c r="H1696" s="113">
        <f t="shared" si="406"/>
        <v>9.9999999999999998E-13</v>
      </c>
      <c r="I1696" s="121">
        <f t="shared" si="399"/>
        <v>2218863</v>
      </c>
      <c r="K1696" s="123">
        <f t="shared" si="407"/>
        <v>3000000</v>
      </c>
      <c r="L1696" s="111">
        <f t="shared" si="408"/>
        <v>76178</v>
      </c>
      <c r="M1696" s="2">
        <f t="shared" si="409"/>
        <v>2250</v>
      </c>
      <c r="N1696" s="112">
        <f t="shared" si="400"/>
        <v>17000000</v>
      </c>
      <c r="O1696" s="2">
        <f t="shared" si="410"/>
        <v>855065</v>
      </c>
      <c r="P1696" s="113">
        <f t="shared" si="411"/>
        <v>9.9999999999999998E-13</v>
      </c>
      <c r="Q1696" s="121">
        <f t="shared" si="401"/>
        <v>2218863</v>
      </c>
    </row>
    <row r="1697" spans="2:17" hidden="1" x14ac:dyDescent="0.4">
      <c r="B1697" s="110">
        <v>45618</v>
      </c>
      <c r="C1697" s="122">
        <f t="shared" si="402"/>
        <v>3000000</v>
      </c>
      <c r="D1697" s="111">
        <f t="shared" si="403"/>
        <v>76178</v>
      </c>
      <c r="E1697" s="2">
        <f t="shared" si="404"/>
        <v>2250</v>
      </c>
      <c r="F1697" s="112">
        <f t="shared" si="398"/>
        <v>17000000</v>
      </c>
      <c r="G1697" s="2">
        <f t="shared" si="405"/>
        <v>855065</v>
      </c>
      <c r="H1697" s="113">
        <f t="shared" si="406"/>
        <v>9.9999999999999998E-13</v>
      </c>
      <c r="I1697" s="121">
        <f t="shared" si="399"/>
        <v>2218863</v>
      </c>
      <c r="K1697" s="123">
        <f t="shared" si="407"/>
        <v>3000000</v>
      </c>
      <c r="L1697" s="111">
        <f t="shared" si="408"/>
        <v>76178</v>
      </c>
      <c r="M1697" s="2">
        <f t="shared" si="409"/>
        <v>2250</v>
      </c>
      <c r="N1697" s="112">
        <f t="shared" si="400"/>
        <v>17000000</v>
      </c>
      <c r="O1697" s="2">
        <f t="shared" si="410"/>
        <v>855065</v>
      </c>
      <c r="P1697" s="113">
        <f t="shared" si="411"/>
        <v>9.9999999999999998E-13</v>
      </c>
      <c r="Q1697" s="121">
        <f t="shared" si="401"/>
        <v>2218863</v>
      </c>
    </row>
    <row r="1698" spans="2:17" hidden="1" x14ac:dyDescent="0.4">
      <c r="B1698" s="110">
        <v>45619</v>
      </c>
      <c r="C1698" s="122">
        <f t="shared" si="402"/>
        <v>3000000</v>
      </c>
      <c r="D1698" s="111">
        <f t="shared" si="403"/>
        <v>76178</v>
      </c>
      <c r="E1698" s="2">
        <f t="shared" si="404"/>
        <v>2250</v>
      </c>
      <c r="F1698" s="112">
        <f t="shared" si="398"/>
        <v>17000000</v>
      </c>
      <c r="G1698" s="2">
        <f t="shared" si="405"/>
        <v>855065</v>
      </c>
      <c r="H1698" s="113">
        <f t="shared" si="406"/>
        <v>9.9999999999999998E-13</v>
      </c>
      <c r="I1698" s="121">
        <f t="shared" si="399"/>
        <v>2218863</v>
      </c>
      <c r="K1698" s="123">
        <f t="shared" si="407"/>
        <v>3000000</v>
      </c>
      <c r="L1698" s="111">
        <f t="shared" si="408"/>
        <v>76178</v>
      </c>
      <c r="M1698" s="2">
        <f t="shared" si="409"/>
        <v>2250</v>
      </c>
      <c r="N1698" s="112">
        <f t="shared" si="400"/>
        <v>17000000</v>
      </c>
      <c r="O1698" s="2">
        <f t="shared" si="410"/>
        <v>855065</v>
      </c>
      <c r="P1698" s="113">
        <f t="shared" si="411"/>
        <v>9.9999999999999998E-13</v>
      </c>
      <c r="Q1698" s="121">
        <f t="shared" si="401"/>
        <v>2218863</v>
      </c>
    </row>
    <row r="1699" spans="2:17" hidden="1" x14ac:dyDescent="0.4">
      <c r="B1699" s="110">
        <v>45620</v>
      </c>
      <c r="C1699" s="122">
        <f t="shared" si="402"/>
        <v>3000000</v>
      </c>
      <c r="D1699" s="111">
        <f t="shared" si="403"/>
        <v>76178</v>
      </c>
      <c r="E1699" s="2">
        <f t="shared" si="404"/>
        <v>2250</v>
      </c>
      <c r="F1699" s="112">
        <f t="shared" si="398"/>
        <v>17000000</v>
      </c>
      <c r="G1699" s="2">
        <f t="shared" si="405"/>
        <v>855065</v>
      </c>
      <c r="H1699" s="113">
        <f t="shared" si="406"/>
        <v>9.9999999999999998E-13</v>
      </c>
      <c r="I1699" s="121">
        <f t="shared" si="399"/>
        <v>2218863</v>
      </c>
      <c r="K1699" s="123">
        <f t="shared" si="407"/>
        <v>3000000</v>
      </c>
      <c r="L1699" s="111">
        <f t="shared" si="408"/>
        <v>76178</v>
      </c>
      <c r="M1699" s="2">
        <f t="shared" si="409"/>
        <v>2250</v>
      </c>
      <c r="N1699" s="112">
        <f t="shared" si="400"/>
        <v>17000000</v>
      </c>
      <c r="O1699" s="2">
        <f t="shared" si="410"/>
        <v>855065</v>
      </c>
      <c r="P1699" s="113">
        <f t="shared" si="411"/>
        <v>9.9999999999999998E-13</v>
      </c>
      <c r="Q1699" s="121">
        <f t="shared" si="401"/>
        <v>2218863</v>
      </c>
    </row>
    <row r="1700" spans="2:17" hidden="1" x14ac:dyDescent="0.4">
      <c r="B1700" s="110">
        <v>45621</v>
      </c>
      <c r="C1700" s="122">
        <f t="shared" si="402"/>
        <v>3000000</v>
      </c>
      <c r="D1700" s="111">
        <f t="shared" si="403"/>
        <v>76178</v>
      </c>
      <c r="E1700" s="2">
        <f t="shared" si="404"/>
        <v>2250</v>
      </c>
      <c r="F1700" s="112">
        <f t="shared" si="398"/>
        <v>17000000</v>
      </c>
      <c r="G1700" s="2">
        <f t="shared" si="405"/>
        <v>855065</v>
      </c>
      <c r="H1700" s="113">
        <f t="shared" si="406"/>
        <v>9.9999999999999998E-13</v>
      </c>
      <c r="I1700" s="121">
        <f t="shared" si="399"/>
        <v>2218863</v>
      </c>
      <c r="K1700" s="123">
        <f t="shared" si="407"/>
        <v>3000000</v>
      </c>
      <c r="L1700" s="111">
        <f t="shared" si="408"/>
        <v>76178</v>
      </c>
      <c r="M1700" s="2">
        <f t="shared" si="409"/>
        <v>2250</v>
      </c>
      <c r="N1700" s="112">
        <f t="shared" si="400"/>
        <v>17000000</v>
      </c>
      <c r="O1700" s="2">
        <f t="shared" si="410"/>
        <v>855065</v>
      </c>
      <c r="P1700" s="113">
        <f t="shared" si="411"/>
        <v>9.9999999999999998E-13</v>
      </c>
      <c r="Q1700" s="121">
        <f t="shared" si="401"/>
        <v>2218863</v>
      </c>
    </row>
    <row r="1701" spans="2:17" hidden="1" x14ac:dyDescent="0.4">
      <c r="B1701" s="110">
        <v>45622</v>
      </c>
      <c r="C1701" s="122">
        <f t="shared" si="402"/>
        <v>3000000</v>
      </c>
      <c r="D1701" s="111">
        <f t="shared" si="403"/>
        <v>76178</v>
      </c>
      <c r="E1701" s="2">
        <f t="shared" si="404"/>
        <v>2250</v>
      </c>
      <c r="F1701" s="112">
        <f t="shared" si="398"/>
        <v>17000000</v>
      </c>
      <c r="G1701" s="2">
        <f t="shared" si="405"/>
        <v>855065</v>
      </c>
      <c r="H1701" s="113">
        <f t="shared" si="406"/>
        <v>9.9999999999999998E-13</v>
      </c>
      <c r="I1701" s="121">
        <f t="shared" si="399"/>
        <v>2218863</v>
      </c>
      <c r="K1701" s="123">
        <f t="shared" si="407"/>
        <v>3000000</v>
      </c>
      <c r="L1701" s="111">
        <f t="shared" si="408"/>
        <v>76178</v>
      </c>
      <c r="M1701" s="2">
        <f t="shared" si="409"/>
        <v>2250</v>
      </c>
      <c r="N1701" s="112">
        <f t="shared" si="400"/>
        <v>17000000</v>
      </c>
      <c r="O1701" s="2">
        <f t="shared" si="410"/>
        <v>855065</v>
      </c>
      <c r="P1701" s="113">
        <f t="shared" si="411"/>
        <v>9.9999999999999998E-13</v>
      </c>
      <c r="Q1701" s="121">
        <f t="shared" si="401"/>
        <v>2218863</v>
      </c>
    </row>
    <row r="1702" spans="2:17" hidden="1" x14ac:dyDescent="0.4">
      <c r="B1702" s="110">
        <v>45623</v>
      </c>
      <c r="C1702" s="122">
        <f t="shared" si="402"/>
        <v>3000000</v>
      </c>
      <c r="D1702" s="111">
        <f t="shared" si="403"/>
        <v>76178</v>
      </c>
      <c r="E1702" s="2">
        <f t="shared" si="404"/>
        <v>2250</v>
      </c>
      <c r="F1702" s="112">
        <f t="shared" si="398"/>
        <v>17000000</v>
      </c>
      <c r="G1702" s="2">
        <f t="shared" si="405"/>
        <v>855065</v>
      </c>
      <c r="H1702" s="113">
        <f t="shared" si="406"/>
        <v>9.9999999999999998E-13</v>
      </c>
      <c r="I1702" s="121">
        <f t="shared" si="399"/>
        <v>2218863</v>
      </c>
      <c r="K1702" s="123">
        <f t="shared" si="407"/>
        <v>3000000</v>
      </c>
      <c r="L1702" s="111">
        <f t="shared" si="408"/>
        <v>76178</v>
      </c>
      <c r="M1702" s="2">
        <f t="shared" si="409"/>
        <v>2250</v>
      </c>
      <c r="N1702" s="112">
        <f t="shared" si="400"/>
        <v>17000000</v>
      </c>
      <c r="O1702" s="2">
        <f t="shared" si="410"/>
        <v>855065</v>
      </c>
      <c r="P1702" s="113">
        <f t="shared" si="411"/>
        <v>9.9999999999999998E-13</v>
      </c>
      <c r="Q1702" s="121">
        <f t="shared" si="401"/>
        <v>2218863</v>
      </c>
    </row>
    <row r="1703" spans="2:17" hidden="1" x14ac:dyDescent="0.4">
      <c r="B1703" s="110">
        <v>45624</v>
      </c>
      <c r="C1703" s="122">
        <f t="shared" si="402"/>
        <v>3000000</v>
      </c>
      <c r="D1703" s="111">
        <f t="shared" si="403"/>
        <v>76178</v>
      </c>
      <c r="E1703" s="2">
        <f t="shared" si="404"/>
        <v>2250</v>
      </c>
      <c r="F1703" s="112">
        <f t="shared" si="398"/>
        <v>17000000</v>
      </c>
      <c r="G1703" s="2">
        <f t="shared" si="405"/>
        <v>855065</v>
      </c>
      <c r="H1703" s="113">
        <f t="shared" si="406"/>
        <v>9.9999999999999998E-13</v>
      </c>
      <c r="I1703" s="121">
        <f t="shared" si="399"/>
        <v>2218863</v>
      </c>
      <c r="K1703" s="123">
        <f t="shared" si="407"/>
        <v>3000000</v>
      </c>
      <c r="L1703" s="111">
        <f t="shared" si="408"/>
        <v>76178</v>
      </c>
      <c r="M1703" s="2">
        <f t="shared" si="409"/>
        <v>2250</v>
      </c>
      <c r="N1703" s="112">
        <f t="shared" si="400"/>
        <v>17000000</v>
      </c>
      <c r="O1703" s="2">
        <f t="shared" si="410"/>
        <v>855065</v>
      </c>
      <c r="P1703" s="113">
        <f t="shared" si="411"/>
        <v>9.9999999999999998E-13</v>
      </c>
      <c r="Q1703" s="121">
        <f t="shared" si="401"/>
        <v>2218863</v>
      </c>
    </row>
    <row r="1704" spans="2:17" hidden="1" x14ac:dyDescent="0.4">
      <c r="B1704" s="110">
        <v>45625</v>
      </c>
      <c r="C1704" s="122">
        <f t="shared" si="402"/>
        <v>3000000</v>
      </c>
      <c r="D1704" s="111">
        <f t="shared" si="403"/>
        <v>76178</v>
      </c>
      <c r="E1704" s="2">
        <f t="shared" si="404"/>
        <v>2250</v>
      </c>
      <c r="F1704" s="112">
        <f t="shared" si="398"/>
        <v>17000000</v>
      </c>
      <c r="G1704" s="2">
        <f t="shared" si="405"/>
        <v>855065</v>
      </c>
      <c r="H1704" s="113">
        <f t="shared" si="406"/>
        <v>9.9999999999999998E-13</v>
      </c>
      <c r="I1704" s="121">
        <f t="shared" si="399"/>
        <v>2218863</v>
      </c>
      <c r="K1704" s="123">
        <f t="shared" si="407"/>
        <v>3000000</v>
      </c>
      <c r="L1704" s="111">
        <f t="shared" si="408"/>
        <v>76178</v>
      </c>
      <c r="M1704" s="2">
        <f t="shared" si="409"/>
        <v>2250</v>
      </c>
      <c r="N1704" s="112">
        <f t="shared" si="400"/>
        <v>17000000</v>
      </c>
      <c r="O1704" s="2">
        <f t="shared" si="410"/>
        <v>855065</v>
      </c>
      <c r="P1704" s="113">
        <f t="shared" si="411"/>
        <v>9.9999999999999998E-13</v>
      </c>
      <c r="Q1704" s="121">
        <f t="shared" si="401"/>
        <v>2218863</v>
      </c>
    </row>
    <row r="1705" spans="2:17" hidden="1" x14ac:dyDescent="0.4">
      <c r="B1705" s="110">
        <v>45626</v>
      </c>
      <c r="C1705" s="122">
        <f t="shared" si="402"/>
        <v>3000000</v>
      </c>
      <c r="D1705" s="111">
        <f t="shared" si="403"/>
        <v>76178</v>
      </c>
      <c r="E1705" s="2">
        <f t="shared" si="404"/>
        <v>2250</v>
      </c>
      <c r="F1705" s="112">
        <f t="shared" si="398"/>
        <v>17000000</v>
      </c>
      <c r="G1705" s="2">
        <f t="shared" si="405"/>
        <v>855065</v>
      </c>
      <c r="H1705" s="113">
        <f t="shared" si="406"/>
        <v>9.9999999999999998E-13</v>
      </c>
      <c r="I1705" s="121">
        <f t="shared" si="399"/>
        <v>2218863</v>
      </c>
      <c r="K1705" s="123">
        <f t="shared" si="407"/>
        <v>3000000</v>
      </c>
      <c r="L1705" s="111">
        <f t="shared" si="408"/>
        <v>76178</v>
      </c>
      <c r="M1705" s="2">
        <f t="shared" si="409"/>
        <v>2250</v>
      </c>
      <c r="N1705" s="112">
        <f t="shared" si="400"/>
        <v>17000000</v>
      </c>
      <c r="O1705" s="2">
        <f t="shared" si="410"/>
        <v>855065</v>
      </c>
      <c r="P1705" s="113">
        <f t="shared" si="411"/>
        <v>9.9999999999999998E-13</v>
      </c>
      <c r="Q1705" s="121">
        <f t="shared" si="401"/>
        <v>2218863</v>
      </c>
    </row>
    <row r="1706" spans="2:17" x14ac:dyDescent="0.4">
      <c r="B1706" s="110">
        <v>45627</v>
      </c>
      <c r="C1706" s="122">
        <f t="shared" si="402"/>
        <v>3000000</v>
      </c>
      <c r="D1706" s="111">
        <f t="shared" si="403"/>
        <v>76178</v>
      </c>
      <c r="E1706" s="2">
        <f t="shared" si="404"/>
        <v>2250</v>
      </c>
      <c r="F1706" s="112">
        <f t="shared" si="398"/>
        <v>17000000</v>
      </c>
      <c r="G1706" s="2">
        <f t="shared" si="405"/>
        <v>855065</v>
      </c>
      <c r="H1706" s="113">
        <f t="shared" si="406"/>
        <v>9.9999999999999998E-13</v>
      </c>
      <c r="I1706" s="121">
        <f t="shared" si="399"/>
        <v>2218863</v>
      </c>
      <c r="K1706" s="123">
        <f t="shared" si="407"/>
        <v>3000000</v>
      </c>
      <c r="L1706" s="111">
        <f t="shared" si="408"/>
        <v>76178</v>
      </c>
      <c r="M1706" s="2">
        <f t="shared" si="409"/>
        <v>2250</v>
      </c>
      <c r="N1706" s="112">
        <f t="shared" si="400"/>
        <v>17000000</v>
      </c>
      <c r="O1706" s="2">
        <f t="shared" si="410"/>
        <v>855065</v>
      </c>
      <c r="P1706" s="113">
        <f t="shared" si="411"/>
        <v>9.9999999999999998E-13</v>
      </c>
      <c r="Q1706" s="121">
        <f t="shared" si="401"/>
        <v>2218863</v>
      </c>
    </row>
    <row r="1707" spans="2:17" hidden="1" x14ac:dyDescent="0.4">
      <c r="B1707" s="110">
        <v>45628</v>
      </c>
      <c r="C1707" s="122">
        <f t="shared" si="402"/>
        <v>3000000</v>
      </c>
      <c r="D1707" s="111">
        <f t="shared" si="403"/>
        <v>80544</v>
      </c>
      <c r="E1707" s="2">
        <f t="shared" si="404"/>
        <v>2250</v>
      </c>
      <c r="F1707" s="112">
        <f t="shared" si="398"/>
        <v>17000000</v>
      </c>
      <c r="G1707" s="2">
        <f t="shared" si="405"/>
        <v>855065</v>
      </c>
      <c r="H1707" s="113">
        <f t="shared" si="406"/>
        <v>9.9999999999999998E-13</v>
      </c>
      <c r="I1707" s="121">
        <f t="shared" si="399"/>
        <v>2223229</v>
      </c>
      <c r="K1707" s="123">
        <f t="shared" si="407"/>
        <v>3000000</v>
      </c>
      <c r="L1707" s="111">
        <f t="shared" si="408"/>
        <v>80544</v>
      </c>
      <c r="M1707" s="2">
        <f t="shared" si="409"/>
        <v>2250</v>
      </c>
      <c r="N1707" s="112">
        <f t="shared" si="400"/>
        <v>17000000</v>
      </c>
      <c r="O1707" s="2">
        <f t="shared" si="410"/>
        <v>855065</v>
      </c>
      <c r="P1707" s="113">
        <f t="shared" si="411"/>
        <v>9.9999999999999998E-13</v>
      </c>
      <c r="Q1707" s="121">
        <f t="shared" si="401"/>
        <v>2223229</v>
      </c>
    </row>
    <row r="1708" spans="2:17" hidden="1" x14ac:dyDescent="0.4">
      <c r="B1708" s="110">
        <v>45629</v>
      </c>
      <c r="C1708" s="122">
        <f t="shared" si="402"/>
        <v>3000000</v>
      </c>
      <c r="D1708" s="111">
        <f t="shared" si="403"/>
        <v>80544</v>
      </c>
      <c r="E1708" s="2">
        <f t="shared" si="404"/>
        <v>2250</v>
      </c>
      <c r="F1708" s="112">
        <f t="shared" si="398"/>
        <v>17000000</v>
      </c>
      <c r="G1708" s="2">
        <f t="shared" si="405"/>
        <v>855065</v>
      </c>
      <c r="H1708" s="113">
        <f t="shared" si="406"/>
        <v>9.9999999999999998E-13</v>
      </c>
      <c r="I1708" s="121">
        <f t="shared" si="399"/>
        <v>2223229</v>
      </c>
      <c r="K1708" s="123">
        <f t="shared" si="407"/>
        <v>3000000</v>
      </c>
      <c r="L1708" s="111">
        <f t="shared" si="408"/>
        <v>80544</v>
      </c>
      <c r="M1708" s="2">
        <f t="shared" si="409"/>
        <v>2250</v>
      </c>
      <c r="N1708" s="112">
        <f t="shared" si="400"/>
        <v>17000000</v>
      </c>
      <c r="O1708" s="2">
        <f t="shared" si="410"/>
        <v>855065</v>
      </c>
      <c r="P1708" s="113">
        <f t="shared" si="411"/>
        <v>9.9999999999999998E-13</v>
      </c>
      <c r="Q1708" s="121">
        <f t="shared" si="401"/>
        <v>2223229</v>
      </c>
    </row>
    <row r="1709" spans="2:17" hidden="1" x14ac:dyDescent="0.4">
      <c r="B1709" s="110">
        <v>45630</v>
      </c>
      <c r="C1709" s="122">
        <f t="shared" si="402"/>
        <v>3000000</v>
      </c>
      <c r="D1709" s="111">
        <f t="shared" si="403"/>
        <v>80544</v>
      </c>
      <c r="E1709" s="2">
        <f t="shared" si="404"/>
        <v>2250</v>
      </c>
      <c r="F1709" s="112">
        <f t="shared" si="398"/>
        <v>17000000</v>
      </c>
      <c r="G1709" s="2">
        <f t="shared" si="405"/>
        <v>855065</v>
      </c>
      <c r="H1709" s="113">
        <f t="shared" si="406"/>
        <v>9.9999999999999998E-13</v>
      </c>
      <c r="I1709" s="121">
        <f t="shared" si="399"/>
        <v>2223229</v>
      </c>
      <c r="K1709" s="123">
        <f t="shared" si="407"/>
        <v>3000000</v>
      </c>
      <c r="L1709" s="111">
        <f t="shared" si="408"/>
        <v>80544</v>
      </c>
      <c r="M1709" s="2">
        <f t="shared" si="409"/>
        <v>2250</v>
      </c>
      <c r="N1709" s="112">
        <f t="shared" si="400"/>
        <v>17000000</v>
      </c>
      <c r="O1709" s="2">
        <f t="shared" si="410"/>
        <v>855065</v>
      </c>
      <c r="P1709" s="113">
        <f t="shared" si="411"/>
        <v>9.9999999999999998E-13</v>
      </c>
      <c r="Q1709" s="121">
        <f t="shared" si="401"/>
        <v>2223229</v>
      </c>
    </row>
    <row r="1710" spans="2:17" hidden="1" x14ac:dyDescent="0.4">
      <c r="B1710" s="110">
        <v>45631</v>
      </c>
      <c r="C1710" s="122">
        <f t="shared" si="402"/>
        <v>3000000</v>
      </c>
      <c r="D1710" s="111">
        <f t="shared" si="403"/>
        <v>80544</v>
      </c>
      <c r="E1710" s="2">
        <f t="shared" si="404"/>
        <v>2250</v>
      </c>
      <c r="F1710" s="112">
        <f t="shared" si="398"/>
        <v>17000000</v>
      </c>
      <c r="G1710" s="2">
        <f t="shared" si="405"/>
        <v>855065</v>
      </c>
      <c r="H1710" s="113">
        <f t="shared" si="406"/>
        <v>9.9999999999999998E-13</v>
      </c>
      <c r="I1710" s="121">
        <f t="shared" si="399"/>
        <v>2223229</v>
      </c>
      <c r="K1710" s="123">
        <f t="shared" si="407"/>
        <v>3000000</v>
      </c>
      <c r="L1710" s="111">
        <f t="shared" si="408"/>
        <v>80544</v>
      </c>
      <c r="M1710" s="2">
        <f t="shared" si="409"/>
        <v>2250</v>
      </c>
      <c r="N1710" s="112">
        <f t="shared" si="400"/>
        <v>17000000</v>
      </c>
      <c r="O1710" s="2">
        <f t="shared" si="410"/>
        <v>855065</v>
      </c>
      <c r="P1710" s="113">
        <f t="shared" si="411"/>
        <v>9.9999999999999998E-13</v>
      </c>
      <c r="Q1710" s="121">
        <f t="shared" si="401"/>
        <v>2223229</v>
      </c>
    </row>
    <row r="1711" spans="2:17" hidden="1" x14ac:dyDescent="0.4">
      <c r="B1711" s="110">
        <v>45632</v>
      </c>
      <c r="C1711" s="122">
        <f t="shared" si="402"/>
        <v>3000000</v>
      </c>
      <c r="D1711" s="111">
        <f t="shared" si="403"/>
        <v>80544</v>
      </c>
      <c r="E1711" s="2">
        <f t="shared" si="404"/>
        <v>2250</v>
      </c>
      <c r="F1711" s="112">
        <f t="shared" si="398"/>
        <v>17000000</v>
      </c>
      <c r="G1711" s="2">
        <f t="shared" si="405"/>
        <v>855065</v>
      </c>
      <c r="H1711" s="113">
        <f t="shared" si="406"/>
        <v>9.9999999999999998E-13</v>
      </c>
      <c r="I1711" s="121">
        <f t="shared" si="399"/>
        <v>2223229</v>
      </c>
      <c r="K1711" s="123">
        <f t="shared" si="407"/>
        <v>3000000</v>
      </c>
      <c r="L1711" s="111">
        <f t="shared" si="408"/>
        <v>80544</v>
      </c>
      <c r="M1711" s="2">
        <f t="shared" si="409"/>
        <v>2250</v>
      </c>
      <c r="N1711" s="112">
        <f t="shared" si="400"/>
        <v>17000000</v>
      </c>
      <c r="O1711" s="2">
        <f t="shared" si="410"/>
        <v>855065</v>
      </c>
      <c r="P1711" s="113">
        <f t="shared" si="411"/>
        <v>9.9999999999999998E-13</v>
      </c>
      <c r="Q1711" s="121">
        <f t="shared" si="401"/>
        <v>2223229</v>
      </c>
    </row>
    <row r="1712" spans="2:17" hidden="1" x14ac:dyDescent="0.4">
      <c r="B1712" s="110">
        <v>45633</v>
      </c>
      <c r="C1712" s="122">
        <f t="shared" si="402"/>
        <v>3000000</v>
      </c>
      <c r="D1712" s="111">
        <f t="shared" si="403"/>
        <v>80544</v>
      </c>
      <c r="E1712" s="2">
        <f t="shared" si="404"/>
        <v>2250</v>
      </c>
      <c r="F1712" s="112">
        <f t="shared" si="398"/>
        <v>17000000</v>
      </c>
      <c r="G1712" s="2">
        <f t="shared" si="405"/>
        <v>855065</v>
      </c>
      <c r="H1712" s="113">
        <f t="shared" si="406"/>
        <v>9.9999999999999998E-13</v>
      </c>
      <c r="I1712" s="121">
        <f t="shared" si="399"/>
        <v>2223229</v>
      </c>
      <c r="K1712" s="123">
        <f t="shared" si="407"/>
        <v>3000000</v>
      </c>
      <c r="L1712" s="111">
        <f t="shared" si="408"/>
        <v>80544</v>
      </c>
      <c r="M1712" s="2">
        <f t="shared" si="409"/>
        <v>2250</v>
      </c>
      <c r="N1712" s="112">
        <f t="shared" si="400"/>
        <v>17000000</v>
      </c>
      <c r="O1712" s="2">
        <f t="shared" si="410"/>
        <v>855065</v>
      </c>
      <c r="P1712" s="113">
        <f t="shared" si="411"/>
        <v>9.9999999999999998E-13</v>
      </c>
      <c r="Q1712" s="121">
        <f t="shared" si="401"/>
        <v>2223229</v>
      </c>
    </row>
    <row r="1713" spans="2:17" hidden="1" x14ac:dyDescent="0.4">
      <c r="B1713" s="110">
        <v>45634</v>
      </c>
      <c r="C1713" s="122">
        <f t="shared" si="402"/>
        <v>3000000</v>
      </c>
      <c r="D1713" s="111">
        <f t="shared" si="403"/>
        <v>80544</v>
      </c>
      <c r="E1713" s="2">
        <f t="shared" si="404"/>
        <v>2250</v>
      </c>
      <c r="F1713" s="112">
        <f t="shared" si="398"/>
        <v>17000000</v>
      </c>
      <c r="G1713" s="2">
        <f t="shared" si="405"/>
        <v>855065</v>
      </c>
      <c r="H1713" s="113">
        <f t="shared" si="406"/>
        <v>9.9999999999999998E-13</v>
      </c>
      <c r="I1713" s="121">
        <f t="shared" si="399"/>
        <v>2223229</v>
      </c>
      <c r="K1713" s="123">
        <f t="shared" si="407"/>
        <v>3000000</v>
      </c>
      <c r="L1713" s="111">
        <f t="shared" si="408"/>
        <v>80544</v>
      </c>
      <c r="M1713" s="2">
        <f t="shared" si="409"/>
        <v>2250</v>
      </c>
      <c r="N1713" s="112">
        <f t="shared" si="400"/>
        <v>17000000</v>
      </c>
      <c r="O1713" s="2">
        <f t="shared" si="410"/>
        <v>855065</v>
      </c>
      <c r="P1713" s="113">
        <f t="shared" si="411"/>
        <v>9.9999999999999998E-13</v>
      </c>
      <c r="Q1713" s="121">
        <f t="shared" si="401"/>
        <v>2223229</v>
      </c>
    </row>
    <row r="1714" spans="2:17" hidden="1" x14ac:dyDescent="0.4">
      <c r="B1714" s="110">
        <v>45635</v>
      </c>
      <c r="C1714" s="122">
        <f t="shared" si="402"/>
        <v>3000000</v>
      </c>
      <c r="D1714" s="111">
        <f t="shared" si="403"/>
        <v>80544</v>
      </c>
      <c r="E1714" s="2">
        <f t="shared" si="404"/>
        <v>2250</v>
      </c>
      <c r="F1714" s="112">
        <f t="shared" si="398"/>
        <v>17000000</v>
      </c>
      <c r="G1714" s="2">
        <f t="shared" si="405"/>
        <v>855065</v>
      </c>
      <c r="H1714" s="113">
        <f t="shared" si="406"/>
        <v>9.9999999999999998E-13</v>
      </c>
      <c r="I1714" s="121">
        <f t="shared" si="399"/>
        <v>2223229</v>
      </c>
      <c r="K1714" s="123">
        <f t="shared" si="407"/>
        <v>3000000</v>
      </c>
      <c r="L1714" s="111">
        <f t="shared" si="408"/>
        <v>80544</v>
      </c>
      <c r="M1714" s="2">
        <f t="shared" si="409"/>
        <v>2250</v>
      </c>
      <c r="N1714" s="112">
        <f t="shared" si="400"/>
        <v>17000000</v>
      </c>
      <c r="O1714" s="2">
        <f t="shared" si="410"/>
        <v>855065</v>
      </c>
      <c r="P1714" s="113">
        <f t="shared" si="411"/>
        <v>9.9999999999999998E-13</v>
      </c>
      <c r="Q1714" s="121">
        <f t="shared" si="401"/>
        <v>2223229</v>
      </c>
    </row>
    <row r="1715" spans="2:17" hidden="1" x14ac:dyDescent="0.4">
      <c r="B1715" s="110">
        <v>45636</v>
      </c>
      <c r="C1715" s="122">
        <f t="shared" si="402"/>
        <v>3000000</v>
      </c>
      <c r="D1715" s="111">
        <f t="shared" si="403"/>
        <v>80544</v>
      </c>
      <c r="E1715" s="2">
        <f t="shared" si="404"/>
        <v>2250</v>
      </c>
      <c r="F1715" s="112">
        <f t="shared" si="398"/>
        <v>17000000</v>
      </c>
      <c r="G1715" s="2">
        <f t="shared" si="405"/>
        <v>855065</v>
      </c>
      <c r="H1715" s="113">
        <f t="shared" si="406"/>
        <v>9.9999999999999998E-13</v>
      </c>
      <c r="I1715" s="121">
        <f t="shared" si="399"/>
        <v>2223229</v>
      </c>
      <c r="K1715" s="123">
        <f t="shared" si="407"/>
        <v>3000000</v>
      </c>
      <c r="L1715" s="111">
        <f t="shared" si="408"/>
        <v>80544</v>
      </c>
      <c r="M1715" s="2">
        <f t="shared" si="409"/>
        <v>2250</v>
      </c>
      <c r="N1715" s="112">
        <f t="shared" si="400"/>
        <v>17000000</v>
      </c>
      <c r="O1715" s="2">
        <f t="shared" si="410"/>
        <v>855065</v>
      </c>
      <c r="P1715" s="113">
        <f t="shared" si="411"/>
        <v>9.9999999999999998E-13</v>
      </c>
      <c r="Q1715" s="121">
        <f t="shared" si="401"/>
        <v>2223229</v>
      </c>
    </row>
    <row r="1716" spans="2:17" hidden="1" x14ac:dyDescent="0.4">
      <c r="B1716" s="110">
        <v>45637</v>
      </c>
      <c r="C1716" s="122">
        <f t="shared" si="402"/>
        <v>3000000</v>
      </c>
      <c r="D1716" s="111">
        <f t="shared" si="403"/>
        <v>80544</v>
      </c>
      <c r="E1716" s="2">
        <f t="shared" si="404"/>
        <v>2250</v>
      </c>
      <c r="F1716" s="112">
        <f t="shared" si="398"/>
        <v>17000000</v>
      </c>
      <c r="G1716" s="2">
        <f t="shared" si="405"/>
        <v>855065</v>
      </c>
      <c r="H1716" s="113">
        <f t="shared" si="406"/>
        <v>9.9999999999999998E-13</v>
      </c>
      <c r="I1716" s="121">
        <f t="shared" si="399"/>
        <v>2223229</v>
      </c>
      <c r="K1716" s="123">
        <f t="shared" si="407"/>
        <v>3000000</v>
      </c>
      <c r="L1716" s="111">
        <f t="shared" si="408"/>
        <v>80544</v>
      </c>
      <c r="M1716" s="2">
        <f t="shared" si="409"/>
        <v>2250</v>
      </c>
      <c r="N1716" s="112">
        <f t="shared" si="400"/>
        <v>17000000</v>
      </c>
      <c r="O1716" s="2">
        <f t="shared" si="410"/>
        <v>855065</v>
      </c>
      <c r="P1716" s="113">
        <f t="shared" si="411"/>
        <v>9.9999999999999998E-13</v>
      </c>
      <c r="Q1716" s="121">
        <f t="shared" si="401"/>
        <v>2223229</v>
      </c>
    </row>
    <row r="1717" spans="2:17" hidden="1" x14ac:dyDescent="0.4">
      <c r="B1717" s="110">
        <v>45638</v>
      </c>
      <c r="C1717" s="122">
        <f t="shared" si="402"/>
        <v>3000000</v>
      </c>
      <c r="D1717" s="111">
        <f t="shared" si="403"/>
        <v>80544</v>
      </c>
      <c r="E1717" s="2">
        <f t="shared" si="404"/>
        <v>2250</v>
      </c>
      <c r="F1717" s="112">
        <f t="shared" si="398"/>
        <v>17000000</v>
      </c>
      <c r="G1717" s="2">
        <f t="shared" si="405"/>
        <v>855065</v>
      </c>
      <c r="H1717" s="113">
        <f t="shared" si="406"/>
        <v>9.9999999999999998E-13</v>
      </c>
      <c r="I1717" s="121">
        <f t="shared" si="399"/>
        <v>2223229</v>
      </c>
      <c r="K1717" s="123">
        <f t="shared" si="407"/>
        <v>3000000</v>
      </c>
      <c r="L1717" s="111">
        <f t="shared" si="408"/>
        <v>80544</v>
      </c>
      <c r="M1717" s="2">
        <f t="shared" si="409"/>
        <v>2250</v>
      </c>
      <c r="N1717" s="112">
        <f t="shared" si="400"/>
        <v>17000000</v>
      </c>
      <c r="O1717" s="2">
        <f t="shared" si="410"/>
        <v>855065</v>
      </c>
      <c r="P1717" s="113">
        <f t="shared" si="411"/>
        <v>9.9999999999999998E-13</v>
      </c>
      <c r="Q1717" s="121">
        <f t="shared" si="401"/>
        <v>2223229</v>
      </c>
    </row>
    <row r="1718" spans="2:17" hidden="1" x14ac:dyDescent="0.4">
      <c r="B1718" s="110">
        <v>45639</v>
      </c>
      <c r="C1718" s="122">
        <f t="shared" si="402"/>
        <v>3000000</v>
      </c>
      <c r="D1718" s="111">
        <f t="shared" si="403"/>
        <v>80544</v>
      </c>
      <c r="E1718" s="2">
        <f t="shared" si="404"/>
        <v>2250</v>
      </c>
      <c r="F1718" s="112">
        <f t="shared" si="398"/>
        <v>17000000</v>
      </c>
      <c r="G1718" s="2">
        <f t="shared" si="405"/>
        <v>855065</v>
      </c>
      <c r="H1718" s="113">
        <f t="shared" si="406"/>
        <v>9.9999999999999998E-13</v>
      </c>
      <c r="I1718" s="121">
        <f t="shared" si="399"/>
        <v>2223229</v>
      </c>
      <c r="K1718" s="123">
        <f t="shared" si="407"/>
        <v>3000000</v>
      </c>
      <c r="L1718" s="111">
        <f t="shared" si="408"/>
        <v>80544</v>
      </c>
      <c r="M1718" s="2">
        <f t="shared" si="409"/>
        <v>2250</v>
      </c>
      <c r="N1718" s="112">
        <f t="shared" si="400"/>
        <v>17000000</v>
      </c>
      <c r="O1718" s="2">
        <f t="shared" si="410"/>
        <v>855065</v>
      </c>
      <c r="P1718" s="113">
        <f t="shared" si="411"/>
        <v>9.9999999999999998E-13</v>
      </c>
      <c r="Q1718" s="121">
        <f t="shared" si="401"/>
        <v>2223229</v>
      </c>
    </row>
    <row r="1719" spans="2:17" hidden="1" x14ac:dyDescent="0.4">
      <c r="B1719" s="110">
        <v>45640</v>
      </c>
      <c r="C1719" s="122">
        <f t="shared" si="402"/>
        <v>3000000</v>
      </c>
      <c r="D1719" s="111">
        <f t="shared" si="403"/>
        <v>80544</v>
      </c>
      <c r="E1719" s="2">
        <f t="shared" si="404"/>
        <v>2250</v>
      </c>
      <c r="F1719" s="112">
        <f t="shared" si="398"/>
        <v>17000000</v>
      </c>
      <c r="G1719" s="2">
        <f t="shared" si="405"/>
        <v>855065</v>
      </c>
      <c r="H1719" s="113">
        <f t="shared" si="406"/>
        <v>9.9999999999999998E-13</v>
      </c>
      <c r="I1719" s="121">
        <f t="shared" si="399"/>
        <v>2223229</v>
      </c>
      <c r="K1719" s="123">
        <f t="shared" si="407"/>
        <v>3000000</v>
      </c>
      <c r="L1719" s="111">
        <f t="shared" si="408"/>
        <v>80544</v>
      </c>
      <c r="M1719" s="2">
        <f t="shared" si="409"/>
        <v>2250</v>
      </c>
      <c r="N1719" s="112">
        <f t="shared" si="400"/>
        <v>17000000</v>
      </c>
      <c r="O1719" s="2">
        <f t="shared" si="410"/>
        <v>855065</v>
      </c>
      <c r="P1719" s="113">
        <f t="shared" si="411"/>
        <v>9.9999999999999998E-13</v>
      </c>
      <c r="Q1719" s="121">
        <f t="shared" si="401"/>
        <v>2223229</v>
      </c>
    </row>
    <row r="1720" spans="2:17" hidden="1" x14ac:dyDescent="0.4">
      <c r="B1720" s="110">
        <v>45641</v>
      </c>
      <c r="C1720" s="122">
        <f t="shared" si="402"/>
        <v>3000000</v>
      </c>
      <c r="D1720" s="111">
        <f t="shared" si="403"/>
        <v>80544</v>
      </c>
      <c r="E1720" s="2">
        <f t="shared" si="404"/>
        <v>2250</v>
      </c>
      <c r="F1720" s="112">
        <f t="shared" si="398"/>
        <v>17000000</v>
      </c>
      <c r="G1720" s="2">
        <f t="shared" si="405"/>
        <v>855065</v>
      </c>
      <c r="H1720" s="113">
        <f t="shared" si="406"/>
        <v>9.9999999999999998E-13</v>
      </c>
      <c r="I1720" s="121">
        <f t="shared" si="399"/>
        <v>2223229</v>
      </c>
      <c r="K1720" s="123">
        <f t="shared" si="407"/>
        <v>3000000</v>
      </c>
      <c r="L1720" s="111">
        <f t="shared" si="408"/>
        <v>80544</v>
      </c>
      <c r="M1720" s="2">
        <f t="shared" si="409"/>
        <v>2250</v>
      </c>
      <c r="N1720" s="112">
        <f t="shared" si="400"/>
        <v>17000000</v>
      </c>
      <c r="O1720" s="2">
        <f t="shared" si="410"/>
        <v>855065</v>
      </c>
      <c r="P1720" s="113">
        <f t="shared" si="411"/>
        <v>9.9999999999999998E-13</v>
      </c>
      <c r="Q1720" s="121">
        <f t="shared" si="401"/>
        <v>2223229</v>
      </c>
    </row>
    <row r="1721" spans="2:17" hidden="1" x14ac:dyDescent="0.4">
      <c r="B1721" s="110">
        <v>45642</v>
      </c>
      <c r="C1721" s="122">
        <f t="shared" si="402"/>
        <v>3000000</v>
      </c>
      <c r="D1721" s="111">
        <f t="shared" si="403"/>
        <v>80544</v>
      </c>
      <c r="E1721" s="2">
        <f t="shared" si="404"/>
        <v>2250</v>
      </c>
      <c r="F1721" s="112">
        <f t="shared" si="398"/>
        <v>17000000</v>
      </c>
      <c r="G1721" s="2">
        <f t="shared" si="405"/>
        <v>855065</v>
      </c>
      <c r="H1721" s="113">
        <f t="shared" si="406"/>
        <v>9.9999999999999998E-13</v>
      </c>
      <c r="I1721" s="121">
        <f t="shared" si="399"/>
        <v>2223229</v>
      </c>
      <c r="K1721" s="123">
        <f t="shared" si="407"/>
        <v>3000000</v>
      </c>
      <c r="L1721" s="111">
        <f t="shared" si="408"/>
        <v>80544</v>
      </c>
      <c r="M1721" s="2">
        <f t="shared" si="409"/>
        <v>2250</v>
      </c>
      <c r="N1721" s="112">
        <f t="shared" si="400"/>
        <v>17000000</v>
      </c>
      <c r="O1721" s="2">
        <f t="shared" si="410"/>
        <v>855065</v>
      </c>
      <c r="P1721" s="113">
        <f t="shared" si="411"/>
        <v>9.9999999999999998E-13</v>
      </c>
      <c r="Q1721" s="121">
        <f t="shared" si="401"/>
        <v>2223229</v>
      </c>
    </row>
    <row r="1722" spans="2:17" hidden="1" x14ac:dyDescent="0.4">
      <c r="B1722" s="110">
        <v>45643</v>
      </c>
      <c r="C1722" s="122">
        <f t="shared" si="402"/>
        <v>3000000</v>
      </c>
      <c r="D1722" s="111">
        <f t="shared" si="403"/>
        <v>80544</v>
      </c>
      <c r="E1722" s="2">
        <f t="shared" si="404"/>
        <v>2250</v>
      </c>
      <c r="F1722" s="112">
        <f t="shared" si="398"/>
        <v>17000000</v>
      </c>
      <c r="G1722" s="2">
        <f t="shared" si="405"/>
        <v>855065</v>
      </c>
      <c r="H1722" s="113">
        <f t="shared" si="406"/>
        <v>9.9999999999999998E-13</v>
      </c>
      <c r="I1722" s="121">
        <f t="shared" si="399"/>
        <v>2223229</v>
      </c>
      <c r="K1722" s="123">
        <f t="shared" si="407"/>
        <v>3000000</v>
      </c>
      <c r="L1722" s="111">
        <f t="shared" si="408"/>
        <v>80544</v>
      </c>
      <c r="M1722" s="2">
        <f t="shared" si="409"/>
        <v>2250</v>
      </c>
      <c r="N1722" s="112">
        <f t="shared" si="400"/>
        <v>17000000</v>
      </c>
      <c r="O1722" s="2">
        <f t="shared" si="410"/>
        <v>855065</v>
      </c>
      <c r="P1722" s="113">
        <f t="shared" si="411"/>
        <v>9.9999999999999998E-13</v>
      </c>
      <c r="Q1722" s="121">
        <f t="shared" si="401"/>
        <v>2223229</v>
      </c>
    </row>
    <row r="1723" spans="2:17" hidden="1" x14ac:dyDescent="0.4">
      <c r="B1723" s="110">
        <v>45644</v>
      </c>
      <c r="C1723" s="122">
        <f t="shared" si="402"/>
        <v>3000000</v>
      </c>
      <c r="D1723" s="111">
        <f t="shared" si="403"/>
        <v>80544</v>
      </c>
      <c r="E1723" s="2">
        <f t="shared" si="404"/>
        <v>2250</v>
      </c>
      <c r="F1723" s="112">
        <f t="shared" si="398"/>
        <v>17000000</v>
      </c>
      <c r="G1723" s="2">
        <f t="shared" si="405"/>
        <v>855065</v>
      </c>
      <c r="H1723" s="113">
        <f t="shared" si="406"/>
        <v>9.9999999999999998E-13</v>
      </c>
      <c r="I1723" s="121">
        <f t="shared" si="399"/>
        <v>2223229</v>
      </c>
      <c r="K1723" s="123">
        <f t="shared" si="407"/>
        <v>3000000</v>
      </c>
      <c r="L1723" s="111">
        <f t="shared" si="408"/>
        <v>80544</v>
      </c>
      <c r="M1723" s="2">
        <f t="shared" si="409"/>
        <v>2250</v>
      </c>
      <c r="N1723" s="112">
        <f t="shared" si="400"/>
        <v>17000000</v>
      </c>
      <c r="O1723" s="2">
        <f t="shared" si="410"/>
        <v>855065</v>
      </c>
      <c r="P1723" s="113">
        <f t="shared" si="411"/>
        <v>9.9999999999999998E-13</v>
      </c>
      <c r="Q1723" s="121">
        <f t="shared" si="401"/>
        <v>2223229</v>
      </c>
    </row>
    <row r="1724" spans="2:17" hidden="1" x14ac:dyDescent="0.4">
      <c r="B1724" s="110">
        <v>45645</v>
      </c>
      <c r="C1724" s="122">
        <f t="shared" si="402"/>
        <v>3000000</v>
      </c>
      <c r="D1724" s="111">
        <f t="shared" si="403"/>
        <v>80544</v>
      </c>
      <c r="E1724" s="2">
        <f t="shared" si="404"/>
        <v>2250</v>
      </c>
      <c r="F1724" s="112">
        <f t="shared" si="398"/>
        <v>17000000</v>
      </c>
      <c r="G1724" s="2">
        <f t="shared" si="405"/>
        <v>855065</v>
      </c>
      <c r="H1724" s="113">
        <f t="shared" si="406"/>
        <v>9.9999999999999998E-13</v>
      </c>
      <c r="I1724" s="121">
        <f t="shared" si="399"/>
        <v>2223229</v>
      </c>
      <c r="K1724" s="123">
        <f t="shared" si="407"/>
        <v>3000000</v>
      </c>
      <c r="L1724" s="111">
        <f t="shared" si="408"/>
        <v>80544</v>
      </c>
      <c r="M1724" s="2">
        <f t="shared" si="409"/>
        <v>2250</v>
      </c>
      <c r="N1724" s="112">
        <f t="shared" si="400"/>
        <v>17000000</v>
      </c>
      <c r="O1724" s="2">
        <f t="shared" si="410"/>
        <v>855065</v>
      </c>
      <c r="P1724" s="113">
        <f t="shared" si="411"/>
        <v>9.9999999999999998E-13</v>
      </c>
      <c r="Q1724" s="121">
        <f t="shared" si="401"/>
        <v>2223229</v>
      </c>
    </row>
    <row r="1725" spans="2:17" hidden="1" x14ac:dyDescent="0.4">
      <c r="B1725" s="110">
        <v>45646</v>
      </c>
      <c r="C1725" s="122">
        <f t="shared" si="402"/>
        <v>3000000</v>
      </c>
      <c r="D1725" s="111">
        <f t="shared" si="403"/>
        <v>80544</v>
      </c>
      <c r="E1725" s="2">
        <f t="shared" si="404"/>
        <v>2250</v>
      </c>
      <c r="F1725" s="112">
        <f t="shared" si="398"/>
        <v>17000000</v>
      </c>
      <c r="G1725" s="2">
        <f t="shared" si="405"/>
        <v>855065</v>
      </c>
      <c r="H1725" s="113">
        <f t="shared" si="406"/>
        <v>9.9999999999999998E-13</v>
      </c>
      <c r="I1725" s="121">
        <f t="shared" si="399"/>
        <v>2223229</v>
      </c>
      <c r="K1725" s="123">
        <f t="shared" si="407"/>
        <v>3000000</v>
      </c>
      <c r="L1725" s="111">
        <f t="shared" si="408"/>
        <v>80544</v>
      </c>
      <c r="M1725" s="2">
        <f t="shared" si="409"/>
        <v>2250</v>
      </c>
      <c r="N1725" s="112">
        <f t="shared" si="400"/>
        <v>17000000</v>
      </c>
      <c r="O1725" s="2">
        <f t="shared" si="410"/>
        <v>855065</v>
      </c>
      <c r="P1725" s="113">
        <f t="shared" si="411"/>
        <v>9.9999999999999998E-13</v>
      </c>
      <c r="Q1725" s="121">
        <f t="shared" si="401"/>
        <v>2223229</v>
      </c>
    </row>
    <row r="1726" spans="2:17" hidden="1" x14ac:dyDescent="0.4">
      <c r="B1726" s="110">
        <v>45647</v>
      </c>
      <c r="C1726" s="122">
        <f t="shared" si="402"/>
        <v>3000000</v>
      </c>
      <c r="D1726" s="111">
        <f t="shared" si="403"/>
        <v>80544</v>
      </c>
      <c r="E1726" s="2">
        <f t="shared" si="404"/>
        <v>2250</v>
      </c>
      <c r="F1726" s="112">
        <f t="shared" si="398"/>
        <v>17000000</v>
      </c>
      <c r="G1726" s="2">
        <f t="shared" si="405"/>
        <v>855065</v>
      </c>
      <c r="H1726" s="113">
        <f t="shared" si="406"/>
        <v>9.9999999999999998E-13</v>
      </c>
      <c r="I1726" s="121">
        <f t="shared" si="399"/>
        <v>2223229</v>
      </c>
      <c r="K1726" s="123">
        <f t="shared" si="407"/>
        <v>3000000</v>
      </c>
      <c r="L1726" s="111">
        <f t="shared" si="408"/>
        <v>80544</v>
      </c>
      <c r="M1726" s="2">
        <f t="shared" si="409"/>
        <v>2250</v>
      </c>
      <c r="N1726" s="112">
        <f t="shared" si="400"/>
        <v>17000000</v>
      </c>
      <c r="O1726" s="2">
        <f t="shared" si="410"/>
        <v>855065</v>
      </c>
      <c r="P1726" s="113">
        <f t="shared" si="411"/>
        <v>9.9999999999999998E-13</v>
      </c>
      <c r="Q1726" s="121">
        <f t="shared" si="401"/>
        <v>2223229</v>
      </c>
    </row>
    <row r="1727" spans="2:17" hidden="1" x14ac:dyDescent="0.4">
      <c r="B1727" s="110">
        <v>45648</v>
      </c>
      <c r="C1727" s="122">
        <f t="shared" si="402"/>
        <v>3000000</v>
      </c>
      <c r="D1727" s="111">
        <f t="shared" si="403"/>
        <v>80544</v>
      </c>
      <c r="E1727" s="2">
        <f t="shared" si="404"/>
        <v>2250</v>
      </c>
      <c r="F1727" s="112">
        <f t="shared" si="398"/>
        <v>17000000</v>
      </c>
      <c r="G1727" s="2">
        <f t="shared" si="405"/>
        <v>855065</v>
      </c>
      <c r="H1727" s="113">
        <f t="shared" si="406"/>
        <v>9.9999999999999998E-13</v>
      </c>
      <c r="I1727" s="121">
        <f t="shared" si="399"/>
        <v>2223229</v>
      </c>
      <c r="K1727" s="123">
        <f t="shared" si="407"/>
        <v>3000000</v>
      </c>
      <c r="L1727" s="111">
        <f t="shared" si="408"/>
        <v>80544</v>
      </c>
      <c r="M1727" s="2">
        <f t="shared" si="409"/>
        <v>2250</v>
      </c>
      <c r="N1727" s="112">
        <f t="shared" si="400"/>
        <v>17000000</v>
      </c>
      <c r="O1727" s="2">
        <f t="shared" si="410"/>
        <v>855065</v>
      </c>
      <c r="P1727" s="113">
        <f t="shared" si="411"/>
        <v>9.9999999999999998E-13</v>
      </c>
      <c r="Q1727" s="121">
        <f t="shared" si="401"/>
        <v>2223229</v>
      </c>
    </row>
    <row r="1728" spans="2:17" hidden="1" x14ac:dyDescent="0.4">
      <c r="B1728" s="110">
        <v>45649</v>
      </c>
      <c r="C1728" s="122">
        <f t="shared" si="402"/>
        <v>3000000</v>
      </c>
      <c r="D1728" s="111">
        <f t="shared" si="403"/>
        <v>80544</v>
      </c>
      <c r="E1728" s="2">
        <f t="shared" si="404"/>
        <v>2250</v>
      </c>
      <c r="F1728" s="112">
        <f t="shared" si="398"/>
        <v>17000000</v>
      </c>
      <c r="G1728" s="2">
        <f t="shared" si="405"/>
        <v>855065</v>
      </c>
      <c r="H1728" s="113">
        <f t="shared" si="406"/>
        <v>9.9999999999999998E-13</v>
      </c>
      <c r="I1728" s="121">
        <f t="shared" si="399"/>
        <v>2223229</v>
      </c>
      <c r="K1728" s="123">
        <f t="shared" si="407"/>
        <v>3000000</v>
      </c>
      <c r="L1728" s="111">
        <f t="shared" si="408"/>
        <v>80544</v>
      </c>
      <c r="M1728" s="2">
        <f t="shared" si="409"/>
        <v>2250</v>
      </c>
      <c r="N1728" s="112">
        <f t="shared" si="400"/>
        <v>17000000</v>
      </c>
      <c r="O1728" s="2">
        <f t="shared" si="410"/>
        <v>855065</v>
      </c>
      <c r="P1728" s="113">
        <f t="shared" si="411"/>
        <v>9.9999999999999998E-13</v>
      </c>
      <c r="Q1728" s="121">
        <f t="shared" si="401"/>
        <v>2223229</v>
      </c>
    </row>
    <row r="1729" spans="2:17" hidden="1" x14ac:dyDescent="0.4">
      <c r="B1729" s="110">
        <v>45650</v>
      </c>
      <c r="C1729" s="122">
        <f t="shared" si="402"/>
        <v>3000000</v>
      </c>
      <c r="D1729" s="111">
        <f t="shared" si="403"/>
        <v>80544</v>
      </c>
      <c r="E1729" s="2">
        <f t="shared" si="404"/>
        <v>2250</v>
      </c>
      <c r="F1729" s="112">
        <f t="shared" si="398"/>
        <v>17000000</v>
      </c>
      <c r="G1729" s="2">
        <f t="shared" si="405"/>
        <v>855065</v>
      </c>
      <c r="H1729" s="113">
        <f t="shared" si="406"/>
        <v>9.9999999999999998E-13</v>
      </c>
      <c r="I1729" s="121">
        <f t="shared" si="399"/>
        <v>2223229</v>
      </c>
      <c r="K1729" s="123">
        <f t="shared" si="407"/>
        <v>3000000</v>
      </c>
      <c r="L1729" s="111">
        <f t="shared" si="408"/>
        <v>80544</v>
      </c>
      <c r="M1729" s="2">
        <f t="shared" si="409"/>
        <v>2250</v>
      </c>
      <c r="N1729" s="112">
        <f t="shared" si="400"/>
        <v>17000000</v>
      </c>
      <c r="O1729" s="2">
        <f t="shared" si="410"/>
        <v>855065</v>
      </c>
      <c r="P1729" s="113">
        <f t="shared" si="411"/>
        <v>9.9999999999999998E-13</v>
      </c>
      <c r="Q1729" s="121">
        <f t="shared" si="401"/>
        <v>2223229</v>
      </c>
    </row>
    <row r="1730" spans="2:17" hidden="1" x14ac:dyDescent="0.4">
      <c r="B1730" s="110">
        <v>45651</v>
      </c>
      <c r="C1730" s="122">
        <f t="shared" si="402"/>
        <v>3000000</v>
      </c>
      <c r="D1730" s="111">
        <f t="shared" si="403"/>
        <v>80544</v>
      </c>
      <c r="E1730" s="2">
        <f t="shared" si="404"/>
        <v>2250</v>
      </c>
      <c r="F1730" s="112">
        <f t="shared" si="398"/>
        <v>17000000</v>
      </c>
      <c r="G1730" s="2">
        <f t="shared" si="405"/>
        <v>855065</v>
      </c>
      <c r="H1730" s="113">
        <f t="shared" si="406"/>
        <v>9.9999999999999998E-13</v>
      </c>
      <c r="I1730" s="121">
        <f t="shared" si="399"/>
        <v>2223229</v>
      </c>
      <c r="K1730" s="123">
        <f t="shared" si="407"/>
        <v>3000000</v>
      </c>
      <c r="L1730" s="111">
        <f t="shared" si="408"/>
        <v>80544</v>
      </c>
      <c r="M1730" s="2">
        <f t="shared" si="409"/>
        <v>2250</v>
      </c>
      <c r="N1730" s="112">
        <f t="shared" si="400"/>
        <v>17000000</v>
      </c>
      <c r="O1730" s="2">
        <f t="shared" si="410"/>
        <v>855065</v>
      </c>
      <c r="P1730" s="113">
        <f t="shared" si="411"/>
        <v>9.9999999999999998E-13</v>
      </c>
      <c r="Q1730" s="121">
        <f t="shared" si="401"/>
        <v>2223229</v>
      </c>
    </row>
    <row r="1731" spans="2:17" hidden="1" x14ac:dyDescent="0.4">
      <c r="B1731" s="110">
        <v>45652</v>
      </c>
      <c r="C1731" s="122">
        <f t="shared" si="402"/>
        <v>3000000</v>
      </c>
      <c r="D1731" s="111">
        <f t="shared" si="403"/>
        <v>80544</v>
      </c>
      <c r="E1731" s="2">
        <f t="shared" si="404"/>
        <v>2250</v>
      </c>
      <c r="F1731" s="112">
        <f t="shared" si="398"/>
        <v>17000000</v>
      </c>
      <c r="G1731" s="2">
        <f t="shared" si="405"/>
        <v>855065</v>
      </c>
      <c r="H1731" s="113">
        <f t="shared" si="406"/>
        <v>9.9999999999999998E-13</v>
      </c>
      <c r="I1731" s="121">
        <f t="shared" si="399"/>
        <v>2223229</v>
      </c>
      <c r="K1731" s="123">
        <f t="shared" si="407"/>
        <v>3000000</v>
      </c>
      <c r="L1731" s="111">
        <f t="shared" si="408"/>
        <v>80544</v>
      </c>
      <c r="M1731" s="2">
        <f t="shared" si="409"/>
        <v>2250</v>
      </c>
      <c r="N1731" s="112">
        <f t="shared" si="400"/>
        <v>17000000</v>
      </c>
      <c r="O1731" s="2">
        <f t="shared" si="410"/>
        <v>855065</v>
      </c>
      <c r="P1731" s="113">
        <f t="shared" si="411"/>
        <v>9.9999999999999998E-13</v>
      </c>
      <c r="Q1731" s="121">
        <f t="shared" si="401"/>
        <v>2223229</v>
      </c>
    </row>
    <row r="1732" spans="2:17" hidden="1" x14ac:dyDescent="0.4">
      <c r="B1732" s="110">
        <v>45653</v>
      </c>
      <c r="C1732" s="122">
        <f t="shared" si="402"/>
        <v>3000000</v>
      </c>
      <c r="D1732" s="111">
        <f t="shared" si="403"/>
        <v>80544</v>
      </c>
      <c r="E1732" s="2">
        <f t="shared" si="404"/>
        <v>2250</v>
      </c>
      <c r="F1732" s="112">
        <f t="shared" si="398"/>
        <v>17000000</v>
      </c>
      <c r="G1732" s="2">
        <f t="shared" si="405"/>
        <v>855065</v>
      </c>
      <c r="H1732" s="113">
        <f t="shared" si="406"/>
        <v>9.9999999999999998E-13</v>
      </c>
      <c r="I1732" s="121">
        <f t="shared" si="399"/>
        <v>2223229</v>
      </c>
      <c r="K1732" s="123">
        <f t="shared" si="407"/>
        <v>3000000</v>
      </c>
      <c r="L1732" s="111">
        <f t="shared" si="408"/>
        <v>80544</v>
      </c>
      <c r="M1732" s="2">
        <f t="shared" si="409"/>
        <v>2250</v>
      </c>
      <c r="N1732" s="112">
        <f t="shared" si="400"/>
        <v>17000000</v>
      </c>
      <c r="O1732" s="2">
        <f t="shared" si="410"/>
        <v>855065</v>
      </c>
      <c r="P1732" s="113">
        <f t="shared" si="411"/>
        <v>9.9999999999999998E-13</v>
      </c>
      <c r="Q1732" s="121">
        <f t="shared" si="401"/>
        <v>2223229</v>
      </c>
    </row>
    <row r="1733" spans="2:17" hidden="1" x14ac:dyDescent="0.4">
      <c r="B1733" s="110">
        <v>45654</v>
      </c>
      <c r="C1733" s="122">
        <f t="shared" si="402"/>
        <v>3000000</v>
      </c>
      <c r="D1733" s="111">
        <f t="shared" si="403"/>
        <v>80544</v>
      </c>
      <c r="E1733" s="2">
        <f t="shared" si="404"/>
        <v>2250</v>
      </c>
      <c r="F1733" s="112">
        <f t="shared" si="398"/>
        <v>17000000</v>
      </c>
      <c r="G1733" s="2">
        <f t="shared" si="405"/>
        <v>855065</v>
      </c>
      <c r="H1733" s="113">
        <f t="shared" si="406"/>
        <v>9.9999999999999998E-13</v>
      </c>
      <c r="I1733" s="121">
        <f t="shared" si="399"/>
        <v>2223229</v>
      </c>
      <c r="K1733" s="123">
        <f t="shared" si="407"/>
        <v>3000000</v>
      </c>
      <c r="L1733" s="111">
        <f t="shared" si="408"/>
        <v>80544</v>
      </c>
      <c r="M1733" s="2">
        <f t="shared" si="409"/>
        <v>2250</v>
      </c>
      <c r="N1733" s="112">
        <f t="shared" si="400"/>
        <v>17000000</v>
      </c>
      <c r="O1733" s="2">
        <f t="shared" si="410"/>
        <v>855065</v>
      </c>
      <c r="P1733" s="113">
        <f t="shared" si="411"/>
        <v>9.9999999999999998E-13</v>
      </c>
      <c r="Q1733" s="121">
        <f t="shared" si="401"/>
        <v>2223229</v>
      </c>
    </row>
    <row r="1734" spans="2:17" hidden="1" x14ac:dyDescent="0.4">
      <c r="B1734" s="110">
        <v>45655</v>
      </c>
      <c r="C1734" s="122">
        <f t="shared" si="402"/>
        <v>3000000</v>
      </c>
      <c r="D1734" s="111">
        <f t="shared" si="403"/>
        <v>80544</v>
      </c>
      <c r="E1734" s="2">
        <f t="shared" si="404"/>
        <v>2250</v>
      </c>
      <c r="F1734" s="112">
        <f t="shared" si="398"/>
        <v>17000000</v>
      </c>
      <c r="G1734" s="2">
        <f t="shared" si="405"/>
        <v>855065</v>
      </c>
      <c r="H1734" s="113">
        <f t="shared" si="406"/>
        <v>9.9999999999999998E-13</v>
      </c>
      <c r="I1734" s="121">
        <f t="shared" si="399"/>
        <v>2223229</v>
      </c>
      <c r="K1734" s="123">
        <f t="shared" si="407"/>
        <v>3000000</v>
      </c>
      <c r="L1734" s="111">
        <f t="shared" si="408"/>
        <v>80544</v>
      </c>
      <c r="M1734" s="2">
        <f t="shared" si="409"/>
        <v>2250</v>
      </c>
      <c r="N1734" s="112">
        <f t="shared" si="400"/>
        <v>17000000</v>
      </c>
      <c r="O1734" s="2">
        <f t="shared" si="410"/>
        <v>855065</v>
      </c>
      <c r="P1734" s="113">
        <f t="shared" si="411"/>
        <v>9.9999999999999998E-13</v>
      </c>
      <c r="Q1734" s="121">
        <f t="shared" si="401"/>
        <v>2223229</v>
      </c>
    </row>
    <row r="1735" spans="2:17" hidden="1" x14ac:dyDescent="0.4">
      <c r="B1735" s="110">
        <v>45656</v>
      </c>
      <c r="C1735" s="122">
        <f t="shared" si="402"/>
        <v>3000000</v>
      </c>
      <c r="D1735" s="111">
        <f t="shared" si="403"/>
        <v>80544</v>
      </c>
      <c r="E1735" s="2">
        <f t="shared" si="404"/>
        <v>2250</v>
      </c>
      <c r="F1735" s="112">
        <f t="shared" si="398"/>
        <v>17000000</v>
      </c>
      <c r="G1735" s="2">
        <f t="shared" si="405"/>
        <v>855065</v>
      </c>
      <c r="H1735" s="113">
        <f t="shared" si="406"/>
        <v>9.9999999999999998E-13</v>
      </c>
      <c r="I1735" s="121">
        <f t="shared" si="399"/>
        <v>2223229</v>
      </c>
      <c r="K1735" s="123">
        <f t="shared" si="407"/>
        <v>3000000</v>
      </c>
      <c r="L1735" s="111">
        <f t="shared" si="408"/>
        <v>80544</v>
      </c>
      <c r="M1735" s="2">
        <f t="shared" si="409"/>
        <v>2250</v>
      </c>
      <c r="N1735" s="112">
        <f t="shared" si="400"/>
        <v>17000000</v>
      </c>
      <c r="O1735" s="2">
        <f t="shared" si="410"/>
        <v>855065</v>
      </c>
      <c r="P1735" s="113">
        <f t="shared" si="411"/>
        <v>9.9999999999999998E-13</v>
      </c>
      <c r="Q1735" s="121">
        <f t="shared" si="401"/>
        <v>2223229</v>
      </c>
    </row>
    <row r="1736" spans="2:17" hidden="1" x14ac:dyDescent="0.4">
      <c r="B1736" s="110">
        <v>45657</v>
      </c>
      <c r="C1736" s="122">
        <f t="shared" si="402"/>
        <v>3000000</v>
      </c>
      <c r="D1736" s="111">
        <f t="shared" si="403"/>
        <v>80544</v>
      </c>
      <c r="E1736" s="2">
        <f t="shared" si="404"/>
        <v>2250</v>
      </c>
      <c r="F1736" s="112">
        <f t="shared" si="398"/>
        <v>17000000</v>
      </c>
      <c r="G1736" s="2">
        <f t="shared" si="405"/>
        <v>855065</v>
      </c>
      <c r="H1736" s="113">
        <f t="shared" si="406"/>
        <v>9.9999999999999998E-13</v>
      </c>
      <c r="I1736" s="121">
        <f t="shared" si="399"/>
        <v>2223229</v>
      </c>
      <c r="K1736" s="123">
        <f t="shared" si="407"/>
        <v>3000000</v>
      </c>
      <c r="L1736" s="111">
        <f t="shared" si="408"/>
        <v>80544</v>
      </c>
      <c r="M1736" s="2">
        <f t="shared" si="409"/>
        <v>2250</v>
      </c>
      <c r="N1736" s="112">
        <f t="shared" si="400"/>
        <v>17000000</v>
      </c>
      <c r="O1736" s="2">
        <f t="shared" si="410"/>
        <v>855065</v>
      </c>
      <c r="P1736" s="113">
        <f t="shared" si="411"/>
        <v>9.9999999999999998E-13</v>
      </c>
      <c r="Q1736" s="121">
        <f t="shared" si="401"/>
        <v>2223229</v>
      </c>
    </row>
    <row r="1737" spans="2:17" x14ac:dyDescent="0.4">
      <c r="B1737" s="110">
        <v>45658</v>
      </c>
      <c r="C1737" s="122">
        <f t="shared" si="402"/>
        <v>3000000</v>
      </c>
      <c r="D1737" s="111">
        <f t="shared" si="403"/>
        <v>80544</v>
      </c>
      <c r="E1737" s="2">
        <f t="shared" si="404"/>
        <v>2250</v>
      </c>
      <c r="F1737" s="112">
        <f t="shared" si="398"/>
        <v>17000000</v>
      </c>
      <c r="G1737" s="2">
        <f t="shared" si="405"/>
        <v>855065</v>
      </c>
      <c r="H1737" s="113">
        <f t="shared" si="406"/>
        <v>9.9999999999999998E-13</v>
      </c>
      <c r="I1737" s="121">
        <f t="shared" si="399"/>
        <v>2223229</v>
      </c>
      <c r="K1737" s="123">
        <f t="shared" si="407"/>
        <v>3000000</v>
      </c>
      <c r="L1737" s="111">
        <f t="shared" si="408"/>
        <v>80544</v>
      </c>
      <c r="M1737" s="2">
        <f t="shared" si="409"/>
        <v>2250</v>
      </c>
      <c r="N1737" s="112">
        <f t="shared" si="400"/>
        <v>17000000</v>
      </c>
      <c r="O1737" s="2">
        <f t="shared" si="410"/>
        <v>855065</v>
      </c>
      <c r="P1737" s="113">
        <f t="shared" si="411"/>
        <v>9.9999999999999998E-13</v>
      </c>
      <c r="Q1737" s="121">
        <f t="shared" si="401"/>
        <v>2223229</v>
      </c>
    </row>
    <row r="1738" spans="2:17" hidden="1" x14ac:dyDescent="0.4">
      <c r="B1738" s="110">
        <v>45659</v>
      </c>
      <c r="C1738" s="122">
        <f t="shared" si="402"/>
        <v>3000000</v>
      </c>
      <c r="D1738" s="111">
        <f t="shared" si="403"/>
        <v>80544</v>
      </c>
      <c r="E1738" s="2">
        <f t="shared" si="404"/>
        <v>2250</v>
      </c>
      <c r="F1738" s="112">
        <f t="shared" ref="F1738:F1801" si="412">20000000-C1738</f>
        <v>17000000</v>
      </c>
      <c r="G1738" s="2">
        <f t="shared" si="405"/>
        <v>855065</v>
      </c>
      <c r="H1738" s="113">
        <f t="shared" si="406"/>
        <v>9.9999999999999998E-13</v>
      </c>
      <c r="I1738" s="121">
        <f t="shared" ref="I1738:I1801" si="413">C1738+D1738-G1738-E1738+H1738</f>
        <v>2223229</v>
      </c>
      <c r="K1738" s="123">
        <f t="shared" si="407"/>
        <v>3000000</v>
      </c>
      <c r="L1738" s="111">
        <f t="shared" si="408"/>
        <v>80544</v>
      </c>
      <c r="M1738" s="2">
        <f t="shared" si="409"/>
        <v>2250</v>
      </c>
      <c r="N1738" s="112">
        <f t="shared" ref="N1738:N1801" si="414">20000000-K1738</f>
        <v>17000000</v>
      </c>
      <c r="O1738" s="2">
        <f t="shared" si="410"/>
        <v>855065</v>
      </c>
      <c r="P1738" s="113">
        <f t="shared" si="411"/>
        <v>9.9999999999999998E-13</v>
      </c>
      <c r="Q1738" s="121">
        <f t="shared" ref="Q1738:Q1801" si="415">K1738+L1738-O1738-M1738+P1738</f>
        <v>2223229</v>
      </c>
    </row>
    <row r="1739" spans="2:17" hidden="1" x14ac:dyDescent="0.4">
      <c r="B1739" s="110">
        <v>45660</v>
      </c>
      <c r="C1739" s="122">
        <f t="shared" ref="C1739:C1802" si="416">SUMIF($B$6:$B$75,$B1739,$D$6:$D$75)+C1738</f>
        <v>3000000</v>
      </c>
      <c r="D1739" s="111">
        <f t="shared" ref="D1739:D1802" si="417">SUMIF($B$6:$B$75,$B1739,$E$6:$E$75)+D1738</f>
        <v>80544</v>
      </c>
      <c r="E1739" s="2">
        <f t="shared" ref="E1739:E1802" si="418">SUMIF($G$353:$G$376,$B1739,$J$353:$J$376)+SUMIF($E$353:$E$376,$B1739,$H$353:$H$376)+SUMIF($G$353:$G$376,$B1739,$I$353:$I$376)+E1738</f>
        <v>2250</v>
      </c>
      <c r="F1739" s="112">
        <f t="shared" si="412"/>
        <v>17000000</v>
      </c>
      <c r="G1739" s="2">
        <f t="shared" ref="G1739:G1802" si="419">SUMIF($E$353:$E$376,$B1739,$M$353:$M$376)+G1738</f>
        <v>855065</v>
      </c>
      <c r="H1739" s="113">
        <f t="shared" ref="H1739:H1802" si="420">SUMIF($G$353:$G$376,$B1739,$N$353:$N$376)+H1738</f>
        <v>9.9999999999999998E-13</v>
      </c>
      <c r="I1739" s="121">
        <f t="shared" si="413"/>
        <v>2223229</v>
      </c>
      <c r="K1739" s="123">
        <f t="shared" ref="K1739:K1802" si="421">SUMIF($B$6:$B$75,$B1739,$D$6:$D$75)+K1738</f>
        <v>3000000</v>
      </c>
      <c r="L1739" s="111">
        <f t="shared" ref="L1739:L1802" si="422">SUMIF($B$6:$B$75,$B1739,$E$6:$E$75)+L1738</f>
        <v>80544</v>
      </c>
      <c r="M1739" s="2">
        <f t="shared" ref="M1739:M1802" si="423">SUMIF($G$353:$G$376,$B1739,$J$353:$J$376)+SUMIF($E$353:$E$376,$B1739,$H$353:$H$376)+SUMIF($G$353:$G$376,$B1739,$I$353:$I$376)+M1738</f>
        <v>2250</v>
      </c>
      <c r="N1739" s="112">
        <f t="shared" si="414"/>
        <v>17000000</v>
      </c>
      <c r="O1739" s="2">
        <f t="shared" ref="O1739:O1802" si="424">SUMIF($E$353:$E$376,$B1739,$M$353:$M$376)+O1738</f>
        <v>855065</v>
      </c>
      <c r="P1739" s="113">
        <f t="shared" ref="P1739:P1802" si="425">SUMIF($G$353:$G$376,$B1739,$N$353:$N$376)+P1738</f>
        <v>9.9999999999999998E-13</v>
      </c>
      <c r="Q1739" s="121">
        <f t="shared" si="415"/>
        <v>2223229</v>
      </c>
    </row>
    <row r="1740" spans="2:17" hidden="1" x14ac:dyDescent="0.4">
      <c r="B1740" s="110">
        <v>45661</v>
      </c>
      <c r="C1740" s="122">
        <f t="shared" si="416"/>
        <v>3000000</v>
      </c>
      <c r="D1740" s="111">
        <f t="shared" si="417"/>
        <v>80544</v>
      </c>
      <c r="E1740" s="2">
        <f t="shared" si="418"/>
        <v>2250</v>
      </c>
      <c r="F1740" s="112">
        <f t="shared" si="412"/>
        <v>17000000</v>
      </c>
      <c r="G1740" s="2">
        <f t="shared" si="419"/>
        <v>855065</v>
      </c>
      <c r="H1740" s="113">
        <f t="shared" si="420"/>
        <v>9.9999999999999998E-13</v>
      </c>
      <c r="I1740" s="121">
        <f t="shared" si="413"/>
        <v>2223229</v>
      </c>
      <c r="K1740" s="123">
        <f t="shared" si="421"/>
        <v>3000000</v>
      </c>
      <c r="L1740" s="111">
        <f t="shared" si="422"/>
        <v>80544</v>
      </c>
      <c r="M1740" s="2">
        <f t="shared" si="423"/>
        <v>2250</v>
      </c>
      <c r="N1740" s="112">
        <f t="shared" si="414"/>
        <v>17000000</v>
      </c>
      <c r="O1740" s="2">
        <f t="shared" si="424"/>
        <v>855065</v>
      </c>
      <c r="P1740" s="113">
        <f t="shared" si="425"/>
        <v>9.9999999999999998E-13</v>
      </c>
      <c r="Q1740" s="121">
        <f t="shared" si="415"/>
        <v>2223229</v>
      </c>
    </row>
    <row r="1741" spans="2:17" hidden="1" x14ac:dyDescent="0.4">
      <c r="B1741" s="110">
        <v>45662</v>
      </c>
      <c r="C1741" s="122">
        <f t="shared" si="416"/>
        <v>3000000</v>
      </c>
      <c r="D1741" s="111">
        <f t="shared" si="417"/>
        <v>80544</v>
      </c>
      <c r="E1741" s="2">
        <f t="shared" si="418"/>
        <v>2250</v>
      </c>
      <c r="F1741" s="112">
        <f t="shared" si="412"/>
        <v>17000000</v>
      </c>
      <c r="G1741" s="2">
        <f t="shared" si="419"/>
        <v>855065</v>
      </c>
      <c r="H1741" s="113">
        <f t="shared" si="420"/>
        <v>9.9999999999999998E-13</v>
      </c>
      <c r="I1741" s="121">
        <f t="shared" si="413"/>
        <v>2223229</v>
      </c>
      <c r="K1741" s="123">
        <f t="shared" si="421"/>
        <v>3000000</v>
      </c>
      <c r="L1741" s="111">
        <f t="shared" si="422"/>
        <v>80544</v>
      </c>
      <c r="M1741" s="2">
        <f t="shared" si="423"/>
        <v>2250</v>
      </c>
      <c r="N1741" s="112">
        <f t="shared" si="414"/>
        <v>17000000</v>
      </c>
      <c r="O1741" s="2">
        <f t="shared" si="424"/>
        <v>855065</v>
      </c>
      <c r="P1741" s="113">
        <f t="shared" si="425"/>
        <v>9.9999999999999998E-13</v>
      </c>
      <c r="Q1741" s="121">
        <f t="shared" si="415"/>
        <v>2223229</v>
      </c>
    </row>
    <row r="1742" spans="2:17" hidden="1" x14ac:dyDescent="0.4">
      <c r="B1742" s="110">
        <v>45663</v>
      </c>
      <c r="C1742" s="122">
        <f t="shared" si="416"/>
        <v>3000000</v>
      </c>
      <c r="D1742" s="111">
        <f t="shared" si="417"/>
        <v>80544</v>
      </c>
      <c r="E1742" s="2">
        <f t="shared" si="418"/>
        <v>2250</v>
      </c>
      <c r="F1742" s="112">
        <f t="shared" si="412"/>
        <v>17000000</v>
      </c>
      <c r="G1742" s="2">
        <f t="shared" si="419"/>
        <v>855065</v>
      </c>
      <c r="H1742" s="113">
        <f t="shared" si="420"/>
        <v>9.9999999999999998E-13</v>
      </c>
      <c r="I1742" s="121">
        <f t="shared" si="413"/>
        <v>2223229</v>
      </c>
      <c r="K1742" s="123">
        <f t="shared" si="421"/>
        <v>3000000</v>
      </c>
      <c r="L1742" s="111">
        <f t="shared" si="422"/>
        <v>80544</v>
      </c>
      <c r="M1742" s="2">
        <f t="shared" si="423"/>
        <v>2250</v>
      </c>
      <c r="N1742" s="112">
        <f t="shared" si="414"/>
        <v>17000000</v>
      </c>
      <c r="O1742" s="2">
        <f t="shared" si="424"/>
        <v>855065</v>
      </c>
      <c r="P1742" s="113">
        <f t="shared" si="425"/>
        <v>9.9999999999999998E-13</v>
      </c>
      <c r="Q1742" s="121">
        <f t="shared" si="415"/>
        <v>2223229</v>
      </c>
    </row>
    <row r="1743" spans="2:17" hidden="1" x14ac:dyDescent="0.4">
      <c r="B1743" s="110">
        <v>45664</v>
      </c>
      <c r="C1743" s="122">
        <f t="shared" si="416"/>
        <v>3000000</v>
      </c>
      <c r="D1743" s="111">
        <f t="shared" si="417"/>
        <v>80544</v>
      </c>
      <c r="E1743" s="2">
        <f t="shared" si="418"/>
        <v>2250</v>
      </c>
      <c r="F1743" s="112">
        <f t="shared" si="412"/>
        <v>17000000</v>
      </c>
      <c r="G1743" s="2">
        <f t="shared" si="419"/>
        <v>855065</v>
      </c>
      <c r="H1743" s="113">
        <f t="shared" si="420"/>
        <v>9.9999999999999998E-13</v>
      </c>
      <c r="I1743" s="121">
        <f t="shared" si="413"/>
        <v>2223229</v>
      </c>
      <c r="K1743" s="123">
        <f t="shared" si="421"/>
        <v>3000000</v>
      </c>
      <c r="L1743" s="111">
        <f t="shared" si="422"/>
        <v>80544</v>
      </c>
      <c r="M1743" s="2">
        <f t="shared" si="423"/>
        <v>2250</v>
      </c>
      <c r="N1743" s="112">
        <f t="shared" si="414"/>
        <v>17000000</v>
      </c>
      <c r="O1743" s="2">
        <f t="shared" si="424"/>
        <v>855065</v>
      </c>
      <c r="P1743" s="113">
        <f t="shared" si="425"/>
        <v>9.9999999999999998E-13</v>
      </c>
      <c r="Q1743" s="121">
        <f t="shared" si="415"/>
        <v>2223229</v>
      </c>
    </row>
    <row r="1744" spans="2:17" hidden="1" x14ac:dyDescent="0.4">
      <c r="B1744" s="110">
        <v>45665</v>
      </c>
      <c r="C1744" s="122">
        <f t="shared" si="416"/>
        <v>3000000</v>
      </c>
      <c r="D1744" s="111">
        <f t="shared" si="417"/>
        <v>80544</v>
      </c>
      <c r="E1744" s="2">
        <f t="shared" si="418"/>
        <v>2250</v>
      </c>
      <c r="F1744" s="112">
        <f t="shared" si="412"/>
        <v>17000000</v>
      </c>
      <c r="G1744" s="2">
        <f t="shared" si="419"/>
        <v>855065</v>
      </c>
      <c r="H1744" s="113">
        <f t="shared" si="420"/>
        <v>9.9999999999999998E-13</v>
      </c>
      <c r="I1744" s="121">
        <f t="shared" si="413"/>
        <v>2223229</v>
      </c>
      <c r="K1744" s="123">
        <f t="shared" si="421"/>
        <v>3000000</v>
      </c>
      <c r="L1744" s="111">
        <f t="shared" si="422"/>
        <v>80544</v>
      </c>
      <c r="M1744" s="2">
        <f t="shared" si="423"/>
        <v>2250</v>
      </c>
      <c r="N1744" s="112">
        <f t="shared" si="414"/>
        <v>17000000</v>
      </c>
      <c r="O1744" s="2">
        <f t="shared" si="424"/>
        <v>855065</v>
      </c>
      <c r="P1744" s="113">
        <f t="shared" si="425"/>
        <v>9.9999999999999998E-13</v>
      </c>
      <c r="Q1744" s="121">
        <f t="shared" si="415"/>
        <v>2223229</v>
      </c>
    </row>
    <row r="1745" spans="2:17" hidden="1" x14ac:dyDescent="0.4">
      <c r="B1745" s="110">
        <v>45666</v>
      </c>
      <c r="C1745" s="122">
        <f t="shared" si="416"/>
        <v>3000000</v>
      </c>
      <c r="D1745" s="111">
        <f t="shared" si="417"/>
        <v>80544</v>
      </c>
      <c r="E1745" s="2">
        <f t="shared" si="418"/>
        <v>2250</v>
      </c>
      <c r="F1745" s="112">
        <f t="shared" si="412"/>
        <v>17000000</v>
      </c>
      <c r="G1745" s="2">
        <f t="shared" si="419"/>
        <v>855065</v>
      </c>
      <c r="H1745" s="113">
        <f t="shared" si="420"/>
        <v>9.9999999999999998E-13</v>
      </c>
      <c r="I1745" s="121">
        <f t="shared" si="413"/>
        <v>2223229</v>
      </c>
      <c r="K1745" s="123">
        <f t="shared" si="421"/>
        <v>3000000</v>
      </c>
      <c r="L1745" s="111">
        <f t="shared" si="422"/>
        <v>80544</v>
      </c>
      <c r="M1745" s="2">
        <f t="shared" si="423"/>
        <v>2250</v>
      </c>
      <c r="N1745" s="112">
        <f t="shared" si="414"/>
        <v>17000000</v>
      </c>
      <c r="O1745" s="2">
        <f t="shared" si="424"/>
        <v>855065</v>
      </c>
      <c r="P1745" s="113">
        <f t="shared" si="425"/>
        <v>9.9999999999999998E-13</v>
      </c>
      <c r="Q1745" s="121">
        <f t="shared" si="415"/>
        <v>2223229</v>
      </c>
    </row>
    <row r="1746" spans="2:17" hidden="1" x14ac:dyDescent="0.4">
      <c r="B1746" s="110">
        <v>45667</v>
      </c>
      <c r="C1746" s="122">
        <f t="shared" si="416"/>
        <v>3000000</v>
      </c>
      <c r="D1746" s="111">
        <f t="shared" si="417"/>
        <v>80544</v>
      </c>
      <c r="E1746" s="2">
        <f t="shared" si="418"/>
        <v>2250</v>
      </c>
      <c r="F1746" s="112">
        <f t="shared" si="412"/>
        <v>17000000</v>
      </c>
      <c r="G1746" s="2">
        <f t="shared" si="419"/>
        <v>855065</v>
      </c>
      <c r="H1746" s="113">
        <f t="shared" si="420"/>
        <v>9.9999999999999998E-13</v>
      </c>
      <c r="I1746" s="121">
        <f t="shared" si="413"/>
        <v>2223229</v>
      </c>
      <c r="K1746" s="123">
        <f t="shared" si="421"/>
        <v>3000000</v>
      </c>
      <c r="L1746" s="111">
        <f t="shared" si="422"/>
        <v>80544</v>
      </c>
      <c r="M1746" s="2">
        <f t="shared" si="423"/>
        <v>2250</v>
      </c>
      <c r="N1746" s="112">
        <f t="shared" si="414"/>
        <v>17000000</v>
      </c>
      <c r="O1746" s="2">
        <f t="shared" si="424"/>
        <v>855065</v>
      </c>
      <c r="P1746" s="113">
        <f t="shared" si="425"/>
        <v>9.9999999999999998E-13</v>
      </c>
      <c r="Q1746" s="121">
        <f t="shared" si="415"/>
        <v>2223229</v>
      </c>
    </row>
    <row r="1747" spans="2:17" hidden="1" x14ac:dyDescent="0.4">
      <c r="B1747" s="110">
        <v>45668</v>
      </c>
      <c r="C1747" s="122">
        <f t="shared" si="416"/>
        <v>3000000</v>
      </c>
      <c r="D1747" s="111">
        <f t="shared" si="417"/>
        <v>80544</v>
      </c>
      <c r="E1747" s="2">
        <f t="shared" si="418"/>
        <v>2250</v>
      </c>
      <c r="F1747" s="112">
        <f t="shared" si="412"/>
        <v>17000000</v>
      </c>
      <c r="G1747" s="2">
        <f t="shared" si="419"/>
        <v>855065</v>
      </c>
      <c r="H1747" s="113">
        <f t="shared" si="420"/>
        <v>9.9999999999999998E-13</v>
      </c>
      <c r="I1747" s="121">
        <f t="shared" si="413"/>
        <v>2223229</v>
      </c>
      <c r="K1747" s="123">
        <f t="shared" si="421"/>
        <v>3000000</v>
      </c>
      <c r="L1747" s="111">
        <f t="shared" si="422"/>
        <v>80544</v>
      </c>
      <c r="M1747" s="2">
        <f t="shared" si="423"/>
        <v>2250</v>
      </c>
      <c r="N1747" s="112">
        <f t="shared" si="414"/>
        <v>17000000</v>
      </c>
      <c r="O1747" s="2">
        <f t="shared" si="424"/>
        <v>855065</v>
      </c>
      <c r="P1747" s="113">
        <f t="shared" si="425"/>
        <v>9.9999999999999998E-13</v>
      </c>
      <c r="Q1747" s="121">
        <f t="shared" si="415"/>
        <v>2223229</v>
      </c>
    </row>
    <row r="1748" spans="2:17" hidden="1" x14ac:dyDescent="0.4">
      <c r="B1748" s="110">
        <v>45669</v>
      </c>
      <c r="C1748" s="122">
        <f t="shared" si="416"/>
        <v>3000000</v>
      </c>
      <c r="D1748" s="111">
        <f t="shared" si="417"/>
        <v>80544</v>
      </c>
      <c r="E1748" s="2">
        <f t="shared" si="418"/>
        <v>2250</v>
      </c>
      <c r="F1748" s="112">
        <f t="shared" si="412"/>
        <v>17000000</v>
      </c>
      <c r="G1748" s="2">
        <f t="shared" si="419"/>
        <v>855065</v>
      </c>
      <c r="H1748" s="113">
        <f t="shared" si="420"/>
        <v>9.9999999999999998E-13</v>
      </c>
      <c r="I1748" s="121">
        <f t="shared" si="413"/>
        <v>2223229</v>
      </c>
      <c r="K1748" s="123">
        <f t="shared" si="421"/>
        <v>3000000</v>
      </c>
      <c r="L1748" s="111">
        <f t="shared" si="422"/>
        <v>80544</v>
      </c>
      <c r="M1748" s="2">
        <f t="shared" si="423"/>
        <v>2250</v>
      </c>
      <c r="N1748" s="112">
        <f t="shared" si="414"/>
        <v>17000000</v>
      </c>
      <c r="O1748" s="2">
        <f t="shared" si="424"/>
        <v>855065</v>
      </c>
      <c r="P1748" s="113">
        <f t="shared" si="425"/>
        <v>9.9999999999999998E-13</v>
      </c>
      <c r="Q1748" s="121">
        <f t="shared" si="415"/>
        <v>2223229</v>
      </c>
    </row>
    <row r="1749" spans="2:17" hidden="1" x14ac:dyDescent="0.4">
      <c r="B1749" s="110">
        <v>45670</v>
      </c>
      <c r="C1749" s="122">
        <f t="shared" si="416"/>
        <v>3000000</v>
      </c>
      <c r="D1749" s="111">
        <f t="shared" si="417"/>
        <v>80544</v>
      </c>
      <c r="E1749" s="2">
        <f t="shared" si="418"/>
        <v>2250</v>
      </c>
      <c r="F1749" s="112">
        <f t="shared" si="412"/>
        <v>17000000</v>
      </c>
      <c r="G1749" s="2">
        <f t="shared" si="419"/>
        <v>855065</v>
      </c>
      <c r="H1749" s="113">
        <f t="shared" si="420"/>
        <v>9.9999999999999998E-13</v>
      </c>
      <c r="I1749" s="121">
        <f t="shared" si="413"/>
        <v>2223229</v>
      </c>
      <c r="K1749" s="123">
        <f t="shared" si="421"/>
        <v>3000000</v>
      </c>
      <c r="L1749" s="111">
        <f t="shared" si="422"/>
        <v>80544</v>
      </c>
      <c r="M1749" s="2">
        <f t="shared" si="423"/>
        <v>2250</v>
      </c>
      <c r="N1749" s="112">
        <f t="shared" si="414"/>
        <v>17000000</v>
      </c>
      <c r="O1749" s="2">
        <f t="shared" si="424"/>
        <v>855065</v>
      </c>
      <c r="P1749" s="113">
        <f t="shared" si="425"/>
        <v>9.9999999999999998E-13</v>
      </c>
      <c r="Q1749" s="121">
        <f t="shared" si="415"/>
        <v>2223229</v>
      </c>
    </row>
    <row r="1750" spans="2:17" hidden="1" x14ac:dyDescent="0.4">
      <c r="B1750" s="110">
        <v>45671</v>
      </c>
      <c r="C1750" s="122">
        <f t="shared" si="416"/>
        <v>3000000</v>
      </c>
      <c r="D1750" s="111">
        <f t="shared" si="417"/>
        <v>80544</v>
      </c>
      <c r="E1750" s="2">
        <f t="shared" si="418"/>
        <v>2250</v>
      </c>
      <c r="F1750" s="112">
        <f t="shared" si="412"/>
        <v>17000000</v>
      </c>
      <c r="G1750" s="2">
        <f t="shared" si="419"/>
        <v>855065</v>
      </c>
      <c r="H1750" s="113">
        <f t="shared" si="420"/>
        <v>9.9999999999999998E-13</v>
      </c>
      <c r="I1750" s="121">
        <f t="shared" si="413"/>
        <v>2223229</v>
      </c>
      <c r="K1750" s="123">
        <f t="shared" si="421"/>
        <v>3000000</v>
      </c>
      <c r="L1750" s="111">
        <f t="shared" si="422"/>
        <v>80544</v>
      </c>
      <c r="M1750" s="2">
        <f t="shared" si="423"/>
        <v>2250</v>
      </c>
      <c r="N1750" s="112">
        <f t="shared" si="414"/>
        <v>17000000</v>
      </c>
      <c r="O1750" s="2">
        <f t="shared" si="424"/>
        <v>855065</v>
      </c>
      <c r="P1750" s="113">
        <f t="shared" si="425"/>
        <v>9.9999999999999998E-13</v>
      </c>
      <c r="Q1750" s="121">
        <f t="shared" si="415"/>
        <v>2223229</v>
      </c>
    </row>
    <row r="1751" spans="2:17" hidden="1" x14ac:dyDescent="0.4">
      <c r="B1751" s="110">
        <v>45672</v>
      </c>
      <c r="C1751" s="122">
        <f t="shared" si="416"/>
        <v>3000000</v>
      </c>
      <c r="D1751" s="111">
        <f t="shared" si="417"/>
        <v>80544</v>
      </c>
      <c r="E1751" s="2">
        <f t="shared" si="418"/>
        <v>2250</v>
      </c>
      <c r="F1751" s="112">
        <f t="shared" si="412"/>
        <v>17000000</v>
      </c>
      <c r="G1751" s="2">
        <f t="shared" si="419"/>
        <v>855065</v>
      </c>
      <c r="H1751" s="113">
        <f t="shared" si="420"/>
        <v>9.9999999999999998E-13</v>
      </c>
      <c r="I1751" s="121">
        <f t="shared" si="413"/>
        <v>2223229</v>
      </c>
      <c r="K1751" s="123">
        <f t="shared" si="421"/>
        <v>3000000</v>
      </c>
      <c r="L1751" s="111">
        <f t="shared" si="422"/>
        <v>80544</v>
      </c>
      <c r="M1751" s="2">
        <f t="shared" si="423"/>
        <v>2250</v>
      </c>
      <c r="N1751" s="112">
        <f t="shared" si="414"/>
        <v>17000000</v>
      </c>
      <c r="O1751" s="2">
        <f t="shared" si="424"/>
        <v>855065</v>
      </c>
      <c r="P1751" s="113">
        <f t="shared" si="425"/>
        <v>9.9999999999999998E-13</v>
      </c>
      <c r="Q1751" s="121">
        <f t="shared" si="415"/>
        <v>2223229</v>
      </c>
    </row>
    <row r="1752" spans="2:17" hidden="1" x14ac:dyDescent="0.4">
      <c r="B1752" s="110">
        <v>45673</v>
      </c>
      <c r="C1752" s="122">
        <f t="shared" si="416"/>
        <v>3000000</v>
      </c>
      <c r="D1752" s="111">
        <f t="shared" si="417"/>
        <v>80544</v>
      </c>
      <c r="E1752" s="2">
        <f t="shared" si="418"/>
        <v>2250</v>
      </c>
      <c r="F1752" s="112">
        <f t="shared" si="412"/>
        <v>17000000</v>
      </c>
      <c r="G1752" s="2">
        <f t="shared" si="419"/>
        <v>855065</v>
      </c>
      <c r="H1752" s="113">
        <f t="shared" si="420"/>
        <v>9.9999999999999998E-13</v>
      </c>
      <c r="I1752" s="121">
        <f t="shared" si="413"/>
        <v>2223229</v>
      </c>
      <c r="K1752" s="123">
        <f t="shared" si="421"/>
        <v>3000000</v>
      </c>
      <c r="L1752" s="111">
        <f t="shared" si="422"/>
        <v>80544</v>
      </c>
      <c r="M1752" s="2">
        <f t="shared" si="423"/>
        <v>2250</v>
      </c>
      <c r="N1752" s="112">
        <f t="shared" si="414"/>
        <v>17000000</v>
      </c>
      <c r="O1752" s="2">
        <f t="shared" si="424"/>
        <v>855065</v>
      </c>
      <c r="P1752" s="113">
        <f t="shared" si="425"/>
        <v>9.9999999999999998E-13</v>
      </c>
      <c r="Q1752" s="121">
        <f t="shared" si="415"/>
        <v>2223229</v>
      </c>
    </row>
    <row r="1753" spans="2:17" hidden="1" x14ac:dyDescent="0.4">
      <c r="B1753" s="110">
        <v>45674</v>
      </c>
      <c r="C1753" s="122">
        <f t="shared" si="416"/>
        <v>3000000</v>
      </c>
      <c r="D1753" s="111">
        <f t="shared" si="417"/>
        <v>80544</v>
      </c>
      <c r="E1753" s="2">
        <f t="shared" si="418"/>
        <v>2250</v>
      </c>
      <c r="F1753" s="112">
        <f t="shared" si="412"/>
        <v>17000000</v>
      </c>
      <c r="G1753" s="2">
        <f t="shared" si="419"/>
        <v>855065</v>
      </c>
      <c r="H1753" s="113">
        <f t="shared" si="420"/>
        <v>9.9999999999999998E-13</v>
      </c>
      <c r="I1753" s="121">
        <f t="shared" si="413"/>
        <v>2223229</v>
      </c>
      <c r="K1753" s="123">
        <f t="shared" si="421"/>
        <v>3000000</v>
      </c>
      <c r="L1753" s="111">
        <f t="shared" si="422"/>
        <v>80544</v>
      </c>
      <c r="M1753" s="2">
        <f t="shared" si="423"/>
        <v>2250</v>
      </c>
      <c r="N1753" s="112">
        <f t="shared" si="414"/>
        <v>17000000</v>
      </c>
      <c r="O1753" s="2">
        <f t="shared" si="424"/>
        <v>855065</v>
      </c>
      <c r="P1753" s="113">
        <f t="shared" si="425"/>
        <v>9.9999999999999998E-13</v>
      </c>
      <c r="Q1753" s="121">
        <f t="shared" si="415"/>
        <v>2223229</v>
      </c>
    </row>
    <row r="1754" spans="2:17" hidden="1" x14ac:dyDescent="0.4">
      <c r="B1754" s="110">
        <v>45675</v>
      </c>
      <c r="C1754" s="122">
        <f t="shared" si="416"/>
        <v>3000000</v>
      </c>
      <c r="D1754" s="111">
        <f t="shared" si="417"/>
        <v>80544</v>
      </c>
      <c r="E1754" s="2">
        <f t="shared" si="418"/>
        <v>2250</v>
      </c>
      <c r="F1754" s="112">
        <f t="shared" si="412"/>
        <v>17000000</v>
      </c>
      <c r="G1754" s="2">
        <f t="shared" si="419"/>
        <v>855065</v>
      </c>
      <c r="H1754" s="113">
        <f t="shared" si="420"/>
        <v>9.9999999999999998E-13</v>
      </c>
      <c r="I1754" s="121">
        <f t="shared" si="413"/>
        <v>2223229</v>
      </c>
      <c r="K1754" s="123">
        <f t="shared" si="421"/>
        <v>3000000</v>
      </c>
      <c r="L1754" s="111">
        <f t="shared" si="422"/>
        <v>80544</v>
      </c>
      <c r="M1754" s="2">
        <f t="shared" si="423"/>
        <v>2250</v>
      </c>
      <c r="N1754" s="112">
        <f t="shared" si="414"/>
        <v>17000000</v>
      </c>
      <c r="O1754" s="2">
        <f t="shared" si="424"/>
        <v>855065</v>
      </c>
      <c r="P1754" s="113">
        <f t="shared" si="425"/>
        <v>9.9999999999999998E-13</v>
      </c>
      <c r="Q1754" s="121">
        <f t="shared" si="415"/>
        <v>2223229</v>
      </c>
    </row>
    <row r="1755" spans="2:17" hidden="1" x14ac:dyDescent="0.4">
      <c r="B1755" s="110">
        <v>45676</v>
      </c>
      <c r="C1755" s="122">
        <f t="shared" si="416"/>
        <v>3000000</v>
      </c>
      <c r="D1755" s="111">
        <f t="shared" si="417"/>
        <v>80544</v>
      </c>
      <c r="E1755" s="2">
        <f t="shared" si="418"/>
        <v>2250</v>
      </c>
      <c r="F1755" s="112">
        <f t="shared" si="412"/>
        <v>17000000</v>
      </c>
      <c r="G1755" s="2">
        <f t="shared" si="419"/>
        <v>855065</v>
      </c>
      <c r="H1755" s="113">
        <f t="shared" si="420"/>
        <v>9.9999999999999998E-13</v>
      </c>
      <c r="I1755" s="121">
        <f t="shared" si="413"/>
        <v>2223229</v>
      </c>
      <c r="K1755" s="123">
        <f t="shared" si="421"/>
        <v>3000000</v>
      </c>
      <c r="L1755" s="111">
        <f t="shared" si="422"/>
        <v>80544</v>
      </c>
      <c r="M1755" s="2">
        <f t="shared" si="423"/>
        <v>2250</v>
      </c>
      <c r="N1755" s="112">
        <f t="shared" si="414"/>
        <v>17000000</v>
      </c>
      <c r="O1755" s="2">
        <f t="shared" si="424"/>
        <v>855065</v>
      </c>
      <c r="P1755" s="113">
        <f t="shared" si="425"/>
        <v>9.9999999999999998E-13</v>
      </c>
      <c r="Q1755" s="121">
        <f t="shared" si="415"/>
        <v>2223229</v>
      </c>
    </row>
    <row r="1756" spans="2:17" hidden="1" x14ac:dyDescent="0.4">
      <c r="B1756" s="110">
        <v>45677</v>
      </c>
      <c r="C1756" s="122">
        <f t="shared" si="416"/>
        <v>3000000</v>
      </c>
      <c r="D1756" s="111">
        <f t="shared" si="417"/>
        <v>80544</v>
      </c>
      <c r="E1756" s="2">
        <f t="shared" si="418"/>
        <v>2250</v>
      </c>
      <c r="F1756" s="112">
        <f t="shared" si="412"/>
        <v>17000000</v>
      </c>
      <c r="G1756" s="2">
        <f t="shared" si="419"/>
        <v>855065</v>
      </c>
      <c r="H1756" s="113">
        <f t="shared" si="420"/>
        <v>9.9999999999999998E-13</v>
      </c>
      <c r="I1756" s="121">
        <f t="shared" si="413"/>
        <v>2223229</v>
      </c>
      <c r="K1756" s="123">
        <f t="shared" si="421"/>
        <v>3000000</v>
      </c>
      <c r="L1756" s="111">
        <f t="shared" si="422"/>
        <v>80544</v>
      </c>
      <c r="M1756" s="2">
        <f t="shared" si="423"/>
        <v>2250</v>
      </c>
      <c r="N1756" s="112">
        <f t="shared" si="414"/>
        <v>17000000</v>
      </c>
      <c r="O1756" s="2">
        <f t="shared" si="424"/>
        <v>855065</v>
      </c>
      <c r="P1756" s="113">
        <f t="shared" si="425"/>
        <v>9.9999999999999998E-13</v>
      </c>
      <c r="Q1756" s="121">
        <f t="shared" si="415"/>
        <v>2223229</v>
      </c>
    </row>
    <row r="1757" spans="2:17" hidden="1" x14ac:dyDescent="0.4">
      <c r="B1757" s="110">
        <v>45678</v>
      </c>
      <c r="C1757" s="122">
        <f t="shared" si="416"/>
        <v>3000000</v>
      </c>
      <c r="D1757" s="111">
        <f t="shared" si="417"/>
        <v>80544</v>
      </c>
      <c r="E1757" s="2">
        <f t="shared" si="418"/>
        <v>2250</v>
      </c>
      <c r="F1757" s="112">
        <f t="shared" si="412"/>
        <v>17000000</v>
      </c>
      <c r="G1757" s="2">
        <f t="shared" si="419"/>
        <v>855065</v>
      </c>
      <c r="H1757" s="113">
        <f t="shared" si="420"/>
        <v>9.9999999999999998E-13</v>
      </c>
      <c r="I1757" s="121">
        <f t="shared" si="413"/>
        <v>2223229</v>
      </c>
      <c r="K1757" s="123">
        <f t="shared" si="421"/>
        <v>3000000</v>
      </c>
      <c r="L1757" s="111">
        <f t="shared" si="422"/>
        <v>80544</v>
      </c>
      <c r="M1757" s="2">
        <f t="shared" si="423"/>
        <v>2250</v>
      </c>
      <c r="N1757" s="112">
        <f t="shared" si="414"/>
        <v>17000000</v>
      </c>
      <c r="O1757" s="2">
        <f t="shared" si="424"/>
        <v>855065</v>
      </c>
      <c r="P1757" s="113">
        <f t="shared" si="425"/>
        <v>9.9999999999999998E-13</v>
      </c>
      <c r="Q1757" s="121">
        <f t="shared" si="415"/>
        <v>2223229</v>
      </c>
    </row>
    <row r="1758" spans="2:17" hidden="1" x14ac:dyDescent="0.4">
      <c r="B1758" s="110">
        <v>45679</v>
      </c>
      <c r="C1758" s="122">
        <f t="shared" si="416"/>
        <v>3000000</v>
      </c>
      <c r="D1758" s="111">
        <f t="shared" si="417"/>
        <v>80544</v>
      </c>
      <c r="E1758" s="2">
        <f t="shared" si="418"/>
        <v>2250</v>
      </c>
      <c r="F1758" s="112">
        <f t="shared" si="412"/>
        <v>17000000</v>
      </c>
      <c r="G1758" s="2">
        <f t="shared" si="419"/>
        <v>855065</v>
      </c>
      <c r="H1758" s="113">
        <f t="shared" si="420"/>
        <v>9.9999999999999998E-13</v>
      </c>
      <c r="I1758" s="121">
        <f t="shared" si="413"/>
        <v>2223229</v>
      </c>
      <c r="K1758" s="123">
        <f t="shared" si="421"/>
        <v>3000000</v>
      </c>
      <c r="L1758" s="111">
        <f t="shared" si="422"/>
        <v>80544</v>
      </c>
      <c r="M1758" s="2">
        <f t="shared" si="423"/>
        <v>2250</v>
      </c>
      <c r="N1758" s="112">
        <f t="shared" si="414"/>
        <v>17000000</v>
      </c>
      <c r="O1758" s="2">
        <f t="shared" si="424"/>
        <v>855065</v>
      </c>
      <c r="P1758" s="113">
        <f t="shared" si="425"/>
        <v>9.9999999999999998E-13</v>
      </c>
      <c r="Q1758" s="121">
        <f t="shared" si="415"/>
        <v>2223229</v>
      </c>
    </row>
    <row r="1759" spans="2:17" hidden="1" x14ac:dyDescent="0.4">
      <c r="B1759" s="110">
        <v>45680</v>
      </c>
      <c r="C1759" s="122">
        <f t="shared" si="416"/>
        <v>3000000</v>
      </c>
      <c r="D1759" s="111">
        <f t="shared" si="417"/>
        <v>80544</v>
      </c>
      <c r="E1759" s="2">
        <f t="shared" si="418"/>
        <v>2250</v>
      </c>
      <c r="F1759" s="112">
        <f t="shared" si="412"/>
        <v>17000000</v>
      </c>
      <c r="G1759" s="2">
        <f t="shared" si="419"/>
        <v>855065</v>
      </c>
      <c r="H1759" s="113">
        <f t="shared" si="420"/>
        <v>9.9999999999999998E-13</v>
      </c>
      <c r="I1759" s="121">
        <f t="shared" si="413"/>
        <v>2223229</v>
      </c>
      <c r="K1759" s="123">
        <f t="shared" si="421"/>
        <v>3000000</v>
      </c>
      <c r="L1759" s="111">
        <f t="shared" si="422"/>
        <v>80544</v>
      </c>
      <c r="M1759" s="2">
        <f t="shared" si="423"/>
        <v>2250</v>
      </c>
      <c r="N1759" s="112">
        <f t="shared" si="414"/>
        <v>17000000</v>
      </c>
      <c r="O1759" s="2">
        <f t="shared" si="424"/>
        <v>855065</v>
      </c>
      <c r="P1759" s="113">
        <f t="shared" si="425"/>
        <v>9.9999999999999998E-13</v>
      </c>
      <c r="Q1759" s="121">
        <f t="shared" si="415"/>
        <v>2223229</v>
      </c>
    </row>
    <row r="1760" spans="2:17" hidden="1" x14ac:dyDescent="0.4">
      <c r="B1760" s="110">
        <v>45681</v>
      </c>
      <c r="C1760" s="122">
        <f t="shared" si="416"/>
        <v>3000000</v>
      </c>
      <c r="D1760" s="111">
        <f t="shared" si="417"/>
        <v>80544</v>
      </c>
      <c r="E1760" s="2">
        <f t="shared" si="418"/>
        <v>2250</v>
      </c>
      <c r="F1760" s="112">
        <f t="shared" si="412"/>
        <v>17000000</v>
      </c>
      <c r="G1760" s="2">
        <f t="shared" si="419"/>
        <v>855065</v>
      </c>
      <c r="H1760" s="113">
        <f t="shared" si="420"/>
        <v>9.9999999999999998E-13</v>
      </c>
      <c r="I1760" s="121">
        <f t="shared" si="413"/>
        <v>2223229</v>
      </c>
      <c r="K1760" s="123">
        <f t="shared" si="421"/>
        <v>3000000</v>
      </c>
      <c r="L1760" s="111">
        <f t="shared" si="422"/>
        <v>80544</v>
      </c>
      <c r="M1760" s="2">
        <f t="shared" si="423"/>
        <v>2250</v>
      </c>
      <c r="N1760" s="112">
        <f t="shared" si="414"/>
        <v>17000000</v>
      </c>
      <c r="O1760" s="2">
        <f t="shared" si="424"/>
        <v>855065</v>
      </c>
      <c r="P1760" s="113">
        <f t="shared" si="425"/>
        <v>9.9999999999999998E-13</v>
      </c>
      <c r="Q1760" s="121">
        <f t="shared" si="415"/>
        <v>2223229</v>
      </c>
    </row>
    <row r="1761" spans="2:17" hidden="1" x14ac:dyDescent="0.4">
      <c r="B1761" s="110">
        <v>45682</v>
      </c>
      <c r="C1761" s="122">
        <f t="shared" si="416"/>
        <v>3000000</v>
      </c>
      <c r="D1761" s="111">
        <f t="shared" si="417"/>
        <v>80544</v>
      </c>
      <c r="E1761" s="2">
        <f t="shared" si="418"/>
        <v>2250</v>
      </c>
      <c r="F1761" s="112">
        <f t="shared" si="412"/>
        <v>17000000</v>
      </c>
      <c r="G1761" s="2">
        <f t="shared" si="419"/>
        <v>855065</v>
      </c>
      <c r="H1761" s="113">
        <f t="shared" si="420"/>
        <v>9.9999999999999998E-13</v>
      </c>
      <c r="I1761" s="121">
        <f t="shared" si="413"/>
        <v>2223229</v>
      </c>
      <c r="K1761" s="123">
        <f t="shared" si="421"/>
        <v>3000000</v>
      </c>
      <c r="L1761" s="111">
        <f t="shared" si="422"/>
        <v>80544</v>
      </c>
      <c r="M1761" s="2">
        <f t="shared" si="423"/>
        <v>2250</v>
      </c>
      <c r="N1761" s="112">
        <f t="shared" si="414"/>
        <v>17000000</v>
      </c>
      <c r="O1761" s="2">
        <f t="shared" si="424"/>
        <v>855065</v>
      </c>
      <c r="P1761" s="113">
        <f t="shared" si="425"/>
        <v>9.9999999999999998E-13</v>
      </c>
      <c r="Q1761" s="121">
        <f t="shared" si="415"/>
        <v>2223229</v>
      </c>
    </row>
    <row r="1762" spans="2:17" hidden="1" x14ac:dyDescent="0.4">
      <c r="B1762" s="110">
        <v>45683</v>
      </c>
      <c r="C1762" s="122">
        <f t="shared" si="416"/>
        <v>3000000</v>
      </c>
      <c r="D1762" s="111">
        <f t="shared" si="417"/>
        <v>80544</v>
      </c>
      <c r="E1762" s="2">
        <f t="shared" si="418"/>
        <v>2250</v>
      </c>
      <c r="F1762" s="112">
        <f t="shared" si="412"/>
        <v>17000000</v>
      </c>
      <c r="G1762" s="2">
        <f t="shared" si="419"/>
        <v>855065</v>
      </c>
      <c r="H1762" s="113">
        <f t="shared" si="420"/>
        <v>9.9999999999999998E-13</v>
      </c>
      <c r="I1762" s="121">
        <f t="shared" si="413"/>
        <v>2223229</v>
      </c>
      <c r="K1762" s="123">
        <f t="shared" si="421"/>
        <v>3000000</v>
      </c>
      <c r="L1762" s="111">
        <f t="shared" si="422"/>
        <v>80544</v>
      </c>
      <c r="M1762" s="2">
        <f t="shared" si="423"/>
        <v>2250</v>
      </c>
      <c r="N1762" s="112">
        <f t="shared" si="414"/>
        <v>17000000</v>
      </c>
      <c r="O1762" s="2">
        <f t="shared" si="424"/>
        <v>855065</v>
      </c>
      <c r="P1762" s="113">
        <f t="shared" si="425"/>
        <v>9.9999999999999998E-13</v>
      </c>
      <c r="Q1762" s="121">
        <f t="shared" si="415"/>
        <v>2223229</v>
      </c>
    </row>
    <row r="1763" spans="2:17" hidden="1" x14ac:dyDescent="0.4">
      <c r="B1763" s="110">
        <v>45684</v>
      </c>
      <c r="C1763" s="122">
        <f t="shared" si="416"/>
        <v>3000000</v>
      </c>
      <c r="D1763" s="111">
        <f t="shared" si="417"/>
        <v>80544</v>
      </c>
      <c r="E1763" s="2">
        <f t="shared" si="418"/>
        <v>2250</v>
      </c>
      <c r="F1763" s="112">
        <f t="shared" si="412"/>
        <v>17000000</v>
      </c>
      <c r="G1763" s="2">
        <f t="shared" si="419"/>
        <v>855065</v>
      </c>
      <c r="H1763" s="113">
        <f t="shared" si="420"/>
        <v>9.9999999999999998E-13</v>
      </c>
      <c r="I1763" s="121">
        <f t="shared" si="413"/>
        <v>2223229</v>
      </c>
      <c r="K1763" s="123">
        <f t="shared" si="421"/>
        <v>3000000</v>
      </c>
      <c r="L1763" s="111">
        <f t="shared" si="422"/>
        <v>80544</v>
      </c>
      <c r="M1763" s="2">
        <f t="shared" si="423"/>
        <v>2250</v>
      </c>
      <c r="N1763" s="112">
        <f t="shared" si="414"/>
        <v>17000000</v>
      </c>
      <c r="O1763" s="2">
        <f t="shared" si="424"/>
        <v>855065</v>
      </c>
      <c r="P1763" s="113">
        <f t="shared" si="425"/>
        <v>9.9999999999999998E-13</v>
      </c>
      <c r="Q1763" s="121">
        <f t="shared" si="415"/>
        <v>2223229</v>
      </c>
    </row>
    <row r="1764" spans="2:17" hidden="1" x14ac:dyDescent="0.4">
      <c r="B1764" s="110">
        <v>45685</v>
      </c>
      <c r="C1764" s="122">
        <f t="shared" si="416"/>
        <v>3000000</v>
      </c>
      <c r="D1764" s="111">
        <f t="shared" si="417"/>
        <v>80544</v>
      </c>
      <c r="E1764" s="2">
        <f t="shared" si="418"/>
        <v>2250</v>
      </c>
      <c r="F1764" s="112">
        <f t="shared" si="412"/>
        <v>17000000</v>
      </c>
      <c r="G1764" s="2">
        <f t="shared" si="419"/>
        <v>855065</v>
      </c>
      <c r="H1764" s="113">
        <f t="shared" si="420"/>
        <v>9.9999999999999998E-13</v>
      </c>
      <c r="I1764" s="121">
        <f t="shared" si="413"/>
        <v>2223229</v>
      </c>
      <c r="K1764" s="123">
        <f t="shared" si="421"/>
        <v>3000000</v>
      </c>
      <c r="L1764" s="111">
        <f t="shared" si="422"/>
        <v>80544</v>
      </c>
      <c r="M1764" s="2">
        <f t="shared" si="423"/>
        <v>2250</v>
      </c>
      <c r="N1764" s="112">
        <f t="shared" si="414"/>
        <v>17000000</v>
      </c>
      <c r="O1764" s="2">
        <f t="shared" si="424"/>
        <v>855065</v>
      </c>
      <c r="P1764" s="113">
        <f t="shared" si="425"/>
        <v>9.9999999999999998E-13</v>
      </c>
      <c r="Q1764" s="121">
        <f t="shared" si="415"/>
        <v>2223229</v>
      </c>
    </row>
    <row r="1765" spans="2:17" hidden="1" x14ac:dyDescent="0.4">
      <c r="B1765" s="110">
        <v>45686</v>
      </c>
      <c r="C1765" s="122">
        <f t="shared" si="416"/>
        <v>3000000</v>
      </c>
      <c r="D1765" s="111">
        <f t="shared" si="417"/>
        <v>80544</v>
      </c>
      <c r="E1765" s="2">
        <f t="shared" si="418"/>
        <v>2250</v>
      </c>
      <c r="F1765" s="112">
        <f t="shared" si="412"/>
        <v>17000000</v>
      </c>
      <c r="G1765" s="2">
        <f t="shared" si="419"/>
        <v>855065</v>
      </c>
      <c r="H1765" s="113">
        <f t="shared" si="420"/>
        <v>9.9999999999999998E-13</v>
      </c>
      <c r="I1765" s="121">
        <f t="shared" si="413"/>
        <v>2223229</v>
      </c>
      <c r="K1765" s="123">
        <f t="shared" si="421"/>
        <v>3000000</v>
      </c>
      <c r="L1765" s="111">
        <f t="shared" si="422"/>
        <v>80544</v>
      </c>
      <c r="M1765" s="2">
        <f t="shared" si="423"/>
        <v>2250</v>
      </c>
      <c r="N1765" s="112">
        <f t="shared" si="414"/>
        <v>17000000</v>
      </c>
      <c r="O1765" s="2">
        <f t="shared" si="424"/>
        <v>855065</v>
      </c>
      <c r="P1765" s="113">
        <f t="shared" si="425"/>
        <v>9.9999999999999998E-13</v>
      </c>
      <c r="Q1765" s="121">
        <f t="shared" si="415"/>
        <v>2223229</v>
      </c>
    </row>
    <row r="1766" spans="2:17" hidden="1" x14ac:dyDescent="0.4">
      <c r="B1766" s="110">
        <v>45687</v>
      </c>
      <c r="C1766" s="122">
        <f t="shared" si="416"/>
        <v>3000000</v>
      </c>
      <c r="D1766" s="111">
        <f t="shared" si="417"/>
        <v>80544</v>
      </c>
      <c r="E1766" s="2">
        <f t="shared" si="418"/>
        <v>2250</v>
      </c>
      <c r="F1766" s="112">
        <f t="shared" si="412"/>
        <v>17000000</v>
      </c>
      <c r="G1766" s="2">
        <f t="shared" si="419"/>
        <v>855065</v>
      </c>
      <c r="H1766" s="113">
        <f t="shared" si="420"/>
        <v>9.9999999999999998E-13</v>
      </c>
      <c r="I1766" s="121">
        <f t="shared" si="413"/>
        <v>2223229</v>
      </c>
      <c r="K1766" s="123">
        <f t="shared" si="421"/>
        <v>3000000</v>
      </c>
      <c r="L1766" s="111">
        <f t="shared" si="422"/>
        <v>80544</v>
      </c>
      <c r="M1766" s="2">
        <f t="shared" si="423"/>
        <v>2250</v>
      </c>
      <c r="N1766" s="112">
        <f t="shared" si="414"/>
        <v>17000000</v>
      </c>
      <c r="O1766" s="2">
        <f t="shared" si="424"/>
        <v>855065</v>
      </c>
      <c r="P1766" s="113">
        <f t="shared" si="425"/>
        <v>9.9999999999999998E-13</v>
      </c>
      <c r="Q1766" s="121">
        <f t="shared" si="415"/>
        <v>2223229</v>
      </c>
    </row>
    <row r="1767" spans="2:17" hidden="1" x14ac:dyDescent="0.4">
      <c r="B1767" s="110">
        <v>45688</v>
      </c>
      <c r="C1767" s="122">
        <f t="shared" si="416"/>
        <v>3000000</v>
      </c>
      <c r="D1767" s="111">
        <f t="shared" si="417"/>
        <v>80544</v>
      </c>
      <c r="E1767" s="2">
        <f t="shared" si="418"/>
        <v>2250</v>
      </c>
      <c r="F1767" s="112">
        <f t="shared" si="412"/>
        <v>17000000</v>
      </c>
      <c r="G1767" s="2">
        <f t="shared" si="419"/>
        <v>855065</v>
      </c>
      <c r="H1767" s="113">
        <f t="shared" si="420"/>
        <v>9.9999999999999998E-13</v>
      </c>
      <c r="I1767" s="121">
        <f t="shared" si="413"/>
        <v>2223229</v>
      </c>
      <c r="K1767" s="123">
        <f t="shared" si="421"/>
        <v>3000000</v>
      </c>
      <c r="L1767" s="111">
        <f t="shared" si="422"/>
        <v>80544</v>
      </c>
      <c r="M1767" s="2">
        <f t="shared" si="423"/>
        <v>2250</v>
      </c>
      <c r="N1767" s="112">
        <f t="shared" si="414"/>
        <v>17000000</v>
      </c>
      <c r="O1767" s="2">
        <f t="shared" si="424"/>
        <v>855065</v>
      </c>
      <c r="P1767" s="113">
        <f t="shared" si="425"/>
        <v>9.9999999999999998E-13</v>
      </c>
      <c r="Q1767" s="121">
        <f t="shared" si="415"/>
        <v>2223229</v>
      </c>
    </row>
    <row r="1768" spans="2:17" x14ac:dyDescent="0.4">
      <c r="B1768" s="110">
        <v>45689</v>
      </c>
      <c r="C1768" s="122">
        <f t="shared" si="416"/>
        <v>3000000</v>
      </c>
      <c r="D1768" s="111">
        <f t="shared" si="417"/>
        <v>80544</v>
      </c>
      <c r="E1768" s="2">
        <f t="shared" si="418"/>
        <v>2250</v>
      </c>
      <c r="F1768" s="112">
        <f t="shared" si="412"/>
        <v>17000000</v>
      </c>
      <c r="G1768" s="2">
        <f t="shared" si="419"/>
        <v>855065</v>
      </c>
      <c r="H1768" s="113">
        <f t="shared" si="420"/>
        <v>9.9999999999999998E-13</v>
      </c>
      <c r="I1768" s="121">
        <f t="shared" si="413"/>
        <v>2223229</v>
      </c>
      <c r="K1768" s="123">
        <f t="shared" si="421"/>
        <v>3000000</v>
      </c>
      <c r="L1768" s="111">
        <f t="shared" si="422"/>
        <v>80544</v>
      </c>
      <c r="M1768" s="2">
        <f t="shared" si="423"/>
        <v>2250</v>
      </c>
      <c r="N1768" s="112">
        <f t="shared" si="414"/>
        <v>17000000</v>
      </c>
      <c r="O1768" s="2">
        <f t="shared" si="424"/>
        <v>855065</v>
      </c>
      <c r="P1768" s="113">
        <f t="shared" si="425"/>
        <v>9.9999999999999998E-13</v>
      </c>
      <c r="Q1768" s="121">
        <f t="shared" si="415"/>
        <v>2223229</v>
      </c>
    </row>
    <row r="1769" spans="2:17" hidden="1" x14ac:dyDescent="0.4">
      <c r="B1769" s="110">
        <v>45690</v>
      </c>
      <c r="C1769" s="122">
        <f t="shared" si="416"/>
        <v>3000000</v>
      </c>
      <c r="D1769" s="111">
        <f t="shared" si="417"/>
        <v>80544</v>
      </c>
      <c r="E1769" s="2">
        <f t="shared" si="418"/>
        <v>2250</v>
      </c>
      <c r="F1769" s="112">
        <f t="shared" si="412"/>
        <v>17000000</v>
      </c>
      <c r="G1769" s="2">
        <f t="shared" si="419"/>
        <v>855065</v>
      </c>
      <c r="H1769" s="113">
        <f t="shared" si="420"/>
        <v>9.9999999999999998E-13</v>
      </c>
      <c r="I1769" s="121">
        <f t="shared" si="413"/>
        <v>2223229</v>
      </c>
      <c r="K1769" s="123">
        <f t="shared" si="421"/>
        <v>3000000</v>
      </c>
      <c r="L1769" s="111">
        <f t="shared" si="422"/>
        <v>80544</v>
      </c>
      <c r="M1769" s="2">
        <f t="shared" si="423"/>
        <v>2250</v>
      </c>
      <c r="N1769" s="112">
        <f t="shared" si="414"/>
        <v>17000000</v>
      </c>
      <c r="O1769" s="2">
        <f t="shared" si="424"/>
        <v>855065</v>
      </c>
      <c r="P1769" s="113">
        <f t="shared" si="425"/>
        <v>9.9999999999999998E-13</v>
      </c>
      <c r="Q1769" s="121">
        <f t="shared" si="415"/>
        <v>2223229</v>
      </c>
    </row>
    <row r="1770" spans="2:17" hidden="1" x14ac:dyDescent="0.4">
      <c r="B1770" s="110">
        <v>45691</v>
      </c>
      <c r="C1770" s="122">
        <f t="shared" si="416"/>
        <v>3000000</v>
      </c>
      <c r="D1770" s="111">
        <f t="shared" si="417"/>
        <v>80544</v>
      </c>
      <c r="E1770" s="2">
        <f t="shared" si="418"/>
        <v>2250</v>
      </c>
      <c r="F1770" s="112">
        <f t="shared" si="412"/>
        <v>17000000</v>
      </c>
      <c r="G1770" s="2">
        <f t="shared" si="419"/>
        <v>855065</v>
      </c>
      <c r="H1770" s="113">
        <f t="shared" si="420"/>
        <v>9.9999999999999998E-13</v>
      </c>
      <c r="I1770" s="121">
        <f t="shared" si="413"/>
        <v>2223229</v>
      </c>
      <c r="K1770" s="123">
        <f t="shared" si="421"/>
        <v>3000000</v>
      </c>
      <c r="L1770" s="111">
        <f t="shared" si="422"/>
        <v>80544</v>
      </c>
      <c r="M1770" s="2">
        <f t="shared" si="423"/>
        <v>2250</v>
      </c>
      <c r="N1770" s="112">
        <f t="shared" si="414"/>
        <v>17000000</v>
      </c>
      <c r="O1770" s="2">
        <f t="shared" si="424"/>
        <v>855065</v>
      </c>
      <c r="P1770" s="113">
        <f t="shared" si="425"/>
        <v>9.9999999999999998E-13</v>
      </c>
      <c r="Q1770" s="121">
        <f t="shared" si="415"/>
        <v>2223229</v>
      </c>
    </row>
    <row r="1771" spans="2:17" hidden="1" x14ac:dyDescent="0.4">
      <c r="B1771" s="110">
        <v>45692</v>
      </c>
      <c r="C1771" s="122">
        <f t="shared" si="416"/>
        <v>3000000</v>
      </c>
      <c r="D1771" s="111">
        <f t="shared" si="417"/>
        <v>80544</v>
      </c>
      <c r="E1771" s="2">
        <f t="shared" si="418"/>
        <v>2250</v>
      </c>
      <c r="F1771" s="112">
        <f t="shared" si="412"/>
        <v>17000000</v>
      </c>
      <c r="G1771" s="2">
        <f t="shared" si="419"/>
        <v>855065</v>
      </c>
      <c r="H1771" s="113">
        <f t="shared" si="420"/>
        <v>9.9999999999999998E-13</v>
      </c>
      <c r="I1771" s="121">
        <f t="shared" si="413"/>
        <v>2223229</v>
      </c>
      <c r="K1771" s="123">
        <f t="shared" si="421"/>
        <v>3000000</v>
      </c>
      <c r="L1771" s="111">
        <f t="shared" si="422"/>
        <v>80544</v>
      </c>
      <c r="M1771" s="2">
        <f t="shared" si="423"/>
        <v>2250</v>
      </c>
      <c r="N1771" s="112">
        <f t="shared" si="414"/>
        <v>17000000</v>
      </c>
      <c r="O1771" s="2">
        <f t="shared" si="424"/>
        <v>855065</v>
      </c>
      <c r="P1771" s="113">
        <f t="shared" si="425"/>
        <v>9.9999999999999998E-13</v>
      </c>
      <c r="Q1771" s="121">
        <f t="shared" si="415"/>
        <v>2223229</v>
      </c>
    </row>
    <row r="1772" spans="2:17" hidden="1" x14ac:dyDescent="0.4">
      <c r="B1772" s="110">
        <v>45693</v>
      </c>
      <c r="C1772" s="122">
        <f t="shared" si="416"/>
        <v>3000000</v>
      </c>
      <c r="D1772" s="111">
        <f t="shared" si="417"/>
        <v>80544</v>
      </c>
      <c r="E1772" s="2">
        <f t="shared" si="418"/>
        <v>2250</v>
      </c>
      <c r="F1772" s="112">
        <f t="shared" si="412"/>
        <v>17000000</v>
      </c>
      <c r="G1772" s="2">
        <f t="shared" si="419"/>
        <v>855065</v>
      </c>
      <c r="H1772" s="113">
        <f t="shared" si="420"/>
        <v>9.9999999999999998E-13</v>
      </c>
      <c r="I1772" s="121">
        <f t="shared" si="413"/>
        <v>2223229</v>
      </c>
      <c r="K1772" s="123">
        <f t="shared" si="421"/>
        <v>3000000</v>
      </c>
      <c r="L1772" s="111">
        <f t="shared" si="422"/>
        <v>80544</v>
      </c>
      <c r="M1772" s="2">
        <f t="shared" si="423"/>
        <v>2250</v>
      </c>
      <c r="N1772" s="112">
        <f t="shared" si="414"/>
        <v>17000000</v>
      </c>
      <c r="O1772" s="2">
        <f t="shared" si="424"/>
        <v>855065</v>
      </c>
      <c r="P1772" s="113">
        <f t="shared" si="425"/>
        <v>9.9999999999999998E-13</v>
      </c>
      <c r="Q1772" s="121">
        <f t="shared" si="415"/>
        <v>2223229</v>
      </c>
    </row>
    <row r="1773" spans="2:17" hidden="1" x14ac:dyDescent="0.4">
      <c r="B1773" s="110">
        <v>45694</v>
      </c>
      <c r="C1773" s="122">
        <f t="shared" si="416"/>
        <v>3000000</v>
      </c>
      <c r="D1773" s="111">
        <f t="shared" si="417"/>
        <v>80544</v>
      </c>
      <c r="E1773" s="2">
        <f t="shared" si="418"/>
        <v>2250</v>
      </c>
      <c r="F1773" s="112">
        <f t="shared" si="412"/>
        <v>17000000</v>
      </c>
      <c r="G1773" s="2">
        <f t="shared" si="419"/>
        <v>855065</v>
      </c>
      <c r="H1773" s="113">
        <f t="shared" si="420"/>
        <v>9.9999999999999998E-13</v>
      </c>
      <c r="I1773" s="121">
        <f t="shared" si="413"/>
        <v>2223229</v>
      </c>
      <c r="K1773" s="123">
        <f t="shared" si="421"/>
        <v>3000000</v>
      </c>
      <c r="L1773" s="111">
        <f t="shared" si="422"/>
        <v>80544</v>
      </c>
      <c r="M1773" s="2">
        <f t="shared" si="423"/>
        <v>2250</v>
      </c>
      <c r="N1773" s="112">
        <f t="shared" si="414"/>
        <v>17000000</v>
      </c>
      <c r="O1773" s="2">
        <f t="shared" si="424"/>
        <v>855065</v>
      </c>
      <c r="P1773" s="113">
        <f t="shared" si="425"/>
        <v>9.9999999999999998E-13</v>
      </c>
      <c r="Q1773" s="121">
        <f t="shared" si="415"/>
        <v>2223229</v>
      </c>
    </row>
    <row r="1774" spans="2:17" hidden="1" x14ac:dyDescent="0.4">
      <c r="B1774" s="110">
        <v>45695</v>
      </c>
      <c r="C1774" s="122">
        <f t="shared" si="416"/>
        <v>3000000</v>
      </c>
      <c r="D1774" s="111">
        <f t="shared" si="417"/>
        <v>80544</v>
      </c>
      <c r="E1774" s="2">
        <f t="shared" si="418"/>
        <v>2250</v>
      </c>
      <c r="F1774" s="112">
        <f t="shared" si="412"/>
        <v>17000000</v>
      </c>
      <c r="G1774" s="2">
        <f t="shared" si="419"/>
        <v>855065</v>
      </c>
      <c r="H1774" s="113">
        <f t="shared" si="420"/>
        <v>9.9999999999999998E-13</v>
      </c>
      <c r="I1774" s="121">
        <f t="shared" si="413"/>
        <v>2223229</v>
      </c>
      <c r="K1774" s="123">
        <f t="shared" si="421"/>
        <v>3000000</v>
      </c>
      <c r="L1774" s="111">
        <f t="shared" si="422"/>
        <v>80544</v>
      </c>
      <c r="M1774" s="2">
        <f t="shared" si="423"/>
        <v>2250</v>
      </c>
      <c r="N1774" s="112">
        <f t="shared" si="414"/>
        <v>17000000</v>
      </c>
      <c r="O1774" s="2">
        <f t="shared" si="424"/>
        <v>855065</v>
      </c>
      <c r="P1774" s="113">
        <f t="shared" si="425"/>
        <v>9.9999999999999998E-13</v>
      </c>
      <c r="Q1774" s="121">
        <f t="shared" si="415"/>
        <v>2223229</v>
      </c>
    </row>
    <row r="1775" spans="2:17" hidden="1" x14ac:dyDescent="0.4">
      <c r="B1775" s="110">
        <v>45696</v>
      </c>
      <c r="C1775" s="122">
        <f t="shared" si="416"/>
        <v>3000000</v>
      </c>
      <c r="D1775" s="111">
        <f t="shared" si="417"/>
        <v>80544</v>
      </c>
      <c r="E1775" s="2">
        <f t="shared" si="418"/>
        <v>2250</v>
      </c>
      <c r="F1775" s="112">
        <f t="shared" si="412"/>
        <v>17000000</v>
      </c>
      <c r="G1775" s="2">
        <f t="shared" si="419"/>
        <v>855065</v>
      </c>
      <c r="H1775" s="113">
        <f t="shared" si="420"/>
        <v>9.9999999999999998E-13</v>
      </c>
      <c r="I1775" s="121">
        <f t="shared" si="413"/>
        <v>2223229</v>
      </c>
      <c r="K1775" s="123">
        <f t="shared" si="421"/>
        <v>3000000</v>
      </c>
      <c r="L1775" s="111">
        <f t="shared" si="422"/>
        <v>80544</v>
      </c>
      <c r="M1775" s="2">
        <f t="shared" si="423"/>
        <v>2250</v>
      </c>
      <c r="N1775" s="112">
        <f t="shared" si="414"/>
        <v>17000000</v>
      </c>
      <c r="O1775" s="2">
        <f t="shared" si="424"/>
        <v>855065</v>
      </c>
      <c r="P1775" s="113">
        <f t="shared" si="425"/>
        <v>9.9999999999999998E-13</v>
      </c>
      <c r="Q1775" s="121">
        <f t="shared" si="415"/>
        <v>2223229</v>
      </c>
    </row>
    <row r="1776" spans="2:17" hidden="1" x14ac:dyDescent="0.4">
      <c r="B1776" s="110">
        <v>45697</v>
      </c>
      <c r="C1776" s="122">
        <f t="shared" si="416"/>
        <v>3000000</v>
      </c>
      <c r="D1776" s="111">
        <f t="shared" si="417"/>
        <v>80544</v>
      </c>
      <c r="E1776" s="2">
        <f t="shared" si="418"/>
        <v>2250</v>
      </c>
      <c r="F1776" s="112">
        <f t="shared" si="412"/>
        <v>17000000</v>
      </c>
      <c r="G1776" s="2">
        <f t="shared" si="419"/>
        <v>855065</v>
      </c>
      <c r="H1776" s="113">
        <f t="shared" si="420"/>
        <v>9.9999999999999998E-13</v>
      </c>
      <c r="I1776" s="121">
        <f t="shared" si="413"/>
        <v>2223229</v>
      </c>
      <c r="K1776" s="123">
        <f t="shared" si="421"/>
        <v>3000000</v>
      </c>
      <c r="L1776" s="111">
        <f t="shared" si="422"/>
        <v>80544</v>
      </c>
      <c r="M1776" s="2">
        <f t="shared" si="423"/>
        <v>2250</v>
      </c>
      <c r="N1776" s="112">
        <f t="shared" si="414"/>
        <v>17000000</v>
      </c>
      <c r="O1776" s="2">
        <f t="shared" si="424"/>
        <v>855065</v>
      </c>
      <c r="P1776" s="113">
        <f t="shared" si="425"/>
        <v>9.9999999999999998E-13</v>
      </c>
      <c r="Q1776" s="121">
        <f t="shared" si="415"/>
        <v>2223229</v>
      </c>
    </row>
    <row r="1777" spans="2:17" hidden="1" x14ac:dyDescent="0.4">
      <c r="B1777" s="110">
        <v>45698</v>
      </c>
      <c r="C1777" s="122">
        <f t="shared" si="416"/>
        <v>3000000</v>
      </c>
      <c r="D1777" s="111">
        <f t="shared" si="417"/>
        <v>80544</v>
      </c>
      <c r="E1777" s="2">
        <f t="shared" si="418"/>
        <v>2250</v>
      </c>
      <c r="F1777" s="112">
        <f t="shared" si="412"/>
        <v>17000000</v>
      </c>
      <c r="G1777" s="2">
        <f t="shared" si="419"/>
        <v>855065</v>
      </c>
      <c r="H1777" s="113">
        <f t="shared" si="420"/>
        <v>9.9999999999999998E-13</v>
      </c>
      <c r="I1777" s="121">
        <f t="shared" si="413"/>
        <v>2223229</v>
      </c>
      <c r="K1777" s="123">
        <f t="shared" si="421"/>
        <v>3000000</v>
      </c>
      <c r="L1777" s="111">
        <f t="shared" si="422"/>
        <v>80544</v>
      </c>
      <c r="M1777" s="2">
        <f t="shared" si="423"/>
        <v>2250</v>
      </c>
      <c r="N1777" s="112">
        <f t="shared" si="414"/>
        <v>17000000</v>
      </c>
      <c r="O1777" s="2">
        <f t="shared" si="424"/>
        <v>855065</v>
      </c>
      <c r="P1777" s="113">
        <f t="shared" si="425"/>
        <v>9.9999999999999998E-13</v>
      </c>
      <c r="Q1777" s="121">
        <f t="shared" si="415"/>
        <v>2223229</v>
      </c>
    </row>
    <row r="1778" spans="2:17" hidden="1" x14ac:dyDescent="0.4">
      <c r="B1778" s="110">
        <v>45699</v>
      </c>
      <c r="C1778" s="122">
        <f t="shared" si="416"/>
        <v>3000000</v>
      </c>
      <c r="D1778" s="111">
        <f t="shared" si="417"/>
        <v>80544</v>
      </c>
      <c r="E1778" s="2">
        <f t="shared" si="418"/>
        <v>2250</v>
      </c>
      <c r="F1778" s="112">
        <f t="shared" si="412"/>
        <v>17000000</v>
      </c>
      <c r="G1778" s="2">
        <f t="shared" si="419"/>
        <v>855065</v>
      </c>
      <c r="H1778" s="113">
        <f t="shared" si="420"/>
        <v>9.9999999999999998E-13</v>
      </c>
      <c r="I1778" s="121">
        <f t="shared" si="413"/>
        <v>2223229</v>
      </c>
      <c r="K1778" s="123">
        <f t="shared" si="421"/>
        <v>3000000</v>
      </c>
      <c r="L1778" s="111">
        <f t="shared" si="422"/>
        <v>80544</v>
      </c>
      <c r="M1778" s="2">
        <f t="shared" si="423"/>
        <v>2250</v>
      </c>
      <c r="N1778" s="112">
        <f t="shared" si="414"/>
        <v>17000000</v>
      </c>
      <c r="O1778" s="2">
        <f t="shared" si="424"/>
        <v>855065</v>
      </c>
      <c r="P1778" s="113">
        <f t="shared" si="425"/>
        <v>9.9999999999999998E-13</v>
      </c>
      <c r="Q1778" s="121">
        <f t="shared" si="415"/>
        <v>2223229</v>
      </c>
    </row>
    <row r="1779" spans="2:17" hidden="1" x14ac:dyDescent="0.4">
      <c r="B1779" s="110">
        <v>45700</v>
      </c>
      <c r="C1779" s="122">
        <f t="shared" si="416"/>
        <v>3000000</v>
      </c>
      <c r="D1779" s="111">
        <f t="shared" si="417"/>
        <v>80544</v>
      </c>
      <c r="E1779" s="2">
        <f t="shared" si="418"/>
        <v>2250</v>
      </c>
      <c r="F1779" s="112">
        <f t="shared" si="412"/>
        <v>17000000</v>
      </c>
      <c r="G1779" s="2">
        <f t="shared" si="419"/>
        <v>855065</v>
      </c>
      <c r="H1779" s="113">
        <f t="shared" si="420"/>
        <v>9.9999999999999998E-13</v>
      </c>
      <c r="I1779" s="121">
        <f t="shared" si="413"/>
        <v>2223229</v>
      </c>
      <c r="K1779" s="123">
        <f t="shared" si="421"/>
        <v>3000000</v>
      </c>
      <c r="L1779" s="111">
        <f t="shared" si="422"/>
        <v>80544</v>
      </c>
      <c r="M1779" s="2">
        <f t="shared" si="423"/>
        <v>2250</v>
      </c>
      <c r="N1779" s="112">
        <f t="shared" si="414"/>
        <v>17000000</v>
      </c>
      <c r="O1779" s="2">
        <f t="shared" si="424"/>
        <v>855065</v>
      </c>
      <c r="P1779" s="113">
        <f t="shared" si="425"/>
        <v>9.9999999999999998E-13</v>
      </c>
      <c r="Q1779" s="121">
        <f t="shared" si="415"/>
        <v>2223229</v>
      </c>
    </row>
    <row r="1780" spans="2:17" hidden="1" x14ac:dyDescent="0.4">
      <c r="B1780" s="110">
        <v>45701</v>
      </c>
      <c r="C1780" s="122">
        <f t="shared" si="416"/>
        <v>3000000</v>
      </c>
      <c r="D1780" s="111">
        <f t="shared" si="417"/>
        <v>80544</v>
      </c>
      <c r="E1780" s="2">
        <f t="shared" si="418"/>
        <v>2250</v>
      </c>
      <c r="F1780" s="112">
        <f t="shared" si="412"/>
        <v>17000000</v>
      </c>
      <c r="G1780" s="2">
        <f t="shared" si="419"/>
        <v>855065</v>
      </c>
      <c r="H1780" s="113">
        <f t="shared" si="420"/>
        <v>9.9999999999999998E-13</v>
      </c>
      <c r="I1780" s="121">
        <f t="shared" si="413"/>
        <v>2223229</v>
      </c>
      <c r="K1780" s="123">
        <f t="shared" si="421"/>
        <v>3000000</v>
      </c>
      <c r="L1780" s="111">
        <f t="shared" si="422"/>
        <v>80544</v>
      </c>
      <c r="M1780" s="2">
        <f t="shared" si="423"/>
        <v>2250</v>
      </c>
      <c r="N1780" s="112">
        <f t="shared" si="414"/>
        <v>17000000</v>
      </c>
      <c r="O1780" s="2">
        <f t="shared" si="424"/>
        <v>855065</v>
      </c>
      <c r="P1780" s="113">
        <f t="shared" si="425"/>
        <v>9.9999999999999998E-13</v>
      </c>
      <c r="Q1780" s="121">
        <f t="shared" si="415"/>
        <v>2223229</v>
      </c>
    </row>
    <row r="1781" spans="2:17" hidden="1" x14ac:dyDescent="0.4">
      <c r="B1781" s="110">
        <v>45702</v>
      </c>
      <c r="C1781" s="122">
        <f t="shared" si="416"/>
        <v>3000000</v>
      </c>
      <c r="D1781" s="111">
        <f t="shared" si="417"/>
        <v>80544</v>
      </c>
      <c r="E1781" s="2">
        <f t="shared" si="418"/>
        <v>2250</v>
      </c>
      <c r="F1781" s="112">
        <f t="shared" si="412"/>
        <v>17000000</v>
      </c>
      <c r="G1781" s="2">
        <f t="shared" si="419"/>
        <v>855065</v>
      </c>
      <c r="H1781" s="113">
        <f t="shared" si="420"/>
        <v>9.9999999999999998E-13</v>
      </c>
      <c r="I1781" s="121">
        <f t="shared" si="413"/>
        <v>2223229</v>
      </c>
      <c r="K1781" s="123">
        <f t="shared" si="421"/>
        <v>3000000</v>
      </c>
      <c r="L1781" s="111">
        <f t="shared" si="422"/>
        <v>80544</v>
      </c>
      <c r="M1781" s="2">
        <f t="shared" si="423"/>
        <v>2250</v>
      </c>
      <c r="N1781" s="112">
        <f t="shared" si="414"/>
        <v>17000000</v>
      </c>
      <c r="O1781" s="2">
        <f t="shared" si="424"/>
        <v>855065</v>
      </c>
      <c r="P1781" s="113">
        <f t="shared" si="425"/>
        <v>9.9999999999999998E-13</v>
      </c>
      <c r="Q1781" s="121">
        <f t="shared" si="415"/>
        <v>2223229</v>
      </c>
    </row>
    <row r="1782" spans="2:17" hidden="1" x14ac:dyDescent="0.4">
      <c r="B1782" s="110">
        <v>45703</v>
      </c>
      <c r="C1782" s="122">
        <f t="shared" si="416"/>
        <v>3000000</v>
      </c>
      <c r="D1782" s="111">
        <f t="shared" si="417"/>
        <v>80544</v>
      </c>
      <c r="E1782" s="2">
        <f t="shared" si="418"/>
        <v>2250</v>
      </c>
      <c r="F1782" s="112">
        <f t="shared" si="412"/>
        <v>17000000</v>
      </c>
      <c r="G1782" s="2">
        <f t="shared" si="419"/>
        <v>855065</v>
      </c>
      <c r="H1782" s="113">
        <f t="shared" si="420"/>
        <v>9.9999999999999998E-13</v>
      </c>
      <c r="I1782" s="121">
        <f t="shared" si="413"/>
        <v>2223229</v>
      </c>
      <c r="K1782" s="123">
        <f t="shared" si="421"/>
        <v>3000000</v>
      </c>
      <c r="L1782" s="111">
        <f t="shared" si="422"/>
        <v>80544</v>
      </c>
      <c r="M1782" s="2">
        <f t="shared" si="423"/>
        <v>2250</v>
      </c>
      <c r="N1782" s="112">
        <f t="shared" si="414"/>
        <v>17000000</v>
      </c>
      <c r="O1782" s="2">
        <f t="shared" si="424"/>
        <v>855065</v>
      </c>
      <c r="P1782" s="113">
        <f t="shared" si="425"/>
        <v>9.9999999999999998E-13</v>
      </c>
      <c r="Q1782" s="121">
        <f t="shared" si="415"/>
        <v>2223229</v>
      </c>
    </row>
    <row r="1783" spans="2:17" hidden="1" x14ac:dyDescent="0.4">
      <c r="B1783" s="110">
        <v>45704</v>
      </c>
      <c r="C1783" s="122">
        <f t="shared" si="416"/>
        <v>3000000</v>
      </c>
      <c r="D1783" s="111">
        <f t="shared" si="417"/>
        <v>80544</v>
      </c>
      <c r="E1783" s="2">
        <f t="shared" si="418"/>
        <v>2250</v>
      </c>
      <c r="F1783" s="112">
        <f t="shared" si="412"/>
        <v>17000000</v>
      </c>
      <c r="G1783" s="2">
        <f t="shared" si="419"/>
        <v>855065</v>
      </c>
      <c r="H1783" s="113">
        <f t="shared" si="420"/>
        <v>9.9999999999999998E-13</v>
      </c>
      <c r="I1783" s="121">
        <f t="shared" si="413"/>
        <v>2223229</v>
      </c>
      <c r="K1783" s="123">
        <f t="shared" si="421"/>
        <v>3000000</v>
      </c>
      <c r="L1783" s="111">
        <f t="shared" si="422"/>
        <v>80544</v>
      </c>
      <c r="M1783" s="2">
        <f t="shared" si="423"/>
        <v>2250</v>
      </c>
      <c r="N1783" s="112">
        <f t="shared" si="414"/>
        <v>17000000</v>
      </c>
      <c r="O1783" s="2">
        <f t="shared" si="424"/>
        <v>855065</v>
      </c>
      <c r="P1783" s="113">
        <f t="shared" si="425"/>
        <v>9.9999999999999998E-13</v>
      </c>
      <c r="Q1783" s="121">
        <f t="shared" si="415"/>
        <v>2223229</v>
      </c>
    </row>
    <row r="1784" spans="2:17" hidden="1" x14ac:dyDescent="0.4">
      <c r="B1784" s="110">
        <v>45705</v>
      </c>
      <c r="C1784" s="122">
        <f t="shared" si="416"/>
        <v>3000000</v>
      </c>
      <c r="D1784" s="111">
        <f t="shared" si="417"/>
        <v>80544</v>
      </c>
      <c r="E1784" s="2">
        <f t="shared" si="418"/>
        <v>2250</v>
      </c>
      <c r="F1784" s="112">
        <f t="shared" si="412"/>
        <v>17000000</v>
      </c>
      <c r="G1784" s="2">
        <f t="shared" si="419"/>
        <v>855065</v>
      </c>
      <c r="H1784" s="113">
        <f t="shared" si="420"/>
        <v>9.9999999999999998E-13</v>
      </c>
      <c r="I1784" s="121">
        <f t="shared" si="413"/>
        <v>2223229</v>
      </c>
      <c r="K1784" s="123">
        <f t="shared" si="421"/>
        <v>3000000</v>
      </c>
      <c r="L1784" s="111">
        <f t="shared" si="422"/>
        <v>80544</v>
      </c>
      <c r="M1784" s="2">
        <f t="shared" si="423"/>
        <v>2250</v>
      </c>
      <c r="N1784" s="112">
        <f t="shared" si="414"/>
        <v>17000000</v>
      </c>
      <c r="O1784" s="2">
        <f t="shared" si="424"/>
        <v>855065</v>
      </c>
      <c r="P1784" s="113">
        <f t="shared" si="425"/>
        <v>9.9999999999999998E-13</v>
      </c>
      <c r="Q1784" s="121">
        <f t="shared" si="415"/>
        <v>2223229</v>
      </c>
    </row>
    <row r="1785" spans="2:17" hidden="1" x14ac:dyDescent="0.4">
      <c r="B1785" s="110">
        <v>45706</v>
      </c>
      <c r="C1785" s="122">
        <f t="shared" si="416"/>
        <v>3000000</v>
      </c>
      <c r="D1785" s="111">
        <f t="shared" si="417"/>
        <v>80544</v>
      </c>
      <c r="E1785" s="2">
        <f t="shared" si="418"/>
        <v>2250</v>
      </c>
      <c r="F1785" s="112">
        <f t="shared" si="412"/>
        <v>17000000</v>
      </c>
      <c r="G1785" s="2">
        <f t="shared" si="419"/>
        <v>855065</v>
      </c>
      <c r="H1785" s="113">
        <f t="shared" si="420"/>
        <v>9.9999999999999998E-13</v>
      </c>
      <c r="I1785" s="121">
        <f t="shared" si="413"/>
        <v>2223229</v>
      </c>
      <c r="K1785" s="123">
        <f t="shared" si="421"/>
        <v>3000000</v>
      </c>
      <c r="L1785" s="111">
        <f t="shared" si="422"/>
        <v>80544</v>
      </c>
      <c r="M1785" s="2">
        <f t="shared" si="423"/>
        <v>2250</v>
      </c>
      <c r="N1785" s="112">
        <f t="shared" si="414"/>
        <v>17000000</v>
      </c>
      <c r="O1785" s="2">
        <f t="shared" si="424"/>
        <v>855065</v>
      </c>
      <c r="P1785" s="113">
        <f t="shared" si="425"/>
        <v>9.9999999999999998E-13</v>
      </c>
      <c r="Q1785" s="121">
        <f t="shared" si="415"/>
        <v>2223229</v>
      </c>
    </row>
    <row r="1786" spans="2:17" hidden="1" x14ac:dyDescent="0.4">
      <c r="B1786" s="110">
        <v>45707</v>
      </c>
      <c r="C1786" s="122">
        <f t="shared" si="416"/>
        <v>3000000</v>
      </c>
      <c r="D1786" s="111">
        <f t="shared" si="417"/>
        <v>80544</v>
      </c>
      <c r="E1786" s="2">
        <f t="shared" si="418"/>
        <v>2250</v>
      </c>
      <c r="F1786" s="112">
        <f t="shared" si="412"/>
        <v>17000000</v>
      </c>
      <c r="G1786" s="2">
        <f t="shared" si="419"/>
        <v>855065</v>
      </c>
      <c r="H1786" s="113">
        <f t="shared" si="420"/>
        <v>9.9999999999999998E-13</v>
      </c>
      <c r="I1786" s="121">
        <f t="shared" si="413"/>
        <v>2223229</v>
      </c>
      <c r="K1786" s="123">
        <f t="shared" si="421"/>
        <v>3000000</v>
      </c>
      <c r="L1786" s="111">
        <f t="shared" si="422"/>
        <v>80544</v>
      </c>
      <c r="M1786" s="2">
        <f t="shared" si="423"/>
        <v>2250</v>
      </c>
      <c r="N1786" s="112">
        <f t="shared" si="414"/>
        <v>17000000</v>
      </c>
      <c r="O1786" s="2">
        <f t="shared" si="424"/>
        <v>855065</v>
      </c>
      <c r="P1786" s="113">
        <f t="shared" si="425"/>
        <v>9.9999999999999998E-13</v>
      </c>
      <c r="Q1786" s="121">
        <f t="shared" si="415"/>
        <v>2223229</v>
      </c>
    </row>
    <row r="1787" spans="2:17" hidden="1" x14ac:dyDescent="0.4">
      <c r="B1787" s="110">
        <v>45708</v>
      </c>
      <c r="C1787" s="122">
        <f t="shared" si="416"/>
        <v>3000000</v>
      </c>
      <c r="D1787" s="111">
        <f t="shared" si="417"/>
        <v>80544</v>
      </c>
      <c r="E1787" s="2">
        <f t="shared" si="418"/>
        <v>2250</v>
      </c>
      <c r="F1787" s="112">
        <f t="shared" si="412"/>
        <v>17000000</v>
      </c>
      <c r="G1787" s="2">
        <f t="shared" si="419"/>
        <v>855065</v>
      </c>
      <c r="H1787" s="113">
        <f t="shared" si="420"/>
        <v>9.9999999999999998E-13</v>
      </c>
      <c r="I1787" s="121">
        <f t="shared" si="413"/>
        <v>2223229</v>
      </c>
      <c r="K1787" s="123">
        <f t="shared" si="421"/>
        <v>3000000</v>
      </c>
      <c r="L1787" s="111">
        <f t="shared" si="422"/>
        <v>80544</v>
      </c>
      <c r="M1787" s="2">
        <f t="shared" si="423"/>
        <v>2250</v>
      </c>
      <c r="N1787" s="112">
        <f t="shared" si="414"/>
        <v>17000000</v>
      </c>
      <c r="O1787" s="2">
        <f t="shared" si="424"/>
        <v>855065</v>
      </c>
      <c r="P1787" s="113">
        <f t="shared" si="425"/>
        <v>9.9999999999999998E-13</v>
      </c>
      <c r="Q1787" s="121">
        <f t="shared" si="415"/>
        <v>2223229</v>
      </c>
    </row>
    <row r="1788" spans="2:17" hidden="1" x14ac:dyDescent="0.4">
      <c r="B1788" s="110">
        <v>45709</v>
      </c>
      <c r="C1788" s="122">
        <f t="shared" si="416"/>
        <v>3000000</v>
      </c>
      <c r="D1788" s="111">
        <f t="shared" si="417"/>
        <v>80544</v>
      </c>
      <c r="E1788" s="2">
        <f t="shared" si="418"/>
        <v>2250</v>
      </c>
      <c r="F1788" s="112">
        <f t="shared" si="412"/>
        <v>17000000</v>
      </c>
      <c r="G1788" s="2">
        <f t="shared" si="419"/>
        <v>855065</v>
      </c>
      <c r="H1788" s="113">
        <f t="shared" si="420"/>
        <v>9.9999999999999998E-13</v>
      </c>
      <c r="I1788" s="121">
        <f t="shared" si="413"/>
        <v>2223229</v>
      </c>
      <c r="K1788" s="123">
        <f t="shared" si="421"/>
        <v>3000000</v>
      </c>
      <c r="L1788" s="111">
        <f t="shared" si="422"/>
        <v>80544</v>
      </c>
      <c r="M1788" s="2">
        <f t="shared" si="423"/>
        <v>2250</v>
      </c>
      <c r="N1788" s="112">
        <f t="shared" si="414"/>
        <v>17000000</v>
      </c>
      <c r="O1788" s="2">
        <f t="shared" si="424"/>
        <v>855065</v>
      </c>
      <c r="P1788" s="113">
        <f t="shared" si="425"/>
        <v>9.9999999999999998E-13</v>
      </c>
      <c r="Q1788" s="121">
        <f t="shared" si="415"/>
        <v>2223229</v>
      </c>
    </row>
    <row r="1789" spans="2:17" hidden="1" x14ac:dyDescent="0.4">
      <c r="B1789" s="110">
        <v>45710</v>
      </c>
      <c r="C1789" s="122">
        <f t="shared" si="416"/>
        <v>3000000</v>
      </c>
      <c r="D1789" s="111">
        <f t="shared" si="417"/>
        <v>80544</v>
      </c>
      <c r="E1789" s="2">
        <f t="shared" si="418"/>
        <v>2250</v>
      </c>
      <c r="F1789" s="112">
        <f t="shared" si="412"/>
        <v>17000000</v>
      </c>
      <c r="G1789" s="2">
        <f t="shared" si="419"/>
        <v>855065</v>
      </c>
      <c r="H1789" s="113">
        <f t="shared" si="420"/>
        <v>9.9999999999999998E-13</v>
      </c>
      <c r="I1789" s="121">
        <f t="shared" si="413"/>
        <v>2223229</v>
      </c>
      <c r="K1789" s="123">
        <f t="shared" si="421"/>
        <v>3000000</v>
      </c>
      <c r="L1789" s="111">
        <f t="shared" si="422"/>
        <v>80544</v>
      </c>
      <c r="M1789" s="2">
        <f t="shared" si="423"/>
        <v>2250</v>
      </c>
      <c r="N1789" s="112">
        <f t="shared" si="414"/>
        <v>17000000</v>
      </c>
      <c r="O1789" s="2">
        <f t="shared" si="424"/>
        <v>855065</v>
      </c>
      <c r="P1789" s="113">
        <f t="shared" si="425"/>
        <v>9.9999999999999998E-13</v>
      </c>
      <c r="Q1789" s="121">
        <f t="shared" si="415"/>
        <v>2223229</v>
      </c>
    </row>
    <row r="1790" spans="2:17" hidden="1" x14ac:dyDescent="0.4">
      <c r="B1790" s="110">
        <v>45711</v>
      </c>
      <c r="C1790" s="122">
        <f t="shared" si="416"/>
        <v>3000000</v>
      </c>
      <c r="D1790" s="111">
        <f t="shared" si="417"/>
        <v>80544</v>
      </c>
      <c r="E1790" s="2">
        <f t="shared" si="418"/>
        <v>2250</v>
      </c>
      <c r="F1790" s="112">
        <f t="shared" si="412"/>
        <v>17000000</v>
      </c>
      <c r="G1790" s="2">
        <f t="shared" si="419"/>
        <v>855065</v>
      </c>
      <c r="H1790" s="113">
        <f t="shared" si="420"/>
        <v>9.9999999999999998E-13</v>
      </c>
      <c r="I1790" s="121">
        <f t="shared" si="413"/>
        <v>2223229</v>
      </c>
      <c r="K1790" s="123">
        <f t="shared" si="421"/>
        <v>3000000</v>
      </c>
      <c r="L1790" s="111">
        <f t="shared" si="422"/>
        <v>80544</v>
      </c>
      <c r="M1790" s="2">
        <f t="shared" si="423"/>
        <v>2250</v>
      </c>
      <c r="N1790" s="112">
        <f t="shared" si="414"/>
        <v>17000000</v>
      </c>
      <c r="O1790" s="2">
        <f t="shared" si="424"/>
        <v>855065</v>
      </c>
      <c r="P1790" s="113">
        <f t="shared" si="425"/>
        <v>9.9999999999999998E-13</v>
      </c>
      <c r="Q1790" s="121">
        <f t="shared" si="415"/>
        <v>2223229</v>
      </c>
    </row>
    <row r="1791" spans="2:17" hidden="1" x14ac:dyDescent="0.4">
      <c r="B1791" s="110">
        <v>45712</v>
      </c>
      <c r="C1791" s="122">
        <f t="shared" si="416"/>
        <v>3000000</v>
      </c>
      <c r="D1791" s="111">
        <f t="shared" si="417"/>
        <v>80544</v>
      </c>
      <c r="E1791" s="2">
        <f t="shared" si="418"/>
        <v>2250</v>
      </c>
      <c r="F1791" s="112">
        <f t="shared" si="412"/>
        <v>17000000</v>
      </c>
      <c r="G1791" s="2">
        <f t="shared" si="419"/>
        <v>855065</v>
      </c>
      <c r="H1791" s="113">
        <f t="shared" si="420"/>
        <v>9.9999999999999998E-13</v>
      </c>
      <c r="I1791" s="121">
        <f t="shared" si="413"/>
        <v>2223229</v>
      </c>
      <c r="K1791" s="123">
        <f t="shared" si="421"/>
        <v>3000000</v>
      </c>
      <c r="L1791" s="111">
        <f t="shared" si="422"/>
        <v>80544</v>
      </c>
      <c r="M1791" s="2">
        <f t="shared" si="423"/>
        <v>2250</v>
      </c>
      <c r="N1791" s="112">
        <f t="shared" si="414"/>
        <v>17000000</v>
      </c>
      <c r="O1791" s="2">
        <f t="shared" si="424"/>
        <v>855065</v>
      </c>
      <c r="P1791" s="113">
        <f t="shared" si="425"/>
        <v>9.9999999999999998E-13</v>
      </c>
      <c r="Q1791" s="121">
        <f t="shared" si="415"/>
        <v>2223229</v>
      </c>
    </row>
    <row r="1792" spans="2:17" hidden="1" x14ac:dyDescent="0.4">
      <c r="B1792" s="110">
        <v>45713</v>
      </c>
      <c r="C1792" s="122">
        <f t="shared" si="416"/>
        <v>3000000</v>
      </c>
      <c r="D1792" s="111">
        <f t="shared" si="417"/>
        <v>80544</v>
      </c>
      <c r="E1792" s="2">
        <f t="shared" si="418"/>
        <v>2250</v>
      </c>
      <c r="F1792" s="112">
        <f t="shared" si="412"/>
        <v>17000000</v>
      </c>
      <c r="G1792" s="2">
        <f t="shared" si="419"/>
        <v>855065</v>
      </c>
      <c r="H1792" s="113">
        <f t="shared" si="420"/>
        <v>9.9999999999999998E-13</v>
      </c>
      <c r="I1792" s="121">
        <f t="shared" si="413"/>
        <v>2223229</v>
      </c>
      <c r="K1792" s="123">
        <f t="shared" si="421"/>
        <v>3000000</v>
      </c>
      <c r="L1792" s="111">
        <f t="shared" si="422"/>
        <v>80544</v>
      </c>
      <c r="M1792" s="2">
        <f t="shared" si="423"/>
        <v>2250</v>
      </c>
      <c r="N1792" s="112">
        <f t="shared" si="414"/>
        <v>17000000</v>
      </c>
      <c r="O1792" s="2">
        <f t="shared" si="424"/>
        <v>855065</v>
      </c>
      <c r="P1792" s="113">
        <f t="shared" si="425"/>
        <v>9.9999999999999998E-13</v>
      </c>
      <c r="Q1792" s="121">
        <f t="shared" si="415"/>
        <v>2223229</v>
      </c>
    </row>
    <row r="1793" spans="2:17" hidden="1" x14ac:dyDescent="0.4">
      <c r="B1793" s="110">
        <v>45714</v>
      </c>
      <c r="C1793" s="122">
        <f t="shared" si="416"/>
        <v>3000000</v>
      </c>
      <c r="D1793" s="111">
        <f t="shared" si="417"/>
        <v>80544</v>
      </c>
      <c r="E1793" s="2">
        <f t="shared" si="418"/>
        <v>2250</v>
      </c>
      <c r="F1793" s="112">
        <f t="shared" si="412"/>
        <v>17000000</v>
      </c>
      <c r="G1793" s="2">
        <f t="shared" si="419"/>
        <v>855065</v>
      </c>
      <c r="H1793" s="113">
        <f t="shared" si="420"/>
        <v>9.9999999999999998E-13</v>
      </c>
      <c r="I1793" s="121">
        <f t="shared" si="413"/>
        <v>2223229</v>
      </c>
      <c r="K1793" s="123">
        <f t="shared" si="421"/>
        <v>3000000</v>
      </c>
      <c r="L1793" s="111">
        <f t="shared" si="422"/>
        <v>80544</v>
      </c>
      <c r="M1793" s="2">
        <f t="shared" si="423"/>
        <v>2250</v>
      </c>
      <c r="N1793" s="112">
        <f t="shared" si="414"/>
        <v>17000000</v>
      </c>
      <c r="O1793" s="2">
        <f t="shared" si="424"/>
        <v>855065</v>
      </c>
      <c r="P1793" s="113">
        <f t="shared" si="425"/>
        <v>9.9999999999999998E-13</v>
      </c>
      <c r="Q1793" s="121">
        <f t="shared" si="415"/>
        <v>2223229</v>
      </c>
    </row>
    <row r="1794" spans="2:17" hidden="1" x14ac:dyDescent="0.4">
      <c r="B1794" s="110">
        <v>45715</v>
      </c>
      <c r="C1794" s="122">
        <f t="shared" si="416"/>
        <v>3000000</v>
      </c>
      <c r="D1794" s="111">
        <f t="shared" si="417"/>
        <v>80544</v>
      </c>
      <c r="E1794" s="2">
        <f t="shared" si="418"/>
        <v>2250</v>
      </c>
      <c r="F1794" s="112">
        <f t="shared" si="412"/>
        <v>17000000</v>
      </c>
      <c r="G1794" s="2">
        <f t="shared" si="419"/>
        <v>855065</v>
      </c>
      <c r="H1794" s="113">
        <f t="shared" si="420"/>
        <v>9.9999999999999998E-13</v>
      </c>
      <c r="I1794" s="121">
        <f t="shared" si="413"/>
        <v>2223229</v>
      </c>
      <c r="K1794" s="123">
        <f t="shared" si="421"/>
        <v>3000000</v>
      </c>
      <c r="L1794" s="111">
        <f t="shared" si="422"/>
        <v>80544</v>
      </c>
      <c r="M1794" s="2">
        <f t="shared" si="423"/>
        <v>2250</v>
      </c>
      <c r="N1794" s="112">
        <f t="shared" si="414"/>
        <v>17000000</v>
      </c>
      <c r="O1794" s="2">
        <f t="shared" si="424"/>
        <v>855065</v>
      </c>
      <c r="P1794" s="113">
        <f t="shared" si="425"/>
        <v>9.9999999999999998E-13</v>
      </c>
      <c r="Q1794" s="121">
        <f t="shared" si="415"/>
        <v>2223229</v>
      </c>
    </row>
    <row r="1795" spans="2:17" hidden="1" x14ac:dyDescent="0.4">
      <c r="B1795" s="110">
        <v>45716</v>
      </c>
      <c r="C1795" s="122">
        <f t="shared" si="416"/>
        <v>3000000</v>
      </c>
      <c r="D1795" s="111">
        <f t="shared" si="417"/>
        <v>80544</v>
      </c>
      <c r="E1795" s="2">
        <f t="shared" si="418"/>
        <v>2250</v>
      </c>
      <c r="F1795" s="112">
        <f t="shared" si="412"/>
        <v>17000000</v>
      </c>
      <c r="G1795" s="2">
        <f t="shared" si="419"/>
        <v>855065</v>
      </c>
      <c r="H1795" s="113">
        <f t="shared" si="420"/>
        <v>9.9999999999999998E-13</v>
      </c>
      <c r="I1795" s="121">
        <f t="shared" si="413"/>
        <v>2223229</v>
      </c>
      <c r="K1795" s="123">
        <f t="shared" si="421"/>
        <v>3000000</v>
      </c>
      <c r="L1795" s="111">
        <f t="shared" si="422"/>
        <v>80544</v>
      </c>
      <c r="M1795" s="2">
        <f t="shared" si="423"/>
        <v>2250</v>
      </c>
      <c r="N1795" s="112">
        <f t="shared" si="414"/>
        <v>17000000</v>
      </c>
      <c r="O1795" s="2">
        <f t="shared" si="424"/>
        <v>855065</v>
      </c>
      <c r="P1795" s="113">
        <f t="shared" si="425"/>
        <v>9.9999999999999998E-13</v>
      </c>
      <c r="Q1795" s="121">
        <f t="shared" si="415"/>
        <v>2223229</v>
      </c>
    </row>
    <row r="1796" spans="2:17" x14ac:dyDescent="0.4">
      <c r="B1796" s="110">
        <v>45717</v>
      </c>
      <c r="C1796" s="122">
        <f t="shared" si="416"/>
        <v>3000000</v>
      </c>
      <c r="D1796" s="111">
        <f t="shared" si="417"/>
        <v>80544</v>
      </c>
      <c r="E1796" s="2">
        <f t="shared" si="418"/>
        <v>2250</v>
      </c>
      <c r="F1796" s="112">
        <f t="shared" si="412"/>
        <v>17000000</v>
      </c>
      <c r="G1796" s="2">
        <f t="shared" si="419"/>
        <v>855065</v>
      </c>
      <c r="H1796" s="113">
        <f t="shared" si="420"/>
        <v>9.9999999999999998E-13</v>
      </c>
      <c r="I1796" s="121">
        <f t="shared" si="413"/>
        <v>2223229</v>
      </c>
      <c r="K1796" s="123">
        <f t="shared" si="421"/>
        <v>3000000</v>
      </c>
      <c r="L1796" s="111">
        <f t="shared" si="422"/>
        <v>80544</v>
      </c>
      <c r="M1796" s="2">
        <f t="shared" si="423"/>
        <v>2250</v>
      </c>
      <c r="N1796" s="112">
        <f t="shared" si="414"/>
        <v>17000000</v>
      </c>
      <c r="O1796" s="2">
        <f t="shared" si="424"/>
        <v>855065</v>
      </c>
      <c r="P1796" s="113">
        <f t="shared" si="425"/>
        <v>9.9999999999999998E-13</v>
      </c>
      <c r="Q1796" s="121">
        <f t="shared" si="415"/>
        <v>2223229</v>
      </c>
    </row>
    <row r="1797" spans="2:17" hidden="1" x14ac:dyDescent="0.4">
      <c r="B1797" s="110">
        <v>45718</v>
      </c>
      <c r="C1797" s="122">
        <f t="shared" si="416"/>
        <v>3000000</v>
      </c>
      <c r="D1797" s="111">
        <f t="shared" si="417"/>
        <v>80544</v>
      </c>
      <c r="E1797" s="2">
        <f t="shared" si="418"/>
        <v>2250</v>
      </c>
      <c r="F1797" s="112">
        <f t="shared" si="412"/>
        <v>17000000</v>
      </c>
      <c r="G1797" s="2">
        <f t="shared" si="419"/>
        <v>855065</v>
      </c>
      <c r="H1797" s="113">
        <f t="shared" si="420"/>
        <v>9.9999999999999998E-13</v>
      </c>
      <c r="I1797" s="121">
        <f t="shared" si="413"/>
        <v>2223229</v>
      </c>
      <c r="K1797" s="123">
        <f t="shared" si="421"/>
        <v>3000000</v>
      </c>
      <c r="L1797" s="111">
        <f t="shared" si="422"/>
        <v>80544</v>
      </c>
      <c r="M1797" s="2">
        <f t="shared" si="423"/>
        <v>2250</v>
      </c>
      <c r="N1797" s="112">
        <f t="shared" si="414"/>
        <v>17000000</v>
      </c>
      <c r="O1797" s="2">
        <f t="shared" si="424"/>
        <v>855065</v>
      </c>
      <c r="P1797" s="113">
        <f t="shared" si="425"/>
        <v>9.9999999999999998E-13</v>
      </c>
      <c r="Q1797" s="121">
        <f t="shared" si="415"/>
        <v>2223229</v>
      </c>
    </row>
    <row r="1798" spans="2:17" hidden="1" x14ac:dyDescent="0.4">
      <c r="B1798" s="110">
        <v>45719</v>
      </c>
      <c r="C1798" s="122">
        <f t="shared" si="416"/>
        <v>3000000</v>
      </c>
      <c r="D1798" s="111">
        <f t="shared" si="417"/>
        <v>80544</v>
      </c>
      <c r="E1798" s="2">
        <f t="shared" si="418"/>
        <v>2250</v>
      </c>
      <c r="F1798" s="112">
        <f t="shared" si="412"/>
        <v>17000000</v>
      </c>
      <c r="G1798" s="2">
        <f t="shared" si="419"/>
        <v>855065</v>
      </c>
      <c r="H1798" s="113">
        <f t="shared" si="420"/>
        <v>9.9999999999999998E-13</v>
      </c>
      <c r="I1798" s="121">
        <f t="shared" si="413"/>
        <v>2223229</v>
      </c>
      <c r="K1798" s="123">
        <f t="shared" si="421"/>
        <v>3000000</v>
      </c>
      <c r="L1798" s="111">
        <f t="shared" si="422"/>
        <v>80544</v>
      </c>
      <c r="M1798" s="2">
        <f t="shared" si="423"/>
        <v>2250</v>
      </c>
      <c r="N1798" s="112">
        <f t="shared" si="414"/>
        <v>17000000</v>
      </c>
      <c r="O1798" s="2">
        <f t="shared" si="424"/>
        <v>855065</v>
      </c>
      <c r="P1798" s="113">
        <f t="shared" si="425"/>
        <v>9.9999999999999998E-13</v>
      </c>
      <c r="Q1798" s="121">
        <f t="shared" si="415"/>
        <v>2223229</v>
      </c>
    </row>
    <row r="1799" spans="2:17" hidden="1" x14ac:dyDescent="0.4">
      <c r="B1799" s="110">
        <v>45720</v>
      </c>
      <c r="C1799" s="122">
        <f t="shared" si="416"/>
        <v>3000000</v>
      </c>
      <c r="D1799" s="111">
        <f t="shared" si="417"/>
        <v>84982</v>
      </c>
      <c r="E1799" s="2">
        <f t="shared" si="418"/>
        <v>2250</v>
      </c>
      <c r="F1799" s="112">
        <f t="shared" si="412"/>
        <v>17000000</v>
      </c>
      <c r="G1799" s="2">
        <f t="shared" si="419"/>
        <v>855065</v>
      </c>
      <c r="H1799" s="113">
        <f t="shared" si="420"/>
        <v>9.9999999999999998E-13</v>
      </c>
      <c r="I1799" s="121">
        <f t="shared" si="413"/>
        <v>2227667</v>
      </c>
      <c r="K1799" s="123">
        <f t="shared" si="421"/>
        <v>3000000</v>
      </c>
      <c r="L1799" s="111">
        <f t="shared" si="422"/>
        <v>84982</v>
      </c>
      <c r="M1799" s="2">
        <f t="shared" si="423"/>
        <v>2250</v>
      </c>
      <c r="N1799" s="112">
        <f t="shared" si="414"/>
        <v>17000000</v>
      </c>
      <c r="O1799" s="2">
        <f t="shared" si="424"/>
        <v>855065</v>
      </c>
      <c r="P1799" s="113">
        <f t="shared" si="425"/>
        <v>9.9999999999999998E-13</v>
      </c>
      <c r="Q1799" s="121">
        <f t="shared" si="415"/>
        <v>2227667</v>
      </c>
    </row>
    <row r="1800" spans="2:17" hidden="1" x14ac:dyDescent="0.4">
      <c r="B1800" s="110">
        <v>45721</v>
      </c>
      <c r="C1800" s="122">
        <f t="shared" si="416"/>
        <v>3000000</v>
      </c>
      <c r="D1800" s="111">
        <f t="shared" si="417"/>
        <v>84982</v>
      </c>
      <c r="E1800" s="2">
        <f t="shared" si="418"/>
        <v>2250</v>
      </c>
      <c r="F1800" s="112">
        <f t="shared" si="412"/>
        <v>17000000</v>
      </c>
      <c r="G1800" s="2">
        <f t="shared" si="419"/>
        <v>855065</v>
      </c>
      <c r="H1800" s="113">
        <f t="shared" si="420"/>
        <v>9.9999999999999998E-13</v>
      </c>
      <c r="I1800" s="121">
        <f t="shared" si="413"/>
        <v>2227667</v>
      </c>
      <c r="K1800" s="123">
        <f t="shared" si="421"/>
        <v>3000000</v>
      </c>
      <c r="L1800" s="111">
        <f t="shared" si="422"/>
        <v>84982</v>
      </c>
      <c r="M1800" s="2">
        <f t="shared" si="423"/>
        <v>2250</v>
      </c>
      <c r="N1800" s="112">
        <f t="shared" si="414"/>
        <v>17000000</v>
      </c>
      <c r="O1800" s="2">
        <f t="shared" si="424"/>
        <v>855065</v>
      </c>
      <c r="P1800" s="113">
        <f t="shared" si="425"/>
        <v>9.9999999999999998E-13</v>
      </c>
      <c r="Q1800" s="121">
        <f t="shared" si="415"/>
        <v>2227667</v>
      </c>
    </row>
    <row r="1801" spans="2:17" hidden="1" x14ac:dyDescent="0.4">
      <c r="B1801" s="110">
        <v>45722</v>
      </c>
      <c r="C1801" s="122">
        <f t="shared" si="416"/>
        <v>3000000</v>
      </c>
      <c r="D1801" s="111">
        <f t="shared" si="417"/>
        <v>84982</v>
      </c>
      <c r="E1801" s="2">
        <f t="shared" si="418"/>
        <v>2250</v>
      </c>
      <c r="F1801" s="112">
        <f t="shared" si="412"/>
        <v>17000000</v>
      </c>
      <c r="G1801" s="2">
        <f t="shared" si="419"/>
        <v>855065</v>
      </c>
      <c r="H1801" s="113">
        <f t="shared" si="420"/>
        <v>9.9999999999999998E-13</v>
      </c>
      <c r="I1801" s="121">
        <f t="shared" si="413"/>
        <v>2227667</v>
      </c>
      <c r="K1801" s="123">
        <f t="shared" si="421"/>
        <v>3000000</v>
      </c>
      <c r="L1801" s="111">
        <f t="shared" si="422"/>
        <v>84982</v>
      </c>
      <c r="M1801" s="2">
        <f t="shared" si="423"/>
        <v>2250</v>
      </c>
      <c r="N1801" s="112">
        <f t="shared" si="414"/>
        <v>17000000</v>
      </c>
      <c r="O1801" s="2">
        <f t="shared" si="424"/>
        <v>855065</v>
      </c>
      <c r="P1801" s="113">
        <f t="shared" si="425"/>
        <v>9.9999999999999998E-13</v>
      </c>
      <c r="Q1801" s="121">
        <f t="shared" si="415"/>
        <v>2227667</v>
      </c>
    </row>
    <row r="1802" spans="2:17" hidden="1" x14ac:dyDescent="0.4">
      <c r="B1802" s="110">
        <v>45723</v>
      </c>
      <c r="C1802" s="122">
        <f t="shared" si="416"/>
        <v>3000000</v>
      </c>
      <c r="D1802" s="111">
        <f t="shared" si="417"/>
        <v>84982</v>
      </c>
      <c r="E1802" s="2">
        <f t="shared" si="418"/>
        <v>2250</v>
      </c>
      <c r="F1802" s="112">
        <f t="shared" ref="F1802:F1865" si="426">20000000-C1802</f>
        <v>17000000</v>
      </c>
      <c r="G1802" s="2">
        <f t="shared" si="419"/>
        <v>855065</v>
      </c>
      <c r="H1802" s="113">
        <f t="shared" si="420"/>
        <v>9.9999999999999998E-13</v>
      </c>
      <c r="I1802" s="121">
        <f t="shared" ref="I1802:I1865" si="427">C1802+D1802-G1802-E1802+H1802</f>
        <v>2227667</v>
      </c>
      <c r="K1802" s="123">
        <f t="shared" si="421"/>
        <v>3000000</v>
      </c>
      <c r="L1802" s="111">
        <f t="shared" si="422"/>
        <v>84982</v>
      </c>
      <c r="M1802" s="2">
        <f t="shared" si="423"/>
        <v>2250</v>
      </c>
      <c r="N1802" s="112">
        <f t="shared" ref="N1802:N1865" si="428">20000000-K1802</f>
        <v>17000000</v>
      </c>
      <c r="O1802" s="2">
        <f t="shared" si="424"/>
        <v>855065</v>
      </c>
      <c r="P1802" s="113">
        <f t="shared" si="425"/>
        <v>9.9999999999999998E-13</v>
      </c>
      <c r="Q1802" s="121">
        <f t="shared" ref="Q1802:Q1865" si="429">K1802+L1802-O1802-M1802+P1802</f>
        <v>2227667</v>
      </c>
    </row>
    <row r="1803" spans="2:17" hidden="1" x14ac:dyDescent="0.4">
      <c r="B1803" s="110">
        <v>45724</v>
      </c>
      <c r="C1803" s="122">
        <f t="shared" ref="C1803:C1866" si="430">SUMIF($B$6:$B$75,$B1803,$D$6:$D$75)+C1802</f>
        <v>3000000</v>
      </c>
      <c r="D1803" s="111">
        <f t="shared" ref="D1803:D1866" si="431">SUMIF($B$6:$B$75,$B1803,$E$6:$E$75)+D1802</f>
        <v>84982</v>
      </c>
      <c r="E1803" s="2">
        <f t="shared" ref="E1803:E1866" si="432">SUMIF($G$353:$G$376,$B1803,$J$353:$J$376)+SUMIF($E$353:$E$376,$B1803,$H$353:$H$376)+SUMIF($G$353:$G$376,$B1803,$I$353:$I$376)+E1802</f>
        <v>2250</v>
      </c>
      <c r="F1803" s="112">
        <f t="shared" si="426"/>
        <v>17000000</v>
      </c>
      <c r="G1803" s="2">
        <f t="shared" ref="G1803:G1866" si="433">SUMIF($E$353:$E$376,$B1803,$M$353:$M$376)+G1802</f>
        <v>855065</v>
      </c>
      <c r="H1803" s="113">
        <f t="shared" ref="H1803:H1866" si="434">SUMIF($G$353:$G$376,$B1803,$N$353:$N$376)+H1802</f>
        <v>9.9999999999999998E-13</v>
      </c>
      <c r="I1803" s="121">
        <f t="shared" si="427"/>
        <v>2227667</v>
      </c>
      <c r="K1803" s="123">
        <f t="shared" ref="K1803:K1866" si="435">SUMIF($B$6:$B$75,$B1803,$D$6:$D$75)+K1802</f>
        <v>3000000</v>
      </c>
      <c r="L1803" s="111">
        <f t="shared" ref="L1803:L1866" si="436">SUMIF($B$6:$B$75,$B1803,$E$6:$E$75)+L1802</f>
        <v>84982</v>
      </c>
      <c r="M1803" s="2">
        <f t="shared" ref="M1803:M1866" si="437">SUMIF($G$353:$G$376,$B1803,$J$353:$J$376)+SUMIF($E$353:$E$376,$B1803,$H$353:$H$376)+SUMIF($G$353:$G$376,$B1803,$I$353:$I$376)+M1802</f>
        <v>2250</v>
      </c>
      <c r="N1803" s="112">
        <f t="shared" si="428"/>
        <v>17000000</v>
      </c>
      <c r="O1803" s="2">
        <f t="shared" ref="O1803:O1866" si="438">SUMIF($E$353:$E$376,$B1803,$M$353:$M$376)+O1802</f>
        <v>855065</v>
      </c>
      <c r="P1803" s="113">
        <f t="shared" ref="P1803:P1866" si="439">SUMIF($G$353:$G$376,$B1803,$N$353:$N$376)+P1802</f>
        <v>9.9999999999999998E-13</v>
      </c>
      <c r="Q1803" s="121">
        <f t="shared" si="429"/>
        <v>2227667</v>
      </c>
    </row>
    <row r="1804" spans="2:17" hidden="1" x14ac:dyDescent="0.4">
      <c r="B1804" s="110">
        <v>45725</v>
      </c>
      <c r="C1804" s="122">
        <f t="shared" si="430"/>
        <v>3000000</v>
      </c>
      <c r="D1804" s="111">
        <f t="shared" si="431"/>
        <v>84982</v>
      </c>
      <c r="E1804" s="2">
        <f t="shared" si="432"/>
        <v>2250</v>
      </c>
      <c r="F1804" s="112">
        <f t="shared" si="426"/>
        <v>17000000</v>
      </c>
      <c r="G1804" s="2">
        <f t="shared" si="433"/>
        <v>855065</v>
      </c>
      <c r="H1804" s="113">
        <f t="shared" si="434"/>
        <v>9.9999999999999998E-13</v>
      </c>
      <c r="I1804" s="121">
        <f t="shared" si="427"/>
        <v>2227667</v>
      </c>
      <c r="K1804" s="123">
        <f t="shared" si="435"/>
        <v>3000000</v>
      </c>
      <c r="L1804" s="111">
        <f t="shared" si="436"/>
        <v>84982</v>
      </c>
      <c r="M1804" s="2">
        <f t="shared" si="437"/>
        <v>2250</v>
      </c>
      <c r="N1804" s="112">
        <f t="shared" si="428"/>
        <v>17000000</v>
      </c>
      <c r="O1804" s="2">
        <f t="shared" si="438"/>
        <v>855065</v>
      </c>
      <c r="P1804" s="113">
        <f t="shared" si="439"/>
        <v>9.9999999999999998E-13</v>
      </c>
      <c r="Q1804" s="121">
        <f t="shared" si="429"/>
        <v>2227667</v>
      </c>
    </row>
    <row r="1805" spans="2:17" hidden="1" x14ac:dyDescent="0.4">
      <c r="B1805" s="110">
        <v>45726</v>
      </c>
      <c r="C1805" s="122">
        <f t="shared" si="430"/>
        <v>3000000</v>
      </c>
      <c r="D1805" s="111">
        <f t="shared" si="431"/>
        <v>84982</v>
      </c>
      <c r="E1805" s="2">
        <f t="shared" si="432"/>
        <v>2250</v>
      </c>
      <c r="F1805" s="112">
        <f t="shared" si="426"/>
        <v>17000000</v>
      </c>
      <c r="G1805" s="2">
        <f t="shared" si="433"/>
        <v>855065</v>
      </c>
      <c r="H1805" s="113">
        <f t="shared" si="434"/>
        <v>9.9999999999999998E-13</v>
      </c>
      <c r="I1805" s="121">
        <f t="shared" si="427"/>
        <v>2227667</v>
      </c>
      <c r="K1805" s="123">
        <f t="shared" si="435"/>
        <v>3000000</v>
      </c>
      <c r="L1805" s="111">
        <f t="shared" si="436"/>
        <v>84982</v>
      </c>
      <c r="M1805" s="2">
        <f t="shared" si="437"/>
        <v>2250</v>
      </c>
      <c r="N1805" s="112">
        <f t="shared" si="428"/>
        <v>17000000</v>
      </c>
      <c r="O1805" s="2">
        <f t="shared" si="438"/>
        <v>855065</v>
      </c>
      <c r="P1805" s="113">
        <f t="shared" si="439"/>
        <v>9.9999999999999998E-13</v>
      </c>
      <c r="Q1805" s="121">
        <f t="shared" si="429"/>
        <v>2227667</v>
      </c>
    </row>
    <row r="1806" spans="2:17" hidden="1" x14ac:dyDescent="0.4">
      <c r="B1806" s="110">
        <v>45727</v>
      </c>
      <c r="C1806" s="122">
        <f t="shared" si="430"/>
        <v>3000000</v>
      </c>
      <c r="D1806" s="111">
        <f t="shared" si="431"/>
        <v>84982</v>
      </c>
      <c r="E1806" s="2">
        <f t="shared" si="432"/>
        <v>2250</v>
      </c>
      <c r="F1806" s="112">
        <f t="shared" si="426"/>
        <v>17000000</v>
      </c>
      <c r="G1806" s="2">
        <f t="shared" si="433"/>
        <v>855065</v>
      </c>
      <c r="H1806" s="113">
        <f t="shared" si="434"/>
        <v>9.9999999999999998E-13</v>
      </c>
      <c r="I1806" s="121">
        <f t="shared" si="427"/>
        <v>2227667</v>
      </c>
      <c r="K1806" s="123">
        <f t="shared" si="435"/>
        <v>3000000</v>
      </c>
      <c r="L1806" s="111">
        <f t="shared" si="436"/>
        <v>84982</v>
      </c>
      <c r="M1806" s="2">
        <f t="shared" si="437"/>
        <v>2250</v>
      </c>
      <c r="N1806" s="112">
        <f t="shared" si="428"/>
        <v>17000000</v>
      </c>
      <c r="O1806" s="2">
        <f t="shared" si="438"/>
        <v>855065</v>
      </c>
      <c r="P1806" s="113">
        <f t="shared" si="439"/>
        <v>9.9999999999999998E-13</v>
      </c>
      <c r="Q1806" s="121">
        <f t="shared" si="429"/>
        <v>2227667</v>
      </c>
    </row>
    <row r="1807" spans="2:17" hidden="1" x14ac:dyDescent="0.4">
      <c r="B1807" s="110">
        <v>45728</v>
      </c>
      <c r="C1807" s="122">
        <f t="shared" si="430"/>
        <v>3000000</v>
      </c>
      <c r="D1807" s="111">
        <f t="shared" si="431"/>
        <v>84982</v>
      </c>
      <c r="E1807" s="2">
        <f t="shared" si="432"/>
        <v>2250</v>
      </c>
      <c r="F1807" s="112">
        <f t="shared" si="426"/>
        <v>17000000</v>
      </c>
      <c r="G1807" s="2">
        <f t="shared" si="433"/>
        <v>855065</v>
      </c>
      <c r="H1807" s="113">
        <f t="shared" si="434"/>
        <v>9.9999999999999998E-13</v>
      </c>
      <c r="I1807" s="121">
        <f t="shared" si="427"/>
        <v>2227667</v>
      </c>
      <c r="K1807" s="123">
        <f t="shared" si="435"/>
        <v>3000000</v>
      </c>
      <c r="L1807" s="111">
        <f t="shared" si="436"/>
        <v>84982</v>
      </c>
      <c r="M1807" s="2">
        <f t="shared" si="437"/>
        <v>2250</v>
      </c>
      <c r="N1807" s="112">
        <f t="shared" si="428"/>
        <v>17000000</v>
      </c>
      <c r="O1807" s="2">
        <f t="shared" si="438"/>
        <v>855065</v>
      </c>
      <c r="P1807" s="113">
        <f t="shared" si="439"/>
        <v>9.9999999999999998E-13</v>
      </c>
      <c r="Q1807" s="121">
        <f t="shared" si="429"/>
        <v>2227667</v>
      </c>
    </row>
    <row r="1808" spans="2:17" hidden="1" x14ac:dyDescent="0.4">
      <c r="B1808" s="110">
        <v>45729</v>
      </c>
      <c r="C1808" s="122">
        <f t="shared" si="430"/>
        <v>3000000</v>
      </c>
      <c r="D1808" s="111">
        <f t="shared" si="431"/>
        <v>84982</v>
      </c>
      <c r="E1808" s="2">
        <f t="shared" si="432"/>
        <v>2250</v>
      </c>
      <c r="F1808" s="112">
        <f t="shared" si="426"/>
        <v>17000000</v>
      </c>
      <c r="G1808" s="2">
        <f t="shared" si="433"/>
        <v>855065</v>
      </c>
      <c r="H1808" s="113">
        <f t="shared" si="434"/>
        <v>9.9999999999999998E-13</v>
      </c>
      <c r="I1808" s="121">
        <f t="shared" si="427"/>
        <v>2227667</v>
      </c>
      <c r="K1808" s="123">
        <f t="shared" si="435"/>
        <v>3000000</v>
      </c>
      <c r="L1808" s="111">
        <f t="shared" si="436"/>
        <v>84982</v>
      </c>
      <c r="M1808" s="2">
        <f t="shared" si="437"/>
        <v>2250</v>
      </c>
      <c r="N1808" s="112">
        <f t="shared" si="428"/>
        <v>17000000</v>
      </c>
      <c r="O1808" s="2">
        <f t="shared" si="438"/>
        <v>855065</v>
      </c>
      <c r="P1808" s="113">
        <f t="shared" si="439"/>
        <v>9.9999999999999998E-13</v>
      </c>
      <c r="Q1808" s="121">
        <f t="shared" si="429"/>
        <v>2227667</v>
      </c>
    </row>
    <row r="1809" spans="2:17" hidden="1" x14ac:dyDescent="0.4">
      <c r="B1809" s="110">
        <v>45730</v>
      </c>
      <c r="C1809" s="122">
        <f t="shared" si="430"/>
        <v>3000000</v>
      </c>
      <c r="D1809" s="111">
        <f t="shared" si="431"/>
        <v>84982</v>
      </c>
      <c r="E1809" s="2">
        <f t="shared" si="432"/>
        <v>2250</v>
      </c>
      <c r="F1809" s="112">
        <f t="shared" si="426"/>
        <v>17000000</v>
      </c>
      <c r="G1809" s="2">
        <f t="shared" si="433"/>
        <v>855065</v>
      </c>
      <c r="H1809" s="113">
        <f t="shared" si="434"/>
        <v>9.9999999999999998E-13</v>
      </c>
      <c r="I1809" s="121">
        <f t="shared" si="427"/>
        <v>2227667</v>
      </c>
      <c r="K1809" s="123">
        <f t="shared" si="435"/>
        <v>3000000</v>
      </c>
      <c r="L1809" s="111">
        <f t="shared" si="436"/>
        <v>84982</v>
      </c>
      <c r="M1809" s="2">
        <f t="shared" si="437"/>
        <v>2250</v>
      </c>
      <c r="N1809" s="112">
        <f t="shared" si="428"/>
        <v>17000000</v>
      </c>
      <c r="O1809" s="2">
        <f t="shared" si="438"/>
        <v>855065</v>
      </c>
      <c r="P1809" s="113">
        <f t="shared" si="439"/>
        <v>9.9999999999999998E-13</v>
      </c>
      <c r="Q1809" s="121">
        <f t="shared" si="429"/>
        <v>2227667</v>
      </c>
    </row>
    <row r="1810" spans="2:17" hidden="1" x14ac:dyDescent="0.4">
      <c r="B1810" s="110">
        <v>45731</v>
      </c>
      <c r="C1810" s="122">
        <f t="shared" si="430"/>
        <v>3000000</v>
      </c>
      <c r="D1810" s="111">
        <f t="shared" si="431"/>
        <v>84982</v>
      </c>
      <c r="E1810" s="2">
        <f t="shared" si="432"/>
        <v>2250</v>
      </c>
      <c r="F1810" s="112">
        <f t="shared" si="426"/>
        <v>17000000</v>
      </c>
      <c r="G1810" s="2">
        <f t="shared" si="433"/>
        <v>855065</v>
      </c>
      <c r="H1810" s="113">
        <f t="shared" si="434"/>
        <v>9.9999999999999998E-13</v>
      </c>
      <c r="I1810" s="121">
        <f t="shared" si="427"/>
        <v>2227667</v>
      </c>
      <c r="K1810" s="123">
        <f t="shared" si="435"/>
        <v>3000000</v>
      </c>
      <c r="L1810" s="111">
        <f t="shared" si="436"/>
        <v>84982</v>
      </c>
      <c r="M1810" s="2">
        <f t="shared" si="437"/>
        <v>2250</v>
      </c>
      <c r="N1810" s="112">
        <f t="shared" si="428"/>
        <v>17000000</v>
      </c>
      <c r="O1810" s="2">
        <f t="shared" si="438"/>
        <v>855065</v>
      </c>
      <c r="P1810" s="113">
        <f t="shared" si="439"/>
        <v>9.9999999999999998E-13</v>
      </c>
      <c r="Q1810" s="121">
        <f t="shared" si="429"/>
        <v>2227667</v>
      </c>
    </row>
    <row r="1811" spans="2:17" hidden="1" x14ac:dyDescent="0.4">
      <c r="B1811" s="110">
        <v>45732</v>
      </c>
      <c r="C1811" s="122">
        <f t="shared" si="430"/>
        <v>3000000</v>
      </c>
      <c r="D1811" s="111">
        <f t="shared" si="431"/>
        <v>84982</v>
      </c>
      <c r="E1811" s="2">
        <f t="shared" si="432"/>
        <v>2250</v>
      </c>
      <c r="F1811" s="112">
        <f t="shared" si="426"/>
        <v>17000000</v>
      </c>
      <c r="G1811" s="2">
        <f t="shared" si="433"/>
        <v>855065</v>
      </c>
      <c r="H1811" s="113">
        <f t="shared" si="434"/>
        <v>9.9999999999999998E-13</v>
      </c>
      <c r="I1811" s="121">
        <f t="shared" si="427"/>
        <v>2227667</v>
      </c>
      <c r="K1811" s="123">
        <f t="shared" si="435"/>
        <v>3000000</v>
      </c>
      <c r="L1811" s="111">
        <f t="shared" si="436"/>
        <v>84982</v>
      </c>
      <c r="M1811" s="2">
        <f t="shared" si="437"/>
        <v>2250</v>
      </c>
      <c r="N1811" s="112">
        <f t="shared" si="428"/>
        <v>17000000</v>
      </c>
      <c r="O1811" s="2">
        <f t="shared" si="438"/>
        <v>855065</v>
      </c>
      <c r="P1811" s="113">
        <f t="shared" si="439"/>
        <v>9.9999999999999998E-13</v>
      </c>
      <c r="Q1811" s="121">
        <f t="shared" si="429"/>
        <v>2227667</v>
      </c>
    </row>
    <row r="1812" spans="2:17" hidden="1" x14ac:dyDescent="0.4">
      <c r="B1812" s="110">
        <v>45733</v>
      </c>
      <c r="C1812" s="122">
        <f t="shared" si="430"/>
        <v>3000000</v>
      </c>
      <c r="D1812" s="111">
        <f t="shared" si="431"/>
        <v>84982</v>
      </c>
      <c r="E1812" s="2">
        <f t="shared" si="432"/>
        <v>2250</v>
      </c>
      <c r="F1812" s="112">
        <f t="shared" si="426"/>
        <v>17000000</v>
      </c>
      <c r="G1812" s="2">
        <f t="shared" si="433"/>
        <v>855065</v>
      </c>
      <c r="H1812" s="113">
        <f t="shared" si="434"/>
        <v>9.9999999999999998E-13</v>
      </c>
      <c r="I1812" s="121">
        <f t="shared" si="427"/>
        <v>2227667</v>
      </c>
      <c r="K1812" s="123">
        <f t="shared" si="435"/>
        <v>3000000</v>
      </c>
      <c r="L1812" s="111">
        <f t="shared" si="436"/>
        <v>84982</v>
      </c>
      <c r="M1812" s="2">
        <f t="shared" si="437"/>
        <v>2250</v>
      </c>
      <c r="N1812" s="112">
        <f t="shared" si="428"/>
        <v>17000000</v>
      </c>
      <c r="O1812" s="2">
        <f t="shared" si="438"/>
        <v>855065</v>
      </c>
      <c r="P1812" s="113">
        <f t="shared" si="439"/>
        <v>9.9999999999999998E-13</v>
      </c>
      <c r="Q1812" s="121">
        <f t="shared" si="429"/>
        <v>2227667</v>
      </c>
    </row>
    <row r="1813" spans="2:17" hidden="1" x14ac:dyDescent="0.4">
      <c r="B1813" s="110">
        <v>45734</v>
      </c>
      <c r="C1813" s="122">
        <f t="shared" si="430"/>
        <v>3000000</v>
      </c>
      <c r="D1813" s="111">
        <f t="shared" si="431"/>
        <v>84982</v>
      </c>
      <c r="E1813" s="2">
        <f t="shared" si="432"/>
        <v>2250</v>
      </c>
      <c r="F1813" s="112">
        <f t="shared" si="426"/>
        <v>17000000</v>
      </c>
      <c r="G1813" s="2">
        <f t="shared" si="433"/>
        <v>855065</v>
      </c>
      <c r="H1813" s="113">
        <f t="shared" si="434"/>
        <v>9.9999999999999998E-13</v>
      </c>
      <c r="I1813" s="121">
        <f t="shared" si="427"/>
        <v>2227667</v>
      </c>
      <c r="K1813" s="123">
        <f t="shared" si="435"/>
        <v>3000000</v>
      </c>
      <c r="L1813" s="111">
        <f t="shared" si="436"/>
        <v>84982</v>
      </c>
      <c r="M1813" s="2">
        <f t="shared" si="437"/>
        <v>2250</v>
      </c>
      <c r="N1813" s="112">
        <f t="shared" si="428"/>
        <v>17000000</v>
      </c>
      <c r="O1813" s="2">
        <f t="shared" si="438"/>
        <v>855065</v>
      </c>
      <c r="P1813" s="113">
        <f t="shared" si="439"/>
        <v>9.9999999999999998E-13</v>
      </c>
      <c r="Q1813" s="121">
        <f t="shared" si="429"/>
        <v>2227667</v>
      </c>
    </row>
    <row r="1814" spans="2:17" hidden="1" x14ac:dyDescent="0.4">
      <c r="B1814" s="110">
        <v>45735</v>
      </c>
      <c r="C1814" s="122">
        <f t="shared" si="430"/>
        <v>3000000</v>
      </c>
      <c r="D1814" s="111">
        <f t="shared" si="431"/>
        <v>84982</v>
      </c>
      <c r="E1814" s="2">
        <f t="shared" si="432"/>
        <v>2250</v>
      </c>
      <c r="F1814" s="112">
        <f t="shared" si="426"/>
        <v>17000000</v>
      </c>
      <c r="G1814" s="2">
        <f t="shared" si="433"/>
        <v>855065</v>
      </c>
      <c r="H1814" s="113">
        <f t="shared" si="434"/>
        <v>9.9999999999999998E-13</v>
      </c>
      <c r="I1814" s="121">
        <f t="shared" si="427"/>
        <v>2227667</v>
      </c>
      <c r="K1814" s="123">
        <f t="shared" si="435"/>
        <v>3000000</v>
      </c>
      <c r="L1814" s="111">
        <f t="shared" si="436"/>
        <v>84982</v>
      </c>
      <c r="M1814" s="2">
        <f t="shared" si="437"/>
        <v>2250</v>
      </c>
      <c r="N1814" s="112">
        <f t="shared" si="428"/>
        <v>17000000</v>
      </c>
      <c r="O1814" s="2">
        <f t="shared" si="438"/>
        <v>855065</v>
      </c>
      <c r="P1814" s="113">
        <f t="shared" si="439"/>
        <v>9.9999999999999998E-13</v>
      </c>
      <c r="Q1814" s="121">
        <f t="shared" si="429"/>
        <v>2227667</v>
      </c>
    </row>
    <row r="1815" spans="2:17" hidden="1" x14ac:dyDescent="0.4">
      <c r="B1815" s="110">
        <v>45736</v>
      </c>
      <c r="C1815" s="122">
        <f t="shared" si="430"/>
        <v>3000000</v>
      </c>
      <c r="D1815" s="111">
        <f t="shared" si="431"/>
        <v>84982</v>
      </c>
      <c r="E1815" s="2">
        <f t="shared" si="432"/>
        <v>2250</v>
      </c>
      <c r="F1815" s="112">
        <f t="shared" si="426"/>
        <v>17000000</v>
      </c>
      <c r="G1815" s="2">
        <f t="shared" si="433"/>
        <v>855065</v>
      </c>
      <c r="H1815" s="113">
        <f t="shared" si="434"/>
        <v>9.9999999999999998E-13</v>
      </c>
      <c r="I1815" s="121">
        <f t="shared" si="427"/>
        <v>2227667</v>
      </c>
      <c r="K1815" s="123">
        <f t="shared" si="435"/>
        <v>3000000</v>
      </c>
      <c r="L1815" s="111">
        <f t="shared" si="436"/>
        <v>84982</v>
      </c>
      <c r="M1815" s="2">
        <f t="shared" si="437"/>
        <v>2250</v>
      </c>
      <c r="N1815" s="112">
        <f t="shared" si="428"/>
        <v>17000000</v>
      </c>
      <c r="O1815" s="2">
        <f t="shared" si="438"/>
        <v>855065</v>
      </c>
      <c r="P1815" s="113">
        <f t="shared" si="439"/>
        <v>9.9999999999999998E-13</v>
      </c>
      <c r="Q1815" s="121">
        <f t="shared" si="429"/>
        <v>2227667</v>
      </c>
    </row>
    <row r="1816" spans="2:17" hidden="1" x14ac:dyDescent="0.4">
      <c r="B1816" s="110">
        <v>45737</v>
      </c>
      <c r="C1816" s="122">
        <f t="shared" si="430"/>
        <v>3000000</v>
      </c>
      <c r="D1816" s="111">
        <f t="shared" si="431"/>
        <v>84982</v>
      </c>
      <c r="E1816" s="2">
        <f t="shared" si="432"/>
        <v>2250</v>
      </c>
      <c r="F1816" s="112">
        <f t="shared" si="426"/>
        <v>17000000</v>
      </c>
      <c r="G1816" s="2">
        <f t="shared" si="433"/>
        <v>855065</v>
      </c>
      <c r="H1816" s="113">
        <f t="shared" si="434"/>
        <v>9.9999999999999998E-13</v>
      </c>
      <c r="I1816" s="121">
        <f t="shared" si="427"/>
        <v>2227667</v>
      </c>
      <c r="K1816" s="123">
        <f t="shared" si="435"/>
        <v>3000000</v>
      </c>
      <c r="L1816" s="111">
        <f t="shared" si="436"/>
        <v>84982</v>
      </c>
      <c r="M1816" s="2">
        <f t="shared" si="437"/>
        <v>2250</v>
      </c>
      <c r="N1816" s="112">
        <f t="shared" si="428"/>
        <v>17000000</v>
      </c>
      <c r="O1816" s="2">
        <f t="shared" si="438"/>
        <v>855065</v>
      </c>
      <c r="P1816" s="113">
        <f t="shared" si="439"/>
        <v>9.9999999999999998E-13</v>
      </c>
      <c r="Q1816" s="121">
        <f t="shared" si="429"/>
        <v>2227667</v>
      </c>
    </row>
    <row r="1817" spans="2:17" hidden="1" x14ac:dyDescent="0.4">
      <c r="B1817" s="110">
        <v>45738</v>
      </c>
      <c r="C1817" s="122">
        <f t="shared" si="430"/>
        <v>3000000</v>
      </c>
      <c r="D1817" s="111">
        <f t="shared" si="431"/>
        <v>84982</v>
      </c>
      <c r="E1817" s="2">
        <f t="shared" si="432"/>
        <v>2250</v>
      </c>
      <c r="F1817" s="112">
        <f t="shared" si="426"/>
        <v>17000000</v>
      </c>
      <c r="G1817" s="2">
        <f t="shared" si="433"/>
        <v>855065</v>
      </c>
      <c r="H1817" s="113">
        <f t="shared" si="434"/>
        <v>9.9999999999999998E-13</v>
      </c>
      <c r="I1817" s="121">
        <f t="shared" si="427"/>
        <v>2227667</v>
      </c>
      <c r="K1817" s="123">
        <f t="shared" si="435"/>
        <v>3000000</v>
      </c>
      <c r="L1817" s="111">
        <f t="shared" si="436"/>
        <v>84982</v>
      </c>
      <c r="M1817" s="2">
        <f t="shared" si="437"/>
        <v>2250</v>
      </c>
      <c r="N1817" s="112">
        <f t="shared" si="428"/>
        <v>17000000</v>
      </c>
      <c r="O1817" s="2">
        <f t="shared" si="438"/>
        <v>855065</v>
      </c>
      <c r="P1817" s="113">
        <f t="shared" si="439"/>
        <v>9.9999999999999998E-13</v>
      </c>
      <c r="Q1817" s="121">
        <f t="shared" si="429"/>
        <v>2227667</v>
      </c>
    </row>
    <row r="1818" spans="2:17" hidden="1" x14ac:dyDescent="0.4">
      <c r="B1818" s="110">
        <v>45739</v>
      </c>
      <c r="C1818" s="122">
        <f t="shared" si="430"/>
        <v>3000000</v>
      </c>
      <c r="D1818" s="111">
        <f t="shared" si="431"/>
        <v>84982</v>
      </c>
      <c r="E1818" s="2">
        <f t="shared" si="432"/>
        <v>2250</v>
      </c>
      <c r="F1818" s="112">
        <f t="shared" si="426"/>
        <v>17000000</v>
      </c>
      <c r="G1818" s="2">
        <f t="shared" si="433"/>
        <v>855065</v>
      </c>
      <c r="H1818" s="113">
        <f t="shared" si="434"/>
        <v>9.9999999999999998E-13</v>
      </c>
      <c r="I1818" s="121">
        <f t="shared" si="427"/>
        <v>2227667</v>
      </c>
      <c r="K1818" s="123">
        <f t="shared" si="435"/>
        <v>3000000</v>
      </c>
      <c r="L1818" s="111">
        <f t="shared" si="436"/>
        <v>84982</v>
      </c>
      <c r="M1818" s="2">
        <f t="shared" si="437"/>
        <v>2250</v>
      </c>
      <c r="N1818" s="112">
        <f t="shared" si="428"/>
        <v>17000000</v>
      </c>
      <c r="O1818" s="2">
        <f t="shared" si="438"/>
        <v>855065</v>
      </c>
      <c r="P1818" s="113">
        <f t="shared" si="439"/>
        <v>9.9999999999999998E-13</v>
      </c>
      <c r="Q1818" s="121">
        <f t="shared" si="429"/>
        <v>2227667</v>
      </c>
    </row>
    <row r="1819" spans="2:17" hidden="1" x14ac:dyDescent="0.4">
      <c r="B1819" s="110">
        <v>45740</v>
      </c>
      <c r="C1819" s="122">
        <f t="shared" si="430"/>
        <v>3000000</v>
      </c>
      <c r="D1819" s="111">
        <f t="shared" si="431"/>
        <v>84982</v>
      </c>
      <c r="E1819" s="2">
        <f t="shared" si="432"/>
        <v>2250</v>
      </c>
      <c r="F1819" s="112">
        <f t="shared" si="426"/>
        <v>17000000</v>
      </c>
      <c r="G1819" s="2">
        <f t="shared" si="433"/>
        <v>855065</v>
      </c>
      <c r="H1819" s="113">
        <f t="shared" si="434"/>
        <v>9.9999999999999998E-13</v>
      </c>
      <c r="I1819" s="121">
        <f t="shared" si="427"/>
        <v>2227667</v>
      </c>
      <c r="K1819" s="123">
        <f t="shared" si="435"/>
        <v>3000000</v>
      </c>
      <c r="L1819" s="111">
        <f t="shared" si="436"/>
        <v>84982</v>
      </c>
      <c r="M1819" s="2">
        <f t="shared" si="437"/>
        <v>2250</v>
      </c>
      <c r="N1819" s="112">
        <f t="shared" si="428"/>
        <v>17000000</v>
      </c>
      <c r="O1819" s="2">
        <f t="shared" si="438"/>
        <v>855065</v>
      </c>
      <c r="P1819" s="113">
        <f t="shared" si="439"/>
        <v>9.9999999999999998E-13</v>
      </c>
      <c r="Q1819" s="121">
        <f t="shared" si="429"/>
        <v>2227667</v>
      </c>
    </row>
    <row r="1820" spans="2:17" hidden="1" x14ac:dyDescent="0.4">
      <c r="B1820" s="110">
        <v>45741</v>
      </c>
      <c r="C1820" s="122">
        <f t="shared" si="430"/>
        <v>3000000</v>
      </c>
      <c r="D1820" s="111">
        <f t="shared" si="431"/>
        <v>84982</v>
      </c>
      <c r="E1820" s="2">
        <f t="shared" si="432"/>
        <v>2250</v>
      </c>
      <c r="F1820" s="112">
        <f t="shared" si="426"/>
        <v>17000000</v>
      </c>
      <c r="G1820" s="2">
        <f t="shared" si="433"/>
        <v>855065</v>
      </c>
      <c r="H1820" s="113">
        <f t="shared" si="434"/>
        <v>9.9999999999999998E-13</v>
      </c>
      <c r="I1820" s="121">
        <f t="shared" si="427"/>
        <v>2227667</v>
      </c>
      <c r="K1820" s="123">
        <f t="shared" si="435"/>
        <v>3000000</v>
      </c>
      <c r="L1820" s="111">
        <f t="shared" si="436"/>
        <v>84982</v>
      </c>
      <c r="M1820" s="2">
        <f t="shared" si="437"/>
        <v>2250</v>
      </c>
      <c r="N1820" s="112">
        <f t="shared" si="428"/>
        <v>17000000</v>
      </c>
      <c r="O1820" s="2">
        <f t="shared" si="438"/>
        <v>855065</v>
      </c>
      <c r="P1820" s="113">
        <f t="shared" si="439"/>
        <v>9.9999999999999998E-13</v>
      </c>
      <c r="Q1820" s="121">
        <f t="shared" si="429"/>
        <v>2227667</v>
      </c>
    </row>
    <row r="1821" spans="2:17" hidden="1" x14ac:dyDescent="0.4">
      <c r="B1821" s="110">
        <v>45742</v>
      </c>
      <c r="C1821" s="122">
        <f t="shared" si="430"/>
        <v>3000000</v>
      </c>
      <c r="D1821" s="111">
        <f t="shared" si="431"/>
        <v>84982</v>
      </c>
      <c r="E1821" s="2">
        <f t="shared" si="432"/>
        <v>2250</v>
      </c>
      <c r="F1821" s="112">
        <f t="shared" si="426"/>
        <v>17000000</v>
      </c>
      <c r="G1821" s="2">
        <f t="shared" si="433"/>
        <v>855065</v>
      </c>
      <c r="H1821" s="113">
        <f t="shared" si="434"/>
        <v>9.9999999999999998E-13</v>
      </c>
      <c r="I1821" s="121">
        <f t="shared" si="427"/>
        <v>2227667</v>
      </c>
      <c r="K1821" s="123">
        <f t="shared" si="435"/>
        <v>3000000</v>
      </c>
      <c r="L1821" s="111">
        <f t="shared" si="436"/>
        <v>84982</v>
      </c>
      <c r="M1821" s="2">
        <f t="shared" si="437"/>
        <v>2250</v>
      </c>
      <c r="N1821" s="112">
        <f t="shared" si="428"/>
        <v>17000000</v>
      </c>
      <c r="O1821" s="2">
        <f t="shared" si="438"/>
        <v>855065</v>
      </c>
      <c r="P1821" s="113">
        <f t="shared" si="439"/>
        <v>9.9999999999999998E-13</v>
      </c>
      <c r="Q1821" s="121">
        <f t="shared" si="429"/>
        <v>2227667</v>
      </c>
    </row>
    <row r="1822" spans="2:17" hidden="1" x14ac:dyDescent="0.4">
      <c r="B1822" s="110">
        <v>45743</v>
      </c>
      <c r="C1822" s="122">
        <f t="shared" si="430"/>
        <v>3000000</v>
      </c>
      <c r="D1822" s="111">
        <f t="shared" si="431"/>
        <v>84982</v>
      </c>
      <c r="E1822" s="2">
        <f t="shared" si="432"/>
        <v>2250</v>
      </c>
      <c r="F1822" s="112">
        <f t="shared" si="426"/>
        <v>17000000</v>
      </c>
      <c r="G1822" s="2">
        <f t="shared" si="433"/>
        <v>855065</v>
      </c>
      <c r="H1822" s="113">
        <f t="shared" si="434"/>
        <v>9.9999999999999998E-13</v>
      </c>
      <c r="I1822" s="121">
        <f t="shared" si="427"/>
        <v>2227667</v>
      </c>
      <c r="K1822" s="123">
        <f t="shared" si="435"/>
        <v>3000000</v>
      </c>
      <c r="L1822" s="111">
        <f t="shared" si="436"/>
        <v>84982</v>
      </c>
      <c r="M1822" s="2">
        <f t="shared" si="437"/>
        <v>2250</v>
      </c>
      <c r="N1822" s="112">
        <f t="shared" si="428"/>
        <v>17000000</v>
      </c>
      <c r="O1822" s="2">
        <f t="shared" si="438"/>
        <v>855065</v>
      </c>
      <c r="P1822" s="113">
        <f t="shared" si="439"/>
        <v>9.9999999999999998E-13</v>
      </c>
      <c r="Q1822" s="121">
        <f t="shared" si="429"/>
        <v>2227667</v>
      </c>
    </row>
    <row r="1823" spans="2:17" hidden="1" x14ac:dyDescent="0.4">
      <c r="B1823" s="110">
        <v>45744</v>
      </c>
      <c r="C1823" s="122">
        <f t="shared" si="430"/>
        <v>3000000</v>
      </c>
      <c r="D1823" s="111">
        <f t="shared" si="431"/>
        <v>84982</v>
      </c>
      <c r="E1823" s="2">
        <f t="shared" si="432"/>
        <v>2250</v>
      </c>
      <c r="F1823" s="112">
        <f t="shared" si="426"/>
        <v>17000000</v>
      </c>
      <c r="G1823" s="2">
        <f t="shared" si="433"/>
        <v>855065</v>
      </c>
      <c r="H1823" s="113">
        <f t="shared" si="434"/>
        <v>9.9999999999999998E-13</v>
      </c>
      <c r="I1823" s="121">
        <f t="shared" si="427"/>
        <v>2227667</v>
      </c>
      <c r="K1823" s="123">
        <f t="shared" si="435"/>
        <v>3000000</v>
      </c>
      <c r="L1823" s="111">
        <f t="shared" si="436"/>
        <v>84982</v>
      </c>
      <c r="M1823" s="2">
        <f t="shared" si="437"/>
        <v>2250</v>
      </c>
      <c r="N1823" s="112">
        <f t="shared" si="428"/>
        <v>17000000</v>
      </c>
      <c r="O1823" s="2">
        <f t="shared" si="438"/>
        <v>855065</v>
      </c>
      <c r="P1823" s="113">
        <f t="shared" si="439"/>
        <v>9.9999999999999998E-13</v>
      </c>
      <c r="Q1823" s="121">
        <f t="shared" si="429"/>
        <v>2227667</v>
      </c>
    </row>
    <row r="1824" spans="2:17" hidden="1" x14ac:dyDescent="0.4">
      <c r="B1824" s="110">
        <v>45745</v>
      </c>
      <c r="C1824" s="122">
        <f t="shared" si="430"/>
        <v>3000000</v>
      </c>
      <c r="D1824" s="111">
        <f t="shared" si="431"/>
        <v>84982</v>
      </c>
      <c r="E1824" s="2">
        <f t="shared" si="432"/>
        <v>2250</v>
      </c>
      <c r="F1824" s="112">
        <f t="shared" si="426"/>
        <v>17000000</v>
      </c>
      <c r="G1824" s="2">
        <f t="shared" si="433"/>
        <v>855065</v>
      </c>
      <c r="H1824" s="113">
        <f t="shared" si="434"/>
        <v>9.9999999999999998E-13</v>
      </c>
      <c r="I1824" s="121">
        <f t="shared" si="427"/>
        <v>2227667</v>
      </c>
      <c r="K1824" s="123">
        <f t="shared" si="435"/>
        <v>3000000</v>
      </c>
      <c r="L1824" s="111">
        <f t="shared" si="436"/>
        <v>84982</v>
      </c>
      <c r="M1824" s="2">
        <f t="shared" si="437"/>
        <v>2250</v>
      </c>
      <c r="N1824" s="112">
        <f t="shared" si="428"/>
        <v>17000000</v>
      </c>
      <c r="O1824" s="2">
        <f t="shared" si="438"/>
        <v>855065</v>
      </c>
      <c r="P1824" s="113">
        <f t="shared" si="439"/>
        <v>9.9999999999999998E-13</v>
      </c>
      <c r="Q1824" s="121">
        <f t="shared" si="429"/>
        <v>2227667</v>
      </c>
    </row>
    <row r="1825" spans="2:17" hidden="1" x14ac:dyDescent="0.4">
      <c r="B1825" s="110">
        <v>45746</v>
      </c>
      <c r="C1825" s="122">
        <f t="shared" si="430"/>
        <v>3000000</v>
      </c>
      <c r="D1825" s="111">
        <f t="shared" si="431"/>
        <v>84982</v>
      </c>
      <c r="E1825" s="2">
        <f t="shared" si="432"/>
        <v>2250</v>
      </c>
      <c r="F1825" s="112">
        <f t="shared" si="426"/>
        <v>17000000</v>
      </c>
      <c r="G1825" s="2">
        <f t="shared" si="433"/>
        <v>855065</v>
      </c>
      <c r="H1825" s="113">
        <f t="shared" si="434"/>
        <v>9.9999999999999998E-13</v>
      </c>
      <c r="I1825" s="121">
        <f t="shared" si="427"/>
        <v>2227667</v>
      </c>
      <c r="K1825" s="123">
        <f t="shared" si="435"/>
        <v>3000000</v>
      </c>
      <c r="L1825" s="111">
        <f t="shared" si="436"/>
        <v>84982</v>
      </c>
      <c r="M1825" s="2">
        <f t="shared" si="437"/>
        <v>2250</v>
      </c>
      <c r="N1825" s="112">
        <f t="shared" si="428"/>
        <v>17000000</v>
      </c>
      <c r="O1825" s="2">
        <f t="shared" si="438"/>
        <v>855065</v>
      </c>
      <c r="P1825" s="113">
        <f t="shared" si="439"/>
        <v>9.9999999999999998E-13</v>
      </c>
      <c r="Q1825" s="121">
        <f t="shared" si="429"/>
        <v>2227667</v>
      </c>
    </row>
    <row r="1826" spans="2:17" hidden="1" x14ac:dyDescent="0.4">
      <c r="B1826" s="110">
        <v>45747</v>
      </c>
      <c r="C1826" s="122">
        <f t="shared" si="430"/>
        <v>3000000</v>
      </c>
      <c r="D1826" s="111">
        <f t="shared" si="431"/>
        <v>84982</v>
      </c>
      <c r="E1826" s="2">
        <f t="shared" si="432"/>
        <v>2250</v>
      </c>
      <c r="F1826" s="112">
        <f t="shared" si="426"/>
        <v>17000000</v>
      </c>
      <c r="G1826" s="2">
        <f t="shared" si="433"/>
        <v>855065</v>
      </c>
      <c r="H1826" s="113">
        <f t="shared" si="434"/>
        <v>9.9999999999999998E-13</v>
      </c>
      <c r="I1826" s="121">
        <f t="shared" si="427"/>
        <v>2227667</v>
      </c>
      <c r="K1826" s="123">
        <f t="shared" si="435"/>
        <v>3000000</v>
      </c>
      <c r="L1826" s="111">
        <f t="shared" si="436"/>
        <v>84982</v>
      </c>
      <c r="M1826" s="2">
        <f t="shared" si="437"/>
        <v>2250</v>
      </c>
      <c r="N1826" s="112">
        <f t="shared" si="428"/>
        <v>17000000</v>
      </c>
      <c r="O1826" s="2">
        <f t="shared" si="438"/>
        <v>855065</v>
      </c>
      <c r="P1826" s="113">
        <f t="shared" si="439"/>
        <v>9.9999999999999998E-13</v>
      </c>
      <c r="Q1826" s="121">
        <f t="shared" si="429"/>
        <v>2227667</v>
      </c>
    </row>
    <row r="1827" spans="2:17" x14ac:dyDescent="0.4">
      <c r="B1827" s="110">
        <v>45748</v>
      </c>
      <c r="C1827" s="122">
        <f t="shared" si="430"/>
        <v>3000000</v>
      </c>
      <c r="D1827" s="111">
        <f t="shared" si="431"/>
        <v>84982</v>
      </c>
      <c r="E1827" s="2">
        <f t="shared" si="432"/>
        <v>2250</v>
      </c>
      <c r="F1827" s="112">
        <f t="shared" si="426"/>
        <v>17000000</v>
      </c>
      <c r="G1827" s="2">
        <f t="shared" si="433"/>
        <v>855065</v>
      </c>
      <c r="H1827" s="113">
        <f t="shared" si="434"/>
        <v>9.9999999999999998E-13</v>
      </c>
      <c r="I1827" s="121">
        <f t="shared" si="427"/>
        <v>2227667</v>
      </c>
      <c r="K1827" s="123">
        <f t="shared" si="435"/>
        <v>3000000</v>
      </c>
      <c r="L1827" s="111">
        <f t="shared" si="436"/>
        <v>84982</v>
      </c>
      <c r="M1827" s="2">
        <f t="shared" si="437"/>
        <v>2250</v>
      </c>
      <c r="N1827" s="112">
        <f t="shared" si="428"/>
        <v>17000000</v>
      </c>
      <c r="O1827" s="2">
        <f t="shared" si="438"/>
        <v>855065</v>
      </c>
      <c r="P1827" s="113">
        <f t="shared" si="439"/>
        <v>9.9999999999999998E-13</v>
      </c>
      <c r="Q1827" s="121">
        <f t="shared" si="429"/>
        <v>2227667</v>
      </c>
    </row>
    <row r="1828" spans="2:17" hidden="1" x14ac:dyDescent="0.4">
      <c r="B1828" s="110">
        <v>45749</v>
      </c>
      <c r="C1828" s="122">
        <f t="shared" si="430"/>
        <v>3000000</v>
      </c>
      <c r="D1828" s="111">
        <f t="shared" si="431"/>
        <v>84982</v>
      </c>
      <c r="E1828" s="2">
        <f t="shared" si="432"/>
        <v>2250</v>
      </c>
      <c r="F1828" s="112">
        <f t="shared" si="426"/>
        <v>17000000</v>
      </c>
      <c r="G1828" s="2">
        <f t="shared" si="433"/>
        <v>855065</v>
      </c>
      <c r="H1828" s="113">
        <f t="shared" si="434"/>
        <v>9.9999999999999998E-13</v>
      </c>
      <c r="I1828" s="121">
        <f t="shared" si="427"/>
        <v>2227667</v>
      </c>
      <c r="K1828" s="123">
        <f t="shared" si="435"/>
        <v>3000000</v>
      </c>
      <c r="L1828" s="111">
        <f t="shared" si="436"/>
        <v>84982</v>
      </c>
      <c r="M1828" s="2">
        <f t="shared" si="437"/>
        <v>2250</v>
      </c>
      <c r="N1828" s="112">
        <f t="shared" si="428"/>
        <v>17000000</v>
      </c>
      <c r="O1828" s="2">
        <f t="shared" si="438"/>
        <v>855065</v>
      </c>
      <c r="P1828" s="113">
        <f t="shared" si="439"/>
        <v>9.9999999999999998E-13</v>
      </c>
      <c r="Q1828" s="121">
        <f t="shared" si="429"/>
        <v>2227667</v>
      </c>
    </row>
    <row r="1829" spans="2:17" hidden="1" x14ac:dyDescent="0.4">
      <c r="B1829" s="110">
        <v>45750</v>
      </c>
      <c r="C1829" s="122">
        <f t="shared" si="430"/>
        <v>3000000</v>
      </c>
      <c r="D1829" s="111">
        <f t="shared" si="431"/>
        <v>84982</v>
      </c>
      <c r="E1829" s="2">
        <f t="shared" si="432"/>
        <v>2250</v>
      </c>
      <c r="F1829" s="112">
        <f t="shared" si="426"/>
        <v>17000000</v>
      </c>
      <c r="G1829" s="2">
        <f t="shared" si="433"/>
        <v>855065</v>
      </c>
      <c r="H1829" s="113">
        <f t="shared" si="434"/>
        <v>9.9999999999999998E-13</v>
      </c>
      <c r="I1829" s="121">
        <f t="shared" si="427"/>
        <v>2227667</v>
      </c>
      <c r="K1829" s="123">
        <f t="shared" si="435"/>
        <v>3000000</v>
      </c>
      <c r="L1829" s="111">
        <f t="shared" si="436"/>
        <v>84982</v>
      </c>
      <c r="M1829" s="2">
        <f t="shared" si="437"/>
        <v>2250</v>
      </c>
      <c r="N1829" s="112">
        <f t="shared" si="428"/>
        <v>17000000</v>
      </c>
      <c r="O1829" s="2">
        <f t="shared" si="438"/>
        <v>855065</v>
      </c>
      <c r="P1829" s="113">
        <f t="shared" si="439"/>
        <v>9.9999999999999998E-13</v>
      </c>
      <c r="Q1829" s="121">
        <f t="shared" si="429"/>
        <v>2227667</v>
      </c>
    </row>
    <row r="1830" spans="2:17" hidden="1" x14ac:dyDescent="0.4">
      <c r="B1830" s="110">
        <v>45751</v>
      </c>
      <c r="C1830" s="122">
        <f t="shared" si="430"/>
        <v>3000000</v>
      </c>
      <c r="D1830" s="111">
        <f t="shared" si="431"/>
        <v>84982</v>
      </c>
      <c r="E1830" s="2">
        <f t="shared" si="432"/>
        <v>2250</v>
      </c>
      <c r="F1830" s="112">
        <f t="shared" si="426"/>
        <v>17000000</v>
      </c>
      <c r="G1830" s="2">
        <f t="shared" si="433"/>
        <v>855065</v>
      </c>
      <c r="H1830" s="113">
        <f t="shared" si="434"/>
        <v>9.9999999999999998E-13</v>
      </c>
      <c r="I1830" s="121">
        <f t="shared" si="427"/>
        <v>2227667</v>
      </c>
      <c r="K1830" s="123">
        <f t="shared" si="435"/>
        <v>3000000</v>
      </c>
      <c r="L1830" s="111">
        <f t="shared" si="436"/>
        <v>84982</v>
      </c>
      <c r="M1830" s="2">
        <f t="shared" si="437"/>
        <v>2250</v>
      </c>
      <c r="N1830" s="112">
        <f t="shared" si="428"/>
        <v>17000000</v>
      </c>
      <c r="O1830" s="2">
        <f t="shared" si="438"/>
        <v>855065</v>
      </c>
      <c r="P1830" s="113">
        <f t="shared" si="439"/>
        <v>9.9999999999999998E-13</v>
      </c>
      <c r="Q1830" s="121">
        <f t="shared" si="429"/>
        <v>2227667</v>
      </c>
    </row>
    <row r="1831" spans="2:17" hidden="1" x14ac:dyDescent="0.4">
      <c r="B1831" s="110">
        <v>45752</v>
      </c>
      <c r="C1831" s="122">
        <f t="shared" si="430"/>
        <v>3000000</v>
      </c>
      <c r="D1831" s="111">
        <f t="shared" si="431"/>
        <v>84982</v>
      </c>
      <c r="E1831" s="2">
        <f t="shared" si="432"/>
        <v>2250</v>
      </c>
      <c r="F1831" s="112">
        <f t="shared" si="426"/>
        <v>17000000</v>
      </c>
      <c r="G1831" s="2">
        <f t="shared" si="433"/>
        <v>855065</v>
      </c>
      <c r="H1831" s="113">
        <f t="shared" si="434"/>
        <v>9.9999999999999998E-13</v>
      </c>
      <c r="I1831" s="121">
        <f t="shared" si="427"/>
        <v>2227667</v>
      </c>
      <c r="K1831" s="123">
        <f t="shared" si="435"/>
        <v>3000000</v>
      </c>
      <c r="L1831" s="111">
        <f t="shared" si="436"/>
        <v>84982</v>
      </c>
      <c r="M1831" s="2">
        <f t="shared" si="437"/>
        <v>2250</v>
      </c>
      <c r="N1831" s="112">
        <f t="shared" si="428"/>
        <v>17000000</v>
      </c>
      <c r="O1831" s="2">
        <f t="shared" si="438"/>
        <v>855065</v>
      </c>
      <c r="P1831" s="113">
        <f t="shared" si="439"/>
        <v>9.9999999999999998E-13</v>
      </c>
      <c r="Q1831" s="121">
        <f t="shared" si="429"/>
        <v>2227667</v>
      </c>
    </row>
    <row r="1832" spans="2:17" hidden="1" x14ac:dyDescent="0.4">
      <c r="B1832" s="110">
        <v>45753</v>
      </c>
      <c r="C1832" s="122">
        <f t="shared" si="430"/>
        <v>3000000</v>
      </c>
      <c r="D1832" s="111">
        <f t="shared" si="431"/>
        <v>84982</v>
      </c>
      <c r="E1832" s="2">
        <f t="shared" si="432"/>
        <v>2250</v>
      </c>
      <c r="F1832" s="112">
        <f t="shared" si="426"/>
        <v>17000000</v>
      </c>
      <c r="G1832" s="2">
        <f t="shared" si="433"/>
        <v>855065</v>
      </c>
      <c r="H1832" s="113">
        <f t="shared" si="434"/>
        <v>9.9999999999999998E-13</v>
      </c>
      <c r="I1832" s="121">
        <f t="shared" si="427"/>
        <v>2227667</v>
      </c>
      <c r="K1832" s="123">
        <f t="shared" si="435"/>
        <v>3000000</v>
      </c>
      <c r="L1832" s="111">
        <f t="shared" si="436"/>
        <v>84982</v>
      </c>
      <c r="M1832" s="2">
        <f t="shared" si="437"/>
        <v>2250</v>
      </c>
      <c r="N1832" s="112">
        <f t="shared" si="428"/>
        <v>17000000</v>
      </c>
      <c r="O1832" s="2">
        <f t="shared" si="438"/>
        <v>855065</v>
      </c>
      <c r="P1832" s="113">
        <f t="shared" si="439"/>
        <v>9.9999999999999998E-13</v>
      </c>
      <c r="Q1832" s="121">
        <f t="shared" si="429"/>
        <v>2227667</v>
      </c>
    </row>
    <row r="1833" spans="2:17" hidden="1" x14ac:dyDescent="0.4">
      <c r="B1833" s="110">
        <v>45754</v>
      </c>
      <c r="C1833" s="122">
        <f t="shared" si="430"/>
        <v>3000000</v>
      </c>
      <c r="D1833" s="111">
        <f t="shared" si="431"/>
        <v>84982</v>
      </c>
      <c r="E1833" s="2">
        <f t="shared" si="432"/>
        <v>2250</v>
      </c>
      <c r="F1833" s="112">
        <f t="shared" si="426"/>
        <v>17000000</v>
      </c>
      <c r="G1833" s="2">
        <f t="shared" si="433"/>
        <v>855065</v>
      </c>
      <c r="H1833" s="113">
        <f t="shared" si="434"/>
        <v>9.9999999999999998E-13</v>
      </c>
      <c r="I1833" s="121">
        <f t="shared" si="427"/>
        <v>2227667</v>
      </c>
      <c r="K1833" s="123">
        <f t="shared" si="435"/>
        <v>3000000</v>
      </c>
      <c r="L1833" s="111">
        <f t="shared" si="436"/>
        <v>84982</v>
      </c>
      <c r="M1833" s="2">
        <f t="shared" si="437"/>
        <v>2250</v>
      </c>
      <c r="N1833" s="112">
        <f t="shared" si="428"/>
        <v>17000000</v>
      </c>
      <c r="O1833" s="2">
        <f t="shared" si="438"/>
        <v>855065</v>
      </c>
      <c r="P1833" s="113">
        <f t="shared" si="439"/>
        <v>9.9999999999999998E-13</v>
      </c>
      <c r="Q1833" s="121">
        <f t="shared" si="429"/>
        <v>2227667</v>
      </c>
    </row>
    <row r="1834" spans="2:17" hidden="1" x14ac:dyDescent="0.4">
      <c r="B1834" s="110">
        <v>45755</v>
      </c>
      <c r="C1834" s="122">
        <f t="shared" si="430"/>
        <v>3000000</v>
      </c>
      <c r="D1834" s="111">
        <f t="shared" si="431"/>
        <v>84982</v>
      </c>
      <c r="E1834" s="2">
        <f t="shared" si="432"/>
        <v>2250</v>
      </c>
      <c r="F1834" s="112">
        <f t="shared" si="426"/>
        <v>17000000</v>
      </c>
      <c r="G1834" s="2">
        <f t="shared" si="433"/>
        <v>855065</v>
      </c>
      <c r="H1834" s="113">
        <f t="shared" si="434"/>
        <v>9.9999999999999998E-13</v>
      </c>
      <c r="I1834" s="121">
        <f t="shared" si="427"/>
        <v>2227667</v>
      </c>
      <c r="K1834" s="123">
        <f t="shared" si="435"/>
        <v>3000000</v>
      </c>
      <c r="L1834" s="111">
        <f t="shared" si="436"/>
        <v>84982</v>
      </c>
      <c r="M1834" s="2">
        <f t="shared" si="437"/>
        <v>2250</v>
      </c>
      <c r="N1834" s="112">
        <f t="shared" si="428"/>
        <v>17000000</v>
      </c>
      <c r="O1834" s="2">
        <f t="shared" si="438"/>
        <v>855065</v>
      </c>
      <c r="P1834" s="113">
        <f t="shared" si="439"/>
        <v>9.9999999999999998E-13</v>
      </c>
      <c r="Q1834" s="121">
        <f t="shared" si="429"/>
        <v>2227667</v>
      </c>
    </row>
    <row r="1835" spans="2:17" hidden="1" x14ac:dyDescent="0.4">
      <c r="B1835" s="110">
        <v>45756</v>
      </c>
      <c r="C1835" s="122">
        <f t="shared" si="430"/>
        <v>3000000</v>
      </c>
      <c r="D1835" s="111">
        <f t="shared" si="431"/>
        <v>86782</v>
      </c>
      <c r="E1835" s="2">
        <f t="shared" si="432"/>
        <v>2250</v>
      </c>
      <c r="F1835" s="112">
        <f t="shared" si="426"/>
        <v>17000000</v>
      </c>
      <c r="G1835" s="2">
        <f t="shared" si="433"/>
        <v>855065</v>
      </c>
      <c r="H1835" s="113">
        <f t="shared" si="434"/>
        <v>9.9999999999999998E-13</v>
      </c>
      <c r="I1835" s="121">
        <f t="shared" si="427"/>
        <v>2229467</v>
      </c>
      <c r="K1835" s="123">
        <f t="shared" si="435"/>
        <v>3000000</v>
      </c>
      <c r="L1835" s="111">
        <f t="shared" si="436"/>
        <v>86782</v>
      </c>
      <c r="M1835" s="2">
        <f t="shared" si="437"/>
        <v>2250</v>
      </c>
      <c r="N1835" s="112">
        <f t="shared" si="428"/>
        <v>17000000</v>
      </c>
      <c r="O1835" s="2">
        <f t="shared" si="438"/>
        <v>855065</v>
      </c>
      <c r="P1835" s="113">
        <f t="shared" si="439"/>
        <v>9.9999999999999998E-13</v>
      </c>
      <c r="Q1835" s="121">
        <f t="shared" si="429"/>
        <v>2229467</v>
      </c>
    </row>
    <row r="1836" spans="2:17" hidden="1" x14ac:dyDescent="0.4">
      <c r="B1836" s="110">
        <v>45757</v>
      </c>
      <c r="C1836" s="122">
        <f t="shared" si="430"/>
        <v>3000000</v>
      </c>
      <c r="D1836" s="111">
        <f t="shared" si="431"/>
        <v>86782</v>
      </c>
      <c r="E1836" s="2">
        <f t="shared" si="432"/>
        <v>2250</v>
      </c>
      <c r="F1836" s="112">
        <f t="shared" si="426"/>
        <v>17000000</v>
      </c>
      <c r="G1836" s="2">
        <f t="shared" si="433"/>
        <v>855065</v>
      </c>
      <c r="H1836" s="113">
        <f t="shared" si="434"/>
        <v>9.9999999999999998E-13</v>
      </c>
      <c r="I1836" s="121">
        <f t="shared" si="427"/>
        <v>2229467</v>
      </c>
      <c r="K1836" s="123">
        <f t="shared" si="435"/>
        <v>3000000</v>
      </c>
      <c r="L1836" s="111">
        <f t="shared" si="436"/>
        <v>86782</v>
      </c>
      <c r="M1836" s="2">
        <f t="shared" si="437"/>
        <v>2250</v>
      </c>
      <c r="N1836" s="112">
        <f t="shared" si="428"/>
        <v>17000000</v>
      </c>
      <c r="O1836" s="2">
        <f t="shared" si="438"/>
        <v>855065</v>
      </c>
      <c r="P1836" s="113">
        <f t="shared" si="439"/>
        <v>9.9999999999999998E-13</v>
      </c>
      <c r="Q1836" s="121">
        <f t="shared" si="429"/>
        <v>2229467</v>
      </c>
    </row>
    <row r="1837" spans="2:17" hidden="1" x14ac:dyDescent="0.4">
      <c r="B1837" s="110">
        <v>45758</v>
      </c>
      <c r="C1837" s="122">
        <f t="shared" si="430"/>
        <v>3000000</v>
      </c>
      <c r="D1837" s="111">
        <f t="shared" si="431"/>
        <v>86782</v>
      </c>
      <c r="E1837" s="2">
        <f t="shared" si="432"/>
        <v>2250</v>
      </c>
      <c r="F1837" s="112">
        <f t="shared" si="426"/>
        <v>17000000</v>
      </c>
      <c r="G1837" s="2">
        <f t="shared" si="433"/>
        <v>855065</v>
      </c>
      <c r="H1837" s="113">
        <f t="shared" si="434"/>
        <v>9.9999999999999998E-13</v>
      </c>
      <c r="I1837" s="121">
        <f t="shared" si="427"/>
        <v>2229467</v>
      </c>
      <c r="K1837" s="123">
        <f t="shared" si="435"/>
        <v>3000000</v>
      </c>
      <c r="L1837" s="111">
        <f t="shared" si="436"/>
        <v>86782</v>
      </c>
      <c r="M1837" s="2">
        <f t="shared" si="437"/>
        <v>2250</v>
      </c>
      <c r="N1837" s="112">
        <f t="shared" si="428"/>
        <v>17000000</v>
      </c>
      <c r="O1837" s="2">
        <f t="shared" si="438"/>
        <v>855065</v>
      </c>
      <c r="P1837" s="113">
        <f t="shared" si="439"/>
        <v>9.9999999999999998E-13</v>
      </c>
      <c r="Q1837" s="121">
        <f t="shared" si="429"/>
        <v>2229467</v>
      </c>
    </row>
    <row r="1838" spans="2:17" hidden="1" x14ac:dyDescent="0.4">
      <c r="B1838" s="110">
        <v>45759</v>
      </c>
      <c r="C1838" s="122">
        <f t="shared" si="430"/>
        <v>3000000</v>
      </c>
      <c r="D1838" s="111">
        <f t="shared" si="431"/>
        <v>86782</v>
      </c>
      <c r="E1838" s="2">
        <f t="shared" si="432"/>
        <v>2250</v>
      </c>
      <c r="F1838" s="112">
        <f t="shared" si="426"/>
        <v>17000000</v>
      </c>
      <c r="G1838" s="2">
        <f t="shared" si="433"/>
        <v>855065</v>
      </c>
      <c r="H1838" s="113">
        <f t="shared" si="434"/>
        <v>9.9999999999999998E-13</v>
      </c>
      <c r="I1838" s="121">
        <f t="shared" si="427"/>
        <v>2229467</v>
      </c>
      <c r="K1838" s="123">
        <f t="shared" si="435"/>
        <v>3000000</v>
      </c>
      <c r="L1838" s="111">
        <f t="shared" si="436"/>
        <v>86782</v>
      </c>
      <c r="M1838" s="2">
        <f t="shared" si="437"/>
        <v>2250</v>
      </c>
      <c r="N1838" s="112">
        <f t="shared" si="428"/>
        <v>17000000</v>
      </c>
      <c r="O1838" s="2">
        <f t="shared" si="438"/>
        <v>855065</v>
      </c>
      <c r="P1838" s="113">
        <f t="shared" si="439"/>
        <v>9.9999999999999998E-13</v>
      </c>
      <c r="Q1838" s="121">
        <f t="shared" si="429"/>
        <v>2229467</v>
      </c>
    </row>
    <row r="1839" spans="2:17" hidden="1" x14ac:dyDescent="0.4">
      <c r="B1839" s="110">
        <v>45760</v>
      </c>
      <c r="C1839" s="122">
        <f t="shared" si="430"/>
        <v>3000000</v>
      </c>
      <c r="D1839" s="111">
        <f t="shared" si="431"/>
        <v>86782</v>
      </c>
      <c r="E1839" s="2">
        <f t="shared" si="432"/>
        <v>2250</v>
      </c>
      <c r="F1839" s="112">
        <f t="shared" si="426"/>
        <v>17000000</v>
      </c>
      <c r="G1839" s="2">
        <f t="shared" si="433"/>
        <v>855065</v>
      </c>
      <c r="H1839" s="113">
        <f t="shared" si="434"/>
        <v>9.9999999999999998E-13</v>
      </c>
      <c r="I1839" s="121">
        <f t="shared" si="427"/>
        <v>2229467</v>
      </c>
      <c r="K1839" s="123">
        <f t="shared" si="435"/>
        <v>3000000</v>
      </c>
      <c r="L1839" s="111">
        <f t="shared" si="436"/>
        <v>86782</v>
      </c>
      <c r="M1839" s="2">
        <f t="shared" si="437"/>
        <v>2250</v>
      </c>
      <c r="N1839" s="112">
        <f t="shared" si="428"/>
        <v>17000000</v>
      </c>
      <c r="O1839" s="2">
        <f t="shared" si="438"/>
        <v>855065</v>
      </c>
      <c r="P1839" s="113">
        <f t="shared" si="439"/>
        <v>9.9999999999999998E-13</v>
      </c>
      <c r="Q1839" s="121">
        <f t="shared" si="429"/>
        <v>2229467</v>
      </c>
    </row>
    <row r="1840" spans="2:17" hidden="1" x14ac:dyDescent="0.4">
      <c r="B1840" s="110">
        <v>45761</v>
      </c>
      <c r="C1840" s="122">
        <f t="shared" si="430"/>
        <v>3000000</v>
      </c>
      <c r="D1840" s="111">
        <f t="shared" si="431"/>
        <v>86782</v>
      </c>
      <c r="E1840" s="2">
        <f t="shared" si="432"/>
        <v>2250</v>
      </c>
      <c r="F1840" s="112">
        <f t="shared" si="426"/>
        <v>17000000</v>
      </c>
      <c r="G1840" s="2">
        <f t="shared" si="433"/>
        <v>855065</v>
      </c>
      <c r="H1840" s="113">
        <f t="shared" si="434"/>
        <v>9.9999999999999998E-13</v>
      </c>
      <c r="I1840" s="121">
        <f t="shared" si="427"/>
        <v>2229467</v>
      </c>
      <c r="K1840" s="123">
        <f t="shared" si="435"/>
        <v>3000000</v>
      </c>
      <c r="L1840" s="111">
        <f t="shared" si="436"/>
        <v>86782</v>
      </c>
      <c r="M1840" s="2">
        <f t="shared" si="437"/>
        <v>2250</v>
      </c>
      <c r="N1840" s="112">
        <f t="shared" si="428"/>
        <v>17000000</v>
      </c>
      <c r="O1840" s="2">
        <f t="shared" si="438"/>
        <v>855065</v>
      </c>
      <c r="P1840" s="113">
        <f t="shared" si="439"/>
        <v>9.9999999999999998E-13</v>
      </c>
      <c r="Q1840" s="121">
        <f t="shared" si="429"/>
        <v>2229467</v>
      </c>
    </row>
    <row r="1841" spans="2:17" hidden="1" x14ac:dyDescent="0.4">
      <c r="B1841" s="110">
        <v>45762</v>
      </c>
      <c r="C1841" s="122">
        <f t="shared" si="430"/>
        <v>3000000</v>
      </c>
      <c r="D1841" s="111">
        <f t="shared" si="431"/>
        <v>86782</v>
      </c>
      <c r="E1841" s="2">
        <f t="shared" si="432"/>
        <v>2250</v>
      </c>
      <c r="F1841" s="112">
        <f t="shared" si="426"/>
        <v>17000000</v>
      </c>
      <c r="G1841" s="2">
        <f t="shared" si="433"/>
        <v>855065</v>
      </c>
      <c r="H1841" s="113">
        <f t="shared" si="434"/>
        <v>9.9999999999999998E-13</v>
      </c>
      <c r="I1841" s="121">
        <f t="shared" si="427"/>
        <v>2229467</v>
      </c>
      <c r="K1841" s="123">
        <f t="shared" si="435"/>
        <v>3000000</v>
      </c>
      <c r="L1841" s="111">
        <f t="shared" si="436"/>
        <v>86782</v>
      </c>
      <c r="M1841" s="2">
        <f t="shared" si="437"/>
        <v>2250</v>
      </c>
      <c r="N1841" s="112">
        <f t="shared" si="428"/>
        <v>17000000</v>
      </c>
      <c r="O1841" s="2">
        <f t="shared" si="438"/>
        <v>855065</v>
      </c>
      <c r="P1841" s="113">
        <f t="shared" si="439"/>
        <v>9.9999999999999998E-13</v>
      </c>
      <c r="Q1841" s="121">
        <f t="shared" si="429"/>
        <v>2229467</v>
      </c>
    </row>
    <row r="1842" spans="2:17" hidden="1" x14ac:dyDescent="0.4">
      <c r="B1842" s="110">
        <v>45763</v>
      </c>
      <c r="C1842" s="122">
        <f t="shared" si="430"/>
        <v>3000000</v>
      </c>
      <c r="D1842" s="111">
        <f t="shared" si="431"/>
        <v>86782</v>
      </c>
      <c r="E1842" s="2">
        <f t="shared" si="432"/>
        <v>2250</v>
      </c>
      <c r="F1842" s="112">
        <f t="shared" si="426"/>
        <v>17000000</v>
      </c>
      <c r="G1842" s="2">
        <f t="shared" si="433"/>
        <v>855065</v>
      </c>
      <c r="H1842" s="113">
        <f t="shared" si="434"/>
        <v>9.9999999999999998E-13</v>
      </c>
      <c r="I1842" s="121">
        <f t="shared" si="427"/>
        <v>2229467</v>
      </c>
      <c r="K1842" s="123">
        <f t="shared" si="435"/>
        <v>3000000</v>
      </c>
      <c r="L1842" s="111">
        <f t="shared" si="436"/>
        <v>86782</v>
      </c>
      <c r="M1842" s="2">
        <f t="shared" si="437"/>
        <v>2250</v>
      </c>
      <c r="N1842" s="112">
        <f t="shared" si="428"/>
        <v>17000000</v>
      </c>
      <c r="O1842" s="2">
        <f t="shared" si="438"/>
        <v>855065</v>
      </c>
      <c r="P1842" s="113">
        <f t="shared" si="439"/>
        <v>9.9999999999999998E-13</v>
      </c>
      <c r="Q1842" s="121">
        <f t="shared" si="429"/>
        <v>2229467</v>
      </c>
    </row>
    <row r="1843" spans="2:17" hidden="1" x14ac:dyDescent="0.4">
      <c r="B1843" s="110">
        <v>45764</v>
      </c>
      <c r="C1843" s="122">
        <f t="shared" si="430"/>
        <v>3000000</v>
      </c>
      <c r="D1843" s="111">
        <f t="shared" si="431"/>
        <v>86782</v>
      </c>
      <c r="E1843" s="2">
        <f t="shared" si="432"/>
        <v>2250</v>
      </c>
      <c r="F1843" s="112">
        <f t="shared" si="426"/>
        <v>17000000</v>
      </c>
      <c r="G1843" s="2">
        <f t="shared" si="433"/>
        <v>855065</v>
      </c>
      <c r="H1843" s="113">
        <f t="shared" si="434"/>
        <v>9.9999999999999998E-13</v>
      </c>
      <c r="I1843" s="121">
        <f t="shared" si="427"/>
        <v>2229467</v>
      </c>
      <c r="K1843" s="123">
        <f t="shared" si="435"/>
        <v>3000000</v>
      </c>
      <c r="L1843" s="111">
        <f t="shared" si="436"/>
        <v>86782</v>
      </c>
      <c r="M1843" s="2">
        <f t="shared" si="437"/>
        <v>2250</v>
      </c>
      <c r="N1843" s="112">
        <f t="shared" si="428"/>
        <v>17000000</v>
      </c>
      <c r="O1843" s="2">
        <f t="shared" si="438"/>
        <v>855065</v>
      </c>
      <c r="P1843" s="113">
        <f t="shared" si="439"/>
        <v>9.9999999999999998E-13</v>
      </c>
      <c r="Q1843" s="121">
        <f t="shared" si="429"/>
        <v>2229467</v>
      </c>
    </row>
    <row r="1844" spans="2:17" hidden="1" x14ac:dyDescent="0.4">
      <c r="B1844" s="110">
        <v>45765</v>
      </c>
      <c r="C1844" s="122">
        <f t="shared" si="430"/>
        <v>3000000</v>
      </c>
      <c r="D1844" s="111">
        <f t="shared" si="431"/>
        <v>88966</v>
      </c>
      <c r="E1844" s="2">
        <f t="shared" si="432"/>
        <v>2250</v>
      </c>
      <c r="F1844" s="112">
        <f t="shared" si="426"/>
        <v>17000000</v>
      </c>
      <c r="G1844" s="2">
        <f t="shared" si="433"/>
        <v>855065</v>
      </c>
      <c r="H1844" s="113">
        <f t="shared" si="434"/>
        <v>9.9999999999999998E-13</v>
      </c>
      <c r="I1844" s="121">
        <f t="shared" si="427"/>
        <v>2231651</v>
      </c>
      <c r="K1844" s="123">
        <f t="shared" si="435"/>
        <v>3000000</v>
      </c>
      <c r="L1844" s="111">
        <f t="shared" si="436"/>
        <v>88966</v>
      </c>
      <c r="M1844" s="2">
        <f t="shared" si="437"/>
        <v>2250</v>
      </c>
      <c r="N1844" s="112">
        <f t="shared" si="428"/>
        <v>17000000</v>
      </c>
      <c r="O1844" s="2">
        <f t="shared" si="438"/>
        <v>855065</v>
      </c>
      <c r="P1844" s="113">
        <f t="shared" si="439"/>
        <v>9.9999999999999998E-13</v>
      </c>
      <c r="Q1844" s="121">
        <f t="shared" si="429"/>
        <v>2231651</v>
      </c>
    </row>
    <row r="1845" spans="2:17" hidden="1" x14ac:dyDescent="0.4">
      <c r="B1845" s="110">
        <v>45766</v>
      </c>
      <c r="C1845" s="122">
        <f t="shared" si="430"/>
        <v>3000000</v>
      </c>
      <c r="D1845" s="111">
        <f t="shared" si="431"/>
        <v>88966</v>
      </c>
      <c r="E1845" s="2">
        <f t="shared" si="432"/>
        <v>2250</v>
      </c>
      <c r="F1845" s="112">
        <f t="shared" si="426"/>
        <v>17000000</v>
      </c>
      <c r="G1845" s="2">
        <f t="shared" si="433"/>
        <v>855065</v>
      </c>
      <c r="H1845" s="113">
        <f t="shared" si="434"/>
        <v>9.9999999999999998E-13</v>
      </c>
      <c r="I1845" s="121">
        <f t="shared" si="427"/>
        <v>2231651</v>
      </c>
      <c r="K1845" s="123">
        <f t="shared" si="435"/>
        <v>3000000</v>
      </c>
      <c r="L1845" s="111">
        <f t="shared" si="436"/>
        <v>88966</v>
      </c>
      <c r="M1845" s="2">
        <f t="shared" si="437"/>
        <v>2250</v>
      </c>
      <c r="N1845" s="112">
        <f t="shared" si="428"/>
        <v>17000000</v>
      </c>
      <c r="O1845" s="2">
        <f t="shared" si="438"/>
        <v>855065</v>
      </c>
      <c r="P1845" s="113">
        <f t="shared" si="439"/>
        <v>9.9999999999999998E-13</v>
      </c>
      <c r="Q1845" s="121">
        <f t="shared" si="429"/>
        <v>2231651</v>
      </c>
    </row>
    <row r="1846" spans="2:17" hidden="1" x14ac:dyDescent="0.4">
      <c r="B1846" s="110">
        <v>45767</v>
      </c>
      <c r="C1846" s="122">
        <f t="shared" si="430"/>
        <v>3000000</v>
      </c>
      <c r="D1846" s="111">
        <f t="shared" si="431"/>
        <v>88966</v>
      </c>
      <c r="E1846" s="2">
        <f t="shared" si="432"/>
        <v>2250</v>
      </c>
      <c r="F1846" s="112">
        <f t="shared" si="426"/>
        <v>17000000</v>
      </c>
      <c r="G1846" s="2">
        <f t="shared" si="433"/>
        <v>855065</v>
      </c>
      <c r="H1846" s="113">
        <f t="shared" si="434"/>
        <v>9.9999999999999998E-13</v>
      </c>
      <c r="I1846" s="121">
        <f t="shared" si="427"/>
        <v>2231651</v>
      </c>
      <c r="K1846" s="123">
        <f t="shared" si="435"/>
        <v>3000000</v>
      </c>
      <c r="L1846" s="111">
        <f t="shared" si="436"/>
        <v>88966</v>
      </c>
      <c r="M1846" s="2">
        <f t="shared" si="437"/>
        <v>2250</v>
      </c>
      <c r="N1846" s="112">
        <f t="shared" si="428"/>
        <v>17000000</v>
      </c>
      <c r="O1846" s="2">
        <f t="shared" si="438"/>
        <v>855065</v>
      </c>
      <c r="P1846" s="113">
        <f t="shared" si="439"/>
        <v>9.9999999999999998E-13</v>
      </c>
      <c r="Q1846" s="121">
        <f t="shared" si="429"/>
        <v>2231651</v>
      </c>
    </row>
    <row r="1847" spans="2:17" hidden="1" x14ac:dyDescent="0.4">
      <c r="B1847" s="110">
        <v>45768</v>
      </c>
      <c r="C1847" s="122">
        <f t="shared" si="430"/>
        <v>3000000</v>
      </c>
      <c r="D1847" s="111">
        <f t="shared" si="431"/>
        <v>88966</v>
      </c>
      <c r="E1847" s="2">
        <f t="shared" si="432"/>
        <v>2250</v>
      </c>
      <c r="F1847" s="112">
        <f t="shared" si="426"/>
        <v>17000000</v>
      </c>
      <c r="G1847" s="2">
        <f t="shared" si="433"/>
        <v>855065</v>
      </c>
      <c r="H1847" s="113">
        <f t="shared" si="434"/>
        <v>9.9999999999999998E-13</v>
      </c>
      <c r="I1847" s="121">
        <f t="shared" si="427"/>
        <v>2231651</v>
      </c>
      <c r="K1847" s="123">
        <f t="shared" si="435"/>
        <v>3000000</v>
      </c>
      <c r="L1847" s="111">
        <f t="shared" si="436"/>
        <v>88966</v>
      </c>
      <c r="M1847" s="2">
        <f t="shared" si="437"/>
        <v>2250</v>
      </c>
      <c r="N1847" s="112">
        <f t="shared" si="428"/>
        <v>17000000</v>
      </c>
      <c r="O1847" s="2">
        <f t="shared" si="438"/>
        <v>855065</v>
      </c>
      <c r="P1847" s="113">
        <f t="shared" si="439"/>
        <v>9.9999999999999998E-13</v>
      </c>
      <c r="Q1847" s="121">
        <f t="shared" si="429"/>
        <v>2231651</v>
      </c>
    </row>
    <row r="1848" spans="2:17" hidden="1" x14ac:dyDescent="0.4">
      <c r="B1848" s="110">
        <v>45769</v>
      </c>
      <c r="C1848" s="122">
        <f t="shared" si="430"/>
        <v>3000000</v>
      </c>
      <c r="D1848" s="111">
        <f t="shared" si="431"/>
        <v>88966</v>
      </c>
      <c r="E1848" s="2">
        <f t="shared" si="432"/>
        <v>2250</v>
      </c>
      <c r="F1848" s="112">
        <f t="shared" si="426"/>
        <v>17000000</v>
      </c>
      <c r="G1848" s="2">
        <f t="shared" si="433"/>
        <v>855065</v>
      </c>
      <c r="H1848" s="113">
        <f t="shared" si="434"/>
        <v>9.9999999999999998E-13</v>
      </c>
      <c r="I1848" s="121">
        <f t="shared" si="427"/>
        <v>2231651</v>
      </c>
      <c r="K1848" s="123">
        <f t="shared" si="435"/>
        <v>3000000</v>
      </c>
      <c r="L1848" s="111">
        <f t="shared" si="436"/>
        <v>88966</v>
      </c>
      <c r="M1848" s="2">
        <f t="shared" si="437"/>
        <v>2250</v>
      </c>
      <c r="N1848" s="112">
        <f t="shared" si="428"/>
        <v>17000000</v>
      </c>
      <c r="O1848" s="2">
        <f t="shared" si="438"/>
        <v>855065</v>
      </c>
      <c r="P1848" s="113">
        <f t="shared" si="439"/>
        <v>9.9999999999999998E-13</v>
      </c>
      <c r="Q1848" s="121">
        <f t="shared" si="429"/>
        <v>2231651</v>
      </c>
    </row>
    <row r="1849" spans="2:17" hidden="1" x14ac:dyDescent="0.4">
      <c r="B1849" s="110">
        <v>45770</v>
      </c>
      <c r="C1849" s="122">
        <f t="shared" si="430"/>
        <v>3000000</v>
      </c>
      <c r="D1849" s="111">
        <f t="shared" si="431"/>
        <v>88966</v>
      </c>
      <c r="E1849" s="2">
        <f t="shared" si="432"/>
        <v>2250</v>
      </c>
      <c r="F1849" s="112">
        <f t="shared" si="426"/>
        <v>17000000</v>
      </c>
      <c r="G1849" s="2">
        <f t="shared" si="433"/>
        <v>855065</v>
      </c>
      <c r="H1849" s="113">
        <f t="shared" si="434"/>
        <v>9.9999999999999998E-13</v>
      </c>
      <c r="I1849" s="121">
        <f t="shared" si="427"/>
        <v>2231651</v>
      </c>
      <c r="K1849" s="123">
        <f t="shared" si="435"/>
        <v>3000000</v>
      </c>
      <c r="L1849" s="111">
        <f t="shared" si="436"/>
        <v>88966</v>
      </c>
      <c r="M1849" s="2">
        <f t="shared" si="437"/>
        <v>2250</v>
      </c>
      <c r="N1849" s="112">
        <f t="shared" si="428"/>
        <v>17000000</v>
      </c>
      <c r="O1849" s="2">
        <f t="shared" si="438"/>
        <v>855065</v>
      </c>
      <c r="P1849" s="113">
        <f t="shared" si="439"/>
        <v>9.9999999999999998E-13</v>
      </c>
      <c r="Q1849" s="121">
        <f t="shared" si="429"/>
        <v>2231651</v>
      </c>
    </row>
    <row r="1850" spans="2:17" hidden="1" x14ac:dyDescent="0.4">
      <c r="B1850" s="110">
        <v>45771</v>
      </c>
      <c r="C1850" s="122">
        <f t="shared" si="430"/>
        <v>3000000</v>
      </c>
      <c r="D1850" s="111">
        <f t="shared" si="431"/>
        <v>89988</v>
      </c>
      <c r="E1850" s="2">
        <f t="shared" si="432"/>
        <v>2250</v>
      </c>
      <c r="F1850" s="112">
        <f t="shared" si="426"/>
        <v>17000000</v>
      </c>
      <c r="G1850" s="2">
        <f t="shared" si="433"/>
        <v>855065</v>
      </c>
      <c r="H1850" s="113">
        <f t="shared" si="434"/>
        <v>9.9999999999999998E-13</v>
      </c>
      <c r="I1850" s="121">
        <f t="shared" si="427"/>
        <v>2232673</v>
      </c>
      <c r="K1850" s="123">
        <f t="shared" si="435"/>
        <v>3000000</v>
      </c>
      <c r="L1850" s="111">
        <f t="shared" si="436"/>
        <v>89988</v>
      </c>
      <c r="M1850" s="2">
        <f t="shared" si="437"/>
        <v>2250</v>
      </c>
      <c r="N1850" s="112">
        <f t="shared" si="428"/>
        <v>17000000</v>
      </c>
      <c r="O1850" s="2">
        <f t="shared" si="438"/>
        <v>855065</v>
      </c>
      <c r="P1850" s="113">
        <f t="shared" si="439"/>
        <v>9.9999999999999998E-13</v>
      </c>
      <c r="Q1850" s="121">
        <f t="shared" si="429"/>
        <v>2232673</v>
      </c>
    </row>
    <row r="1851" spans="2:17" hidden="1" x14ac:dyDescent="0.4">
      <c r="B1851" s="110">
        <v>45772</v>
      </c>
      <c r="C1851" s="122">
        <f t="shared" si="430"/>
        <v>3000000</v>
      </c>
      <c r="D1851" s="111">
        <f t="shared" si="431"/>
        <v>89988</v>
      </c>
      <c r="E1851" s="2">
        <f t="shared" si="432"/>
        <v>2250</v>
      </c>
      <c r="F1851" s="112">
        <f t="shared" si="426"/>
        <v>17000000</v>
      </c>
      <c r="G1851" s="2">
        <f t="shared" si="433"/>
        <v>855065</v>
      </c>
      <c r="H1851" s="113">
        <f t="shared" si="434"/>
        <v>9.9999999999999998E-13</v>
      </c>
      <c r="I1851" s="121">
        <f t="shared" si="427"/>
        <v>2232673</v>
      </c>
      <c r="K1851" s="123">
        <f t="shared" si="435"/>
        <v>3000000</v>
      </c>
      <c r="L1851" s="111">
        <f t="shared" si="436"/>
        <v>89988</v>
      </c>
      <c r="M1851" s="2">
        <f t="shared" si="437"/>
        <v>2250</v>
      </c>
      <c r="N1851" s="112">
        <f t="shared" si="428"/>
        <v>17000000</v>
      </c>
      <c r="O1851" s="2">
        <f t="shared" si="438"/>
        <v>855065</v>
      </c>
      <c r="P1851" s="113">
        <f t="shared" si="439"/>
        <v>9.9999999999999998E-13</v>
      </c>
      <c r="Q1851" s="121">
        <f t="shared" si="429"/>
        <v>2232673</v>
      </c>
    </row>
    <row r="1852" spans="2:17" hidden="1" x14ac:dyDescent="0.4">
      <c r="B1852" s="110">
        <v>45773</v>
      </c>
      <c r="C1852" s="122">
        <f t="shared" si="430"/>
        <v>3000000</v>
      </c>
      <c r="D1852" s="111">
        <f t="shared" si="431"/>
        <v>89988</v>
      </c>
      <c r="E1852" s="2">
        <f t="shared" si="432"/>
        <v>2250</v>
      </c>
      <c r="F1852" s="112">
        <f t="shared" si="426"/>
        <v>17000000</v>
      </c>
      <c r="G1852" s="2">
        <f t="shared" si="433"/>
        <v>855065</v>
      </c>
      <c r="H1852" s="113">
        <f t="shared" si="434"/>
        <v>9.9999999999999998E-13</v>
      </c>
      <c r="I1852" s="121">
        <f t="shared" si="427"/>
        <v>2232673</v>
      </c>
      <c r="K1852" s="123">
        <f t="shared" si="435"/>
        <v>3000000</v>
      </c>
      <c r="L1852" s="111">
        <f t="shared" si="436"/>
        <v>89988</v>
      </c>
      <c r="M1852" s="2">
        <f t="shared" si="437"/>
        <v>2250</v>
      </c>
      <c r="N1852" s="112">
        <f t="shared" si="428"/>
        <v>17000000</v>
      </c>
      <c r="O1852" s="2">
        <f t="shared" si="438"/>
        <v>855065</v>
      </c>
      <c r="P1852" s="113">
        <f t="shared" si="439"/>
        <v>9.9999999999999998E-13</v>
      </c>
      <c r="Q1852" s="121">
        <f t="shared" si="429"/>
        <v>2232673</v>
      </c>
    </row>
    <row r="1853" spans="2:17" hidden="1" x14ac:dyDescent="0.4">
      <c r="B1853" s="110">
        <v>45774</v>
      </c>
      <c r="C1853" s="122">
        <f t="shared" si="430"/>
        <v>3000000</v>
      </c>
      <c r="D1853" s="111">
        <f t="shared" si="431"/>
        <v>89988</v>
      </c>
      <c r="E1853" s="2">
        <f t="shared" si="432"/>
        <v>2250</v>
      </c>
      <c r="F1853" s="112">
        <f t="shared" si="426"/>
        <v>17000000</v>
      </c>
      <c r="G1853" s="2">
        <f t="shared" si="433"/>
        <v>855065</v>
      </c>
      <c r="H1853" s="113">
        <f t="shared" si="434"/>
        <v>9.9999999999999998E-13</v>
      </c>
      <c r="I1853" s="121">
        <f t="shared" si="427"/>
        <v>2232673</v>
      </c>
      <c r="K1853" s="123">
        <f t="shared" si="435"/>
        <v>3000000</v>
      </c>
      <c r="L1853" s="111">
        <f t="shared" si="436"/>
        <v>89988</v>
      </c>
      <c r="M1853" s="2">
        <f t="shared" si="437"/>
        <v>2250</v>
      </c>
      <c r="N1853" s="112">
        <f t="shared" si="428"/>
        <v>17000000</v>
      </c>
      <c r="O1853" s="2">
        <f t="shared" si="438"/>
        <v>855065</v>
      </c>
      <c r="P1853" s="113">
        <f t="shared" si="439"/>
        <v>9.9999999999999998E-13</v>
      </c>
      <c r="Q1853" s="121">
        <f t="shared" si="429"/>
        <v>2232673</v>
      </c>
    </row>
    <row r="1854" spans="2:17" hidden="1" x14ac:dyDescent="0.4">
      <c r="B1854" s="110">
        <v>45775</v>
      </c>
      <c r="C1854" s="122">
        <f t="shared" si="430"/>
        <v>3000000</v>
      </c>
      <c r="D1854" s="111">
        <f t="shared" si="431"/>
        <v>89988</v>
      </c>
      <c r="E1854" s="2">
        <f t="shared" si="432"/>
        <v>2250</v>
      </c>
      <c r="F1854" s="112">
        <f t="shared" si="426"/>
        <v>17000000</v>
      </c>
      <c r="G1854" s="2">
        <f t="shared" si="433"/>
        <v>855065</v>
      </c>
      <c r="H1854" s="113">
        <f t="shared" si="434"/>
        <v>9.9999999999999998E-13</v>
      </c>
      <c r="I1854" s="121">
        <f t="shared" si="427"/>
        <v>2232673</v>
      </c>
      <c r="K1854" s="123">
        <f t="shared" si="435"/>
        <v>3000000</v>
      </c>
      <c r="L1854" s="111">
        <f t="shared" si="436"/>
        <v>89988</v>
      </c>
      <c r="M1854" s="2">
        <f t="shared" si="437"/>
        <v>2250</v>
      </c>
      <c r="N1854" s="112">
        <f t="shared" si="428"/>
        <v>17000000</v>
      </c>
      <c r="O1854" s="2">
        <f t="shared" si="438"/>
        <v>855065</v>
      </c>
      <c r="P1854" s="113">
        <f t="shared" si="439"/>
        <v>9.9999999999999998E-13</v>
      </c>
      <c r="Q1854" s="121">
        <f t="shared" si="429"/>
        <v>2232673</v>
      </c>
    </row>
    <row r="1855" spans="2:17" hidden="1" x14ac:dyDescent="0.4">
      <c r="B1855" s="110">
        <v>45776</v>
      </c>
      <c r="C1855" s="122">
        <f t="shared" si="430"/>
        <v>3000000</v>
      </c>
      <c r="D1855" s="111">
        <f t="shared" si="431"/>
        <v>89988</v>
      </c>
      <c r="E1855" s="2">
        <f t="shared" si="432"/>
        <v>2250</v>
      </c>
      <c r="F1855" s="112">
        <f t="shared" si="426"/>
        <v>17000000</v>
      </c>
      <c r="G1855" s="2">
        <f t="shared" si="433"/>
        <v>855065</v>
      </c>
      <c r="H1855" s="113">
        <f t="shared" si="434"/>
        <v>9.9999999999999998E-13</v>
      </c>
      <c r="I1855" s="121">
        <f t="shared" si="427"/>
        <v>2232673</v>
      </c>
      <c r="K1855" s="123">
        <f t="shared" si="435"/>
        <v>3000000</v>
      </c>
      <c r="L1855" s="111">
        <f t="shared" si="436"/>
        <v>89988</v>
      </c>
      <c r="M1855" s="2">
        <f t="shared" si="437"/>
        <v>2250</v>
      </c>
      <c r="N1855" s="112">
        <f t="shared" si="428"/>
        <v>17000000</v>
      </c>
      <c r="O1855" s="2">
        <f t="shared" si="438"/>
        <v>855065</v>
      </c>
      <c r="P1855" s="113">
        <f t="shared" si="439"/>
        <v>9.9999999999999998E-13</v>
      </c>
      <c r="Q1855" s="121">
        <f t="shared" si="429"/>
        <v>2232673</v>
      </c>
    </row>
    <row r="1856" spans="2:17" hidden="1" x14ac:dyDescent="0.4">
      <c r="B1856" s="110">
        <v>45777</v>
      </c>
      <c r="C1856" s="122">
        <f t="shared" si="430"/>
        <v>3000000</v>
      </c>
      <c r="D1856" s="111">
        <f t="shared" si="431"/>
        <v>89988</v>
      </c>
      <c r="E1856" s="2">
        <f t="shared" si="432"/>
        <v>2250</v>
      </c>
      <c r="F1856" s="112">
        <f t="shared" si="426"/>
        <v>17000000</v>
      </c>
      <c r="G1856" s="2">
        <f t="shared" si="433"/>
        <v>855065</v>
      </c>
      <c r="H1856" s="113">
        <f t="shared" si="434"/>
        <v>9.9999999999999998E-13</v>
      </c>
      <c r="I1856" s="121">
        <f t="shared" si="427"/>
        <v>2232673</v>
      </c>
      <c r="K1856" s="123">
        <f t="shared" si="435"/>
        <v>3000000</v>
      </c>
      <c r="L1856" s="111">
        <f t="shared" si="436"/>
        <v>89988</v>
      </c>
      <c r="M1856" s="2">
        <f t="shared" si="437"/>
        <v>2250</v>
      </c>
      <c r="N1856" s="112">
        <f t="shared" si="428"/>
        <v>17000000</v>
      </c>
      <c r="O1856" s="2">
        <f t="shared" si="438"/>
        <v>855065</v>
      </c>
      <c r="P1856" s="113">
        <f t="shared" si="439"/>
        <v>9.9999999999999998E-13</v>
      </c>
      <c r="Q1856" s="121">
        <f t="shared" si="429"/>
        <v>2232673</v>
      </c>
    </row>
    <row r="1857" spans="2:17" x14ac:dyDescent="0.4">
      <c r="B1857" s="110">
        <v>45778</v>
      </c>
      <c r="C1857" s="122">
        <f t="shared" si="430"/>
        <v>3000000</v>
      </c>
      <c r="D1857" s="111">
        <f t="shared" si="431"/>
        <v>89988</v>
      </c>
      <c r="E1857" s="2">
        <f t="shared" si="432"/>
        <v>2250</v>
      </c>
      <c r="F1857" s="112">
        <f t="shared" si="426"/>
        <v>17000000</v>
      </c>
      <c r="G1857" s="2">
        <f t="shared" si="433"/>
        <v>855065</v>
      </c>
      <c r="H1857" s="113">
        <f t="shared" si="434"/>
        <v>9.9999999999999998E-13</v>
      </c>
      <c r="I1857" s="121">
        <f t="shared" si="427"/>
        <v>2232673</v>
      </c>
      <c r="K1857" s="123">
        <f t="shared" si="435"/>
        <v>3000000</v>
      </c>
      <c r="L1857" s="111">
        <f t="shared" si="436"/>
        <v>89988</v>
      </c>
      <c r="M1857" s="2">
        <f t="shared" si="437"/>
        <v>2250</v>
      </c>
      <c r="N1857" s="112">
        <f t="shared" si="428"/>
        <v>17000000</v>
      </c>
      <c r="O1857" s="2">
        <f t="shared" si="438"/>
        <v>855065</v>
      </c>
      <c r="P1857" s="113">
        <f t="shared" si="439"/>
        <v>9.9999999999999998E-13</v>
      </c>
      <c r="Q1857" s="121">
        <f t="shared" si="429"/>
        <v>2232673</v>
      </c>
    </row>
    <row r="1858" spans="2:17" hidden="1" x14ac:dyDescent="0.4">
      <c r="B1858" s="110">
        <v>45779</v>
      </c>
      <c r="C1858" s="122">
        <f t="shared" si="430"/>
        <v>3000000</v>
      </c>
      <c r="D1858" s="111">
        <f t="shared" si="431"/>
        <v>89988</v>
      </c>
      <c r="E1858" s="2">
        <f t="shared" si="432"/>
        <v>2250</v>
      </c>
      <c r="F1858" s="112">
        <f t="shared" si="426"/>
        <v>17000000</v>
      </c>
      <c r="G1858" s="2">
        <f t="shared" si="433"/>
        <v>855065</v>
      </c>
      <c r="H1858" s="113">
        <f t="shared" si="434"/>
        <v>9.9999999999999998E-13</v>
      </c>
      <c r="I1858" s="121">
        <f t="shared" si="427"/>
        <v>2232673</v>
      </c>
      <c r="K1858" s="123">
        <f t="shared" si="435"/>
        <v>3000000</v>
      </c>
      <c r="L1858" s="111">
        <f t="shared" si="436"/>
        <v>89988</v>
      </c>
      <c r="M1858" s="2">
        <f t="shared" si="437"/>
        <v>2250</v>
      </c>
      <c r="N1858" s="112">
        <f t="shared" si="428"/>
        <v>17000000</v>
      </c>
      <c r="O1858" s="2">
        <f t="shared" si="438"/>
        <v>855065</v>
      </c>
      <c r="P1858" s="113">
        <f t="shared" si="439"/>
        <v>9.9999999999999998E-13</v>
      </c>
      <c r="Q1858" s="121">
        <f t="shared" si="429"/>
        <v>2232673</v>
      </c>
    </row>
    <row r="1859" spans="2:17" hidden="1" x14ac:dyDescent="0.4">
      <c r="B1859" s="110">
        <v>45780</v>
      </c>
      <c r="C1859" s="122">
        <f t="shared" si="430"/>
        <v>3000000</v>
      </c>
      <c r="D1859" s="111">
        <f t="shared" si="431"/>
        <v>89988</v>
      </c>
      <c r="E1859" s="2">
        <f t="shared" si="432"/>
        <v>2250</v>
      </c>
      <c r="F1859" s="112">
        <f t="shared" si="426"/>
        <v>17000000</v>
      </c>
      <c r="G1859" s="2">
        <f t="shared" si="433"/>
        <v>855065</v>
      </c>
      <c r="H1859" s="113">
        <f t="shared" si="434"/>
        <v>9.9999999999999998E-13</v>
      </c>
      <c r="I1859" s="121">
        <f t="shared" si="427"/>
        <v>2232673</v>
      </c>
      <c r="K1859" s="123">
        <f t="shared" si="435"/>
        <v>3000000</v>
      </c>
      <c r="L1859" s="111">
        <f t="shared" si="436"/>
        <v>89988</v>
      </c>
      <c r="M1859" s="2">
        <f t="shared" si="437"/>
        <v>2250</v>
      </c>
      <c r="N1859" s="112">
        <f t="shared" si="428"/>
        <v>17000000</v>
      </c>
      <c r="O1859" s="2">
        <f t="shared" si="438"/>
        <v>855065</v>
      </c>
      <c r="P1859" s="113">
        <f t="shared" si="439"/>
        <v>9.9999999999999998E-13</v>
      </c>
      <c r="Q1859" s="121">
        <f t="shared" si="429"/>
        <v>2232673</v>
      </c>
    </row>
    <row r="1860" spans="2:17" hidden="1" x14ac:dyDescent="0.4">
      <c r="B1860" s="110">
        <v>45781</v>
      </c>
      <c r="C1860" s="122">
        <f t="shared" si="430"/>
        <v>3000000</v>
      </c>
      <c r="D1860" s="111">
        <f t="shared" si="431"/>
        <v>89988</v>
      </c>
      <c r="E1860" s="2">
        <f t="shared" si="432"/>
        <v>2250</v>
      </c>
      <c r="F1860" s="112">
        <f t="shared" si="426"/>
        <v>17000000</v>
      </c>
      <c r="G1860" s="2">
        <f t="shared" si="433"/>
        <v>855065</v>
      </c>
      <c r="H1860" s="113">
        <f t="shared" si="434"/>
        <v>9.9999999999999998E-13</v>
      </c>
      <c r="I1860" s="121">
        <f t="shared" si="427"/>
        <v>2232673</v>
      </c>
      <c r="K1860" s="123">
        <f t="shared" si="435"/>
        <v>3000000</v>
      </c>
      <c r="L1860" s="111">
        <f t="shared" si="436"/>
        <v>89988</v>
      </c>
      <c r="M1860" s="2">
        <f t="shared" si="437"/>
        <v>2250</v>
      </c>
      <c r="N1860" s="112">
        <f t="shared" si="428"/>
        <v>17000000</v>
      </c>
      <c r="O1860" s="2">
        <f t="shared" si="438"/>
        <v>855065</v>
      </c>
      <c r="P1860" s="113">
        <f t="shared" si="439"/>
        <v>9.9999999999999998E-13</v>
      </c>
      <c r="Q1860" s="121">
        <f t="shared" si="429"/>
        <v>2232673</v>
      </c>
    </row>
    <row r="1861" spans="2:17" hidden="1" x14ac:dyDescent="0.4">
      <c r="B1861" s="110">
        <v>45782</v>
      </c>
      <c r="C1861" s="122">
        <f t="shared" si="430"/>
        <v>3000000</v>
      </c>
      <c r="D1861" s="111">
        <f t="shared" si="431"/>
        <v>89988</v>
      </c>
      <c r="E1861" s="2">
        <f t="shared" si="432"/>
        <v>2250</v>
      </c>
      <c r="F1861" s="112">
        <f t="shared" si="426"/>
        <v>17000000</v>
      </c>
      <c r="G1861" s="2">
        <f t="shared" si="433"/>
        <v>855065</v>
      </c>
      <c r="H1861" s="113">
        <f t="shared" si="434"/>
        <v>9.9999999999999998E-13</v>
      </c>
      <c r="I1861" s="121">
        <f t="shared" si="427"/>
        <v>2232673</v>
      </c>
      <c r="K1861" s="123">
        <f t="shared" si="435"/>
        <v>3000000</v>
      </c>
      <c r="L1861" s="111">
        <f t="shared" si="436"/>
        <v>89988</v>
      </c>
      <c r="M1861" s="2">
        <f t="shared" si="437"/>
        <v>2250</v>
      </c>
      <c r="N1861" s="112">
        <f t="shared" si="428"/>
        <v>17000000</v>
      </c>
      <c r="O1861" s="2">
        <f t="shared" si="438"/>
        <v>855065</v>
      </c>
      <c r="P1861" s="113">
        <f t="shared" si="439"/>
        <v>9.9999999999999998E-13</v>
      </c>
      <c r="Q1861" s="121">
        <f t="shared" si="429"/>
        <v>2232673</v>
      </c>
    </row>
    <row r="1862" spans="2:17" hidden="1" x14ac:dyDescent="0.4">
      <c r="B1862" s="110">
        <v>45783</v>
      </c>
      <c r="C1862" s="122">
        <f t="shared" si="430"/>
        <v>3000000</v>
      </c>
      <c r="D1862" s="111">
        <f t="shared" si="431"/>
        <v>89988</v>
      </c>
      <c r="E1862" s="2">
        <f t="shared" si="432"/>
        <v>2250</v>
      </c>
      <c r="F1862" s="112">
        <f t="shared" si="426"/>
        <v>17000000</v>
      </c>
      <c r="G1862" s="2">
        <f t="shared" si="433"/>
        <v>855065</v>
      </c>
      <c r="H1862" s="113">
        <f t="shared" si="434"/>
        <v>9.9999999999999998E-13</v>
      </c>
      <c r="I1862" s="121">
        <f t="shared" si="427"/>
        <v>2232673</v>
      </c>
      <c r="K1862" s="123">
        <f t="shared" si="435"/>
        <v>3000000</v>
      </c>
      <c r="L1862" s="111">
        <f t="shared" si="436"/>
        <v>89988</v>
      </c>
      <c r="M1862" s="2">
        <f t="shared" si="437"/>
        <v>2250</v>
      </c>
      <c r="N1862" s="112">
        <f t="shared" si="428"/>
        <v>17000000</v>
      </c>
      <c r="O1862" s="2">
        <f t="shared" si="438"/>
        <v>855065</v>
      </c>
      <c r="P1862" s="113">
        <f t="shared" si="439"/>
        <v>9.9999999999999998E-13</v>
      </c>
      <c r="Q1862" s="121">
        <f t="shared" si="429"/>
        <v>2232673</v>
      </c>
    </row>
    <row r="1863" spans="2:17" hidden="1" x14ac:dyDescent="0.4">
      <c r="B1863" s="110">
        <v>45784</v>
      </c>
      <c r="C1863" s="122">
        <f t="shared" si="430"/>
        <v>3000000</v>
      </c>
      <c r="D1863" s="111">
        <f t="shared" si="431"/>
        <v>90068</v>
      </c>
      <c r="E1863" s="2">
        <f t="shared" si="432"/>
        <v>2250</v>
      </c>
      <c r="F1863" s="112">
        <f t="shared" si="426"/>
        <v>17000000</v>
      </c>
      <c r="G1863" s="2">
        <f t="shared" si="433"/>
        <v>855065</v>
      </c>
      <c r="H1863" s="113">
        <f t="shared" si="434"/>
        <v>9.9999999999999998E-13</v>
      </c>
      <c r="I1863" s="121">
        <f t="shared" si="427"/>
        <v>2232753</v>
      </c>
      <c r="K1863" s="123">
        <f t="shared" si="435"/>
        <v>3000000</v>
      </c>
      <c r="L1863" s="111">
        <f t="shared" si="436"/>
        <v>90068</v>
      </c>
      <c r="M1863" s="2">
        <f t="shared" si="437"/>
        <v>2250</v>
      </c>
      <c r="N1863" s="112">
        <f t="shared" si="428"/>
        <v>17000000</v>
      </c>
      <c r="O1863" s="2">
        <f t="shared" si="438"/>
        <v>855065</v>
      </c>
      <c r="P1863" s="113">
        <f t="shared" si="439"/>
        <v>9.9999999999999998E-13</v>
      </c>
      <c r="Q1863" s="121">
        <f t="shared" si="429"/>
        <v>2232753</v>
      </c>
    </row>
    <row r="1864" spans="2:17" hidden="1" x14ac:dyDescent="0.4">
      <c r="B1864" s="110">
        <v>45785</v>
      </c>
      <c r="C1864" s="122">
        <f t="shared" si="430"/>
        <v>3000000</v>
      </c>
      <c r="D1864" s="111">
        <f t="shared" si="431"/>
        <v>90068</v>
      </c>
      <c r="E1864" s="2">
        <f t="shared" si="432"/>
        <v>2250</v>
      </c>
      <c r="F1864" s="112">
        <f t="shared" si="426"/>
        <v>17000000</v>
      </c>
      <c r="G1864" s="2">
        <f t="shared" si="433"/>
        <v>855065</v>
      </c>
      <c r="H1864" s="113">
        <f t="shared" si="434"/>
        <v>9.9999999999999998E-13</v>
      </c>
      <c r="I1864" s="121">
        <f t="shared" si="427"/>
        <v>2232753</v>
      </c>
      <c r="K1864" s="123">
        <f t="shared" si="435"/>
        <v>3000000</v>
      </c>
      <c r="L1864" s="111">
        <f t="shared" si="436"/>
        <v>90068</v>
      </c>
      <c r="M1864" s="2">
        <f t="shared" si="437"/>
        <v>2250</v>
      </c>
      <c r="N1864" s="112">
        <f t="shared" si="428"/>
        <v>17000000</v>
      </c>
      <c r="O1864" s="2">
        <f t="shared" si="438"/>
        <v>855065</v>
      </c>
      <c r="P1864" s="113">
        <f t="shared" si="439"/>
        <v>9.9999999999999998E-13</v>
      </c>
      <c r="Q1864" s="121">
        <f t="shared" si="429"/>
        <v>2232753</v>
      </c>
    </row>
    <row r="1865" spans="2:17" hidden="1" x14ac:dyDescent="0.4">
      <c r="B1865" s="110">
        <v>45786</v>
      </c>
      <c r="C1865" s="122">
        <f t="shared" si="430"/>
        <v>3000000</v>
      </c>
      <c r="D1865" s="111">
        <f t="shared" si="431"/>
        <v>90068</v>
      </c>
      <c r="E1865" s="2">
        <f t="shared" si="432"/>
        <v>2250</v>
      </c>
      <c r="F1865" s="112">
        <f t="shared" si="426"/>
        <v>17000000</v>
      </c>
      <c r="G1865" s="2">
        <f t="shared" si="433"/>
        <v>855065</v>
      </c>
      <c r="H1865" s="113">
        <f t="shared" si="434"/>
        <v>9.9999999999999998E-13</v>
      </c>
      <c r="I1865" s="121">
        <f t="shared" si="427"/>
        <v>2232753</v>
      </c>
      <c r="K1865" s="123">
        <f t="shared" si="435"/>
        <v>3000000</v>
      </c>
      <c r="L1865" s="111">
        <f t="shared" si="436"/>
        <v>90068</v>
      </c>
      <c r="M1865" s="2">
        <f t="shared" si="437"/>
        <v>2250</v>
      </c>
      <c r="N1865" s="112">
        <f t="shared" si="428"/>
        <v>17000000</v>
      </c>
      <c r="O1865" s="2">
        <f t="shared" si="438"/>
        <v>855065</v>
      </c>
      <c r="P1865" s="113">
        <f t="shared" si="439"/>
        <v>9.9999999999999998E-13</v>
      </c>
      <c r="Q1865" s="121">
        <f t="shared" si="429"/>
        <v>2232753</v>
      </c>
    </row>
    <row r="1866" spans="2:17" hidden="1" x14ac:dyDescent="0.4">
      <c r="B1866" s="110">
        <v>45787</v>
      </c>
      <c r="C1866" s="122">
        <f t="shared" si="430"/>
        <v>3000000</v>
      </c>
      <c r="D1866" s="111">
        <f t="shared" si="431"/>
        <v>90068</v>
      </c>
      <c r="E1866" s="2">
        <f t="shared" si="432"/>
        <v>2250</v>
      </c>
      <c r="F1866" s="112">
        <f t="shared" ref="F1866:F1929" si="440">20000000-C1866</f>
        <v>17000000</v>
      </c>
      <c r="G1866" s="2">
        <f t="shared" si="433"/>
        <v>855065</v>
      </c>
      <c r="H1866" s="113">
        <f t="shared" si="434"/>
        <v>9.9999999999999998E-13</v>
      </c>
      <c r="I1866" s="121">
        <f t="shared" ref="I1866:I1929" si="441">C1866+D1866-G1866-E1866+H1866</f>
        <v>2232753</v>
      </c>
      <c r="K1866" s="123">
        <f t="shared" si="435"/>
        <v>3000000</v>
      </c>
      <c r="L1866" s="111">
        <f t="shared" si="436"/>
        <v>90068</v>
      </c>
      <c r="M1866" s="2">
        <f t="shared" si="437"/>
        <v>2250</v>
      </c>
      <c r="N1866" s="112">
        <f t="shared" ref="N1866:N1929" si="442">20000000-K1866</f>
        <v>17000000</v>
      </c>
      <c r="O1866" s="2">
        <f t="shared" si="438"/>
        <v>855065</v>
      </c>
      <c r="P1866" s="113">
        <f t="shared" si="439"/>
        <v>9.9999999999999998E-13</v>
      </c>
      <c r="Q1866" s="121">
        <f t="shared" ref="Q1866:Q1929" si="443">K1866+L1866-O1866-M1866+P1866</f>
        <v>2232753</v>
      </c>
    </row>
    <row r="1867" spans="2:17" hidden="1" x14ac:dyDescent="0.4">
      <c r="B1867" s="110">
        <v>45788</v>
      </c>
      <c r="C1867" s="122">
        <f t="shared" ref="C1867:C1930" si="444">SUMIF($B$6:$B$75,$B1867,$D$6:$D$75)+C1866</f>
        <v>3000000</v>
      </c>
      <c r="D1867" s="111">
        <f t="shared" ref="D1867:D1930" si="445">SUMIF($B$6:$B$75,$B1867,$E$6:$E$75)+D1866</f>
        <v>90068</v>
      </c>
      <c r="E1867" s="2">
        <f t="shared" ref="E1867:E1930" si="446">SUMIF($G$353:$G$376,$B1867,$J$353:$J$376)+SUMIF($E$353:$E$376,$B1867,$H$353:$H$376)+SUMIF($G$353:$G$376,$B1867,$I$353:$I$376)+E1866</f>
        <v>2250</v>
      </c>
      <c r="F1867" s="112">
        <f t="shared" si="440"/>
        <v>17000000</v>
      </c>
      <c r="G1867" s="2">
        <f t="shared" ref="G1867:G1930" si="447">SUMIF($E$353:$E$376,$B1867,$M$353:$M$376)+G1866</f>
        <v>855065</v>
      </c>
      <c r="H1867" s="113">
        <f t="shared" ref="H1867:H1930" si="448">SUMIF($G$353:$G$376,$B1867,$N$353:$N$376)+H1866</f>
        <v>9.9999999999999998E-13</v>
      </c>
      <c r="I1867" s="121">
        <f t="shared" si="441"/>
        <v>2232753</v>
      </c>
      <c r="K1867" s="123">
        <f t="shared" ref="K1867:K1930" si="449">SUMIF($B$6:$B$75,$B1867,$D$6:$D$75)+K1866</f>
        <v>3000000</v>
      </c>
      <c r="L1867" s="111">
        <f t="shared" ref="L1867:L1930" si="450">SUMIF($B$6:$B$75,$B1867,$E$6:$E$75)+L1866</f>
        <v>90068</v>
      </c>
      <c r="M1867" s="2">
        <f t="shared" ref="M1867:M1930" si="451">SUMIF($G$353:$G$376,$B1867,$J$353:$J$376)+SUMIF($E$353:$E$376,$B1867,$H$353:$H$376)+SUMIF($G$353:$G$376,$B1867,$I$353:$I$376)+M1866</f>
        <v>2250</v>
      </c>
      <c r="N1867" s="112">
        <f t="shared" si="442"/>
        <v>17000000</v>
      </c>
      <c r="O1867" s="2">
        <f t="shared" ref="O1867:O1930" si="452">SUMIF($E$353:$E$376,$B1867,$M$353:$M$376)+O1866</f>
        <v>855065</v>
      </c>
      <c r="P1867" s="113">
        <f t="shared" ref="P1867:P1930" si="453">SUMIF($G$353:$G$376,$B1867,$N$353:$N$376)+P1866</f>
        <v>9.9999999999999998E-13</v>
      </c>
      <c r="Q1867" s="121">
        <f t="shared" si="443"/>
        <v>2232753</v>
      </c>
    </row>
    <row r="1868" spans="2:17" hidden="1" x14ac:dyDescent="0.4">
      <c r="B1868" s="110">
        <v>45789</v>
      </c>
      <c r="C1868" s="122">
        <f t="shared" si="444"/>
        <v>3000000</v>
      </c>
      <c r="D1868" s="111">
        <f t="shared" si="445"/>
        <v>90068</v>
      </c>
      <c r="E1868" s="2">
        <f t="shared" si="446"/>
        <v>2250</v>
      </c>
      <c r="F1868" s="112">
        <f t="shared" si="440"/>
        <v>17000000</v>
      </c>
      <c r="G1868" s="2">
        <f t="shared" si="447"/>
        <v>855065</v>
      </c>
      <c r="H1868" s="113">
        <f t="shared" si="448"/>
        <v>9.9999999999999998E-13</v>
      </c>
      <c r="I1868" s="121">
        <f t="shared" si="441"/>
        <v>2232753</v>
      </c>
      <c r="K1868" s="123">
        <f t="shared" si="449"/>
        <v>3000000</v>
      </c>
      <c r="L1868" s="111">
        <f t="shared" si="450"/>
        <v>90068</v>
      </c>
      <c r="M1868" s="2">
        <f t="shared" si="451"/>
        <v>2250</v>
      </c>
      <c r="N1868" s="112">
        <f t="shared" si="442"/>
        <v>17000000</v>
      </c>
      <c r="O1868" s="2">
        <f t="shared" si="452"/>
        <v>855065</v>
      </c>
      <c r="P1868" s="113">
        <f t="shared" si="453"/>
        <v>9.9999999999999998E-13</v>
      </c>
      <c r="Q1868" s="121">
        <f t="shared" si="443"/>
        <v>2232753</v>
      </c>
    </row>
    <row r="1869" spans="2:17" hidden="1" x14ac:dyDescent="0.4">
      <c r="B1869" s="110">
        <v>45790</v>
      </c>
      <c r="C1869" s="122">
        <f t="shared" si="444"/>
        <v>3000000</v>
      </c>
      <c r="D1869" s="111">
        <f t="shared" si="445"/>
        <v>90068</v>
      </c>
      <c r="E1869" s="2">
        <f t="shared" si="446"/>
        <v>2250</v>
      </c>
      <c r="F1869" s="112">
        <f t="shared" si="440"/>
        <v>17000000</v>
      </c>
      <c r="G1869" s="2">
        <f t="shared" si="447"/>
        <v>855065</v>
      </c>
      <c r="H1869" s="113">
        <f t="shared" si="448"/>
        <v>9.9999999999999998E-13</v>
      </c>
      <c r="I1869" s="121">
        <f t="shared" si="441"/>
        <v>2232753</v>
      </c>
      <c r="K1869" s="123">
        <f t="shared" si="449"/>
        <v>3000000</v>
      </c>
      <c r="L1869" s="111">
        <f t="shared" si="450"/>
        <v>90068</v>
      </c>
      <c r="M1869" s="2">
        <f t="shared" si="451"/>
        <v>2250</v>
      </c>
      <c r="N1869" s="112">
        <f t="shared" si="442"/>
        <v>17000000</v>
      </c>
      <c r="O1869" s="2">
        <f t="shared" si="452"/>
        <v>855065</v>
      </c>
      <c r="P1869" s="113">
        <f t="shared" si="453"/>
        <v>9.9999999999999998E-13</v>
      </c>
      <c r="Q1869" s="121">
        <f t="shared" si="443"/>
        <v>2232753</v>
      </c>
    </row>
    <row r="1870" spans="2:17" hidden="1" x14ac:dyDescent="0.4">
      <c r="B1870" s="110">
        <v>45791</v>
      </c>
      <c r="C1870" s="122">
        <f t="shared" si="444"/>
        <v>3000000</v>
      </c>
      <c r="D1870" s="111">
        <f t="shared" si="445"/>
        <v>90068</v>
      </c>
      <c r="E1870" s="2">
        <f t="shared" si="446"/>
        <v>2250</v>
      </c>
      <c r="F1870" s="112">
        <f t="shared" si="440"/>
        <v>17000000</v>
      </c>
      <c r="G1870" s="2">
        <f t="shared" si="447"/>
        <v>855065</v>
      </c>
      <c r="H1870" s="113">
        <f t="shared" si="448"/>
        <v>9.9999999999999998E-13</v>
      </c>
      <c r="I1870" s="121">
        <f t="shared" si="441"/>
        <v>2232753</v>
      </c>
      <c r="K1870" s="123">
        <f t="shared" si="449"/>
        <v>3000000</v>
      </c>
      <c r="L1870" s="111">
        <f t="shared" si="450"/>
        <v>90068</v>
      </c>
      <c r="M1870" s="2">
        <f t="shared" si="451"/>
        <v>2250</v>
      </c>
      <c r="N1870" s="112">
        <f t="shared" si="442"/>
        <v>17000000</v>
      </c>
      <c r="O1870" s="2">
        <f t="shared" si="452"/>
        <v>855065</v>
      </c>
      <c r="P1870" s="113">
        <f t="shared" si="453"/>
        <v>9.9999999999999998E-13</v>
      </c>
      <c r="Q1870" s="121">
        <f t="shared" si="443"/>
        <v>2232753</v>
      </c>
    </row>
    <row r="1871" spans="2:17" hidden="1" x14ac:dyDescent="0.4">
      <c r="B1871" s="110">
        <v>45792</v>
      </c>
      <c r="C1871" s="122">
        <f t="shared" si="444"/>
        <v>3000000</v>
      </c>
      <c r="D1871" s="111">
        <f t="shared" si="445"/>
        <v>90068</v>
      </c>
      <c r="E1871" s="2">
        <f t="shared" si="446"/>
        <v>2250</v>
      </c>
      <c r="F1871" s="112">
        <f t="shared" si="440"/>
        <v>17000000</v>
      </c>
      <c r="G1871" s="2">
        <f t="shared" si="447"/>
        <v>855065</v>
      </c>
      <c r="H1871" s="113">
        <f t="shared" si="448"/>
        <v>9.9999999999999998E-13</v>
      </c>
      <c r="I1871" s="121">
        <f t="shared" si="441"/>
        <v>2232753</v>
      </c>
      <c r="K1871" s="123">
        <f t="shared" si="449"/>
        <v>3000000</v>
      </c>
      <c r="L1871" s="111">
        <f t="shared" si="450"/>
        <v>90068</v>
      </c>
      <c r="M1871" s="2">
        <f t="shared" si="451"/>
        <v>2250</v>
      </c>
      <c r="N1871" s="112">
        <f t="shared" si="442"/>
        <v>17000000</v>
      </c>
      <c r="O1871" s="2">
        <f t="shared" si="452"/>
        <v>855065</v>
      </c>
      <c r="P1871" s="113">
        <f t="shared" si="453"/>
        <v>9.9999999999999998E-13</v>
      </c>
      <c r="Q1871" s="121">
        <f t="shared" si="443"/>
        <v>2232753</v>
      </c>
    </row>
    <row r="1872" spans="2:17" hidden="1" x14ac:dyDescent="0.4">
      <c r="B1872" s="110">
        <v>45793</v>
      </c>
      <c r="C1872" s="122">
        <f t="shared" si="444"/>
        <v>3000000</v>
      </c>
      <c r="D1872" s="111">
        <f t="shared" si="445"/>
        <v>90068</v>
      </c>
      <c r="E1872" s="2">
        <f t="shared" si="446"/>
        <v>2250</v>
      </c>
      <c r="F1872" s="112">
        <f t="shared" si="440"/>
        <v>17000000</v>
      </c>
      <c r="G1872" s="2">
        <f t="shared" si="447"/>
        <v>855065</v>
      </c>
      <c r="H1872" s="113">
        <f t="shared" si="448"/>
        <v>9.9999999999999998E-13</v>
      </c>
      <c r="I1872" s="121">
        <f t="shared" si="441"/>
        <v>2232753</v>
      </c>
      <c r="K1872" s="123">
        <f t="shared" si="449"/>
        <v>3000000</v>
      </c>
      <c r="L1872" s="111">
        <f t="shared" si="450"/>
        <v>90068</v>
      </c>
      <c r="M1872" s="2">
        <f t="shared" si="451"/>
        <v>2250</v>
      </c>
      <c r="N1872" s="112">
        <f t="shared" si="442"/>
        <v>17000000</v>
      </c>
      <c r="O1872" s="2">
        <f t="shared" si="452"/>
        <v>855065</v>
      </c>
      <c r="P1872" s="113">
        <f t="shared" si="453"/>
        <v>9.9999999999999998E-13</v>
      </c>
      <c r="Q1872" s="121">
        <f t="shared" si="443"/>
        <v>2232753</v>
      </c>
    </row>
    <row r="1873" spans="2:17" hidden="1" x14ac:dyDescent="0.4">
      <c r="B1873" s="110">
        <v>45794</v>
      </c>
      <c r="C1873" s="122">
        <f t="shared" si="444"/>
        <v>3000000</v>
      </c>
      <c r="D1873" s="111">
        <f t="shared" si="445"/>
        <v>90068</v>
      </c>
      <c r="E1873" s="2">
        <f t="shared" si="446"/>
        <v>2250</v>
      </c>
      <c r="F1873" s="112">
        <f t="shared" si="440"/>
        <v>17000000</v>
      </c>
      <c r="G1873" s="2">
        <f t="shared" si="447"/>
        <v>855065</v>
      </c>
      <c r="H1873" s="113">
        <f t="shared" si="448"/>
        <v>9.9999999999999998E-13</v>
      </c>
      <c r="I1873" s="121">
        <f t="shared" si="441"/>
        <v>2232753</v>
      </c>
      <c r="K1873" s="123">
        <f t="shared" si="449"/>
        <v>3000000</v>
      </c>
      <c r="L1873" s="111">
        <f t="shared" si="450"/>
        <v>90068</v>
      </c>
      <c r="M1873" s="2">
        <f t="shared" si="451"/>
        <v>2250</v>
      </c>
      <c r="N1873" s="112">
        <f t="shared" si="442"/>
        <v>17000000</v>
      </c>
      <c r="O1873" s="2">
        <f t="shared" si="452"/>
        <v>855065</v>
      </c>
      <c r="P1873" s="113">
        <f t="shared" si="453"/>
        <v>9.9999999999999998E-13</v>
      </c>
      <c r="Q1873" s="121">
        <f t="shared" si="443"/>
        <v>2232753</v>
      </c>
    </row>
    <row r="1874" spans="2:17" hidden="1" x14ac:dyDescent="0.4">
      <c r="B1874" s="110">
        <v>45795</v>
      </c>
      <c r="C1874" s="122">
        <f t="shared" si="444"/>
        <v>3000000</v>
      </c>
      <c r="D1874" s="111">
        <f t="shared" si="445"/>
        <v>90068</v>
      </c>
      <c r="E1874" s="2">
        <f t="shared" si="446"/>
        <v>2250</v>
      </c>
      <c r="F1874" s="112">
        <f t="shared" si="440"/>
        <v>17000000</v>
      </c>
      <c r="G1874" s="2">
        <f t="shared" si="447"/>
        <v>855065</v>
      </c>
      <c r="H1874" s="113">
        <f t="shared" si="448"/>
        <v>9.9999999999999998E-13</v>
      </c>
      <c r="I1874" s="121">
        <f t="shared" si="441"/>
        <v>2232753</v>
      </c>
      <c r="K1874" s="123">
        <f t="shared" si="449"/>
        <v>3000000</v>
      </c>
      <c r="L1874" s="111">
        <f t="shared" si="450"/>
        <v>90068</v>
      </c>
      <c r="M1874" s="2">
        <f t="shared" si="451"/>
        <v>2250</v>
      </c>
      <c r="N1874" s="112">
        <f t="shared" si="442"/>
        <v>17000000</v>
      </c>
      <c r="O1874" s="2">
        <f t="shared" si="452"/>
        <v>855065</v>
      </c>
      <c r="P1874" s="113">
        <f t="shared" si="453"/>
        <v>9.9999999999999998E-13</v>
      </c>
      <c r="Q1874" s="121">
        <f t="shared" si="443"/>
        <v>2232753</v>
      </c>
    </row>
    <row r="1875" spans="2:17" hidden="1" x14ac:dyDescent="0.4">
      <c r="B1875" s="110">
        <v>45796</v>
      </c>
      <c r="C1875" s="122">
        <f t="shared" si="444"/>
        <v>3000000</v>
      </c>
      <c r="D1875" s="111">
        <f t="shared" si="445"/>
        <v>90344</v>
      </c>
      <c r="E1875" s="2">
        <f t="shared" si="446"/>
        <v>2250</v>
      </c>
      <c r="F1875" s="112">
        <f t="shared" si="440"/>
        <v>17000000</v>
      </c>
      <c r="G1875" s="2">
        <f t="shared" si="447"/>
        <v>855065</v>
      </c>
      <c r="H1875" s="113">
        <f t="shared" si="448"/>
        <v>9.9999999999999998E-13</v>
      </c>
      <c r="I1875" s="121">
        <f t="shared" si="441"/>
        <v>2233029</v>
      </c>
      <c r="K1875" s="123">
        <f t="shared" si="449"/>
        <v>3000000</v>
      </c>
      <c r="L1875" s="111">
        <f t="shared" si="450"/>
        <v>90344</v>
      </c>
      <c r="M1875" s="2">
        <f t="shared" si="451"/>
        <v>2250</v>
      </c>
      <c r="N1875" s="112">
        <f t="shared" si="442"/>
        <v>17000000</v>
      </c>
      <c r="O1875" s="2">
        <f t="shared" si="452"/>
        <v>855065</v>
      </c>
      <c r="P1875" s="113">
        <f t="shared" si="453"/>
        <v>9.9999999999999998E-13</v>
      </c>
      <c r="Q1875" s="121">
        <f t="shared" si="443"/>
        <v>2233029</v>
      </c>
    </row>
    <row r="1876" spans="2:17" hidden="1" x14ac:dyDescent="0.4">
      <c r="B1876" s="110">
        <v>45797</v>
      </c>
      <c r="C1876" s="122">
        <f t="shared" si="444"/>
        <v>3000000</v>
      </c>
      <c r="D1876" s="111">
        <f t="shared" si="445"/>
        <v>92534</v>
      </c>
      <c r="E1876" s="2">
        <f t="shared" si="446"/>
        <v>2250</v>
      </c>
      <c r="F1876" s="112">
        <f t="shared" si="440"/>
        <v>17000000</v>
      </c>
      <c r="G1876" s="2">
        <f t="shared" si="447"/>
        <v>855065</v>
      </c>
      <c r="H1876" s="113">
        <f t="shared" si="448"/>
        <v>9.9999999999999998E-13</v>
      </c>
      <c r="I1876" s="121">
        <f t="shared" si="441"/>
        <v>2235219</v>
      </c>
      <c r="K1876" s="123">
        <f t="shared" si="449"/>
        <v>3000000</v>
      </c>
      <c r="L1876" s="111">
        <f t="shared" si="450"/>
        <v>92534</v>
      </c>
      <c r="M1876" s="2">
        <f t="shared" si="451"/>
        <v>2250</v>
      </c>
      <c r="N1876" s="112">
        <f t="shared" si="442"/>
        <v>17000000</v>
      </c>
      <c r="O1876" s="2">
        <f t="shared" si="452"/>
        <v>855065</v>
      </c>
      <c r="P1876" s="113">
        <f t="shared" si="453"/>
        <v>9.9999999999999998E-13</v>
      </c>
      <c r="Q1876" s="121">
        <f t="shared" si="443"/>
        <v>2235219</v>
      </c>
    </row>
    <row r="1877" spans="2:17" hidden="1" x14ac:dyDescent="0.4">
      <c r="B1877" s="110">
        <v>45798</v>
      </c>
      <c r="C1877" s="122">
        <f t="shared" si="444"/>
        <v>3000000</v>
      </c>
      <c r="D1877" s="111">
        <f t="shared" si="445"/>
        <v>92534</v>
      </c>
      <c r="E1877" s="2">
        <f t="shared" si="446"/>
        <v>2250</v>
      </c>
      <c r="F1877" s="112">
        <f t="shared" si="440"/>
        <v>17000000</v>
      </c>
      <c r="G1877" s="2">
        <f t="shared" si="447"/>
        <v>855065</v>
      </c>
      <c r="H1877" s="113">
        <f t="shared" si="448"/>
        <v>9.9999999999999998E-13</v>
      </c>
      <c r="I1877" s="121">
        <f t="shared" si="441"/>
        <v>2235219</v>
      </c>
      <c r="K1877" s="123">
        <f t="shared" si="449"/>
        <v>3000000</v>
      </c>
      <c r="L1877" s="111">
        <f t="shared" si="450"/>
        <v>92534</v>
      </c>
      <c r="M1877" s="2">
        <f t="shared" si="451"/>
        <v>2250</v>
      </c>
      <c r="N1877" s="112">
        <f t="shared" si="442"/>
        <v>17000000</v>
      </c>
      <c r="O1877" s="2">
        <f t="shared" si="452"/>
        <v>855065</v>
      </c>
      <c r="P1877" s="113">
        <f t="shared" si="453"/>
        <v>9.9999999999999998E-13</v>
      </c>
      <c r="Q1877" s="121">
        <f t="shared" si="443"/>
        <v>2235219</v>
      </c>
    </row>
    <row r="1878" spans="2:17" hidden="1" x14ac:dyDescent="0.4">
      <c r="B1878" s="110">
        <v>45799</v>
      </c>
      <c r="C1878" s="122">
        <f t="shared" si="444"/>
        <v>3000000</v>
      </c>
      <c r="D1878" s="111">
        <f t="shared" si="445"/>
        <v>92534</v>
      </c>
      <c r="E1878" s="2">
        <f t="shared" si="446"/>
        <v>2250</v>
      </c>
      <c r="F1878" s="112">
        <f t="shared" si="440"/>
        <v>17000000</v>
      </c>
      <c r="G1878" s="2">
        <f t="shared" si="447"/>
        <v>855065</v>
      </c>
      <c r="H1878" s="113">
        <f t="shared" si="448"/>
        <v>9.9999999999999998E-13</v>
      </c>
      <c r="I1878" s="121">
        <f t="shared" si="441"/>
        <v>2235219</v>
      </c>
      <c r="K1878" s="123">
        <f t="shared" si="449"/>
        <v>3000000</v>
      </c>
      <c r="L1878" s="111">
        <f t="shared" si="450"/>
        <v>92534</v>
      </c>
      <c r="M1878" s="2">
        <f t="shared" si="451"/>
        <v>2250</v>
      </c>
      <c r="N1878" s="112">
        <f t="shared" si="442"/>
        <v>17000000</v>
      </c>
      <c r="O1878" s="2">
        <f t="shared" si="452"/>
        <v>855065</v>
      </c>
      <c r="P1878" s="113">
        <f t="shared" si="453"/>
        <v>9.9999999999999998E-13</v>
      </c>
      <c r="Q1878" s="121">
        <f t="shared" si="443"/>
        <v>2235219</v>
      </c>
    </row>
    <row r="1879" spans="2:17" hidden="1" x14ac:dyDescent="0.4">
      <c r="B1879" s="110">
        <v>45800</v>
      </c>
      <c r="C1879" s="122">
        <f t="shared" si="444"/>
        <v>3000000</v>
      </c>
      <c r="D1879" s="111">
        <f t="shared" si="445"/>
        <v>92534</v>
      </c>
      <c r="E1879" s="2">
        <f t="shared" si="446"/>
        <v>2410</v>
      </c>
      <c r="F1879" s="112">
        <f t="shared" si="440"/>
        <v>17000000</v>
      </c>
      <c r="G1879" s="2">
        <f t="shared" si="447"/>
        <v>944865</v>
      </c>
      <c r="H1879" s="113">
        <f t="shared" si="448"/>
        <v>9.9999999999999998E-13</v>
      </c>
      <c r="I1879" s="121">
        <f t="shared" si="441"/>
        <v>2145259</v>
      </c>
      <c r="K1879" s="123">
        <f t="shared" si="449"/>
        <v>3000000</v>
      </c>
      <c r="L1879" s="111">
        <f t="shared" si="450"/>
        <v>92534</v>
      </c>
      <c r="M1879" s="2">
        <f t="shared" si="451"/>
        <v>2410</v>
      </c>
      <c r="N1879" s="112">
        <f t="shared" si="442"/>
        <v>17000000</v>
      </c>
      <c r="O1879" s="2">
        <f t="shared" si="452"/>
        <v>944865</v>
      </c>
      <c r="P1879" s="113">
        <f t="shared" si="453"/>
        <v>9.9999999999999998E-13</v>
      </c>
      <c r="Q1879" s="121">
        <f t="shared" si="443"/>
        <v>2145259</v>
      </c>
    </row>
    <row r="1880" spans="2:17" hidden="1" x14ac:dyDescent="0.4">
      <c r="B1880" s="110">
        <v>45801</v>
      </c>
      <c r="C1880" s="122">
        <f t="shared" si="444"/>
        <v>3000000</v>
      </c>
      <c r="D1880" s="111">
        <f t="shared" si="445"/>
        <v>92534</v>
      </c>
      <c r="E1880" s="2">
        <f t="shared" si="446"/>
        <v>2410</v>
      </c>
      <c r="F1880" s="112">
        <f t="shared" si="440"/>
        <v>17000000</v>
      </c>
      <c r="G1880" s="2">
        <f t="shared" si="447"/>
        <v>944865</v>
      </c>
      <c r="H1880" s="113">
        <f t="shared" si="448"/>
        <v>9.9999999999999998E-13</v>
      </c>
      <c r="I1880" s="121">
        <f t="shared" si="441"/>
        <v>2145259</v>
      </c>
      <c r="K1880" s="123">
        <f t="shared" si="449"/>
        <v>3000000</v>
      </c>
      <c r="L1880" s="111">
        <f t="shared" si="450"/>
        <v>92534</v>
      </c>
      <c r="M1880" s="2">
        <f t="shared" si="451"/>
        <v>2410</v>
      </c>
      <c r="N1880" s="112">
        <f t="shared" si="442"/>
        <v>17000000</v>
      </c>
      <c r="O1880" s="2">
        <f t="shared" si="452"/>
        <v>944865</v>
      </c>
      <c r="P1880" s="113">
        <f t="shared" si="453"/>
        <v>9.9999999999999998E-13</v>
      </c>
      <c r="Q1880" s="121">
        <f t="shared" si="443"/>
        <v>2145259</v>
      </c>
    </row>
    <row r="1881" spans="2:17" hidden="1" x14ac:dyDescent="0.4">
      <c r="B1881" s="110">
        <v>45802</v>
      </c>
      <c r="C1881" s="122">
        <f t="shared" si="444"/>
        <v>3000000</v>
      </c>
      <c r="D1881" s="111">
        <f t="shared" si="445"/>
        <v>92534</v>
      </c>
      <c r="E1881" s="2">
        <f t="shared" si="446"/>
        <v>2410</v>
      </c>
      <c r="F1881" s="112">
        <f t="shared" si="440"/>
        <v>17000000</v>
      </c>
      <c r="G1881" s="2">
        <f t="shared" si="447"/>
        <v>944865</v>
      </c>
      <c r="H1881" s="113">
        <f t="shared" si="448"/>
        <v>9.9999999999999998E-13</v>
      </c>
      <c r="I1881" s="121">
        <f t="shared" si="441"/>
        <v>2145259</v>
      </c>
      <c r="K1881" s="123">
        <f t="shared" si="449"/>
        <v>3000000</v>
      </c>
      <c r="L1881" s="111">
        <f t="shared" si="450"/>
        <v>92534</v>
      </c>
      <c r="M1881" s="2">
        <f t="shared" si="451"/>
        <v>2410</v>
      </c>
      <c r="N1881" s="112">
        <f t="shared" si="442"/>
        <v>17000000</v>
      </c>
      <c r="O1881" s="2">
        <f t="shared" si="452"/>
        <v>944865</v>
      </c>
      <c r="P1881" s="113">
        <f t="shared" si="453"/>
        <v>9.9999999999999998E-13</v>
      </c>
      <c r="Q1881" s="121">
        <f t="shared" si="443"/>
        <v>2145259</v>
      </c>
    </row>
    <row r="1882" spans="2:17" hidden="1" x14ac:dyDescent="0.4">
      <c r="B1882" s="110">
        <v>45803</v>
      </c>
      <c r="C1882" s="122">
        <f t="shared" si="444"/>
        <v>3000000</v>
      </c>
      <c r="D1882" s="111">
        <f t="shared" si="445"/>
        <v>92534</v>
      </c>
      <c r="E1882" s="2">
        <f t="shared" si="446"/>
        <v>2410</v>
      </c>
      <c r="F1882" s="112">
        <f t="shared" si="440"/>
        <v>17000000</v>
      </c>
      <c r="G1882" s="2">
        <f t="shared" si="447"/>
        <v>944865</v>
      </c>
      <c r="H1882" s="113">
        <f t="shared" si="448"/>
        <v>9.9999999999999998E-13</v>
      </c>
      <c r="I1882" s="121">
        <f t="shared" si="441"/>
        <v>2145259</v>
      </c>
      <c r="K1882" s="123">
        <f t="shared" si="449"/>
        <v>3000000</v>
      </c>
      <c r="L1882" s="111">
        <f t="shared" si="450"/>
        <v>92534</v>
      </c>
      <c r="M1882" s="2">
        <f t="shared" si="451"/>
        <v>2410</v>
      </c>
      <c r="N1882" s="112">
        <f t="shared" si="442"/>
        <v>17000000</v>
      </c>
      <c r="O1882" s="2">
        <f t="shared" si="452"/>
        <v>944865</v>
      </c>
      <c r="P1882" s="113">
        <f t="shared" si="453"/>
        <v>9.9999999999999998E-13</v>
      </c>
      <c r="Q1882" s="121">
        <f t="shared" si="443"/>
        <v>2145259</v>
      </c>
    </row>
    <row r="1883" spans="2:17" hidden="1" x14ac:dyDescent="0.4">
      <c r="B1883" s="110">
        <v>45804</v>
      </c>
      <c r="C1883" s="122">
        <f t="shared" si="444"/>
        <v>3000000</v>
      </c>
      <c r="D1883" s="111">
        <f t="shared" si="445"/>
        <v>92534</v>
      </c>
      <c r="E1883" s="2">
        <f t="shared" si="446"/>
        <v>2410</v>
      </c>
      <c r="F1883" s="112">
        <f t="shared" si="440"/>
        <v>17000000</v>
      </c>
      <c r="G1883" s="2">
        <f t="shared" si="447"/>
        <v>944865</v>
      </c>
      <c r="H1883" s="113">
        <f t="shared" si="448"/>
        <v>9.9999999999999998E-13</v>
      </c>
      <c r="I1883" s="121">
        <f t="shared" si="441"/>
        <v>2145259</v>
      </c>
      <c r="K1883" s="123">
        <f t="shared" si="449"/>
        <v>3000000</v>
      </c>
      <c r="L1883" s="111">
        <f t="shared" si="450"/>
        <v>92534</v>
      </c>
      <c r="M1883" s="2">
        <f t="shared" si="451"/>
        <v>2410</v>
      </c>
      <c r="N1883" s="112">
        <f t="shared" si="442"/>
        <v>17000000</v>
      </c>
      <c r="O1883" s="2">
        <f t="shared" si="452"/>
        <v>944865</v>
      </c>
      <c r="P1883" s="113">
        <f t="shared" si="453"/>
        <v>9.9999999999999998E-13</v>
      </c>
      <c r="Q1883" s="121">
        <f t="shared" si="443"/>
        <v>2145259</v>
      </c>
    </row>
    <row r="1884" spans="2:17" hidden="1" x14ac:dyDescent="0.4">
      <c r="B1884" s="110">
        <v>45805</v>
      </c>
      <c r="C1884" s="122">
        <f t="shared" si="444"/>
        <v>3000000</v>
      </c>
      <c r="D1884" s="111">
        <f t="shared" si="445"/>
        <v>92534</v>
      </c>
      <c r="E1884" s="2">
        <f t="shared" si="446"/>
        <v>2410</v>
      </c>
      <c r="F1884" s="112">
        <f t="shared" si="440"/>
        <v>17000000</v>
      </c>
      <c r="G1884" s="2">
        <f t="shared" si="447"/>
        <v>944865</v>
      </c>
      <c r="H1884" s="113">
        <f t="shared" si="448"/>
        <v>9.9999999999999998E-13</v>
      </c>
      <c r="I1884" s="121">
        <f t="shared" si="441"/>
        <v>2145259</v>
      </c>
      <c r="K1884" s="123">
        <f t="shared" si="449"/>
        <v>3000000</v>
      </c>
      <c r="L1884" s="111">
        <f t="shared" si="450"/>
        <v>92534</v>
      </c>
      <c r="M1884" s="2">
        <f t="shared" si="451"/>
        <v>2410</v>
      </c>
      <c r="N1884" s="112">
        <f t="shared" si="442"/>
        <v>17000000</v>
      </c>
      <c r="O1884" s="2">
        <f t="shared" si="452"/>
        <v>944865</v>
      </c>
      <c r="P1884" s="113">
        <f t="shared" si="453"/>
        <v>9.9999999999999998E-13</v>
      </c>
      <c r="Q1884" s="121">
        <f t="shared" si="443"/>
        <v>2145259</v>
      </c>
    </row>
    <row r="1885" spans="2:17" hidden="1" x14ac:dyDescent="0.4">
      <c r="B1885" s="110">
        <v>45806</v>
      </c>
      <c r="C1885" s="122">
        <f t="shared" si="444"/>
        <v>3000000</v>
      </c>
      <c r="D1885" s="111">
        <f t="shared" si="445"/>
        <v>92534</v>
      </c>
      <c r="E1885" s="2">
        <f t="shared" si="446"/>
        <v>2410</v>
      </c>
      <c r="F1885" s="112">
        <f t="shared" si="440"/>
        <v>17000000</v>
      </c>
      <c r="G1885" s="2">
        <f t="shared" si="447"/>
        <v>944865</v>
      </c>
      <c r="H1885" s="113">
        <f t="shared" si="448"/>
        <v>9.9999999999999998E-13</v>
      </c>
      <c r="I1885" s="121">
        <f t="shared" si="441"/>
        <v>2145259</v>
      </c>
      <c r="K1885" s="123">
        <f t="shared" si="449"/>
        <v>3000000</v>
      </c>
      <c r="L1885" s="111">
        <f t="shared" si="450"/>
        <v>92534</v>
      </c>
      <c r="M1885" s="2">
        <f t="shared" si="451"/>
        <v>2410</v>
      </c>
      <c r="N1885" s="112">
        <f t="shared" si="442"/>
        <v>17000000</v>
      </c>
      <c r="O1885" s="2">
        <f t="shared" si="452"/>
        <v>944865</v>
      </c>
      <c r="P1885" s="113">
        <f t="shared" si="453"/>
        <v>9.9999999999999998E-13</v>
      </c>
      <c r="Q1885" s="121">
        <f t="shared" si="443"/>
        <v>2145259</v>
      </c>
    </row>
    <row r="1886" spans="2:17" hidden="1" x14ac:dyDescent="0.4">
      <c r="B1886" s="110">
        <v>45807</v>
      </c>
      <c r="C1886" s="122">
        <f t="shared" si="444"/>
        <v>3000000</v>
      </c>
      <c r="D1886" s="111">
        <f t="shared" si="445"/>
        <v>92534</v>
      </c>
      <c r="E1886" s="2">
        <f t="shared" si="446"/>
        <v>2410</v>
      </c>
      <c r="F1886" s="112">
        <f t="shared" si="440"/>
        <v>17000000</v>
      </c>
      <c r="G1886" s="2">
        <f t="shared" si="447"/>
        <v>944865</v>
      </c>
      <c r="H1886" s="113">
        <f t="shared" si="448"/>
        <v>9.9999999999999998E-13</v>
      </c>
      <c r="I1886" s="121">
        <f t="shared" si="441"/>
        <v>2145259</v>
      </c>
      <c r="K1886" s="123">
        <f t="shared" si="449"/>
        <v>3000000</v>
      </c>
      <c r="L1886" s="111">
        <f t="shared" si="450"/>
        <v>92534</v>
      </c>
      <c r="M1886" s="2">
        <f t="shared" si="451"/>
        <v>2410</v>
      </c>
      <c r="N1886" s="112">
        <f t="shared" si="442"/>
        <v>17000000</v>
      </c>
      <c r="O1886" s="2">
        <f t="shared" si="452"/>
        <v>944865</v>
      </c>
      <c r="P1886" s="113">
        <f t="shared" si="453"/>
        <v>9.9999999999999998E-13</v>
      </c>
      <c r="Q1886" s="121">
        <f t="shared" si="443"/>
        <v>2145259</v>
      </c>
    </row>
    <row r="1887" spans="2:17" hidden="1" x14ac:dyDescent="0.4">
      <c r="B1887" s="110">
        <v>45808</v>
      </c>
      <c r="C1887" s="122">
        <f t="shared" si="444"/>
        <v>3000000</v>
      </c>
      <c r="D1887" s="111">
        <f t="shared" si="445"/>
        <v>92534</v>
      </c>
      <c r="E1887" s="2">
        <f t="shared" si="446"/>
        <v>2410</v>
      </c>
      <c r="F1887" s="112">
        <f t="shared" si="440"/>
        <v>17000000</v>
      </c>
      <c r="G1887" s="2">
        <f t="shared" si="447"/>
        <v>944865</v>
      </c>
      <c r="H1887" s="113">
        <f t="shared" si="448"/>
        <v>9.9999999999999998E-13</v>
      </c>
      <c r="I1887" s="121">
        <f t="shared" si="441"/>
        <v>2145259</v>
      </c>
      <c r="K1887" s="123">
        <f t="shared" si="449"/>
        <v>3000000</v>
      </c>
      <c r="L1887" s="111">
        <f t="shared" si="450"/>
        <v>92534</v>
      </c>
      <c r="M1887" s="2">
        <f t="shared" si="451"/>
        <v>2410</v>
      </c>
      <c r="N1887" s="112">
        <f t="shared" si="442"/>
        <v>17000000</v>
      </c>
      <c r="O1887" s="2">
        <f t="shared" si="452"/>
        <v>944865</v>
      </c>
      <c r="P1887" s="113">
        <f t="shared" si="453"/>
        <v>9.9999999999999998E-13</v>
      </c>
      <c r="Q1887" s="121">
        <f t="shared" si="443"/>
        <v>2145259</v>
      </c>
    </row>
    <row r="1888" spans="2:17" x14ac:dyDescent="0.4">
      <c r="B1888" s="110">
        <v>45809</v>
      </c>
      <c r="C1888" s="122">
        <f t="shared" si="444"/>
        <v>3000000</v>
      </c>
      <c r="D1888" s="111">
        <f t="shared" si="445"/>
        <v>92534</v>
      </c>
      <c r="E1888" s="2">
        <f t="shared" si="446"/>
        <v>2410</v>
      </c>
      <c r="F1888" s="112">
        <f t="shared" si="440"/>
        <v>17000000</v>
      </c>
      <c r="G1888" s="2">
        <f t="shared" si="447"/>
        <v>944865</v>
      </c>
      <c r="H1888" s="113">
        <f t="shared" si="448"/>
        <v>9.9999999999999998E-13</v>
      </c>
      <c r="I1888" s="121">
        <f t="shared" si="441"/>
        <v>2145259</v>
      </c>
      <c r="K1888" s="123">
        <f t="shared" si="449"/>
        <v>3000000</v>
      </c>
      <c r="L1888" s="111">
        <f t="shared" si="450"/>
        <v>92534</v>
      </c>
      <c r="M1888" s="2">
        <f t="shared" si="451"/>
        <v>2410</v>
      </c>
      <c r="N1888" s="112">
        <f t="shared" si="442"/>
        <v>17000000</v>
      </c>
      <c r="O1888" s="2">
        <f t="shared" si="452"/>
        <v>944865</v>
      </c>
      <c r="P1888" s="113">
        <f t="shared" si="453"/>
        <v>9.9999999999999998E-13</v>
      </c>
      <c r="Q1888" s="121">
        <f t="shared" si="443"/>
        <v>2145259</v>
      </c>
    </row>
    <row r="1889" spans="2:17" hidden="1" x14ac:dyDescent="0.4">
      <c r="B1889" s="110">
        <v>45810</v>
      </c>
      <c r="C1889" s="122">
        <f t="shared" si="444"/>
        <v>3000000</v>
      </c>
      <c r="D1889" s="111">
        <f t="shared" si="445"/>
        <v>96653</v>
      </c>
      <c r="E1889" s="2">
        <f t="shared" si="446"/>
        <v>2410</v>
      </c>
      <c r="F1889" s="112">
        <f t="shared" si="440"/>
        <v>17000000</v>
      </c>
      <c r="G1889" s="2">
        <f t="shared" si="447"/>
        <v>944865</v>
      </c>
      <c r="H1889" s="113">
        <f t="shared" si="448"/>
        <v>9.9999999999999998E-13</v>
      </c>
      <c r="I1889" s="121">
        <f t="shared" si="441"/>
        <v>2149378</v>
      </c>
      <c r="K1889" s="123">
        <f t="shared" si="449"/>
        <v>3000000</v>
      </c>
      <c r="L1889" s="111">
        <f t="shared" si="450"/>
        <v>96653</v>
      </c>
      <c r="M1889" s="2">
        <f t="shared" si="451"/>
        <v>2410</v>
      </c>
      <c r="N1889" s="112">
        <f t="shared" si="442"/>
        <v>17000000</v>
      </c>
      <c r="O1889" s="2">
        <f t="shared" si="452"/>
        <v>944865</v>
      </c>
      <c r="P1889" s="113">
        <f t="shared" si="453"/>
        <v>9.9999999999999998E-13</v>
      </c>
      <c r="Q1889" s="121">
        <f t="shared" si="443"/>
        <v>2149378</v>
      </c>
    </row>
    <row r="1890" spans="2:17" hidden="1" x14ac:dyDescent="0.4">
      <c r="B1890" s="110">
        <v>45811</v>
      </c>
      <c r="C1890" s="122">
        <f t="shared" si="444"/>
        <v>3000000</v>
      </c>
      <c r="D1890" s="111">
        <f t="shared" si="445"/>
        <v>96653</v>
      </c>
      <c r="E1890" s="2">
        <f t="shared" si="446"/>
        <v>2410</v>
      </c>
      <c r="F1890" s="112">
        <f t="shared" si="440"/>
        <v>17000000</v>
      </c>
      <c r="G1890" s="2">
        <f t="shared" si="447"/>
        <v>944865</v>
      </c>
      <c r="H1890" s="113">
        <f t="shared" si="448"/>
        <v>9.9999999999999998E-13</v>
      </c>
      <c r="I1890" s="121">
        <f t="shared" si="441"/>
        <v>2149378</v>
      </c>
      <c r="K1890" s="123">
        <f t="shared" si="449"/>
        <v>3000000</v>
      </c>
      <c r="L1890" s="111">
        <f t="shared" si="450"/>
        <v>96653</v>
      </c>
      <c r="M1890" s="2">
        <f t="shared" si="451"/>
        <v>2410</v>
      </c>
      <c r="N1890" s="112">
        <f t="shared" si="442"/>
        <v>17000000</v>
      </c>
      <c r="O1890" s="2">
        <f t="shared" si="452"/>
        <v>944865</v>
      </c>
      <c r="P1890" s="113">
        <f t="shared" si="453"/>
        <v>9.9999999999999998E-13</v>
      </c>
      <c r="Q1890" s="121">
        <f t="shared" si="443"/>
        <v>2149378</v>
      </c>
    </row>
    <row r="1891" spans="2:17" hidden="1" x14ac:dyDescent="0.4">
      <c r="B1891" s="110">
        <v>45812</v>
      </c>
      <c r="C1891" s="122">
        <f t="shared" si="444"/>
        <v>3000000</v>
      </c>
      <c r="D1891" s="111">
        <f t="shared" si="445"/>
        <v>96653</v>
      </c>
      <c r="E1891" s="2">
        <f t="shared" si="446"/>
        <v>2410</v>
      </c>
      <c r="F1891" s="112">
        <f t="shared" si="440"/>
        <v>17000000</v>
      </c>
      <c r="G1891" s="2">
        <f t="shared" si="447"/>
        <v>944865</v>
      </c>
      <c r="H1891" s="113">
        <f t="shared" si="448"/>
        <v>9.9999999999999998E-13</v>
      </c>
      <c r="I1891" s="121">
        <f t="shared" si="441"/>
        <v>2149378</v>
      </c>
      <c r="K1891" s="123">
        <f t="shared" si="449"/>
        <v>3000000</v>
      </c>
      <c r="L1891" s="111">
        <f t="shared" si="450"/>
        <v>96653</v>
      </c>
      <c r="M1891" s="2">
        <f t="shared" si="451"/>
        <v>2410</v>
      </c>
      <c r="N1891" s="112">
        <f t="shared" si="442"/>
        <v>17000000</v>
      </c>
      <c r="O1891" s="2">
        <f t="shared" si="452"/>
        <v>944865</v>
      </c>
      <c r="P1891" s="113">
        <f t="shared" si="453"/>
        <v>9.9999999999999998E-13</v>
      </c>
      <c r="Q1891" s="121">
        <f t="shared" si="443"/>
        <v>2149378</v>
      </c>
    </row>
    <row r="1892" spans="2:17" hidden="1" x14ac:dyDescent="0.4">
      <c r="B1892" s="110">
        <v>45813</v>
      </c>
      <c r="C1892" s="122">
        <f t="shared" si="444"/>
        <v>3000000</v>
      </c>
      <c r="D1892" s="111">
        <f t="shared" si="445"/>
        <v>96653</v>
      </c>
      <c r="E1892" s="2">
        <f t="shared" si="446"/>
        <v>2410</v>
      </c>
      <c r="F1892" s="112">
        <f t="shared" si="440"/>
        <v>17000000</v>
      </c>
      <c r="G1892" s="2">
        <f t="shared" si="447"/>
        <v>944865</v>
      </c>
      <c r="H1892" s="113">
        <f t="shared" si="448"/>
        <v>9.9999999999999998E-13</v>
      </c>
      <c r="I1892" s="121">
        <f t="shared" si="441"/>
        <v>2149378</v>
      </c>
      <c r="K1892" s="123">
        <f t="shared" si="449"/>
        <v>3000000</v>
      </c>
      <c r="L1892" s="111">
        <f t="shared" si="450"/>
        <v>96653</v>
      </c>
      <c r="M1892" s="2">
        <f t="shared" si="451"/>
        <v>2410</v>
      </c>
      <c r="N1892" s="112">
        <f t="shared" si="442"/>
        <v>17000000</v>
      </c>
      <c r="O1892" s="2">
        <f t="shared" si="452"/>
        <v>944865</v>
      </c>
      <c r="P1892" s="113">
        <f t="shared" si="453"/>
        <v>9.9999999999999998E-13</v>
      </c>
      <c r="Q1892" s="121">
        <f t="shared" si="443"/>
        <v>2149378</v>
      </c>
    </row>
    <row r="1893" spans="2:17" hidden="1" x14ac:dyDescent="0.4">
      <c r="B1893" s="110">
        <v>45814</v>
      </c>
      <c r="C1893" s="122">
        <f t="shared" si="444"/>
        <v>3000000</v>
      </c>
      <c r="D1893" s="111">
        <f t="shared" si="445"/>
        <v>96653</v>
      </c>
      <c r="E1893" s="2">
        <f t="shared" si="446"/>
        <v>2410</v>
      </c>
      <c r="F1893" s="112">
        <f t="shared" si="440"/>
        <v>17000000</v>
      </c>
      <c r="G1893" s="2">
        <f t="shared" si="447"/>
        <v>944865</v>
      </c>
      <c r="H1893" s="113">
        <f t="shared" si="448"/>
        <v>9.9999999999999998E-13</v>
      </c>
      <c r="I1893" s="121">
        <f t="shared" si="441"/>
        <v>2149378</v>
      </c>
      <c r="K1893" s="123">
        <f t="shared" si="449"/>
        <v>3000000</v>
      </c>
      <c r="L1893" s="111">
        <f t="shared" si="450"/>
        <v>96653</v>
      </c>
      <c r="M1893" s="2">
        <f t="shared" si="451"/>
        <v>2410</v>
      </c>
      <c r="N1893" s="112">
        <f t="shared" si="442"/>
        <v>17000000</v>
      </c>
      <c r="O1893" s="2">
        <f t="shared" si="452"/>
        <v>944865</v>
      </c>
      <c r="P1893" s="113">
        <f t="shared" si="453"/>
        <v>9.9999999999999998E-13</v>
      </c>
      <c r="Q1893" s="121">
        <f t="shared" si="443"/>
        <v>2149378</v>
      </c>
    </row>
    <row r="1894" spans="2:17" hidden="1" x14ac:dyDescent="0.4">
      <c r="B1894" s="110">
        <v>45815</v>
      </c>
      <c r="C1894" s="122">
        <f t="shared" si="444"/>
        <v>3000000</v>
      </c>
      <c r="D1894" s="111">
        <f t="shared" si="445"/>
        <v>96653</v>
      </c>
      <c r="E1894" s="2">
        <f t="shared" si="446"/>
        <v>2410</v>
      </c>
      <c r="F1894" s="112">
        <f t="shared" si="440"/>
        <v>17000000</v>
      </c>
      <c r="G1894" s="2">
        <f t="shared" si="447"/>
        <v>944865</v>
      </c>
      <c r="H1894" s="113">
        <f t="shared" si="448"/>
        <v>9.9999999999999998E-13</v>
      </c>
      <c r="I1894" s="121">
        <f t="shared" si="441"/>
        <v>2149378</v>
      </c>
      <c r="K1894" s="123">
        <f t="shared" si="449"/>
        <v>3000000</v>
      </c>
      <c r="L1894" s="111">
        <f t="shared" si="450"/>
        <v>96653</v>
      </c>
      <c r="M1894" s="2">
        <f t="shared" si="451"/>
        <v>2410</v>
      </c>
      <c r="N1894" s="112">
        <f t="shared" si="442"/>
        <v>17000000</v>
      </c>
      <c r="O1894" s="2">
        <f t="shared" si="452"/>
        <v>944865</v>
      </c>
      <c r="P1894" s="113">
        <f t="shared" si="453"/>
        <v>9.9999999999999998E-13</v>
      </c>
      <c r="Q1894" s="121">
        <f t="shared" si="443"/>
        <v>2149378</v>
      </c>
    </row>
    <row r="1895" spans="2:17" hidden="1" x14ac:dyDescent="0.4">
      <c r="B1895" s="110">
        <v>45816</v>
      </c>
      <c r="C1895" s="122">
        <f t="shared" si="444"/>
        <v>3000000</v>
      </c>
      <c r="D1895" s="111">
        <f t="shared" si="445"/>
        <v>96653</v>
      </c>
      <c r="E1895" s="2">
        <f t="shared" si="446"/>
        <v>2410</v>
      </c>
      <c r="F1895" s="112">
        <f t="shared" si="440"/>
        <v>17000000</v>
      </c>
      <c r="G1895" s="2">
        <f t="shared" si="447"/>
        <v>944865</v>
      </c>
      <c r="H1895" s="113">
        <f t="shared" si="448"/>
        <v>9.9999999999999998E-13</v>
      </c>
      <c r="I1895" s="121">
        <f t="shared" si="441"/>
        <v>2149378</v>
      </c>
      <c r="K1895" s="123">
        <f t="shared" si="449"/>
        <v>3000000</v>
      </c>
      <c r="L1895" s="111">
        <f t="shared" si="450"/>
        <v>96653</v>
      </c>
      <c r="M1895" s="2">
        <f t="shared" si="451"/>
        <v>2410</v>
      </c>
      <c r="N1895" s="112">
        <f t="shared" si="442"/>
        <v>17000000</v>
      </c>
      <c r="O1895" s="2">
        <f t="shared" si="452"/>
        <v>944865</v>
      </c>
      <c r="P1895" s="113">
        <f t="shared" si="453"/>
        <v>9.9999999999999998E-13</v>
      </c>
      <c r="Q1895" s="121">
        <f t="shared" si="443"/>
        <v>2149378</v>
      </c>
    </row>
    <row r="1896" spans="2:17" hidden="1" x14ac:dyDescent="0.4">
      <c r="B1896" s="110">
        <v>45817</v>
      </c>
      <c r="C1896" s="122">
        <f t="shared" si="444"/>
        <v>3000000</v>
      </c>
      <c r="D1896" s="111">
        <f t="shared" si="445"/>
        <v>96653</v>
      </c>
      <c r="E1896" s="2">
        <f t="shared" si="446"/>
        <v>2410</v>
      </c>
      <c r="F1896" s="112">
        <f t="shared" si="440"/>
        <v>17000000</v>
      </c>
      <c r="G1896" s="2">
        <f t="shared" si="447"/>
        <v>944865</v>
      </c>
      <c r="H1896" s="113">
        <f t="shared" si="448"/>
        <v>9.9999999999999998E-13</v>
      </c>
      <c r="I1896" s="121">
        <f t="shared" si="441"/>
        <v>2149378</v>
      </c>
      <c r="K1896" s="123">
        <f t="shared" si="449"/>
        <v>3000000</v>
      </c>
      <c r="L1896" s="111">
        <f t="shared" si="450"/>
        <v>96653</v>
      </c>
      <c r="M1896" s="2">
        <f t="shared" si="451"/>
        <v>2410</v>
      </c>
      <c r="N1896" s="112">
        <f t="shared" si="442"/>
        <v>17000000</v>
      </c>
      <c r="O1896" s="2">
        <f t="shared" si="452"/>
        <v>944865</v>
      </c>
      <c r="P1896" s="113">
        <f t="shared" si="453"/>
        <v>9.9999999999999998E-13</v>
      </c>
      <c r="Q1896" s="121">
        <f t="shared" si="443"/>
        <v>2149378</v>
      </c>
    </row>
    <row r="1897" spans="2:17" hidden="1" x14ac:dyDescent="0.4">
      <c r="B1897" s="110">
        <v>45818</v>
      </c>
      <c r="C1897" s="122">
        <f t="shared" si="444"/>
        <v>3000000</v>
      </c>
      <c r="D1897" s="111">
        <f t="shared" si="445"/>
        <v>96653</v>
      </c>
      <c r="E1897" s="2">
        <f t="shared" si="446"/>
        <v>2410</v>
      </c>
      <c r="F1897" s="112">
        <f t="shared" si="440"/>
        <v>17000000</v>
      </c>
      <c r="G1897" s="2">
        <f t="shared" si="447"/>
        <v>944865</v>
      </c>
      <c r="H1897" s="113">
        <f t="shared" si="448"/>
        <v>9.9999999999999998E-13</v>
      </c>
      <c r="I1897" s="121">
        <f t="shared" si="441"/>
        <v>2149378</v>
      </c>
      <c r="K1897" s="123">
        <f t="shared" si="449"/>
        <v>3000000</v>
      </c>
      <c r="L1897" s="111">
        <f t="shared" si="450"/>
        <v>96653</v>
      </c>
      <c r="M1897" s="2">
        <f t="shared" si="451"/>
        <v>2410</v>
      </c>
      <c r="N1897" s="112">
        <f t="shared" si="442"/>
        <v>17000000</v>
      </c>
      <c r="O1897" s="2">
        <f t="shared" si="452"/>
        <v>944865</v>
      </c>
      <c r="P1897" s="113">
        <f t="shared" si="453"/>
        <v>9.9999999999999998E-13</v>
      </c>
      <c r="Q1897" s="121">
        <f t="shared" si="443"/>
        <v>2149378</v>
      </c>
    </row>
    <row r="1898" spans="2:17" hidden="1" x14ac:dyDescent="0.4">
      <c r="B1898" s="110">
        <v>45819</v>
      </c>
      <c r="C1898" s="122">
        <f t="shared" si="444"/>
        <v>3000000</v>
      </c>
      <c r="D1898" s="111">
        <f t="shared" si="445"/>
        <v>96653</v>
      </c>
      <c r="E1898" s="2">
        <f t="shared" si="446"/>
        <v>2410</v>
      </c>
      <c r="F1898" s="112">
        <f t="shared" si="440"/>
        <v>17000000</v>
      </c>
      <c r="G1898" s="2">
        <f t="shared" si="447"/>
        <v>944865</v>
      </c>
      <c r="H1898" s="113">
        <f t="shared" si="448"/>
        <v>9.9999999999999998E-13</v>
      </c>
      <c r="I1898" s="121">
        <f t="shared" si="441"/>
        <v>2149378</v>
      </c>
      <c r="K1898" s="123">
        <f t="shared" si="449"/>
        <v>3000000</v>
      </c>
      <c r="L1898" s="111">
        <f t="shared" si="450"/>
        <v>96653</v>
      </c>
      <c r="M1898" s="2">
        <f t="shared" si="451"/>
        <v>2410</v>
      </c>
      <c r="N1898" s="112">
        <f t="shared" si="442"/>
        <v>17000000</v>
      </c>
      <c r="O1898" s="2">
        <f t="shared" si="452"/>
        <v>944865</v>
      </c>
      <c r="P1898" s="113">
        <f t="shared" si="453"/>
        <v>9.9999999999999998E-13</v>
      </c>
      <c r="Q1898" s="121">
        <f t="shared" si="443"/>
        <v>2149378</v>
      </c>
    </row>
    <row r="1899" spans="2:17" hidden="1" x14ac:dyDescent="0.4">
      <c r="B1899" s="110">
        <v>45820</v>
      </c>
      <c r="C1899" s="122">
        <f t="shared" si="444"/>
        <v>3000000</v>
      </c>
      <c r="D1899" s="111">
        <f t="shared" si="445"/>
        <v>96653</v>
      </c>
      <c r="E1899" s="2">
        <f t="shared" si="446"/>
        <v>2410</v>
      </c>
      <c r="F1899" s="112">
        <f t="shared" si="440"/>
        <v>17000000</v>
      </c>
      <c r="G1899" s="2">
        <f t="shared" si="447"/>
        <v>944865</v>
      </c>
      <c r="H1899" s="113">
        <f t="shared" si="448"/>
        <v>9.9999999999999998E-13</v>
      </c>
      <c r="I1899" s="121">
        <f t="shared" si="441"/>
        <v>2149378</v>
      </c>
      <c r="K1899" s="123">
        <f t="shared" si="449"/>
        <v>3000000</v>
      </c>
      <c r="L1899" s="111">
        <f t="shared" si="450"/>
        <v>96653</v>
      </c>
      <c r="M1899" s="2">
        <f t="shared" si="451"/>
        <v>2410</v>
      </c>
      <c r="N1899" s="112">
        <f t="shared" si="442"/>
        <v>17000000</v>
      </c>
      <c r="O1899" s="2">
        <f t="shared" si="452"/>
        <v>944865</v>
      </c>
      <c r="P1899" s="113">
        <f t="shared" si="453"/>
        <v>9.9999999999999998E-13</v>
      </c>
      <c r="Q1899" s="121">
        <f t="shared" si="443"/>
        <v>2149378</v>
      </c>
    </row>
    <row r="1900" spans="2:17" hidden="1" x14ac:dyDescent="0.4">
      <c r="B1900" s="110">
        <v>45821</v>
      </c>
      <c r="C1900" s="122">
        <f t="shared" si="444"/>
        <v>3000000</v>
      </c>
      <c r="D1900" s="111">
        <f t="shared" si="445"/>
        <v>96653</v>
      </c>
      <c r="E1900" s="2">
        <f t="shared" si="446"/>
        <v>2410</v>
      </c>
      <c r="F1900" s="112">
        <f t="shared" si="440"/>
        <v>17000000</v>
      </c>
      <c r="G1900" s="2">
        <f t="shared" si="447"/>
        <v>944865</v>
      </c>
      <c r="H1900" s="113">
        <f t="shared" si="448"/>
        <v>9.9999999999999998E-13</v>
      </c>
      <c r="I1900" s="121">
        <f t="shared" si="441"/>
        <v>2149378</v>
      </c>
      <c r="K1900" s="123">
        <f t="shared" si="449"/>
        <v>3000000</v>
      </c>
      <c r="L1900" s="111">
        <f t="shared" si="450"/>
        <v>96653</v>
      </c>
      <c r="M1900" s="2">
        <f t="shared" si="451"/>
        <v>2410</v>
      </c>
      <c r="N1900" s="112">
        <f t="shared" si="442"/>
        <v>17000000</v>
      </c>
      <c r="O1900" s="2">
        <f t="shared" si="452"/>
        <v>944865</v>
      </c>
      <c r="P1900" s="113">
        <f t="shared" si="453"/>
        <v>9.9999999999999998E-13</v>
      </c>
      <c r="Q1900" s="121">
        <f t="shared" si="443"/>
        <v>2149378</v>
      </c>
    </row>
    <row r="1901" spans="2:17" hidden="1" x14ac:dyDescent="0.4">
      <c r="B1901" s="110">
        <v>45822</v>
      </c>
      <c r="C1901" s="122">
        <f t="shared" si="444"/>
        <v>3000000</v>
      </c>
      <c r="D1901" s="111">
        <f t="shared" si="445"/>
        <v>96653</v>
      </c>
      <c r="E1901" s="2">
        <f t="shared" si="446"/>
        <v>2410</v>
      </c>
      <c r="F1901" s="112">
        <f t="shared" si="440"/>
        <v>17000000</v>
      </c>
      <c r="G1901" s="2">
        <f t="shared" si="447"/>
        <v>944865</v>
      </c>
      <c r="H1901" s="113">
        <f t="shared" si="448"/>
        <v>9.9999999999999998E-13</v>
      </c>
      <c r="I1901" s="121">
        <f t="shared" si="441"/>
        <v>2149378</v>
      </c>
      <c r="K1901" s="123">
        <f t="shared" si="449"/>
        <v>3000000</v>
      </c>
      <c r="L1901" s="111">
        <f t="shared" si="450"/>
        <v>96653</v>
      </c>
      <c r="M1901" s="2">
        <f t="shared" si="451"/>
        <v>2410</v>
      </c>
      <c r="N1901" s="112">
        <f t="shared" si="442"/>
        <v>17000000</v>
      </c>
      <c r="O1901" s="2">
        <f t="shared" si="452"/>
        <v>944865</v>
      </c>
      <c r="P1901" s="113">
        <f t="shared" si="453"/>
        <v>9.9999999999999998E-13</v>
      </c>
      <c r="Q1901" s="121">
        <f t="shared" si="443"/>
        <v>2149378</v>
      </c>
    </row>
    <row r="1902" spans="2:17" hidden="1" x14ac:dyDescent="0.4">
      <c r="B1902" s="110">
        <v>45823</v>
      </c>
      <c r="C1902" s="122">
        <f t="shared" si="444"/>
        <v>3000000</v>
      </c>
      <c r="D1902" s="111">
        <f t="shared" si="445"/>
        <v>96653</v>
      </c>
      <c r="E1902" s="2">
        <f t="shared" si="446"/>
        <v>2410</v>
      </c>
      <c r="F1902" s="112">
        <f t="shared" si="440"/>
        <v>17000000</v>
      </c>
      <c r="G1902" s="2">
        <f t="shared" si="447"/>
        <v>944865</v>
      </c>
      <c r="H1902" s="113">
        <f t="shared" si="448"/>
        <v>9.9999999999999998E-13</v>
      </c>
      <c r="I1902" s="121">
        <f t="shared" si="441"/>
        <v>2149378</v>
      </c>
      <c r="K1902" s="123">
        <f t="shared" si="449"/>
        <v>3000000</v>
      </c>
      <c r="L1902" s="111">
        <f t="shared" si="450"/>
        <v>96653</v>
      </c>
      <c r="M1902" s="2">
        <f t="shared" si="451"/>
        <v>2410</v>
      </c>
      <c r="N1902" s="112">
        <f t="shared" si="442"/>
        <v>17000000</v>
      </c>
      <c r="O1902" s="2">
        <f t="shared" si="452"/>
        <v>944865</v>
      </c>
      <c r="P1902" s="113">
        <f t="shared" si="453"/>
        <v>9.9999999999999998E-13</v>
      </c>
      <c r="Q1902" s="121">
        <f t="shared" si="443"/>
        <v>2149378</v>
      </c>
    </row>
    <row r="1903" spans="2:17" hidden="1" x14ac:dyDescent="0.4">
      <c r="B1903" s="110">
        <v>45824</v>
      </c>
      <c r="C1903" s="122">
        <f t="shared" si="444"/>
        <v>4000000</v>
      </c>
      <c r="D1903" s="111">
        <f t="shared" si="445"/>
        <v>96653</v>
      </c>
      <c r="E1903" s="2">
        <f t="shared" si="446"/>
        <v>2410</v>
      </c>
      <c r="F1903" s="112">
        <f t="shared" si="440"/>
        <v>16000000</v>
      </c>
      <c r="G1903" s="2">
        <f t="shared" si="447"/>
        <v>944865</v>
      </c>
      <c r="H1903" s="113">
        <f t="shared" si="448"/>
        <v>9.9999999999999998E-13</v>
      </c>
      <c r="I1903" s="121">
        <f t="shared" si="441"/>
        <v>3149378</v>
      </c>
      <c r="K1903" s="123">
        <f t="shared" si="449"/>
        <v>4000000</v>
      </c>
      <c r="L1903" s="111">
        <f t="shared" si="450"/>
        <v>96653</v>
      </c>
      <c r="M1903" s="2">
        <f t="shared" si="451"/>
        <v>2410</v>
      </c>
      <c r="N1903" s="112">
        <f t="shared" si="442"/>
        <v>16000000</v>
      </c>
      <c r="O1903" s="2">
        <f t="shared" si="452"/>
        <v>944865</v>
      </c>
      <c r="P1903" s="113">
        <f t="shared" si="453"/>
        <v>9.9999999999999998E-13</v>
      </c>
      <c r="Q1903" s="121">
        <f t="shared" si="443"/>
        <v>3149378</v>
      </c>
    </row>
    <row r="1904" spans="2:17" hidden="1" x14ac:dyDescent="0.4">
      <c r="B1904" s="110">
        <v>45825</v>
      </c>
      <c r="C1904" s="122">
        <f t="shared" si="444"/>
        <v>4000000</v>
      </c>
      <c r="D1904" s="111">
        <f t="shared" si="445"/>
        <v>97283</v>
      </c>
      <c r="E1904" s="2">
        <f t="shared" si="446"/>
        <v>2410</v>
      </c>
      <c r="F1904" s="112">
        <f t="shared" si="440"/>
        <v>16000000</v>
      </c>
      <c r="G1904" s="2">
        <f t="shared" si="447"/>
        <v>944865</v>
      </c>
      <c r="H1904" s="113">
        <f t="shared" si="448"/>
        <v>9.9999999999999998E-13</v>
      </c>
      <c r="I1904" s="121">
        <f t="shared" si="441"/>
        <v>3150008</v>
      </c>
      <c r="K1904" s="123">
        <f t="shared" si="449"/>
        <v>4000000</v>
      </c>
      <c r="L1904" s="111">
        <f t="shared" si="450"/>
        <v>97283</v>
      </c>
      <c r="M1904" s="2">
        <f t="shared" si="451"/>
        <v>2410</v>
      </c>
      <c r="N1904" s="112">
        <f t="shared" si="442"/>
        <v>16000000</v>
      </c>
      <c r="O1904" s="2">
        <f t="shared" si="452"/>
        <v>944865</v>
      </c>
      <c r="P1904" s="113">
        <f t="shared" si="453"/>
        <v>9.9999999999999998E-13</v>
      </c>
      <c r="Q1904" s="121">
        <f t="shared" si="443"/>
        <v>3150008</v>
      </c>
    </row>
    <row r="1905" spans="2:17" hidden="1" x14ac:dyDescent="0.4">
      <c r="B1905" s="110">
        <v>45826</v>
      </c>
      <c r="C1905" s="122">
        <f t="shared" si="444"/>
        <v>4000000</v>
      </c>
      <c r="D1905" s="111">
        <f t="shared" si="445"/>
        <v>97283</v>
      </c>
      <c r="E1905" s="2">
        <f t="shared" si="446"/>
        <v>2410</v>
      </c>
      <c r="F1905" s="112">
        <f t="shared" si="440"/>
        <v>16000000</v>
      </c>
      <c r="G1905" s="2">
        <f t="shared" si="447"/>
        <v>944865</v>
      </c>
      <c r="H1905" s="113">
        <f t="shared" si="448"/>
        <v>9.9999999999999998E-13</v>
      </c>
      <c r="I1905" s="121">
        <f t="shared" si="441"/>
        <v>3150008</v>
      </c>
      <c r="K1905" s="123">
        <f t="shared" si="449"/>
        <v>4000000</v>
      </c>
      <c r="L1905" s="111">
        <f t="shared" si="450"/>
        <v>97283</v>
      </c>
      <c r="M1905" s="2">
        <f t="shared" si="451"/>
        <v>2410</v>
      </c>
      <c r="N1905" s="112">
        <f t="shared" si="442"/>
        <v>16000000</v>
      </c>
      <c r="O1905" s="2">
        <f t="shared" si="452"/>
        <v>944865</v>
      </c>
      <c r="P1905" s="113">
        <f t="shared" si="453"/>
        <v>9.9999999999999998E-13</v>
      </c>
      <c r="Q1905" s="121">
        <f t="shared" si="443"/>
        <v>3150008</v>
      </c>
    </row>
    <row r="1906" spans="2:17" hidden="1" x14ac:dyDescent="0.4">
      <c r="B1906" s="110">
        <v>45827</v>
      </c>
      <c r="C1906" s="122">
        <f t="shared" si="444"/>
        <v>4000000</v>
      </c>
      <c r="D1906" s="111">
        <f t="shared" si="445"/>
        <v>97283</v>
      </c>
      <c r="E1906" s="2">
        <f t="shared" si="446"/>
        <v>2410</v>
      </c>
      <c r="F1906" s="112">
        <f t="shared" si="440"/>
        <v>16000000</v>
      </c>
      <c r="G1906" s="2">
        <f t="shared" si="447"/>
        <v>944865</v>
      </c>
      <c r="H1906" s="113">
        <f t="shared" si="448"/>
        <v>9.9999999999999998E-13</v>
      </c>
      <c r="I1906" s="121">
        <f t="shared" si="441"/>
        <v>3150008</v>
      </c>
      <c r="K1906" s="123">
        <f t="shared" si="449"/>
        <v>4000000</v>
      </c>
      <c r="L1906" s="111">
        <f t="shared" si="450"/>
        <v>97283</v>
      </c>
      <c r="M1906" s="2">
        <f t="shared" si="451"/>
        <v>2410</v>
      </c>
      <c r="N1906" s="112">
        <f t="shared" si="442"/>
        <v>16000000</v>
      </c>
      <c r="O1906" s="2">
        <f t="shared" si="452"/>
        <v>944865</v>
      </c>
      <c r="P1906" s="113">
        <f t="shared" si="453"/>
        <v>9.9999999999999998E-13</v>
      </c>
      <c r="Q1906" s="121">
        <f t="shared" si="443"/>
        <v>3150008</v>
      </c>
    </row>
    <row r="1907" spans="2:17" hidden="1" x14ac:dyDescent="0.4">
      <c r="B1907" s="110">
        <v>45828</v>
      </c>
      <c r="C1907" s="122">
        <f t="shared" si="444"/>
        <v>4000000</v>
      </c>
      <c r="D1907" s="111">
        <f t="shared" si="445"/>
        <v>97283</v>
      </c>
      <c r="E1907" s="2">
        <f t="shared" si="446"/>
        <v>2410</v>
      </c>
      <c r="F1907" s="112">
        <f t="shared" si="440"/>
        <v>16000000</v>
      </c>
      <c r="G1907" s="2">
        <f t="shared" si="447"/>
        <v>944865</v>
      </c>
      <c r="H1907" s="113">
        <f t="shared" si="448"/>
        <v>9.9999999999999998E-13</v>
      </c>
      <c r="I1907" s="121">
        <f t="shared" si="441"/>
        <v>3150008</v>
      </c>
      <c r="K1907" s="123">
        <f t="shared" si="449"/>
        <v>4000000</v>
      </c>
      <c r="L1907" s="111">
        <f t="shared" si="450"/>
        <v>97283</v>
      </c>
      <c r="M1907" s="2">
        <f t="shared" si="451"/>
        <v>2410</v>
      </c>
      <c r="N1907" s="112">
        <f t="shared" si="442"/>
        <v>16000000</v>
      </c>
      <c r="O1907" s="2">
        <f t="shared" si="452"/>
        <v>944865</v>
      </c>
      <c r="P1907" s="113">
        <f t="shared" si="453"/>
        <v>9.9999999999999998E-13</v>
      </c>
      <c r="Q1907" s="121">
        <f t="shared" si="443"/>
        <v>3150008</v>
      </c>
    </row>
    <row r="1908" spans="2:17" hidden="1" x14ac:dyDescent="0.4">
      <c r="B1908" s="110">
        <v>45829</v>
      </c>
      <c r="C1908" s="122">
        <f t="shared" si="444"/>
        <v>4000000</v>
      </c>
      <c r="D1908" s="111">
        <f t="shared" si="445"/>
        <v>97283</v>
      </c>
      <c r="E1908" s="2">
        <f t="shared" si="446"/>
        <v>2410</v>
      </c>
      <c r="F1908" s="112">
        <f t="shared" si="440"/>
        <v>16000000</v>
      </c>
      <c r="G1908" s="2">
        <f t="shared" si="447"/>
        <v>944865</v>
      </c>
      <c r="H1908" s="113">
        <f t="shared" si="448"/>
        <v>9.9999999999999998E-13</v>
      </c>
      <c r="I1908" s="121">
        <f t="shared" si="441"/>
        <v>3150008</v>
      </c>
      <c r="K1908" s="123">
        <f t="shared" si="449"/>
        <v>4000000</v>
      </c>
      <c r="L1908" s="111">
        <f t="shared" si="450"/>
        <v>97283</v>
      </c>
      <c r="M1908" s="2">
        <f t="shared" si="451"/>
        <v>2410</v>
      </c>
      <c r="N1908" s="112">
        <f t="shared" si="442"/>
        <v>16000000</v>
      </c>
      <c r="O1908" s="2">
        <f t="shared" si="452"/>
        <v>944865</v>
      </c>
      <c r="P1908" s="113">
        <f t="shared" si="453"/>
        <v>9.9999999999999998E-13</v>
      </c>
      <c r="Q1908" s="121">
        <f t="shared" si="443"/>
        <v>3150008</v>
      </c>
    </row>
    <row r="1909" spans="2:17" hidden="1" x14ac:dyDescent="0.4">
      <c r="B1909" s="110">
        <v>45830</v>
      </c>
      <c r="C1909" s="122">
        <f t="shared" si="444"/>
        <v>4000000</v>
      </c>
      <c r="D1909" s="111">
        <f t="shared" si="445"/>
        <v>97283</v>
      </c>
      <c r="E1909" s="2">
        <f t="shared" si="446"/>
        <v>2410</v>
      </c>
      <c r="F1909" s="112">
        <f t="shared" si="440"/>
        <v>16000000</v>
      </c>
      <c r="G1909" s="2">
        <f t="shared" si="447"/>
        <v>944865</v>
      </c>
      <c r="H1909" s="113">
        <f t="shared" si="448"/>
        <v>9.9999999999999998E-13</v>
      </c>
      <c r="I1909" s="121">
        <f t="shared" si="441"/>
        <v>3150008</v>
      </c>
      <c r="K1909" s="123">
        <f t="shared" si="449"/>
        <v>4000000</v>
      </c>
      <c r="L1909" s="111">
        <f t="shared" si="450"/>
        <v>97283</v>
      </c>
      <c r="M1909" s="2">
        <f t="shared" si="451"/>
        <v>2410</v>
      </c>
      <c r="N1909" s="112">
        <f t="shared" si="442"/>
        <v>16000000</v>
      </c>
      <c r="O1909" s="2">
        <f t="shared" si="452"/>
        <v>944865</v>
      </c>
      <c r="P1909" s="113">
        <f t="shared" si="453"/>
        <v>9.9999999999999998E-13</v>
      </c>
      <c r="Q1909" s="121">
        <f t="shared" si="443"/>
        <v>3150008</v>
      </c>
    </row>
    <row r="1910" spans="2:17" hidden="1" x14ac:dyDescent="0.4">
      <c r="B1910" s="110">
        <v>45831</v>
      </c>
      <c r="C1910" s="122">
        <f t="shared" si="444"/>
        <v>4000000</v>
      </c>
      <c r="D1910" s="111">
        <f t="shared" si="445"/>
        <v>97283</v>
      </c>
      <c r="E1910" s="2">
        <f t="shared" si="446"/>
        <v>2410</v>
      </c>
      <c r="F1910" s="112">
        <f t="shared" si="440"/>
        <v>16000000</v>
      </c>
      <c r="G1910" s="2">
        <f t="shared" si="447"/>
        <v>944865</v>
      </c>
      <c r="H1910" s="113">
        <f t="shared" si="448"/>
        <v>9.9999999999999998E-13</v>
      </c>
      <c r="I1910" s="121">
        <f t="shared" si="441"/>
        <v>3150008</v>
      </c>
      <c r="K1910" s="123">
        <f t="shared" si="449"/>
        <v>4000000</v>
      </c>
      <c r="L1910" s="111">
        <f t="shared" si="450"/>
        <v>97283</v>
      </c>
      <c r="M1910" s="2">
        <f t="shared" si="451"/>
        <v>2410</v>
      </c>
      <c r="N1910" s="112">
        <f t="shared" si="442"/>
        <v>16000000</v>
      </c>
      <c r="O1910" s="2">
        <f t="shared" si="452"/>
        <v>944865</v>
      </c>
      <c r="P1910" s="113">
        <f t="shared" si="453"/>
        <v>9.9999999999999998E-13</v>
      </c>
      <c r="Q1910" s="121">
        <f t="shared" si="443"/>
        <v>3150008</v>
      </c>
    </row>
    <row r="1911" spans="2:17" hidden="1" x14ac:dyDescent="0.4">
      <c r="B1911" s="110">
        <v>45832</v>
      </c>
      <c r="C1911" s="122">
        <f t="shared" si="444"/>
        <v>4000000</v>
      </c>
      <c r="D1911" s="111">
        <f t="shared" si="445"/>
        <v>97283</v>
      </c>
      <c r="E1911" s="2">
        <f t="shared" si="446"/>
        <v>2410</v>
      </c>
      <c r="F1911" s="112">
        <f t="shared" si="440"/>
        <v>16000000</v>
      </c>
      <c r="G1911" s="2">
        <f t="shared" si="447"/>
        <v>944865</v>
      </c>
      <c r="H1911" s="113">
        <f t="shared" si="448"/>
        <v>9.9999999999999998E-13</v>
      </c>
      <c r="I1911" s="121">
        <f t="shared" si="441"/>
        <v>3150008</v>
      </c>
      <c r="K1911" s="123">
        <f t="shared" si="449"/>
        <v>4000000</v>
      </c>
      <c r="L1911" s="111">
        <f t="shared" si="450"/>
        <v>97283</v>
      </c>
      <c r="M1911" s="2">
        <f t="shared" si="451"/>
        <v>2410</v>
      </c>
      <c r="N1911" s="112">
        <f t="shared" si="442"/>
        <v>16000000</v>
      </c>
      <c r="O1911" s="2">
        <f t="shared" si="452"/>
        <v>944865</v>
      </c>
      <c r="P1911" s="113">
        <f t="shared" si="453"/>
        <v>9.9999999999999998E-13</v>
      </c>
      <c r="Q1911" s="121">
        <f t="shared" si="443"/>
        <v>3150008</v>
      </c>
    </row>
    <row r="1912" spans="2:17" hidden="1" x14ac:dyDescent="0.4">
      <c r="B1912" s="110">
        <v>45833</v>
      </c>
      <c r="C1912" s="122">
        <f t="shared" si="444"/>
        <v>4000000</v>
      </c>
      <c r="D1912" s="111">
        <f t="shared" si="445"/>
        <v>97283</v>
      </c>
      <c r="E1912" s="2">
        <f t="shared" si="446"/>
        <v>2410</v>
      </c>
      <c r="F1912" s="112">
        <f t="shared" si="440"/>
        <v>16000000</v>
      </c>
      <c r="G1912" s="2">
        <f t="shared" si="447"/>
        <v>944865</v>
      </c>
      <c r="H1912" s="113">
        <f t="shared" si="448"/>
        <v>9.9999999999999998E-13</v>
      </c>
      <c r="I1912" s="121">
        <f t="shared" si="441"/>
        <v>3150008</v>
      </c>
      <c r="K1912" s="123">
        <f t="shared" si="449"/>
        <v>4000000</v>
      </c>
      <c r="L1912" s="111">
        <f t="shared" si="450"/>
        <v>97283</v>
      </c>
      <c r="M1912" s="2">
        <f t="shared" si="451"/>
        <v>2410</v>
      </c>
      <c r="N1912" s="112">
        <f t="shared" si="442"/>
        <v>16000000</v>
      </c>
      <c r="O1912" s="2">
        <f t="shared" si="452"/>
        <v>944865</v>
      </c>
      <c r="P1912" s="113">
        <f t="shared" si="453"/>
        <v>9.9999999999999998E-13</v>
      </c>
      <c r="Q1912" s="121">
        <f t="shared" si="443"/>
        <v>3150008</v>
      </c>
    </row>
    <row r="1913" spans="2:17" hidden="1" x14ac:dyDescent="0.4">
      <c r="B1913" s="110">
        <v>45834</v>
      </c>
      <c r="C1913" s="122">
        <f t="shared" si="444"/>
        <v>4000000</v>
      </c>
      <c r="D1913" s="111">
        <f t="shared" si="445"/>
        <v>97283</v>
      </c>
      <c r="E1913" s="2">
        <f t="shared" si="446"/>
        <v>2410</v>
      </c>
      <c r="F1913" s="112">
        <f t="shared" si="440"/>
        <v>16000000</v>
      </c>
      <c r="G1913" s="2">
        <f t="shared" si="447"/>
        <v>944865</v>
      </c>
      <c r="H1913" s="113">
        <f t="shared" si="448"/>
        <v>9.9999999999999998E-13</v>
      </c>
      <c r="I1913" s="121">
        <f t="shared" si="441"/>
        <v>3150008</v>
      </c>
      <c r="K1913" s="123">
        <f t="shared" si="449"/>
        <v>4000000</v>
      </c>
      <c r="L1913" s="111">
        <f t="shared" si="450"/>
        <v>97283</v>
      </c>
      <c r="M1913" s="2">
        <f t="shared" si="451"/>
        <v>2410</v>
      </c>
      <c r="N1913" s="112">
        <f t="shared" si="442"/>
        <v>16000000</v>
      </c>
      <c r="O1913" s="2">
        <f t="shared" si="452"/>
        <v>944865</v>
      </c>
      <c r="P1913" s="113">
        <f t="shared" si="453"/>
        <v>9.9999999999999998E-13</v>
      </c>
      <c r="Q1913" s="121">
        <f t="shared" si="443"/>
        <v>3150008</v>
      </c>
    </row>
    <row r="1914" spans="2:17" hidden="1" x14ac:dyDescent="0.4">
      <c r="B1914" s="110">
        <v>45835</v>
      </c>
      <c r="C1914" s="122">
        <f t="shared" si="444"/>
        <v>4000000</v>
      </c>
      <c r="D1914" s="111">
        <f t="shared" si="445"/>
        <v>97283</v>
      </c>
      <c r="E1914" s="2">
        <f t="shared" si="446"/>
        <v>2410</v>
      </c>
      <c r="F1914" s="112">
        <f t="shared" si="440"/>
        <v>16000000</v>
      </c>
      <c r="G1914" s="2">
        <f t="shared" si="447"/>
        <v>944865</v>
      </c>
      <c r="H1914" s="113">
        <f t="shared" si="448"/>
        <v>9.9999999999999998E-13</v>
      </c>
      <c r="I1914" s="121">
        <f t="shared" si="441"/>
        <v>3150008</v>
      </c>
      <c r="K1914" s="123">
        <f t="shared" si="449"/>
        <v>4000000</v>
      </c>
      <c r="L1914" s="111">
        <f t="shared" si="450"/>
        <v>97283</v>
      </c>
      <c r="M1914" s="2">
        <f t="shared" si="451"/>
        <v>2410</v>
      </c>
      <c r="N1914" s="112">
        <f t="shared" si="442"/>
        <v>16000000</v>
      </c>
      <c r="O1914" s="2">
        <f t="shared" si="452"/>
        <v>944865</v>
      </c>
      <c r="P1914" s="113">
        <f t="shared" si="453"/>
        <v>9.9999999999999998E-13</v>
      </c>
      <c r="Q1914" s="121">
        <f t="shared" si="443"/>
        <v>3150008</v>
      </c>
    </row>
    <row r="1915" spans="2:17" hidden="1" x14ac:dyDescent="0.4">
      <c r="B1915" s="110">
        <v>45836</v>
      </c>
      <c r="C1915" s="122">
        <f t="shared" si="444"/>
        <v>4000000</v>
      </c>
      <c r="D1915" s="111">
        <f t="shared" si="445"/>
        <v>97283</v>
      </c>
      <c r="E1915" s="2">
        <f t="shared" si="446"/>
        <v>2410</v>
      </c>
      <c r="F1915" s="112">
        <f t="shared" si="440"/>
        <v>16000000</v>
      </c>
      <c r="G1915" s="2">
        <f t="shared" si="447"/>
        <v>944865</v>
      </c>
      <c r="H1915" s="113">
        <f t="shared" si="448"/>
        <v>9.9999999999999998E-13</v>
      </c>
      <c r="I1915" s="121">
        <f t="shared" si="441"/>
        <v>3150008</v>
      </c>
      <c r="K1915" s="123">
        <f t="shared" si="449"/>
        <v>4000000</v>
      </c>
      <c r="L1915" s="111">
        <f t="shared" si="450"/>
        <v>97283</v>
      </c>
      <c r="M1915" s="2">
        <f t="shared" si="451"/>
        <v>2410</v>
      </c>
      <c r="N1915" s="112">
        <f t="shared" si="442"/>
        <v>16000000</v>
      </c>
      <c r="O1915" s="2">
        <f t="shared" si="452"/>
        <v>944865</v>
      </c>
      <c r="P1915" s="113">
        <f t="shared" si="453"/>
        <v>9.9999999999999998E-13</v>
      </c>
      <c r="Q1915" s="121">
        <f t="shared" si="443"/>
        <v>3150008</v>
      </c>
    </row>
    <row r="1916" spans="2:17" hidden="1" x14ac:dyDescent="0.4">
      <c r="B1916" s="110">
        <v>45837</v>
      </c>
      <c r="C1916" s="122">
        <f t="shared" si="444"/>
        <v>4000000</v>
      </c>
      <c r="D1916" s="111">
        <f t="shared" si="445"/>
        <v>97283</v>
      </c>
      <c r="E1916" s="2">
        <f t="shared" si="446"/>
        <v>2410</v>
      </c>
      <c r="F1916" s="112">
        <f t="shared" si="440"/>
        <v>16000000</v>
      </c>
      <c r="G1916" s="2">
        <f t="shared" si="447"/>
        <v>944865</v>
      </c>
      <c r="H1916" s="113">
        <f t="shared" si="448"/>
        <v>9.9999999999999998E-13</v>
      </c>
      <c r="I1916" s="121">
        <f t="shared" si="441"/>
        <v>3150008</v>
      </c>
      <c r="K1916" s="123">
        <f t="shared" si="449"/>
        <v>4000000</v>
      </c>
      <c r="L1916" s="111">
        <f t="shared" si="450"/>
        <v>97283</v>
      </c>
      <c r="M1916" s="2">
        <f t="shared" si="451"/>
        <v>2410</v>
      </c>
      <c r="N1916" s="112">
        <f t="shared" si="442"/>
        <v>16000000</v>
      </c>
      <c r="O1916" s="2">
        <f t="shared" si="452"/>
        <v>944865</v>
      </c>
      <c r="P1916" s="113">
        <f t="shared" si="453"/>
        <v>9.9999999999999998E-13</v>
      </c>
      <c r="Q1916" s="121">
        <f t="shared" si="443"/>
        <v>3150008</v>
      </c>
    </row>
    <row r="1917" spans="2:17" hidden="1" x14ac:dyDescent="0.4">
      <c r="B1917" s="110">
        <v>45838</v>
      </c>
      <c r="C1917" s="122">
        <f t="shared" si="444"/>
        <v>4000000</v>
      </c>
      <c r="D1917" s="111">
        <f t="shared" si="445"/>
        <v>97283</v>
      </c>
      <c r="E1917" s="2">
        <f t="shared" si="446"/>
        <v>2410</v>
      </c>
      <c r="F1917" s="112">
        <f t="shared" si="440"/>
        <v>16000000</v>
      </c>
      <c r="G1917" s="2">
        <f t="shared" si="447"/>
        <v>944865</v>
      </c>
      <c r="H1917" s="113">
        <f t="shared" si="448"/>
        <v>9.9999999999999998E-13</v>
      </c>
      <c r="I1917" s="121">
        <f t="shared" si="441"/>
        <v>3150008</v>
      </c>
      <c r="K1917" s="123">
        <f t="shared" si="449"/>
        <v>4000000</v>
      </c>
      <c r="L1917" s="111">
        <f t="shared" si="450"/>
        <v>97283</v>
      </c>
      <c r="M1917" s="2">
        <f t="shared" si="451"/>
        <v>2410</v>
      </c>
      <c r="N1917" s="112">
        <f t="shared" si="442"/>
        <v>16000000</v>
      </c>
      <c r="O1917" s="2">
        <f t="shared" si="452"/>
        <v>944865</v>
      </c>
      <c r="P1917" s="113">
        <f t="shared" si="453"/>
        <v>9.9999999999999998E-13</v>
      </c>
      <c r="Q1917" s="121">
        <f t="shared" si="443"/>
        <v>3150008</v>
      </c>
    </row>
    <row r="1918" spans="2:17" x14ac:dyDescent="0.4">
      <c r="B1918" s="110">
        <v>45839</v>
      </c>
      <c r="C1918" s="122">
        <f t="shared" si="444"/>
        <v>4000000</v>
      </c>
      <c r="D1918" s="111">
        <f t="shared" si="445"/>
        <v>97283</v>
      </c>
      <c r="E1918" s="2">
        <f t="shared" si="446"/>
        <v>2410</v>
      </c>
      <c r="F1918" s="112">
        <f t="shared" si="440"/>
        <v>16000000</v>
      </c>
      <c r="G1918" s="2">
        <f t="shared" si="447"/>
        <v>944865</v>
      </c>
      <c r="H1918" s="113">
        <f t="shared" si="448"/>
        <v>9.9999999999999998E-13</v>
      </c>
      <c r="I1918" s="121">
        <f t="shared" si="441"/>
        <v>3150008</v>
      </c>
      <c r="K1918" s="123">
        <f t="shared" si="449"/>
        <v>4000000</v>
      </c>
      <c r="L1918" s="111">
        <f t="shared" si="450"/>
        <v>97283</v>
      </c>
      <c r="M1918" s="2">
        <f t="shared" si="451"/>
        <v>2410</v>
      </c>
      <c r="N1918" s="112">
        <f t="shared" si="442"/>
        <v>16000000</v>
      </c>
      <c r="O1918" s="2">
        <f t="shared" si="452"/>
        <v>944865</v>
      </c>
      <c r="P1918" s="113">
        <f t="shared" si="453"/>
        <v>9.9999999999999998E-13</v>
      </c>
      <c r="Q1918" s="121">
        <f t="shared" si="443"/>
        <v>3150008</v>
      </c>
    </row>
    <row r="1919" spans="2:17" hidden="1" x14ac:dyDescent="0.4">
      <c r="B1919" s="110">
        <v>45840</v>
      </c>
      <c r="C1919" s="122">
        <f t="shared" si="444"/>
        <v>4000000</v>
      </c>
      <c r="D1919" s="111">
        <f t="shared" si="445"/>
        <v>97283</v>
      </c>
      <c r="E1919" s="2">
        <f t="shared" si="446"/>
        <v>2410</v>
      </c>
      <c r="F1919" s="112">
        <f t="shared" si="440"/>
        <v>16000000</v>
      </c>
      <c r="G1919" s="2">
        <f t="shared" si="447"/>
        <v>944865</v>
      </c>
      <c r="H1919" s="113">
        <f t="shared" si="448"/>
        <v>9.9999999999999998E-13</v>
      </c>
      <c r="I1919" s="121">
        <f t="shared" si="441"/>
        <v>3150008</v>
      </c>
      <c r="K1919" s="123">
        <f t="shared" si="449"/>
        <v>4000000</v>
      </c>
      <c r="L1919" s="111">
        <f t="shared" si="450"/>
        <v>97283</v>
      </c>
      <c r="M1919" s="2">
        <f t="shared" si="451"/>
        <v>2410</v>
      </c>
      <c r="N1919" s="112">
        <f t="shared" si="442"/>
        <v>16000000</v>
      </c>
      <c r="O1919" s="2">
        <f t="shared" si="452"/>
        <v>944865</v>
      </c>
      <c r="P1919" s="113">
        <f t="shared" si="453"/>
        <v>9.9999999999999998E-13</v>
      </c>
      <c r="Q1919" s="121">
        <f t="shared" si="443"/>
        <v>3150008</v>
      </c>
    </row>
    <row r="1920" spans="2:17" hidden="1" x14ac:dyDescent="0.4">
      <c r="B1920" s="110">
        <v>45841</v>
      </c>
      <c r="C1920" s="122">
        <f t="shared" si="444"/>
        <v>4000000</v>
      </c>
      <c r="D1920" s="111">
        <f t="shared" si="445"/>
        <v>97283</v>
      </c>
      <c r="E1920" s="2">
        <f t="shared" si="446"/>
        <v>2410</v>
      </c>
      <c r="F1920" s="112">
        <f t="shared" si="440"/>
        <v>16000000</v>
      </c>
      <c r="G1920" s="2">
        <f t="shared" si="447"/>
        <v>944865</v>
      </c>
      <c r="H1920" s="113">
        <f t="shared" si="448"/>
        <v>9.9999999999999998E-13</v>
      </c>
      <c r="I1920" s="121">
        <f t="shared" si="441"/>
        <v>3150008</v>
      </c>
      <c r="K1920" s="123">
        <f t="shared" si="449"/>
        <v>4000000</v>
      </c>
      <c r="L1920" s="111">
        <f t="shared" si="450"/>
        <v>97283</v>
      </c>
      <c r="M1920" s="2">
        <f t="shared" si="451"/>
        <v>2410</v>
      </c>
      <c r="N1920" s="112">
        <f t="shared" si="442"/>
        <v>16000000</v>
      </c>
      <c r="O1920" s="2">
        <f t="shared" si="452"/>
        <v>944865</v>
      </c>
      <c r="P1920" s="113">
        <f t="shared" si="453"/>
        <v>9.9999999999999998E-13</v>
      </c>
      <c r="Q1920" s="121">
        <f t="shared" si="443"/>
        <v>3150008</v>
      </c>
    </row>
    <row r="1921" spans="2:17" hidden="1" x14ac:dyDescent="0.4">
      <c r="B1921" s="110">
        <v>45842</v>
      </c>
      <c r="C1921" s="122">
        <f t="shared" si="444"/>
        <v>4000000</v>
      </c>
      <c r="D1921" s="111">
        <f t="shared" si="445"/>
        <v>97283</v>
      </c>
      <c r="E1921" s="2">
        <f t="shared" si="446"/>
        <v>2410</v>
      </c>
      <c r="F1921" s="112">
        <f t="shared" si="440"/>
        <v>16000000</v>
      </c>
      <c r="G1921" s="2">
        <f t="shared" si="447"/>
        <v>944865</v>
      </c>
      <c r="H1921" s="113">
        <f t="shared" si="448"/>
        <v>9.9999999999999998E-13</v>
      </c>
      <c r="I1921" s="121">
        <f t="shared" si="441"/>
        <v>3150008</v>
      </c>
      <c r="K1921" s="123">
        <f t="shared" si="449"/>
        <v>4000000</v>
      </c>
      <c r="L1921" s="111">
        <f t="shared" si="450"/>
        <v>97283</v>
      </c>
      <c r="M1921" s="2">
        <f t="shared" si="451"/>
        <v>2410</v>
      </c>
      <c r="N1921" s="112">
        <f t="shared" si="442"/>
        <v>16000000</v>
      </c>
      <c r="O1921" s="2">
        <f t="shared" si="452"/>
        <v>944865</v>
      </c>
      <c r="P1921" s="113">
        <f t="shared" si="453"/>
        <v>9.9999999999999998E-13</v>
      </c>
      <c r="Q1921" s="121">
        <f t="shared" si="443"/>
        <v>3150008</v>
      </c>
    </row>
    <row r="1922" spans="2:17" hidden="1" x14ac:dyDescent="0.4">
      <c r="B1922" s="110">
        <v>45843</v>
      </c>
      <c r="C1922" s="122">
        <f t="shared" si="444"/>
        <v>4000000</v>
      </c>
      <c r="D1922" s="111">
        <f t="shared" si="445"/>
        <v>97283</v>
      </c>
      <c r="E1922" s="2">
        <f t="shared" si="446"/>
        <v>2410</v>
      </c>
      <c r="F1922" s="112">
        <f t="shared" si="440"/>
        <v>16000000</v>
      </c>
      <c r="G1922" s="2">
        <f t="shared" si="447"/>
        <v>944865</v>
      </c>
      <c r="H1922" s="113">
        <f t="shared" si="448"/>
        <v>9.9999999999999998E-13</v>
      </c>
      <c r="I1922" s="121">
        <f t="shared" si="441"/>
        <v>3150008</v>
      </c>
      <c r="K1922" s="123">
        <f t="shared" si="449"/>
        <v>4000000</v>
      </c>
      <c r="L1922" s="111">
        <f t="shared" si="450"/>
        <v>97283</v>
      </c>
      <c r="M1922" s="2">
        <f t="shared" si="451"/>
        <v>2410</v>
      </c>
      <c r="N1922" s="112">
        <f t="shared" si="442"/>
        <v>16000000</v>
      </c>
      <c r="O1922" s="2">
        <f t="shared" si="452"/>
        <v>944865</v>
      </c>
      <c r="P1922" s="113">
        <f t="shared" si="453"/>
        <v>9.9999999999999998E-13</v>
      </c>
      <c r="Q1922" s="121">
        <f t="shared" si="443"/>
        <v>3150008</v>
      </c>
    </row>
    <row r="1923" spans="2:17" hidden="1" x14ac:dyDescent="0.4">
      <c r="B1923" s="110">
        <v>45844</v>
      </c>
      <c r="C1923" s="122">
        <f t="shared" si="444"/>
        <v>4000000</v>
      </c>
      <c r="D1923" s="111">
        <f t="shared" si="445"/>
        <v>97283</v>
      </c>
      <c r="E1923" s="2">
        <f t="shared" si="446"/>
        <v>2410</v>
      </c>
      <c r="F1923" s="112">
        <f t="shared" si="440"/>
        <v>16000000</v>
      </c>
      <c r="G1923" s="2">
        <f t="shared" si="447"/>
        <v>944865</v>
      </c>
      <c r="H1923" s="113">
        <f t="shared" si="448"/>
        <v>9.9999999999999998E-13</v>
      </c>
      <c r="I1923" s="121">
        <f t="shared" si="441"/>
        <v>3150008</v>
      </c>
      <c r="K1923" s="123">
        <f t="shared" si="449"/>
        <v>4000000</v>
      </c>
      <c r="L1923" s="111">
        <f t="shared" si="450"/>
        <v>97283</v>
      </c>
      <c r="M1923" s="2">
        <f t="shared" si="451"/>
        <v>2410</v>
      </c>
      <c r="N1923" s="112">
        <f t="shared" si="442"/>
        <v>16000000</v>
      </c>
      <c r="O1923" s="2">
        <f t="shared" si="452"/>
        <v>944865</v>
      </c>
      <c r="P1923" s="113">
        <f t="shared" si="453"/>
        <v>9.9999999999999998E-13</v>
      </c>
      <c r="Q1923" s="121">
        <f t="shared" si="443"/>
        <v>3150008</v>
      </c>
    </row>
    <row r="1924" spans="2:17" hidden="1" x14ac:dyDescent="0.4">
      <c r="B1924" s="110">
        <v>45845</v>
      </c>
      <c r="C1924" s="122">
        <f t="shared" si="444"/>
        <v>4000000</v>
      </c>
      <c r="D1924" s="111">
        <f t="shared" si="445"/>
        <v>97283</v>
      </c>
      <c r="E1924" s="2">
        <f t="shared" si="446"/>
        <v>2410</v>
      </c>
      <c r="F1924" s="112">
        <f t="shared" si="440"/>
        <v>16000000</v>
      </c>
      <c r="G1924" s="2">
        <f t="shared" si="447"/>
        <v>944865</v>
      </c>
      <c r="H1924" s="113">
        <f t="shared" si="448"/>
        <v>9.9999999999999998E-13</v>
      </c>
      <c r="I1924" s="121">
        <f t="shared" si="441"/>
        <v>3150008</v>
      </c>
      <c r="K1924" s="123">
        <f t="shared" si="449"/>
        <v>4000000</v>
      </c>
      <c r="L1924" s="111">
        <f t="shared" si="450"/>
        <v>97283</v>
      </c>
      <c r="M1924" s="2">
        <f t="shared" si="451"/>
        <v>2410</v>
      </c>
      <c r="N1924" s="112">
        <f t="shared" si="442"/>
        <v>16000000</v>
      </c>
      <c r="O1924" s="2">
        <f t="shared" si="452"/>
        <v>944865</v>
      </c>
      <c r="P1924" s="113">
        <f t="shared" si="453"/>
        <v>9.9999999999999998E-13</v>
      </c>
      <c r="Q1924" s="121">
        <f t="shared" si="443"/>
        <v>3150008</v>
      </c>
    </row>
    <row r="1925" spans="2:17" hidden="1" x14ac:dyDescent="0.4">
      <c r="B1925" s="110">
        <v>45846</v>
      </c>
      <c r="C1925" s="122">
        <f t="shared" si="444"/>
        <v>4000000</v>
      </c>
      <c r="D1925" s="111">
        <f t="shared" si="445"/>
        <v>97283</v>
      </c>
      <c r="E1925" s="2">
        <f t="shared" si="446"/>
        <v>2410</v>
      </c>
      <c r="F1925" s="112">
        <f t="shared" si="440"/>
        <v>16000000</v>
      </c>
      <c r="G1925" s="2">
        <f t="shared" si="447"/>
        <v>944865</v>
      </c>
      <c r="H1925" s="113">
        <f t="shared" si="448"/>
        <v>9.9999999999999998E-13</v>
      </c>
      <c r="I1925" s="121">
        <f t="shared" si="441"/>
        <v>3150008</v>
      </c>
      <c r="K1925" s="123">
        <f t="shared" si="449"/>
        <v>4000000</v>
      </c>
      <c r="L1925" s="111">
        <f t="shared" si="450"/>
        <v>97283</v>
      </c>
      <c r="M1925" s="2">
        <f t="shared" si="451"/>
        <v>2410</v>
      </c>
      <c r="N1925" s="112">
        <f t="shared" si="442"/>
        <v>16000000</v>
      </c>
      <c r="O1925" s="2">
        <f t="shared" si="452"/>
        <v>944865</v>
      </c>
      <c r="P1925" s="113">
        <f t="shared" si="453"/>
        <v>9.9999999999999998E-13</v>
      </c>
      <c r="Q1925" s="121">
        <f t="shared" si="443"/>
        <v>3150008</v>
      </c>
    </row>
    <row r="1926" spans="2:17" hidden="1" x14ac:dyDescent="0.4">
      <c r="B1926" s="110">
        <v>45847</v>
      </c>
      <c r="C1926" s="122">
        <f t="shared" si="444"/>
        <v>4000000</v>
      </c>
      <c r="D1926" s="111">
        <f t="shared" si="445"/>
        <v>97283</v>
      </c>
      <c r="E1926" s="2">
        <f t="shared" si="446"/>
        <v>2410</v>
      </c>
      <c r="F1926" s="112">
        <f t="shared" si="440"/>
        <v>16000000</v>
      </c>
      <c r="G1926" s="2">
        <f t="shared" si="447"/>
        <v>944865</v>
      </c>
      <c r="H1926" s="113">
        <f t="shared" si="448"/>
        <v>9.9999999999999998E-13</v>
      </c>
      <c r="I1926" s="121">
        <f t="shared" si="441"/>
        <v>3150008</v>
      </c>
      <c r="K1926" s="123">
        <f t="shared" si="449"/>
        <v>4000000</v>
      </c>
      <c r="L1926" s="111">
        <f t="shared" si="450"/>
        <v>97283</v>
      </c>
      <c r="M1926" s="2">
        <f t="shared" si="451"/>
        <v>2410</v>
      </c>
      <c r="N1926" s="112">
        <f t="shared" si="442"/>
        <v>16000000</v>
      </c>
      <c r="O1926" s="2">
        <f t="shared" si="452"/>
        <v>944865</v>
      </c>
      <c r="P1926" s="113">
        <f t="shared" si="453"/>
        <v>9.9999999999999998E-13</v>
      </c>
      <c r="Q1926" s="121">
        <f t="shared" si="443"/>
        <v>3150008</v>
      </c>
    </row>
    <row r="1927" spans="2:17" hidden="1" x14ac:dyDescent="0.4">
      <c r="B1927" s="110">
        <v>45848</v>
      </c>
      <c r="C1927" s="122">
        <f t="shared" si="444"/>
        <v>4000000</v>
      </c>
      <c r="D1927" s="111">
        <f t="shared" si="445"/>
        <v>97283</v>
      </c>
      <c r="E1927" s="2">
        <f t="shared" si="446"/>
        <v>2410</v>
      </c>
      <c r="F1927" s="112">
        <f t="shared" si="440"/>
        <v>16000000</v>
      </c>
      <c r="G1927" s="2">
        <f t="shared" si="447"/>
        <v>944865</v>
      </c>
      <c r="H1927" s="113">
        <f t="shared" si="448"/>
        <v>9.9999999999999998E-13</v>
      </c>
      <c r="I1927" s="121">
        <f t="shared" si="441"/>
        <v>3150008</v>
      </c>
      <c r="K1927" s="123">
        <f t="shared" si="449"/>
        <v>4000000</v>
      </c>
      <c r="L1927" s="111">
        <f t="shared" si="450"/>
        <v>97283</v>
      </c>
      <c r="M1927" s="2">
        <f t="shared" si="451"/>
        <v>2410</v>
      </c>
      <c r="N1927" s="112">
        <f t="shared" si="442"/>
        <v>16000000</v>
      </c>
      <c r="O1927" s="2">
        <f t="shared" si="452"/>
        <v>944865</v>
      </c>
      <c r="P1927" s="113">
        <f t="shared" si="453"/>
        <v>9.9999999999999998E-13</v>
      </c>
      <c r="Q1927" s="121">
        <f t="shared" si="443"/>
        <v>3150008</v>
      </c>
    </row>
    <row r="1928" spans="2:17" hidden="1" x14ac:dyDescent="0.4">
      <c r="B1928" s="110">
        <v>45849</v>
      </c>
      <c r="C1928" s="122">
        <f t="shared" si="444"/>
        <v>4000000</v>
      </c>
      <c r="D1928" s="111">
        <f t="shared" si="445"/>
        <v>97283</v>
      </c>
      <c r="E1928" s="2">
        <f t="shared" si="446"/>
        <v>2410</v>
      </c>
      <c r="F1928" s="112">
        <f t="shared" si="440"/>
        <v>16000000</v>
      </c>
      <c r="G1928" s="2">
        <f t="shared" si="447"/>
        <v>944865</v>
      </c>
      <c r="H1928" s="113">
        <f t="shared" si="448"/>
        <v>9.9999999999999998E-13</v>
      </c>
      <c r="I1928" s="121">
        <f t="shared" si="441"/>
        <v>3150008</v>
      </c>
      <c r="K1928" s="123">
        <f t="shared" si="449"/>
        <v>4000000</v>
      </c>
      <c r="L1928" s="111">
        <f t="shared" si="450"/>
        <v>97283</v>
      </c>
      <c r="M1928" s="2">
        <f t="shared" si="451"/>
        <v>2410</v>
      </c>
      <c r="N1928" s="112">
        <f t="shared" si="442"/>
        <v>16000000</v>
      </c>
      <c r="O1928" s="2">
        <f t="shared" si="452"/>
        <v>944865</v>
      </c>
      <c r="P1928" s="113">
        <f t="shared" si="453"/>
        <v>9.9999999999999998E-13</v>
      </c>
      <c r="Q1928" s="121">
        <f t="shared" si="443"/>
        <v>3150008</v>
      </c>
    </row>
    <row r="1929" spans="2:17" hidden="1" x14ac:dyDescent="0.4">
      <c r="B1929" s="110">
        <v>45850</v>
      </c>
      <c r="C1929" s="122">
        <f t="shared" si="444"/>
        <v>4000000</v>
      </c>
      <c r="D1929" s="111">
        <f t="shared" si="445"/>
        <v>97283</v>
      </c>
      <c r="E1929" s="2">
        <f t="shared" si="446"/>
        <v>2410</v>
      </c>
      <c r="F1929" s="112">
        <f t="shared" si="440"/>
        <v>16000000</v>
      </c>
      <c r="G1929" s="2">
        <f t="shared" si="447"/>
        <v>944865</v>
      </c>
      <c r="H1929" s="113">
        <f t="shared" si="448"/>
        <v>9.9999999999999998E-13</v>
      </c>
      <c r="I1929" s="121">
        <f t="shared" si="441"/>
        <v>3150008</v>
      </c>
      <c r="K1929" s="123">
        <f t="shared" si="449"/>
        <v>4000000</v>
      </c>
      <c r="L1929" s="111">
        <f t="shared" si="450"/>
        <v>97283</v>
      </c>
      <c r="M1929" s="2">
        <f t="shared" si="451"/>
        <v>2410</v>
      </c>
      <c r="N1929" s="112">
        <f t="shared" si="442"/>
        <v>16000000</v>
      </c>
      <c r="O1929" s="2">
        <f t="shared" si="452"/>
        <v>944865</v>
      </c>
      <c r="P1929" s="113">
        <f t="shared" si="453"/>
        <v>9.9999999999999998E-13</v>
      </c>
      <c r="Q1929" s="121">
        <f t="shared" si="443"/>
        <v>3150008</v>
      </c>
    </row>
    <row r="1930" spans="2:17" hidden="1" x14ac:dyDescent="0.4">
      <c r="B1930" s="110">
        <v>45851</v>
      </c>
      <c r="C1930" s="122">
        <f t="shared" si="444"/>
        <v>4000000</v>
      </c>
      <c r="D1930" s="111">
        <f t="shared" si="445"/>
        <v>97283</v>
      </c>
      <c r="E1930" s="2">
        <f t="shared" si="446"/>
        <v>2410</v>
      </c>
      <c r="F1930" s="112">
        <f t="shared" ref="F1930:F1993" si="454">20000000-C1930</f>
        <v>16000000</v>
      </c>
      <c r="G1930" s="2">
        <f t="shared" si="447"/>
        <v>944865</v>
      </c>
      <c r="H1930" s="113">
        <f t="shared" si="448"/>
        <v>9.9999999999999998E-13</v>
      </c>
      <c r="I1930" s="121">
        <f t="shared" ref="I1930:I1993" si="455">C1930+D1930-G1930-E1930+H1930</f>
        <v>3150008</v>
      </c>
      <c r="K1930" s="123">
        <f t="shared" si="449"/>
        <v>4000000</v>
      </c>
      <c r="L1930" s="111">
        <f t="shared" si="450"/>
        <v>97283</v>
      </c>
      <c r="M1930" s="2">
        <f t="shared" si="451"/>
        <v>2410</v>
      </c>
      <c r="N1930" s="112">
        <f t="shared" ref="N1930:N1993" si="456">20000000-K1930</f>
        <v>16000000</v>
      </c>
      <c r="O1930" s="2">
        <f t="shared" si="452"/>
        <v>944865</v>
      </c>
      <c r="P1930" s="113">
        <f t="shared" si="453"/>
        <v>9.9999999999999998E-13</v>
      </c>
      <c r="Q1930" s="121">
        <f t="shared" ref="Q1930:Q1993" si="457">K1930+L1930-O1930-M1930+P1930</f>
        <v>3150008</v>
      </c>
    </row>
    <row r="1931" spans="2:17" hidden="1" x14ac:dyDescent="0.4">
      <c r="B1931" s="110">
        <v>45852</v>
      </c>
      <c r="C1931" s="122">
        <f t="shared" ref="C1931:C1994" si="458">SUMIF($B$6:$B$75,$B1931,$D$6:$D$75)+C1930</f>
        <v>4000000</v>
      </c>
      <c r="D1931" s="111">
        <f t="shared" ref="D1931:D1994" si="459">SUMIF($B$6:$B$75,$B1931,$E$6:$E$75)+D1930</f>
        <v>97283</v>
      </c>
      <c r="E1931" s="2">
        <f t="shared" ref="E1931:E1994" si="460">SUMIF($G$353:$G$376,$B1931,$J$353:$J$376)+SUMIF($E$353:$E$376,$B1931,$H$353:$H$376)+SUMIF($G$353:$G$376,$B1931,$I$353:$I$376)+E1930</f>
        <v>2410</v>
      </c>
      <c r="F1931" s="112">
        <f t="shared" si="454"/>
        <v>16000000</v>
      </c>
      <c r="G1931" s="2">
        <f t="shared" ref="G1931:G1994" si="461">SUMIF($E$353:$E$376,$B1931,$M$353:$M$376)+G1930</f>
        <v>944865</v>
      </c>
      <c r="H1931" s="113">
        <f t="shared" ref="H1931:H1994" si="462">SUMIF($G$353:$G$376,$B1931,$N$353:$N$376)+H1930</f>
        <v>9.9999999999999998E-13</v>
      </c>
      <c r="I1931" s="121">
        <f t="shared" si="455"/>
        <v>3150008</v>
      </c>
      <c r="K1931" s="123">
        <f t="shared" ref="K1931:K1994" si="463">SUMIF($B$6:$B$75,$B1931,$D$6:$D$75)+K1930</f>
        <v>4000000</v>
      </c>
      <c r="L1931" s="111">
        <f t="shared" ref="L1931:L1994" si="464">SUMIF($B$6:$B$75,$B1931,$E$6:$E$75)+L1930</f>
        <v>97283</v>
      </c>
      <c r="M1931" s="2">
        <f t="shared" ref="M1931:M1994" si="465">SUMIF($G$353:$G$376,$B1931,$J$353:$J$376)+SUMIF($E$353:$E$376,$B1931,$H$353:$H$376)+SUMIF($G$353:$G$376,$B1931,$I$353:$I$376)+M1930</f>
        <v>2410</v>
      </c>
      <c r="N1931" s="112">
        <f t="shared" si="456"/>
        <v>16000000</v>
      </c>
      <c r="O1931" s="2">
        <f t="shared" ref="O1931:O1994" si="466">SUMIF($E$353:$E$376,$B1931,$M$353:$M$376)+O1930</f>
        <v>944865</v>
      </c>
      <c r="P1931" s="113">
        <f t="shared" ref="P1931:P1994" si="467">SUMIF($G$353:$G$376,$B1931,$N$353:$N$376)+P1930</f>
        <v>9.9999999999999998E-13</v>
      </c>
      <c r="Q1931" s="121">
        <f t="shared" si="457"/>
        <v>3150008</v>
      </c>
    </row>
    <row r="1932" spans="2:17" hidden="1" x14ac:dyDescent="0.4">
      <c r="B1932" s="110">
        <v>45853</v>
      </c>
      <c r="C1932" s="122">
        <f t="shared" si="458"/>
        <v>4000000</v>
      </c>
      <c r="D1932" s="111">
        <f t="shared" si="459"/>
        <v>97283</v>
      </c>
      <c r="E1932" s="2">
        <f t="shared" si="460"/>
        <v>2410</v>
      </c>
      <c r="F1932" s="112">
        <f t="shared" si="454"/>
        <v>16000000</v>
      </c>
      <c r="G1932" s="2">
        <f t="shared" si="461"/>
        <v>944865</v>
      </c>
      <c r="H1932" s="113">
        <f t="shared" si="462"/>
        <v>9.9999999999999998E-13</v>
      </c>
      <c r="I1932" s="121">
        <f t="shared" si="455"/>
        <v>3150008</v>
      </c>
      <c r="K1932" s="123">
        <f t="shared" si="463"/>
        <v>4000000</v>
      </c>
      <c r="L1932" s="111">
        <f t="shared" si="464"/>
        <v>97283</v>
      </c>
      <c r="M1932" s="2">
        <f t="shared" si="465"/>
        <v>2410</v>
      </c>
      <c r="N1932" s="112">
        <f t="shared" si="456"/>
        <v>16000000</v>
      </c>
      <c r="O1932" s="2">
        <f t="shared" si="466"/>
        <v>944865</v>
      </c>
      <c r="P1932" s="113">
        <f t="shared" si="467"/>
        <v>9.9999999999999998E-13</v>
      </c>
      <c r="Q1932" s="121">
        <f t="shared" si="457"/>
        <v>3150008</v>
      </c>
    </row>
    <row r="1933" spans="2:17" hidden="1" x14ac:dyDescent="0.4">
      <c r="B1933" s="110">
        <v>45854</v>
      </c>
      <c r="C1933" s="122">
        <f t="shared" si="458"/>
        <v>4000000</v>
      </c>
      <c r="D1933" s="111">
        <f t="shared" si="459"/>
        <v>97283</v>
      </c>
      <c r="E1933" s="2">
        <f t="shared" si="460"/>
        <v>2410</v>
      </c>
      <c r="F1933" s="112">
        <f t="shared" si="454"/>
        <v>16000000</v>
      </c>
      <c r="G1933" s="2">
        <f t="shared" si="461"/>
        <v>944865</v>
      </c>
      <c r="H1933" s="113">
        <f t="shared" si="462"/>
        <v>9.9999999999999998E-13</v>
      </c>
      <c r="I1933" s="121">
        <f t="shared" si="455"/>
        <v>3150008</v>
      </c>
      <c r="K1933" s="123">
        <f t="shared" si="463"/>
        <v>4000000</v>
      </c>
      <c r="L1933" s="111">
        <f t="shared" si="464"/>
        <v>97283</v>
      </c>
      <c r="M1933" s="2">
        <f t="shared" si="465"/>
        <v>2410</v>
      </c>
      <c r="N1933" s="112">
        <f t="shared" si="456"/>
        <v>16000000</v>
      </c>
      <c r="O1933" s="2">
        <f t="shared" si="466"/>
        <v>944865</v>
      </c>
      <c r="P1933" s="113">
        <f t="shared" si="467"/>
        <v>9.9999999999999998E-13</v>
      </c>
      <c r="Q1933" s="121">
        <f t="shared" si="457"/>
        <v>3150008</v>
      </c>
    </row>
    <row r="1934" spans="2:17" hidden="1" x14ac:dyDescent="0.4">
      <c r="B1934" s="110">
        <v>45855</v>
      </c>
      <c r="C1934" s="122">
        <f t="shared" si="458"/>
        <v>4000000</v>
      </c>
      <c r="D1934" s="111">
        <f t="shared" si="459"/>
        <v>98375</v>
      </c>
      <c r="E1934" s="2">
        <f t="shared" si="460"/>
        <v>2410</v>
      </c>
      <c r="F1934" s="112">
        <f t="shared" si="454"/>
        <v>16000000</v>
      </c>
      <c r="G1934" s="2">
        <f t="shared" si="461"/>
        <v>944865</v>
      </c>
      <c r="H1934" s="113">
        <f t="shared" si="462"/>
        <v>9.9999999999999998E-13</v>
      </c>
      <c r="I1934" s="121">
        <f t="shared" si="455"/>
        <v>3151100</v>
      </c>
      <c r="K1934" s="123">
        <f t="shared" si="463"/>
        <v>4000000</v>
      </c>
      <c r="L1934" s="111">
        <f t="shared" si="464"/>
        <v>98375</v>
      </c>
      <c r="M1934" s="2">
        <f t="shared" si="465"/>
        <v>2410</v>
      </c>
      <c r="N1934" s="112">
        <f t="shared" si="456"/>
        <v>16000000</v>
      </c>
      <c r="O1934" s="2">
        <f t="shared" si="466"/>
        <v>944865</v>
      </c>
      <c r="P1934" s="113">
        <f t="shared" si="467"/>
        <v>9.9999999999999998E-13</v>
      </c>
      <c r="Q1934" s="121">
        <f t="shared" si="457"/>
        <v>3151100</v>
      </c>
    </row>
    <row r="1935" spans="2:17" hidden="1" x14ac:dyDescent="0.4">
      <c r="B1935" s="110">
        <v>45856</v>
      </c>
      <c r="C1935" s="122">
        <f t="shared" si="458"/>
        <v>4000000</v>
      </c>
      <c r="D1935" s="111">
        <f t="shared" si="459"/>
        <v>98375</v>
      </c>
      <c r="E1935" s="2">
        <f t="shared" si="460"/>
        <v>2410</v>
      </c>
      <c r="F1935" s="112">
        <f t="shared" si="454"/>
        <v>16000000</v>
      </c>
      <c r="G1935" s="2">
        <f t="shared" si="461"/>
        <v>944865</v>
      </c>
      <c r="H1935" s="113">
        <f t="shared" si="462"/>
        <v>9.9999999999999998E-13</v>
      </c>
      <c r="I1935" s="121">
        <f t="shared" si="455"/>
        <v>3151100</v>
      </c>
      <c r="K1935" s="123">
        <f t="shared" si="463"/>
        <v>4000000</v>
      </c>
      <c r="L1935" s="111">
        <f t="shared" si="464"/>
        <v>98375</v>
      </c>
      <c r="M1935" s="2">
        <f t="shared" si="465"/>
        <v>2410</v>
      </c>
      <c r="N1935" s="112">
        <f t="shared" si="456"/>
        <v>16000000</v>
      </c>
      <c r="O1935" s="2">
        <f t="shared" si="466"/>
        <v>944865</v>
      </c>
      <c r="P1935" s="113">
        <f t="shared" si="467"/>
        <v>9.9999999999999998E-13</v>
      </c>
      <c r="Q1935" s="121">
        <f t="shared" si="457"/>
        <v>3151100</v>
      </c>
    </row>
    <row r="1936" spans="2:17" hidden="1" x14ac:dyDescent="0.4">
      <c r="B1936" s="110">
        <v>45857</v>
      </c>
      <c r="C1936" s="122">
        <f t="shared" si="458"/>
        <v>4000000</v>
      </c>
      <c r="D1936" s="111">
        <f t="shared" si="459"/>
        <v>98375</v>
      </c>
      <c r="E1936" s="2">
        <f t="shared" si="460"/>
        <v>2410</v>
      </c>
      <c r="F1936" s="112">
        <f t="shared" si="454"/>
        <v>16000000</v>
      </c>
      <c r="G1936" s="2">
        <f t="shared" si="461"/>
        <v>944865</v>
      </c>
      <c r="H1936" s="113">
        <f t="shared" si="462"/>
        <v>9.9999999999999998E-13</v>
      </c>
      <c r="I1936" s="121">
        <f t="shared" si="455"/>
        <v>3151100</v>
      </c>
      <c r="K1936" s="123">
        <f t="shared" si="463"/>
        <v>4000000</v>
      </c>
      <c r="L1936" s="111">
        <f t="shared" si="464"/>
        <v>98375</v>
      </c>
      <c r="M1936" s="2">
        <f t="shared" si="465"/>
        <v>2410</v>
      </c>
      <c r="N1936" s="112">
        <f t="shared" si="456"/>
        <v>16000000</v>
      </c>
      <c r="O1936" s="2">
        <f t="shared" si="466"/>
        <v>944865</v>
      </c>
      <c r="P1936" s="113">
        <f t="shared" si="467"/>
        <v>9.9999999999999998E-13</v>
      </c>
      <c r="Q1936" s="121">
        <f t="shared" si="457"/>
        <v>3151100</v>
      </c>
    </row>
    <row r="1937" spans="2:17" hidden="1" x14ac:dyDescent="0.4">
      <c r="B1937" s="110">
        <v>45858</v>
      </c>
      <c r="C1937" s="122">
        <f t="shared" si="458"/>
        <v>4000000</v>
      </c>
      <c r="D1937" s="111">
        <f t="shared" si="459"/>
        <v>98375</v>
      </c>
      <c r="E1937" s="2">
        <f t="shared" si="460"/>
        <v>2410</v>
      </c>
      <c r="F1937" s="112">
        <f t="shared" si="454"/>
        <v>16000000</v>
      </c>
      <c r="G1937" s="2">
        <f t="shared" si="461"/>
        <v>944865</v>
      </c>
      <c r="H1937" s="113">
        <f t="shared" si="462"/>
        <v>9.9999999999999998E-13</v>
      </c>
      <c r="I1937" s="121">
        <f t="shared" si="455"/>
        <v>3151100</v>
      </c>
      <c r="K1937" s="123">
        <f t="shared" si="463"/>
        <v>4000000</v>
      </c>
      <c r="L1937" s="111">
        <f t="shared" si="464"/>
        <v>98375</v>
      </c>
      <c r="M1937" s="2">
        <f t="shared" si="465"/>
        <v>2410</v>
      </c>
      <c r="N1937" s="112">
        <f t="shared" si="456"/>
        <v>16000000</v>
      </c>
      <c r="O1937" s="2">
        <f t="shared" si="466"/>
        <v>944865</v>
      </c>
      <c r="P1937" s="113">
        <f t="shared" si="467"/>
        <v>9.9999999999999998E-13</v>
      </c>
      <c r="Q1937" s="121">
        <f t="shared" si="457"/>
        <v>3151100</v>
      </c>
    </row>
    <row r="1938" spans="2:17" hidden="1" x14ac:dyDescent="0.4">
      <c r="B1938" s="110">
        <v>45859</v>
      </c>
      <c r="C1938" s="122">
        <f t="shared" si="458"/>
        <v>4000000</v>
      </c>
      <c r="D1938" s="111">
        <f t="shared" si="459"/>
        <v>98375</v>
      </c>
      <c r="E1938" s="2">
        <f t="shared" si="460"/>
        <v>2410</v>
      </c>
      <c r="F1938" s="112">
        <f t="shared" si="454"/>
        <v>16000000</v>
      </c>
      <c r="G1938" s="2">
        <f t="shared" si="461"/>
        <v>944865</v>
      </c>
      <c r="H1938" s="113">
        <f t="shared" si="462"/>
        <v>9.9999999999999998E-13</v>
      </c>
      <c r="I1938" s="121">
        <f t="shared" si="455"/>
        <v>3151100</v>
      </c>
      <c r="K1938" s="123">
        <f t="shared" si="463"/>
        <v>4000000</v>
      </c>
      <c r="L1938" s="111">
        <f t="shared" si="464"/>
        <v>98375</v>
      </c>
      <c r="M1938" s="2">
        <f t="shared" si="465"/>
        <v>2410</v>
      </c>
      <c r="N1938" s="112">
        <f t="shared" si="456"/>
        <v>16000000</v>
      </c>
      <c r="O1938" s="2">
        <f t="shared" si="466"/>
        <v>944865</v>
      </c>
      <c r="P1938" s="113">
        <f t="shared" si="467"/>
        <v>9.9999999999999998E-13</v>
      </c>
      <c r="Q1938" s="121">
        <f t="shared" si="457"/>
        <v>3151100</v>
      </c>
    </row>
    <row r="1939" spans="2:17" hidden="1" x14ac:dyDescent="0.4">
      <c r="B1939" s="110">
        <v>45860</v>
      </c>
      <c r="C1939" s="122">
        <f t="shared" si="458"/>
        <v>4000000</v>
      </c>
      <c r="D1939" s="111">
        <f t="shared" si="459"/>
        <v>98375</v>
      </c>
      <c r="E1939" s="2">
        <f t="shared" si="460"/>
        <v>2410</v>
      </c>
      <c r="F1939" s="112">
        <f t="shared" si="454"/>
        <v>16000000</v>
      </c>
      <c r="G1939" s="2">
        <f t="shared" si="461"/>
        <v>944865</v>
      </c>
      <c r="H1939" s="113">
        <f t="shared" si="462"/>
        <v>9.9999999999999998E-13</v>
      </c>
      <c r="I1939" s="121">
        <f t="shared" si="455"/>
        <v>3151100</v>
      </c>
      <c r="K1939" s="123">
        <f t="shared" si="463"/>
        <v>4000000</v>
      </c>
      <c r="L1939" s="111">
        <f t="shared" si="464"/>
        <v>98375</v>
      </c>
      <c r="M1939" s="2">
        <f t="shared" si="465"/>
        <v>2410</v>
      </c>
      <c r="N1939" s="112">
        <f t="shared" si="456"/>
        <v>16000000</v>
      </c>
      <c r="O1939" s="2">
        <f t="shared" si="466"/>
        <v>944865</v>
      </c>
      <c r="P1939" s="113">
        <f t="shared" si="467"/>
        <v>9.9999999999999998E-13</v>
      </c>
      <c r="Q1939" s="121">
        <f t="shared" si="457"/>
        <v>3151100</v>
      </c>
    </row>
    <row r="1940" spans="2:17" hidden="1" x14ac:dyDescent="0.4">
      <c r="B1940" s="110">
        <v>45861</v>
      </c>
      <c r="C1940" s="122">
        <f t="shared" si="458"/>
        <v>4000000</v>
      </c>
      <c r="D1940" s="111">
        <f t="shared" si="459"/>
        <v>98375</v>
      </c>
      <c r="E1940" s="2">
        <f t="shared" si="460"/>
        <v>2410</v>
      </c>
      <c r="F1940" s="112">
        <f t="shared" si="454"/>
        <v>16000000</v>
      </c>
      <c r="G1940" s="2">
        <f t="shared" si="461"/>
        <v>944865</v>
      </c>
      <c r="H1940" s="113">
        <f t="shared" si="462"/>
        <v>9.9999999999999998E-13</v>
      </c>
      <c r="I1940" s="121">
        <f t="shared" si="455"/>
        <v>3151100</v>
      </c>
      <c r="K1940" s="123">
        <f t="shared" si="463"/>
        <v>4000000</v>
      </c>
      <c r="L1940" s="111">
        <f t="shared" si="464"/>
        <v>98375</v>
      </c>
      <c r="M1940" s="2">
        <f t="shared" si="465"/>
        <v>2410</v>
      </c>
      <c r="N1940" s="112">
        <f t="shared" si="456"/>
        <v>16000000</v>
      </c>
      <c r="O1940" s="2">
        <f t="shared" si="466"/>
        <v>944865</v>
      </c>
      <c r="P1940" s="113">
        <f t="shared" si="467"/>
        <v>9.9999999999999998E-13</v>
      </c>
      <c r="Q1940" s="121">
        <f t="shared" si="457"/>
        <v>3151100</v>
      </c>
    </row>
    <row r="1941" spans="2:17" hidden="1" x14ac:dyDescent="0.4">
      <c r="B1941" s="110">
        <v>45862</v>
      </c>
      <c r="C1941" s="122">
        <f t="shared" si="458"/>
        <v>4000000</v>
      </c>
      <c r="D1941" s="111">
        <f t="shared" si="459"/>
        <v>98375</v>
      </c>
      <c r="E1941" s="2">
        <f t="shared" si="460"/>
        <v>2410</v>
      </c>
      <c r="F1941" s="112">
        <f t="shared" si="454"/>
        <v>16000000</v>
      </c>
      <c r="G1941" s="2">
        <f t="shared" si="461"/>
        <v>944865</v>
      </c>
      <c r="H1941" s="113">
        <f t="shared" si="462"/>
        <v>9.9999999999999998E-13</v>
      </c>
      <c r="I1941" s="121">
        <f t="shared" si="455"/>
        <v>3151100</v>
      </c>
      <c r="K1941" s="123">
        <f t="shared" si="463"/>
        <v>4000000</v>
      </c>
      <c r="L1941" s="111">
        <f t="shared" si="464"/>
        <v>98375</v>
      </c>
      <c r="M1941" s="2">
        <f t="shared" si="465"/>
        <v>2410</v>
      </c>
      <c r="N1941" s="112">
        <f t="shared" si="456"/>
        <v>16000000</v>
      </c>
      <c r="O1941" s="2">
        <f t="shared" si="466"/>
        <v>944865</v>
      </c>
      <c r="P1941" s="113">
        <f t="shared" si="467"/>
        <v>9.9999999999999998E-13</v>
      </c>
      <c r="Q1941" s="121">
        <f t="shared" si="457"/>
        <v>3151100</v>
      </c>
    </row>
    <row r="1942" spans="2:17" hidden="1" x14ac:dyDescent="0.4">
      <c r="B1942" s="110">
        <v>45863</v>
      </c>
      <c r="C1942" s="122">
        <f t="shared" si="458"/>
        <v>4000000</v>
      </c>
      <c r="D1942" s="111">
        <f t="shared" si="459"/>
        <v>98375</v>
      </c>
      <c r="E1942" s="2">
        <f t="shared" si="460"/>
        <v>2410</v>
      </c>
      <c r="F1942" s="112">
        <f t="shared" si="454"/>
        <v>16000000</v>
      </c>
      <c r="G1942" s="2">
        <f t="shared" si="461"/>
        <v>944865</v>
      </c>
      <c r="H1942" s="113">
        <f t="shared" si="462"/>
        <v>9.9999999999999998E-13</v>
      </c>
      <c r="I1942" s="121">
        <f t="shared" si="455"/>
        <v>3151100</v>
      </c>
      <c r="K1942" s="123">
        <f t="shared" si="463"/>
        <v>4000000</v>
      </c>
      <c r="L1942" s="111">
        <f t="shared" si="464"/>
        <v>98375</v>
      </c>
      <c r="M1942" s="2">
        <f t="shared" si="465"/>
        <v>2410</v>
      </c>
      <c r="N1942" s="112">
        <f t="shared" si="456"/>
        <v>16000000</v>
      </c>
      <c r="O1942" s="2">
        <f t="shared" si="466"/>
        <v>944865</v>
      </c>
      <c r="P1942" s="113">
        <f t="shared" si="467"/>
        <v>9.9999999999999998E-13</v>
      </c>
      <c r="Q1942" s="121">
        <f t="shared" si="457"/>
        <v>3151100</v>
      </c>
    </row>
    <row r="1943" spans="2:17" hidden="1" x14ac:dyDescent="0.4">
      <c r="B1943" s="110">
        <v>45864</v>
      </c>
      <c r="C1943" s="122">
        <f t="shared" si="458"/>
        <v>4000000</v>
      </c>
      <c r="D1943" s="111">
        <f t="shared" si="459"/>
        <v>98375</v>
      </c>
      <c r="E1943" s="2">
        <f t="shared" si="460"/>
        <v>2410</v>
      </c>
      <c r="F1943" s="112">
        <f t="shared" si="454"/>
        <v>16000000</v>
      </c>
      <c r="G1943" s="2">
        <f t="shared" si="461"/>
        <v>944865</v>
      </c>
      <c r="H1943" s="113">
        <f t="shared" si="462"/>
        <v>9.9999999999999998E-13</v>
      </c>
      <c r="I1943" s="121">
        <f t="shared" si="455"/>
        <v>3151100</v>
      </c>
      <c r="K1943" s="123">
        <f t="shared" si="463"/>
        <v>4000000</v>
      </c>
      <c r="L1943" s="111">
        <f t="shared" si="464"/>
        <v>98375</v>
      </c>
      <c r="M1943" s="2">
        <f t="shared" si="465"/>
        <v>2410</v>
      </c>
      <c r="N1943" s="112">
        <f t="shared" si="456"/>
        <v>16000000</v>
      </c>
      <c r="O1943" s="2">
        <f t="shared" si="466"/>
        <v>944865</v>
      </c>
      <c r="P1943" s="113">
        <f t="shared" si="467"/>
        <v>9.9999999999999998E-13</v>
      </c>
      <c r="Q1943" s="121">
        <f t="shared" si="457"/>
        <v>3151100</v>
      </c>
    </row>
    <row r="1944" spans="2:17" hidden="1" x14ac:dyDescent="0.4">
      <c r="B1944" s="110">
        <v>45865</v>
      </c>
      <c r="C1944" s="122">
        <f t="shared" si="458"/>
        <v>4000000</v>
      </c>
      <c r="D1944" s="111">
        <f t="shared" si="459"/>
        <v>98375</v>
      </c>
      <c r="E1944" s="2">
        <f t="shared" si="460"/>
        <v>2410</v>
      </c>
      <c r="F1944" s="112">
        <f t="shared" si="454"/>
        <v>16000000</v>
      </c>
      <c r="G1944" s="2">
        <f t="shared" si="461"/>
        <v>944865</v>
      </c>
      <c r="H1944" s="113">
        <f t="shared" si="462"/>
        <v>9.9999999999999998E-13</v>
      </c>
      <c r="I1944" s="121">
        <f t="shared" si="455"/>
        <v>3151100</v>
      </c>
      <c r="K1944" s="123">
        <f t="shared" si="463"/>
        <v>4000000</v>
      </c>
      <c r="L1944" s="111">
        <f t="shared" si="464"/>
        <v>98375</v>
      </c>
      <c r="M1944" s="2">
        <f t="shared" si="465"/>
        <v>2410</v>
      </c>
      <c r="N1944" s="112">
        <f t="shared" si="456"/>
        <v>16000000</v>
      </c>
      <c r="O1944" s="2">
        <f t="shared" si="466"/>
        <v>944865</v>
      </c>
      <c r="P1944" s="113">
        <f t="shared" si="467"/>
        <v>9.9999999999999998E-13</v>
      </c>
      <c r="Q1944" s="121">
        <f t="shared" si="457"/>
        <v>3151100</v>
      </c>
    </row>
    <row r="1945" spans="2:17" hidden="1" x14ac:dyDescent="0.4">
      <c r="B1945" s="110">
        <v>45866</v>
      </c>
      <c r="C1945" s="122">
        <f t="shared" si="458"/>
        <v>4000000</v>
      </c>
      <c r="D1945" s="111">
        <f t="shared" si="459"/>
        <v>98375</v>
      </c>
      <c r="E1945" s="2">
        <f t="shared" si="460"/>
        <v>2410</v>
      </c>
      <c r="F1945" s="112">
        <f t="shared" si="454"/>
        <v>16000000</v>
      </c>
      <c r="G1945" s="2">
        <f t="shared" si="461"/>
        <v>944865</v>
      </c>
      <c r="H1945" s="113">
        <f t="shared" si="462"/>
        <v>9.9999999999999998E-13</v>
      </c>
      <c r="I1945" s="121">
        <f t="shared" si="455"/>
        <v>3151100</v>
      </c>
      <c r="K1945" s="123">
        <f t="shared" si="463"/>
        <v>4000000</v>
      </c>
      <c r="L1945" s="111">
        <f t="shared" si="464"/>
        <v>98375</v>
      </c>
      <c r="M1945" s="2">
        <f t="shared" si="465"/>
        <v>2410</v>
      </c>
      <c r="N1945" s="112">
        <f t="shared" si="456"/>
        <v>16000000</v>
      </c>
      <c r="O1945" s="2">
        <f t="shared" si="466"/>
        <v>944865</v>
      </c>
      <c r="P1945" s="113">
        <f t="shared" si="467"/>
        <v>9.9999999999999998E-13</v>
      </c>
      <c r="Q1945" s="121">
        <f t="shared" si="457"/>
        <v>3151100</v>
      </c>
    </row>
    <row r="1946" spans="2:17" hidden="1" x14ac:dyDescent="0.4">
      <c r="B1946" s="110">
        <v>45867</v>
      </c>
      <c r="C1946" s="122">
        <f t="shared" si="458"/>
        <v>4000000</v>
      </c>
      <c r="D1946" s="111">
        <f t="shared" si="459"/>
        <v>98375</v>
      </c>
      <c r="E1946" s="2">
        <f t="shared" si="460"/>
        <v>2410</v>
      </c>
      <c r="F1946" s="112">
        <f t="shared" si="454"/>
        <v>16000000</v>
      </c>
      <c r="G1946" s="2">
        <f t="shared" si="461"/>
        <v>944865</v>
      </c>
      <c r="H1946" s="113">
        <f t="shared" si="462"/>
        <v>9.9999999999999998E-13</v>
      </c>
      <c r="I1946" s="121">
        <f t="shared" si="455"/>
        <v>3151100</v>
      </c>
      <c r="K1946" s="123">
        <f t="shared" si="463"/>
        <v>4000000</v>
      </c>
      <c r="L1946" s="111">
        <f t="shared" si="464"/>
        <v>98375</v>
      </c>
      <c r="M1946" s="2">
        <f t="shared" si="465"/>
        <v>2410</v>
      </c>
      <c r="N1946" s="112">
        <f t="shared" si="456"/>
        <v>16000000</v>
      </c>
      <c r="O1946" s="2">
        <f t="shared" si="466"/>
        <v>944865</v>
      </c>
      <c r="P1946" s="113">
        <f t="shared" si="467"/>
        <v>9.9999999999999998E-13</v>
      </c>
      <c r="Q1946" s="121">
        <f t="shared" si="457"/>
        <v>3151100</v>
      </c>
    </row>
    <row r="1947" spans="2:17" hidden="1" x14ac:dyDescent="0.4">
      <c r="B1947" s="110">
        <v>45868</v>
      </c>
      <c r="C1947" s="122">
        <f t="shared" si="458"/>
        <v>4000000</v>
      </c>
      <c r="D1947" s="111">
        <f t="shared" si="459"/>
        <v>98375</v>
      </c>
      <c r="E1947" s="2">
        <f t="shared" si="460"/>
        <v>2410</v>
      </c>
      <c r="F1947" s="112">
        <f t="shared" si="454"/>
        <v>16000000</v>
      </c>
      <c r="G1947" s="2">
        <f t="shared" si="461"/>
        <v>944865</v>
      </c>
      <c r="H1947" s="113">
        <f t="shared" si="462"/>
        <v>9.9999999999999998E-13</v>
      </c>
      <c r="I1947" s="121">
        <f t="shared" si="455"/>
        <v>3151100</v>
      </c>
      <c r="K1947" s="123">
        <f t="shared" si="463"/>
        <v>4000000</v>
      </c>
      <c r="L1947" s="111">
        <f t="shared" si="464"/>
        <v>98375</v>
      </c>
      <c r="M1947" s="2">
        <f t="shared" si="465"/>
        <v>2410</v>
      </c>
      <c r="N1947" s="112">
        <f t="shared" si="456"/>
        <v>16000000</v>
      </c>
      <c r="O1947" s="2">
        <f t="shared" si="466"/>
        <v>944865</v>
      </c>
      <c r="P1947" s="113">
        <f t="shared" si="467"/>
        <v>9.9999999999999998E-13</v>
      </c>
      <c r="Q1947" s="121">
        <f t="shared" si="457"/>
        <v>3151100</v>
      </c>
    </row>
    <row r="1948" spans="2:17" hidden="1" x14ac:dyDescent="0.4">
      <c r="B1948" s="110">
        <v>45869</v>
      </c>
      <c r="C1948" s="122">
        <f t="shared" si="458"/>
        <v>4000000</v>
      </c>
      <c r="D1948" s="111">
        <f t="shared" si="459"/>
        <v>98375</v>
      </c>
      <c r="E1948" s="2">
        <f t="shared" si="460"/>
        <v>2410</v>
      </c>
      <c r="F1948" s="112">
        <f t="shared" si="454"/>
        <v>16000000</v>
      </c>
      <c r="G1948" s="2">
        <f t="shared" si="461"/>
        <v>944865</v>
      </c>
      <c r="H1948" s="113">
        <f t="shared" si="462"/>
        <v>9.9999999999999998E-13</v>
      </c>
      <c r="I1948" s="121">
        <f t="shared" si="455"/>
        <v>3151100</v>
      </c>
      <c r="K1948" s="123">
        <f t="shared" si="463"/>
        <v>4000000</v>
      </c>
      <c r="L1948" s="111">
        <f t="shared" si="464"/>
        <v>98375</v>
      </c>
      <c r="M1948" s="2">
        <f t="shared" si="465"/>
        <v>2410</v>
      </c>
      <c r="N1948" s="112">
        <f t="shared" si="456"/>
        <v>16000000</v>
      </c>
      <c r="O1948" s="2">
        <f t="shared" si="466"/>
        <v>944865</v>
      </c>
      <c r="P1948" s="113">
        <f t="shared" si="467"/>
        <v>9.9999999999999998E-13</v>
      </c>
      <c r="Q1948" s="121">
        <f t="shared" si="457"/>
        <v>3151100</v>
      </c>
    </row>
    <row r="1949" spans="2:17" x14ac:dyDescent="0.4">
      <c r="B1949" s="110">
        <v>45870</v>
      </c>
      <c r="C1949" s="122">
        <f t="shared" si="458"/>
        <v>4000000</v>
      </c>
      <c r="D1949" s="111">
        <f t="shared" si="459"/>
        <v>98375</v>
      </c>
      <c r="E1949" s="2">
        <f t="shared" si="460"/>
        <v>2410</v>
      </c>
      <c r="F1949" s="112">
        <f t="shared" si="454"/>
        <v>16000000</v>
      </c>
      <c r="G1949" s="2">
        <f t="shared" si="461"/>
        <v>944865</v>
      </c>
      <c r="H1949" s="113">
        <f t="shared" si="462"/>
        <v>9.9999999999999998E-13</v>
      </c>
      <c r="I1949" s="121">
        <f t="shared" si="455"/>
        <v>3151100</v>
      </c>
      <c r="K1949" s="123">
        <f t="shared" si="463"/>
        <v>4000000</v>
      </c>
      <c r="L1949" s="111">
        <f t="shared" si="464"/>
        <v>98375</v>
      </c>
      <c r="M1949" s="2">
        <f t="shared" si="465"/>
        <v>2410</v>
      </c>
      <c r="N1949" s="112">
        <f t="shared" si="456"/>
        <v>16000000</v>
      </c>
      <c r="O1949" s="2">
        <f t="shared" si="466"/>
        <v>944865</v>
      </c>
      <c r="P1949" s="113">
        <f t="shared" si="467"/>
        <v>9.9999999999999998E-13</v>
      </c>
      <c r="Q1949" s="121">
        <f t="shared" si="457"/>
        <v>3151100</v>
      </c>
    </row>
    <row r="1950" spans="2:17" hidden="1" x14ac:dyDescent="0.4">
      <c r="B1950" s="110">
        <v>45871</v>
      </c>
      <c r="C1950" s="122">
        <f t="shared" si="458"/>
        <v>4000000</v>
      </c>
      <c r="D1950" s="111">
        <f t="shared" si="459"/>
        <v>98375</v>
      </c>
      <c r="E1950" s="2">
        <f t="shared" si="460"/>
        <v>2410</v>
      </c>
      <c r="F1950" s="112">
        <f t="shared" si="454"/>
        <v>16000000</v>
      </c>
      <c r="G1950" s="2">
        <f t="shared" si="461"/>
        <v>944865</v>
      </c>
      <c r="H1950" s="113">
        <f t="shared" si="462"/>
        <v>9.9999999999999998E-13</v>
      </c>
      <c r="I1950" s="121">
        <f t="shared" si="455"/>
        <v>3151100</v>
      </c>
      <c r="K1950" s="123">
        <f t="shared" si="463"/>
        <v>4000000</v>
      </c>
      <c r="L1950" s="111">
        <f t="shared" si="464"/>
        <v>98375</v>
      </c>
      <c r="M1950" s="2">
        <f t="shared" si="465"/>
        <v>2410</v>
      </c>
      <c r="N1950" s="112">
        <f t="shared" si="456"/>
        <v>16000000</v>
      </c>
      <c r="O1950" s="2">
        <f t="shared" si="466"/>
        <v>944865</v>
      </c>
      <c r="P1950" s="113">
        <f t="shared" si="467"/>
        <v>9.9999999999999998E-13</v>
      </c>
      <c r="Q1950" s="121">
        <f t="shared" si="457"/>
        <v>3151100</v>
      </c>
    </row>
    <row r="1951" spans="2:17" hidden="1" x14ac:dyDescent="0.4">
      <c r="B1951" s="110">
        <v>45872</v>
      </c>
      <c r="C1951" s="122">
        <f t="shared" si="458"/>
        <v>4000000</v>
      </c>
      <c r="D1951" s="111">
        <f t="shared" si="459"/>
        <v>98375</v>
      </c>
      <c r="E1951" s="2">
        <f t="shared" si="460"/>
        <v>2410</v>
      </c>
      <c r="F1951" s="112">
        <f t="shared" si="454"/>
        <v>16000000</v>
      </c>
      <c r="G1951" s="2">
        <f t="shared" si="461"/>
        <v>944865</v>
      </c>
      <c r="H1951" s="113">
        <f t="shared" si="462"/>
        <v>9.9999999999999998E-13</v>
      </c>
      <c r="I1951" s="121">
        <f t="shared" si="455"/>
        <v>3151100</v>
      </c>
      <c r="K1951" s="123">
        <f t="shared" si="463"/>
        <v>4000000</v>
      </c>
      <c r="L1951" s="111">
        <f t="shared" si="464"/>
        <v>98375</v>
      </c>
      <c r="M1951" s="2">
        <f t="shared" si="465"/>
        <v>2410</v>
      </c>
      <c r="N1951" s="112">
        <f t="shared" si="456"/>
        <v>16000000</v>
      </c>
      <c r="O1951" s="2">
        <f t="shared" si="466"/>
        <v>944865</v>
      </c>
      <c r="P1951" s="113">
        <f t="shared" si="467"/>
        <v>9.9999999999999998E-13</v>
      </c>
      <c r="Q1951" s="121">
        <f t="shared" si="457"/>
        <v>3151100</v>
      </c>
    </row>
    <row r="1952" spans="2:17" hidden="1" x14ac:dyDescent="0.4">
      <c r="B1952" s="110">
        <v>45873</v>
      </c>
      <c r="C1952" s="122">
        <f t="shared" si="458"/>
        <v>4000000</v>
      </c>
      <c r="D1952" s="111">
        <f t="shared" si="459"/>
        <v>98970</v>
      </c>
      <c r="E1952" s="2">
        <f t="shared" si="460"/>
        <v>2410</v>
      </c>
      <c r="F1952" s="112">
        <f t="shared" si="454"/>
        <v>16000000</v>
      </c>
      <c r="G1952" s="2">
        <f t="shared" si="461"/>
        <v>944865</v>
      </c>
      <c r="H1952" s="113">
        <f t="shared" si="462"/>
        <v>9.9999999999999998E-13</v>
      </c>
      <c r="I1952" s="121">
        <f t="shared" si="455"/>
        <v>3151695</v>
      </c>
      <c r="K1952" s="123">
        <f t="shared" si="463"/>
        <v>4000000</v>
      </c>
      <c r="L1952" s="111">
        <f t="shared" si="464"/>
        <v>98970</v>
      </c>
      <c r="M1952" s="2">
        <f t="shared" si="465"/>
        <v>2410</v>
      </c>
      <c r="N1952" s="112">
        <f t="shared" si="456"/>
        <v>16000000</v>
      </c>
      <c r="O1952" s="2">
        <f t="shared" si="466"/>
        <v>944865</v>
      </c>
      <c r="P1952" s="113">
        <f t="shared" si="467"/>
        <v>9.9999999999999998E-13</v>
      </c>
      <c r="Q1952" s="121">
        <f t="shared" si="457"/>
        <v>3151695</v>
      </c>
    </row>
    <row r="1953" spans="2:17" hidden="1" x14ac:dyDescent="0.4">
      <c r="B1953" s="110">
        <v>45874</v>
      </c>
      <c r="C1953" s="122">
        <f t="shared" si="458"/>
        <v>4000000</v>
      </c>
      <c r="D1953" s="111">
        <f t="shared" si="459"/>
        <v>98970</v>
      </c>
      <c r="E1953" s="2">
        <f t="shared" si="460"/>
        <v>2410</v>
      </c>
      <c r="F1953" s="112">
        <f t="shared" si="454"/>
        <v>16000000</v>
      </c>
      <c r="G1953" s="2">
        <f t="shared" si="461"/>
        <v>944865</v>
      </c>
      <c r="H1953" s="113">
        <f t="shared" si="462"/>
        <v>9.9999999999999998E-13</v>
      </c>
      <c r="I1953" s="121">
        <f t="shared" si="455"/>
        <v>3151695</v>
      </c>
      <c r="K1953" s="123">
        <f t="shared" si="463"/>
        <v>4000000</v>
      </c>
      <c r="L1953" s="111">
        <f t="shared" si="464"/>
        <v>98970</v>
      </c>
      <c r="M1953" s="2">
        <f t="shared" si="465"/>
        <v>2410</v>
      </c>
      <c r="N1953" s="112">
        <f t="shared" si="456"/>
        <v>16000000</v>
      </c>
      <c r="O1953" s="2">
        <f t="shared" si="466"/>
        <v>944865</v>
      </c>
      <c r="P1953" s="113">
        <f t="shared" si="467"/>
        <v>9.9999999999999998E-13</v>
      </c>
      <c r="Q1953" s="121">
        <f t="shared" si="457"/>
        <v>3151695</v>
      </c>
    </row>
    <row r="1954" spans="2:17" hidden="1" x14ac:dyDescent="0.4">
      <c r="B1954" s="110">
        <v>45875</v>
      </c>
      <c r="C1954" s="122">
        <f t="shared" si="458"/>
        <v>4000000</v>
      </c>
      <c r="D1954" s="111">
        <f t="shared" si="459"/>
        <v>98970</v>
      </c>
      <c r="E1954" s="2">
        <f t="shared" si="460"/>
        <v>2410</v>
      </c>
      <c r="F1954" s="112">
        <f t="shared" si="454"/>
        <v>16000000</v>
      </c>
      <c r="G1954" s="2">
        <f t="shared" si="461"/>
        <v>944865</v>
      </c>
      <c r="H1954" s="113">
        <f t="shared" si="462"/>
        <v>9.9999999999999998E-13</v>
      </c>
      <c r="I1954" s="121">
        <f t="shared" si="455"/>
        <v>3151695</v>
      </c>
      <c r="K1954" s="123">
        <f t="shared" si="463"/>
        <v>4000000</v>
      </c>
      <c r="L1954" s="111">
        <f t="shared" si="464"/>
        <v>98970</v>
      </c>
      <c r="M1954" s="2">
        <f t="shared" si="465"/>
        <v>2410</v>
      </c>
      <c r="N1954" s="112">
        <f t="shared" si="456"/>
        <v>16000000</v>
      </c>
      <c r="O1954" s="2">
        <f t="shared" si="466"/>
        <v>944865</v>
      </c>
      <c r="P1954" s="113">
        <f t="shared" si="467"/>
        <v>9.9999999999999998E-13</v>
      </c>
      <c r="Q1954" s="121">
        <f t="shared" si="457"/>
        <v>3151695</v>
      </c>
    </row>
    <row r="1955" spans="2:17" hidden="1" x14ac:dyDescent="0.4">
      <c r="B1955" s="110">
        <v>45876</v>
      </c>
      <c r="C1955" s="122">
        <f t="shared" si="458"/>
        <v>4000000</v>
      </c>
      <c r="D1955" s="111">
        <f t="shared" si="459"/>
        <v>98970</v>
      </c>
      <c r="E1955" s="2">
        <f t="shared" si="460"/>
        <v>2410</v>
      </c>
      <c r="F1955" s="112">
        <f t="shared" si="454"/>
        <v>16000000</v>
      </c>
      <c r="G1955" s="2">
        <f t="shared" si="461"/>
        <v>944865</v>
      </c>
      <c r="H1955" s="113">
        <f t="shared" si="462"/>
        <v>9.9999999999999998E-13</v>
      </c>
      <c r="I1955" s="121">
        <f t="shared" si="455"/>
        <v>3151695</v>
      </c>
      <c r="K1955" s="123">
        <f t="shared" si="463"/>
        <v>4000000</v>
      </c>
      <c r="L1955" s="111">
        <f t="shared" si="464"/>
        <v>98970</v>
      </c>
      <c r="M1955" s="2">
        <f t="shared" si="465"/>
        <v>2410</v>
      </c>
      <c r="N1955" s="112">
        <f t="shared" si="456"/>
        <v>16000000</v>
      </c>
      <c r="O1955" s="2">
        <f t="shared" si="466"/>
        <v>944865</v>
      </c>
      <c r="P1955" s="113">
        <f t="shared" si="467"/>
        <v>9.9999999999999998E-13</v>
      </c>
      <c r="Q1955" s="121">
        <f t="shared" si="457"/>
        <v>3151695</v>
      </c>
    </row>
    <row r="1956" spans="2:17" hidden="1" x14ac:dyDescent="0.4">
      <c r="B1956" s="110">
        <v>45877</v>
      </c>
      <c r="C1956" s="122">
        <f t="shared" si="458"/>
        <v>4000000</v>
      </c>
      <c r="D1956" s="111">
        <f t="shared" si="459"/>
        <v>98970</v>
      </c>
      <c r="E1956" s="2">
        <f t="shared" si="460"/>
        <v>2410</v>
      </c>
      <c r="F1956" s="112">
        <f t="shared" si="454"/>
        <v>16000000</v>
      </c>
      <c r="G1956" s="2">
        <f t="shared" si="461"/>
        <v>944865</v>
      </c>
      <c r="H1956" s="113">
        <f t="shared" si="462"/>
        <v>9.9999999999999998E-13</v>
      </c>
      <c r="I1956" s="121">
        <f t="shared" si="455"/>
        <v>3151695</v>
      </c>
      <c r="K1956" s="123">
        <f t="shared" si="463"/>
        <v>4000000</v>
      </c>
      <c r="L1956" s="111">
        <f t="shared" si="464"/>
        <v>98970</v>
      </c>
      <c r="M1956" s="2">
        <f t="shared" si="465"/>
        <v>2410</v>
      </c>
      <c r="N1956" s="112">
        <f t="shared" si="456"/>
        <v>16000000</v>
      </c>
      <c r="O1956" s="2">
        <f t="shared" si="466"/>
        <v>944865</v>
      </c>
      <c r="P1956" s="113">
        <f t="shared" si="467"/>
        <v>9.9999999999999998E-13</v>
      </c>
      <c r="Q1956" s="121">
        <f t="shared" si="457"/>
        <v>3151695</v>
      </c>
    </row>
    <row r="1957" spans="2:17" hidden="1" x14ac:dyDescent="0.4">
      <c r="B1957" s="110">
        <v>45878</v>
      </c>
      <c r="C1957" s="122">
        <f t="shared" si="458"/>
        <v>4000000</v>
      </c>
      <c r="D1957" s="111">
        <f t="shared" si="459"/>
        <v>98970</v>
      </c>
      <c r="E1957" s="2">
        <f t="shared" si="460"/>
        <v>2410</v>
      </c>
      <c r="F1957" s="112">
        <f t="shared" si="454"/>
        <v>16000000</v>
      </c>
      <c r="G1957" s="2">
        <f t="shared" si="461"/>
        <v>944865</v>
      </c>
      <c r="H1957" s="113">
        <f t="shared" si="462"/>
        <v>9.9999999999999998E-13</v>
      </c>
      <c r="I1957" s="121">
        <f t="shared" si="455"/>
        <v>3151695</v>
      </c>
      <c r="K1957" s="123">
        <f t="shared" si="463"/>
        <v>4000000</v>
      </c>
      <c r="L1957" s="111">
        <f t="shared" si="464"/>
        <v>98970</v>
      </c>
      <c r="M1957" s="2">
        <f t="shared" si="465"/>
        <v>2410</v>
      </c>
      <c r="N1957" s="112">
        <f t="shared" si="456"/>
        <v>16000000</v>
      </c>
      <c r="O1957" s="2">
        <f t="shared" si="466"/>
        <v>944865</v>
      </c>
      <c r="P1957" s="113">
        <f t="shared" si="467"/>
        <v>9.9999999999999998E-13</v>
      </c>
      <c r="Q1957" s="121">
        <f t="shared" si="457"/>
        <v>3151695</v>
      </c>
    </row>
    <row r="1958" spans="2:17" hidden="1" x14ac:dyDescent="0.4">
      <c r="B1958" s="110">
        <v>45879</v>
      </c>
      <c r="C1958" s="122">
        <f t="shared" si="458"/>
        <v>4000000</v>
      </c>
      <c r="D1958" s="111">
        <f t="shared" si="459"/>
        <v>98970</v>
      </c>
      <c r="E1958" s="2">
        <f t="shared" si="460"/>
        <v>2410</v>
      </c>
      <c r="F1958" s="112">
        <f t="shared" si="454"/>
        <v>16000000</v>
      </c>
      <c r="G1958" s="2">
        <f t="shared" si="461"/>
        <v>944865</v>
      </c>
      <c r="H1958" s="113">
        <f t="shared" si="462"/>
        <v>9.9999999999999998E-13</v>
      </c>
      <c r="I1958" s="121">
        <f t="shared" si="455"/>
        <v>3151695</v>
      </c>
      <c r="K1958" s="123">
        <f t="shared" si="463"/>
        <v>4000000</v>
      </c>
      <c r="L1958" s="111">
        <f t="shared" si="464"/>
        <v>98970</v>
      </c>
      <c r="M1958" s="2">
        <f t="shared" si="465"/>
        <v>2410</v>
      </c>
      <c r="N1958" s="112">
        <f t="shared" si="456"/>
        <v>16000000</v>
      </c>
      <c r="O1958" s="2">
        <f t="shared" si="466"/>
        <v>944865</v>
      </c>
      <c r="P1958" s="113">
        <f t="shared" si="467"/>
        <v>9.9999999999999998E-13</v>
      </c>
      <c r="Q1958" s="121">
        <f t="shared" si="457"/>
        <v>3151695</v>
      </c>
    </row>
    <row r="1959" spans="2:17" hidden="1" x14ac:dyDescent="0.4">
      <c r="B1959" s="110">
        <v>45880</v>
      </c>
      <c r="C1959" s="122">
        <f t="shared" si="458"/>
        <v>4000000</v>
      </c>
      <c r="D1959" s="111">
        <f t="shared" si="459"/>
        <v>98970</v>
      </c>
      <c r="E1959" s="2">
        <f t="shared" si="460"/>
        <v>5320</v>
      </c>
      <c r="F1959" s="112">
        <f t="shared" si="454"/>
        <v>16000000</v>
      </c>
      <c r="G1959" s="2">
        <f t="shared" si="461"/>
        <v>2488865</v>
      </c>
      <c r="H1959" s="113">
        <f t="shared" si="462"/>
        <v>9.9999999999999998E-13</v>
      </c>
      <c r="I1959" s="121">
        <f t="shared" si="455"/>
        <v>1604785</v>
      </c>
      <c r="K1959" s="123">
        <f t="shared" si="463"/>
        <v>4000000</v>
      </c>
      <c r="L1959" s="111">
        <f t="shared" si="464"/>
        <v>98970</v>
      </c>
      <c r="M1959" s="2">
        <f t="shared" si="465"/>
        <v>5320</v>
      </c>
      <c r="N1959" s="112">
        <f t="shared" si="456"/>
        <v>16000000</v>
      </c>
      <c r="O1959" s="2">
        <f t="shared" si="466"/>
        <v>2488865</v>
      </c>
      <c r="P1959" s="113">
        <f t="shared" si="467"/>
        <v>9.9999999999999998E-13</v>
      </c>
      <c r="Q1959" s="121">
        <f t="shared" si="457"/>
        <v>1604785</v>
      </c>
    </row>
    <row r="1960" spans="2:17" hidden="1" x14ac:dyDescent="0.4">
      <c r="B1960" s="110">
        <v>45881</v>
      </c>
      <c r="C1960" s="122">
        <f t="shared" si="458"/>
        <v>4000000</v>
      </c>
      <c r="D1960" s="111">
        <f t="shared" si="459"/>
        <v>98970</v>
      </c>
      <c r="E1960" s="2">
        <f t="shared" si="460"/>
        <v>5320</v>
      </c>
      <c r="F1960" s="112">
        <f t="shared" si="454"/>
        <v>16000000</v>
      </c>
      <c r="G1960" s="2">
        <f t="shared" si="461"/>
        <v>2488865</v>
      </c>
      <c r="H1960" s="113">
        <f t="shared" si="462"/>
        <v>9.9999999999999998E-13</v>
      </c>
      <c r="I1960" s="121">
        <f t="shared" si="455"/>
        <v>1604785</v>
      </c>
      <c r="K1960" s="123">
        <f t="shared" si="463"/>
        <v>4000000</v>
      </c>
      <c r="L1960" s="111">
        <f t="shared" si="464"/>
        <v>98970</v>
      </c>
      <c r="M1960" s="2">
        <f t="shared" si="465"/>
        <v>5320</v>
      </c>
      <c r="N1960" s="112">
        <f t="shared" si="456"/>
        <v>16000000</v>
      </c>
      <c r="O1960" s="2">
        <f t="shared" si="466"/>
        <v>2488865</v>
      </c>
      <c r="P1960" s="113">
        <f t="shared" si="467"/>
        <v>9.9999999999999998E-13</v>
      </c>
      <c r="Q1960" s="121">
        <f t="shared" si="457"/>
        <v>1604785</v>
      </c>
    </row>
    <row r="1961" spans="2:17" hidden="1" x14ac:dyDescent="0.4">
      <c r="B1961" s="110">
        <v>45882</v>
      </c>
      <c r="C1961" s="122">
        <f t="shared" si="458"/>
        <v>4000000</v>
      </c>
      <c r="D1961" s="111">
        <f t="shared" si="459"/>
        <v>98970</v>
      </c>
      <c r="E1961" s="2">
        <f t="shared" si="460"/>
        <v>5320</v>
      </c>
      <c r="F1961" s="112">
        <f t="shared" si="454"/>
        <v>16000000</v>
      </c>
      <c r="G1961" s="2">
        <f t="shared" si="461"/>
        <v>2488865</v>
      </c>
      <c r="H1961" s="113">
        <f t="shared" si="462"/>
        <v>9.9999999999999998E-13</v>
      </c>
      <c r="I1961" s="121">
        <f t="shared" si="455"/>
        <v>1604785</v>
      </c>
      <c r="K1961" s="123">
        <f t="shared" si="463"/>
        <v>4000000</v>
      </c>
      <c r="L1961" s="111">
        <f t="shared" si="464"/>
        <v>98970</v>
      </c>
      <c r="M1961" s="2">
        <f t="shared" si="465"/>
        <v>5320</v>
      </c>
      <c r="N1961" s="112">
        <f t="shared" si="456"/>
        <v>16000000</v>
      </c>
      <c r="O1961" s="2">
        <f t="shared" si="466"/>
        <v>2488865</v>
      </c>
      <c r="P1961" s="113">
        <f t="shared" si="467"/>
        <v>9.9999999999999998E-13</v>
      </c>
      <c r="Q1961" s="121">
        <f t="shared" si="457"/>
        <v>1604785</v>
      </c>
    </row>
    <row r="1962" spans="2:17" hidden="1" x14ac:dyDescent="0.4">
      <c r="B1962" s="110">
        <v>45883</v>
      </c>
      <c r="C1962" s="122">
        <f t="shared" si="458"/>
        <v>4000000</v>
      </c>
      <c r="D1962" s="111">
        <f t="shared" si="459"/>
        <v>98970</v>
      </c>
      <c r="E1962" s="2">
        <f t="shared" si="460"/>
        <v>5320</v>
      </c>
      <c r="F1962" s="112">
        <f t="shared" si="454"/>
        <v>16000000</v>
      </c>
      <c r="G1962" s="2">
        <f t="shared" si="461"/>
        <v>2488865</v>
      </c>
      <c r="H1962" s="113">
        <f t="shared" si="462"/>
        <v>9.9999999999999998E-13</v>
      </c>
      <c r="I1962" s="121">
        <f t="shared" si="455"/>
        <v>1604785</v>
      </c>
      <c r="K1962" s="123">
        <f t="shared" si="463"/>
        <v>4000000</v>
      </c>
      <c r="L1962" s="111">
        <f t="shared" si="464"/>
        <v>98970</v>
      </c>
      <c r="M1962" s="2">
        <f t="shared" si="465"/>
        <v>5320</v>
      </c>
      <c r="N1962" s="112">
        <f t="shared" si="456"/>
        <v>16000000</v>
      </c>
      <c r="O1962" s="2">
        <f t="shared" si="466"/>
        <v>2488865</v>
      </c>
      <c r="P1962" s="113">
        <f t="shared" si="467"/>
        <v>9.9999999999999998E-13</v>
      </c>
      <c r="Q1962" s="121">
        <f t="shared" si="457"/>
        <v>1604785</v>
      </c>
    </row>
    <row r="1963" spans="2:17" hidden="1" x14ac:dyDescent="0.4">
      <c r="B1963" s="110">
        <v>45884</v>
      </c>
      <c r="C1963" s="122">
        <f t="shared" si="458"/>
        <v>4000000</v>
      </c>
      <c r="D1963" s="111">
        <f t="shared" si="459"/>
        <v>98970</v>
      </c>
      <c r="E1963" s="2">
        <f t="shared" si="460"/>
        <v>5320</v>
      </c>
      <c r="F1963" s="112">
        <f t="shared" si="454"/>
        <v>16000000</v>
      </c>
      <c r="G1963" s="2">
        <f t="shared" si="461"/>
        <v>2488865</v>
      </c>
      <c r="H1963" s="113">
        <f t="shared" si="462"/>
        <v>9.9999999999999998E-13</v>
      </c>
      <c r="I1963" s="121">
        <f t="shared" si="455"/>
        <v>1604785</v>
      </c>
      <c r="K1963" s="123">
        <f t="shared" si="463"/>
        <v>4000000</v>
      </c>
      <c r="L1963" s="111">
        <f t="shared" si="464"/>
        <v>98970</v>
      </c>
      <c r="M1963" s="2">
        <f t="shared" si="465"/>
        <v>5320</v>
      </c>
      <c r="N1963" s="112">
        <f t="shared" si="456"/>
        <v>16000000</v>
      </c>
      <c r="O1963" s="2">
        <f t="shared" si="466"/>
        <v>2488865</v>
      </c>
      <c r="P1963" s="113">
        <f t="shared" si="467"/>
        <v>9.9999999999999998E-13</v>
      </c>
      <c r="Q1963" s="121">
        <f t="shared" si="457"/>
        <v>1604785</v>
      </c>
    </row>
    <row r="1964" spans="2:17" hidden="1" x14ac:dyDescent="0.4">
      <c r="B1964" s="110">
        <v>45885</v>
      </c>
      <c r="C1964" s="122">
        <f t="shared" si="458"/>
        <v>4000000</v>
      </c>
      <c r="D1964" s="111">
        <f t="shared" si="459"/>
        <v>98970</v>
      </c>
      <c r="E1964" s="2">
        <f t="shared" si="460"/>
        <v>5320</v>
      </c>
      <c r="F1964" s="112">
        <f t="shared" si="454"/>
        <v>16000000</v>
      </c>
      <c r="G1964" s="2">
        <f t="shared" si="461"/>
        <v>2488865</v>
      </c>
      <c r="H1964" s="113">
        <f t="shared" si="462"/>
        <v>9.9999999999999998E-13</v>
      </c>
      <c r="I1964" s="121">
        <f t="shared" si="455"/>
        <v>1604785</v>
      </c>
      <c r="K1964" s="123">
        <f t="shared" si="463"/>
        <v>4000000</v>
      </c>
      <c r="L1964" s="111">
        <f t="shared" si="464"/>
        <v>98970</v>
      </c>
      <c r="M1964" s="2">
        <f t="shared" si="465"/>
        <v>5320</v>
      </c>
      <c r="N1964" s="112">
        <f t="shared" si="456"/>
        <v>16000000</v>
      </c>
      <c r="O1964" s="2">
        <f t="shared" si="466"/>
        <v>2488865</v>
      </c>
      <c r="P1964" s="113">
        <f t="shared" si="467"/>
        <v>9.9999999999999998E-13</v>
      </c>
      <c r="Q1964" s="121">
        <f t="shared" si="457"/>
        <v>1604785</v>
      </c>
    </row>
    <row r="1965" spans="2:17" hidden="1" x14ac:dyDescent="0.4">
      <c r="B1965" s="110">
        <v>45886</v>
      </c>
      <c r="C1965" s="122">
        <f t="shared" si="458"/>
        <v>4000000</v>
      </c>
      <c r="D1965" s="111">
        <f t="shared" si="459"/>
        <v>98970</v>
      </c>
      <c r="E1965" s="2">
        <f t="shared" si="460"/>
        <v>5320</v>
      </c>
      <c r="F1965" s="112">
        <f t="shared" si="454"/>
        <v>16000000</v>
      </c>
      <c r="G1965" s="2">
        <f t="shared" si="461"/>
        <v>2488865</v>
      </c>
      <c r="H1965" s="113">
        <f t="shared" si="462"/>
        <v>9.9999999999999998E-13</v>
      </c>
      <c r="I1965" s="121">
        <f t="shared" si="455"/>
        <v>1604785</v>
      </c>
      <c r="K1965" s="123">
        <f t="shared" si="463"/>
        <v>4000000</v>
      </c>
      <c r="L1965" s="111">
        <f t="shared" si="464"/>
        <v>98970</v>
      </c>
      <c r="M1965" s="2">
        <f t="shared" si="465"/>
        <v>5320</v>
      </c>
      <c r="N1965" s="112">
        <f t="shared" si="456"/>
        <v>16000000</v>
      </c>
      <c r="O1965" s="2">
        <f t="shared" si="466"/>
        <v>2488865</v>
      </c>
      <c r="P1965" s="113">
        <f t="shared" si="467"/>
        <v>9.9999999999999998E-13</v>
      </c>
      <c r="Q1965" s="121">
        <f t="shared" si="457"/>
        <v>1604785</v>
      </c>
    </row>
    <row r="1966" spans="2:17" hidden="1" x14ac:dyDescent="0.4">
      <c r="B1966" s="110">
        <v>45887</v>
      </c>
      <c r="C1966" s="122">
        <f t="shared" si="458"/>
        <v>4000000</v>
      </c>
      <c r="D1966" s="111">
        <f t="shared" si="459"/>
        <v>98970</v>
      </c>
      <c r="E1966" s="2">
        <f t="shared" si="460"/>
        <v>5320</v>
      </c>
      <c r="F1966" s="112">
        <f t="shared" si="454"/>
        <v>16000000</v>
      </c>
      <c r="G1966" s="2">
        <f t="shared" si="461"/>
        <v>2488865</v>
      </c>
      <c r="H1966" s="113">
        <f t="shared" si="462"/>
        <v>9.9999999999999998E-13</v>
      </c>
      <c r="I1966" s="121">
        <f t="shared" si="455"/>
        <v>1604785</v>
      </c>
      <c r="K1966" s="123">
        <f t="shared" si="463"/>
        <v>4000000</v>
      </c>
      <c r="L1966" s="111">
        <f t="shared" si="464"/>
        <v>98970</v>
      </c>
      <c r="M1966" s="2">
        <f t="shared" si="465"/>
        <v>5320</v>
      </c>
      <c r="N1966" s="112">
        <f t="shared" si="456"/>
        <v>16000000</v>
      </c>
      <c r="O1966" s="2">
        <f t="shared" si="466"/>
        <v>2488865</v>
      </c>
      <c r="P1966" s="113">
        <f t="shared" si="467"/>
        <v>9.9999999999999998E-13</v>
      </c>
      <c r="Q1966" s="121">
        <f t="shared" si="457"/>
        <v>1604785</v>
      </c>
    </row>
    <row r="1967" spans="2:17" hidden="1" x14ac:dyDescent="0.4">
      <c r="B1967" s="110">
        <v>45888</v>
      </c>
      <c r="C1967" s="122">
        <f t="shared" si="458"/>
        <v>4000000</v>
      </c>
      <c r="D1967" s="111">
        <f t="shared" si="459"/>
        <v>100442</v>
      </c>
      <c r="E1967" s="2">
        <f t="shared" si="460"/>
        <v>5320</v>
      </c>
      <c r="F1967" s="112">
        <f t="shared" si="454"/>
        <v>16000000</v>
      </c>
      <c r="G1967" s="2">
        <f t="shared" si="461"/>
        <v>2488865</v>
      </c>
      <c r="H1967" s="113">
        <f t="shared" si="462"/>
        <v>9.9999999999999998E-13</v>
      </c>
      <c r="I1967" s="121">
        <f t="shared" si="455"/>
        <v>1606257</v>
      </c>
      <c r="K1967" s="123">
        <f t="shared" si="463"/>
        <v>4000000</v>
      </c>
      <c r="L1967" s="111">
        <f t="shared" si="464"/>
        <v>100442</v>
      </c>
      <c r="M1967" s="2">
        <f t="shared" si="465"/>
        <v>5320</v>
      </c>
      <c r="N1967" s="112">
        <f t="shared" si="456"/>
        <v>16000000</v>
      </c>
      <c r="O1967" s="2">
        <f t="shared" si="466"/>
        <v>2488865</v>
      </c>
      <c r="P1967" s="113">
        <f t="shared" si="467"/>
        <v>9.9999999999999998E-13</v>
      </c>
      <c r="Q1967" s="121">
        <f t="shared" si="457"/>
        <v>1606257</v>
      </c>
    </row>
    <row r="1968" spans="2:17" hidden="1" x14ac:dyDescent="0.4">
      <c r="B1968" s="110">
        <v>45889</v>
      </c>
      <c r="C1968" s="122">
        <f t="shared" si="458"/>
        <v>4000000</v>
      </c>
      <c r="D1968" s="111">
        <f t="shared" si="459"/>
        <v>103378</v>
      </c>
      <c r="E1968" s="2">
        <f t="shared" si="460"/>
        <v>5320</v>
      </c>
      <c r="F1968" s="112">
        <f t="shared" si="454"/>
        <v>16000000</v>
      </c>
      <c r="G1968" s="2">
        <f t="shared" si="461"/>
        <v>2488865</v>
      </c>
      <c r="H1968" s="113">
        <f t="shared" si="462"/>
        <v>9.9999999999999998E-13</v>
      </c>
      <c r="I1968" s="121">
        <f t="shared" si="455"/>
        <v>1609193</v>
      </c>
      <c r="K1968" s="123">
        <f t="shared" si="463"/>
        <v>4000000</v>
      </c>
      <c r="L1968" s="111">
        <f t="shared" si="464"/>
        <v>103378</v>
      </c>
      <c r="M1968" s="2">
        <f t="shared" si="465"/>
        <v>5320</v>
      </c>
      <c r="N1968" s="112">
        <f t="shared" si="456"/>
        <v>16000000</v>
      </c>
      <c r="O1968" s="2">
        <f t="shared" si="466"/>
        <v>2488865</v>
      </c>
      <c r="P1968" s="113">
        <f t="shared" si="467"/>
        <v>9.9999999999999998E-13</v>
      </c>
      <c r="Q1968" s="121">
        <f t="shared" si="457"/>
        <v>1609193</v>
      </c>
    </row>
    <row r="1969" spans="2:17" hidden="1" x14ac:dyDescent="0.4">
      <c r="B1969" s="110">
        <v>45890</v>
      </c>
      <c r="C1969" s="122">
        <f t="shared" si="458"/>
        <v>4000000</v>
      </c>
      <c r="D1969" s="111">
        <f t="shared" si="459"/>
        <v>103378</v>
      </c>
      <c r="E1969" s="2">
        <f t="shared" si="460"/>
        <v>5320</v>
      </c>
      <c r="F1969" s="112">
        <f t="shared" si="454"/>
        <v>16000000</v>
      </c>
      <c r="G1969" s="2">
        <f t="shared" si="461"/>
        <v>2488865</v>
      </c>
      <c r="H1969" s="113">
        <f t="shared" si="462"/>
        <v>9.9999999999999998E-13</v>
      </c>
      <c r="I1969" s="121">
        <f t="shared" si="455"/>
        <v>1609193</v>
      </c>
      <c r="K1969" s="123">
        <f t="shared" si="463"/>
        <v>4000000</v>
      </c>
      <c r="L1969" s="111">
        <f t="shared" si="464"/>
        <v>103378</v>
      </c>
      <c r="M1969" s="2">
        <f t="shared" si="465"/>
        <v>5320</v>
      </c>
      <c r="N1969" s="112">
        <f t="shared" si="456"/>
        <v>16000000</v>
      </c>
      <c r="O1969" s="2">
        <f t="shared" si="466"/>
        <v>2488865</v>
      </c>
      <c r="P1969" s="113">
        <f t="shared" si="467"/>
        <v>9.9999999999999998E-13</v>
      </c>
      <c r="Q1969" s="121">
        <f t="shared" si="457"/>
        <v>1609193</v>
      </c>
    </row>
    <row r="1970" spans="2:17" hidden="1" x14ac:dyDescent="0.4">
      <c r="B1970" s="110">
        <v>45891</v>
      </c>
      <c r="C1970" s="122">
        <f t="shared" si="458"/>
        <v>4000000</v>
      </c>
      <c r="D1970" s="111">
        <f t="shared" si="459"/>
        <v>103378</v>
      </c>
      <c r="E1970" s="2">
        <f t="shared" si="460"/>
        <v>5320</v>
      </c>
      <c r="F1970" s="112">
        <f t="shared" si="454"/>
        <v>16000000</v>
      </c>
      <c r="G1970" s="2">
        <f t="shared" si="461"/>
        <v>2488865</v>
      </c>
      <c r="H1970" s="113">
        <f t="shared" si="462"/>
        <v>9.9999999999999998E-13</v>
      </c>
      <c r="I1970" s="121">
        <f t="shared" si="455"/>
        <v>1609193</v>
      </c>
      <c r="K1970" s="123">
        <f t="shared" si="463"/>
        <v>4000000</v>
      </c>
      <c r="L1970" s="111">
        <f t="shared" si="464"/>
        <v>103378</v>
      </c>
      <c r="M1970" s="2">
        <f t="shared" si="465"/>
        <v>5320</v>
      </c>
      <c r="N1970" s="112">
        <f t="shared" si="456"/>
        <v>16000000</v>
      </c>
      <c r="O1970" s="2">
        <f t="shared" si="466"/>
        <v>2488865</v>
      </c>
      <c r="P1970" s="113">
        <f t="shared" si="467"/>
        <v>9.9999999999999998E-13</v>
      </c>
      <c r="Q1970" s="121">
        <f t="shared" si="457"/>
        <v>1609193</v>
      </c>
    </row>
    <row r="1971" spans="2:17" hidden="1" x14ac:dyDescent="0.4">
      <c r="B1971" s="110">
        <v>45892</v>
      </c>
      <c r="C1971" s="122">
        <f t="shared" si="458"/>
        <v>4000000</v>
      </c>
      <c r="D1971" s="111">
        <f t="shared" si="459"/>
        <v>103378</v>
      </c>
      <c r="E1971" s="2">
        <f t="shared" si="460"/>
        <v>5320</v>
      </c>
      <c r="F1971" s="112">
        <f t="shared" si="454"/>
        <v>16000000</v>
      </c>
      <c r="G1971" s="2">
        <f t="shared" si="461"/>
        <v>2488865</v>
      </c>
      <c r="H1971" s="113">
        <f t="shared" si="462"/>
        <v>9.9999999999999998E-13</v>
      </c>
      <c r="I1971" s="121">
        <f t="shared" si="455"/>
        <v>1609193</v>
      </c>
      <c r="K1971" s="123">
        <f t="shared" si="463"/>
        <v>4000000</v>
      </c>
      <c r="L1971" s="111">
        <f t="shared" si="464"/>
        <v>103378</v>
      </c>
      <c r="M1971" s="2">
        <f t="shared" si="465"/>
        <v>5320</v>
      </c>
      <c r="N1971" s="112">
        <f t="shared" si="456"/>
        <v>16000000</v>
      </c>
      <c r="O1971" s="2">
        <f t="shared" si="466"/>
        <v>2488865</v>
      </c>
      <c r="P1971" s="113">
        <f t="shared" si="467"/>
        <v>9.9999999999999998E-13</v>
      </c>
      <c r="Q1971" s="121">
        <f t="shared" si="457"/>
        <v>1609193</v>
      </c>
    </row>
    <row r="1972" spans="2:17" hidden="1" x14ac:dyDescent="0.4">
      <c r="B1972" s="110">
        <v>45893</v>
      </c>
      <c r="C1972" s="122">
        <f t="shared" si="458"/>
        <v>4000000</v>
      </c>
      <c r="D1972" s="111">
        <f t="shared" si="459"/>
        <v>103378</v>
      </c>
      <c r="E1972" s="2">
        <f t="shared" si="460"/>
        <v>5320</v>
      </c>
      <c r="F1972" s="112">
        <f t="shared" si="454"/>
        <v>16000000</v>
      </c>
      <c r="G1972" s="2">
        <f t="shared" si="461"/>
        <v>2488865</v>
      </c>
      <c r="H1972" s="113">
        <f t="shared" si="462"/>
        <v>9.9999999999999998E-13</v>
      </c>
      <c r="I1972" s="121">
        <f t="shared" si="455"/>
        <v>1609193</v>
      </c>
      <c r="K1972" s="123">
        <f t="shared" si="463"/>
        <v>4000000</v>
      </c>
      <c r="L1972" s="111">
        <f t="shared" si="464"/>
        <v>103378</v>
      </c>
      <c r="M1972" s="2">
        <f t="shared" si="465"/>
        <v>5320</v>
      </c>
      <c r="N1972" s="112">
        <f t="shared" si="456"/>
        <v>16000000</v>
      </c>
      <c r="O1972" s="2">
        <f t="shared" si="466"/>
        <v>2488865</v>
      </c>
      <c r="P1972" s="113">
        <f t="shared" si="467"/>
        <v>9.9999999999999998E-13</v>
      </c>
      <c r="Q1972" s="121">
        <f t="shared" si="457"/>
        <v>1609193</v>
      </c>
    </row>
    <row r="1973" spans="2:17" hidden="1" x14ac:dyDescent="0.4">
      <c r="B1973" s="110">
        <v>45894</v>
      </c>
      <c r="C1973" s="122">
        <f t="shared" si="458"/>
        <v>4000000</v>
      </c>
      <c r="D1973" s="111">
        <f t="shared" si="459"/>
        <v>103378</v>
      </c>
      <c r="E1973" s="2">
        <f t="shared" si="460"/>
        <v>5320</v>
      </c>
      <c r="F1973" s="112">
        <f t="shared" si="454"/>
        <v>16000000</v>
      </c>
      <c r="G1973" s="2">
        <f t="shared" si="461"/>
        <v>2488865</v>
      </c>
      <c r="H1973" s="113">
        <f t="shared" si="462"/>
        <v>9.9999999999999998E-13</v>
      </c>
      <c r="I1973" s="121">
        <f t="shared" si="455"/>
        <v>1609193</v>
      </c>
      <c r="K1973" s="123">
        <f t="shared" si="463"/>
        <v>4000000</v>
      </c>
      <c r="L1973" s="111">
        <f t="shared" si="464"/>
        <v>103378</v>
      </c>
      <c r="M1973" s="2">
        <f t="shared" si="465"/>
        <v>5320</v>
      </c>
      <c r="N1973" s="112">
        <f t="shared" si="456"/>
        <v>16000000</v>
      </c>
      <c r="O1973" s="2">
        <f t="shared" si="466"/>
        <v>2488865</v>
      </c>
      <c r="P1973" s="113">
        <f t="shared" si="467"/>
        <v>9.9999999999999998E-13</v>
      </c>
      <c r="Q1973" s="121">
        <f t="shared" si="457"/>
        <v>1609193</v>
      </c>
    </row>
    <row r="1974" spans="2:17" hidden="1" x14ac:dyDescent="0.4">
      <c r="B1974" s="110">
        <v>45895</v>
      </c>
      <c r="C1974" s="122">
        <f t="shared" si="458"/>
        <v>4000000</v>
      </c>
      <c r="D1974" s="111">
        <f t="shared" si="459"/>
        <v>103378</v>
      </c>
      <c r="E1974" s="2">
        <f t="shared" si="460"/>
        <v>5320</v>
      </c>
      <c r="F1974" s="112">
        <f t="shared" si="454"/>
        <v>16000000</v>
      </c>
      <c r="G1974" s="2">
        <f t="shared" si="461"/>
        <v>2488865</v>
      </c>
      <c r="H1974" s="113">
        <f t="shared" si="462"/>
        <v>9.9999999999999998E-13</v>
      </c>
      <c r="I1974" s="121">
        <f t="shared" si="455"/>
        <v>1609193</v>
      </c>
      <c r="K1974" s="123">
        <f t="shared" si="463"/>
        <v>4000000</v>
      </c>
      <c r="L1974" s="111">
        <f t="shared" si="464"/>
        <v>103378</v>
      </c>
      <c r="M1974" s="2">
        <f t="shared" si="465"/>
        <v>5320</v>
      </c>
      <c r="N1974" s="112">
        <f t="shared" si="456"/>
        <v>16000000</v>
      </c>
      <c r="O1974" s="2">
        <f t="shared" si="466"/>
        <v>2488865</v>
      </c>
      <c r="P1974" s="113">
        <f t="shared" si="467"/>
        <v>9.9999999999999998E-13</v>
      </c>
      <c r="Q1974" s="121">
        <f t="shared" si="457"/>
        <v>1609193</v>
      </c>
    </row>
    <row r="1975" spans="2:17" hidden="1" x14ac:dyDescent="0.4">
      <c r="B1975" s="110">
        <v>45896</v>
      </c>
      <c r="C1975" s="122">
        <f t="shared" si="458"/>
        <v>4000000</v>
      </c>
      <c r="D1975" s="111">
        <f t="shared" si="459"/>
        <v>103378</v>
      </c>
      <c r="E1975" s="2">
        <f t="shared" si="460"/>
        <v>5320</v>
      </c>
      <c r="F1975" s="112">
        <f t="shared" si="454"/>
        <v>16000000</v>
      </c>
      <c r="G1975" s="2">
        <f t="shared" si="461"/>
        <v>2488865</v>
      </c>
      <c r="H1975" s="113">
        <f t="shared" si="462"/>
        <v>9.9999999999999998E-13</v>
      </c>
      <c r="I1975" s="121">
        <f t="shared" si="455"/>
        <v>1609193</v>
      </c>
      <c r="K1975" s="123">
        <f t="shared" si="463"/>
        <v>4000000</v>
      </c>
      <c r="L1975" s="111">
        <f t="shared" si="464"/>
        <v>103378</v>
      </c>
      <c r="M1975" s="2">
        <f t="shared" si="465"/>
        <v>5320</v>
      </c>
      <c r="N1975" s="112">
        <f t="shared" si="456"/>
        <v>16000000</v>
      </c>
      <c r="O1975" s="2">
        <f t="shared" si="466"/>
        <v>2488865</v>
      </c>
      <c r="P1975" s="113">
        <f t="shared" si="467"/>
        <v>9.9999999999999998E-13</v>
      </c>
      <c r="Q1975" s="121">
        <f t="shared" si="457"/>
        <v>1609193</v>
      </c>
    </row>
    <row r="1976" spans="2:17" hidden="1" x14ac:dyDescent="0.4">
      <c r="B1976" s="110">
        <v>45897</v>
      </c>
      <c r="C1976" s="122">
        <f t="shared" si="458"/>
        <v>4000000</v>
      </c>
      <c r="D1976" s="111">
        <f t="shared" si="459"/>
        <v>103378</v>
      </c>
      <c r="E1976" s="2">
        <f t="shared" si="460"/>
        <v>5320</v>
      </c>
      <c r="F1976" s="112">
        <f t="shared" si="454"/>
        <v>16000000</v>
      </c>
      <c r="G1976" s="2">
        <f t="shared" si="461"/>
        <v>2488865</v>
      </c>
      <c r="H1976" s="113">
        <f t="shared" si="462"/>
        <v>9.9999999999999998E-13</v>
      </c>
      <c r="I1976" s="121">
        <f t="shared" si="455"/>
        <v>1609193</v>
      </c>
      <c r="K1976" s="123">
        <f t="shared" si="463"/>
        <v>4000000</v>
      </c>
      <c r="L1976" s="111">
        <f t="shared" si="464"/>
        <v>103378</v>
      </c>
      <c r="M1976" s="2">
        <f t="shared" si="465"/>
        <v>5320</v>
      </c>
      <c r="N1976" s="112">
        <f t="shared" si="456"/>
        <v>16000000</v>
      </c>
      <c r="O1976" s="2">
        <f t="shared" si="466"/>
        <v>2488865</v>
      </c>
      <c r="P1976" s="113">
        <f t="shared" si="467"/>
        <v>9.9999999999999998E-13</v>
      </c>
      <c r="Q1976" s="121">
        <f t="shared" si="457"/>
        <v>1609193</v>
      </c>
    </row>
    <row r="1977" spans="2:17" hidden="1" x14ac:dyDescent="0.4">
      <c r="B1977" s="110">
        <v>45898</v>
      </c>
      <c r="C1977" s="122">
        <f t="shared" si="458"/>
        <v>4000000</v>
      </c>
      <c r="D1977" s="111">
        <f t="shared" si="459"/>
        <v>103378</v>
      </c>
      <c r="E1977" s="2">
        <f t="shared" si="460"/>
        <v>5320</v>
      </c>
      <c r="F1977" s="112">
        <f t="shared" si="454"/>
        <v>16000000</v>
      </c>
      <c r="G1977" s="2">
        <f t="shared" si="461"/>
        <v>2488865</v>
      </c>
      <c r="H1977" s="113">
        <f t="shared" si="462"/>
        <v>9.9999999999999998E-13</v>
      </c>
      <c r="I1977" s="121">
        <f t="shared" si="455"/>
        <v>1609193</v>
      </c>
      <c r="K1977" s="123">
        <f t="shared" si="463"/>
        <v>4000000</v>
      </c>
      <c r="L1977" s="111">
        <f t="shared" si="464"/>
        <v>103378</v>
      </c>
      <c r="M1977" s="2">
        <f t="shared" si="465"/>
        <v>5320</v>
      </c>
      <c r="N1977" s="112">
        <f t="shared" si="456"/>
        <v>16000000</v>
      </c>
      <c r="O1977" s="2">
        <f t="shared" si="466"/>
        <v>2488865</v>
      </c>
      <c r="P1977" s="113">
        <f t="shared" si="467"/>
        <v>9.9999999999999998E-13</v>
      </c>
      <c r="Q1977" s="121">
        <f t="shared" si="457"/>
        <v>1609193</v>
      </c>
    </row>
    <row r="1978" spans="2:17" hidden="1" x14ac:dyDescent="0.4">
      <c r="B1978" s="110">
        <v>45899</v>
      </c>
      <c r="C1978" s="122">
        <f t="shared" si="458"/>
        <v>4000000</v>
      </c>
      <c r="D1978" s="111">
        <f t="shared" si="459"/>
        <v>103378</v>
      </c>
      <c r="E1978" s="2">
        <f t="shared" si="460"/>
        <v>5320</v>
      </c>
      <c r="F1978" s="112">
        <f t="shared" si="454"/>
        <v>16000000</v>
      </c>
      <c r="G1978" s="2">
        <f t="shared" si="461"/>
        <v>2488865</v>
      </c>
      <c r="H1978" s="113">
        <f t="shared" si="462"/>
        <v>9.9999999999999998E-13</v>
      </c>
      <c r="I1978" s="121">
        <f t="shared" si="455"/>
        <v>1609193</v>
      </c>
      <c r="K1978" s="123">
        <f t="shared" si="463"/>
        <v>4000000</v>
      </c>
      <c r="L1978" s="111">
        <f t="shared" si="464"/>
        <v>103378</v>
      </c>
      <c r="M1978" s="2">
        <f t="shared" si="465"/>
        <v>5320</v>
      </c>
      <c r="N1978" s="112">
        <f t="shared" si="456"/>
        <v>16000000</v>
      </c>
      <c r="O1978" s="2">
        <f t="shared" si="466"/>
        <v>2488865</v>
      </c>
      <c r="P1978" s="113">
        <f t="shared" si="467"/>
        <v>9.9999999999999998E-13</v>
      </c>
      <c r="Q1978" s="121">
        <f t="shared" si="457"/>
        <v>1609193</v>
      </c>
    </row>
    <row r="1979" spans="2:17" hidden="1" x14ac:dyDescent="0.4">
      <c r="B1979" s="110">
        <v>45900</v>
      </c>
      <c r="C1979" s="122">
        <f t="shared" si="458"/>
        <v>4000000</v>
      </c>
      <c r="D1979" s="111">
        <f t="shared" si="459"/>
        <v>103378</v>
      </c>
      <c r="E1979" s="2">
        <f t="shared" si="460"/>
        <v>5320</v>
      </c>
      <c r="F1979" s="112">
        <f t="shared" si="454"/>
        <v>16000000</v>
      </c>
      <c r="G1979" s="2">
        <f t="shared" si="461"/>
        <v>2488865</v>
      </c>
      <c r="H1979" s="113">
        <f t="shared" si="462"/>
        <v>9.9999999999999998E-13</v>
      </c>
      <c r="I1979" s="121">
        <f t="shared" si="455"/>
        <v>1609193</v>
      </c>
      <c r="K1979" s="123">
        <f t="shared" si="463"/>
        <v>4000000</v>
      </c>
      <c r="L1979" s="111">
        <f t="shared" si="464"/>
        <v>103378</v>
      </c>
      <c r="M1979" s="2">
        <f t="shared" si="465"/>
        <v>5320</v>
      </c>
      <c r="N1979" s="112">
        <f t="shared" si="456"/>
        <v>16000000</v>
      </c>
      <c r="O1979" s="2">
        <f t="shared" si="466"/>
        <v>2488865</v>
      </c>
      <c r="P1979" s="113">
        <f t="shared" si="467"/>
        <v>9.9999999999999998E-13</v>
      </c>
      <c r="Q1979" s="121">
        <f t="shared" si="457"/>
        <v>1609193</v>
      </c>
    </row>
    <row r="1980" spans="2:17" x14ac:dyDescent="0.4">
      <c r="B1980" s="110">
        <v>45901</v>
      </c>
      <c r="C1980" s="122">
        <f t="shared" si="458"/>
        <v>4000000</v>
      </c>
      <c r="D1980" s="111">
        <f t="shared" si="459"/>
        <v>103378</v>
      </c>
      <c r="E1980" s="2">
        <f t="shared" si="460"/>
        <v>8446</v>
      </c>
      <c r="F1980" s="112">
        <f t="shared" si="454"/>
        <v>16000000</v>
      </c>
      <c r="G1980" s="2">
        <f t="shared" si="461"/>
        <v>2488865</v>
      </c>
      <c r="H1980" s="113">
        <f t="shared" si="462"/>
        <v>924000</v>
      </c>
      <c r="I1980" s="121">
        <f t="shared" si="455"/>
        <v>2530067</v>
      </c>
      <c r="K1980" s="123">
        <f t="shared" si="463"/>
        <v>4000000</v>
      </c>
      <c r="L1980" s="111">
        <f t="shared" si="464"/>
        <v>103378</v>
      </c>
      <c r="M1980" s="2">
        <f t="shared" si="465"/>
        <v>8446</v>
      </c>
      <c r="N1980" s="112">
        <f t="shared" si="456"/>
        <v>16000000</v>
      </c>
      <c r="O1980" s="2">
        <f t="shared" si="466"/>
        <v>2488865</v>
      </c>
      <c r="P1980" s="113">
        <f t="shared" si="467"/>
        <v>924000</v>
      </c>
      <c r="Q1980" s="121">
        <f t="shared" si="457"/>
        <v>2530067</v>
      </c>
    </row>
    <row r="1981" spans="2:17" hidden="1" x14ac:dyDescent="0.4">
      <c r="B1981" s="110">
        <v>45902</v>
      </c>
      <c r="C1981" s="122">
        <f t="shared" si="458"/>
        <v>4000000</v>
      </c>
      <c r="D1981" s="111">
        <f t="shared" si="459"/>
        <v>103378</v>
      </c>
      <c r="E1981" s="2">
        <f t="shared" si="460"/>
        <v>8586</v>
      </c>
      <c r="F1981" s="112">
        <f t="shared" si="454"/>
        <v>16000000</v>
      </c>
      <c r="G1981" s="2">
        <f t="shared" si="461"/>
        <v>2565765</v>
      </c>
      <c r="H1981" s="113">
        <f t="shared" si="462"/>
        <v>924000</v>
      </c>
      <c r="I1981" s="121">
        <f t="shared" si="455"/>
        <v>2453027</v>
      </c>
      <c r="K1981" s="123">
        <f t="shared" si="463"/>
        <v>4000000</v>
      </c>
      <c r="L1981" s="111">
        <f t="shared" si="464"/>
        <v>103378</v>
      </c>
      <c r="M1981" s="2">
        <f t="shared" si="465"/>
        <v>8586</v>
      </c>
      <c r="N1981" s="112">
        <f t="shared" si="456"/>
        <v>16000000</v>
      </c>
      <c r="O1981" s="2">
        <f t="shared" si="466"/>
        <v>2565765</v>
      </c>
      <c r="P1981" s="113">
        <f t="shared" si="467"/>
        <v>924000</v>
      </c>
      <c r="Q1981" s="121">
        <f t="shared" si="457"/>
        <v>2453027</v>
      </c>
    </row>
    <row r="1982" spans="2:17" hidden="1" x14ac:dyDescent="0.4">
      <c r="B1982" s="110">
        <v>45903</v>
      </c>
      <c r="C1982" s="122">
        <f t="shared" si="458"/>
        <v>4000000</v>
      </c>
      <c r="D1982" s="111">
        <f t="shared" si="459"/>
        <v>103378</v>
      </c>
      <c r="E1982" s="2">
        <f t="shared" si="460"/>
        <v>8586</v>
      </c>
      <c r="F1982" s="112">
        <f t="shared" si="454"/>
        <v>16000000</v>
      </c>
      <c r="G1982" s="2">
        <f t="shared" si="461"/>
        <v>2565765</v>
      </c>
      <c r="H1982" s="113">
        <f t="shared" si="462"/>
        <v>924000</v>
      </c>
      <c r="I1982" s="121">
        <f t="shared" si="455"/>
        <v>2453027</v>
      </c>
      <c r="K1982" s="123">
        <f t="shared" si="463"/>
        <v>4000000</v>
      </c>
      <c r="L1982" s="111">
        <f t="shared" si="464"/>
        <v>103378</v>
      </c>
      <c r="M1982" s="2">
        <f t="shared" si="465"/>
        <v>8586</v>
      </c>
      <c r="N1982" s="112">
        <f t="shared" si="456"/>
        <v>16000000</v>
      </c>
      <c r="O1982" s="2">
        <f t="shared" si="466"/>
        <v>2565765</v>
      </c>
      <c r="P1982" s="113">
        <f t="shared" si="467"/>
        <v>924000</v>
      </c>
      <c r="Q1982" s="121">
        <f t="shared" si="457"/>
        <v>2453027</v>
      </c>
    </row>
    <row r="1983" spans="2:17" hidden="1" x14ac:dyDescent="0.4">
      <c r="B1983" s="110">
        <v>45904</v>
      </c>
      <c r="C1983" s="122">
        <f t="shared" si="458"/>
        <v>4000000</v>
      </c>
      <c r="D1983" s="111">
        <f t="shared" si="459"/>
        <v>103378</v>
      </c>
      <c r="E1983" s="2">
        <f t="shared" si="460"/>
        <v>8586</v>
      </c>
      <c r="F1983" s="112">
        <f t="shared" si="454"/>
        <v>16000000</v>
      </c>
      <c r="G1983" s="2">
        <f t="shared" si="461"/>
        <v>2565765</v>
      </c>
      <c r="H1983" s="113">
        <f t="shared" si="462"/>
        <v>924000</v>
      </c>
      <c r="I1983" s="121">
        <f t="shared" si="455"/>
        <v>2453027</v>
      </c>
      <c r="K1983" s="123">
        <f t="shared" si="463"/>
        <v>4000000</v>
      </c>
      <c r="L1983" s="111">
        <f t="shared" si="464"/>
        <v>103378</v>
      </c>
      <c r="M1983" s="2">
        <f t="shared" si="465"/>
        <v>8586</v>
      </c>
      <c r="N1983" s="112">
        <f t="shared" si="456"/>
        <v>16000000</v>
      </c>
      <c r="O1983" s="2">
        <f t="shared" si="466"/>
        <v>2565765</v>
      </c>
      <c r="P1983" s="113">
        <f t="shared" si="467"/>
        <v>924000</v>
      </c>
      <c r="Q1983" s="121">
        <f t="shared" si="457"/>
        <v>2453027</v>
      </c>
    </row>
    <row r="1984" spans="2:17" hidden="1" x14ac:dyDescent="0.4">
      <c r="B1984" s="110">
        <v>45905</v>
      </c>
      <c r="C1984" s="122">
        <f t="shared" si="458"/>
        <v>4000000</v>
      </c>
      <c r="D1984" s="111">
        <f t="shared" si="459"/>
        <v>103378</v>
      </c>
      <c r="E1984" s="2">
        <f t="shared" si="460"/>
        <v>8586</v>
      </c>
      <c r="F1984" s="112">
        <f t="shared" si="454"/>
        <v>16000000</v>
      </c>
      <c r="G1984" s="2">
        <f t="shared" si="461"/>
        <v>2565765</v>
      </c>
      <c r="H1984" s="113">
        <f t="shared" si="462"/>
        <v>924000</v>
      </c>
      <c r="I1984" s="121">
        <f t="shared" si="455"/>
        <v>2453027</v>
      </c>
      <c r="K1984" s="123">
        <f t="shared" si="463"/>
        <v>4000000</v>
      </c>
      <c r="L1984" s="111">
        <f t="shared" si="464"/>
        <v>103378</v>
      </c>
      <c r="M1984" s="2">
        <f t="shared" si="465"/>
        <v>8586</v>
      </c>
      <c r="N1984" s="112">
        <f t="shared" si="456"/>
        <v>16000000</v>
      </c>
      <c r="O1984" s="2">
        <f t="shared" si="466"/>
        <v>2565765</v>
      </c>
      <c r="P1984" s="113">
        <f t="shared" si="467"/>
        <v>924000</v>
      </c>
      <c r="Q1984" s="121">
        <f t="shared" si="457"/>
        <v>2453027</v>
      </c>
    </row>
    <row r="1985" spans="2:17" hidden="1" x14ac:dyDescent="0.4">
      <c r="B1985" s="110">
        <v>45906</v>
      </c>
      <c r="C1985" s="122">
        <f t="shared" si="458"/>
        <v>4000000</v>
      </c>
      <c r="D1985" s="111">
        <f t="shared" si="459"/>
        <v>103378</v>
      </c>
      <c r="E1985" s="2">
        <f t="shared" si="460"/>
        <v>8586</v>
      </c>
      <c r="F1985" s="112">
        <f t="shared" si="454"/>
        <v>16000000</v>
      </c>
      <c r="G1985" s="2">
        <f t="shared" si="461"/>
        <v>2565765</v>
      </c>
      <c r="H1985" s="113">
        <f t="shared" si="462"/>
        <v>924000</v>
      </c>
      <c r="I1985" s="121">
        <f t="shared" si="455"/>
        <v>2453027</v>
      </c>
      <c r="K1985" s="123">
        <f t="shared" si="463"/>
        <v>4000000</v>
      </c>
      <c r="L1985" s="111">
        <f t="shared" si="464"/>
        <v>103378</v>
      </c>
      <c r="M1985" s="2">
        <f t="shared" si="465"/>
        <v>8586</v>
      </c>
      <c r="N1985" s="112">
        <f t="shared" si="456"/>
        <v>16000000</v>
      </c>
      <c r="O1985" s="2">
        <f t="shared" si="466"/>
        <v>2565765</v>
      </c>
      <c r="P1985" s="113">
        <f t="shared" si="467"/>
        <v>924000</v>
      </c>
      <c r="Q1985" s="121">
        <f t="shared" si="457"/>
        <v>2453027</v>
      </c>
    </row>
    <row r="1986" spans="2:17" hidden="1" x14ac:dyDescent="0.4">
      <c r="B1986" s="110">
        <v>45907</v>
      </c>
      <c r="C1986" s="122">
        <f t="shared" si="458"/>
        <v>4000000</v>
      </c>
      <c r="D1986" s="111">
        <f t="shared" si="459"/>
        <v>103378</v>
      </c>
      <c r="E1986" s="2">
        <f t="shared" si="460"/>
        <v>8586</v>
      </c>
      <c r="F1986" s="112">
        <f t="shared" si="454"/>
        <v>16000000</v>
      </c>
      <c r="G1986" s="2">
        <f t="shared" si="461"/>
        <v>2565765</v>
      </c>
      <c r="H1986" s="113">
        <f t="shared" si="462"/>
        <v>924000</v>
      </c>
      <c r="I1986" s="121">
        <f t="shared" si="455"/>
        <v>2453027</v>
      </c>
      <c r="K1986" s="123">
        <f t="shared" si="463"/>
        <v>4000000</v>
      </c>
      <c r="L1986" s="111">
        <f t="shared" si="464"/>
        <v>103378</v>
      </c>
      <c r="M1986" s="2">
        <f t="shared" si="465"/>
        <v>8586</v>
      </c>
      <c r="N1986" s="112">
        <f t="shared" si="456"/>
        <v>16000000</v>
      </c>
      <c r="O1986" s="2">
        <f t="shared" si="466"/>
        <v>2565765</v>
      </c>
      <c r="P1986" s="113">
        <f t="shared" si="467"/>
        <v>924000</v>
      </c>
      <c r="Q1986" s="121">
        <f t="shared" si="457"/>
        <v>2453027</v>
      </c>
    </row>
    <row r="1987" spans="2:17" hidden="1" x14ac:dyDescent="0.4">
      <c r="B1987" s="110">
        <v>45908</v>
      </c>
      <c r="C1987" s="122">
        <f t="shared" si="458"/>
        <v>4000000</v>
      </c>
      <c r="D1987" s="111">
        <f t="shared" si="459"/>
        <v>107059</v>
      </c>
      <c r="E1987" s="2">
        <f t="shared" si="460"/>
        <v>8586</v>
      </c>
      <c r="F1987" s="112">
        <f t="shared" si="454"/>
        <v>16000000</v>
      </c>
      <c r="G1987" s="2">
        <f t="shared" si="461"/>
        <v>2565765</v>
      </c>
      <c r="H1987" s="113">
        <f t="shared" si="462"/>
        <v>924000</v>
      </c>
      <c r="I1987" s="121">
        <f t="shared" si="455"/>
        <v>2456708</v>
      </c>
      <c r="K1987" s="123">
        <f t="shared" si="463"/>
        <v>4000000</v>
      </c>
      <c r="L1987" s="111">
        <f t="shared" si="464"/>
        <v>107059</v>
      </c>
      <c r="M1987" s="2">
        <f t="shared" si="465"/>
        <v>8586</v>
      </c>
      <c r="N1987" s="112">
        <f t="shared" si="456"/>
        <v>16000000</v>
      </c>
      <c r="O1987" s="2">
        <f t="shared" si="466"/>
        <v>2565765</v>
      </c>
      <c r="P1987" s="113">
        <f t="shared" si="467"/>
        <v>924000</v>
      </c>
      <c r="Q1987" s="121">
        <f t="shared" si="457"/>
        <v>2456708</v>
      </c>
    </row>
    <row r="1988" spans="2:17" hidden="1" x14ac:dyDescent="0.4">
      <c r="B1988" s="110">
        <v>45909</v>
      </c>
      <c r="C1988" s="122">
        <f t="shared" si="458"/>
        <v>4000000</v>
      </c>
      <c r="D1988" s="111">
        <f t="shared" si="459"/>
        <v>107059</v>
      </c>
      <c r="E1988" s="2">
        <f t="shared" si="460"/>
        <v>8586</v>
      </c>
      <c r="F1988" s="112">
        <f t="shared" si="454"/>
        <v>16000000</v>
      </c>
      <c r="G1988" s="2">
        <f t="shared" si="461"/>
        <v>2565765</v>
      </c>
      <c r="H1988" s="113">
        <f t="shared" si="462"/>
        <v>924000</v>
      </c>
      <c r="I1988" s="121">
        <f t="shared" si="455"/>
        <v>2456708</v>
      </c>
      <c r="K1988" s="123">
        <f t="shared" si="463"/>
        <v>4000000</v>
      </c>
      <c r="L1988" s="111">
        <f t="shared" si="464"/>
        <v>107059</v>
      </c>
      <c r="M1988" s="2">
        <f t="shared" si="465"/>
        <v>8586</v>
      </c>
      <c r="N1988" s="112">
        <f t="shared" si="456"/>
        <v>16000000</v>
      </c>
      <c r="O1988" s="2">
        <f t="shared" si="466"/>
        <v>2565765</v>
      </c>
      <c r="P1988" s="113">
        <f t="shared" si="467"/>
        <v>924000</v>
      </c>
      <c r="Q1988" s="121">
        <f t="shared" si="457"/>
        <v>2456708</v>
      </c>
    </row>
    <row r="1989" spans="2:17" hidden="1" x14ac:dyDescent="0.4">
      <c r="B1989" s="110">
        <v>45910</v>
      </c>
      <c r="C1989" s="122">
        <f t="shared" si="458"/>
        <v>4000000</v>
      </c>
      <c r="D1989" s="111">
        <f t="shared" si="459"/>
        <v>107059</v>
      </c>
      <c r="E1989" s="2">
        <f t="shared" si="460"/>
        <v>8586</v>
      </c>
      <c r="F1989" s="112">
        <f t="shared" si="454"/>
        <v>16000000</v>
      </c>
      <c r="G1989" s="2">
        <f t="shared" si="461"/>
        <v>2565765</v>
      </c>
      <c r="H1989" s="113">
        <f t="shared" si="462"/>
        <v>924000</v>
      </c>
      <c r="I1989" s="121">
        <f t="shared" si="455"/>
        <v>2456708</v>
      </c>
      <c r="K1989" s="123">
        <f t="shared" si="463"/>
        <v>4000000</v>
      </c>
      <c r="L1989" s="111">
        <f t="shared" si="464"/>
        <v>107059</v>
      </c>
      <c r="M1989" s="2">
        <f t="shared" si="465"/>
        <v>8586</v>
      </c>
      <c r="N1989" s="112">
        <f t="shared" si="456"/>
        <v>16000000</v>
      </c>
      <c r="O1989" s="2">
        <f t="shared" si="466"/>
        <v>2565765</v>
      </c>
      <c r="P1989" s="113">
        <f t="shared" si="467"/>
        <v>924000</v>
      </c>
      <c r="Q1989" s="121">
        <f t="shared" si="457"/>
        <v>2456708</v>
      </c>
    </row>
    <row r="1990" spans="2:17" hidden="1" x14ac:dyDescent="0.4">
      <c r="B1990" s="110">
        <v>45911</v>
      </c>
      <c r="C1990" s="122">
        <f t="shared" si="458"/>
        <v>4000000</v>
      </c>
      <c r="D1990" s="111">
        <f t="shared" si="459"/>
        <v>107059</v>
      </c>
      <c r="E1990" s="2">
        <f t="shared" si="460"/>
        <v>8586</v>
      </c>
      <c r="F1990" s="112">
        <f t="shared" si="454"/>
        <v>16000000</v>
      </c>
      <c r="G1990" s="2">
        <f t="shared" si="461"/>
        <v>2565765</v>
      </c>
      <c r="H1990" s="113">
        <f t="shared" si="462"/>
        <v>924000</v>
      </c>
      <c r="I1990" s="121">
        <f t="shared" si="455"/>
        <v>2456708</v>
      </c>
      <c r="K1990" s="123">
        <f t="shared" si="463"/>
        <v>4000000</v>
      </c>
      <c r="L1990" s="111">
        <f t="shared" si="464"/>
        <v>107059</v>
      </c>
      <c r="M1990" s="2">
        <f t="shared" si="465"/>
        <v>8586</v>
      </c>
      <c r="N1990" s="112">
        <f t="shared" si="456"/>
        <v>16000000</v>
      </c>
      <c r="O1990" s="2">
        <f t="shared" si="466"/>
        <v>2565765</v>
      </c>
      <c r="P1990" s="113">
        <f t="shared" si="467"/>
        <v>924000</v>
      </c>
      <c r="Q1990" s="121">
        <f t="shared" si="457"/>
        <v>2456708</v>
      </c>
    </row>
    <row r="1991" spans="2:17" hidden="1" x14ac:dyDescent="0.4">
      <c r="B1991" s="110">
        <v>45912</v>
      </c>
      <c r="C1991" s="122">
        <f t="shared" si="458"/>
        <v>4000000</v>
      </c>
      <c r="D1991" s="111">
        <f t="shared" si="459"/>
        <v>107059</v>
      </c>
      <c r="E1991" s="2">
        <f t="shared" si="460"/>
        <v>8586</v>
      </c>
      <c r="F1991" s="112">
        <f t="shared" si="454"/>
        <v>16000000</v>
      </c>
      <c r="G1991" s="2">
        <f t="shared" si="461"/>
        <v>2565765</v>
      </c>
      <c r="H1991" s="113">
        <f t="shared" si="462"/>
        <v>924000</v>
      </c>
      <c r="I1991" s="121">
        <f t="shared" si="455"/>
        <v>2456708</v>
      </c>
      <c r="K1991" s="123">
        <f t="shared" si="463"/>
        <v>4000000</v>
      </c>
      <c r="L1991" s="111">
        <f t="shared" si="464"/>
        <v>107059</v>
      </c>
      <c r="M1991" s="2">
        <f t="shared" si="465"/>
        <v>8586</v>
      </c>
      <c r="N1991" s="112">
        <f t="shared" si="456"/>
        <v>16000000</v>
      </c>
      <c r="O1991" s="2">
        <f t="shared" si="466"/>
        <v>2565765</v>
      </c>
      <c r="P1991" s="113">
        <f t="shared" si="467"/>
        <v>924000</v>
      </c>
      <c r="Q1991" s="121">
        <f t="shared" si="457"/>
        <v>2456708</v>
      </c>
    </row>
    <row r="1992" spans="2:17" hidden="1" x14ac:dyDescent="0.4">
      <c r="B1992" s="110">
        <v>45913</v>
      </c>
      <c r="C1992" s="122">
        <f t="shared" si="458"/>
        <v>4000000</v>
      </c>
      <c r="D1992" s="111">
        <f t="shared" si="459"/>
        <v>107059</v>
      </c>
      <c r="E1992" s="2">
        <f t="shared" si="460"/>
        <v>8586</v>
      </c>
      <c r="F1992" s="112">
        <f t="shared" si="454"/>
        <v>16000000</v>
      </c>
      <c r="G1992" s="2">
        <f t="shared" si="461"/>
        <v>2565765</v>
      </c>
      <c r="H1992" s="113">
        <f t="shared" si="462"/>
        <v>924000</v>
      </c>
      <c r="I1992" s="121">
        <f t="shared" si="455"/>
        <v>2456708</v>
      </c>
      <c r="K1992" s="123">
        <f t="shared" si="463"/>
        <v>4000000</v>
      </c>
      <c r="L1992" s="111">
        <f t="shared" si="464"/>
        <v>107059</v>
      </c>
      <c r="M1992" s="2">
        <f t="shared" si="465"/>
        <v>8586</v>
      </c>
      <c r="N1992" s="112">
        <f t="shared" si="456"/>
        <v>16000000</v>
      </c>
      <c r="O1992" s="2">
        <f t="shared" si="466"/>
        <v>2565765</v>
      </c>
      <c r="P1992" s="113">
        <f t="shared" si="467"/>
        <v>924000</v>
      </c>
      <c r="Q1992" s="121">
        <f t="shared" si="457"/>
        <v>2456708</v>
      </c>
    </row>
    <row r="1993" spans="2:17" hidden="1" x14ac:dyDescent="0.4">
      <c r="B1993" s="110">
        <v>45914</v>
      </c>
      <c r="C1993" s="122">
        <f t="shared" si="458"/>
        <v>4000000</v>
      </c>
      <c r="D1993" s="111">
        <f t="shared" si="459"/>
        <v>107059</v>
      </c>
      <c r="E1993" s="2">
        <f t="shared" si="460"/>
        <v>8586</v>
      </c>
      <c r="F1993" s="112">
        <f t="shared" si="454"/>
        <v>16000000</v>
      </c>
      <c r="G1993" s="2">
        <f t="shared" si="461"/>
        <v>2565765</v>
      </c>
      <c r="H1993" s="113">
        <f t="shared" si="462"/>
        <v>924000</v>
      </c>
      <c r="I1993" s="121">
        <f t="shared" si="455"/>
        <v>2456708</v>
      </c>
      <c r="K1993" s="123">
        <f t="shared" si="463"/>
        <v>4000000</v>
      </c>
      <c r="L1993" s="111">
        <f t="shared" si="464"/>
        <v>107059</v>
      </c>
      <c r="M1993" s="2">
        <f t="shared" si="465"/>
        <v>8586</v>
      </c>
      <c r="N1993" s="112">
        <f t="shared" si="456"/>
        <v>16000000</v>
      </c>
      <c r="O1993" s="2">
        <f t="shared" si="466"/>
        <v>2565765</v>
      </c>
      <c r="P1993" s="113">
        <f t="shared" si="467"/>
        <v>924000</v>
      </c>
      <c r="Q1993" s="121">
        <f t="shared" si="457"/>
        <v>2456708</v>
      </c>
    </row>
    <row r="1994" spans="2:17" hidden="1" x14ac:dyDescent="0.4">
      <c r="B1994" s="110">
        <v>45915</v>
      </c>
      <c r="C1994" s="122">
        <f t="shared" si="458"/>
        <v>4000000</v>
      </c>
      <c r="D1994" s="111">
        <f t="shared" si="459"/>
        <v>107059</v>
      </c>
      <c r="E1994" s="2">
        <f t="shared" si="460"/>
        <v>8586</v>
      </c>
      <c r="F1994" s="112">
        <f t="shared" ref="F1994:F2057" si="468">20000000-C1994</f>
        <v>16000000</v>
      </c>
      <c r="G1994" s="2">
        <f t="shared" si="461"/>
        <v>2565765</v>
      </c>
      <c r="H1994" s="113">
        <f t="shared" si="462"/>
        <v>924000</v>
      </c>
      <c r="I1994" s="121">
        <f t="shared" ref="I1994:I2057" si="469">C1994+D1994-G1994-E1994+H1994</f>
        <v>2456708</v>
      </c>
      <c r="K1994" s="123">
        <f t="shared" si="463"/>
        <v>4000000</v>
      </c>
      <c r="L1994" s="111">
        <f t="shared" si="464"/>
        <v>107059</v>
      </c>
      <c r="M1994" s="2">
        <f t="shared" si="465"/>
        <v>8586</v>
      </c>
      <c r="N1994" s="112">
        <f t="shared" ref="N1994:N2057" si="470">20000000-K1994</f>
        <v>16000000</v>
      </c>
      <c r="O1994" s="2">
        <f t="shared" si="466"/>
        <v>2565765</v>
      </c>
      <c r="P1994" s="113">
        <f t="shared" si="467"/>
        <v>924000</v>
      </c>
      <c r="Q1994" s="121">
        <f t="shared" ref="Q1994:Q2057" si="471">K1994+L1994-O1994-M1994+P1994</f>
        <v>2456708</v>
      </c>
    </row>
    <row r="1995" spans="2:17" hidden="1" x14ac:dyDescent="0.4">
      <c r="B1995" s="110">
        <v>45916</v>
      </c>
      <c r="C1995" s="122">
        <f t="shared" ref="C1995:C2058" si="472">SUMIF($B$6:$B$75,$B1995,$D$6:$D$75)+C1994</f>
        <v>4000000</v>
      </c>
      <c r="D1995" s="111">
        <f t="shared" ref="D1995:D2058" si="473">SUMIF($B$6:$B$75,$B1995,$E$6:$E$75)+D1994</f>
        <v>107059</v>
      </c>
      <c r="E1995" s="2">
        <f t="shared" ref="E1995:E2058" si="474">SUMIF($G$353:$G$376,$B1995,$J$353:$J$376)+SUMIF($E$353:$E$376,$B1995,$H$353:$H$376)+SUMIF($G$353:$G$376,$B1995,$I$353:$I$376)+E1994</f>
        <v>8586</v>
      </c>
      <c r="F1995" s="112">
        <f t="shared" si="468"/>
        <v>16000000</v>
      </c>
      <c r="G1995" s="2">
        <f t="shared" ref="G1995:G2058" si="475">SUMIF($E$353:$E$376,$B1995,$M$353:$M$376)+G1994</f>
        <v>2565765</v>
      </c>
      <c r="H1995" s="113">
        <f t="shared" ref="H1995:H2058" si="476">SUMIF($G$353:$G$376,$B1995,$N$353:$N$376)+H1994</f>
        <v>924000</v>
      </c>
      <c r="I1995" s="121">
        <f t="shared" si="469"/>
        <v>2456708</v>
      </c>
      <c r="K1995" s="123">
        <f t="shared" ref="K1995:K2058" si="477">SUMIF($B$6:$B$75,$B1995,$D$6:$D$75)+K1994</f>
        <v>4000000</v>
      </c>
      <c r="L1995" s="111">
        <f t="shared" ref="L1995:L2058" si="478">SUMIF($B$6:$B$75,$B1995,$E$6:$E$75)+L1994</f>
        <v>107059</v>
      </c>
      <c r="M1995" s="2">
        <f t="shared" ref="M1995:M2058" si="479">SUMIF($G$353:$G$376,$B1995,$J$353:$J$376)+SUMIF($E$353:$E$376,$B1995,$H$353:$H$376)+SUMIF($G$353:$G$376,$B1995,$I$353:$I$376)+M1994</f>
        <v>8586</v>
      </c>
      <c r="N1995" s="112">
        <f t="shared" si="470"/>
        <v>16000000</v>
      </c>
      <c r="O1995" s="2">
        <f t="shared" ref="O1995:O2058" si="480">SUMIF($E$353:$E$376,$B1995,$M$353:$M$376)+O1994</f>
        <v>2565765</v>
      </c>
      <c r="P1995" s="113">
        <f t="shared" ref="P1995:P2058" si="481">SUMIF($G$353:$G$376,$B1995,$N$353:$N$376)+P1994</f>
        <v>924000</v>
      </c>
      <c r="Q1995" s="121">
        <f t="shared" si="471"/>
        <v>2456708</v>
      </c>
    </row>
    <row r="1996" spans="2:17" hidden="1" x14ac:dyDescent="0.4">
      <c r="B1996" s="110">
        <v>45917</v>
      </c>
      <c r="C1996" s="122">
        <f t="shared" si="472"/>
        <v>4000000</v>
      </c>
      <c r="D1996" s="111">
        <f t="shared" si="473"/>
        <v>108991</v>
      </c>
      <c r="E1996" s="2">
        <f t="shared" si="474"/>
        <v>8586</v>
      </c>
      <c r="F1996" s="112">
        <f t="shared" si="468"/>
        <v>16000000</v>
      </c>
      <c r="G1996" s="2">
        <f t="shared" si="475"/>
        <v>2565765</v>
      </c>
      <c r="H1996" s="113">
        <f t="shared" si="476"/>
        <v>924000</v>
      </c>
      <c r="I1996" s="121">
        <f t="shared" si="469"/>
        <v>2458640</v>
      </c>
      <c r="K1996" s="123">
        <f t="shared" si="477"/>
        <v>4000000</v>
      </c>
      <c r="L1996" s="111">
        <f t="shared" si="478"/>
        <v>108991</v>
      </c>
      <c r="M1996" s="2">
        <f t="shared" si="479"/>
        <v>8586</v>
      </c>
      <c r="N1996" s="112">
        <f t="shared" si="470"/>
        <v>16000000</v>
      </c>
      <c r="O1996" s="2">
        <f t="shared" si="480"/>
        <v>2565765</v>
      </c>
      <c r="P1996" s="113">
        <f t="shared" si="481"/>
        <v>924000</v>
      </c>
      <c r="Q1996" s="121">
        <f t="shared" si="471"/>
        <v>2458640</v>
      </c>
    </row>
    <row r="1997" spans="2:17" hidden="1" x14ac:dyDescent="0.4">
      <c r="B1997" s="110">
        <v>45918</v>
      </c>
      <c r="C1997" s="122">
        <f t="shared" si="472"/>
        <v>4000000</v>
      </c>
      <c r="D1997" s="111">
        <f t="shared" si="473"/>
        <v>108991</v>
      </c>
      <c r="E1997" s="2">
        <f t="shared" si="474"/>
        <v>8586</v>
      </c>
      <c r="F1997" s="112">
        <f t="shared" si="468"/>
        <v>16000000</v>
      </c>
      <c r="G1997" s="2">
        <f t="shared" si="475"/>
        <v>2565765</v>
      </c>
      <c r="H1997" s="113">
        <f t="shared" si="476"/>
        <v>924000</v>
      </c>
      <c r="I1997" s="121">
        <f t="shared" si="469"/>
        <v>2458640</v>
      </c>
      <c r="K1997" s="123">
        <f t="shared" si="477"/>
        <v>4000000</v>
      </c>
      <c r="L1997" s="111">
        <f t="shared" si="478"/>
        <v>108991</v>
      </c>
      <c r="M1997" s="2">
        <f t="shared" si="479"/>
        <v>8586</v>
      </c>
      <c r="N1997" s="112">
        <f t="shared" si="470"/>
        <v>16000000</v>
      </c>
      <c r="O1997" s="2">
        <f t="shared" si="480"/>
        <v>2565765</v>
      </c>
      <c r="P1997" s="113">
        <f t="shared" si="481"/>
        <v>924000</v>
      </c>
      <c r="Q1997" s="121">
        <f t="shared" si="471"/>
        <v>2458640</v>
      </c>
    </row>
    <row r="1998" spans="2:17" hidden="1" x14ac:dyDescent="0.4">
      <c r="B1998" s="110">
        <v>45919</v>
      </c>
      <c r="C1998" s="122">
        <f t="shared" si="472"/>
        <v>4000000</v>
      </c>
      <c r="D1998" s="111">
        <f t="shared" si="473"/>
        <v>108991</v>
      </c>
      <c r="E1998" s="2">
        <f t="shared" si="474"/>
        <v>8586</v>
      </c>
      <c r="F1998" s="112">
        <f t="shared" si="468"/>
        <v>16000000</v>
      </c>
      <c r="G1998" s="2">
        <f t="shared" si="475"/>
        <v>2565765</v>
      </c>
      <c r="H1998" s="113">
        <f t="shared" si="476"/>
        <v>924000</v>
      </c>
      <c r="I1998" s="121">
        <f t="shared" si="469"/>
        <v>2458640</v>
      </c>
      <c r="K1998" s="123">
        <f t="shared" si="477"/>
        <v>4000000</v>
      </c>
      <c r="L1998" s="111">
        <f t="shared" si="478"/>
        <v>108991</v>
      </c>
      <c r="M1998" s="2">
        <f t="shared" si="479"/>
        <v>8586</v>
      </c>
      <c r="N1998" s="112">
        <f t="shared" si="470"/>
        <v>16000000</v>
      </c>
      <c r="O1998" s="2">
        <f t="shared" si="480"/>
        <v>2565765</v>
      </c>
      <c r="P1998" s="113">
        <f t="shared" si="481"/>
        <v>924000</v>
      </c>
      <c r="Q1998" s="121">
        <f t="shared" si="471"/>
        <v>2458640</v>
      </c>
    </row>
    <row r="1999" spans="2:17" hidden="1" x14ac:dyDescent="0.4">
      <c r="B1999" s="110">
        <v>45920</v>
      </c>
      <c r="C1999" s="122">
        <f t="shared" si="472"/>
        <v>4000000</v>
      </c>
      <c r="D1999" s="111">
        <f t="shared" si="473"/>
        <v>108991</v>
      </c>
      <c r="E1999" s="2">
        <f t="shared" si="474"/>
        <v>8586</v>
      </c>
      <c r="F1999" s="112">
        <f t="shared" si="468"/>
        <v>16000000</v>
      </c>
      <c r="G1999" s="2">
        <f t="shared" si="475"/>
        <v>2565765</v>
      </c>
      <c r="H1999" s="113">
        <f t="shared" si="476"/>
        <v>924000</v>
      </c>
      <c r="I1999" s="121">
        <f t="shared" si="469"/>
        <v>2458640</v>
      </c>
      <c r="K1999" s="123">
        <f t="shared" si="477"/>
        <v>4000000</v>
      </c>
      <c r="L1999" s="111">
        <f t="shared" si="478"/>
        <v>108991</v>
      </c>
      <c r="M1999" s="2">
        <f t="shared" si="479"/>
        <v>8586</v>
      </c>
      <c r="N1999" s="112">
        <f t="shared" si="470"/>
        <v>16000000</v>
      </c>
      <c r="O1999" s="2">
        <f t="shared" si="480"/>
        <v>2565765</v>
      </c>
      <c r="P1999" s="113">
        <f t="shared" si="481"/>
        <v>924000</v>
      </c>
      <c r="Q1999" s="121">
        <f t="shared" si="471"/>
        <v>2458640</v>
      </c>
    </row>
    <row r="2000" spans="2:17" hidden="1" x14ac:dyDescent="0.4">
      <c r="B2000" s="110">
        <v>45921</v>
      </c>
      <c r="C2000" s="122">
        <f t="shared" si="472"/>
        <v>4000000</v>
      </c>
      <c r="D2000" s="111">
        <f t="shared" si="473"/>
        <v>108991</v>
      </c>
      <c r="E2000" s="2">
        <f t="shared" si="474"/>
        <v>8586</v>
      </c>
      <c r="F2000" s="112">
        <f t="shared" si="468"/>
        <v>16000000</v>
      </c>
      <c r="G2000" s="2">
        <f t="shared" si="475"/>
        <v>2565765</v>
      </c>
      <c r="H2000" s="113">
        <f t="shared" si="476"/>
        <v>924000</v>
      </c>
      <c r="I2000" s="121">
        <f t="shared" si="469"/>
        <v>2458640</v>
      </c>
      <c r="K2000" s="123">
        <f t="shared" si="477"/>
        <v>4000000</v>
      </c>
      <c r="L2000" s="111">
        <f t="shared" si="478"/>
        <v>108991</v>
      </c>
      <c r="M2000" s="2">
        <f t="shared" si="479"/>
        <v>8586</v>
      </c>
      <c r="N2000" s="112">
        <f t="shared" si="470"/>
        <v>16000000</v>
      </c>
      <c r="O2000" s="2">
        <f t="shared" si="480"/>
        <v>2565765</v>
      </c>
      <c r="P2000" s="113">
        <f t="shared" si="481"/>
        <v>924000</v>
      </c>
      <c r="Q2000" s="121">
        <f t="shared" si="471"/>
        <v>2458640</v>
      </c>
    </row>
    <row r="2001" spans="2:17" hidden="1" x14ac:dyDescent="0.4">
      <c r="B2001" s="110">
        <v>45922</v>
      </c>
      <c r="C2001" s="122">
        <f t="shared" si="472"/>
        <v>4000000</v>
      </c>
      <c r="D2001" s="111">
        <f t="shared" si="473"/>
        <v>108991</v>
      </c>
      <c r="E2001" s="2">
        <f t="shared" si="474"/>
        <v>8586</v>
      </c>
      <c r="F2001" s="112">
        <f t="shared" si="468"/>
        <v>16000000</v>
      </c>
      <c r="G2001" s="2">
        <f t="shared" si="475"/>
        <v>2565765</v>
      </c>
      <c r="H2001" s="113">
        <f t="shared" si="476"/>
        <v>924000</v>
      </c>
      <c r="I2001" s="121">
        <f t="shared" si="469"/>
        <v>2458640</v>
      </c>
      <c r="K2001" s="123">
        <f t="shared" si="477"/>
        <v>4000000</v>
      </c>
      <c r="L2001" s="111">
        <f t="shared" si="478"/>
        <v>108991</v>
      </c>
      <c r="M2001" s="2">
        <f t="shared" si="479"/>
        <v>8586</v>
      </c>
      <c r="N2001" s="112">
        <f t="shared" si="470"/>
        <v>16000000</v>
      </c>
      <c r="O2001" s="2">
        <f t="shared" si="480"/>
        <v>2565765</v>
      </c>
      <c r="P2001" s="113">
        <f t="shared" si="481"/>
        <v>924000</v>
      </c>
      <c r="Q2001" s="121">
        <f t="shared" si="471"/>
        <v>2458640</v>
      </c>
    </row>
    <row r="2002" spans="2:17" hidden="1" x14ac:dyDescent="0.4">
      <c r="B2002" s="110">
        <v>45923</v>
      </c>
      <c r="C2002" s="122">
        <f t="shared" si="472"/>
        <v>4000000</v>
      </c>
      <c r="D2002" s="111">
        <f t="shared" si="473"/>
        <v>108991</v>
      </c>
      <c r="E2002" s="2">
        <f t="shared" si="474"/>
        <v>8586</v>
      </c>
      <c r="F2002" s="112">
        <f t="shared" si="468"/>
        <v>16000000</v>
      </c>
      <c r="G2002" s="2">
        <f t="shared" si="475"/>
        <v>2565765</v>
      </c>
      <c r="H2002" s="113">
        <f t="shared" si="476"/>
        <v>924000</v>
      </c>
      <c r="I2002" s="121">
        <f t="shared" si="469"/>
        <v>2458640</v>
      </c>
      <c r="K2002" s="123">
        <f t="shared" si="477"/>
        <v>4000000</v>
      </c>
      <c r="L2002" s="111">
        <f t="shared" si="478"/>
        <v>108991</v>
      </c>
      <c r="M2002" s="2">
        <f t="shared" si="479"/>
        <v>8586</v>
      </c>
      <c r="N2002" s="112">
        <f t="shared" si="470"/>
        <v>16000000</v>
      </c>
      <c r="O2002" s="2">
        <f t="shared" si="480"/>
        <v>2565765</v>
      </c>
      <c r="P2002" s="113">
        <f t="shared" si="481"/>
        <v>924000</v>
      </c>
      <c r="Q2002" s="121">
        <f t="shared" si="471"/>
        <v>2458640</v>
      </c>
    </row>
    <row r="2003" spans="2:17" hidden="1" x14ac:dyDescent="0.4">
      <c r="B2003" s="110">
        <v>45924</v>
      </c>
      <c r="C2003" s="122">
        <f t="shared" si="472"/>
        <v>4000000</v>
      </c>
      <c r="D2003" s="111">
        <f t="shared" si="473"/>
        <v>108991</v>
      </c>
      <c r="E2003" s="2">
        <f t="shared" si="474"/>
        <v>8586</v>
      </c>
      <c r="F2003" s="112">
        <f t="shared" si="468"/>
        <v>16000000</v>
      </c>
      <c r="G2003" s="2">
        <f t="shared" si="475"/>
        <v>2565765</v>
      </c>
      <c r="H2003" s="113">
        <f t="shared" si="476"/>
        <v>924000</v>
      </c>
      <c r="I2003" s="121">
        <f t="shared" si="469"/>
        <v>2458640</v>
      </c>
      <c r="K2003" s="123">
        <f t="shared" si="477"/>
        <v>4000000</v>
      </c>
      <c r="L2003" s="111">
        <f t="shared" si="478"/>
        <v>108991</v>
      </c>
      <c r="M2003" s="2">
        <f t="shared" si="479"/>
        <v>8586</v>
      </c>
      <c r="N2003" s="112">
        <f t="shared" si="470"/>
        <v>16000000</v>
      </c>
      <c r="O2003" s="2">
        <f t="shared" si="480"/>
        <v>2565765</v>
      </c>
      <c r="P2003" s="113">
        <f t="shared" si="481"/>
        <v>924000</v>
      </c>
      <c r="Q2003" s="121">
        <f t="shared" si="471"/>
        <v>2458640</v>
      </c>
    </row>
    <row r="2004" spans="2:17" hidden="1" x14ac:dyDescent="0.4">
      <c r="B2004" s="110">
        <v>45925</v>
      </c>
      <c r="C2004" s="122">
        <f t="shared" si="472"/>
        <v>4000000</v>
      </c>
      <c r="D2004" s="111">
        <f t="shared" si="473"/>
        <v>108991</v>
      </c>
      <c r="E2004" s="2">
        <f t="shared" si="474"/>
        <v>8586</v>
      </c>
      <c r="F2004" s="112">
        <f t="shared" si="468"/>
        <v>16000000</v>
      </c>
      <c r="G2004" s="2">
        <f t="shared" si="475"/>
        <v>2565765</v>
      </c>
      <c r="H2004" s="113">
        <f t="shared" si="476"/>
        <v>924000</v>
      </c>
      <c r="I2004" s="121">
        <f t="shared" si="469"/>
        <v>2458640</v>
      </c>
      <c r="K2004" s="123">
        <f t="shared" si="477"/>
        <v>4000000</v>
      </c>
      <c r="L2004" s="111">
        <f t="shared" si="478"/>
        <v>108991</v>
      </c>
      <c r="M2004" s="2">
        <f t="shared" si="479"/>
        <v>8586</v>
      </c>
      <c r="N2004" s="112">
        <f t="shared" si="470"/>
        <v>16000000</v>
      </c>
      <c r="O2004" s="2">
        <f t="shared" si="480"/>
        <v>2565765</v>
      </c>
      <c r="P2004" s="113">
        <f t="shared" si="481"/>
        <v>924000</v>
      </c>
      <c r="Q2004" s="121">
        <f t="shared" si="471"/>
        <v>2458640</v>
      </c>
    </row>
    <row r="2005" spans="2:17" hidden="1" x14ac:dyDescent="0.4">
      <c r="B2005" s="110">
        <v>45926</v>
      </c>
      <c r="C2005" s="122">
        <f t="shared" si="472"/>
        <v>4000000</v>
      </c>
      <c r="D2005" s="111">
        <f t="shared" si="473"/>
        <v>108991</v>
      </c>
      <c r="E2005" s="2">
        <f t="shared" si="474"/>
        <v>8586</v>
      </c>
      <c r="F2005" s="112">
        <f t="shared" si="468"/>
        <v>16000000</v>
      </c>
      <c r="G2005" s="2">
        <f t="shared" si="475"/>
        <v>2565765</v>
      </c>
      <c r="H2005" s="113">
        <f t="shared" si="476"/>
        <v>924000</v>
      </c>
      <c r="I2005" s="121">
        <f t="shared" si="469"/>
        <v>2458640</v>
      </c>
      <c r="K2005" s="123">
        <f t="shared" si="477"/>
        <v>4000000</v>
      </c>
      <c r="L2005" s="111">
        <f t="shared" si="478"/>
        <v>108991</v>
      </c>
      <c r="M2005" s="2">
        <f t="shared" si="479"/>
        <v>8586</v>
      </c>
      <c r="N2005" s="112">
        <f t="shared" si="470"/>
        <v>16000000</v>
      </c>
      <c r="O2005" s="2">
        <f t="shared" si="480"/>
        <v>2565765</v>
      </c>
      <c r="P2005" s="113">
        <f t="shared" si="481"/>
        <v>924000</v>
      </c>
      <c r="Q2005" s="121">
        <f t="shared" si="471"/>
        <v>2458640</v>
      </c>
    </row>
    <row r="2006" spans="2:17" hidden="1" x14ac:dyDescent="0.4">
      <c r="B2006" s="110">
        <v>45927</v>
      </c>
      <c r="C2006" s="122">
        <f t="shared" si="472"/>
        <v>4000000</v>
      </c>
      <c r="D2006" s="111">
        <f t="shared" si="473"/>
        <v>108991</v>
      </c>
      <c r="E2006" s="2">
        <f t="shared" si="474"/>
        <v>8586</v>
      </c>
      <c r="F2006" s="112">
        <f t="shared" si="468"/>
        <v>16000000</v>
      </c>
      <c r="G2006" s="2">
        <f t="shared" si="475"/>
        <v>2565765</v>
      </c>
      <c r="H2006" s="113">
        <f t="shared" si="476"/>
        <v>924000</v>
      </c>
      <c r="I2006" s="121">
        <f t="shared" si="469"/>
        <v>2458640</v>
      </c>
      <c r="K2006" s="123">
        <f t="shared" si="477"/>
        <v>4000000</v>
      </c>
      <c r="L2006" s="111">
        <f t="shared" si="478"/>
        <v>108991</v>
      </c>
      <c r="M2006" s="2">
        <f t="shared" si="479"/>
        <v>8586</v>
      </c>
      <c r="N2006" s="112">
        <f t="shared" si="470"/>
        <v>16000000</v>
      </c>
      <c r="O2006" s="2">
        <f t="shared" si="480"/>
        <v>2565765</v>
      </c>
      <c r="P2006" s="113">
        <f t="shared" si="481"/>
        <v>924000</v>
      </c>
      <c r="Q2006" s="121">
        <f t="shared" si="471"/>
        <v>2458640</v>
      </c>
    </row>
    <row r="2007" spans="2:17" hidden="1" x14ac:dyDescent="0.4">
      <c r="B2007" s="110">
        <v>45928</v>
      </c>
      <c r="C2007" s="122">
        <f t="shared" si="472"/>
        <v>4000000</v>
      </c>
      <c r="D2007" s="111">
        <f t="shared" si="473"/>
        <v>108991</v>
      </c>
      <c r="E2007" s="2">
        <f t="shared" si="474"/>
        <v>8586</v>
      </c>
      <c r="F2007" s="112">
        <f t="shared" si="468"/>
        <v>16000000</v>
      </c>
      <c r="G2007" s="2">
        <f t="shared" si="475"/>
        <v>2565765</v>
      </c>
      <c r="H2007" s="113">
        <f t="shared" si="476"/>
        <v>924000</v>
      </c>
      <c r="I2007" s="121">
        <f t="shared" si="469"/>
        <v>2458640</v>
      </c>
      <c r="K2007" s="123">
        <f t="shared" si="477"/>
        <v>4000000</v>
      </c>
      <c r="L2007" s="111">
        <f t="shared" si="478"/>
        <v>108991</v>
      </c>
      <c r="M2007" s="2">
        <f t="shared" si="479"/>
        <v>8586</v>
      </c>
      <c r="N2007" s="112">
        <f t="shared" si="470"/>
        <v>16000000</v>
      </c>
      <c r="O2007" s="2">
        <f t="shared" si="480"/>
        <v>2565765</v>
      </c>
      <c r="P2007" s="113">
        <f t="shared" si="481"/>
        <v>924000</v>
      </c>
      <c r="Q2007" s="121">
        <f t="shared" si="471"/>
        <v>2458640</v>
      </c>
    </row>
    <row r="2008" spans="2:17" hidden="1" x14ac:dyDescent="0.4">
      <c r="B2008" s="110">
        <v>45929</v>
      </c>
      <c r="C2008" s="122">
        <f t="shared" si="472"/>
        <v>4000000</v>
      </c>
      <c r="D2008" s="111">
        <f t="shared" si="473"/>
        <v>108991</v>
      </c>
      <c r="E2008" s="2">
        <f t="shared" si="474"/>
        <v>10978</v>
      </c>
      <c r="F2008" s="112">
        <f t="shared" si="468"/>
        <v>16000000</v>
      </c>
      <c r="G2008" s="2">
        <f t="shared" si="475"/>
        <v>2565765</v>
      </c>
      <c r="H2008" s="113">
        <f t="shared" si="476"/>
        <v>1632000</v>
      </c>
      <c r="I2008" s="121">
        <f t="shared" si="469"/>
        <v>3164248</v>
      </c>
      <c r="K2008" s="123">
        <f t="shared" si="477"/>
        <v>4000000</v>
      </c>
      <c r="L2008" s="111">
        <f t="shared" si="478"/>
        <v>108991</v>
      </c>
      <c r="M2008" s="2">
        <f t="shared" si="479"/>
        <v>10978</v>
      </c>
      <c r="N2008" s="112">
        <f t="shared" si="470"/>
        <v>16000000</v>
      </c>
      <c r="O2008" s="2">
        <f t="shared" si="480"/>
        <v>2565765</v>
      </c>
      <c r="P2008" s="113">
        <f t="shared" si="481"/>
        <v>1632000</v>
      </c>
      <c r="Q2008" s="121">
        <f t="shared" si="471"/>
        <v>3164248</v>
      </c>
    </row>
    <row r="2009" spans="2:17" hidden="1" x14ac:dyDescent="0.4">
      <c r="B2009" s="110">
        <v>45930</v>
      </c>
      <c r="C2009" s="122">
        <f t="shared" si="472"/>
        <v>4000000</v>
      </c>
      <c r="D2009" s="111">
        <f t="shared" si="473"/>
        <v>108991</v>
      </c>
      <c r="E2009" s="2">
        <f t="shared" si="474"/>
        <v>10978</v>
      </c>
      <c r="F2009" s="112">
        <f t="shared" si="468"/>
        <v>16000000</v>
      </c>
      <c r="G2009" s="2">
        <f t="shared" si="475"/>
        <v>2565765</v>
      </c>
      <c r="H2009" s="113">
        <f t="shared" si="476"/>
        <v>1632000</v>
      </c>
      <c r="I2009" s="121">
        <f t="shared" si="469"/>
        <v>3164248</v>
      </c>
      <c r="K2009" s="123">
        <f t="shared" si="477"/>
        <v>4000000</v>
      </c>
      <c r="L2009" s="111">
        <f t="shared" si="478"/>
        <v>108991</v>
      </c>
      <c r="M2009" s="2">
        <f t="shared" si="479"/>
        <v>10978</v>
      </c>
      <c r="N2009" s="112">
        <f t="shared" si="470"/>
        <v>16000000</v>
      </c>
      <c r="O2009" s="2">
        <f t="shared" si="480"/>
        <v>2565765</v>
      </c>
      <c r="P2009" s="113">
        <f t="shared" si="481"/>
        <v>1632000</v>
      </c>
      <c r="Q2009" s="121">
        <f t="shared" si="471"/>
        <v>3164248</v>
      </c>
    </row>
    <row r="2010" spans="2:17" x14ac:dyDescent="0.4">
      <c r="B2010" s="110">
        <v>45931</v>
      </c>
      <c r="C2010" s="122">
        <f t="shared" si="472"/>
        <v>4000000</v>
      </c>
      <c r="D2010" s="111">
        <f t="shared" si="473"/>
        <v>108991</v>
      </c>
      <c r="E2010" s="2">
        <f t="shared" si="474"/>
        <v>10978</v>
      </c>
      <c r="F2010" s="112">
        <f t="shared" si="468"/>
        <v>16000000</v>
      </c>
      <c r="G2010" s="2">
        <f t="shared" si="475"/>
        <v>2565765</v>
      </c>
      <c r="H2010" s="113">
        <f t="shared" si="476"/>
        <v>1632000</v>
      </c>
      <c r="I2010" s="121">
        <f t="shared" si="469"/>
        <v>3164248</v>
      </c>
      <c r="K2010" s="123">
        <f t="shared" si="477"/>
        <v>4000000</v>
      </c>
      <c r="L2010" s="111">
        <f t="shared" si="478"/>
        <v>108991</v>
      </c>
      <c r="M2010" s="2">
        <f t="shared" si="479"/>
        <v>10978</v>
      </c>
      <c r="N2010" s="112">
        <f t="shared" si="470"/>
        <v>16000000</v>
      </c>
      <c r="O2010" s="2">
        <f t="shared" si="480"/>
        <v>2565765</v>
      </c>
      <c r="P2010" s="113">
        <f t="shared" si="481"/>
        <v>1632000</v>
      </c>
      <c r="Q2010" s="121">
        <f t="shared" si="471"/>
        <v>3164248</v>
      </c>
    </row>
    <row r="2011" spans="2:17" hidden="1" x14ac:dyDescent="0.4">
      <c r="B2011" s="110">
        <v>45932</v>
      </c>
      <c r="C2011" s="122">
        <f t="shared" si="472"/>
        <v>6700000</v>
      </c>
      <c r="D2011" s="111">
        <f t="shared" si="473"/>
        <v>108991</v>
      </c>
      <c r="E2011" s="2">
        <f t="shared" si="474"/>
        <v>12867.4</v>
      </c>
      <c r="F2011" s="112">
        <f t="shared" si="468"/>
        <v>13300000</v>
      </c>
      <c r="G2011" s="2">
        <f t="shared" si="475"/>
        <v>3068265</v>
      </c>
      <c r="H2011" s="113">
        <f t="shared" si="476"/>
        <v>1911600</v>
      </c>
      <c r="I2011" s="121">
        <f t="shared" si="469"/>
        <v>5639458.5999999996</v>
      </c>
      <c r="K2011" s="123">
        <f t="shared" si="477"/>
        <v>6700000</v>
      </c>
      <c r="L2011" s="111">
        <f t="shared" si="478"/>
        <v>108991</v>
      </c>
      <c r="M2011" s="2">
        <f t="shared" si="479"/>
        <v>12867.4</v>
      </c>
      <c r="N2011" s="112">
        <f t="shared" si="470"/>
        <v>13300000</v>
      </c>
      <c r="O2011" s="2">
        <f t="shared" si="480"/>
        <v>3068265</v>
      </c>
      <c r="P2011" s="113">
        <f t="shared" si="481"/>
        <v>1911600</v>
      </c>
      <c r="Q2011" s="121">
        <f t="shared" si="471"/>
        <v>5639458.5999999996</v>
      </c>
    </row>
    <row r="2012" spans="2:17" hidden="1" x14ac:dyDescent="0.4">
      <c r="B2012" s="110">
        <v>45933</v>
      </c>
      <c r="C2012" s="122">
        <f t="shared" si="472"/>
        <v>6700000</v>
      </c>
      <c r="D2012" s="111">
        <f t="shared" si="473"/>
        <v>108991</v>
      </c>
      <c r="E2012" s="2">
        <f t="shared" si="474"/>
        <v>12867.4</v>
      </c>
      <c r="F2012" s="112">
        <f t="shared" si="468"/>
        <v>13300000</v>
      </c>
      <c r="G2012" s="2">
        <f t="shared" si="475"/>
        <v>3068265</v>
      </c>
      <c r="H2012" s="113">
        <f t="shared" si="476"/>
        <v>1911600</v>
      </c>
      <c r="I2012" s="121">
        <f t="shared" si="469"/>
        <v>5639458.5999999996</v>
      </c>
      <c r="K2012" s="123">
        <f t="shared" si="477"/>
        <v>6700000</v>
      </c>
      <c r="L2012" s="111">
        <f t="shared" si="478"/>
        <v>108991</v>
      </c>
      <c r="M2012" s="2">
        <f t="shared" si="479"/>
        <v>12867.4</v>
      </c>
      <c r="N2012" s="112">
        <f t="shared" si="470"/>
        <v>13300000</v>
      </c>
      <c r="O2012" s="2">
        <f t="shared" si="480"/>
        <v>3068265</v>
      </c>
      <c r="P2012" s="113">
        <f t="shared" si="481"/>
        <v>1911600</v>
      </c>
      <c r="Q2012" s="121">
        <f t="shared" si="471"/>
        <v>5639458.5999999996</v>
      </c>
    </row>
    <row r="2013" spans="2:17" hidden="1" x14ac:dyDescent="0.4">
      <c r="B2013" s="110">
        <v>45934</v>
      </c>
      <c r="C2013" s="122">
        <f t="shared" si="472"/>
        <v>6700000</v>
      </c>
      <c r="D2013" s="111">
        <f t="shared" si="473"/>
        <v>108991</v>
      </c>
      <c r="E2013" s="2">
        <f t="shared" si="474"/>
        <v>12867.4</v>
      </c>
      <c r="F2013" s="112">
        <f t="shared" si="468"/>
        <v>13300000</v>
      </c>
      <c r="G2013" s="2">
        <f t="shared" si="475"/>
        <v>3068265</v>
      </c>
      <c r="H2013" s="113">
        <f t="shared" si="476"/>
        <v>1911600</v>
      </c>
      <c r="I2013" s="121">
        <f t="shared" si="469"/>
        <v>5639458.5999999996</v>
      </c>
      <c r="K2013" s="123">
        <f t="shared" si="477"/>
        <v>6700000</v>
      </c>
      <c r="L2013" s="111">
        <f t="shared" si="478"/>
        <v>108991</v>
      </c>
      <c r="M2013" s="2">
        <f t="shared" si="479"/>
        <v>12867.4</v>
      </c>
      <c r="N2013" s="112">
        <f t="shared" si="470"/>
        <v>13300000</v>
      </c>
      <c r="O2013" s="2">
        <f t="shared" si="480"/>
        <v>3068265</v>
      </c>
      <c r="P2013" s="113">
        <f t="shared" si="481"/>
        <v>1911600</v>
      </c>
      <c r="Q2013" s="121">
        <f t="shared" si="471"/>
        <v>5639458.5999999996</v>
      </c>
    </row>
    <row r="2014" spans="2:17" hidden="1" x14ac:dyDescent="0.4">
      <c r="B2014" s="110">
        <v>45935</v>
      </c>
      <c r="C2014" s="122">
        <f t="shared" si="472"/>
        <v>6700000</v>
      </c>
      <c r="D2014" s="111">
        <f t="shared" si="473"/>
        <v>108991</v>
      </c>
      <c r="E2014" s="2">
        <f t="shared" si="474"/>
        <v>12867.4</v>
      </c>
      <c r="F2014" s="112">
        <f t="shared" si="468"/>
        <v>13300000</v>
      </c>
      <c r="G2014" s="2">
        <f t="shared" si="475"/>
        <v>3068265</v>
      </c>
      <c r="H2014" s="113">
        <f t="shared" si="476"/>
        <v>1911600</v>
      </c>
      <c r="I2014" s="121">
        <f t="shared" si="469"/>
        <v>5639458.5999999996</v>
      </c>
      <c r="K2014" s="123">
        <f t="shared" si="477"/>
        <v>6700000</v>
      </c>
      <c r="L2014" s="111">
        <f t="shared" si="478"/>
        <v>108991</v>
      </c>
      <c r="M2014" s="2">
        <f t="shared" si="479"/>
        <v>12867.4</v>
      </c>
      <c r="N2014" s="112">
        <f t="shared" si="470"/>
        <v>13300000</v>
      </c>
      <c r="O2014" s="2">
        <f t="shared" si="480"/>
        <v>3068265</v>
      </c>
      <c r="P2014" s="113">
        <f t="shared" si="481"/>
        <v>1911600</v>
      </c>
      <c r="Q2014" s="121">
        <f t="shared" si="471"/>
        <v>5639458.5999999996</v>
      </c>
    </row>
    <row r="2015" spans="2:17" hidden="1" x14ac:dyDescent="0.4">
      <c r="B2015" s="110">
        <v>45936</v>
      </c>
      <c r="C2015" s="122">
        <f t="shared" si="472"/>
        <v>6700000</v>
      </c>
      <c r="D2015" s="111">
        <f t="shared" si="473"/>
        <v>108991</v>
      </c>
      <c r="E2015" s="2">
        <f t="shared" si="474"/>
        <v>12867.4</v>
      </c>
      <c r="F2015" s="112">
        <f t="shared" si="468"/>
        <v>13300000</v>
      </c>
      <c r="G2015" s="2">
        <f t="shared" si="475"/>
        <v>3068265</v>
      </c>
      <c r="H2015" s="113">
        <f t="shared" si="476"/>
        <v>1911600</v>
      </c>
      <c r="I2015" s="121">
        <f t="shared" si="469"/>
        <v>5639458.5999999996</v>
      </c>
      <c r="K2015" s="123">
        <f t="shared" si="477"/>
        <v>6700000</v>
      </c>
      <c r="L2015" s="111">
        <f t="shared" si="478"/>
        <v>108991</v>
      </c>
      <c r="M2015" s="2">
        <f t="shared" si="479"/>
        <v>12867.4</v>
      </c>
      <c r="N2015" s="112">
        <f t="shared" si="470"/>
        <v>13300000</v>
      </c>
      <c r="O2015" s="2">
        <f t="shared" si="480"/>
        <v>3068265</v>
      </c>
      <c r="P2015" s="113">
        <f t="shared" si="481"/>
        <v>1911600</v>
      </c>
      <c r="Q2015" s="121">
        <f t="shared" si="471"/>
        <v>5639458.5999999996</v>
      </c>
    </row>
    <row r="2016" spans="2:17" hidden="1" x14ac:dyDescent="0.4">
      <c r="B2016" s="110">
        <v>45937</v>
      </c>
      <c r="C2016" s="122">
        <f t="shared" si="472"/>
        <v>6700000</v>
      </c>
      <c r="D2016" s="111">
        <f t="shared" si="473"/>
        <v>108991</v>
      </c>
      <c r="E2016" s="2">
        <f t="shared" si="474"/>
        <v>12867.4</v>
      </c>
      <c r="F2016" s="112">
        <f t="shared" si="468"/>
        <v>13300000</v>
      </c>
      <c r="G2016" s="2">
        <f t="shared" si="475"/>
        <v>3068265</v>
      </c>
      <c r="H2016" s="113">
        <f t="shared" si="476"/>
        <v>1911600</v>
      </c>
      <c r="I2016" s="121">
        <f t="shared" si="469"/>
        <v>5639458.5999999996</v>
      </c>
      <c r="K2016" s="123">
        <f t="shared" si="477"/>
        <v>6700000</v>
      </c>
      <c r="L2016" s="111">
        <f t="shared" si="478"/>
        <v>108991</v>
      </c>
      <c r="M2016" s="2">
        <f t="shared" si="479"/>
        <v>12867.4</v>
      </c>
      <c r="N2016" s="112">
        <f t="shared" si="470"/>
        <v>13300000</v>
      </c>
      <c r="O2016" s="2">
        <f t="shared" si="480"/>
        <v>3068265</v>
      </c>
      <c r="P2016" s="113">
        <f t="shared" si="481"/>
        <v>1911600</v>
      </c>
      <c r="Q2016" s="121">
        <f t="shared" si="471"/>
        <v>5639458.5999999996</v>
      </c>
    </row>
    <row r="2017" spans="2:17" hidden="1" x14ac:dyDescent="0.4">
      <c r="B2017" s="110">
        <v>45938</v>
      </c>
      <c r="C2017" s="122">
        <f t="shared" si="472"/>
        <v>6700000</v>
      </c>
      <c r="D2017" s="111">
        <f t="shared" si="473"/>
        <v>108991</v>
      </c>
      <c r="E2017" s="2">
        <f t="shared" si="474"/>
        <v>12867.4</v>
      </c>
      <c r="F2017" s="112">
        <f t="shared" si="468"/>
        <v>13300000</v>
      </c>
      <c r="G2017" s="2">
        <f t="shared" si="475"/>
        <v>3068265</v>
      </c>
      <c r="H2017" s="113">
        <f t="shared" si="476"/>
        <v>1911600</v>
      </c>
      <c r="I2017" s="121">
        <f t="shared" si="469"/>
        <v>5639458.5999999996</v>
      </c>
      <c r="K2017" s="123">
        <f t="shared" si="477"/>
        <v>6700000</v>
      </c>
      <c r="L2017" s="111">
        <f t="shared" si="478"/>
        <v>108991</v>
      </c>
      <c r="M2017" s="2">
        <f t="shared" si="479"/>
        <v>12867.4</v>
      </c>
      <c r="N2017" s="112">
        <f t="shared" si="470"/>
        <v>13300000</v>
      </c>
      <c r="O2017" s="2">
        <f t="shared" si="480"/>
        <v>3068265</v>
      </c>
      <c r="P2017" s="113">
        <f t="shared" si="481"/>
        <v>1911600</v>
      </c>
      <c r="Q2017" s="121">
        <f t="shared" si="471"/>
        <v>5639458.5999999996</v>
      </c>
    </row>
    <row r="2018" spans="2:17" hidden="1" x14ac:dyDescent="0.4">
      <c r="B2018" s="110">
        <v>45939</v>
      </c>
      <c r="C2018" s="122">
        <f t="shared" si="472"/>
        <v>6700000</v>
      </c>
      <c r="D2018" s="111">
        <f t="shared" si="473"/>
        <v>108991</v>
      </c>
      <c r="E2018" s="2">
        <f t="shared" si="474"/>
        <v>12867.4</v>
      </c>
      <c r="F2018" s="112">
        <f t="shared" si="468"/>
        <v>13300000</v>
      </c>
      <c r="G2018" s="2">
        <f t="shared" si="475"/>
        <v>3068265</v>
      </c>
      <c r="H2018" s="113">
        <f t="shared" si="476"/>
        <v>1911600</v>
      </c>
      <c r="I2018" s="121">
        <f t="shared" si="469"/>
        <v>5639458.5999999996</v>
      </c>
      <c r="K2018" s="123">
        <f t="shared" si="477"/>
        <v>6700000</v>
      </c>
      <c r="L2018" s="111">
        <f t="shared" si="478"/>
        <v>108991</v>
      </c>
      <c r="M2018" s="2">
        <f t="shared" si="479"/>
        <v>12867.4</v>
      </c>
      <c r="N2018" s="112">
        <f t="shared" si="470"/>
        <v>13300000</v>
      </c>
      <c r="O2018" s="2">
        <f t="shared" si="480"/>
        <v>3068265</v>
      </c>
      <c r="P2018" s="113">
        <f t="shared" si="481"/>
        <v>1911600</v>
      </c>
      <c r="Q2018" s="121">
        <f t="shared" si="471"/>
        <v>5639458.5999999996</v>
      </c>
    </row>
    <row r="2019" spans="2:17" hidden="1" x14ac:dyDescent="0.4">
      <c r="B2019" s="110">
        <v>45940</v>
      </c>
      <c r="C2019" s="122">
        <f t="shared" si="472"/>
        <v>6700000</v>
      </c>
      <c r="D2019" s="111">
        <f t="shared" si="473"/>
        <v>108991</v>
      </c>
      <c r="E2019" s="2">
        <f t="shared" si="474"/>
        <v>13797.4</v>
      </c>
      <c r="F2019" s="112">
        <f t="shared" si="468"/>
        <v>13300000</v>
      </c>
      <c r="G2019" s="2">
        <f t="shared" si="475"/>
        <v>3563265</v>
      </c>
      <c r="H2019" s="113">
        <f t="shared" si="476"/>
        <v>1911600</v>
      </c>
      <c r="I2019" s="121">
        <f t="shared" si="469"/>
        <v>5143528.5999999996</v>
      </c>
      <c r="K2019" s="123">
        <f t="shared" si="477"/>
        <v>6700000</v>
      </c>
      <c r="L2019" s="111">
        <f t="shared" si="478"/>
        <v>108991</v>
      </c>
      <c r="M2019" s="2">
        <f t="shared" si="479"/>
        <v>13797.4</v>
      </c>
      <c r="N2019" s="112">
        <f t="shared" si="470"/>
        <v>13300000</v>
      </c>
      <c r="O2019" s="2">
        <f t="shared" si="480"/>
        <v>3563265</v>
      </c>
      <c r="P2019" s="113">
        <f t="shared" si="481"/>
        <v>1911600</v>
      </c>
      <c r="Q2019" s="121">
        <f t="shared" si="471"/>
        <v>5143528.5999999996</v>
      </c>
    </row>
    <row r="2020" spans="2:17" hidden="1" x14ac:dyDescent="0.4">
      <c r="B2020" s="110">
        <v>45941</v>
      </c>
      <c r="C2020" s="122">
        <f t="shared" si="472"/>
        <v>6700000</v>
      </c>
      <c r="D2020" s="111">
        <f t="shared" si="473"/>
        <v>108991</v>
      </c>
      <c r="E2020" s="2">
        <f t="shared" si="474"/>
        <v>13797.4</v>
      </c>
      <c r="F2020" s="112">
        <f t="shared" si="468"/>
        <v>13300000</v>
      </c>
      <c r="G2020" s="2">
        <f t="shared" si="475"/>
        <v>3563265</v>
      </c>
      <c r="H2020" s="113">
        <f t="shared" si="476"/>
        <v>1911600</v>
      </c>
      <c r="I2020" s="121">
        <f t="shared" si="469"/>
        <v>5143528.5999999996</v>
      </c>
      <c r="K2020" s="123">
        <f t="shared" si="477"/>
        <v>6700000</v>
      </c>
      <c r="L2020" s="111">
        <f t="shared" si="478"/>
        <v>108991</v>
      </c>
      <c r="M2020" s="2">
        <f t="shared" si="479"/>
        <v>13797.4</v>
      </c>
      <c r="N2020" s="112">
        <f t="shared" si="470"/>
        <v>13300000</v>
      </c>
      <c r="O2020" s="2">
        <f t="shared" si="480"/>
        <v>3563265</v>
      </c>
      <c r="P2020" s="113">
        <f t="shared" si="481"/>
        <v>1911600</v>
      </c>
      <c r="Q2020" s="121">
        <f t="shared" si="471"/>
        <v>5143528.5999999996</v>
      </c>
    </row>
    <row r="2021" spans="2:17" hidden="1" x14ac:dyDescent="0.4">
      <c r="B2021" s="110">
        <v>45942</v>
      </c>
      <c r="C2021" s="122">
        <f t="shared" si="472"/>
        <v>6700000</v>
      </c>
      <c r="D2021" s="111">
        <f t="shared" si="473"/>
        <v>108991</v>
      </c>
      <c r="E2021" s="2">
        <f t="shared" si="474"/>
        <v>13797.4</v>
      </c>
      <c r="F2021" s="112">
        <f t="shared" si="468"/>
        <v>13300000</v>
      </c>
      <c r="G2021" s="2">
        <f t="shared" si="475"/>
        <v>3563265</v>
      </c>
      <c r="H2021" s="113">
        <f t="shared" si="476"/>
        <v>1911600</v>
      </c>
      <c r="I2021" s="121">
        <f t="shared" si="469"/>
        <v>5143528.5999999996</v>
      </c>
      <c r="K2021" s="123">
        <f t="shared" si="477"/>
        <v>6700000</v>
      </c>
      <c r="L2021" s="111">
        <f t="shared" si="478"/>
        <v>108991</v>
      </c>
      <c r="M2021" s="2">
        <f t="shared" si="479"/>
        <v>13797.4</v>
      </c>
      <c r="N2021" s="112">
        <f t="shared" si="470"/>
        <v>13300000</v>
      </c>
      <c r="O2021" s="2">
        <f t="shared" si="480"/>
        <v>3563265</v>
      </c>
      <c r="P2021" s="113">
        <f t="shared" si="481"/>
        <v>1911600</v>
      </c>
      <c r="Q2021" s="121">
        <f t="shared" si="471"/>
        <v>5143528.5999999996</v>
      </c>
    </row>
    <row r="2022" spans="2:17" hidden="1" x14ac:dyDescent="0.4">
      <c r="B2022" s="110">
        <v>45943</v>
      </c>
      <c r="C2022" s="122">
        <f t="shared" si="472"/>
        <v>6700000</v>
      </c>
      <c r="D2022" s="111">
        <f t="shared" si="473"/>
        <v>108991</v>
      </c>
      <c r="E2022" s="2">
        <f t="shared" si="474"/>
        <v>13797.4</v>
      </c>
      <c r="F2022" s="112">
        <f t="shared" si="468"/>
        <v>13300000</v>
      </c>
      <c r="G2022" s="2">
        <f t="shared" si="475"/>
        <v>3563265</v>
      </c>
      <c r="H2022" s="113">
        <f t="shared" si="476"/>
        <v>1911600</v>
      </c>
      <c r="I2022" s="121">
        <f t="shared" si="469"/>
        <v>5143528.5999999996</v>
      </c>
      <c r="K2022" s="123">
        <f t="shared" si="477"/>
        <v>6700000</v>
      </c>
      <c r="L2022" s="111">
        <f t="shared" si="478"/>
        <v>108991</v>
      </c>
      <c r="M2022" s="2">
        <f t="shared" si="479"/>
        <v>13797.4</v>
      </c>
      <c r="N2022" s="112">
        <f t="shared" si="470"/>
        <v>13300000</v>
      </c>
      <c r="O2022" s="2">
        <f t="shared" si="480"/>
        <v>3563265</v>
      </c>
      <c r="P2022" s="113">
        <f t="shared" si="481"/>
        <v>1911600</v>
      </c>
      <c r="Q2022" s="121">
        <f t="shared" si="471"/>
        <v>5143528.5999999996</v>
      </c>
    </row>
    <row r="2023" spans="2:17" hidden="1" x14ac:dyDescent="0.4">
      <c r="B2023" s="110">
        <v>45944</v>
      </c>
      <c r="C2023" s="122">
        <f t="shared" si="472"/>
        <v>6700000</v>
      </c>
      <c r="D2023" s="111">
        <f t="shared" si="473"/>
        <v>108991</v>
      </c>
      <c r="E2023" s="2">
        <f t="shared" si="474"/>
        <v>13797.4</v>
      </c>
      <c r="F2023" s="112">
        <f t="shared" si="468"/>
        <v>13300000</v>
      </c>
      <c r="G2023" s="2">
        <f t="shared" si="475"/>
        <v>3563265</v>
      </c>
      <c r="H2023" s="113">
        <f t="shared" si="476"/>
        <v>1911600</v>
      </c>
      <c r="I2023" s="121">
        <f t="shared" si="469"/>
        <v>5143528.5999999996</v>
      </c>
      <c r="K2023" s="123">
        <f t="shared" si="477"/>
        <v>6700000</v>
      </c>
      <c r="L2023" s="111">
        <f t="shared" si="478"/>
        <v>108991</v>
      </c>
      <c r="M2023" s="2">
        <f t="shared" si="479"/>
        <v>13797.4</v>
      </c>
      <c r="N2023" s="112">
        <f t="shared" si="470"/>
        <v>13300000</v>
      </c>
      <c r="O2023" s="2">
        <f t="shared" si="480"/>
        <v>3563265</v>
      </c>
      <c r="P2023" s="113">
        <f t="shared" si="481"/>
        <v>1911600</v>
      </c>
      <c r="Q2023" s="121">
        <f t="shared" si="471"/>
        <v>5143528.5999999996</v>
      </c>
    </row>
    <row r="2024" spans="2:17" hidden="1" x14ac:dyDescent="0.4">
      <c r="B2024" s="110">
        <v>45945</v>
      </c>
      <c r="C2024" s="122">
        <f t="shared" si="472"/>
        <v>6700000</v>
      </c>
      <c r="D2024" s="111">
        <f t="shared" si="473"/>
        <v>108991</v>
      </c>
      <c r="E2024" s="2">
        <f t="shared" si="474"/>
        <v>13797.4</v>
      </c>
      <c r="F2024" s="112">
        <f t="shared" si="468"/>
        <v>13300000</v>
      </c>
      <c r="G2024" s="2">
        <f t="shared" si="475"/>
        <v>3563265</v>
      </c>
      <c r="H2024" s="113">
        <f t="shared" si="476"/>
        <v>1911600</v>
      </c>
      <c r="I2024" s="121">
        <f t="shared" si="469"/>
        <v>5143528.5999999996</v>
      </c>
      <c r="K2024" s="123">
        <f t="shared" si="477"/>
        <v>6700000</v>
      </c>
      <c r="L2024" s="111">
        <f t="shared" si="478"/>
        <v>108991</v>
      </c>
      <c r="M2024" s="2">
        <f t="shared" si="479"/>
        <v>13797.4</v>
      </c>
      <c r="N2024" s="112">
        <f t="shared" si="470"/>
        <v>13300000</v>
      </c>
      <c r="O2024" s="2">
        <f t="shared" si="480"/>
        <v>3563265</v>
      </c>
      <c r="P2024" s="113">
        <f t="shared" si="481"/>
        <v>1911600</v>
      </c>
      <c r="Q2024" s="121">
        <f t="shared" si="471"/>
        <v>5143528.5999999996</v>
      </c>
    </row>
    <row r="2025" spans="2:17" hidden="1" x14ac:dyDescent="0.4">
      <c r="B2025" s="110">
        <v>45946</v>
      </c>
      <c r="C2025" s="122">
        <f t="shared" si="472"/>
        <v>6700000</v>
      </c>
      <c r="D2025" s="111">
        <f t="shared" si="473"/>
        <v>108991</v>
      </c>
      <c r="E2025" s="2">
        <f t="shared" si="474"/>
        <v>13797.4</v>
      </c>
      <c r="F2025" s="112">
        <f t="shared" si="468"/>
        <v>13300000</v>
      </c>
      <c r="G2025" s="2">
        <f t="shared" si="475"/>
        <v>3563265</v>
      </c>
      <c r="H2025" s="113">
        <f t="shared" si="476"/>
        <v>1911600</v>
      </c>
      <c r="I2025" s="121">
        <f t="shared" si="469"/>
        <v>5143528.5999999996</v>
      </c>
      <c r="K2025" s="123">
        <f t="shared" si="477"/>
        <v>6700000</v>
      </c>
      <c r="L2025" s="111">
        <f t="shared" si="478"/>
        <v>108991</v>
      </c>
      <c r="M2025" s="2">
        <f t="shared" si="479"/>
        <v>13797.4</v>
      </c>
      <c r="N2025" s="112">
        <f t="shared" si="470"/>
        <v>13300000</v>
      </c>
      <c r="O2025" s="2">
        <f t="shared" si="480"/>
        <v>3563265</v>
      </c>
      <c r="P2025" s="113">
        <f t="shared" si="481"/>
        <v>1911600</v>
      </c>
      <c r="Q2025" s="121">
        <f t="shared" si="471"/>
        <v>5143528.5999999996</v>
      </c>
    </row>
    <row r="2026" spans="2:17" hidden="1" x14ac:dyDescent="0.4">
      <c r="B2026" s="110">
        <v>45947</v>
      </c>
      <c r="C2026" s="122">
        <f t="shared" si="472"/>
        <v>6700000</v>
      </c>
      <c r="D2026" s="111">
        <f t="shared" si="473"/>
        <v>111316</v>
      </c>
      <c r="E2026" s="2">
        <f t="shared" si="474"/>
        <v>13797.4</v>
      </c>
      <c r="F2026" s="112">
        <f t="shared" si="468"/>
        <v>13300000</v>
      </c>
      <c r="G2026" s="2">
        <f t="shared" si="475"/>
        <v>3563265</v>
      </c>
      <c r="H2026" s="113">
        <f t="shared" si="476"/>
        <v>1911600</v>
      </c>
      <c r="I2026" s="121">
        <f t="shared" si="469"/>
        <v>5145853.5999999996</v>
      </c>
      <c r="K2026" s="123">
        <f t="shared" si="477"/>
        <v>6700000</v>
      </c>
      <c r="L2026" s="111">
        <f t="shared" si="478"/>
        <v>111316</v>
      </c>
      <c r="M2026" s="2">
        <f t="shared" si="479"/>
        <v>13797.4</v>
      </c>
      <c r="N2026" s="112">
        <f t="shared" si="470"/>
        <v>13300000</v>
      </c>
      <c r="O2026" s="2">
        <f t="shared" si="480"/>
        <v>3563265</v>
      </c>
      <c r="P2026" s="113">
        <f t="shared" si="481"/>
        <v>1911600</v>
      </c>
      <c r="Q2026" s="121">
        <f t="shared" si="471"/>
        <v>5145853.5999999996</v>
      </c>
    </row>
    <row r="2027" spans="2:17" hidden="1" x14ac:dyDescent="0.4">
      <c r="B2027" s="110">
        <v>45948</v>
      </c>
      <c r="C2027" s="122">
        <f t="shared" si="472"/>
        <v>6700000</v>
      </c>
      <c r="D2027" s="111">
        <f t="shared" si="473"/>
        <v>111316</v>
      </c>
      <c r="E2027" s="2">
        <f t="shared" si="474"/>
        <v>13797.4</v>
      </c>
      <c r="F2027" s="112">
        <f t="shared" si="468"/>
        <v>13300000</v>
      </c>
      <c r="G2027" s="2">
        <f t="shared" si="475"/>
        <v>3563265</v>
      </c>
      <c r="H2027" s="113">
        <f t="shared" si="476"/>
        <v>1911600</v>
      </c>
      <c r="I2027" s="121">
        <f t="shared" si="469"/>
        <v>5145853.5999999996</v>
      </c>
      <c r="K2027" s="123">
        <f t="shared" si="477"/>
        <v>6700000</v>
      </c>
      <c r="L2027" s="111">
        <f t="shared" si="478"/>
        <v>111316</v>
      </c>
      <c r="M2027" s="2">
        <f t="shared" si="479"/>
        <v>13797.4</v>
      </c>
      <c r="N2027" s="112">
        <f t="shared" si="470"/>
        <v>13300000</v>
      </c>
      <c r="O2027" s="2">
        <f t="shared" si="480"/>
        <v>3563265</v>
      </c>
      <c r="P2027" s="113">
        <f t="shared" si="481"/>
        <v>1911600</v>
      </c>
      <c r="Q2027" s="121">
        <f t="shared" si="471"/>
        <v>5145853.5999999996</v>
      </c>
    </row>
    <row r="2028" spans="2:17" hidden="1" x14ac:dyDescent="0.4">
      <c r="B2028" s="110">
        <v>45949</v>
      </c>
      <c r="C2028" s="122">
        <f t="shared" si="472"/>
        <v>6700000</v>
      </c>
      <c r="D2028" s="111">
        <f t="shared" si="473"/>
        <v>111316</v>
      </c>
      <c r="E2028" s="2">
        <f t="shared" si="474"/>
        <v>13797.4</v>
      </c>
      <c r="F2028" s="112">
        <f t="shared" si="468"/>
        <v>13300000</v>
      </c>
      <c r="G2028" s="2">
        <f t="shared" si="475"/>
        <v>3563265</v>
      </c>
      <c r="H2028" s="113">
        <f t="shared" si="476"/>
        <v>1911600</v>
      </c>
      <c r="I2028" s="121">
        <f t="shared" si="469"/>
        <v>5145853.5999999996</v>
      </c>
      <c r="K2028" s="123">
        <f t="shared" si="477"/>
        <v>6700000</v>
      </c>
      <c r="L2028" s="111">
        <f t="shared" si="478"/>
        <v>111316</v>
      </c>
      <c r="M2028" s="2">
        <f t="shared" si="479"/>
        <v>13797.4</v>
      </c>
      <c r="N2028" s="112">
        <f t="shared" si="470"/>
        <v>13300000</v>
      </c>
      <c r="O2028" s="2">
        <f t="shared" si="480"/>
        <v>3563265</v>
      </c>
      <c r="P2028" s="113">
        <f t="shared" si="481"/>
        <v>1911600</v>
      </c>
      <c r="Q2028" s="121">
        <f t="shared" si="471"/>
        <v>5145853.5999999996</v>
      </c>
    </row>
    <row r="2029" spans="2:17" hidden="1" x14ac:dyDescent="0.4">
      <c r="B2029" s="110">
        <v>45950</v>
      </c>
      <c r="C2029" s="122">
        <f t="shared" si="472"/>
        <v>6700000</v>
      </c>
      <c r="D2029" s="111">
        <f t="shared" si="473"/>
        <v>111316</v>
      </c>
      <c r="E2029" s="2">
        <f t="shared" si="474"/>
        <v>13797.4</v>
      </c>
      <c r="F2029" s="112">
        <f t="shared" si="468"/>
        <v>13300000</v>
      </c>
      <c r="G2029" s="2">
        <f t="shared" si="475"/>
        <v>3563265</v>
      </c>
      <c r="H2029" s="113">
        <f t="shared" si="476"/>
        <v>1911600</v>
      </c>
      <c r="I2029" s="121">
        <f t="shared" si="469"/>
        <v>5145853.5999999996</v>
      </c>
      <c r="K2029" s="123">
        <f t="shared" si="477"/>
        <v>6700000</v>
      </c>
      <c r="L2029" s="111">
        <f t="shared" si="478"/>
        <v>111316</v>
      </c>
      <c r="M2029" s="2">
        <f t="shared" si="479"/>
        <v>13797.4</v>
      </c>
      <c r="N2029" s="112">
        <f t="shared" si="470"/>
        <v>13300000</v>
      </c>
      <c r="O2029" s="2">
        <f t="shared" si="480"/>
        <v>3563265</v>
      </c>
      <c r="P2029" s="113">
        <f t="shared" si="481"/>
        <v>1911600</v>
      </c>
      <c r="Q2029" s="121">
        <f t="shared" si="471"/>
        <v>5145853.5999999996</v>
      </c>
    </row>
    <row r="2030" spans="2:17" hidden="1" x14ac:dyDescent="0.4">
      <c r="B2030" s="110">
        <v>45951</v>
      </c>
      <c r="C2030" s="122">
        <f t="shared" si="472"/>
        <v>6700000</v>
      </c>
      <c r="D2030" s="111">
        <f t="shared" si="473"/>
        <v>111316</v>
      </c>
      <c r="E2030" s="2">
        <f t="shared" si="474"/>
        <v>13797.4</v>
      </c>
      <c r="F2030" s="112">
        <f t="shared" si="468"/>
        <v>13300000</v>
      </c>
      <c r="G2030" s="2">
        <f t="shared" si="475"/>
        <v>3563265</v>
      </c>
      <c r="H2030" s="113">
        <f t="shared" si="476"/>
        <v>1911600</v>
      </c>
      <c r="I2030" s="121">
        <f t="shared" si="469"/>
        <v>5145853.5999999996</v>
      </c>
      <c r="K2030" s="123">
        <f t="shared" si="477"/>
        <v>6700000</v>
      </c>
      <c r="L2030" s="111">
        <f t="shared" si="478"/>
        <v>111316</v>
      </c>
      <c r="M2030" s="2">
        <f t="shared" si="479"/>
        <v>13797.4</v>
      </c>
      <c r="N2030" s="112">
        <f t="shared" si="470"/>
        <v>13300000</v>
      </c>
      <c r="O2030" s="2">
        <f t="shared" si="480"/>
        <v>3563265</v>
      </c>
      <c r="P2030" s="113">
        <f t="shared" si="481"/>
        <v>1911600</v>
      </c>
      <c r="Q2030" s="121">
        <f t="shared" si="471"/>
        <v>5145853.5999999996</v>
      </c>
    </row>
    <row r="2031" spans="2:17" hidden="1" x14ac:dyDescent="0.4">
      <c r="B2031" s="110">
        <v>45952</v>
      </c>
      <c r="C2031" s="122">
        <f t="shared" si="472"/>
        <v>6700000</v>
      </c>
      <c r="D2031" s="111">
        <f t="shared" si="473"/>
        <v>111316</v>
      </c>
      <c r="E2031" s="2">
        <f t="shared" si="474"/>
        <v>13797.4</v>
      </c>
      <c r="F2031" s="112">
        <f t="shared" si="468"/>
        <v>13300000</v>
      </c>
      <c r="G2031" s="2">
        <f t="shared" si="475"/>
        <v>3563265</v>
      </c>
      <c r="H2031" s="113">
        <f t="shared" si="476"/>
        <v>1911600</v>
      </c>
      <c r="I2031" s="121">
        <f t="shared" si="469"/>
        <v>5145853.5999999996</v>
      </c>
      <c r="K2031" s="123">
        <f t="shared" si="477"/>
        <v>6700000</v>
      </c>
      <c r="L2031" s="111">
        <f t="shared" si="478"/>
        <v>111316</v>
      </c>
      <c r="M2031" s="2">
        <f t="shared" si="479"/>
        <v>13797.4</v>
      </c>
      <c r="N2031" s="112">
        <f t="shared" si="470"/>
        <v>13300000</v>
      </c>
      <c r="O2031" s="2">
        <f t="shared" si="480"/>
        <v>3563265</v>
      </c>
      <c r="P2031" s="113">
        <f t="shared" si="481"/>
        <v>1911600</v>
      </c>
      <c r="Q2031" s="121">
        <f t="shared" si="471"/>
        <v>5145853.5999999996</v>
      </c>
    </row>
    <row r="2032" spans="2:17" hidden="1" x14ac:dyDescent="0.4">
      <c r="B2032" s="110">
        <v>45953</v>
      </c>
      <c r="C2032" s="122">
        <f t="shared" si="472"/>
        <v>6700000</v>
      </c>
      <c r="D2032" s="111">
        <f t="shared" si="473"/>
        <v>111316</v>
      </c>
      <c r="E2032" s="2">
        <f t="shared" si="474"/>
        <v>13797.4</v>
      </c>
      <c r="F2032" s="112">
        <f t="shared" si="468"/>
        <v>13300000</v>
      </c>
      <c r="G2032" s="2">
        <f t="shared" si="475"/>
        <v>3563265</v>
      </c>
      <c r="H2032" s="113">
        <f t="shared" si="476"/>
        <v>1911600</v>
      </c>
      <c r="I2032" s="121">
        <f t="shared" si="469"/>
        <v>5145853.5999999996</v>
      </c>
      <c r="K2032" s="123">
        <f t="shared" si="477"/>
        <v>6700000</v>
      </c>
      <c r="L2032" s="111">
        <f t="shared" si="478"/>
        <v>111316</v>
      </c>
      <c r="M2032" s="2">
        <f t="shared" si="479"/>
        <v>13797.4</v>
      </c>
      <c r="N2032" s="112">
        <f t="shared" si="470"/>
        <v>13300000</v>
      </c>
      <c r="O2032" s="2">
        <f t="shared" si="480"/>
        <v>3563265</v>
      </c>
      <c r="P2032" s="113">
        <f t="shared" si="481"/>
        <v>1911600</v>
      </c>
      <c r="Q2032" s="121">
        <f t="shared" si="471"/>
        <v>5145853.5999999996</v>
      </c>
    </row>
    <row r="2033" spans="2:17" hidden="1" x14ac:dyDescent="0.4">
      <c r="B2033" s="110">
        <v>45954</v>
      </c>
      <c r="C2033" s="122">
        <f t="shared" si="472"/>
        <v>6700000</v>
      </c>
      <c r="D2033" s="111">
        <f t="shared" si="473"/>
        <v>111316</v>
      </c>
      <c r="E2033" s="2">
        <f t="shared" si="474"/>
        <v>13797.4</v>
      </c>
      <c r="F2033" s="112">
        <f t="shared" si="468"/>
        <v>13300000</v>
      </c>
      <c r="G2033" s="2">
        <f t="shared" si="475"/>
        <v>3563265</v>
      </c>
      <c r="H2033" s="113">
        <f t="shared" si="476"/>
        <v>1911600</v>
      </c>
      <c r="I2033" s="121">
        <f t="shared" si="469"/>
        <v>5145853.5999999996</v>
      </c>
      <c r="K2033" s="123">
        <f t="shared" si="477"/>
        <v>6700000</v>
      </c>
      <c r="L2033" s="111">
        <f t="shared" si="478"/>
        <v>111316</v>
      </c>
      <c r="M2033" s="2">
        <f t="shared" si="479"/>
        <v>13797.4</v>
      </c>
      <c r="N2033" s="112">
        <f t="shared" si="470"/>
        <v>13300000</v>
      </c>
      <c r="O2033" s="2">
        <f t="shared" si="480"/>
        <v>3563265</v>
      </c>
      <c r="P2033" s="113">
        <f t="shared" si="481"/>
        <v>1911600</v>
      </c>
      <c r="Q2033" s="121">
        <f t="shared" si="471"/>
        <v>5145853.5999999996</v>
      </c>
    </row>
    <row r="2034" spans="2:17" hidden="1" x14ac:dyDescent="0.4">
      <c r="B2034" s="110">
        <v>45955</v>
      </c>
      <c r="C2034" s="122">
        <f t="shared" si="472"/>
        <v>6700000</v>
      </c>
      <c r="D2034" s="111">
        <f t="shared" si="473"/>
        <v>111316</v>
      </c>
      <c r="E2034" s="2">
        <f t="shared" si="474"/>
        <v>13797.4</v>
      </c>
      <c r="F2034" s="112">
        <f t="shared" si="468"/>
        <v>13300000</v>
      </c>
      <c r="G2034" s="2">
        <f t="shared" si="475"/>
        <v>3563265</v>
      </c>
      <c r="H2034" s="113">
        <f t="shared" si="476"/>
        <v>1911600</v>
      </c>
      <c r="I2034" s="121">
        <f t="shared" si="469"/>
        <v>5145853.5999999996</v>
      </c>
      <c r="K2034" s="123">
        <f t="shared" si="477"/>
        <v>6700000</v>
      </c>
      <c r="L2034" s="111">
        <f t="shared" si="478"/>
        <v>111316</v>
      </c>
      <c r="M2034" s="2">
        <f t="shared" si="479"/>
        <v>13797.4</v>
      </c>
      <c r="N2034" s="112">
        <f t="shared" si="470"/>
        <v>13300000</v>
      </c>
      <c r="O2034" s="2">
        <f t="shared" si="480"/>
        <v>3563265</v>
      </c>
      <c r="P2034" s="113">
        <f t="shared" si="481"/>
        <v>1911600</v>
      </c>
      <c r="Q2034" s="121">
        <f t="shared" si="471"/>
        <v>5145853.5999999996</v>
      </c>
    </row>
    <row r="2035" spans="2:17" hidden="1" x14ac:dyDescent="0.4">
      <c r="B2035" s="110">
        <v>45956</v>
      </c>
      <c r="C2035" s="122">
        <f t="shared" si="472"/>
        <v>6700000</v>
      </c>
      <c r="D2035" s="111">
        <f t="shared" si="473"/>
        <v>111316</v>
      </c>
      <c r="E2035" s="2">
        <f t="shared" si="474"/>
        <v>13797.4</v>
      </c>
      <c r="F2035" s="112">
        <f t="shared" si="468"/>
        <v>13300000</v>
      </c>
      <c r="G2035" s="2">
        <f t="shared" si="475"/>
        <v>3563265</v>
      </c>
      <c r="H2035" s="113">
        <f t="shared" si="476"/>
        <v>1911600</v>
      </c>
      <c r="I2035" s="121">
        <f t="shared" si="469"/>
        <v>5145853.5999999996</v>
      </c>
      <c r="K2035" s="123">
        <f t="shared" si="477"/>
        <v>6700000</v>
      </c>
      <c r="L2035" s="111">
        <f t="shared" si="478"/>
        <v>111316</v>
      </c>
      <c r="M2035" s="2">
        <f t="shared" si="479"/>
        <v>13797.4</v>
      </c>
      <c r="N2035" s="112">
        <f t="shared" si="470"/>
        <v>13300000</v>
      </c>
      <c r="O2035" s="2">
        <f t="shared" si="480"/>
        <v>3563265</v>
      </c>
      <c r="P2035" s="113">
        <f t="shared" si="481"/>
        <v>1911600</v>
      </c>
      <c r="Q2035" s="121">
        <f t="shared" si="471"/>
        <v>5145853.5999999996</v>
      </c>
    </row>
    <row r="2036" spans="2:17" hidden="1" x14ac:dyDescent="0.4">
      <c r="B2036" s="110">
        <v>45957</v>
      </c>
      <c r="C2036" s="122">
        <f t="shared" si="472"/>
        <v>8000000</v>
      </c>
      <c r="D2036" s="111">
        <f t="shared" si="473"/>
        <v>111316</v>
      </c>
      <c r="E2036" s="2">
        <f t="shared" si="474"/>
        <v>15167.4</v>
      </c>
      <c r="F2036" s="112">
        <f t="shared" si="468"/>
        <v>12000000</v>
      </c>
      <c r="G2036" s="2">
        <f t="shared" si="475"/>
        <v>4291265</v>
      </c>
      <c r="H2036" s="113">
        <f t="shared" si="476"/>
        <v>1911600</v>
      </c>
      <c r="I2036" s="121">
        <f t="shared" si="469"/>
        <v>5716483.5999999996</v>
      </c>
      <c r="K2036" s="123">
        <f t="shared" si="477"/>
        <v>8000000</v>
      </c>
      <c r="L2036" s="111">
        <f t="shared" si="478"/>
        <v>111316</v>
      </c>
      <c r="M2036" s="2">
        <f t="shared" si="479"/>
        <v>15167.4</v>
      </c>
      <c r="N2036" s="112">
        <f t="shared" si="470"/>
        <v>12000000</v>
      </c>
      <c r="O2036" s="2">
        <f t="shared" si="480"/>
        <v>4291265</v>
      </c>
      <c r="P2036" s="113">
        <f t="shared" si="481"/>
        <v>1911600</v>
      </c>
      <c r="Q2036" s="121">
        <f t="shared" si="471"/>
        <v>5716483.5999999996</v>
      </c>
    </row>
    <row r="2037" spans="2:17" hidden="1" x14ac:dyDescent="0.4">
      <c r="B2037" s="110">
        <v>45958</v>
      </c>
      <c r="C2037" s="122">
        <f t="shared" si="472"/>
        <v>8000000</v>
      </c>
      <c r="D2037" s="111">
        <f t="shared" si="473"/>
        <v>111316</v>
      </c>
      <c r="E2037" s="2">
        <f t="shared" si="474"/>
        <v>19626.400000000001</v>
      </c>
      <c r="F2037" s="112">
        <f t="shared" si="468"/>
        <v>12000000</v>
      </c>
      <c r="G2037" s="2">
        <f t="shared" si="475"/>
        <v>4599665</v>
      </c>
      <c r="H2037" s="113">
        <f t="shared" si="476"/>
        <v>3057600</v>
      </c>
      <c r="I2037" s="121">
        <f t="shared" si="469"/>
        <v>6549624.5999999996</v>
      </c>
      <c r="K2037" s="123">
        <f t="shared" si="477"/>
        <v>8000000</v>
      </c>
      <c r="L2037" s="111">
        <f t="shared" si="478"/>
        <v>111316</v>
      </c>
      <c r="M2037" s="2">
        <f t="shared" si="479"/>
        <v>19626.400000000001</v>
      </c>
      <c r="N2037" s="112">
        <f t="shared" si="470"/>
        <v>12000000</v>
      </c>
      <c r="O2037" s="2">
        <f t="shared" si="480"/>
        <v>4599665</v>
      </c>
      <c r="P2037" s="113">
        <f t="shared" si="481"/>
        <v>3057600</v>
      </c>
      <c r="Q2037" s="121">
        <f t="shared" si="471"/>
        <v>6549624.5999999996</v>
      </c>
    </row>
    <row r="2038" spans="2:17" hidden="1" x14ac:dyDescent="0.4">
      <c r="B2038" s="110">
        <v>45959</v>
      </c>
      <c r="C2038" s="122">
        <f t="shared" si="472"/>
        <v>8000000</v>
      </c>
      <c r="D2038" s="111">
        <f t="shared" si="473"/>
        <v>111316</v>
      </c>
      <c r="E2038" s="2">
        <f t="shared" si="474"/>
        <v>19626.400000000001</v>
      </c>
      <c r="F2038" s="112">
        <f t="shared" si="468"/>
        <v>12000000</v>
      </c>
      <c r="G2038" s="2">
        <f t="shared" si="475"/>
        <v>4599665</v>
      </c>
      <c r="H2038" s="113">
        <f t="shared" si="476"/>
        <v>3057600</v>
      </c>
      <c r="I2038" s="121">
        <f t="shared" si="469"/>
        <v>6549624.5999999996</v>
      </c>
      <c r="K2038" s="123">
        <f t="shared" si="477"/>
        <v>8000000</v>
      </c>
      <c r="L2038" s="111">
        <f t="shared" si="478"/>
        <v>111316</v>
      </c>
      <c r="M2038" s="2">
        <f t="shared" si="479"/>
        <v>19626.400000000001</v>
      </c>
      <c r="N2038" s="112">
        <f t="shared" si="470"/>
        <v>12000000</v>
      </c>
      <c r="O2038" s="2">
        <f t="shared" si="480"/>
        <v>4599665</v>
      </c>
      <c r="P2038" s="113">
        <f t="shared" si="481"/>
        <v>3057600</v>
      </c>
      <c r="Q2038" s="121">
        <f t="shared" si="471"/>
        <v>6549624.5999999996</v>
      </c>
    </row>
    <row r="2039" spans="2:17" hidden="1" x14ac:dyDescent="0.4">
      <c r="B2039" s="110">
        <v>45960</v>
      </c>
      <c r="C2039" s="122">
        <f t="shared" si="472"/>
        <v>8000000</v>
      </c>
      <c r="D2039" s="111">
        <f t="shared" si="473"/>
        <v>111316</v>
      </c>
      <c r="E2039" s="2">
        <f t="shared" si="474"/>
        <v>19626.400000000001</v>
      </c>
      <c r="F2039" s="112">
        <f t="shared" si="468"/>
        <v>12000000</v>
      </c>
      <c r="G2039" s="2">
        <f t="shared" si="475"/>
        <v>4599665</v>
      </c>
      <c r="H2039" s="113">
        <f t="shared" si="476"/>
        <v>3057600</v>
      </c>
      <c r="I2039" s="121">
        <f t="shared" si="469"/>
        <v>6549624.5999999996</v>
      </c>
      <c r="K2039" s="123">
        <f t="shared" si="477"/>
        <v>8000000</v>
      </c>
      <c r="L2039" s="111">
        <f t="shared" si="478"/>
        <v>111316</v>
      </c>
      <c r="M2039" s="2">
        <f t="shared" si="479"/>
        <v>19626.400000000001</v>
      </c>
      <c r="N2039" s="112">
        <f t="shared" si="470"/>
        <v>12000000</v>
      </c>
      <c r="O2039" s="2">
        <f t="shared" si="480"/>
        <v>4599665</v>
      </c>
      <c r="P2039" s="113">
        <f t="shared" si="481"/>
        <v>3057600</v>
      </c>
      <c r="Q2039" s="121">
        <f t="shared" si="471"/>
        <v>6549624.5999999996</v>
      </c>
    </row>
    <row r="2040" spans="2:17" hidden="1" x14ac:dyDescent="0.4">
      <c r="B2040" s="110">
        <v>45961</v>
      </c>
      <c r="C2040" s="122">
        <f t="shared" si="472"/>
        <v>8000000</v>
      </c>
      <c r="D2040" s="111">
        <f t="shared" si="473"/>
        <v>111316</v>
      </c>
      <c r="E2040" s="2">
        <f t="shared" si="474"/>
        <v>19626.400000000001</v>
      </c>
      <c r="F2040" s="112">
        <f t="shared" si="468"/>
        <v>12000000</v>
      </c>
      <c r="G2040" s="2">
        <f t="shared" si="475"/>
        <v>4599665</v>
      </c>
      <c r="H2040" s="113">
        <f t="shared" si="476"/>
        <v>3057600</v>
      </c>
      <c r="I2040" s="121">
        <f t="shared" si="469"/>
        <v>6549624.5999999996</v>
      </c>
      <c r="K2040" s="123">
        <f t="shared" si="477"/>
        <v>8000000</v>
      </c>
      <c r="L2040" s="111">
        <f t="shared" si="478"/>
        <v>111316</v>
      </c>
      <c r="M2040" s="2">
        <f t="shared" si="479"/>
        <v>19626.400000000001</v>
      </c>
      <c r="N2040" s="112">
        <f t="shared" si="470"/>
        <v>12000000</v>
      </c>
      <c r="O2040" s="2">
        <f t="shared" si="480"/>
        <v>4599665</v>
      </c>
      <c r="P2040" s="113">
        <f t="shared" si="481"/>
        <v>3057600</v>
      </c>
      <c r="Q2040" s="121">
        <f t="shared" si="471"/>
        <v>6549624.5999999996</v>
      </c>
    </row>
    <row r="2041" spans="2:17" x14ac:dyDescent="0.4">
      <c r="B2041" s="110">
        <v>45962</v>
      </c>
      <c r="C2041" s="122">
        <f t="shared" si="472"/>
        <v>8000000</v>
      </c>
      <c r="D2041" s="111">
        <f t="shared" si="473"/>
        <v>111316</v>
      </c>
      <c r="E2041" s="2">
        <f t="shared" si="474"/>
        <v>19626.400000000001</v>
      </c>
      <c r="F2041" s="112">
        <f t="shared" si="468"/>
        <v>12000000</v>
      </c>
      <c r="G2041" s="2">
        <f t="shared" si="475"/>
        <v>4599665</v>
      </c>
      <c r="H2041" s="113">
        <f t="shared" si="476"/>
        <v>3057600</v>
      </c>
      <c r="I2041" s="121">
        <f t="shared" si="469"/>
        <v>6549624.5999999996</v>
      </c>
      <c r="K2041" s="123">
        <f t="shared" si="477"/>
        <v>8000000</v>
      </c>
      <c r="L2041" s="111">
        <f t="shared" si="478"/>
        <v>111316</v>
      </c>
      <c r="M2041" s="2">
        <f t="shared" si="479"/>
        <v>19626.400000000001</v>
      </c>
      <c r="N2041" s="112">
        <f t="shared" si="470"/>
        <v>12000000</v>
      </c>
      <c r="O2041" s="2">
        <f t="shared" si="480"/>
        <v>4599665</v>
      </c>
      <c r="P2041" s="113">
        <f t="shared" si="481"/>
        <v>3057600</v>
      </c>
      <c r="Q2041" s="121">
        <f t="shared" si="471"/>
        <v>6549624.5999999996</v>
      </c>
    </row>
    <row r="2042" spans="2:17" hidden="1" x14ac:dyDescent="0.4">
      <c r="B2042" s="110">
        <v>45963</v>
      </c>
      <c r="C2042" s="122">
        <f t="shared" si="472"/>
        <v>8000000</v>
      </c>
      <c r="D2042" s="111">
        <f t="shared" si="473"/>
        <v>111316</v>
      </c>
      <c r="E2042" s="2">
        <f t="shared" si="474"/>
        <v>19626.400000000001</v>
      </c>
      <c r="F2042" s="112">
        <f t="shared" si="468"/>
        <v>12000000</v>
      </c>
      <c r="G2042" s="2">
        <f t="shared" si="475"/>
        <v>4599665</v>
      </c>
      <c r="H2042" s="113">
        <f t="shared" si="476"/>
        <v>3057600</v>
      </c>
      <c r="I2042" s="121">
        <f t="shared" si="469"/>
        <v>6549624.5999999996</v>
      </c>
      <c r="K2042" s="123">
        <f t="shared" si="477"/>
        <v>8000000</v>
      </c>
      <c r="L2042" s="111">
        <f t="shared" si="478"/>
        <v>111316</v>
      </c>
      <c r="M2042" s="2">
        <f t="shared" si="479"/>
        <v>19626.400000000001</v>
      </c>
      <c r="N2042" s="112">
        <f t="shared" si="470"/>
        <v>12000000</v>
      </c>
      <c r="O2042" s="2">
        <f t="shared" si="480"/>
        <v>4599665</v>
      </c>
      <c r="P2042" s="113">
        <f t="shared" si="481"/>
        <v>3057600</v>
      </c>
      <c r="Q2042" s="121">
        <f t="shared" si="471"/>
        <v>6549624.5999999996</v>
      </c>
    </row>
    <row r="2043" spans="2:17" hidden="1" x14ac:dyDescent="0.4">
      <c r="B2043" s="110">
        <v>45964</v>
      </c>
      <c r="C2043" s="122">
        <f t="shared" si="472"/>
        <v>8000000</v>
      </c>
      <c r="D2043" s="111">
        <f t="shared" si="473"/>
        <v>111316</v>
      </c>
      <c r="E2043" s="2">
        <f t="shared" si="474"/>
        <v>19626.400000000001</v>
      </c>
      <c r="F2043" s="112">
        <f t="shared" si="468"/>
        <v>12000000</v>
      </c>
      <c r="G2043" s="2">
        <f t="shared" si="475"/>
        <v>4599665</v>
      </c>
      <c r="H2043" s="113">
        <f t="shared" si="476"/>
        <v>3057600</v>
      </c>
      <c r="I2043" s="121">
        <f t="shared" si="469"/>
        <v>6549624.5999999996</v>
      </c>
      <c r="K2043" s="123">
        <f t="shared" si="477"/>
        <v>8000000</v>
      </c>
      <c r="L2043" s="111">
        <f t="shared" si="478"/>
        <v>111316</v>
      </c>
      <c r="M2043" s="2">
        <f t="shared" si="479"/>
        <v>19626.400000000001</v>
      </c>
      <c r="N2043" s="112">
        <f t="shared" si="470"/>
        <v>12000000</v>
      </c>
      <c r="O2043" s="2">
        <f t="shared" si="480"/>
        <v>4599665</v>
      </c>
      <c r="P2043" s="113">
        <f t="shared" si="481"/>
        <v>3057600</v>
      </c>
      <c r="Q2043" s="121">
        <f t="shared" si="471"/>
        <v>6549624.5999999996</v>
      </c>
    </row>
    <row r="2044" spans="2:17" hidden="1" x14ac:dyDescent="0.4">
      <c r="B2044" s="110">
        <v>45965</v>
      </c>
      <c r="C2044" s="122">
        <f t="shared" si="472"/>
        <v>8000000</v>
      </c>
      <c r="D2044" s="111">
        <f t="shared" si="473"/>
        <v>111781</v>
      </c>
      <c r="E2044" s="2">
        <f t="shared" si="474"/>
        <v>19626.400000000001</v>
      </c>
      <c r="F2044" s="112">
        <f t="shared" si="468"/>
        <v>12000000</v>
      </c>
      <c r="G2044" s="2">
        <f t="shared" si="475"/>
        <v>4599665</v>
      </c>
      <c r="H2044" s="113">
        <f t="shared" si="476"/>
        <v>3057600</v>
      </c>
      <c r="I2044" s="121">
        <f t="shared" si="469"/>
        <v>6550089.5999999996</v>
      </c>
      <c r="K2044" s="123">
        <f t="shared" si="477"/>
        <v>8000000</v>
      </c>
      <c r="L2044" s="111">
        <f t="shared" si="478"/>
        <v>111781</v>
      </c>
      <c r="M2044" s="2">
        <f t="shared" si="479"/>
        <v>19626.400000000001</v>
      </c>
      <c r="N2044" s="112">
        <f t="shared" si="470"/>
        <v>12000000</v>
      </c>
      <c r="O2044" s="2">
        <f t="shared" si="480"/>
        <v>4599665</v>
      </c>
      <c r="P2044" s="113">
        <f t="shared" si="481"/>
        <v>3057600</v>
      </c>
      <c r="Q2044" s="121">
        <f t="shared" si="471"/>
        <v>6550089.5999999996</v>
      </c>
    </row>
    <row r="2045" spans="2:17" hidden="1" x14ac:dyDescent="0.4">
      <c r="B2045" s="110">
        <v>45966</v>
      </c>
      <c r="C2045" s="122">
        <f t="shared" si="472"/>
        <v>8000000</v>
      </c>
      <c r="D2045" s="111">
        <f t="shared" si="473"/>
        <v>111781</v>
      </c>
      <c r="E2045" s="2">
        <f t="shared" si="474"/>
        <v>19626.400000000001</v>
      </c>
      <c r="F2045" s="112">
        <f t="shared" si="468"/>
        <v>12000000</v>
      </c>
      <c r="G2045" s="2">
        <f t="shared" si="475"/>
        <v>4599665</v>
      </c>
      <c r="H2045" s="113">
        <f t="shared" si="476"/>
        <v>3057600</v>
      </c>
      <c r="I2045" s="121">
        <f t="shared" si="469"/>
        <v>6550089.5999999996</v>
      </c>
      <c r="K2045" s="123">
        <f t="shared" si="477"/>
        <v>8000000</v>
      </c>
      <c r="L2045" s="111">
        <f t="shared" si="478"/>
        <v>111781</v>
      </c>
      <c r="M2045" s="2">
        <f t="shared" si="479"/>
        <v>19626.400000000001</v>
      </c>
      <c r="N2045" s="112">
        <f t="shared" si="470"/>
        <v>12000000</v>
      </c>
      <c r="O2045" s="2">
        <f t="shared" si="480"/>
        <v>4599665</v>
      </c>
      <c r="P2045" s="113">
        <f t="shared" si="481"/>
        <v>3057600</v>
      </c>
      <c r="Q2045" s="121">
        <f t="shared" si="471"/>
        <v>6550089.5999999996</v>
      </c>
    </row>
    <row r="2046" spans="2:17" hidden="1" x14ac:dyDescent="0.4">
      <c r="B2046" s="110">
        <v>45967</v>
      </c>
      <c r="C2046" s="122">
        <f t="shared" si="472"/>
        <v>8000000</v>
      </c>
      <c r="D2046" s="111">
        <f t="shared" si="473"/>
        <v>111781</v>
      </c>
      <c r="E2046" s="2">
        <f t="shared" si="474"/>
        <v>19626.400000000001</v>
      </c>
      <c r="F2046" s="112">
        <f t="shared" si="468"/>
        <v>12000000</v>
      </c>
      <c r="G2046" s="2">
        <f t="shared" si="475"/>
        <v>4599665</v>
      </c>
      <c r="H2046" s="113">
        <f t="shared" si="476"/>
        <v>3057600</v>
      </c>
      <c r="I2046" s="121">
        <f t="shared" si="469"/>
        <v>6550089.5999999996</v>
      </c>
      <c r="K2046" s="123">
        <f t="shared" si="477"/>
        <v>8000000</v>
      </c>
      <c r="L2046" s="111">
        <f t="shared" si="478"/>
        <v>111781</v>
      </c>
      <c r="M2046" s="2">
        <f t="shared" si="479"/>
        <v>19626.400000000001</v>
      </c>
      <c r="N2046" s="112">
        <f t="shared" si="470"/>
        <v>12000000</v>
      </c>
      <c r="O2046" s="2">
        <f t="shared" si="480"/>
        <v>4599665</v>
      </c>
      <c r="P2046" s="113">
        <f t="shared" si="481"/>
        <v>3057600</v>
      </c>
      <c r="Q2046" s="121">
        <f t="shared" si="471"/>
        <v>6550089.5999999996</v>
      </c>
    </row>
    <row r="2047" spans="2:17" hidden="1" x14ac:dyDescent="0.4">
      <c r="B2047" s="110">
        <v>45968</v>
      </c>
      <c r="C2047" s="122">
        <f t="shared" si="472"/>
        <v>8000000</v>
      </c>
      <c r="D2047" s="111">
        <f t="shared" si="473"/>
        <v>111781</v>
      </c>
      <c r="E2047" s="2">
        <f t="shared" si="474"/>
        <v>19626.400000000001</v>
      </c>
      <c r="F2047" s="112">
        <f t="shared" si="468"/>
        <v>12000000</v>
      </c>
      <c r="G2047" s="2">
        <f t="shared" si="475"/>
        <v>4599665</v>
      </c>
      <c r="H2047" s="113">
        <f t="shared" si="476"/>
        <v>3057600</v>
      </c>
      <c r="I2047" s="121">
        <f t="shared" si="469"/>
        <v>6550089.5999999996</v>
      </c>
      <c r="K2047" s="123">
        <f t="shared" si="477"/>
        <v>8000000</v>
      </c>
      <c r="L2047" s="111">
        <f t="shared" si="478"/>
        <v>111781</v>
      </c>
      <c r="M2047" s="2">
        <f t="shared" si="479"/>
        <v>19626.400000000001</v>
      </c>
      <c r="N2047" s="112">
        <f t="shared" si="470"/>
        <v>12000000</v>
      </c>
      <c r="O2047" s="2">
        <f t="shared" si="480"/>
        <v>4599665</v>
      </c>
      <c r="P2047" s="113">
        <f t="shared" si="481"/>
        <v>3057600</v>
      </c>
      <c r="Q2047" s="121">
        <f t="shared" si="471"/>
        <v>6550089.5999999996</v>
      </c>
    </row>
    <row r="2048" spans="2:17" hidden="1" x14ac:dyDescent="0.4">
      <c r="B2048" s="110">
        <v>45969</v>
      </c>
      <c r="C2048" s="122">
        <f t="shared" si="472"/>
        <v>8000000</v>
      </c>
      <c r="D2048" s="111">
        <f t="shared" si="473"/>
        <v>111781</v>
      </c>
      <c r="E2048" s="2">
        <f t="shared" si="474"/>
        <v>19626.400000000001</v>
      </c>
      <c r="F2048" s="112">
        <f t="shared" si="468"/>
        <v>12000000</v>
      </c>
      <c r="G2048" s="2">
        <f t="shared" si="475"/>
        <v>4599665</v>
      </c>
      <c r="H2048" s="113">
        <f t="shared" si="476"/>
        <v>3057600</v>
      </c>
      <c r="I2048" s="121">
        <f t="shared" si="469"/>
        <v>6550089.5999999996</v>
      </c>
      <c r="K2048" s="123">
        <f t="shared" si="477"/>
        <v>8000000</v>
      </c>
      <c r="L2048" s="111">
        <f t="shared" si="478"/>
        <v>111781</v>
      </c>
      <c r="M2048" s="2">
        <f t="shared" si="479"/>
        <v>19626.400000000001</v>
      </c>
      <c r="N2048" s="112">
        <f t="shared" si="470"/>
        <v>12000000</v>
      </c>
      <c r="O2048" s="2">
        <f t="shared" si="480"/>
        <v>4599665</v>
      </c>
      <c r="P2048" s="113">
        <f t="shared" si="481"/>
        <v>3057600</v>
      </c>
      <c r="Q2048" s="121">
        <f t="shared" si="471"/>
        <v>6550089.5999999996</v>
      </c>
    </row>
    <row r="2049" spans="2:17" hidden="1" x14ac:dyDescent="0.4">
      <c r="B2049" s="110">
        <v>45970</v>
      </c>
      <c r="C2049" s="122">
        <f t="shared" si="472"/>
        <v>8000000</v>
      </c>
      <c r="D2049" s="111">
        <f t="shared" si="473"/>
        <v>111781</v>
      </c>
      <c r="E2049" s="2">
        <f t="shared" si="474"/>
        <v>19626.400000000001</v>
      </c>
      <c r="F2049" s="112">
        <f t="shared" si="468"/>
        <v>12000000</v>
      </c>
      <c r="G2049" s="2">
        <f t="shared" si="475"/>
        <v>4599665</v>
      </c>
      <c r="H2049" s="113">
        <f t="shared" si="476"/>
        <v>3057600</v>
      </c>
      <c r="I2049" s="121">
        <f t="shared" si="469"/>
        <v>6550089.5999999996</v>
      </c>
      <c r="K2049" s="123">
        <f t="shared" si="477"/>
        <v>8000000</v>
      </c>
      <c r="L2049" s="111">
        <f t="shared" si="478"/>
        <v>111781</v>
      </c>
      <c r="M2049" s="2">
        <f t="shared" si="479"/>
        <v>19626.400000000001</v>
      </c>
      <c r="N2049" s="112">
        <f t="shared" si="470"/>
        <v>12000000</v>
      </c>
      <c r="O2049" s="2">
        <f t="shared" si="480"/>
        <v>4599665</v>
      </c>
      <c r="P2049" s="113">
        <f t="shared" si="481"/>
        <v>3057600</v>
      </c>
      <c r="Q2049" s="121">
        <f t="shared" si="471"/>
        <v>6550089.5999999996</v>
      </c>
    </row>
    <row r="2050" spans="2:17" hidden="1" x14ac:dyDescent="0.4">
      <c r="B2050" s="110">
        <v>45971</v>
      </c>
      <c r="C2050" s="122">
        <f t="shared" si="472"/>
        <v>8000000</v>
      </c>
      <c r="D2050" s="111">
        <f t="shared" si="473"/>
        <v>111781</v>
      </c>
      <c r="E2050" s="2">
        <f t="shared" si="474"/>
        <v>19626.400000000001</v>
      </c>
      <c r="F2050" s="112">
        <f t="shared" si="468"/>
        <v>12000000</v>
      </c>
      <c r="G2050" s="2">
        <f t="shared" si="475"/>
        <v>4599665</v>
      </c>
      <c r="H2050" s="113">
        <f t="shared" si="476"/>
        <v>3057600</v>
      </c>
      <c r="I2050" s="121">
        <f t="shared" si="469"/>
        <v>6550089.5999999996</v>
      </c>
      <c r="K2050" s="123">
        <f t="shared" si="477"/>
        <v>8000000</v>
      </c>
      <c r="L2050" s="111">
        <f t="shared" si="478"/>
        <v>111781</v>
      </c>
      <c r="M2050" s="2">
        <f t="shared" si="479"/>
        <v>19626.400000000001</v>
      </c>
      <c r="N2050" s="112">
        <f t="shared" si="470"/>
        <v>12000000</v>
      </c>
      <c r="O2050" s="2">
        <f t="shared" si="480"/>
        <v>4599665</v>
      </c>
      <c r="P2050" s="113">
        <f t="shared" si="481"/>
        <v>3057600</v>
      </c>
      <c r="Q2050" s="121">
        <f t="shared" si="471"/>
        <v>6550089.5999999996</v>
      </c>
    </row>
    <row r="2051" spans="2:17" hidden="1" x14ac:dyDescent="0.4">
      <c r="B2051" s="110">
        <v>45972</v>
      </c>
      <c r="C2051" s="122">
        <f t="shared" si="472"/>
        <v>8000000</v>
      </c>
      <c r="D2051" s="111">
        <f t="shared" si="473"/>
        <v>111781</v>
      </c>
      <c r="E2051" s="2">
        <f t="shared" si="474"/>
        <v>19626.400000000001</v>
      </c>
      <c r="F2051" s="112">
        <f t="shared" si="468"/>
        <v>12000000</v>
      </c>
      <c r="G2051" s="2">
        <f t="shared" si="475"/>
        <v>4599665</v>
      </c>
      <c r="H2051" s="113">
        <f t="shared" si="476"/>
        <v>3057600</v>
      </c>
      <c r="I2051" s="121">
        <f t="shared" si="469"/>
        <v>6550089.5999999996</v>
      </c>
      <c r="K2051" s="123">
        <f t="shared" si="477"/>
        <v>8000000</v>
      </c>
      <c r="L2051" s="111">
        <f t="shared" si="478"/>
        <v>111781</v>
      </c>
      <c r="M2051" s="2">
        <f t="shared" si="479"/>
        <v>19626.400000000001</v>
      </c>
      <c r="N2051" s="112">
        <f t="shared" si="470"/>
        <v>12000000</v>
      </c>
      <c r="O2051" s="2">
        <f t="shared" si="480"/>
        <v>4599665</v>
      </c>
      <c r="P2051" s="113">
        <f t="shared" si="481"/>
        <v>3057600</v>
      </c>
      <c r="Q2051" s="121">
        <f t="shared" si="471"/>
        <v>6550089.5999999996</v>
      </c>
    </row>
    <row r="2052" spans="2:17" hidden="1" x14ac:dyDescent="0.4">
      <c r="B2052" s="110">
        <v>45973</v>
      </c>
      <c r="C2052" s="122">
        <f t="shared" si="472"/>
        <v>8000000</v>
      </c>
      <c r="D2052" s="111">
        <f t="shared" si="473"/>
        <v>111781</v>
      </c>
      <c r="E2052" s="2">
        <f t="shared" si="474"/>
        <v>19626.400000000001</v>
      </c>
      <c r="F2052" s="112">
        <f t="shared" si="468"/>
        <v>12000000</v>
      </c>
      <c r="G2052" s="2">
        <f t="shared" si="475"/>
        <v>4599665</v>
      </c>
      <c r="H2052" s="113">
        <f t="shared" si="476"/>
        <v>3057600</v>
      </c>
      <c r="I2052" s="121">
        <f t="shared" si="469"/>
        <v>6550089.5999999996</v>
      </c>
      <c r="K2052" s="123">
        <f t="shared" si="477"/>
        <v>8000000</v>
      </c>
      <c r="L2052" s="111">
        <f t="shared" si="478"/>
        <v>111781</v>
      </c>
      <c r="M2052" s="2">
        <f t="shared" si="479"/>
        <v>19626.400000000001</v>
      </c>
      <c r="N2052" s="112">
        <f t="shared" si="470"/>
        <v>12000000</v>
      </c>
      <c r="O2052" s="2">
        <f t="shared" si="480"/>
        <v>4599665</v>
      </c>
      <c r="P2052" s="113">
        <f t="shared" si="481"/>
        <v>3057600</v>
      </c>
      <c r="Q2052" s="121">
        <f t="shared" si="471"/>
        <v>6550089.5999999996</v>
      </c>
    </row>
    <row r="2053" spans="2:17" hidden="1" x14ac:dyDescent="0.4">
      <c r="B2053" s="110">
        <v>45974</v>
      </c>
      <c r="C2053" s="122">
        <f t="shared" si="472"/>
        <v>8000000</v>
      </c>
      <c r="D2053" s="111">
        <f t="shared" si="473"/>
        <v>111781</v>
      </c>
      <c r="E2053" s="2">
        <f t="shared" si="474"/>
        <v>19626.400000000001</v>
      </c>
      <c r="F2053" s="112">
        <f t="shared" si="468"/>
        <v>12000000</v>
      </c>
      <c r="G2053" s="2">
        <f t="shared" si="475"/>
        <v>4599665</v>
      </c>
      <c r="H2053" s="113">
        <f t="shared" si="476"/>
        <v>3057600</v>
      </c>
      <c r="I2053" s="121">
        <f t="shared" si="469"/>
        <v>6550089.5999999996</v>
      </c>
      <c r="K2053" s="123">
        <f t="shared" si="477"/>
        <v>8000000</v>
      </c>
      <c r="L2053" s="111">
        <f t="shared" si="478"/>
        <v>111781</v>
      </c>
      <c r="M2053" s="2">
        <f t="shared" si="479"/>
        <v>19626.400000000001</v>
      </c>
      <c r="N2053" s="112">
        <f t="shared" si="470"/>
        <v>12000000</v>
      </c>
      <c r="O2053" s="2">
        <f t="shared" si="480"/>
        <v>4599665</v>
      </c>
      <c r="P2053" s="113">
        <f t="shared" si="481"/>
        <v>3057600</v>
      </c>
      <c r="Q2053" s="121">
        <f t="shared" si="471"/>
        <v>6550089.5999999996</v>
      </c>
    </row>
    <row r="2054" spans="2:17" hidden="1" x14ac:dyDescent="0.4">
      <c r="B2054" s="110">
        <v>45975</v>
      </c>
      <c r="C2054" s="122">
        <f t="shared" si="472"/>
        <v>8000000</v>
      </c>
      <c r="D2054" s="111">
        <f t="shared" si="473"/>
        <v>111781</v>
      </c>
      <c r="E2054" s="2">
        <f t="shared" si="474"/>
        <v>19626.400000000001</v>
      </c>
      <c r="F2054" s="112">
        <f t="shared" si="468"/>
        <v>12000000</v>
      </c>
      <c r="G2054" s="2">
        <f t="shared" si="475"/>
        <v>4599665</v>
      </c>
      <c r="H2054" s="113">
        <f t="shared" si="476"/>
        <v>3057600</v>
      </c>
      <c r="I2054" s="121">
        <f t="shared" si="469"/>
        <v>6550089.5999999996</v>
      </c>
      <c r="K2054" s="123">
        <f t="shared" si="477"/>
        <v>8000000</v>
      </c>
      <c r="L2054" s="111">
        <f t="shared" si="478"/>
        <v>111781</v>
      </c>
      <c r="M2054" s="2">
        <f t="shared" si="479"/>
        <v>19626.400000000001</v>
      </c>
      <c r="N2054" s="112">
        <f t="shared" si="470"/>
        <v>12000000</v>
      </c>
      <c r="O2054" s="2">
        <f t="shared" si="480"/>
        <v>4599665</v>
      </c>
      <c r="P2054" s="113">
        <f t="shared" si="481"/>
        <v>3057600</v>
      </c>
      <c r="Q2054" s="121">
        <f t="shared" si="471"/>
        <v>6550089.5999999996</v>
      </c>
    </row>
    <row r="2055" spans="2:17" hidden="1" x14ac:dyDescent="0.4">
      <c r="B2055" s="110">
        <v>45976</v>
      </c>
      <c r="C2055" s="122">
        <f t="shared" si="472"/>
        <v>8000000</v>
      </c>
      <c r="D2055" s="111">
        <f t="shared" si="473"/>
        <v>111781</v>
      </c>
      <c r="E2055" s="2">
        <f t="shared" si="474"/>
        <v>19626.400000000001</v>
      </c>
      <c r="F2055" s="112">
        <f t="shared" si="468"/>
        <v>12000000</v>
      </c>
      <c r="G2055" s="2">
        <f t="shared" si="475"/>
        <v>4599665</v>
      </c>
      <c r="H2055" s="113">
        <f t="shared" si="476"/>
        <v>3057600</v>
      </c>
      <c r="I2055" s="121">
        <f t="shared" si="469"/>
        <v>6550089.5999999996</v>
      </c>
      <c r="K2055" s="123">
        <f t="shared" si="477"/>
        <v>8000000</v>
      </c>
      <c r="L2055" s="111">
        <f t="shared" si="478"/>
        <v>111781</v>
      </c>
      <c r="M2055" s="2">
        <f t="shared" si="479"/>
        <v>19626.400000000001</v>
      </c>
      <c r="N2055" s="112">
        <f t="shared" si="470"/>
        <v>12000000</v>
      </c>
      <c r="O2055" s="2">
        <f t="shared" si="480"/>
        <v>4599665</v>
      </c>
      <c r="P2055" s="113">
        <f t="shared" si="481"/>
        <v>3057600</v>
      </c>
      <c r="Q2055" s="121">
        <f t="shared" si="471"/>
        <v>6550089.5999999996</v>
      </c>
    </row>
    <row r="2056" spans="2:17" hidden="1" x14ac:dyDescent="0.4">
      <c r="B2056" s="110">
        <v>45977</v>
      </c>
      <c r="C2056" s="122">
        <f t="shared" si="472"/>
        <v>8000000</v>
      </c>
      <c r="D2056" s="111">
        <f t="shared" si="473"/>
        <v>111781</v>
      </c>
      <c r="E2056" s="2">
        <f t="shared" si="474"/>
        <v>19626.400000000001</v>
      </c>
      <c r="F2056" s="112">
        <f t="shared" si="468"/>
        <v>12000000</v>
      </c>
      <c r="G2056" s="2">
        <f t="shared" si="475"/>
        <v>4599665</v>
      </c>
      <c r="H2056" s="113">
        <f t="shared" si="476"/>
        <v>3057600</v>
      </c>
      <c r="I2056" s="121">
        <f t="shared" si="469"/>
        <v>6550089.5999999996</v>
      </c>
      <c r="K2056" s="123">
        <f t="shared" si="477"/>
        <v>8000000</v>
      </c>
      <c r="L2056" s="111">
        <f t="shared" si="478"/>
        <v>111781</v>
      </c>
      <c r="M2056" s="2">
        <f t="shared" si="479"/>
        <v>19626.400000000001</v>
      </c>
      <c r="N2056" s="112">
        <f t="shared" si="470"/>
        <v>12000000</v>
      </c>
      <c r="O2056" s="2">
        <f t="shared" si="480"/>
        <v>4599665</v>
      </c>
      <c r="P2056" s="113">
        <f t="shared" si="481"/>
        <v>3057600</v>
      </c>
      <c r="Q2056" s="121">
        <f t="shared" si="471"/>
        <v>6550089.5999999996</v>
      </c>
    </row>
    <row r="2057" spans="2:17" hidden="1" x14ac:dyDescent="0.4">
      <c r="B2057" s="110">
        <v>45978</v>
      </c>
      <c r="C2057" s="122">
        <f t="shared" si="472"/>
        <v>8000000</v>
      </c>
      <c r="D2057" s="111">
        <f t="shared" si="473"/>
        <v>111781</v>
      </c>
      <c r="E2057" s="2">
        <f t="shared" si="474"/>
        <v>19626.400000000001</v>
      </c>
      <c r="F2057" s="112">
        <f t="shared" si="468"/>
        <v>12000000</v>
      </c>
      <c r="G2057" s="2">
        <f t="shared" si="475"/>
        <v>4599665</v>
      </c>
      <c r="H2057" s="113">
        <f t="shared" si="476"/>
        <v>3057600</v>
      </c>
      <c r="I2057" s="121">
        <f t="shared" si="469"/>
        <v>6550089.5999999996</v>
      </c>
      <c r="K2057" s="123">
        <f t="shared" si="477"/>
        <v>8000000</v>
      </c>
      <c r="L2057" s="111">
        <f t="shared" si="478"/>
        <v>111781</v>
      </c>
      <c r="M2057" s="2">
        <f t="shared" si="479"/>
        <v>19626.400000000001</v>
      </c>
      <c r="N2057" s="112">
        <f t="shared" si="470"/>
        <v>12000000</v>
      </c>
      <c r="O2057" s="2">
        <f t="shared" si="480"/>
        <v>4599665</v>
      </c>
      <c r="P2057" s="113">
        <f t="shared" si="481"/>
        <v>3057600</v>
      </c>
      <c r="Q2057" s="121">
        <f t="shared" si="471"/>
        <v>6550089.5999999996</v>
      </c>
    </row>
    <row r="2058" spans="2:17" hidden="1" x14ac:dyDescent="0.4">
      <c r="B2058" s="110">
        <v>45979</v>
      </c>
      <c r="C2058" s="122">
        <f t="shared" si="472"/>
        <v>8000000</v>
      </c>
      <c r="D2058" s="111">
        <f t="shared" si="473"/>
        <v>114565</v>
      </c>
      <c r="E2058" s="2">
        <f t="shared" si="474"/>
        <v>19626.400000000001</v>
      </c>
      <c r="F2058" s="112">
        <f t="shared" ref="F2058:F2121" si="482">20000000-C2058</f>
        <v>12000000</v>
      </c>
      <c r="G2058" s="2">
        <f t="shared" si="475"/>
        <v>4599665</v>
      </c>
      <c r="H2058" s="113">
        <f t="shared" si="476"/>
        <v>3057600</v>
      </c>
      <c r="I2058" s="121">
        <f t="shared" ref="I2058:I2121" si="483">C2058+D2058-G2058-E2058+H2058</f>
        <v>6552873.5999999996</v>
      </c>
      <c r="K2058" s="123">
        <f t="shared" si="477"/>
        <v>8000000</v>
      </c>
      <c r="L2058" s="111">
        <f t="shared" si="478"/>
        <v>114565</v>
      </c>
      <c r="M2058" s="2">
        <f t="shared" si="479"/>
        <v>19626.400000000001</v>
      </c>
      <c r="N2058" s="112">
        <f t="shared" ref="N2058:N2121" si="484">20000000-K2058</f>
        <v>12000000</v>
      </c>
      <c r="O2058" s="2">
        <f t="shared" si="480"/>
        <v>4599665</v>
      </c>
      <c r="P2058" s="113">
        <f t="shared" si="481"/>
        <v>3057600</v>
      </c>
      <c r="Q2058" s="121">
        <f t="shared" ref="Q2058:Q2121" si="485">K2058+L2058-O2058-M2058+P2058</f>
        <v>6552873.5999999996</v>
      </c>
    </row>
    <row r="2059" spans="2:17" hidden="1" x14ac:dyDescent="0.4">
      <c r="B2059" s="110">
        <v>45980</v>
      </c>
      <c r="C2059" s="122">
        <f t="shared" ref="C2059:C2122" si="486">SUMIF($B$6:$B$75,$B2059,$D$6:$D$75)+C2058</f>
        <v>8000000</v>
      </c>
      <c r="D2059" s="111">
        <f t="shared" ref="D2059:D2122" si="487">SUMIF($B$6:$B$75,$B2059,$E$6:$E$75)+D2058</f>
        <v>117525</v>
      </c>
      <c r="E2059" s="2">
        <f t="shared" ref="E2059:E2122" si="488">SUMIF($G$353:$G$376,$B2059,$J$353:$J$376)+SUMIF($E$353:$E$376,$B2059,$H$353:$H$376)+SUMIF($G$353:$G$376,$B2059,$I$353:$I$376)+E2058</f>
        <v>19626.400000000001</v>
      </c>
      <c r="F2059" s="112">
        <f t="shared" si="482"/>
        <v>12000000</v>
      </c>
      <c r="G2059" s="2">
        <f t="shared" ref="G2059:G2122" si="489">SUMIF($E$353:$E$376,$B2059,$M$353:$M$376)+G2058</f>
        <v>4599665</v>
      </c>
      <c r="H2059" s="113">
        <f t="shared" ref="H2059:H2122" si="490">SUMIF($G$353:$G$376,$B2059,$N$353:$N$376)+H2058</f>
        <v>3057600</v>
      </c>
      <c r="I2059" s="121">
        <f t="shared" si="483"/>
        <v>6555833.5999999996</v>
      </c>
      <c r="K2059" s="123">
        <f t="shared" ref="K2059:K2122" si="491">SUMIF($B$6:$B$75,$B2059,$D$6:$D$75)+K2058</f>
        <v>8000000</v>
      </c>
      <c r="L2059" s="111">
        <f t="shared" ref="L2059:L2122" si="492">SUMIF($B$6:$B$75,$B2059,$E$6:$E$75)+L2058</f>
        <v>117525</v>
      </c>
      <c r="M2059" s="2">
        <f t="shared" ref="M2059:M2122" si="493">SUMIF($G$353:$G$376,$B2059,$J$353:$J$376)+SUMIF($E$353:$E$376,$B2059,$H$353:$H$376)+SUMIF($G$353:$G$376,$B2059,$I$353:$I$376)+M2058</f>
        <v>19626.400000000001</v>
      </c>
      <c r="N2059" s="112">
        <f t="shared" si="484"/>
        <v>12000000</v>
      </c>
      <c r="O2059" s="2">
        <f t="shared" ref="O2059:O2122" si="494">SUMIF($E$353:$E$376,$B2059,$M$353:$M$376)+O2058</f>
        <v>4599665</v>
      </c>
      <c r="P2059" s="113">
        <f t="shared" ref="P2059:P2122" si="495">SUMIF($G$353:$G$376,$B2059,$N$353:$N$376)+P2058</f>
        <v>3057600</v>
      </c>
      <c r="Q2059" s="121">
        <f t="shared" si="485"/>
        <v>6555833.5999999996</v>
      </c>
    </row>
    <row r="2060" spans="2:17" hidden="1" x14ac:dyDescent="0.4">
      <c r="B2060" s="110">
        <v>45981</v>
      </c>
      <c r="C2060" s="122">
        <f t="shared" si="486"/>
        <v>8000000</v>
      </c>
      <c r="D2060" s="111">
        <f t="shared" si="487"/>
        <v>117525</v>
      </c>
      <c r="E2060" s="2">
        <f t="shared" si="488"/>
        <v>19626.400000000001</v>
      </c>
      <c r="F2060" s="112">
        <f t="shared" si="482"/>
        <v>12000000</v>
      </c>
      <c r="G2060" s="2">
        <f t="shared" si="489"/>
        <v>4599665</v>
      </c>
      <c r="H2060" s="113">
        <f t="shared" si="490"/>
        <v>3057600</v>
      </c>
      <c r="I2060" s="121">
        <f t="shared" si="483"/>
        <v>6555833.5999999996</v>
      </c>
      <c r="K2060" s="123">
        <f t="shared" si="491"/>
        <v>8000000</v>
      </c>
      <c r="L2060" s="111">
        <f t="shared" si="492"/>
        <v>117525</v>
      </c>
      <c r="M2060" s="2">
        <f t="shared" si="493"/>
        <v>19626.400000000001</v>
      </c>
      <c r="N2060" s="112">
        <f t="shared" si="484"/>
        <v>12000000</v>
      </c>
      <c r="O2060" s="2">
        <f t="shared" si="494"/>
        <v>4599665</v>
      </c>
      <c r="P2060" s="113">
        <f t="shared" si="495"/>
        <v>3057600</v>
      </c>
      <c r="Q2060" s="121">
        <f t="shared" si="485"/>
        <v>6555833.5999999996</v>
      </c>
    </row>
    <row r="2061" spans="2:17" hidden="1" x14ac:dyDescent="0.4">
      <c r="B2061" s="110">
        <v>45982</v>
      </c>
      <c r="C2061" s="122">
        <f t="shared" si="486"/>
        <v>8000000</v>
      </c>
      <c r="D2061" s="111">
        <f t="shared" si="487"/>
        <v>117525</v>
      </c>
      <c r="E2061" s="2">
        <f t="shared" si="488"/>
        <v>19626.400000000001</v>
      </c>
      <c r="F2061" s="112">
        <f t="shared" si="482"/>
        <v>12000000</v>
      </c>
      <c r="G2061" s="2">
        <f t="shared" si="489"/>
        <v>4599665</v>
      </c>
      <c r="H2061" s="113">
        <f t="shared" si="490"/>
        <v>3057600</v>
      </c>
      <c r="I2061" s="121">
        <f t="shared" si="483"/>
        <v>6555833.5999999996</v>
      </c>
      <c r="K2061" s="123">
        <f t="shared" si="491"/>
        <v>8000000</v>
      </c>
      <c r="L2061" s="111">
        <f t="shared" si="492"/>
        <v>117525</v>
      </c>
      <c r="M2061" s="2">
        <f t="shared" si="493"/>
        <v>19626.400000000001</v>
      </c>
      <c r="N2061" s="112">
        <f t="shared" si="484"/>
        <v>12000000</v>
      </c>
      <c r="O2061" s="2">
        <f t="shared" si="494"/>
        <v>4599665</v>
      </c>
      <c r="P2061" s="113">
        <f t="shared" si="495"/>
        <v>3057600</v>
      </c>
      <c r="Q2061" s="121">
        <f t="shared" si="485"/>
        <v>6555833.5999999996</v>
      </c>
    </row>
    <row r="2062" spans="2:17" hidden="1" x14ac:dyDescent="0.4">
      <c r="B2062" s="110">
        <v>45983</v>
      </c>
      <c r="C2062" s="122">
        <f t="shared" si="486"/>
        <v>8000000</v>
      </c>
      <c r="D2062" s="111">
        <f t="shared" si="487"/>
        <v>117525</v>
      </c>
      <c r="E2062" s="2">
        <f t="shared" si="488"/>
        <v>19626.400000000001</v>
      </c>
      <c r="F2062" s="112">
        <f t="shared" si="482"/>
        <v>12000000</v>
      </c>
      <c r="G2062" s="2">
        <f t="shared" si="489"/>
        <v>4599665</v>
      </c>
      <c r="H2062" s="113">
        <f t="shared" si="490"/>
        <v>3057600</v>
      </c>
      <c r="I2062" s="121">
        <f t="shared" si="483"/>
        <v>6555833.5999999996</v>
      </c>
      <c r="K2062" s="123">
        <f t="shared" si="491"/>
        <v>8000000</v>
      </c>
      <c r="L2062" s="111">
        <f t="shared" si="492"/>
        <v>117525</v>
      </c>
      <c r="M2062" s="2">
        <f t="shared" si="493"/>
        <v>19626.400000000001</v>
      </c>
      <c r="N2062" s="112">
        <f t="shared" si="484"/>
        <v>12000000</v>
      </c>
      <c r="O2062" s="2">
        <f t="shared" si="494"/>
        <v>4599665</v>
      </c>
      <c r="P2062" s="113">
        <f t="shared" si="495"/>
        <v>3057600</v>
      </c>
      <c r="Q2062" s="121">
        <f t="shared" si="485"/>
        <v>6555833.5999999996</v>
      </c>
    </row>
    <row r="2063" spans="2:17" hidden="1" x14ac:dyDescent="0.4">
      <c r="B2063" s="110">
        <v>45984</v>
      </c>
      <c r="C2063" s="122">
        <f t="shared" si="486"/>
        <v>8000000</v>
      </c>
      <c r="D2063" s="111">
        <f t="shared" si="487"/>
        <v>117525</v>
      </c>
      <c r="E2063" s="2">
        <f t="shared" si="488"/>
        <v>19626.400000000001</v>
      </c>
      <c r="F2063" s="112">
        <f t="shared" si="482"/>
        <v>12000000</v>
      </c>
      <c r="G2063" s="2">
        <f t="shared" si="489"/>
        <v>4599665</v>
      </c>
      <c r="H2063" s="113">
        <f t="shared" si="490"/>
        <v>3057600</v>
      </c>
      <c r="I2063" s="121">
        <f t="shared" si="483"/>
        <v>6555833.5999999996</v>
      </c>
      <c r="K2063" s="123">
        <f t="shared" si="491"/>
        <v>8000000</v>
      </c>
      <c r="L2063" s="111">
        <f t="shared" si="492"/>
        <v>117525</v>
      </c>
      <c r="M2063" s="2">
        <f t="shared" si="493"/>
        <v>19626.400000000001</v>
      </c>
      <c r="N2063" s="112">
        <f t="shared" si="484"/>
        <v>12000000</v>
      </c>
      <c r="O2063" s="2">
        <f t="shared" si="494"/>
        <v>4599665</v>
      </c>
      <c r="P2063" s="113">
        <f t="shared" si="495"/>
        <v>3057600</v>
      </c>
      <c r="Q2063" s="121">
        <f t="shared" si="485"/>
        <v>6555833.5999999996</v>
      </c>
    </row>
    <row r="2064" spans="2:17" hidden="1" x14ac:dyDescent="0.4">
      <c r="B2064" s="110">
        <v>45985</v>
      </c>
      <c r="C2064" s="122">
        <f t="shared" si="486"/>
        <v>8000000</v>
      </c>
      <c r="D2064" s="111">
        <f t="shared" si="487"/>
        <v>117525</v>
      </c>
      <c r="E2064" s="2">
        <f t="shared" si="488"/>
        <v>20086.400000000001</v>
      </c>
      <c r="F2064" s="112">
        <f t="shared" si="482"/>
        <v>12000000</v>
      </c>
      <c r="G2064" s="2">
        <f t="shared" si="489"/>
        <v>4846665</v>
      </c>
      <c r="H2064" s="113">
        <f t="shared" si="490"/>
        <v>3057600</v>
      </c>
      <c r="I2064" s="121">
        <f t="shared" si="483"/>
        <v>6308373.5999999996</v>
      </c>
      <c r="K2064" s="123">
        <f t="shared" si="491"/>
        <v>8000000</v>
      </c>
      <c r="L2064" s="111">
        <f t="shared" si="492"/>
        <v>117525</v>
      </c>
      <c r="M2064" s="2">
        <f t="shared" si="493"/>
        <v>20086.400000000001</v>
      </c>
      <c r="N2064" s="112">
        <f t="shared" si="484"/>
        <v>12000000</v>
      </c>
      <c r="O2064" s="2">
        <f t="shared" si="494"/>
        <v>4846665</v>
      </c>
      <c r="P2064" s="113">
        <f t="shared" si="495"/>
        <v>3057600</v>
      </c>
      <c r="Q2064" s="121">
        <f t="shared" si="485"/>
        <v>6308373.5999999996</v>
      </c>
    </row>
    <row r="2065" spans="2:17" hidden="1" x14ac:dyDescent="0.4">
      <c r="B2065" s="110">
        <v>45986</v>
      </c>
      <c r="C2065" s="122">
        <f t="shared" si="486"/>
        <v>8000000</v>
      </c>
      <c r="D2065" s="111">
        <f t="shared" si="487"/>
        <v>117525</v>
      </c>
      <c r="E2065" s="2">
        <f t="shared" si="488"/>
        <v>20086.400000000001</v>
      </c>
      <c r="F2065" s="112">
        <f t="shared" si="482"/>
        <v>12000000</v>
      </c>
      <c r="G2065" s="2">
        <f t="shared" si="489"/>
        <v>4846665</v>
      </c>
      <c r="H2065" s="113">
        <f t="shared" si="490"/>
        <v>3057600</v>
      </c>
      <c r="I2065" s="121">
        <f t="shared" si="483"/>
        <v>6308373.5999999996</v>
      </c>
      <c r="K2065" s="123">
        <f t="shared" si="491"/>
        <v>8000000</v>
      </c>
      <c r="L2065" s="111">
        <f t="shared" si="492"/>
        <v>117525</v>
      </c>
      <c r="M2065" s="2">
        <f t="shared" si="493"/>
        <v>20086.400000000001</v>
      </c>
      <c r="N2065" s="112">
        <f t="shared" si="484"/>
        <v>12000000</v>
      </c>
      <c r="O2065" s="2">
        <f t="shared" si="494"/>
        <v>4846665</v>
      </c>
      <c r="P2065" s="113">
        <f t="shared" si="495"/>
        <v>3057600</v>
      </c>
      <c r="Q2065" s="121">
        <f t="shared" si="485"/>
        <v>6308373.5999999996</v>
      </c>
    </row>
    <row r="2066" spans="2:17" hidden="1" x14ac:dyDescent="0.4">
      <c r="B2066" s="110">
        <v>45987</v>
      </c>
      <c r="C2066" s="122">
        <f t="shared" si="486"/>
        <v>8000000</v>
      </c>
      <c r="D2066" s="111">
        <f t="shared" si="487"/>
        <v>117525</v>
      </c>
      <c r="E2066" s="2">
        <f t="shared" si="488"/>
        <v>20086.400000000001</v>
      </c>
      <c r="F2066" s="112">
        <f t="shared" si="482"/>
        <v>12000000</v>
      </c>
      <c r="G2066" s="2">
        <f t="shared" si="489"/>
        <v>4846665</v>
      </c>
      <c r="H2066" s="113">
        <f t="shared" si="490"/>
        <v>3057600</v>
      </c>
      <c r="I2066" s="121">
        <f t="shared" si="483"/>
        <v>6308373.5999999996</v>
      </c>
      <c r="K2066" s="123">
        <f t="shared" si="491"/>
        <v>8000000</v>
      </c>
      <c r="L2066" s="111">
        <f t="shared" si="492"/>
        <v>117525</v>
      </c>
      <c r="M2066" s="2">
        <f t="shared" si="493"/>
        <v>20086.400000000001</v>
      </c>
      <c r="N2066" s="112">
        <f t="shared" si="484"/>
        <v>12000000</v>
      </c>
      <c r="O2066" s="2">
        <f t="shared" si="494"/>
        <v>4846665</v>
      </c>
      <c r="P2066" s="113">
        <f t="shared" si="495"/>
        <v>3057600</v>
      </c>
      <c r="Q2066" s="121">
        <f t="shared" si="485"/>
        <v>6308373.5999999996</v>
      </c>
    </row>
    <row r="2067" spans="2:17" hidden="1" x14ac:dyDescent="0.4">
      <c r="B2067" s="110">
        <v>45988</v>
      </c>
      <c r="C2067" s="122">
        <f t="shared" si="486"/>
        <v>8000000</v>
      </c>
      <c r="D2067" s="111">
        <f t="shared" si="487"/>
        <v>117525</v>
      </c>
      <c r="E2067" s="2">
        <f t="shared" si="488"/>
        <v>20086.400000000001</v>
      </c>
      <c r="F2067" s="112">
        <f t="shared" si="482"/>
        <v>12000000</v>
      </c>
      <c r="G2067" s="2">
        <f t="shared" si="489"/>
        <v>4846665</v>
      </c>
      <c r="H2067" s="113">
        <f t="shared" si="490"/>
        <v>3057600</v>
      </c>
      <c r="I2067" s="121">
        <f t="shared" si="483"/>
        <v>6308373.5999999996</v>
      </c>
      <c r="K2067" s="123">
        <f t="shared" si="491"/>
        <v>8000000</v>
      </c>
      <c r="L2067" s="111">
        <f t="shared" si="492"/>
        <v>117525</v>
      </c>
      <c r="M2067" s="2">
        <f t="shared" si="493"/>
        <v>20086.400000000001</v>
      </c>
      <c r="N2067" s="112">
        <f t="shared" si="484"/>
        <v>12000000</v>
      </c>
      <c r="O2067" s="2">
        <f t="shared" si="494"/>
        <v>4846665</v>
      </c>
      <c r="P2067" s="113">
        <f t="shared" si="495"/>
        <v>3057600</v>
      </c>
      <c r="Q2067" s="121">
        <f t="shared" si="485"/>
        <v>6308373.5999999996</v>
      </c>
    </row>
    <row r="2068" spans="2:17" hidden="1" x14ac:dyDescent="0.4">
      <c r="B2068" s="110">
        <v>45989</v>
      </c>
      <c r="C2068" s="122">
        <f t="shared" si="486"/>
        <v>8000000</v>
      </c>
      <c r="D2068" s="111">
        <f t="shared" si="487"/>
        <v>117525</v>
      </c>
      <c r="E2068" s="2">
        <f t="shared" si="488"/>
        <v>20086.400000000001</v>
      </c>
      <c r="F2068" s="112">
        <f t="shared" si="482"/>
        <v>12000000</v>
      </c>
      <c r="G2068" s="2">
        <f t="shared" si="489"/>
        <v>4846665</v>
      </c>
      <c r="H2068" s="113">
        <f t="shared" si="490"/>
        <v>3057600</v>
      </c>
      <c r="I2068" s="121">
        <f t="shared" si="483"/>
        <v>6308373.5999999996</v>
      </c>
      <c r="K2068" s="123">
        <f t="shared" si="491"/>
        <v>8000000</v>
      </c>
      <c r="L2068" s="111">
        <f t="shared" si="492"/>
        <v>117525</v>
      </c>
      <c r="M2068" s="2">
        <f t="shared" si="493"/>
        <v>20086.400000000001</v>
      </c>
      <c r="N2068" s="112">
        <f t="shared" si="484"/>
        <v>12000000</v>
      </c>
      <c r="O2068" s="2">
        <f t="shared" si="494"/>
        <v>4846665</v>
      </c>
      <c r="P2068" s="113">
        <f t="shared" si="495"/>
        <v>3057600</v>
      </c>
      <c r="Q2068" s="121">
        <f t="shared" si="485"/>
        <v>6308373.5999999996</v>
      </c>
    </row>
    <row r="2069" spans="2:17" hidden="1" x14ac:dyDescent="0.4">
      <c r="B2069" s="110">
        <v>45990</v>
      </c>
      <c r="C2069" s="122">
        <f t="shared" si="486"/>
        <v>8000000</v>
      </c>
      <c r="D2069" s="111">
        <f t="shared" si="487"/>
        <v>117525</v>
      </c>
      <c r="E2069" s="2">
        <f t="shared" si="488"/>
        <v>20086.400000000001</v>
      </c>
      <c r="F2069" s="112">
        <f t="shared" si="482"/>
        <v>12000000</v>
      </c>
      <c r="G2069" s="2">
        <f t="shared" si="489"/>
        <v>4846665</v>
      </c>
      <c r="H2069" s="113">
        <f t="shared" si="490"/>
        <v>3057600</v>
      </c>
      <c r="I2069" s="121">
        <f t="shared" si="483"/>
        <v>6308373.5999999996</v>
      </c>
      <c r="K2069" s="123">
        <f t="shared" si="491"/>
        <v>8000000</v>
      </c>
      <c r="L2069" s="111">
        <f t="shared" si="492"/>
        <v>117525</v>
      </c>
      <c r="M2069" s="2">
        <f t="shared" si="493"/>
        <v>20086.400000000001</v>
      </c>
      <c r="N2069" s="112">
        <f t="shared" si="484"/>
        <v>12000000</v>
      </c>
      <c r="O2069" s="2">
        <f t="shared" si="494"/>
        <v>4846665</v>
      </c>
      <c r="P2069" s="113">
        <f t="shared" si="495"/>
        <v>3057600</v>
      </c>
      <c r="Q2069" s="121">
        <f t="shared" si="485"/>
        <v>6308373.5999999996</v>
      </c>
    </row>
    <row r="2070" spans="2:17" hidden="1" x14ac:dyDescent="0.4">
      <c r="B2070" s="110">
        <v>45991</v>
      </c>
      <c r="C2070" s="122">
        <f t="shared" si="486"/>
        <v>8000000</v>
      </c>
      <c r="D2070" s="111">
        <f t="shared" si="487"/>
        <v>117525</v>
      </c>
      <c r="E2070" s="2">
        <f t="shared" si="488"/>
        <v>20086.400000000001</v>
      </c>
      <c r="F2070" s="112">
        <f t="shared" si="482"/>
        <v>12000000</v>
      </c>
      <c r="G2070" s="2">
        <f t="shared" si="489"/>
        <v>4846665</v>
      </c>
      <c r="H2070" s="113">
        <f t="shared" si="490"/>
        <v>3057600</v>
      </c>
      <c r="I2070" s="121">
        <f t="shared" si="483"/>
        <v>6308373.5999999996</v>
      </c>
      <c r="K2070" s="123">
        <f t="shared" si="491"/>
        <v>8000000</v>
      </c>
      <c r="L2070" s="111">
        <f t="shared" si="492"/>
        <v>117525</v>
      </c>
      <c r="M2070" s="2">
        <f t="shared" si="493"/>
        <v>20086.400000000001</v>
      </c>
      <c r="N2070" s="112">
        <f t="shared" si="484"/>
        <v>12000000</v>
      </c>
      <c r="O2070" s="2">
        <f t="shared" si="494"/>
        <v>4846665</v>
      </c>
      <c r="P2070" s="113">
        <f t="shared" si="495"/>
        <v>3057600</v>
      </c>
      <c r="Q2070" s="121">
        <f t="shared" si="485"/>
        <v>6308373.5999999996</v>
      </c>
    </row>
    <row r="2071" spans="2:17" x14ac:dyDescent="0.4">
      <c r="B2071" s="110">
        <v>45992</v>
      </c>
      <c r="C2071" s="122">
        <f t="shared" si="486"/>
        <v>8000000</v>
      </c>
      <c r="D2071" s="111">
        <f t="shared" si="487"/>
        <v>117525</v>
      </c>
      <c r="E2071" s="2">
        <f t="shared" si="488"/>
        <v>20086.400000000001</v>
      </c>
      <c r="F2071" s="112">
        <f t="shared" si="482"/>
        <v>12000000</v>
      </c>
      <c r="G2071" s="2">
        <f t="shared" si="489"/>
        <v>4846665</v>
      </c>
      <c r="H2071" s="113">
        <f t="shared" si="490"/>
        <v>3057600</v>
      </c>
      <c r="I2071" s="121">
        <f t="shared" si="483"/>
        <v>6308373.5999999996</v>
      </c>
      <c r="K2071" s="123">
        <f t="shared" si="491"/>
        <v>8000000</v>
      </c>
      <c r="L2071" s="111">
        <f t="shared" si="492"/>
        <v>117525</v>
      </c>
      <c r="M2071" s="2">
        <f t="shared" si="493"/>
        <v>20086.400000000001</v>
      </c>
      <c r="N2071" s="112">
        <f t="shared" si="484"/>
        <v>12000000</v>
      </c>
      <c r="O2071" s="2">
        <f t="shared" si="494"/>
        <v>4846665</v>
      </c>
      <c r="P2071" s="113">
        <f t="shared" si="495"/>
        <v>3057600</v>
      </c>
      <c r="Q2071" s="121">
        <f t="shared" si="485"/>
        <v>6308373.5999999996</v>
      </c>
    </row>
    <row r="2072" spans="2:17" hidden="1" x14ac:dyDescent="0.4">
      <c r="B2072" s="110">
        <v>45993</v>
      </c>
      <c r="C2072" s="122">
        <f t="shared" si="486"/>
        <v>8000000</v>
      </c>
      <c r="D2072" s="111">
        <f t="shared" si="487"/>
        <v>117525</v>
      </c>
      <c r="E2072" s="2">
        <f t="shared" si="488"/>
        <v>20086.400000000001</v>
      </c>
      <c r="F2072" s="112">
        <f t="shared" si="482"/>
        <v>12000000</v>
      </c>
      <c r="G2072" s="2">
        <f t="shared" si="489"/>
        <v>4846665</v>
      </c>
      <c r="H2072" s="113">
        <f t="shared" si="490"/>
        <v>3057600</v>
      </c>
      <c r="I2072" s="121">
        <f t="shared" si="483"/>
        <v>6308373.5999999996</v>
      </c>
      <c r="K2072" s="123">
        <f t="shared" si="491"/>
        <v>8000000</v>
      </c>
      <c r="L2072" s="111">
        <f t="shared" si="492"/>
        <v>117525</v>
      </c>
      <c r="M2072" s="2">
        <f t="shared" si="493"/>
        <v>20086.400000000001</v>
      </c>
      <c r="N2072" s="112">
        <f t="shared" si="484"/>
        <v>12000000</v>
      </c>
      <c r="O2072" s="2">
        <f t="shared" si="494"/>
        <v>4846665</v>
      </c>
      <c r="P2072" s="113">
        <f t="shared" si="495"/>
        <v>3057600</v>
      </c>
      <c r="Q2072" s="121">
        <f t="shared" si="485"/>
        <v>6308373.5999999996</v>
      </c>
    </row>
    <row r="2073" spans="2:17" hidden="1" x14ac:dyDescent="0.4">
      <c r="B2073" s="110">
        <v>45994</v>
      </c>
      <c r="C2073" s="122">
        <f t="shared" si="486"/>
        <v>8000000</v>
      </c>
      <c r="D2073" s="111">
        <f t="shared" si="487"/>
        <v>117525</v>
      </c>
      <c r="E2073" s="2">
        <f t="shared" si="488"/>
        <v>20086.400000000001</v>
      </c>
      <c r="F2073" s="112">
        <f t="shared" si="482"/>
        <v>12000000</v>
      </c>
      <c r="G2073" s="2">
        <f t="shared" si="489"/>
        <v>4846665</v>
      </c>
      <c r="H2073" s="113">
        <f t="shared" si="490"/>
        <v>3057600</v>
      </c>
      <c r="I2073" s="121">
        <f t="shared" si="483"/>
        <v>6308373.5999999996</v>
      </c>
      <c r="K2073" s="123">
        <f t="shared" si="491"/>
        <v>8000000</v>
      </c>
      <c r="L2073" s="111">
        <f t="shared" si="492"/>
        <v>117525</v>
      </c>
      <c r="M2073" s="2">
        <f t="shared" si="493"/>
        <v>20086.400000000001</v>
      </c>
      <c r="N2073" s="112">
        <f t="shared" si="484"/>
        <v>12000000</v>
      </c>
      <c r="O2073" s="2">
        <f t="shared" si="494"/>
        <v>4846665</v>
      </c>
      <c r="P2073" s="113">
        <f t="shared" si="495"/>
        <v>3057600</v>
      </c>
      <c r="Q2073" s="121">
        <f t="shared" si="485"/>
        <v>6308373.5999999996</v>
      </c>
    </row>
    <row r="2074" spans="2:17" hidden="1" x14ac:dyDescent="0.4">
      <c r="B2074" s="110">
        <v>45995</v>
      </c>
      <c r="C2074" s="122">
        <f t="shared" si="486"/>
        <v>8000000</v>
      </c>
      <c r="D2074" s="111">
        <f t="shared" si="487"/>
        <v>117525</v>
      </c>
      <c r="E2074" s="2">
        <f t="shared" si="488"/>
        <v>20086.400000000001</v>
      </c>
      <c r="F2074" s="112">
        <f t="shared" si="482"/>
        <v>12000000</v>
      </c>
      <c r="G2074" s="2">
        <f t="shared" si="489"/>
        <v>4846665</v>
      </c>
      <c r="H2074" s="113">
        <f t="shared" si="490"/>
        <v>3057600</v>
      </c>
      <c r="I2074" s="121">
        <f t="shared" si="483"/>
        <v>6308373.5999999996</v>
      </c>
      <c r="K2074" s="123">
        <f t="shared" si="491"/>
        <v>8000000</v>
      </c>
      <c r="L2074" s="111">
        <f t="shared" si="492"/>
        <v>117525</v>
      </c>
      <c r="M2074" s="2">
        <f t="shared" si="493"/>
        <v>20086.400000000001</v>
      </c>
      <c r="N2074" s="112">
        <f t="shared" si="484"/>
        <v>12000000</v>
      </c>
      <c r="O2074" s="2">
        <f t="shared" si="494"/>
        <v>4846665</v>
      </c>
      <c r="P2074" s="113">
        <f t="shared" si="495"/>
        <v>3057600</v>
      </c>
      <c r="Q2074" s="121">
        <f t="shared" si="485"/>
        <v>6308373.5999999996</v>
      </c>
    </row>
    <row r="2075" spans="2:17" hidden="1" x14ac:dyDescent="0.4">
      <c r="B2075" s="110">
        <v>45996</v>
      </c>
      <c r="C2075" s="122">
        <f t="shared" si="486"/>
        <v>8000000</v>
      </c>
      <c r="D2075" s="111">
        <f t="shared" si="487"/>
        <v>117525</v>
      </c>
      <c r="E2075" s="2">
        <f t="shared" si="488"/>
        <v>20086.400000000001</v>
      </c>
      <c r="F2075" s="112">
        <f t="shared" si="482"/>
        <v>12000000</v>
      </c>
      <c r="G2075" s="2">
        <f t="shared" si="489"/>
        <v>4846665</v>
      </c>
      <c r="H2075" s="113">
        <f t="shared" si="490"/>
        <v>3057600</v>
      </c>
      <c r="I2075" s="121">
        <f t="shared" si="483"/>
        <v>6308373.5999999996</v>
      </c>
      <c r="K2075" s="123">
        <f t="shared" si="491"/>
        <v>8000000</v>
      </c>
      <c r="L2075" s="111">
        <f t="shared" si="492"/>
        <v>117525</v>
      </c>
      <c r="M2075" s="2">
        <f t="shared" si="493"/>
        <v>20086.400000000001</v>
      </c>
      <c r="N2075" s="112">
        <f t="shared" si="484"/>
        <v>12000000</v>
      </c>
      <c r="O2075" s="2">
        <f t="shared" si="494"/>
        <v>4846665</v>
      </c>
      <c r="P2075" s="113">
        <f t="shared" si="495"/>
        <v>3057600</v>
      </c>
      <c r="Q2075" s="121">
        <f t="shared" si="485"/>
        <v>6308373.5999999996</v>
      </c>
    </row>
    <row r="2076" spans="2:17" hidden="1" x14ac:dyDescent="0.4">
      <c r="B2076" s="110">
        <v>45997</v>
      </c>
      <c r="C2076" s="122">
        <f t="shared" si="486"/>
        <v>8000000</v>
      </c>
      <c r="D2076" s="111">
        <f t="shared" si="487"/>
        <v>117525</v>
      </c>
      <c r="E2076" s="2">
        <f t="shared" si="488"/>
        <v>20086.400000000001</v>
      </c>
      <c r="F2076" s="112">
        <f t="shared" si="482"/>
        <v>12000000</v>
      </c>
      <c r="G2076" s="2">
        <f t="shared" si="489"/>
        <v>4846665</v>
      </c>
      <c r="H2076" s="113">
        <f t="shared" si="490"/>
        <v>3057600</v>
      </c>
      <c r="I2076" s="121">
        <f t="shared" si="483"/>
        <v>6308373.5999999996</v>
      </c>
      <c r="K2076" s="123">
        <f t="shared" si="491"/>
        <v>8000000</v>
      </c>
      <c r="L2076" s="111">
        <f t="shared" si="492"/>
        <v>117525</v>
      </c>
      <c r="M2076" s="2">
        <f t="shared" si="493"/>
        <v>20086.400000000001</v>
      </c>
      <c r="N2076" s="112">
        <f t="shared" si="484"/>
        <v>12000000</v>
      </c>
      <c r="O2076" s="2">
        <f t="shared" si="494"/>
        <v>4846665</v>
      </c>
      <c r="P2076" s="113">
        <f t="shared" si="495"/>
        <v>3057600</v>
      </c>
      <c r="Q2076" s="121">
        <f t="shared" si="485"/>
        <v>6308373.5999999996</v>
      </c>
    </row>
    <row r="2077" spans="2:17" hidden="1" x14ac:dyDescent="0.4">
      <c r="B2077" s="110">
        <v>45998</v>
      </c>
      <c r="C2077" s="122">
        <f t="shared" si="486"/>
        <v>8000000</v>
      </c>
      <c r="D2077" s="111">
        <f t="shared" si="487"/>
        <v>117525</v>
      </c>
      <c r="E2077" s="2">
        <f t="shared" si="488"/>
        <v>20086.400000000001</v>
      </c>
      <c r="F2077" s="112">
        <f t="shared" si="482"/>
        <v>12000000</v>
      </c>
      <c r="G2077" s="2">
        <f t="shared" si="489"/>
        <v>4846665</v>
      </c>
      <c r="H2077" s="113">
        <f t="shared" si="490"/>
        <v>3057600</v>
      </c>
      <c r="I2077" s="121">
        <f t="shared" si="483"/>
        <v>6308373.5999999996</v>
      </c>
      <c r="K2077" s="123">
        <f t="shared" si="491"/>
        <v>8000000</v>
      </c>
      <c r="L2077" s="111">
        <f t="shared" si="492"/>
        <v>117525</v>
      </c>
      <c r="M2077" s="2">
        <f t="shared" si="493"/>
        <v>20086.400000000001</v>
      </c>
      <c r="N2077" s="112">
        <f t="shared" si="484"/>
        <v>12000000</v>
      </c>
      <c r="O2077" s="2">
        <f t="shared" si="494"/>
        <v>4846665</v>
      </c>
      <c r="P2077" s="113">
        <f t="shared" si="495"/>
        <v>3057600</v>
      </c>
      <c r="Q2077" s="121">
        <f t="shared" si="485"/>
        <v>6308373.5999999996</v>
      </c>
    </row>
    <row r="2078" spans="2:17" hidden="1" x14ac:dyDescent="0.4">
      <c r="B2078" s="110">
        <v>45999</v>
      </c>
      <c r="C2078" s="122">
        <f t="shared" si="486"/>
        <v>8000000</v>
      </c>
      <c r="D2078" s="111">
        <f t="shared" si="487"/>
        <v>121771</v>
      </c>
      <c r="E2078" s="2">
        <f t="shared" si="488"/>
        <v>20086.400000000001</v>
      </c>
      <c r="F2078" s="112">
        <f t="shared" si="482"/>
        <v>12000000</v>
      </c>
      <c r="G2078" s="2">
        <f t="shared" si="489"/>
        <v>4846665</v>
      </c>
      <c r="H2078" s="113">
        <f t="shared" si="490"/>
        <v>3057600</v>
      </c>
      <c r="I2078" s="121">
        <f t="shared" si="483"/>
        <v>6312619.5999999996</v>
      </c>
      <c r="K2078" s="123">
        <f t="shared" si="491"/>
        <v>8000000</v>
      </c>
      <c r="L2078" s="111">
        <f t="shared" si="492"/>
        <v>121771</v>
      </c>
      <c r="M2078" s="2">
        <f t="shared" si="493"/>
        <v>20086.400000000001</v>
      </c>
      <c r="N2078" s="112">
        <f t="shared" si="484"/>
        <v>12000000</v>
      </c>
      <c r="O2078" s="2">
        <f t="shared" si="494"/>
        <v>4846665</v>
      </c>
      <c r="P2078" s="113">
        <f t="shared" si="495"/>
        <v>3057600</v>
      </c>
      <c r="Q2078" s="121">
        <f t="shared" si="485"/>
        <v>6312619.5999999996</v>
      </c>
    </row>
    <row r="2079" spans="2:17" hidden="1" x14ac:dyDescent="0.4">
      <c r="B2079" s="110">
        <v>46000</v>
      </c>
      <c r="C2079" s="122">
        <f t="shared" si="486"/>
        <v>8000000</v>
      </c>
      <c r="D2079" s="111">
        <f t="shared" si="487"/>
        <v>121771</v>
      </c>
      <c r="E2079" s="2">
        <f t="shared" si="488"/>
        <v>23355.4</v>
      </c>
      <c r="F2079" s="112">
        <f t="shared" si="482"/>
        <v>12000000</v>
      </c>
      <c r="G2079" s="2">
        <f t="shared" si="489"/>
        <v>4846665</v>
      </c>
      <c r="H2079" s="113">
        <f t="shared" si="490"/>
        <v>4023600</v>
      </c>
      <c r="I2079" s="121">
        <f t="shared" si="483"/>
        <v>7275350.5999999996</v>
      </c>
      <c r="K2079" s="123">
        <f t="shared" si="491"/>
        <v>8000000</v>
      </c>
      <c r="L2079" s="111">
        <f t="shared" si="492"/>
        <v>121771</v>
      </c>
      <c r="M2079" s="2">
        <f t="shared" si="493"/>
        <v>23355.4</v>
      </c>
      <c r="N2079" s="112">
        <f t="shared" si="484"/>
        <v>12000000</v>
      </c>
      <c r="O2079" s="2">
        <f t="shared" si="494"/>
        <v>4846665</v>
      </c>
      <c r="P2079" s="113">
        <f t="shared" si="495"/>
        <v>4023600</v>
      </c>
      <c r="Q2079" s="121">
        <f t="shared" si="485"/>
        <v>7275350.5999999996</v>
      </c>
    </row>
    <row r="2080" spans="2:17" hidden="1" x14ac:dyDescent="0.4">
      <c r="B2080" s="110">
        <v>46001</v>
      </c>
      <c r="C2080" s="122">
        <f t="shared" si="486"/>
        <v>8000000</v>
      </c>
      <c r="D2080" s="111">
        <f t="shared" si="487"/>
        <v>121771</v>
      </c>
      <c r="E2080" s="2">
        <f t="shared" si="488"/>
        <v>23355.4</v>
      </c>
      <c r="F2080" s="112">
        <f t="shared" si="482"/>
        <v>12000000</v>
      </c>
      <c r="G2080" s="2">
        <f t="shared" si="489"/>
        <v>4846665</v>
      </c>
      <c r="H2080" s="113">
        <f t="shared" si="490"/>
        <v>4023600</v>
      </c>
      <c r="I2080" s="121">
        <f t="shared" si="483"/>
        <v>7275350.5999999996</v>
      </c>
      <c r="K2080" s="123">
        <f t="shared" si="491"/>
        <v>8000000</v>
      </c>
      <c r="L2080" s="111">
        <f t="shared" si="492"/>
        <v>121771</v>
      </c>
      <c r="M2080" s="2">
        <f t="shared" si="493"/>
        <v>23355.4</v>
      </c>
      <c r="N2080" s="112">
        <f t="shared" si="484"/>
        <v>12000000</v>
      </c>
      <c r="O2080" s="2">
        <f t="shared" si="494"/>
        <v>4846665</v>
      </c>
      <c r="P2080" s="113">
        <f t="shared" si="495"/>
        <v>4023600</v>
      </c>
      <c r="Q2080" s="121">
        <f t="shared" si="485"/>
        <v>7275350.5999999996</v>
      </c>
    </row>
    <row r="2081" spans="2:17" hidden="1" x14ac:dyDescent="0.4">
      <c r="B2081" s="110">
        <v>46002</v>
      </c>
      <c r="C2081" s="122">
        <f t="shared" si="486"/>
        <v>8000000</v>
      </c>
      <c r="D2081" s="111">
        <f t="shared" si="487"/>
        <v>121771</v>
      </c>
      <c r="E2081" s="2">
        <f t="shared" si="488"/>
        <v>23355.4</v>
      </c>
      <c r="F2081" s="112">
        <f t="shared" si="482"/>
        <v>12000000</v>
      </c>
      <c r="G2081" s="2">
        <f t="shared" si="489"/>
        <v>4846665</v>
      </c>
      <c r="H2081" s="113">
        <f t="shared" si="490"/>
        <v>4023600</v>
      </c>
      <c r="I2081" s="121">
        <f t="shared" si="483"/>
        <v>7275350.5999999996</v>
      </c>
      <c r="K2081" s="123">
        <f t="shared" si="491"/>
        <v>8000000</v>
      </c>
      <c r="L2081" s="111">
        <f t="shared" si="492"/>
        <v>121771</v>
      </c>
      <c r="M2081" s="2">
        <f t="shared" si="493"/>
        <v>23355.4</v>
      </c>
      <c r="N2081" s="112">
        <f t="shared" si="484"/>
        <v>12000000</v>
      </c>
      <c r="O2081" s="2">
        <f t="shared" si="494"/>
        <v>4846665</v>
      </c>
      <c r="P2081" s="113">
        <f t="shared" si="495"/>
        <v>4023600</v>
      </c>
      <c r="Q2081" s="121">
        <f t="shared" si="485"/>
        <v>7275350.5999999996</v>
      </c>
    </row>
    <row r="2082" spans="2:17" hidden="1" x14ac:dyDescent="0.4">
      <c r="B2082" s="110">
        <v>46003</v>
      </c>
      <c r="C2082" s="122">
        <f t="shared" si="486"/>
        <v>8000000</v>
      </c>
      <c r="D2082" s="111">
        <f t="shared" si="487"/>
        <v>121771</v>
      </c>
      <c r="E2082" s="2">
        <f t="shared" si="488"/>
        <v>23355.4</v>
      </c>
      <c r="F2082" s="112">
        <f t="shared" si="482"/>
        <v>12000000</v>
      </c>
      <c r="G2082" s="2">
        <f t="shared" si="489"/>
        <v>4846665</v>
      </c>
      <c r="H2082" s="113">
        <f t="shared" si="490"/>
        <v>4023600</v>
      </c>
      <c r="I2082" s="121">
        <f t="shared" si="483"/>
        <v>7275350.5999999996</v>
      </c>
      <c r="K2082" s="123">
        <f t="shared" si="491"/>
        <v>8000000</v>
      </c>
      <c r="L2082" s="111">
        <f t="shared" si="492"/>
        <v>121771</v>
      </c>
      <c r="M2082" s="2">
        <f t="shared" si="493"/>
        <v>23355.4</v>
      </c>
      <c r="N2082" s="112">
        <f t="shared" si="484"/>
        <v>12000000</v>
      </c>
      <c r="O2082" s="2">
        <f t="shared" si="494"/>
        <v>4846665</v>
      </c>
      <c r="P2082" s="113">
        <f t="shared" si="495"/>
        <v>4023600</v>
      </c>
      <c r="Q2082" s="121">
        <f t="shared" si="485"/>
        <v>7275350.5999999996</v>
      </c>
    </row>
    <row r="2083" spans="2:17" hidden="1" x14ac:dyDescent="0.4">
      <c r="B2083" s="110">
        <v>46004</v>
      </c>
      <c r="C2083" s="122">
        <f t="shared" si="486"/>
        <v>8000000</v>
      </c>
      <c r="D2083" s="111">
        <f t="shared" si="487"/>
        <v>121771</v>
      </c>
      <c r="E2083" s="2">
        <f t="shared" si="488"/>
        <v>23355.4</v>
      </c>
      <c r="F2083" s="112">
        <f t="shared" si="482"/>
        <v>12000000</v>
      </c>
      <c r="G2083" s="2">
        <f t="shared" si="489"/>
        <v>4846665</v>
      </c>
      <c r="H2083" s="113">
        <f t="shared" si="490"/>
        <v>4023600</v>
      </c>
      <c r="I2083" s="121">
        <f t="shared" si="483"/>
        <v>7275350.5999999996</v>
      </c>
      <c r="K2083" s="123">
        <f t="shared" si="491"/>
        <v>8000000</v>
      </c>
      <c r="L2083" s="111">
        <f t="shared" si="492"/>
        <v>121771</v>
      </c>
      <c r="M2083" s="2">
        <f t="shared" si="493"/>
        <v>23355.4</v>
      </c>
      <c r="N2083" s="112">
        <f t="shared" si="484"/>
        <v>12000000</v>
      </c>
      <c r="O2083" s="2">
        <f t="shared" si="494"/>
        <v>4846665</v>
      </c>
      <c r="P2083" s="113">
        <f t="shared" si="495"/>
        <v>4023600</v>
      </c>
      <c r="Q2083" s="121">
        <f t="shared" si="485"/>
        <v>7275350.5999999996</v>
      </c>
    </row>
    <row r="2084" spans="2:17" hidden="1" x14ac:dyDescent="0.4">
      <c r="B2084" s="110">
        <v>46005</v>
      </c>
      <c r="C2084" s="122">
        <f t="shared" si="486"/>
        <v>8000000</v>
      </c>
      <c r="D2084" s="111">
        <f t="shared" si="487"/>
        <v>121771</v>
      </c>
      <c r="E2084" s="2">
        <f t="shared" si="488"/>
        <v>23355.4</v>
      </c>
      <c r="F2084" s="112">
        <f t="shared" si="482"/>
        <v>12000000</v>
      </c>
      <c r="G2084" s="2">
        <f t="shared" si="489"/>
        <v>4846665</v>
      </c>
      <c r="H2084" s="113">
        <f t="shared" si="490"/>
        <v>4023600</v>
      </c>
      <c r="I2084" s="121">
        <f t="shared" si="483"/>
        <v>7275350.5999999996</v>
      </c>
      <c r="K2084" s="123">
        <f t="shared" si="491"/>
        <v>8000000</v>
      </c>
      <c r="L2084" s="111">
        <f t="shared" si="492"/>
        <v>121771</v>
      </c>
      <c r="M2084" s="2">
        <f t="shared" si="493"/>
        <v>23355.4</v>
      </c>
      <c r="N2084" s="112">
        <f t="shared" si="484"/>
        <v>12000000</v>
      </c>
      <c r="O2084" s="2">
        <f t="shared" si="494"/>
        <v>4846665</v>
      </c>
      <c r="P2084" s="113">
        <f t="shared" si="495"/>
        <v>4023600</v>
      </c>
      <c r="Q2084" s="121">
        <f t="shared" si="485"/>
        <v>7275350.5999999996</v>
      </c>
    </row>
    <row r="2085" spans="2:17" hidden="1" x14ac:dyDescent="0.4">
      <c r="B2085" s="110">
        <v>46006</v>
      </c>
      <c r="C2085" s="122">
        <f t="shared" si="486"/>
        <v>8000000</v>
      </c>
      <c r="D2085" s="111">
        <f t="shared" si="487"/>
        <v>121771</v>
      </c>
      <c r="E2085" s="2">
        <f t="shared" si="488"/>
        <v>23355.4</v>
      </c>
      <c r="F2085" s="112">
        <f t="shared" si="482"/>
        <v>12000000</v>
      </c>
      <c r="G2085" s="2">
        <f t="shared" si="489"/>
        <v>4846665</v>
      </c>
      <c r="H2085" s="113">
        <f t="shared" si="490"/>
        <v>4023600</v>
      </c>
      <c r="I2085" s="121">
        <f t="shared" si="483"/>
        <v>7275350.5999999996</v>
      </c>
      <c r="K2085" s="123">
        <f t="shared" si="491"/>
        <v>8000000</v>
      </c>
      <c r="L2085" s="111">
        <f t="shared" si="492"/>
        <v>121771</v>
      </c>
      <c r="M2085" s="2">
        <f t="shared" si="493"/>
        <v>23355.4</v>
      </c>
      <c r="N2085" s="112">
        <f t="shared" si="484"/>
        <v>12000000</v>
      </c>
      <c r="O2085" s="2">
        <f t="shared" si="494"/>
        <v>4846665</v>
      </c>
      <c r="P2085" s="113">
        <f t="shared" si="495"/>
        <v>4023600</v>
      </c>
      <c r="Q2085" s="121">
        <f t="shared" si="485"/>
        <v>7275350.5999999996</v>
      </c>
    </row>
    <row r="2086" spans="2:17" hidden="1" x14ac:dyDescent="0.4">
      <c r="B2086" s="110">
        <v>46007</v>
      </c>
      <c r="C2086" s="122">
        <f t="shared" si="486"/>
        <v>8000000</v>
      </c>
      <c r="D2086" s="111">
        <f t="shared" si="487"/>
        <v>121771</v>
      </c>
      <c r="E2086" s="2">
        <f t="shared" si="488"/>
        <v>23355.4</v>
      </c>
      <c r="F2086" s="112">
        <f t="shared" si="482"/>
        <v>12000000</v>
      </c>
      <c r="G2086" s="2">
        <f t="shared" si="489"/>
        <v>4846665</v>
      </c>
      <c r="H2086" s="113">
        <f t="shared" si="490"/>
        <v>4023600</v>
      </c>
      <c r="I2086" s="121">
        <f t="shared" si="483"/>
        <v>7275350.5999999996</v>
      </c>
      <c r="K2086" s="123">
        <f t="shared" si="491"/>
        <v>8000000</v>
      </c>
      <c r="L2086" s="111">
        <f t="shared" si="492"/>
        <v>121771</v>
      </c>
      <c r="M2086" s="2">
        <f t="shared" si="493"/>
        <v>23355.4</v>
      </c>
      <c r="N2086" s="112">
        <f t="shared" si="484"/>
        <v>12000000</v>
      </c>
      <c r="O2086" s="2">
        <f t="shared" si="494"/>
        <v>4846665</v>
      </c>
      <c r="P2086" s="113">
        <f t="shared" si="495"/>
        <v>4023600</v>
      </c>
      <c r="Q2086" s="121">
        <f t="shared" si="485"/>
        <v>7275350.5999999996</v>
      </c>
    </row>
    <row r="2087" spans="2:17" hidden="1" x14ac:dyDescent="0.4">
      <c r="B2087" s="110">
        <v>46008</v>
      </c>
      <c r="C2087" s="122">
        <f t="shared" si="486"/>
        <v>8000000</v>
      </c>
      <c r="D2087" s="111">
        <f t="shared" si="487"/>
        <v>121771</v>
      </c>
      <c r="E2087" s="2">
        <f t="shared" si="488"/>
        <v>25603.800000000003</v>
      </c>
      <c r="F2087" s="112">
        <f t="shared" si="482"/>
        <v>12000000</v>
      </c>
      <c r="G2087" s="2">
        <f t="shared" si="489"/>
        <v>4846665</v>
      </c>
      <c r="H2087" s="113">
        <f t="shared" si="490"/>
        <v>4689200</v>
      </c>
      <c r="I2087" s="121">
        <f t="shared" si="483"/>
        <v>7938702.2000000002</v>
      </c>
      <c r="K2087" s="123">
        <f t="shared" si="491"/>
        <v>8000000</v>
      </c>
      <c r="L2087" s="111">
        <f t="shared" si="492"/>
        <v>121771</v>
      </c>
      <c r="M2087" s="2">
        <f t="shared" si="493"/>
        <v>25603.800000000003</v>
      </c>
      <c r="N2087" s="112">
        <f t="shared" si="484"/>
        <v>12000000</v>
      </c>
      <c r="O2087" s="2">
        <f t="shared" si="494"/>
        <v>4846665</v>
      </c>
      <c r="P2087" s="113">
        <f t="shared" si="495"/>
        <v>4689200</v>
      </c>
      <c r="Q2087" s="121">
        <f t="shared" si="485"/>
        <v>7938702.2000000002</v>
      </c>
    </row>
    <row r="2088" spans="2:17" hidden="1" x14ac:dyDescent="0.4">
      <c r="B2088" s="110">
        <v>46009</v>
      </c>
      <c r="C2088" s="122">
        <f t="shared" si="486"/>
        <v>8000000</v>
      </c>
      <c r="D2088" s="111">
        <f t="shared" si="487"/>
        <v>121771</v>
      </c>
      <c r="E2088" s="2">
        <f t="shared" si="488"/>
        <v>25603.800000000003</v>
      </c>
      <c r="F2088" s="112">
        <f t="shared" si="482"/>
        <v>12000000</v>
      </c>
      <c r="G2088" s="2">
        <f t="shared" si="489"/>
        <v>4846665</v>
      </c>
      <c r="H2088" s="113">
        <f t="shared" si="490"/>
        <v>4689200</v>
      </c>
      <c r="I2088" s="121">
        <f t="shared" si="483"/>
        <v>7938702.2000000002</v>
      </c>
      <c r="K2088" s="123">
        <f t="shared" si="491"/>
        <v>8000000</v>
      </c>
      <c r="L2088" s="111">
        <f t="shared" si="492"/>
        <v>121771</v>
      </c>
      <c r="M2088" s="2">
        <f t="shared" si="493"/>
        <v>25603.800000000003</v>
      </c>
      <c r="N2088" s="112">
        <f t="shared" si="484"/>
        <v>12000000</v>
      </c>
      <c r="O2088" s="2">
        <f t="shared" si="494"/>
        <v>4846665</v>
      </c>
      <c r="P2088" s="113">
        <f t="shared" si="495"/>
        <v>4689200</v>
      </c>
      <c r="Q2088" s="121">
        <f t="shared" si="485"/>
        <v>7938702.2000000002</v>
      </c>
    </row>
    <row r="2089" spans="2:17" hidden="1" x14ac:dyDescent="0.4">
      <c r="B2089" s="110">
        <v>46010</v>
      </c>
      <c r="C2089" s="122">
        <f t="shared" si="486"/>
        <v>8000000</v>
      </c>
      <c r="D2089" s="111">
        <f t="shared" si="487"/>
        <v>121771</v>
      </c>
      <c r="E2089" s="2">
        <f t="shared" si="488"/>
        <v>25603.800000000003</v>
      </c>
      <c r="F2089" s="112">
        <f t="shared" si="482"/>
        <v>12000000</v>
      </c>
      <c r="G2089" s="2">
        <f t="shared" si="489"/>
        <v>4846665</v>
      </c>
      <c r="H2089" s="113">
        <f t="shared" si="490"/>
        <v>4689200</v>
      </c>
      <c r="I2089" s="121">
        <f t="shared" si="483"/>
        <v>7938702.2000000002</v>
      </c>
      <c r="K2089" s="123">
        <f t="shared" si="491"/>
        <v>8000000</v>
      </c>
      <c r="L2089" s="111">
        <f t="shared" si="492"/>
        <v>121771</v>
      </c>
      <c r="M2089" s="2">
        <f t="shared" si="493"/>
        <v>25603.800000000003</v>
      </c>
      <c r="N2089" s="112">
        <f t="shared" si="484"/>
        <v>12000000</v>
      </c>
      <c r="O2089" s="2">
        <f t="shared" si="494"/>
        <v>4846665</v>
      </c>
      <c r="P2089" s="113">
        <f t="shared" si="495"/>
        <v>4689200</v>
      </c>
      <c r="Q2089" s="121">
        <f t="shared" si="485"/>
        <v>7938702.2000000002</v>
      </c>
    </row>
    <row r="2090" spans="2:17" hidden="1" x14ac:dyDescent="0.4">
      <c r="B2090" s="110">
        <v>46011</v>
      </c>
      <c r="C2090" s="122">
        <f t="shared" si="486"/>
        <v>8000000</v>
      </c>
      <c r="D2090" s="111">
        <f t="shared" si="487"/>
        <v>121771</v>
      </c>
      <c r="E2090" s="2">
        <f t="shared" si="488"/>
        <v>25603.800000000003</v>
      </c>
      <c r="F2090" s="112">
        <f t="shared" si="482"/>
        <v>12000000</v>
      </c>
      <c r="G2090" s="2">
        <f t="shared" si="489"/>
        <v>4846665</v>
      </c>
      <c r="H2090" s="113">
        <f t="shared" si="490"/>
        <v>4689200</v>
      </c>
      <c r="I2090" s="121">
        <f t="shared" si="483"/>
        <v>7938702.2000000002</v>
      </c>
      <c r="K2090" s="123">
        <f t="shared" si="491"/>
        <v>8000000</v>
      </c>
      <c r="L2090" s="111">
        <f t="shared" si="492"/>
        <v>121771</v>
      </c>
      <c r="M2090" s="2">
        <f t="shared" si="493"/>
        <v>25603.800000000003</v>
      </c>
      <c r="N2090" s="112">
        <f t="shared" si="484"/>
        <v>12000000</v>
      </c>
      <c r="O2090" s="2">
        <f t="shared" si="494"/>
        <v>4846665</v>
      </c>
      <c r="P2090" s="113">
        <f t="shared" si="495"/>
        <v>4689200</v>
      </c>
      <c r="Q2090" s="121">
        <f t="shared" si="485"/>
        <v>7938702.2000000002</v>
      </c>
    </row>
    <row r="2091" spans="2:17" hidden="1" x14ac:dyDescent="0.4">
      <c r="B2091" s="110">
        <v>46012</v>
      </c>
      <c r="C2091" s="122">
        <f t="shared" si="486"/>
        <v>8000000</v>
      </c>
      <c r="D2091" s="111">
        <f t="shared" si="487"/>
        <v>121771</v>
      </c>
      <c r="E2091" s="2">
        <f t="shared" si="488"/>
        <v>25603.800000000003</v>
      </c>
      <c r="F2091" s="112">
        <f t="shared" si="482"/>
        <v>12000000</v>
      </c>
      <c r="G2091" s="2">
        <f t="shared" si="489"/>
        <v>4846665</v>
      </c>
      <c r="H2091" s="113">
        <f t="shared" si="490"/>
        <v>4689200</v>
      </c>
      <c r="I2091" s="121">
        <f t="shared" si="483"/>
        <v>7938702.2000000002</v>
      </c>
      <c r="K2091" s="123">
        <f t="shared" si="491"/>
        <v>8000000</v>
      </c>
      <c r="L2091" s="111">
        <f t="shared" si="492"/>
        <v>121771</v>
      </c>
      <c r="M2091" s="2">
        <f t="shared" si="493"/>
        <v>25603.800000000003</v>
      </c>
      <c r="N2091" s="112">
        <f t="shared" si="484"/>
        <v>12000000</v>
      </c>
      <c r="O2091" s="2">
        <f t="shared" si="494"/>
        <v>4846665</v>
      </c>
      <c r="P2091" s="113">
        <f t="shared" si="495"/>
        <v>4689200</v>
      </c>
      <c r="Q2091" s="121">
        <f t="shared" si="485"/>
        <v>7938702.2000000002</v>
      </c>
    </row>
    <row r="2092" spans="2:17" hidden="1" x14ac:dyDescent="0.4">
      <c r="B2092" s="110">
        <v>46013</v>
      </c>
      <c r="C2092" s="122">
        <f t="shared" si="486"/>
        <v>8000000</v>
      </c>
      <c r="D2092" s="111">
        <f t="shared" si="487"/>
        <v>121771</v>
      </c>
      <c r="E2092" s="2">
        <f t="shared" si="488"/>
        <v>25603.800000000003</v>
      </c>
      <c r="F2092" s="112">
        <f t="shared" si="482"/>
        <v>12000000</v>
      </c>
      <c r="G2092" s="2">
        <f t="shared" si="489"/>
        <v>4846665</v>
      </c>
      <c r="H2092" s="113">
        <f t="shared" si="490"/>
        <v>4689200</v>
      </c>
      <c r="I2092" s="121">
        <f t="shared" si="483"/>
        <v>7938702.2000000002</v>
      </c>
      <c r="K2092" s="123">
        <f t="shared" si="491"/>
        <v>8000000</v>
      </c>
      <c r="L2092" s="111">
        <f t="shared" si="492"/>
        <v>121771</v>
      </c>
      <c r="M2092" s="2">
        <f t="shared" si="493"/>
        <v>25603.800000000003</v>
      </c>
      <c r="N2092" s="112">
        <f t="shared" si="484"/>
        <v>12000000</v>
      </c>
      <c r="O2092" s="2">
        <f t="shared" si="494"/>
        <v>4846665</v>
      </c>
      <c r="P2092" s="113">
        <f t="shared" si="495"/>
        <v>4689200</v>
      </c>
      <c r="Q2092" s="121">
        <f t="shared" si="485"/>
        <v>7938702.2000000002</v>
      </c>
    </row>
    <row r="2093" spans="2:17" hidden="1" x14ac:dyDescent="0.4">
      <c r="B2093" s="110">
        <v>46014</v>
      </c>
      <c r="C2093" s="122">
        <f t="shared" si="486"/>
        <v>8000000</v>
      </c>
      <c r="D2093" s="111">
        <f t="shared" si="487"/>
        <v>121771</v>
      </c>
      <c r="E2093" s="2">
        <f t="shared" si="488"/>
        <v>25603.800000000003</v>
      </c>
      <c r="F2093" s="112">
        <f t="shared" si="482"/>
        <v>12000000</v>
      </c>
      <c r="G2093" s="2">
        <f t="shared" si="489"/>
        <v>4846665</v>
      </c>
      <c r="H2093" s="113">
        <f t="shared" si="490"/>
        <v>4689200</v>
      </c>
      <c r="I2093" s="121">
        <f t="shared" si="483"/>
        <v>7938702.2000000002</v>
      </c>
      <c r="K2093" s="123">
        <f t="shared" si="491"/>
        <v>8000000</v>
      </c>
      <c r="L2093" s="111">
        <f t="shared" si="492"/>
        <v>121771</v>
      </c>
      <c r="M2093" s="2">
        <f t="shared" si="493"/>
        <v>25603.800000000003</v>
      </c>
      <c r="N2093" s="112">
        <f t="shared" si="484"/>
        <v>12000000</v>
      </c>
      <c r="O2093" s="2">
        <f t="shared" si="494"/>
        <v>4846665</v>
      </c>
      <c r="P2093" s="113">
        <f t="shared" si="495"/>
        <v>4689200</v>
      </c>
      <c r="Q2093" s="121">
        <f t="shared" si="485"/>
        <v>7938702.2000000002</v>
      </c>
    </row>
    <row r="2094" spans="2:17" hidden="1" x14ac:dyDescent="0.4">
      <c r="B2094" s="110">
        <v>46015</v>
      </c>
      <c r="C2094" s="122">
        <f t="shared" si="486"/>
        <v>8000000</v>
      </c>
      <c r="D2094" s="111">
        <f t="shared" si="487"/>
        <v>121771</v>
      </c>
      <c r="E2094" s="2">
        <f t="shared" si="488"/>
        <v>25603.800000000003</v>
      </c>
      <c r="F2094" s="112">
        <f t="shared" si="482"/>
        <v>12000000</v>
      </c>
      <c r="G2094" s="2">
        <f t="shared" si="489"/>
        <v>4846665</v>
      </c>
      <c r="H2094" s="113">
        <f t="shared" si="490"/>
        <v>4689200</v>
      </c>
      <c r="I2094" s="121">
        <f t="shared" si="483"/>
        <v>7938702.2000000002</v>
      </c>
      <c r="K2094" s="123">
        <f t="shared" si="491"/>
        <v>8000000</v>
      </c>
      <c r="L2094" s="111">
        <f t="shared" si="492"/>
        <v>121771</v>
      </c>
      <c r="M2094" s="2">
        <f t="shared" si="493"/>
        <v>25603.800000000003</v>
      </c>
      <c r="N2094" s="112">
        <f t="shared" si="484"/>
        <v>12000000</v>
      </c>
      <c r="O2094" s="2">
        <f t="shared" si="494"/>
        <v>4846665</v>
      </c>
      <c r="P2094" s="113">
        <f t="shared" si="495"/>
        <v>4689200</v>
      </c>
      <c r="Q2094" s="121">
        <f t="shared" si="485"/>
        <v>7938702.2000000002</v>
      </c>
    </row>
    <row r="2095" spans="2:17" hidden="1" x14ac:dyDescent="0.4">
      <c r="B2095" s="110">
        <v>46016</v>
      </c>
      <c r="C2095" s="122">
        <f t="shared" si="486"/>
        <v>8000000</v>
      </c>
      <c r="D2095" s="111">
        <f t="shared" si="487"/>
        <v>121771</v>
      </c>
      <c r="E2095" s="2">
        <f t="shared" si="488"/>
        <v>25603.800000000003</v>
      </c>
      <c r="F2095" s="112">
        <f t="shared" si="482"/>
        <v>12000000</v>
      </c>
      <c r="G2095" s="2">
        <f t="shared" si="489"/>
        <v>4846665</v>
      </c>
      <c r="H2095" s="113">
        <f t="shared" si="490"/>
        <v>4689200</v>
      </c>
      <c r="I2095" s="121">
        <f t="shared" si="483"/>
        <v>7938702.2000000002</v>
      </c>
      <c r="K2095" s="123">
        <f t="shared" si="491"/>
        <v>8000000</v>
      </c>
      <c r="L2095" s="111">
        <f t="shared" si="492"/>
        <v>121771</v>
      </c>
      <c r="M2095" s="2">
        <f t="shared" si="493"/>
        <v>25603.800000000003</v>
      </c>
      <c r="N2095" s="112">
        <f t="shared" si="484"/>
        <v>12000000</v>
      </c>
      <c r="O2095" s="2">
        <f t="shared" si="494"/>
        <v>4846665</v>
      </c>
      <c r="P2095" s="113">
        <f t="shared" si="495"/>
        <v>4689200</v>
      </c>
      <c r="Q2095" s="121">
        <f t="shared" si="485"/>
        <v>7938702.2000000002</v>
      </c>
    </row>
    <row r="2096" spans="2:17" hidden="1" x14ac:dyDescent="0.4">
      <c r="B2096" s="110">
        <v>46017</v>
      </c>
      <c r="C2096" s="122">
        <f t="shared" si="486"/>
        <v>8000000</v>
      </c>
      <c r="D2096" s="111">
        <f t="shared" si="487"/>
        <v>121771</v>
      </c>
      <c r="E2096" s="2">
        <f t="shared" si="488"/>
        <v>25603.800000000003</v>
      </c>
      <c r="F2096" s="112">
        <f t="shared" si="482"/>
        <v>12000000</v>
      </c>
      <c r="G2096" s="2">
        <f t="shared" si="489"/>
        <v>4846665</v>
      </c>
      <c r="H2096" s="113">
        <f t="shared" si="490"/>
        <v>4689200</v>
      </c>
      <c r="I2096" s="121">
        <f t="shared" si="483"/>
        <v>7938702.2000000002</v>
      </c>
      <c r="K2096" s="123">
        <f t="shared" si="491"/>
        <v>8000000</v>
      </c>
      <c r="L2096" s="111">
        <f t="shared" si="492"/>
        <v>121771</v>
      </c>
      <c r="M2096" s="2">
        <f t="shared" si="493"/>
        <v>25603.800000000003</v>
      </c>
      <c r="N2096" s="112">
        <f t="shared" si="484"/>
        <v>12000000</v>
      </c>
      <c r="O2096" s="2">
        <f t="shared" si="494"/>
        <v>4846665</v>
      </c>
      <c r="P2096" s="113">
        <f t="shared" si="495"/>
        <v>4689200</v>
      </c>
      <c r="Q2096" s="121">
        <f t="shared" si="485"/>
        <v>7938702.2000000002</v>
      </c>
    </row>
    <row r="2097" spans="2:17" hidden="1" x14ac:dyDescent="0.4">
      <c r="B2097" s="110">
        <v>46018</v>
      </c>
      <c r="C2097" s="122">
        <f t="shared" si="486"/>
        <v>8000000</v>
      </c>
      <c r="D2097" s="111">
        <f t="shared" si="487"/>
        <v>121771</v>
      </c>
      <c r="E2097" s="2">
        <f t="shared" si="488"/>
        <v>25603.800000000003</v>
      </c>
      <c r="F2097" s="112">
        <f t="shared" si="482"/>
        <v>12000000</v>
      </c>
      <c r="G2097" s="2">
        <f t="shared" si="489"/>
        <v>4846665</v>
      </c>
      <c r="H2097" s="113">
        <f t="shared" si="490"/>
        <v>4689200</v>
      </c>
      <c r="I2097" s="121">
        <f t="shared" si="483"/>
        <v>7938702.2000000002</v>
      </c>
      <c r="K2097" s="123">
        <f t="shared" si="491"/>
        <v>8000000</v>
      </c>
      <c r="L2097" s="111">
        <f t="shared" si="492"/>
        <v>121771</v>
      </c>
      <c r="M2097" s="2">
        <f t="shared" si="493"/>
        <v>25603.800000000003</v>
      </c>
      <c r="N2097" s="112">
        <f t="shared" si="484"/>
        <v>12000000</v>
      </c>
      <c r="O2097" s="2">
        <f t="shared" si="494"/>
        <v>4846665</v>
      </c>
      <c r="P2097" s="113">
        <f t="shared" si="495"/>
        <v>4689200</v>
      </c>
      <c r="Q2097" s="121">
        <f t="shared" si="485"/>
        <v>7938702.2000000002</v>
      </c>
    </row>
    <row r="2098" spans="2:17" hidden="1" x14ac:dyDescent="0.4">
      <c r="B2098" s="110">
        <v>46019</v>
      </c>
      <c r="C2098" s="122">
        <f t="shared" si="486"/>
        <v>8000000</v>
      </c>
      <c r="D2098" s="111">
        <f t="shared" si="487"/>
        <v>121771</v>
      </c>
      <c r="E2098" s="2">
        <f t="shared" si="488"/>
        <v>25603.800000000003</v>
      </c>
      <c r="F2098" s="112">
        <f t="shared" si="482"/>
        <v>12000000</v>
      </c>
      <c r="G2098" s="2">
        <f t="shared" si="489"/>
        <v>4846665</v>
      </c>
      <c r="H2098" s="113">
        <f t="shared" si="490"/>
        <v>4689200</v>
      </c>
      <c r="I2098" s="121">
        <f t="shared" si="483"/>
        <v>7938702.2000000002</v>
      </c>
      <c r="K2098" s="123">
        <f t="shared" si="491"/>
        <v>8000000</v>
      </c>
      <c r="L2098" s="111">
        <f t="shared" si="492"/>
        <v>121771</v>
      </c>
      <c r="M2098" s="2">
        <f t="shared" si="493"/>
        <v>25603.800000000003</v>
      </c>
      <c r="N2098" s="112">
        <f t="shared" si="484"/>
        <v>12000000</v>
      </c>
      <c r="O2098" s="2">
        <f t="shared" si="494"/>
        <v>4846665</v>
      </c>
      <c r="P2098" s="113">
        <f t="shared" si="495"/>
        <v>4689200</v>
      </c>
      <c r="Q2098" s="121">
        <f t="shared" si="485"/>
        <v>7938702.2000000002</v>
      </c>
    </row>
    <row r="2099" spans="2:17" hidden="1" x14ac:dyDescent="0.4">
      <c r="B2099" s="110">
        <v>46020</v>
      </c>
      <c r="C2099" s="122">
        <f t="shared" si="486"/>
        <v>8000000</v>
      </c>
      <c r="D2099" s="111">
        <f t="shared" si="487"/>
        <v>121771</v>
      </c>
      <c r="E2099" s="2">
        <f t="shared" si="488"/>
        <v>25603.800000000003</v>
      </c>
      <c r="F2099" s="112">
        <f t="shared" si="482"/>
        <v>12000000</v>
      </c>
      <c r="G2099" s="2">
        <f t="shared" si="489"/>
        <v>4846665</v>
      </c>
      <c r="H2099" s="113">
        <f t="shared" si="490"/>
        <v>4689200</v>
      </c>
      <c r="I2099" s="121">
        <f t="shared" si="483"/>
        <v>7938702.2000000002</v>
      </c>
      <c r="K2099" s="123">
        <f t="shared" si="491"/>
        <v>8000000</v>
      </c>
      <c r="L2099" s="111">
        <f t="shared" si="492"/>
        <v>121771</v>
      </c>
      <c r="M2099" s="2">
        <f t="shared" si="493"/>
        <v>25603.800000000003</v>
      </c>
      <c r="N2099" s="112">
        <f t="shared" si="484"/>
        <v>12000000</v>
      </c>
      <c r="O2099" s="2">
        <f t="shared" si="494"/>
        <v>4846665</v>
      </c>
      <c r="P2099" s="113">
        <f t="shared" si="495"/>
        <v>4689200</v>
      </c>
      <c r="Q2099" s="121">
        <f t="shared" si="485"/>
        <v>7938702.2000000002</v>
      </c>
    </row>
    <row r="2100" spans="2:17" hidden="1" x14ac:dyDescent="0.4">
      <c r="B2100" s="110">
        <v>46021</v>
      </c>
      <c r="C2100" s="122">
        <f t="shared" si="486"/>
        <v>8000000</v>
      </c>
      <c r="D2100" s="111">
        <f t="shared" si="487"/>
        <v>121771</v>
      </c>
      <c r="E2100" s="2">
        <f t="shared" si="488"/>
        <v>25603.800000000003</v>
      </c>
      <c r="F2100" s="112">
        <f t="shared" si="482"/>
        <v>12000000</v>
      </c>
      <c r="G2100" s="2">
        <f t="shared" si="489"/>
        <v>4846665</v>
      </c>
      <c r="H2100" s="113">
        <f t="shared" si="490"/>
        <v>4689200</v>
      </c>
      <c r="I2100" s="121">
        <f t="shared" si="483"/>
        <v>7938702.2000000002</v>
      </c>
      <c r="K2100" s="123">
        <f t="shared" si="491"/>
        <v>8000000</v>
      </c>
      <c r="L2100" s="111">
        <f t="shared" si="492"/>
        <v>121771</v>
      </c>
      <c r="M2100" s="2">
        <f t="shared" si="493"/>
        <v>25603.800000000003</v>
      </c>
      <c r="N2100" s="112">
        <f t="shared" si="484"/>
        <v>12000000</v>
      </c>
      <c r="O2100" s="2">
        <f t="shared" si="494"/>
        <v>4846665</v>
      </c>
      <c r="P2100" s="113">
        <f t="shared" si="495"/>
        <v>4689200</v>
      </c>
      <c r="Q2100" s="121">
        <f t="shared" si="485"/>
        <v>7938702.2000000002</v>
      </c>
    </row>
    <row r="2101" spans="2:17" x14ac:dyDescent="0.4">
      <c r="B2101" s="110">
        <v>46022</v>
      </c>
      <c r="C2101" s="122">
        <f t="shared" si="486"/>
        <v>8000000</v>
      </c>
      <c r="D2101" s="111">
        <f t="shared" si="487"/>
        <v>121771</v>
      </c>
      <c r="E2101" s="2">
        <f t="shared" si="488"/>
        <v>25603.800000000003</v>
      </c>
      <c r="F2101" s="112">
        <f t="shared" si="482"/>
        <v>12000000</v>
      </c>
      <c r="G2101" s="2">
        <f t="shared" si="489"/>
        <v>4846665</v>
      </c>
      <c r="H2101" s="113">
        <f t="shared" si="490"/>
        <v>4689200</v>
      </c>
      <c r="I2101" s="121">
        <f t="shared" si="483"/>
        <v>7938702.2000000002</v>
      </c>
      <c r="K2101" s="123">
        <f t="shared" si="491"/>
        <v>8000000</v>
      </c>
      <c r="L2101" s="111">
        <f t="shared" si="492"/>
        <v>121771</v>
      </c>
      <c r="M2101" s="2">
        <f t="shared" si="493"/>
        <v>25603.800000000003</v>
      </c>
      <c r="N2101" s="112">
        <f t="shared" si="484"/>
        <v>12000000</v>
      </c>
      <c r="O2101" s="2">
        <f t="shared" si="494"/>
        <v>4846665</v>
      </c>
      <c r="P2101" s="113">
        <f t="shared" si="495"/>
        <v>4689200</v>
      </c>
      <c r="Q2101" s="121">
        <f t="shared" si="485"/>
        <v>7938702.2000000002</v>
      </c>
    </row>
    <row r="2102" spans="2:17" x14ac:dyDescent="0.4">
      <c r="B2102" s="110">
        <v>46023</v>
      </c>
      <c r="C2102" s="122">
        <f t="shared" si="486"/>
        <v>8000000</v>
      </c>
      <c r="D2102" s="111">
        <f t="shared" si="487"/>
        <v>121771</v>
      </c>
      <c r="E2102" s="2">
        <f t="shared" si="488"/>
        <v>25603.800000000003</v>
      </c>
      <c r="F2102" s="112">
        <f t="shared" si="482"/>
        <v>12000000</v>
      </c>
      <c r="G2102" s="2">
        <f t="shared" si="489"/>
        <v>4846665</v>
      </c>
      <c r="H2102" s="113">
        <f t="shared" si="490"/>
        <v>4689200</v>
      </c>
      <c r="I2102" s="121">
        <f t="shared" si="483"/>
        <v>7938702.2000000002</v>
      </c>
      <c r="K2102" s="123">
        <f t="shared" si="491"/>
        <v>8000000</v>
      </c>
      <c r="L2102" s="111">
        <f t="shared" si="492"/>
        <v>121771</v>
      </c>
      <c r="M2102" s="2">
        <f t="shared" si="493"/>
        <v>25603.800000000003</v>
      </c>
      <c r="N2102" s="112">
        <f t="shared" si="484"/>
        <v>12000000</v>
      </c>
      <c r="O2102" s="2">
        <f t="shared" si="494"/>
        <v>4846665</v>
      </c>
      <c r="P2102" s="113">
        <f t="shared" si="495"/>
        <v>4689200</v>
      </c>
      <c r="Q2102" s="121">
        <f t="shared" si="485"/>
        <v>7938702.2000000002</v>
      </c>
    </row>
    <row r="2103" spans="2:17" x14ac:dyDescent="0.4">
      <c r="B2103" s="110">
        <v>46024</v>
      </c>
      <c r="C2103" s="122">
        <f t="shared" si="486"/>
        <v>8000000</v>
      </c>
      <c r="D2103" s="111">
        <f t="shared" si="487"/>
        <v>121771</v>
      </c>
      <c r="E2103" s="2">
        <f t="shared" si="488"/>
        <v>25603.800000000003</v>
      </c>
      <c r="F2103" s="112">
        <f t="shared" si="482"/>
        <v>12000000</v>
      </c>
      <c r="G2103" s="2">
        <f t="shared" si="489"/>
        <v>4846665</v>
      </c>
      <c r="H2103" s="113">
        <f t="shared" si="490"/>
        <v>4689200</v>
      </c>
      <c r="I2103" s="121">
        <f t="shared" si="483"/>
        <v>7938702.2000000002</v>
      </c>
      <c r="K2103" s="123">
        <f t="shared" si="491"/>
        <v>8000000</v>
      </c>
      <c r="L2103" s="111">
        <f t="shared" si="492"/>
        <v>121771</v>
      </c>
      <c r="M2103" s="2">
        <f t="shared" si="493"/>
        <v>25603.800000000003</v>
      </c>
      <c r="N2103" s="112">
        <f t="shared" si="484"/>
        <v>12000000</v>
      </c>
      <c r="O2103" s="2">
        <f t="shared" si="494"/>
        <v>4846665</v>
      </c>
      <c r="P2103" s="113">
        <f t="shared" si="495"/>
        <v>4689200</v>
      </c>
      <c r="Q2103" s="121">
        <f t="shared" si="485"/>
        <v>7938702.2000000002</v>
      </c>
    </row>
    <row r="2104" spans="2:17" x14ac:dyDescent="0.4">
      <c r="B2104" s="110">
        <v>46025</v>
      </c>
      <c r="C2104" s="122">
        <f t="shared" si="486"/>
        <v>8000000</v>
      </c>
      <c r="D2104" s="111">
        <f t="shared" si="487"/>
        <v>121771</v>
      </c>
      <c r="E2104" s="2">
        <f t="shared" si="488"/>
        <v>25603.800000000003</v>
      </c>
      <c r="F2104" s="112">
        <f t="shared" si="482"/>
        <v>12000000</v>
      </c>
      <c r="G2104" s="2">
        <f t="shared" si="489"/>
        <v>4846665</v>
      </c>
      <c r="H2104" s="113">
        <f t="shared" si="490"/>
        <v>4689200</v>
      </c>
      <c r="I2104" s="121">
        <f t="shared" si="483"/>
        <v>7938702.2000000002</v>
      </c>
      <c r="K2104" s="123">
        <f t="shared" si="491"/>
        <v>8000000</v>
      </c>
      <c r="L2104" s="111">
        <f t="shared" si="492"/>
        <v>121771</v>
      </c>
      <c r="M2104" s="2">
        <f t="shared" si="493"/>
        <v>25603.800000000003</v>
      </c>
      <c r="N2104" s="112">
        <f t="shared" si="484"/>
        <v>12000000</v>
      </c>
      <c r="O2104" s="2">
        <f t="shared" si="494"/>
        <v>4846665</v>
      </c>
      <c r="P2104" s="113">
        <f t="shared" si="495"/>
        <v>4689200</v>
      </c>
      <c r="Q2104" s="121">
        <f t="shared" si="485"/>
        <v>7938702.2000000002</v>
      </c>
    </row>
    <row r="2105" spans="2:17" x14ac:dyDescent="0.4">
      <c r="B2105" s="110">
        <v>46026</v>
      </c>
      <c r="C2105" s="122">
        <f t="shared" si="486"/>
        <v>8000000</v>
      </c>
      <c r="D2105" s="111">
        <f t="shared" si="487"/>
        <v>121771</v>
      </c>
      <c r="E2105" s="2">
        <f t="shared" si="488"/>
        <v>25603.800000000003</v>
      </c>
      <c r="F2105" s="112">
        <f t="shared" si="482"/>
        <v>12000000</v>
      </c>
      <c r="G2105" s="2">
        <f t="shared" si="489"/>
        <v>4846665</v>
      </c>
      <c r="H2105" s="113">
        <f t="shared" si="490"/>
        <v>4689200</v>
      </c>
      <c r="I2105" s="121">
        <f t="shared" si="483"/>
        <v>7938702.2000000002</v>
      </c>
      <c r="K2105" s="123">
        <f t="shared" si="491"/>
        <v>8000000</v>
      </c>
      <c r="L2105" s="111">
        <f t="shared" si="492"/>
        <v>121771</v>
      </c>
      <c r="M2105" s="2">
        <f t="shared" si="493"/>
        <v>25603.800000000003</v>
      </c>
      <c r="N2105" s="112">
        <f t="shared" si="484"/>
        <v>12000000</v>
      </c>
      <c r="O2105" s="2">
        <f t="shared" si="494"/>
        <v>4846665</v>
      </c>
      <c r="P2105" s="113">
        <f t="shared" si="495"/>
        <v>4689200</v>
      </c>
      <c r="Q2105" s="121">
        <f t="shared" si="485"/>
        <v>7938702.2000000002</v>
      </c>
    </row>
    <row r="2106" spans="2:17" x14ac:dyDescent="0.4">
      <c r="B2106" s="110">
        <v>46027</v>
      </c>
      <c r="C2106" s="122">
        <f t="shared" si="486"/>
        <v>8000000</v>
      </c>
      <c r="D2106" s="111">
        <f t="shared" si="487"/>
        <v>121771</v>
      </c>
      <c r="E2106" s="2">
        <f t="shared" si="488"/>
        <v>25603.800000000003</v>
      </c>
      <c r="F2106" s="112">
        <f t="shared" si="482"/>
        <v>12000000</v>
      </c>
      <c r="G2106" s="2">
        <f t="shared" si="489"/>
        <v>4846665</v>
      </c>
      <c r="H2106" s="113">
        <f t="shared" si="490"/>
        <v>4689200</v>
      </c>
      <c r="I2106" s="121">
        <f t="shared" si="483"/>
        <v>7938702.2000000002</v>
      </c>
      <c r="K2106" s="123">
        <f t="shared" si="491"/>
        <v>8000000</v>
      </c>
      <c r="L2106" s="111">
        <f t="shared" si="492"/>
        <v>121771</v>
      </c>
      <c r="M2106" s="2">
        <f t="shared" si="493"/>
        <v>25603.800000000003</v>
      </c>
      <c r="N2106" s="112">
        <f t="shared" si="484"/>
        <v>12000000</v>
      </c>
      <c r="O2106" s="2">
        <f t="shared" si="494"/>
        <v>4846665</v>
      </c>
      <c r="P2106" s="113">
        <f t="shared" si="495"/>
        <v>4689200</v>
      </c>
      <c r="Q2106" s="121">
        <f t="shared" si="485"/>
        <v>7938702.2000000002</v>
      </c>
    </row>
    <row r="2107" spans="2:17" x14ac:dyDescent="0.4">
      <c r="B2107" s="110">
        <v>46028</v>
      </c>
      <c r="C2107" s="122">
        <f t="shared" si="486"/>
        <v>8000000</v>
      </c>
      <c r="D2107" s="111">
        <f t="shared" si="487"/>
        <v>121771</v>
      </c>
      <c r="E2107" s="2">
        <f t="shared" si="488"/>
        <v>25603.800000000003</v>
      </c>
      <c r="F2107" s="112">
        <f t="shared" si="482"/>
        <v>12000000</v>
      </c>
      <c r="G2107" s="2">
        <f t="shared" si="489"/>
        <v>4846665</v>
      </c>
      <c r="H2107" s="113">
        <f t="shared" si="490"/>
        <v>4689200</v>
      </c>
      <c r="I2107" s="121">
        <f t="shared" si="483"/>
        <v>7938702.2000000002</v>
      </c>
      <c r="K2107" s="123">
        <f t="shared" si="491"/>
        <v>8000000</v>
      </c>
      <c r="L2107" s="111">
        <f t="shared" si="492"/>
        <v>121771</v>
      </c>
      <c r="M2107" s="2">
        <f t="shared" si="493"/>
        <v>25603.800000000003</v>
      </c>
      <c r="N2107" s="112">
        <f t="shared" si="484"/>
        <v>12000000</v>
      </c>
      <c r="O2107" s="2">
        <f t="shared" si="494"/>
        <v>4846665</v>
      </c>
      <c r="P2107" s="113">
        <f t="shared" si="495"/>
        <v>4689200</v>
      </c>
      <c r="Q2107" s="121">
        <f t="shared" si="485"/>
        <v>7938702.2000000002</v>
      </c>
    </row>
    <row r="2108" spans="2:17" x14ac:dyDescent="0.4">
      <c r="B2108" s="110">
        <v>46029</v>
      </c>
      <c r="C2108" s="122">
        <f t="shared" si="486"/>
        <v>8000000</v>
      </c>
      <c r="D2108" s="111">
        <f t="shared" si="487"/>
        <v>121771</v>
      </c>
      <c r="E2108" s="2">
        <f t="shared" si="488"/>
        <v>25603.800000000003</v>
      </c>
      <c r="F2108" s="112">
        <f t="shared" si="482"/>
        <v>12000000</v>
      </c>
      <c r="G2108" s="2">
        <f t="shared" si="489"/>
        <v>4846665</v>
      </c>
      <c r="H2108" s="113">
        <f t="shared" si="490"/>
        <v>4689200</v>
      </c>
      <c r="I2108" s="121">
        <f t="shared" si="483"/>
        <v>7938702.2000000002</v>
      </c>
      <c r="K2108" s="123">
        <f t="shared" si="491"/>
        <v>8000000</v>
      </c>
      <c r="L2108" s="111">
        <f t="shared" si="492"/>
        <v>121771</v>
      </c>
      <c r="M2108" s="2">
        <f t="shared" si="493"/>
        <v>25603.800000000003</v>
      </c>
      <c r="N2108" s="112">
        <f t="shared" si="484"/>
        <v>12000000</v>
      </c>
      <c r="O2108" s="2">
        <f t="shared" si="494"/>
        <v>4846665</v>
      </c>
      <c r="P2108" s="113">
        <f t="shared" si="495"/>
        <v>4689200</v>
      </c>
      <c r="Q2108" s="121">
        <f t="shared" si="485"/>
        <v>7938702.2000000002</v>
      </c>
    </row>
    <row r="2109" spans="2:17" x14ac:dyDescent="0.4">
      <c r="B2109" s="110">
        <v>46030</v>
      </c>
      <c r="C2109" s="122">
        <f t="shared" si="486"/>
        <v>8000000</v>
      </c>
      <c r="D2109" s="111">
        <f t="shared" si="487"/>
        <v>121771</v>
      </c>
      <c r="E2109" s="2">
        <f t="shared" si="488"/>
        <v>25603.800000000003</v>
      </c>
      <c r="F2109" s="112">
        <f t="shared" si="482"/>
        <v>12000000</v>
      </c>
      <c r="G2109" s="2">
        <f t="shared" si="489"/>
        <v>4846665</v>
      </c>
      <c r="H2109" s="113">
        <f t="shared" si="490"/>
        <v>4689200</v>
      </c>
      <c r="I2109" s="121">
        <f t="shared" si="483"/>
        <v>7938702.2000000002</v>
      </c>
      <c r="K2109" s="123">
        <f t="shared" si="491"/>
        <v>8000000</v>
      </c>
      <c r="L2109" s="111">
        <f t="shared" si="492"/>
        <v>121771</v>
      </c>
      <c r="M2109" s="2">
        <f t="shared" si="493"/>
        <v>25603.800000000003</v>
      </c>
      <c r="N2109" s="112">
        <f t="shared" si="484"/>
        <v>12000000</v>
      </c>
      <c r="O2109" s="2">
        <f t="shared" si="494"/>
        <v>4846665</v>
      </c>
      <c r="P2109" s="113">
        <f t="shared" si="495"/>
        <v>4689200</v>
      </c>
      <c r="Q2109" s="121">
        <f t="shared" si="485"/>
        <v>7938702.2000000002</v>
      </c>
    </row>
    <row r="2110" spans="2:17" x14ac:dyDescent="0.4">
      <c r="B2110" s="110">
        <v>46031</v>
      </c>
      <c r="C2110" s="122">
        <f t="shared" si="486"/>
        <v>8000000</v>
      </c>
      <c r="D2110" s="111">
        <f t="shared" si="487"/>
        <v>121771</v>
      </c>
      <c r="E2110" s="2">
        <f t="shared" si="488"/>
        <v>25603.800000000003</v>
      </c>
      <c r="F2110" s="112">
        <f t="shared" si="482"/>
        <v>12000000</v>
      </c>
      <c r="G2110" s="2">
        <f t="shared" si="489"/>
        <v>4846665</v>
      </c>
      <c r="H2110" s="113">
        <f t="shared" si="490"/>
        <v>4689200</v>
      </c>
      <c r="I2110" s="121">
        <f t="shared" si="483"/>
        <v>7938702.2000000002</v>
      </c>
      <c r="K2110" s="123">
        <f t="shared" si="491"/>
        <v>8000000</v>
      </c>
      <c r="L2110" s="111">
        <f t="shared" si="492"/>
        <v>121771</v>
      </c>
      <c r="M2110" s="2">
        <f t="shared" si="493"/>
        <v>25603.800000000003</v>
      </c>
      <c r="N2110" s="112">
        <f t="shared" si="484"/>
        <v>12000000</v>
      </c>
      <c r="O2110" s="2">
        <f t="shared" si="494"/>
        <v>4846665</v>
      </c>
      <c r="P2110" s="113">
        <f t="shared" si="495"/>
        <v>4689200</v>
      </c>
      <c r="Q2110" s="121">
        <f t="shared" si="485"/>
        <v>7938702.2000000002</v>
      </c>
    </row>
    <row r="2111" spans="2:17" x14ac:dyDescent="0.4">
      <c r="B2111" s="110">
        <v>46032</v>
      </c>
      <c r="C2111" s="122">
        <f t="shared" si="486"/>
        <v>8000000</v>
      </c>
      <c r="D2111" s="111">
        <f t="shared" si="487"/>
        <v>121771</v>
      </c>
      <c r="E2111" s="2">
        <f t="shared" si="488"/>
        <v>25603.800000000003</v>
      </c>
      <c r="F2111" s="112">
        <f t="shared" si="482"/>
        <v>12000000</v>
      </c>
      <c r="G2111" s="2">
        <f t="shared" si="489"/>
        <v>4846665</v>
      </c>
      <c r="H2111" s="113">
        <f t="shared" si="490"/>
        <v>4689200</v>
      </c>
      <c r="I2111" s="121">
        <f t="shared" si="483"/>
        <v>7938702.2000000002</v>
      </c>
      <c r="K2111" s="123">
        <f t="shared" si="491"/>
        <v>8000000</v>
      </c>
      <c r="L2111" s="111">
        <f t="shared" si="492"/>
        <v>121771</v>
      </c>
      <c r="M2111" s="2">
        <f t="shared" si="493"/>
        <v>25603.800000000003</v>
      </c>
      <c r="N2111" s="112">
        <f t="shared" si="484"/>
        <v>12000000</v>
      </c>
      <c r="O2111" s="2">
        <f t="shared" si="494"/>
        <v>4846665</v>
      </c>
      <c r="P2111" s="113">
        <f t="shared" si="495"/>
        <v>4689200</v>
      </c>
      <c r="Q2111" s="121">
        <f t="shared" si="485"/>
        <v>7938702.2000000002</v>
      </c>
    </row>
    <row r="2112" spans="2:17" x14ac:dyDescent="0.4">
      <c r="B2112" s="110">
        <v>46033</v>
      </c>
      <c r="C2112" s="122">
        <f t="shared" si="486"/>
        <v>8000000</v>
      </c>
      <c r="D2112" s="111">
        <f t="shared" si="487"/>
        <v>121771</v>
      </c>
      <c r="E2112" s="2">
        <f t="shared" si="488"/>
        <v>25603.800000000003</v>
      </c>
      <c r="F2112" s="112">
        <f t="shared" si="482"/>
        <v>12000000</v>
      </c>
      <c r="G2112" s="2">
        <f t="shared" si="489"/>
        <v>4846665</v>
      </c>
      <c r="H2112" s="113">
        <f t="shared" si="490"/>
        <v>4689200</v>
      </c>
      <c r="I2112" s="121">
        <f t="shared" si="483"/>
        <v>7938702.2000000002</v>
      </c>
      <c r="K2112" s="123">
        <f t="shared" si="491"/>
        <v>8000000</v>
      </c>
      <c r="L2112" s="111">
        <f t="shared" si="492"/>
        <v>121771</v>
      </c>
      <c r="M2112" s="2">
        <f t="shared" si="493"/>
        <v>25603.800000000003</v>
      </c>
      <c r="N2112" s="112">
        <f t="shared" si="484"/>
        <v>12000000</v>
      </c>
      <c r="O2112" s="2">
        <f t="shared" si="494"/>
        <v>4846665</v>
      </c>
      <c r="P2112" s="113">
        <f t="shared" si="495"/>
        <v>4689200</v>
      </c>
      <c r="Q2112" s="121">
        <f t="shared" si="485"/>
        <v>7938702.2000000002</v>
      </c>
    </row>
    <row r="2113" spans="2:17" x14ac:dyDescent="0.4">
      <c r="B2113" s="110">
        <v>46034</v>
      </c>
      <c r="C2113" s="122">
        <f t="shared" si="486"/>
        <v>8000000</v>
      </c>
      <c r="D2113" s="111">
        <f t="shared" si="487"/>
        <v>121771</v>
      </c>
      <c r="E2113" s="2">
        <f t="shared" si="488"/>
        <v>25603.800000000003</v>
      </c>
      <c r="F2113" s="112">
        <f t="shared" si="482"/>
        <v>12000000</v>
      </c>
      <c r="G2113" s="2">
        <f t="shared" si="489"/>
        <v>4846665</v>
      </c>
      <c r="H2113" s="113">
        <f t="shared" si="490"/>
        <v>4689200</v>
      </c>
      <c r="I2113" s="121">
        <f t="shared" si="483"/>
        <v>7938702.2000000002</v>
      </c>
      <c r="K2113" s="123">
        <f t="shared" si="491"/>
        <v>8000000</v>
      </c>
      <c r="L2113" s="111">
        <f t="shared" si="492"/>
        <v>121771</v>
      </c>
      <c r="M2113" s="2">
        <f t="shared" si="493"/>
        <v>25603.800000000003</v>
      </c>
      <c r="N2113" s="112">
        <f t="shared" si="484"/>
        <v>12000000</v>
      </c>
      <c r="O2113" s="2">
        <f t="shared" si="494"/>
        <v>4846665</v>
      </c>
      <c r="P2113" s="113">
        <f t="shared" si="495"/>
        <v>4689200</v>
      </c>
      <c r="Q2113" s="121">
        <f t="shared" si="485"/>
        <v>7938702.2000000002</v>
      </c>
    </row>
    <row r="2114" spans="2:17" x14ac:dyDescent="0.4">
      <c r="B2114" s="110">
        <v>46035</v>
      </c>
      <c r="C2114" s="122">
        <f t="shared" si="486"/>
        <v>8000000</v>
      </c>
      <c r="D2114" s="111">
        <f t="shared" si="487"/>
        <v>121771</v>
      </c>
      <c r="E2114" s="2">
        <f t="shared" si="488"/>
        <v>25603.800000000003</v>
      </c>
      <c r="F2114" s="112">
        <f t="shared" si="482"/>
        <v>12000000</v>
      </c>
      <c r="G2114" s="2">
        <f t="shared" si="489"/>
        <v>4846665</v>
      </c>
      <c r="H2114" s="113">
        <f t="shared" si="490"/>
        <v>4689200</v>
      </c>
      <c r="I2114" s="121">
        <f t="shared" si="483"/>
        <v>7938702.2000000002</v>
      </c>
      <c r="K2114" s="123">
        <f t="shared" si="491"/>
        <v>8000000</v>
      </c>
      <c r="L2114" s="111">
        <f t="shared" si="492"/>
        <v>121771</v>
      </c>
      <c r="M2114" s="2">
        <f t="shared" si="493"/>
        <v>25603.800000000003</v>
      </c>
      <c r="N2114" s="112">
        <f t="shared" si="484"/>
        <v>12000000</v>
      </c>
      <c r="O2114" s="2">
        <f t="shared" si="494"/>
        <v>4846665</v>
      </c>
      <c r="P2114" s="113">
        <f t="shared" si="495"/>
        <v>4689200</v>
      </c>
      <c r="Q2114" s="121">
        <f t="shared" si="485"/>
        <v>7938702.2000000002</v>
      </c>
    </row>
    <row r="2115" spans="2:17" x14ac:dyDescent="0.4">
      <c r="B2115" s="110">
        <v>46036</v>
      </c>
      <c r="C2115" s="122">
        <f t="shared" si="486"/>
        <v>8000000</v>
      </c>
      <c r="D2115" s="111">
        <f t="shared" si="487"/>
        <v>121771</v>
      </c>
      <c r="E2115" s="2">
        <f t="shared" si="488"/>
        <v>25603.800000000003</v>
      </c>
      <c r="F2115" s="112">
        <f t="shared" si="482"/>
        <v>12000000</v>
      </c>
      <c r="G2115" s="2">
        <f t="shared" si="489"/>
        <v>4846665</v>
      </c>
      <c r="H2115" s="113">
        <f t="shared" si="490"/>
        <v>4689200</v>
      </c>
      <c r="I2115" s="121">
        <f t="shared" si="483"/>
        <v>7938702.2000000002</v>
      </c>
      <c r="K2115" s="123">
        <f t="shared" si="491"/>
        <v>8000000</v>
      </c>
      <c r="L2115" s="111">
        <f t="shared" si="492"/>
        <v>121771</v>
      </c>
      <c r="M2115" s="2">
        <f t="shared" si="493"/>
        <v>25603.800000000003</v>
      </c>
      <c r="N2115" s="112">
        <f t="shared" si="484"/>
        <v>12000000</v>
      </c>
      <c r="O2115" s="2">
        <f t="shared" si="494"/>
        <v>4846665</v>
      </c>
      <c r="P2115" s="113">
        <f t="shared" si="495"/>
        <v>4689200</v>
      </c>
      <c r="Q2115" s="121">
        <f t="shared" si="485"/>
        <v>7938702.2000000002</v>
      </c>
    </row>
    <row r="2116" spans="2:17" x14ac:dyDescent="0.4">
      <c r="B2116" s="110">
        <v>46037</v>
      </c>
      <c r="C2116" s="122">
        <f t="shared" si="486"/>
        <v>8000000</v>
      </c>
      <c r="D2116" s="111">
        <f t="shared" si="487"/>
        <v>121771</v>
      </c>
      <c r="E2116" s="2">
        <f t="shared" si="488"/>
        <v>25603.800000000003</v>
      </c>
      <c r="F2116" s="112">
        <f t="shared" si="482"/>
        <v>12000000</v>
      </c>
      <c r="G2116" s="2">
        <f t="shared" si="489"/>
        <v>4846665</v>
      </c>
      <c r="H2116" s="113">
        <f t="shared" si="490"/>
        <v>4689200</v>
      </c>
      <c r="I2116" s="121">
        <f t="shared" si="483"/>
        <v>7938702.2000000002</v>
      </c>
      <c r="K2116" s="123">
        <f t="shared" si="491"/>
        <v>8000000</v>
      </c>
      <c r="L2116" s="111">
        <f t="shared" si="492"/>
        <v>121771</v>
      </c>
      <c r="M2116" s="2">
        <f t="shared" si="493"/>
        <v>25603.800000000003</v>
      </c>
      <c r="N2116" s="112">
        <f t="shared" si="484"/>
        <v>12000000</v>
      </c>
      <c r="O2116" s="2">
        <f t="shared" si="494"/>
        <v>4846665</v>
      </c>
      <c r="P2116" s="113">
        <f t="shared" si="495"/>
        <v>4689200</v>
      </c>
      <c r="Q2116" s="121">
        <f t="shared" si="485"/>
        <v>7938702.2000000002</v>
      </c>
    </row>
    <row r="2117" spans="2:17" x14ac:dyDescent="0.4">
      <c r="B2117" s="110">
        <v>46038</v>
      </c>
      <c r="C2117" s="122">
        <f t="shared" si="486"/>
        <v>8000000</v>
      </c>
      <c r="D2117" s="111">
        <f t="shared" si="487"/>
        <v>121771</v>
      </c>
      <c r="E2117" s="2">
        <f t="shared" si="488"/>
        <v>25603.800000000003</v>
      </c>
      <c r="F2117" s="112">
        <f t="shared" si="482"/>
        <v>12000000</v>
      </c>
      <c r="G2117" s="2">
        <f t="shared" si="489"/>
        <v>4846665</v>
      </c>
      <c r="H2117" s="113">
        <f t="shared" si="490"/>
        <v>4689200</v>
      </c>
      <c r="I2117" s="121">
        <f t="shared" si="483"/>
        <v>7938702.2000000002</v>
      </c>
      <c r="K2117" s="123">
        <f t="shared" si="491"/>
        <v>8000000</v>
      </c>
      <c r="L2117" s="111">
        <f t="shared" si="492"/>
        <v>121771</v>
      </c>
      <c r="M2117" s="2">
        <f t="shared" si="493"/>
        <v>25603.800000000003</v>
      </c>
      <c r="N2117" s="112">
        <f t="shared" si="484"/>
        <v>12000000</v>
      </c>
      <c r="O2117" s="2">
        <f t="shared" si="494"/>
        <v>4846665</v>
      </c>
      <c r="P2117" s="113">
        <f t="shared" si="495"/>
        <v>4689200</v>
      </c>
      <c r="Q2117" s="121">
        <f t="shared" si="485"/>
        <v>7938702.2000000002</v>
      </c>
    </row>
    <row r="2118" spans="2:17" x14ac:dyDescent="0.4">
      <c r="B2118" s="110">
        <v>46039</v>
      </c>
      <c r="C2118" s="122">
        <f t="shared" si="486"/>
        <v>8000000</v>
      </c>
      <c r="D2118" s="111">
        <f t="shared" si="487"/>
        <v>121771</v>
      </c>
      <c r="E2118" s="2">
        <f t="shared" si="488"/>
        <v>25603.800000000003</v>
      </c>
      <c r="F2118" s="112">
        <f t="shared" si="482"/>
        <v>12000000</v>
      </c>
      <c r="G2118" s="2">
        <f t="shared" si="489"/>
        <v>4846665</v>
      </c>
      <c r="H2118" s="113">
        <f t="shared" si="490"/>
        <v>4689200</v>
      </c>
      <c r="I2118" s="121">
        <f t="shared" si="483"/>
        <v>7938702.2000000002</v>
      </c>
      <c r="K2118" s="123">
        <f t="shared" si="491"/>
        <v>8000000</v>
      </c>
      <c r="L2118" s="111">
        <f t="shared" si="492"/>
        <v>121771</v>
      </c>
      <c r="M2118" s="2">
        <f t="shared" si="493"/>
        <v>25603.800000000003</v>
      </c>
      <c r="N2118" s="112">
        <f t="shared" si="484"/>
        <v>12000000</v>
      </c>
      <c r="O2118" s="2">
        <f t="shared" si="494"/>
        <v>4846665</v>
      </c>
      <c r="P2118" s="113">
        <f t="shared" si="495"/>
        <v>4689200</v>
      </c>
      <c r="Q2118" s="121">
        <f t="shared" si="485"/>
        <v>7938702.2000000002</v>
      </c>
    </row>
    <row r="2119" spans="2:17" x14ac:dyDescent="0.4">
      <c r="B2119" s="110">
        <v>46040</v>
      </c>
      <c r="C2119" s="122">
        <f t="shared" si="486"/>
        <v>8000000</v>
      </c>
      <c r="D2119" s="111">
        <f t="shared" si="487"/>
        <v>121771</v>
      </c>
      <c r="E2119" s="2">
        <f t="shared" si="488"/>
        <v>25603.800000000003</v>
      </c>
      <c r="F2119" s="112">
        <f t="shared" si="482"/>
        <v>12000000</v>
      </c>
      <c r="G2119" s="2">
        <f t="shared" si="489"/>
        <v>4846665</v>
      </c>
      <c r="H2119" s="113">
        <f t="shared" si="490"/>
        <v>4689200</v>
      </c>
      <c r="I2119" s="121">
        <f t="shared" si="483"/>
        <v>7938702.2000000002</v>
      </c>
      <c r="K2119" s="123">
        <f t="shared" si="491"/>
        <v>8000000</v>
      </c>
      <c r="L2119" s="111">
        <f t="shared" si="492"/>
        <v>121771</v>
      </c>
      <c r="M2119" s="2">
        <f t="shared" si="493"/>
        <v>25603.800000000003</v>
      </c>
      <c r="N2119" s="112">
        <f t="shared" si="484"/>
        <v>12000000</v>
      </c>
      <c r="O2119" s="2">
        <f t="shared" si="494"/>
        <v>4846665</v>
      </c>
      <c r="P2119" s="113">
        <f t="shared" si="495"/>
        <v>4689200</v>
      </c>
      <c r="Q2119" s="121">
        <f t="shared" si="485"/>
        <v>7938702.2000000002</v>
      </c>
    </row>
    <row r="2120" spans="2:17" x14ac:dyDescent="0.4">
      <c r="B2120" s="110">
        <v>46041</v>
      </c>
      <c r="C2120" s="122">
        <f t="shared" si="486"/>
        <v>8000000</v>
      </c>
      <c r="D2120" s="111">
        <f t="shared" si="487"/>
        <v>121771</v>
      </c>
      <c r="E2120" s="2">
        <f t="shared" si="488"/>
        <v>25603.800000000003</v>
      </c>
      <c r="F2120" s="112">
        <f t="shared" si="482"/>
        <v>12000000</v>
      </c>
      <c r="G2120" s="2">
        <f t="shared" si="489"/>
        <v>4846665</v>
      </c>
      <c r="H2120" s="113">
        <f t="shared" si="490"/>
        <v>4689200</v>
      </c>
      <c r="I2120" s="121">
        <f t="shared" si="483"/>
        <v>7938702.2000000002</v>
      </c>
      <c r="K2120" s="123">
        <f t="shared" si="491"/>
        <v>8000000</v>
      </c>
      <c r="L2120" s="111">
        <f t="shared" si="492"/>
        <v>121771</v>
      </c>
      <c r="M2120" s="2">
        <f t="shared" si="493"/>
        <v>25603.800000000003</v>
      </c>
      <c r="N2120" s="112">
        <f t="shared" si="484"/>
        <v>12000000</v>
      </c>
      <c r="O2120" s="2">
        <f t="shared" si="494"/>
        <v>4846665</v>
      </c>
      <c r="P2120" s="113">
        <f t="shared" si="495"/>
        <v>4689200</v>
      </c>
      <c r="Q2120" s="121">
        <f t="shared" si="485"/>
        <v>7938702.2000000002</v>
      </c>
    </row>
    <row r="2121" spans="2:17" x14ac:dyDescent="0.4">
      <c r="B2121" s="110">
        <v>46042</v>
      </c>
      <c r="C2121" s="122">
        <f t="shared" si="486"/>
        <v>8000000</v>
      </c>
      <c r="D2121" s="111">
        <f t="shared" si="487"/>
        <v>121771</v>
      </c>
      <c r="E2121" s="2">
        <f t="shared" si="488"/>
        <v>25603.800000000003</v>
      </c>
      <c r="F2121" s="112">
        <f t="shared" si="482"/>
        <v>12000000</v>
      </c>
      <c r="G2121" s="2">
        <f t="shared" si="489"/>
        <v>4846665</v>
      </c>
      <c r="H2121" s="113">
        <f t="shared" si="490"/>
        <v>4689200</v>
      </c>
      <c r="I2121" s="121">
        <f t="shared" si="483"/>
        <v>7938702.2000000002</v>
      </c>
      <c r="K2121" s="123">
        <f t="shared" si="491"/>
        <v>8000000</v>
      </c>
      <c r="L2121" s="111">
        <f t="shared" si="492"/>
        <v>121771</v>
      </c>
      <c r="M2121" s="2">
        <f t="shared" si="493"/>
        <v>25603.800000000003</v>
      </c>
      <c r="N2121" s="112">
        <f t="shared" si="484"/>
        <v>12000000</v>
      </c>
      <c r="O2121" s="2">
        <f t="shared" si="494"/>
        <v>4846665</v>
      </c>
      <c r="P2121" s="113">
        <f t="shared" si="495"/>
        <v>4689200</v>
      </c>
      <c r="Q2121" s="121">
        <f t="shared" si="485"/>
        <v>7938702.2000000002</v>
      </c>
    </row>
    <row r="2122" spans="2:17" x14ac:dyDescent="0.4">
      <c r="B2122" s="110">
        <v>46043</v>
      </c>
      <c r="C2122" s="122">
        <f t="shared" si="486"/>
        <v>8000000</v>
      </c>
      <c r="D2122" s="111">
        <f t="shared" si="487"/>
        <v>121771</v>
      </c>
      <c r="E2122" s="2">
        <f t="shared" si="488"/>
        <v>25603.800000000003</v>
      </c>
      <c r="F2122" s="112">
        <f t="shared" ref="F2122:F2185" si="496">20000000-C2122</f>
        <v>12000000</v>
      </c>
      <c r="G2122" s="2">
        <f t="shared" si="489"/>
        <v>4846665</v>
      </c>
      <c r="H2122" s="113">
        <f t="shared" si="490"/>
        <v>4689200</v>
      </c>
      <c r="I2122" s="121">
        <f t="shared" ref="I2122:I2185" si="497">C2122+D2122-G2122-E2122+H2122</f>
        <v>7938702.2000000002</v>
      </c>
      <c r="K2122" s="123">
        <f t="shared" si="491"/>
        <v>8000000</v>
      </c>
      <c r="L2122" s="111">
        <f t="shared" si="492"/>
        <v>121771</v>
      </c>
      <c r="M2122" s="2">
        <f t="shared" si="493"/>
        <v>25603.800000000003</v>
      </c>
      <c r="N2122" s="112">
        <f t="shared" ref="N2122:N2185" si="498">20000000-K2122</f>
        <v>12000000</v>
      </c>
      <c r="O2122" s="2">
        <f t="shared" si="494"/>
        <v>4846665</v>
      </c>
      <c r="P2122" s="113">
        <f t="shared" si="495"/>
        <v>4689200</v>
      </c>
      <c r="Q2122" s="121">
        <f t="shared" ref="Q2122:Q2185" si="499">K2122+L2122-O2122-M2122+P2122</f>
        <v>7938702.2000000002</v>
      </c>
    </row>
    <row r="2123" spans="2:17" x14ac:dyDescent="0.4">
      <c r="B2123" s="110">
        <v>46044</v>
      </c>
      <c r="C2123" s="122">
        <f t="shared" ref="C2123:C2186" si="500">SUMIF($B$6:$B$75,$B2123,$D$6:$D$75)+C2122</f>
        <v>8000000</v>
      </c>
      <c r="D2123" s="111">
        <f t="shared" ref="D2123:D2186" si="501">SUMIF($B$6:$B$75,$B2123,$E$6:$E$75)+D2122</f>
        <v>121771</v>
      </c>
      <c r="E2123" s="2">
        <f t="shared" ref="E2123:E2186" si="502">SUMIF($G$353:$G$376,$B2123,$J$353:$J$376)+SUMIF($E$353:$E$376,$B2123,$H$353:$H$376)+SUMIF($G$353:$G$376,$B2123,$I$353:$I$376)+E2122</f>
        <v>25603.800000000003</v>
      </c>
      <c r="F2123" s="112">
        <f t="shared" si="496"/>
        <v>12000000</v>
      </c>
      <c r="G2123" s="2">
        <f t="shared" ref="G2123:G2186" si="503">SUMIF($E$353:$E$376,$B2123,$M$353:$M$376)+G2122</f>
        <v>4846665</v>
      </c>
      <c r="H2123" s="113">
        <f t="shared" ref="H2123:H2186" si="504">SUMIF($G$353:$G$376,$B2123,$N$353:$N$376)+H2122</f>
        <v>4689200</v>
      </c>
      <c r="I2123" s="121">
        <f t="shared" si="497"/>
        <v>7938702.2000000002</v>
      </c>
      <c r="K2123" s="123">
        <f t="shared" ref="K2123:K2186" si="505">SUMIF($B$6:$B$75,$B2123,$D$6:$D$75)+K2122</f>
        <v>8000000</v>
      </c>
      <c r="L2123" s="111">
        <f t="shared" ref="L2123:L2186" si="506">SUMIF($B$6:$B$75,$B2123,$E$6:$E$75)+L2122</f>
        <v>121771</v>
      </c>
      <c r="M2123" s="2">
        <f t="shared" ref="M2123:M2186" si="507">SUMIF($G$353:$G$376,$B2123,$J$353:$J$376)+SUMIF($E$353:$E$376,$B2123,$H$353:$H$376)+SUMIF($G$353:$G$376,$B2123,$I$353:$I$376)+M2122</f>
        <v>25603.800000000003</v>
      </c>
      <c r="N2123" s="112">
        <f t="shared" si="498"/>
        <v>12000000</v>
      </c>
      <c r="O2123" s="2">
        <f t="shared" ref="O2123:O2186" si="508">SUMIF($E$353:$E$376,$B2123,$M$353:$M$376)+O2122</f>
        <v>4846665</v>
      </c>
      <c r="P2123" s="113">
        <f t="shared" ref="P2123:P2186" si="509">SUMIF($G$353:$G$376,$B2123,$N$353:$N$376)+P2122</f>
        <v>4689200</v>
      </c>
      <c r="Q2123" s="121">
        <f t="shared" si="499"/>
        <v>7938702.2000000002</v>
      </c>
    </row>
    <row r="2124" spans="2:17" x14ac:dyDescent="0.4">
      <c r="B2124" s="110">
        <v>46045</v>
      </c>
      <c r="C2124" s="122">
        <f t="shared" si="500"/>
        <v>8000000</v>
      </c>
      <c r="D2124" s="111">
        <f t="shared" si="501"/>
        <v>121771</v>
      </c>
      <c r="E2124" s="2">
        <f t="shared" si="502"/>
        <v>25603.800000000003</v>
      </c>
      <c r="F2124" s="112">
        <f t="shared" si="496"/>
        <v>12000000</v>
      </c>
      <c r="G2124" s="2">
        <f t="shared" si="503"/>
        <v>4846665</v>
      </c>
      <c r="H2124" s="113">
        <f t="shared" si="504"/>
        <v>4689200</v>
      </c>
      <c r="I2124" s="121">
        <f t="shared" si="497"/>
        <v>7938702.2000000002</v>
      </c>
      <c r="K2124" s="123">
        <f t="shared" si="505"/>
        <v>8000000</v>
      </c>
      <c r="L2124" s="111">
        <f t="shared" si="506"/>
        <v>121771</v>
      </c>
      <c r="M2124" s="2">
        <f t="shared" si="507"/>
        <v>25603.800000000003</v>
      </c>
      <c r="N2124" s="112">
        <f t="shared" si="498"/>
        <v>12000000</v>
      </c>
      <c r="O2124" s="2">
        <f t="shared" si="508"/>
        <v>4846665</v>
      </c>
      <c r="P2124" s="113">
        <f t="shared" si="509"/>
        <v>4689200</v>
      </c>
      <c r="Q2124" s="121">
        <f t="shared" si="499"/>
        <v>7938702.2000000002</v>
      </c>
    </row>
    <row r="2125" spans="2:17" x14ac:dyDescent="0.4">
      <c r="B2125" s="110">
        <v>46046</v>
      </c>
      <c r="C2125" s="122">
        <f t="shared" si="500"/>
        <v>8000000</v>
      </c>
      <c r="D2125" s="111">
        <f t="shared" si="501"/>
        <v>121771</v>
      </c>
      <c r="E2125" s="2">
        <f t="shared" si="502"/>
        <v>25603.800000000003</v>
      </c>
      <c r="F2125" s="112">
        <f t="shared" si="496"/>
        <v>12000000</v>
      </c>
      <c r="G2125" s="2">
        <f t="shared" si="503"/>
        <v>4846665</v>
      </c>
      <c r="H2125" s="113">
        <f t="shared" si="504"/>
        <v>4689200</v>
      </c>
      <c r="I2125" s="121">
        <f t="shared" si="497"/>
        <v>7938702.2000000002</v>
      </c>
      <c r="K2125" s="123">
        <f t="shared" si="505"/>
        <v>8000000</v>
      </c>
      <c r="L2125" s="111">
        <f t="shared" si="506"/>
        <v>121771</v>
      </c>
      <c r="M2125" s="2">
        <f t="shared" si="507"/>
        <v>25603.800000000003</v>
      </c>
      <c r="N2125" s="112">
        <f t="shared" si="498"/>
        <v>12000000</v>
      </c>
      <c r="O2125" s="2">
        <f t="shared" si="508"/>
        <v>4846665</v>
      </c>
      <c r="P2125" s="113">
        <f t="shared" si="509"/>
        <v>4689200</v>
      </c>
      <c r="Q2125" s="121">
        <f t="shared" si="499"/>
        <v>7938702.2000000002</v>
      </c>
    </row>
    <row r="2126" spans="2:17" x14ac:dyDescent="0.4">
      <c r="B2126" s="110">
        <v>46047</v>
      </c>
      <c r="C2126" s="122">
        <f t="shared" si="500"/>
        <v>8000000</v>
      </c>
      <c r="D2126" s="111">
        <f t="shared" si="501"/>
        <v>121771</v>
      </c>
      <c r="E2126" s="2">
        <f t="shared" si="502"/>
        <v>25603.800000000003</v>
      </c>
      <c r="F2126" s="112">
        <f t="shared" si="496"/>
        <v>12000000</v>
      </c>
      <c r="G2126" s="2">
        <f t="shared" si="503"/>
        <v>4846665</v>
      </c>
      <c r="H2126" s="113">
        <f t="shared" si="504"/>
        <v>4689200</v>
      </c>
      <c r="I2126" s="121">
        <f t="shared" si="497"/>
        <v>7938702.2000000002</v>
      </c>
      <c r="K2126" s="123">
        <f t="shared" si="505"/>
        <v>8000000</v>
      </c>
      <c r="L2126" s="111">
        <f t="shared" si="506"/>
        <v>121771</v>
      </c>
      <c r="M2126" s="2">
        <f t="shared" si="507"/>
        <v>25603.800000000003</v>
      </c>
      <c r="N2126" s="112">
        <f t="shared" si="498"/>
        <v>12000000</v>
      </c>
      <c r="O2126" s="2">
        <f t="shared" si="508"/>
        <v>4846665</v>
      </c>
      <c r="P2126" s="113">
        <f t="shared" si="509"/>
        <v>4689200</v>
      </c>
      <c r="Q2126" s="121">
        <f t="shared" si="499"/>
        <v>7938702.2000000002</v>
      </c>
    </row>
    <row r="2127" spans="2:17" x14ac:dyDescent="0.4">
      <c r="B2127" s="110">
        <v>46048</v>
      </c>
      <c r="C2127" s="122">
        <f t="shared" si="500"/>
        <v>8000000</v>
      </c>
      <c r="D2127" s="111">
        <f t="shared" si="501"/>
        <v>121771</v>
      </c>
      <c r="E2127" s="2">
        <f t="shared" si="502"/>
        <v>27493.800000000003</v>
      </c>
      <c r="F2127" s="112">
        <f t="shared" si="496"/>
        <v>12000000</v>
      </c>
      <c r="G2127" s="2">
        <f t="shared" si="503"/>
        <v>5846665</v>
      </c>
      <c r="H2127" s="113">
        <f t="shared" si="504"/>
        <v>4689200</v>
      </c>
      <c r="I2127" s="121">
        <f t="shared" si="497"/>
        <v>6936812.2000000002</v>
      </c>
      <c r="K2127" s="123">
        <f t="shared" si="505"/>
        <v>8000000</v>
      </c>
      <c r="L2127" s="111">
        <f t="shared" si="506"/>
        <v>121771</v>
      </c>
      <c r="M2127" s="2">
        <f t="shared" si="507"/>
        <v>27493.800000000003</v>
      </c>
      <c r="N2127" s="112">
        <f t="shared" si="498"/>
        <v>12000000</v>
      </c>
      <c r="O2127" s="2">
        <f t="shared" si="508"/>
        <v>5846665</v>
      </c>
      <c r="P2127" s="113">
        <f t="shared" si="509"/>
        <v>4689200</v>
      </c>
      <c r="Q2127" s="121">
        <f t="shared" si="499"/>
        <v>6936812.2000000002</v>
      </c>
    </row>
    <row r="2128" spans="2:17" x14ac:dyDescent="0.4">
      <c r="B2128" s="110">
        <v>46049</v>
      </c>
      <c r="C2128" s="122">
        <f t="shared" si="500"/>
        <v>8000000</v>
      </c>
      <c r="D2128" s="111">
        <f t="shared" si="501"/>
        <v>121771</v>
      </c>
      <c r="E2128" s="2">
        <f t="shared" si="502"/>
        <v>27493.800000000003</v>
      </c>
      <c r="F2128" s="112">
        <f t="shared" si="496"/>
        <v>12000000</v>
      </c>
      <c r="G2128" s="2">
        <f t="shared" si="503"/>
        <v>5846665</v>
      </c>
      <c r="H2128" s="113">
        <f t="shared" si="504"/>
        <v>4689200</v>
      </c>
      <c r="I2128" s="121">
        <f t="shared" si="497"/>
        <v>6936812.2000000002</v>
      </c>
      <c r="K2128" s="123">
        <f t="shared" si="505"/>
        <v>8000000</v>
      </c>
      <c r="L2128" s="111">
        <f t="shared" si="506"/>
        <v>121771</v>
      </c>
      <c r="M2128" s="2">
        <f t="shared" si="507"/>
        <v>27493.800000000003</v>
      </c>
      <c r="N2128" s="112">
        <f t="shared" si="498"/>
        <v>12000000</v>
      </c>
      <c r="O2128" s="2">
        <f t="shared" si="508"/>
        <v>5846665</v>
      </c>
      <c r="P2128" s="113">
        <f t="shared" si="509"/>
        <v>4689200</v>
      </c>
      <c r="Q2128" s="121">
        <f t="shared" si="499"/>
        <v>6936812.2000000002</v>
      </c>
    </row>
    <row r="2129" spans="2:17" x14ac:dyDescent="0.4">
      <c r="B2129" s="110">
        <v>46050</v>
      </c>
      <c r="C2129" s="122">
        <f t="shared" si="500"/>
        <v>8000000</v>
      </c>
      <c r="D2129" s="111">
        <f t="shared" si="501"/>
        <v>121771</v>
      </c>
      <c r="E2129" s="2">
        <f t="shared" si="502"/>
        <v>27493.800000000003</v>
      </c>
      <c r="F2129" s="112">
        <f t="shared" si="496"/>
        <v>12000000</v>
      </c>
      <c r="G2129" s="2">
        <f t="shared" si="503"/>
        <v>5846665</v>
      </c>
      <c r="H2129" s="113">
        <f t="shared" si="504"/>
        <v>4689200</v>
      </c>
      <c r="I2129" s="121">
        <f t="shared" si="497"/>
        <v>6936812.2000000002</v>
      </c>
      <c r="K2129" s="123">
        <f t="shared" si="505"/>
        <v>8000000</v>
      </c>
      <c r="L2129" s="111">
        <f t="shared" si="506"/>
        <v>121771</v>
      </c>
      <c r="M2129" s="2">
        <f t="shared" si="507"/>
        <v>27493.800000000003</v>
      </c>
      <c r="N2129" s="112">
        <f t="shared" si="498"/>
        <v>12000000</v>
      </c>
      <c r="O2129" s="2">
        <f t="shared" si="508"/>
        <v>5846665</v>
      </c>
      <c r="P2129" s="113">
        <f t="shared" si="509"/>
        <v>4689200</v>
      </c>
      <c r="Q2129" s="121">
        <f t="shared" si="499"/>
        <v>6936812.2000000002</v>
      </c>
    </row>
    <row r="2130" spans="2:17" x14ac:dyDescent="0.4">
      <c r="B2130" s="110">
        <v>46051</v>
      </c>
      <c r="C2130" s="122">
        <f t="shared" si="500"/>
        <v>8000000</v>
      </c>
      <c r="D2130" s="111">
        <f t="shared" si="501"/>
        <v>121771</v>
      </c>
      <c r="E2130" s="2">
        <f t="shared" si="502"/>
        <v>27493.800000000003</v>
      </c>
      <c r="F2130" s="112">
        <f t="shared" si="496"/>
        <v>12000000</v>
      </c>
      <c r="G2130" s="2">
        <f t="shared" si="503"/>
        <v>5846665</v>
      </c>
      <c r="H2130" s="113">
        <f t="shared" si="504"/>
        <v>4689200</v>
      </c>
      <c r="I2130" s="121">
        <f t="shared" si="497"/>
        <v>6936812.2000000002</v>
      </c>
      <c r="K2130" s="123">
        <f t="shared" si="505"/>
        <v>8000000</v>
      </c>
      <c r="L2130" s="111">
        <f t="shared" si="506"/>
        <v>121771</v>
      </c>
      <c r="M2130" s="2">
        <f t="shared" si="507"/>
        <v>27493.800000000003</v>
      </c>
      <c r="N2130" s="112">
        <f t="shared" si="498"/>
        <v>12000000</v>
      </c>
      <c r="O2130" s="2">
        <f t="shared" si="508"/>
        <v>5846665</v>
      </c>
      <c r="P2130" s="113">
        <f t="shared" si="509"/>
        <v>4689200</v>
      </c>
      <c r="Q2130" s="121">
        <f t="shared" si="499"/>
        <v>6936812.2000000002</v>
      </c>
    </row>
    <row r="2131" spans="2:17" x14ac:dyDescent="0.4">
      <c r="B2131" s="110">
        <v>46052</v>
      </c>
      <c r="C2131" s="122">
        <f t="shared" si="500"/>
        <v>8000000</v>
      </c>
      <c r="D2131" s="111">
        <f t="shared" si="501"/>
        <v>121771</v>
      </c>
      <c r="E2131" s="2">
        <f t="shared" si="502"/>
        <v>27493.800000000003</v>
      </c>
      <c r="F2131" s="112">
        <f t="shared" si="496"/>
        <v>12000000</v>
      </c>
      <c r="G2131" s="2">
        <f t="shared" si="503"/>
        <v>5846665</v>
      </c>
      <c r="H2131" s="113">
        <f t="shared" si="504"/>
        <v>4689200</v>
      </c>
      <c r="I2131" s="121">
        <f t="shared" si="497"/>
        <v>6936812.2000000002</v>
      </c>
      <c r="K2131" s="123">
        <f t="shared" si="505"/>
        <v>8000000</v>
      </c>
      <c r="L2131" s="111">
        <f t="shared" si="506"/>
        <v>121771</v>
      </c>
      <c r="M2131" s="2">
        <f t="shared" si="507"/>
        <v>27493.800000000003</v>
      </c>
      <c r="N2131" s="112">
        <f t="shared" si="498"/>
        <v>12000000</v>
      </c>
      <c r="O2131" s="2">
        <f t="shared" si="508"/>
        <v>5846665</v>
      </c>
      <c r="P2131" s="113">
        <f t="shared" si="509"/>
        <v>4689200</v>
      </c>
      <c r="Q2131" s="121">
        <f t="shared" si="499"/>
        <v>6936812.2000000002</v>
      </c>
    </row>
    <row r="2132" spans="2:17" x14ac:dyDescent="0.4">
      <c r="B2132" s="110">
        <v>46053</v>
      </c>
      <c r="C2132" s="122">
        <f t="shared" si="500"/>
        <v>8000000</v>
      </c>
      <c r="D2132" s="111">
        <f t="shared" si="501"/>
        <v>121771</v>
      </c>
      <c r="E2132" s="2">
        <f t="shared" si="502"/>
        <v>27493.800000000003</v>
      </c>
      <c r="F2132" s="112">
        <f t="shared" si="496"/>
        <v>12000000</v>
      </c>
      <c r="G2132" s="2">
        <f t="shared" si="503"/>
        <v>5846665</v>
      </c>
      <c r="H2132" s="113">
        <f t="shared" si="504"/>
        <v>4689200</v>
      </c>
      <c r="I2132" s="121">
        <f t="shared" si="497"/>
        <v>6936812.2000000002</v>
      </c>
      <c r="K2132" s="123">
        <f t="shared" si="505"/>
        <v>8000000</v>
      </c>
      <c r="L2132" s="111">
        <f t="shared" si="506"/>
        <v>121771</v>
      </c>
      <c r="M2132" s="2">
        <f t="shared" si="507"/>
        <v>27493.800000000003</v>
      </c>
      <c r="N2132" s="112">
        <f t="shared" si="498"/>
        <v>12000000</v>
      </c>
      <c r="O2132" s="2">
        <f t="shared" si="508"/>
        <v>5846665</v>
      </c>
      <c r="P2132" s="113">
        <f t="shared" si="509"/>
        <v>4689200</v>
      </c>
      <c r="Q2132" s="121">
        <f t="shared" si="499"/>
        <v>6936812.2000000002</v>
      </c>
    </row>
    <row r="2133" spans="2:17" x14ac:dyDescent="0.4">
      <c r="B2133" s="110">
        <v>46054</v>
      </c>
      <c r="C2133" s="122">
        <f t="shared" si="500"/>
        <v>8000000</v>
      </c>
      <c r="D2133" s="111">
        <f t="shared" si="501"/>
        <v>121771</v>
      </c>
      <c r="E2133" s="2">
        <f t="shared" si="502"/>
        <v>27493.800000000003</v>
      </c>
      <c r="F2133" s="112">
        <f t="shared" si="496"/>
        <v>12000000</v>
      </c>
      <c r="G2133" s="2">
        <f t="shared" si="503"/>
        <v>5846665</v>
      </c>
      <c r="H2133" s="113">
        <f t="shared" si="504"/>
        <v>4689200</v>
      </c>
      <c r="I2133" s="121">
        <f t="shared" si="497"/>
        <v>6936812.2000000002</v>
      </c>
      <c r="K2133" s="123">
        <f t="shared" si="505"/>
        <v>8000000</v>
      </c>
      <c r="L2133" s="111">
        <f t="shared" si="506"/>
        <v>121771</v>
      </c>
      <c r="M2133" s="2">
        <f t="shared" si="507"/>
        <v>27493.800000000003</v>
      </c>
      <c r="N2133" s="112">
        <f t="shared" si="498"/>
        <v>12000000</v>
      </c>
      <c r="O2133" s="2">
        <f t="shared" si="508"/>
        <v>5846665</v>
      </c>
      <c r="P2133" s="113">
        <f t="shared" si="509"/>
        <v>4689200</v>
      </c>
      <c r="Q2133" s="121">
        <f t="shared" si="499"/>
        <v>6936812.2000000002</v>
      </c>
    </row>
    <row r="2134" spans="2:17" x14ac:dyDescent="0.4">
      <c r="B2134" s="110">
        <v>46055</v>
      </c>
      <c r="C2134" s="122">
        <f t="shared" si="500"/>
        <v>8000000</v>
      </c>
      <c r="D2134" s="111">
        <f t="shared" si="501"/>
        <v>121771</v>
      </c>
      <c r="E2134" s="2">
        <f t="shared" si="502"/>
        <v>29373.800000000003</v>
      </c>
      <c r="F2134" s="112">
        <f t="shared" si="496"/>
        <v>12000000</v>
      </c>
      <c r="G2134" s="2">
        <f t="shared" si="503"/>
        <v>6842665</v>
      </c>
      <c r="H2134" s="113">
        <f t="shared" si="504"/>
        <v>4689200</v>
      </c>
      <c r="I2134" s="121">
        <f t="shared" si="497"/>
        <v>5938932.2000000002</v>
      </c>
      <c r="K2134" s="123">
        <f t="shared" si="505"/>
        <v>8000000</v>
      </c>
      <c r="L2134" s="111">
        <f t="shared" si="506"/>
        <v>121771</v>
      </c>
      <c r="M2134" s="2">
        <f t="shared" si="507"/>
        <v>29373.800000000003</v>
      </c>
      <c r="N2134" s="112">
        <f t="shared" si="498"/>
        <v>12000000</v>
      </c>
      <c r="O2134" s="2">
        <f t="shared" si="508"/>
        <v>6842665</v>
      </c>
      <c r="P2134" s="113">
        <f t="shared" si="509"/>
        <v>4689200</v>
      </c>
      <c r="Q2134" s="121">
        <f t="shared" si="499"/>
        <v>5938932.2000000002</v>
      </c>
    </row>
    <row r="2135" spans="2:17" x14ac:dyDescent="0.4">
      <c r="B2135" s="110">
        <v>46056</v>
      </c>
      <c r="C2135" s="122">
        <f t="shared" si="500"/>
        <v>8000000</v>
      </c>
      <c r="D2135" s="111">
        <f t="shared" si="501"/>
        <v>121771</v>
      </c>
      <c r="E2135" s="2">
        <f t="shared" si="502"/>
        <v>31563.800000000003</v>
      </c>
      <c r="F2135" s="112">
        <f t="shared" si="496"/>
        <v>12000000</v>
      </c>
      <c r="G2135" s="2">
        <f t="shared" si="503"/>
        <v>6842665</v>
      </c>
      <c r="H2135" s="113">
        <f t="shared" si="504"/>
        <v>5254200</v>
      </c>
      <c r="I2135" s="121">
        <f t="shared" si="497"/>
        <v>6501742.2000000002</v>
      </c>
      <c r="K2135" s="123">
        <f t="shared" si="505"/>
        <v>8000000</v>
      </c>
      <c r="L2135" s="111">
        <f t="shared" si="506"/>
        <v>121771</v>
      </c>
      <c r="M2135" s="2">
        <f t="shared" si="507"/>
        <v>31563.800000000003</v>
      </c>
      <c r="N2135" s="112">
        <f t="shared" si="498"/>
        <v>12000000</v>
      </c>
      <c r="O2135" s="2">
        <f t="shared" si="508"/>
        <v>6842665</v>
      </c>
      <c r="P2135" s="113">
        <f t="shared" si="509"/>
        <v>5254200</v>
      </c>
      <c r="Q2135" s="121">
        <f t="shared" si="499"/>
        <v>6501742.2000000002</v>
      </c>
    </row>
    <row r="2136" spans="2:17" x14ac:dyDescent="0.4">
      <c r="B2136" s="110">
        <v>46057</v>
      </c>
      <c r="C2136" s="122">
        <f t="shared" si="500"/>
        <v>8000000</v>
      </c>
      <c r="D2136" s="111">
        <f t="shared" si="501"/>
        <v>121771</v>
      </c>
      <c r="E2136" s="2">
        <f t="shared" si="502"/>
        <v>31563.800000000003</v>
      </c>
      <c r="F2136" s="112">
        <f t="shared" si="496"/>
        <v>12000000</v>
      </c>
      <c r="G2136" s="2">
        <f t="shared" si="503"/>
        <v>6842665</v>
      </c>
      <c r="H2136" s="113">
        <f t="shared" si="504"/>
        <v>5254200</v>
      </c>
      <c r="I2136" s="121">
        <f t="shared" si="497"/>
        <v>6501742.2000000002</v>
      </c>
      <c r="K2136" s="123">
        <f t="shared" si="505"/>
        <v>8000000</v>
      </c>
      <c r="L2136" s="111">
        <f t="shared" si="506"/>
        <v>121771</v>
      </c>
      <c r="M2136" s="2">
        <f t="shared" si="507"/>
        <v>31563.800000000003</v>
      </c>
      <c r="N2136" s="112">
        <f t="shared" si="498"/>
        <v>12000000</v>
      </c>
      <c r="O2136" s="2">
        <f t="shared" si="508"/>
        <v>6842665</v>
      </c>
      <c r="P2136" s="113">
        <f t="shared" si="509"/>
        <v>5254200</v>
      </c>
      <c r="Q2136" s="121">
        <f t="shared" si="499"/>
        <v>6501742.2000000002</v>
      </c>
    </row>
    <row r="2137" spans="2:17" x14ac:dyDescent="0.4">
      <c r="B2137" s="110">
        <v>46058</v>
      </c>
      <c r="C2137" s="122">
        <f t="shared" si="500"/>
        <v>8000000</v>
      </c>
      <c r="D2137" s="111">
        <f t="shared" si="501"/>
        <v>121771</v>
      </c>
      <c r="E2137" s="2">
        <f t="shared" si="502"/>
        <v>31563.800000000003</v>
      </c>
      <c r="F2137" s="112">
        <f t="shared" si="496"/>
        <v>12000000</v>
      </c>
      <c r="G2137" s="2">
        <f t="shared" si="503"/>
        <v>6842665</v>
      </c>
      <c r="H2137" s="113">
        <f t="shared" si="504"/>
        <v>5254200</v>
      </c>
      <c r="I2137" s="121">
        <f t="shared" si="497"/>
        <v>6501742.2000000002</v>
      </c>
      <c r="K2137" s="123">
        <f t="shared" si="505"/>
        <v>8000000</v>
      </c>
      <c r="L2137" s="111">
        <f t="shared" si="506"/>
        <v>121771</v>
      </c>
      <c r="M2137" s="2">
        <f t="shared" si="507"/>
        <v>31563.800000000003</v>
      </c>
      <c r="N2137" s="112">
        <f t="shared" si="498"/>
        <v>12000000</v>
      </c>
      <c r="O2137" s="2">
        <f t="shared" si="508"/>
        <v>6842665</v>
      </c>
      <c r="P2137" s="113">
        <f t="shared" si="509"/>
        <v>5254200</v>
      </c>
      <c r="Q2137" s="121">
        <f t="shared" si="499"/>
        <v>6501742.2000000002</v>
      </c>
    </row>
    <row r="2138" spans="2:17" x14ac:dyDescent="0.4">
      <c r="B2138" s="110">
        <v>46059</v>
      </c>
      <c r="C2138" s="122">
        <f t="shared" si="500"/>
        <v>8000000</v>
      </c>
      <c r="D2138" s="111">
        <f t="shared" si="501"/>
        <v>121771</v>
      </c>
      <c r="E2138" s="2">
        <f t="shared" si="502"/>
        <v>31563.800000000003</v>
      </c>
      <c r="F2138" s="112">
        <f t="shared" si="496"/>
        <v>12000000</v>
      </c>
      <c r="G2138" s="2">
        <f t="shared" si="503"/>
        <v>6842665</v>
      </c>
      <c r="H2138" s="113">
        <f t="shared" si="504"/>
        <v>5254200</v>
      </c>
      <c r="I2138" s="121">
        <f t="shared" si="497"/>
        <v>6501742.2000000002</v>
      </c>
      <c r="K2138" s="123">
        <f t="shared" si="505"/>
        <v>8000000</v>
      </c>
      <c r="L2138" s="111">
        <f t="shared" si="506"/>
        <v>121771</v>
      </c>
      <c r="M2138" s="2">
        <f t="shared" si="507"/>
        <v>31563.800000000003</v>
      </c>
      <c r="N2138" s="112">
        <f t="shared" si="498"/>
        <v>12000000</v>
      </c>
      <c r="O2138" s="2">
        <f t="shared" si="508"/>
        <v>6842665</v>
      </c>
      <c r="P2138" s="113">
        <f t="shared" si="509"/>
        <v>5254200</v>
      </c>
      <c r="Q2138" s="121">
        <f t="shared" si="499"/>
        <v>6501742.2000000002</v>
      </c>
    </row>
    <row r="2139" spans="2:17" x14ac:dyDescent="0.4">
      <c r="B2139" s="110">
        <v>46060</v>
      </c>
      <c r="C2139" s="122">
        <f t="shared" si="500"/>
        <v>8000000</v>
      </c>
      <c r="D2139" s="111">
        <f t="shared" si="501"/>
        <v>121771</v>
      </c>
      <c r="E2139" s="2">
        <f t="shared" si="502"/>
        <v>31563.800000000003</v>
      </c>
      <c r="F2139" s="112">
        <f t="shared" si="496"/>
        <v>12000000</v>
      </c>
      <c r="G2139" s="2">
        <f t="shared" si="503"/>
        <v>6842665</v>
      </c>
      <c r="H2139" s="113">
        <f t="shared" si="504"/>
        <v>5254200</v>
      </c>
      <c r="I2139" s="121">
        <f t="shared" si="497"/>
        <v>6501742.2000000002</v>
      </c>
      <c r="K2139" s="123">
        <f t="shared" si="505"/>
        <v>8000000</v>
      </c>
      <c r="L2139" s="111">
        <f t="shared" si="506"/>
        <v>121771</v>
      </c>
      <c r="M2139" s="2">
        <f t="shared" si="507"/>
        <v>31563.800000000003</v>
      </c>
      <c r="N2139" s="112">
        <f t="shared" si="498"/>
        <v>12000000</v>
      </c>
      <c r="O2139" s="2">
        <f t="shared" si="508"/>
        <v>6842665</v>
      </c>
      <c r="P2139" s="113">
        <f t="shared" si="509"/>
        <v>5254200</v>
      </c>
      <c r="Q2139" s="121">
        <f t="shared" si="499"/>
        <v>6501742.2000000002</v>
      </c>
    </row>
    <row r="2140" spans="2:17" x14ac:dyDescent="0.4">
      <c r="B2140" s="110">
        <v>46061</v>
      </c>
      <c r="C2140" s="122">
        <f t="shared" si="500"/>
        <v>8000000</v>
      </c>
      <c r="D2140" s="111">
        <f t="shared" si="501"/>
        <v>121771</v>
      </c>
      <c r="E2140" s="2">
        <f t="shared" si="502"/>
        <v>31563.800000000003</v>
      </c>
      <c r="F2140" s="112">
        <f t="shared" si="496"/>
        <v>12000000</v>
      </c>
      <c r="G2140" s="2">
        <f t="shared" si="503"/>
        <v>6842665</v>
      </c>
      <c r="H2140" s="113">
        <f t="shared" si="504"/>
        <v>5254200</v>
      </c>
      <c r="I2140" s="121">
        <f t="shared" si="497"/>
        <v>6501742.2000000002</v>
      </c>
      <c r="K2140" s="123">
        <f t="shared" si="505"/>
        <v>8000000</v>
      </c>
      <c r="L2140" s="111">
        <f t="shared" si="506"/>
        <v>121771</v>
      </c>
      <c r="M2140" s="2">
        <f t="shared" si="507"/>
        <v>31563.800000000003</v>
      </c>
      <c r="N2140" s="112">
        <f t="shared" si="498"/>
        <v>12000000</v>
      </c>
      <c r="O2140" s="2">
        <f t="shared" si="508"/>
        <v>6842665</v>
      </c>
      <c r="P2140" s="113">
        <f t="shared" si="509"/>
        <v>5254200</v>
      </c>
      <c r="Q2140" s="121">
        <f t="shared" si="499"/>
        <v>6501742.2000000002</v>
      </c>
    </row>
    <row r="2141" spans="2:17" x14ac:dyDescent="0.4">
      <c r="B2141" s="110">
        <v>46062</v>
      </c>
      <c r="C2141" s="122">
        <f t="shared" si="500"/>
        <v>8000000</v>
      </c>
      <c r="D2141" s="111">
        <f t="shared" si="501"/>
        <v>121771</v>
      </c>
      <c r="E2141" s="2">
        <f t="shared" si="502"/>
        <v>31563.800000000003</v>
      </c>
      <c r="F2141" s="112">
        <f t="shared" si="496"/>
        <v>12000000</v>
      </c>
      <c r="G2141" s="2">
        <f t="shared" si="503"/>
        <v>6842665</v>
      </c>
      <c r="H2141" s="113">
        <f t="shared" si="504"/>
        <v>5254200</v>
      </c>
      <c r="I2141" s="121">
        <f t="shared" si="497"/>
        <v>6501742.2000000002</v>
      </c>
      <c r="K2141" s="123">
        <f t="shared" si="505"/>
        <v>8000000</v>
      </c>
      <c r="L2141" s="111">
        <f t="shared" si="506"/>
        <v>121771</v>
      </c>
      <c r="M2141" s="2">
        <f t="shared" si="507"/>
        <v>31563.800000000003</v>
      </c>
      <c r="N2141" s="112">
        <f t="shared" si="498"/>
        <v>12000000</v>
      </c>
      <c r="O2141" s="2">
        <f t="shared" si="508"/>
        <v>6842665</v>
      </c>
      <c r="P2141" s="113">
        <f t="shared" si="509"/>
        <v>5254200</v>
      </c>
      <c r="Q2141" s="121">
        <f t="shared" si="499"/>
        <v>6501742.2000000002</v>
      </c>
    </row>
    <row r="2142" spans="2:17" x14ac:dyDescent="0.4">
      <c r="B2142" s="110">
        <v>46063</v>
      </c>
      <c r="C2142" s="122">
        <f t="shared" si="500"/>
        <v>8000000</v>
      </c>
      <c r="D2142" s="111">
        <f t="shared" si="501"/>
        <v>121771</v>
      </c>
      <c r="E2142" s="2">
        <f t="shared" si="502"/>
        <v>31563.800000000003</v>
      </c>
      <c r="F2142" s="112">
        <f t="shared" si="496"/>
        <v>12000000</v>
      </c>
      <c r="G2142" s="2">
        <f t="shared" si="503"/>
        <v>6842665</v>
      </c>
      <c r="H2142" s="113">
        <f t="shared" si="504"/>
        <v>5254200</v>
      </c>
      <c r="I2142" s="121">
        <f t="shared" si="497"/>
        <v>6501742.2000000002</v>
      </c>
      <c r="K2142" s="123">
        <f t="shared" si="505"/>
        <v>8000000</v>
      </c>
      <c r="L2142" s="111">
        <f t="shared" si="506"/>
        <v>121771</v>
      </c>
      <c r="M2142" s="2">
        <f t="shared" si="507"/>
        <v>31563.800000000003</v>
      </c>
      <c r="N2142" s="112">
        <f t="shared" si="498"/>
        <v>12000000</v>
      </c>
      <c r="O2142" s="2">
        <f t="shared" si="508"/>
        <v>6842665</v>
      </c>
      <c r="P2142" s="113">
        <f t="shared" si="509"/>
        <v>5254200</v>
      </c>
      <c r="Q2142" s="121">
        <f t="shared" si="499"/>
        <v>6501742.2000000002</v>
      </c>
    </row>
    <row r="2143" spans="2:17" x14ac:dyDescent="0.4">
      <c r="B2143" s="110">
        <v>46064</v>
      </c>
      <c r="C2143" s="122">
        <f t="shared" si="500"/>
        <v>8000000</v>
      </c>
      <c r="D2143" s="111">
        <f t="shared" si="501"/>
        <v>121771</v>
      </c>
      <c r="E2143" s="2">
        <f t="shared" si="502"/>
        <v>31563.800000000003</v>
      </c>
      <c r="F2143" s="112">
        <f t="shared" si="496"/>
        <v>12000000</v>
      </c>
      <c r="G2143" s="2">
        <f t="shared" si="503"/>
        <v>6842665</v>
      </c>
      <c r="H2143" s="113">
        <f t="shared" si="504"/>
        <v>5254200</v>
      </c>
      <c r="I2143" s="121">
        <f t="shared" si="497"/>
        <v>6501742.2000000002</v>
      </c>
      <c r="K2143" s="123">
        <f t="shared" si="505"/>
        <v>8000000</v>
      </c>
      <c r="L2143" s="111">
        <f t="shared" si="506"/>
        <v>121771</v>
      </c>
      <c r="M2143" s="2">
        <f t="shared" si="507"/>
        <v>31563.800000000003</v>
      </c>
      <c r="N2143" s="112">
        <f t="shared" si="498"/>
        <v>12000000</v>
      </c>
      <c r="O2143" s="2">
        <f t="shared" si="508"/>
        <v>6842665</v>
      </c>
      <c r="P2143" s="113">
        <f t="shared" si="509"/>
        <v>5254200</v>
      </c>
      <c r="Q2143" s="121">
        <f t="shared" si="499"/>
        <v>6501742.2000000002</v>
      </c>
    </row>
    <row r="2144" spans="2:17" x14ac:dyDescent="0.4">
      <c r="B2144" s="110">
        <v>46065</v>
      </c>
      <c r="C2144" s="122">
        <f t="shared" si="500"/>
        <v>8000000</v>
      </c>
      <c r="D2144" s="111">
        <f t="shared" si="501"/>
        <v>121771</v>
      </c>
      <c r="E2144" s="2">
        <f t="shared" si="502"/>
        <v>31563.800000000003</v>
      </c>
      <c r="F2144" s="112">
        <f t="shared" si="496"/>
        <v>12000000</v>
      </c>
      <c r="G2144" s="2">
        <f t="shared" si="503"/>
        <v>6842665</v>
      </c>
      <c r="H2144" s="113">
        <f t="shared" si="504"/>
        <v>5254200</v>
      </c>
      <c r="I2144" s="121">
        <f t="shared" si="497"/>
        <v>6501742.2000000002</v>
      </c>
      <c r="K2144" s="123">
        <f t="shared" si="505"/>
        <v>8000000</v>
      </c>
      <c r="L2144" s="111">
        <f t="shared" si="506"/>
        <v>121771</v>
      </c>
      <c r="M2144" s="2">
        <f t="shared" si="507"/>
        <v>31563.800000000003</v>
      </c>
      <c r="N2144" s="112">
        <f t="shared" si="498"/>
        <v>12000000</v>
      </c>
      <c r="O2144" s="2">
        <f t="shared" si="508"/>
        <v>6842665</v>
      </c>
      <c r="P2144" s="113">
        <f t="shared" si="509"/>
        <v>5254200</v>
      </c>
      <c r="Q2144" s="121">
        <f t="shared" si="499"/>
        <v>6501742.2000000002</v>
      </c>
    </row>
    <row r="2145" spans="2:17" x14ac:dyDescent="0.4">
      <c r="B2145" s="110">
        <v>46066</v>
      </c>
      <c r="C2145" s="122">
        <f t="shared" si="500"/>
        <v>8000000</v>
      </c>
      <c r="D2145" s="111">
        <f t="shared" si="501"/>
        <v>121771</v>
      </c>
      <c r="E2145" s="2">
        <f t="shared" si="502"/>
        <v>31563.800000000003</v>
      </c>
      <c r="F2145" s="112">
        <f t="shared" si="496"/>
        <v>12000000</v>
      </c>
      <c r="G2145" s="2">
        <f t="shared" si="503"/>
        <v>6842665</v>
      </c>
      <c r="H2145" s="113">
        <f t="shared" si="504"/>
        <v>5254200</v>
      </c>
      <c r="I2145" s="121">
        <f t="shared" si="497"/>
        <v>6501742.2000000002</v>
      </c>
      <c r="K2145" s="123">
        <f t="shared" si="505"/>
        <v>8000000</v>
      </c>
      <c r="L2145" s="111">
        <f t="shared" si="506"/>
        <v>121771</v>
      </c>
      <c r="M2145" s="2">
        <f t="shared" si="507"/>
        <v>31563.800000000003</v>
      </c>
      <c r="N2145" s="112">
        <f t="shared" si="498"/>
        <v>12000000</v>
      </c>
      <c r="O2145" s="2">
        <f t="shared" si="508"/>
        <v>6842665</v>
      </c>
      <c r="P2145" s="113">
        <f t="shared" si="509"/>
        <v>5254200</v>
      </c>
      <c r="Q2145" s="121">
        <f t="shared" si="499"/>
        <v>6501742.2000000002</v>
      </c>
    </row>
    <row r="2146" spans="2:17" x14ac:dyDescent="0.4">
      <c r="B2146" s="110">
        <v>46067</v>
      </c>
      <c r="C2146" s="122">
        <f t="shared" si="500"/>
        <v>8000000</v>
      </c>
      <c r="D2146" s="111">
        <f t="shared" si="501"/>
        <v>121771</v>
      </c>
      <c r="E2146" s="2">
        <f t="shared" si="502"/>
        <v>31563.800000000003</v>
      </c>
      <c r="F2146" s="112">
        <f t="shared" si="496"/>
        <v>12000000</v>
      </c>
      <c r="G2146" s="2">
        <f t="shared" si="503"/>
        <v>6842665</v>
      </c>
      <c r="H2146" s="113">
        <f t="shared" si="504"/>
        <v>5254200</v>
      </c>
      <c r="I2146" s="121">
        <f t="shared" si="497"/>
        <v>6501742.2000000002</v>
      </c>
      <c r="K2146" s="123">
        <f t="shared" si="505"/>
        <v>8000000</v>
      </c>
      <c r="L2146" s="111">
        <f t="shared" si="506"/>
        <v>121771</v>
      </c>
      <c r="M2146" s="2">
        <f t="shared" si="507"/>
        <v>31563.800000000003</v>
      </c>
      <c r="N2146" s="112">
        <f t="shared" si="498"/>
        <v>12000000</v>
      </c>
      <c r="O2146" s="2">
        <f t="shared" si="508"/>
        <v>6842665</v>
      </c>
      <c r="P2146" s="113">
        <f t="shared" si="509"/>
        <v>5254200</v>
      </c>
      <c r="Q2146" s="121">
        <f t="shared" si="499"/>
        <v>6501742.2000000002</v>
      </c>
    </row>
    <row r="2147" spans="2:17" x14ac:dyDescent="0.4">
      <c r="B2147" s="110">
        <v>46068</v>
      </c>
      <c r="C2147" s="122">
        <f t="shared" si="500"/>
        <v>8000000</v>
      </c>
      <c r="D2147" s="111">
        <f t="shared" si="501"/>
        <v>121771</v>
      </c>
      <c r="E2147" s="2">
        <f t="shared" si="502"/>
        <v>31563.800000000003</v>
      </c>
      <c r="F2147" s="112">
        <f t="shared" si="496"/>
        <v>12000000</v>
      </c>
      <c r="G2147" s="2">
        <f t="shared" si="503"/>
        <v>6842665</v>
      </c>
      <c r="H2147" s="113">
        <f t="shared" si="504"/>
        <v>5254200</v>
      </c>
      <c r="I2147" s="121">
        <f t="shared" si="497"/>
        <v>6501742.2000000002</v>
      </c>
      <c r="K2147" s="123">
        <f t="shared" si="505"/>
        <v>8000000</v>
      </c>
      <c r="L2147" s="111">
        <f t="shared" si="506"/>
        <v>121771</v>
      </c>
      <c r="M2147" s="2">
        <f t="shared" si="507"/>
        <v>31563.800000000003</v>
      </c>
      <c r="N2147" s="112">
        <f t="shared" si="498"/>
        <v>12000000</v>
      </c>
      <c r="O2147" s="2">
        <f t="shared" si="508"/>
        <v>6842665</v>
      </c>
      <c r="P2147" s="113">
        <f t="shared" si="509"/>
        <v>5254200</v>
      </c>
      <c r="Q2147" s="121">
        <f t="shared" si="499"/>
        <v>6501742.2000000002</v>
      </c>
    </row>
    <row r="2148" spans="2:17" x14ac:dyDescent="0.4">
      <c r="B2148" s="110">
        <v>46069</v>
      </c>
      <c r="C2148" s="122">
        <f t="shared" si="500"/>
        <v>8000000</v>
      </c>
      <c r="D2148" s="111">
        <f t="shared" si="501"/>
        <v>121771</v>
      </c>
      <c r="E2148" s="2">
        <f t="shared" si="502"/>
        <v>31563.800000000003</v>
      </c>
      <c r="F2148" s="112">
        <f t="shared" si="496"/>
        <v>12000000</v>
      </c>
      <c r="G2148" s="2">
        <f t="shared" si="503"/>
        <v>6842665</v>
      </c>
      <c r="H2148" s="113">
        <f t="shared" si="504"/>
        <v>5254200</v>
      </c>
      <c r="I2148" s="121">
        <f t="shared" si="497"/>
        <v>6501742.2000000002</v>
      </c>
      <c r="K2148" s="123">
        <f t="shared" si="505"/>
        <v>8000000</v>
      </c>
      <c r="L2148" s="111">
        <f t="shared" si="506"/>
        <v>121771</v>
      </c>
      <c r="M2148" s="2">
        <f t="shared" si="507"/>
        <v>31563.800000000003</v>
      </c>
      <c r="N2148" s="112">
        <f t="shared" si="498"/>
        <v>12000000</v>
      </c>
      <c r="O2148" s="2">
        <f t="shared" si="508"/>
        <v>6842665</v>
      </c>
      <c r="P2148" s="113">
        <f t="shared" si="509"/>
        <v>5254200</v>
      </c>
      <c r="Q2148" s="121">
        <f t="shared" si="499"/>
        <v>6501742.2000000002</v>
      </c>
    </row>
    <row r="2149" spans="2:17" x14ac:dyDescent="0.4">
      <c r="B2149" s="110">
        <v>46070</v>
      </c>
      <c r="C2149" s="122">
        <f t="shared" si="500"/>
        <v>8000000</v>
      </c>
      <c r="D2149" s="111">
        <f t="shared" si="501"/>
        <v>121771</v>
      </c>
      <c r="E2149" s="2">
        <f t="shared" si="502"/>
        <v>31563.800000000003</v>
      </c>
      <c r="F2149" s="112">
        <f t="shared" si="496"/>
        <v>12000000</v>
      </c>
      <c r="G2149" s="2">
        <f t="shared" si="503"/>
        <v>6842665</v>
      </c>
      <c r="H2149" s="113">
        <f t="shared" si="504"/>
        <v>5254200</v>
      </c>
      <c r="I2149" s="121">
        <f t="shared" si="497"/>
        <v>6501742.2000000002</v>
      </c>
      <c r="K2149" s="123">
        <f t="shared" si="505"/>
        <v>8000000</v>
      </c>
      <c r="L2149" s="111">
        <f t="shared" si="506"/>
        <v>121771</v>
      </c>
      <c r="M2149" s="2">
        <f t="shared" si="507"/>
        <v>31563.800000000003</v>
      </c>
      <c r="N2149" s="112">
        <f t="shared" si="498"/>
        <v>12000000</v>
      </c>
      <c r="O2149" s="2">
        <f t="shared" si="508"/>
        <v>6842665</v>
      </c>
      <c r="P2149" s="113">
        <f t="shared" si="509"/>
        <v>5254200</v>
      </c>
      <c r="Q2149" s="121">
        <f t="shared" si="499"/>
        <v>6501742.2000000002</v>
      </c>
    </row>
    <row r="2150" spans="2:17" x14ac:dyDescent="0.4">
      <c r="B2150" s="110">
        <v>46071</v>
      </c>
      <c r="C2150" s="122">
        <f t="shared" si="500"/>
        <v>8000000</v>
      </c>
      <c r="D2150" s="111">
        <f t="shared" si="501"/>
        <v>121771</v>
      </c>
      <c r="E2150" s="2">
        <f t="shared" si="502"/>
        <v>31563.800000000003</v>
      </c>
      <c r="F2150" s="112">
        <f t="shared" si="496"/>
        <v>12000000</v>
      </c>
      <c r="G2150" s="2">
        <f t="shared" si="503"/>
        <v>6842665</v>
      </c>
      <c r="H2150" s="113">
        <f t="shared" si="504"/>
        <v>5254200</v>
      </c>
      <c r="I2150" s="121">
        <f t="shared" si="497"/>
        <v>6501742.2000000002</v>
      </c>
      <c r="K2150" s="123">
        <f t="shared" si="505"/>
        <v>8000000</v>
      </c>
      <c r="L2150" s="111">
        <f t="shared" si="506"/>
        <v>121771</v>
      </c>
      <c r="M2150" s="2">
        <f t="shared" si="507"/>
        <v>31563.800000000003</v>
      </c>
      <c r="N2150" s="112">
        <f t="shared" si="498"/>
        <v>12000000</v>
      </c>
      <c r="O2150" s="2">
        <f t="shared" si="508"/>
        <v>6842665</v>
      </c>
      <c r="P2150" s="113">
        <f t="shared" si="509"/>
        <v>5254200</v>
      </c>
      <c r="Q2150" s="121">
        <f t="shared" si="499"/>
        <v>6501742.2000000002</v>
      </c>
    </row>
    <row r="2151" spans="2:17" x14ac:dyDescent="0.4">
      <c r="B2151" s="110">
        <v>46072</v>
      </c>
      <c r="C2151" s="122">
        <f t="shared" si="500"/>
        <v>8000000</v>
      </c>
      <c r="D2151" s="111">
        <f t="shared" si="501"/>
        <v>121771</v>
      </c>
      <c r="E2151" s="2">
        <f t="shared" si="502"/>
        <v>32877.800000000003</v>
      </c>
      <c r="F2151" s="112">
        <f t="shared" si="496"/>
        <v>12000000</v>
      </c>
      <c r="G2151" s="2">
        <f t="shared" si="503"/>
        <v>6842665</v>
      </c>
      <c r="H2151" s="113">
        <f t="shared" si="504"/>
        <v>5596200</v>
      </c>
      <c r="I2151" s="121">
        <f t="shared" si="497"/>
        <v>6842428.2000000002</v>
      </c>
      <c r="K2151" s="123">
        <f t="shared" si="505"/>
        <v>8000000</v>
      </c>
      <c r="L2151" s="111">
        <f t="shared" si="506"/>
        <v>121771</v>
      </c>
      <c r="M2151" s="2">
        <f t="shared" si="507"/>
        <v>32877.800000000003</v>
      </c>
      <c r="N2151" s="112">
        <f t="shared" si="498"/>
        <v>12000000</v>
      </c>
      <c r="O2151" s="2">
        <f t="shared" si="508"/>
        <v>6842665</v>
      </c>
      <c r="P2151" s="113">
        <f t="shared" si="509"/>
        <v>5596200</v>
      </c>
      <c r="Q2151" s="121">
        <f t="shared" si="499"/>
        <v>6842428.2000000002</v>
      </c>
    </row>
    <row r="2152" spans="2:17" x14ac:dyDescent="0.4">
      <c r="B2152" s="110">
        <v>46073</v>
      </c>
      <c r="C2152" s="122">
        <f t="shared" si="500"/>
        <v>8000000</v>
      </c>
      <c r="D2152" s="111">
        <f t="shared" si="501"/>
        <v>121771</v>
      </c>
      <c r="E2152" s="2">
        <f t="shared" si="502"/>
        <v>32877.800000000003</v>
      </c>
      <c r="F2152" s="112">
        <f t="shared" si="496"/>
        <v>12000000</v>
      </c>
      <c r="G2152" s="2">
        <f t="shared" si="503"/>
        <v>6842665</v>
      </c>
      <c r="H2152" s="113">
        <f t="shared" si="504"/>
        <v>5596200</v>
      </c>
      <c r="I2152" s="121">
        <f t="shared" si="497"/>
        <v>6842428.2000000002</v>
      </c>
      <c r="K2152" s="123">
        <f t="shared" si="505"/>
        <v>8000000</v>
      </c>
      <c r="L2152" s="111">
        <f t="shared" si="506"/>
        <v>121771</v>
      </c>
      <c r="M2152" s="2">
        <f t="shared" si="507"/>
        <v>32877.800000000003</v>
      </c>
      <c r="N2152" s="112">
        <f t="shared" si="498"/>
        <v>12000000</v>
      </c>
      <c r="O2152" s="2">
        <f t="shared" si="508"/>
        <v>6842665</v>
      </c>
      <c r="P2152" s="113">
        <f t="shared" si="509"/>
        <v>5596200</v>
      </c>
      <c r="Q2152" s="121">
        <f t="shared" si="499"/>
        <v>6842428.2000000002</v>
      </c>
    </row>
    <row r="2153" spans="2:17" x14ac:dyDescent="0.4">
      <c r="B2153" s="110">
        <v>46074</v>
      </c>
      <c r="C2153" s="122">
        <f t="shared" si="500"/>
        <v>8000000</v>
      </c>
      <c r="D2153" s="111">
        <f t="shared" si="501"/>
        <v>121771</v>
      </c>
      <c r="E2153" s="2">
        <f t="shared" si="502"/>
        <v>32877.800000000003</v>
      </c>
      <c r="F2153" s="112">
        <f t="shared" si="496"/>
        <v>12000000</v>
      </c>
      <c r="G2153" s="2">
        <f t="shared" si="503"/>
        <v>6842665</v>
      </c>
      <c r="H2153" s="113">
        <f t="shared" si="504"/>
        <v>5596200</v>
      </c>
      <c r="I2153" s="121">
        <f t="shared" si="497"/>
        <v>6842428.2000000002</v>
      </c>
      <c r="K2153" s="123">
        <f t="shared" si="505"/>
        <v>8000000</v>
      </c>
      <c r="L2153" s="111">
        <f t="shared" si="506"/>
        <v>121771</v>
      </c>
      <c r="M2153" s="2">
        <f t="shared" si="507"/>
        <v>32877.800000000003</v>
      </c>
      <c r="N2153" s="112">
        <f t="shared" si="498"/>
        <v>12000000</v>
      </c>
      <c r="O2153" s="2">
        <f t="shared" si="508"/>
        <v>6842665</v>
      </c>
      <c r="P2153" s="113">
        <f t="shared" si="509"/>
        <v>5596200</v>
      </c>
      <c r="Q2153" s="121">
        <f t="shared" si="499"/>
        <v>6842428.2000000002</v>
      </c>
    </row>
    <row r="2154" spans="2:17" x14ac:dyDescent="0.4">
      <c r="B2154" s="110">
        <v>46075</v>
      </c>
      <c r="C2154" s="122">
        <f t="shared" si="500"/>
        <v>8000000</v>
      </c>
      <c r="D2154" s="111">
        <f t="shared" si="501"/>
        <v>121771</v>
      </c>
      <c r="E2154" s="2">
        <f t="shared" si="502"/>
        <v>32877.800000000003</v>
      </c>
      <c r="F2154" s="112">
        <f t="shared" si="496"/>
        <v>12000000</v>
      </c>
      <c r="G2154" s="2">
        <f t="shared" si="503"/>
        <v>6842665</v>
      </c>
      <c r="H2154" s="113">
        <f t="shared" si="504"/>
        <v>5596200</v>
      </c>
      <c r="I2154" s="121">
        <f t="shared" si="497"/>
        <v>6842428.2000000002</v>
      </c>
      <c r="K2154" s="123">
        <f t="shared" si="505"/>
        <v>8000000</v>
      </c>
      <c r="L2154" s="111">
        <f t="shared" si="506"/>
        <v>121771</v>
      </c>
      <c r="M2154" s="2">
        <f t="shared" si="507"/>
        <v>32877.800000000003</v>
      </c>
      <c r="N2154" s="112">
        <f t="shared" si="498"/>
        <v>12000000</v>
      </c>
      <c r="O2154" s="2">
        <f t="shared" si="508"/>
        <v>6842665</v>
      </c>
      <c r="P2154" s="113">
        <f t="shared" si="509"/>
        <v>5596200</v>
      </c>
      <c r="Q2154" s="121">
        <f t="shared" si="499"/>
        <v>6842428.2000000002</v>
      </c>
    </row>
    <row r="2155" spans="2:17" x14ac:dyDescent="0.4">
      <c r="B2155" s="110">
        <v>46076</v>
      </c>
      <c r="C2155" s="122">
        <f t="shared" si="500"/>
        <v>8000000</v>
      </c>
      <c r="D2155" s="111">
        <f t="shared" si="501"/>
        <v>121771</v>
      </c>
      <c r="E2155" s="2">
        <f t="shared" si="502"/>
        <v>32877.800000000003</v>
      </c>
      <c r="F2155" s="112">
        <f t="shared" si="496"/>
        <v>12000000</v>
      </c>
      <c r="G2155" s="2">
        <f t="shared" si="503"/>
        <v>6842665</v>
      </c>
      <c r="H2155" s="113">
        <f t="shared" si="504"/>
        <v>5596200</v>
      </c>
      <c r="I2155" s="121">
        <f t="shared" si="497"/>
        <v>6842428.2000000002</v>
      </c>
      <c r="K2155" s="123">
        <f t="shared" si="505"/>
        <v>8000000</v>
      </c>
      <c r="L2155" s="111">
        <f t="shared" si="506"/>
        <v>121771</v>
      </c>
      <c r="M2155" s="2">
        <f t="shared" si="507"/>
        <v>32877.800000000003</v>
      </c>
      <c r="N2155" s="112">
        <f t="shared" si="498"/>
        <v>12000000</v>
      </c>
      <c r="O2155" s="2">
        <f t="shared" si="508"/>
        <v>6842665</v>
      </c>
      <c r="P2155" s="113">
        <f t="shared" si="509"/>
        <v>5596200</v>
      </c>
      <c r="Q2155" s="121">
        <f t="shared" si="499"/>
        <v>6842428.2000000002</v>
      </c>
    </row>
    <row r="2156" spans="2:17" x14ac:dyDescent="0.4">
      <c r="B2156" s="110">
        <v>46077</v>
      </c>
      <c r="C2156" s="122">
        <f t="shared" si="500"/>
        <v>8000000</v>
      </c>
      <c r="D2156" s="111">
        <f t="shared" si="501"/>
        <v>121771</v>
      </c>
      <c r="E2156" s="2">
        <f t="shared" si="502"/>
        <v>32877.800000000003</v>
      </c>
      <c r="F2156" s="112">
        <f t="shared" si="496"/>
        <v>12000000</v>
      </c>
      <c r="G2156" s="2">
        <f t="shared" si="503"/>
        <v>6842665</v>
      </c>
      <c r="H2156" s="113">
        <f t="shared" si="504"/>
        <v>5596200</v>
      </c>
      <c r="I2156" s="121">
        <f t="shared" si="497"/>
        <v>6842428.2000000002</v>
      </c>
      <c r="K2156" s="123">
        <f t="shared" si="505"/>
        <v>8000000</v>
      </c>
      <c r="L2156" s="111">
        <f t="shared" si="506"/>
        <v>121771</v>
      </c>
      <c r="M2156" s="2">
        <f t="shared" si="507"/>
        <v>32877.800000000003</v>
      </c>
      <c r="N2156" s="112">
        <f t="shared" si="498"/>
        <v>12000000</v>
      </c>
      <c r="O2156" s="2">
        <f t="shared" si="508"/>
        <v>6842665</v>
      </c>
      <c r="P2156" s="113">
        <f t="shared" si="509"/>
        <v>5596200</v>
      </c>
      <c r="Q2156" s="121">
        <f t="shared" si="499"/>
        <v>6842428.2000000002</v>
      </c>
    </row>
    <row r="2157" spans="2:17" x14ac:dyDescent="0.4">
      <c r="B2157" s="110">
        <v>46078</v>
      </c>
      <c r="C2157" s="122">
        <f t="shared" si="500"/>
        <v>8000000</v>
      </c>
      <c r="D2157" s="111">
        <f t="shared" si="501"/>
        <v>121771</v>
      </c>
      <c r="E2157" s="2">
        <f t="shared" si="502"/>
        <v>32877.800000000003</v>
      </c>
      <c r="F2157" s="112">
        <f t="shared" si="496"/>
        <v>12000000</v>
      </c>
      <c r="G2157" s="2">
        <f t="shared" si="503"/>
        <v>6842665</v>
      </c>
      <c r="H2157" s="113">
        <f t="shared" si="504"/>
        <v>5596200</v>
      </c>
      <c r="I2157" s="121">
        <f t="shared" si="497"/>
        <v>6842428.2000000002</v>
      </c>
      <c r="K2157" s="123">
        <f t="shared" si="505"/>
        <v>8000000</v>
      </c>
      <c r="L2157" s="111">
        <f t="shared" si="506"/>
        <v>121771</v>
      </c>
      <c r="M2157" s="2">
        <f t="shared" si="507"/>
        <v>32877.800000000003</v>
      </c>
      <c r="N2157" s="112">
        <f t="shared" si="498"/>
        <v>12000000</v>
      </c>
      <c r="O2157" s="2">
        <f t="shared" si="508"/>
        <v>6842665</v>
      </c>
      <c r="P2157" s="113">
        <f t="shared" si="509"/>
        <v>5596200</v>
      </c>
      <c r="Q2157" s="121">
        <f t="shared" si="499"/>
        <v>6842428.2000000002</v>
      </c>
    </row>
    <row r="2158" spans="2:17" x14ac:dyDescent="0.4">
      <c r="B2158" s="110">
        <v>46079</v>
      </c>
      <c r="C2158" s="122">
        <f t="shared" si="500"/>
        <v>8000000</v>
      </c>
      <c r="D2158" s="111">
        <f t="shared" si="501"/>
        <v>121771</v>
      </c>
      <c r="E2158" s="2">
        <f t="shared" si="502"/>
        <v>32877.800000000003</v>
      </c>
      <c r="F2158" s="112">
        <f t="shared" si="496"/>
        <v>12000000</v>
      </c>
      <c r="G2158" s="2">
        <f t="shared" si="503"/>
        <v>6842665</v>
      </c>
      <c r="H2158" s="113">
        <f t="shared" si="504"/>
        <v>5596200</v>
      </c>
      <c r="I2158" s="121">
        <f t="shared" si="497"/>
        <v>6842428.2000000002</v>
      </c>
      <c r="K2158" s="123">
        <f t="shared" si="505"/>
        <v>8000000</v>
      </c>
      <c r="L2158" s="111">
        <f t="shared" si="506"/>
        <v>121771</v>
      </c>
      <c r="M2158" s="2">
        <f t="shared" si="507"/>
        <v>32877.800000000003</v>
      </c>
      <c r="N2158" s="112">
        <f t="shared" si="498"/>
        <v>12000000</v>
      </c>
      <c r="O2158" s="2">
        <f t="shared" si="508"/>
        <v>6842665</v>
      </c>
      <c r="P2158" s="113">
        <f t="shared" si="509"/>
        <v>5596200</v>
      </c>
      <c r="Q2158" s="121">
        <f t="shared" si="499"/>
        <v>6842428.2000000002</v>
      </c>
    </row>
    <row r="2159" spans="2:17" x14ac:dyDescent="0.4">
      <c r="B2159" s="110">
        <v>46080</v>
      </c>
      <c r="C2159" s="122">
        <f t="shared" si="500"/>
        <v>8000000</v>
      </c>
      <c r="D2159" s="111">
        <f t="shared" si="501"/>
        <v>121771</v>
      </c>
      <c r="E2159" s="2">
        <f t="shared" si="502"/>
        <v>32877.800000000003</v>
      </c>
      <c r="F2159" s="112">
        <f t="shared" si="496"/>
        <v>12000000</v>
      </c>
      <c r="G2159" s="2">
        <f t="shared" si="503"/>
        <v>6842665</v>
      </c>
      <c r="H2159" s="113">
        <f t="shared" si="504"/>
        <v>5596200</v>
      </c>
      <c r="I2159" s="121">
        <f t="shared" si="497"/>
        <v>6842428.2000000002</v>
      </c>
      <c r="K2159" s="123">
        <f t="shared" si="505"/>
        <v>8000000</v>
      </c>
      <c r="L2159" s="111">
        <f t="shared" si="506"/>
        <v>121771</v>
      </c>
      <c r="M2159" s="2">
        <f t="shared" si="507"/>
        <v>32877.800000000003</v>
      </c>
      <c r="N2159" s="112">
        <f t="shared" si="498"/>
        <v>12000000</v>
      </c>
      <c r="O2159" s="2">
        <f t="shared" si="508"/>
        <v>6842665</v>
      </c>
      <c r="P2159" s="113">
        <f t="shared" si="509"/>
        <v>5596200</v>
      </c>
      <c r="Q2159" s="121">
        <f t="shared" si="499"/>
        <v>6842428.2000000002</v>
      </c>
    </row>
    <row r="2160" spans="2:17" x14ac:dyDescent="0.4">
      <c r="B2160" s="110">
        <v>46081</v>
      </c>
      <c r="C2160" s="122">
        <f t="shared" si="500"/>
        <v>8000000</v>
      </c>
      <c r="D2160" s="111">
        <f t="shared" si="501"/>
        <v>121771</v>
      </c>
      <c r="E2160" s="2">
        <f t="shared" si="502"/>
        <v>32877.800000000003</v>
      </c>
      <c r="F2160" s="112">
        <f t="shared" si="496"/>
        <v>12000000</v>
      </c>
      <c r="G2160" s="2">
        <f t="shared" si="503"/>
        <v>6842665</v>
      </c>
      <c r="H2160" s="113">
        <f t="shared" si="504"/>
        <v>5596200</v>
      </c>
      <c r="I2160" s="121">
        <f t="shared" si="497"/>
        <v>6842428.2000000002</v>
      </c>
      <c r="K2160" s="123">
        <f t="shared" si="505"/>
        <v>8000000</v>
      </c>
      <c r="L2160" s="111">
        <f t="shared" si="506"/>
        <v>121771</v>
      </c>
      <c r="M2160" s="2">
        <f t="shared" si="507"/>
        <v>32877.800000000003</v>
      </c>
      <c r="N2160" s="112">
        <f t="shared" si="498"/>
        <v>12000000</v>
      </c>
      <c r="O2160" s="2">
        <f t="shared" si="508"/>
        <v>6842665</v>
      </c>
      <c r="P2160" s="113">
        <f t="shared" si="509"/>
        <v>5596200</v>
      </c>
      <c r="Q2160" s="121">
        <f t="shared" si="499"/>
        <v>6842428.2000000002</v>
      </c>
    </row>
    <row r="2161" spans="2:17" x14ac:dyDescent="0.4">
      <c r="B2161" s="110">
        <v>46082</v>
      </c>
      <c r="C2161" s="122">
        <f t="shared" si="500"/>
        <v>8000000</v>
      </c>
      <c r="D2161" s="111">
        <f t="shared" si="501"/>
        <v>121771</v>
      </c>
      <c r="E2161" s="2">
        <f t="shared" si="502"/>
        <v>32877.800000000003</v>
      </c>
      <c r="F2161" s="112">
        <f t="shared" si="496"/>
        <v>12000000</v>
      </c>
      <c r="G2161" s="2">
        <f t="shared" si="503"/>
        <v>6842665</v>
      </c>
      <c r="H2161" s="113">
        <f t="shared" si="504"/>
        <v>5596200</v>
      </c>
      <c r="I2161" s="121">
        <f t="shared" si="497"/>
        <v>6842428.2000000002</v>
      </c>
      <c r="K2161" s="123">
        <f t="shared" si="505"/>
        <v>8000000</v>
      </c>
      <c r="L2161" s="111">
        <f t="shared" si="506"/>
        <v>121771</v>
      </c>
      <c r="M2161" s="2">
        <f t="shared" si="507"/>
        <v>32877.800000000003</v>
      </c>
      <c r="N2161" s="112">
        <f t="shared" si="498"/>
        <v>12000000</v>
      </c>
      <c r="O2161" s="2">
        <f t="shared" si="508"/>
        <v>6842665</v>
      </c>
      <c r="P2161" s="113">
        <f t="shared" si="509"/>
        <v>5596200</v>
      </c>
      <c r="Q2161" s="121">
        <f t="shared" si="499"/>
        <v>6842428.2000000002</v>
      </c>
    </row>
    <row r="2162" spans="2:17" x14ac:dyDescent="0.4">
      <c r="B2162" s="110">
        <v>46083</v>
      </c>
      <c r="C2162" s="122">
        <f t="shared" si="500"/>
        <v>8000000</v>
      </c>
      <c r="D2162" s="111">
        <f t="shared" si="501"/>
        <v>121771</v>
      </c>
      <c r="E2162" s="2">
        <f t="shared" si="502"/>
        <v>32877.800000000003</v>
      </c>
      <c r="F2162" s="112">
        <f t="shared" si="496"/>
        <v>12000000</v>
      </c>
      <c r="G2162" s="2">
        <f t="shared" si="503"/>
        <v>6842665</v>
      </c>
      <c r="H2162" s="113">
        <f t="shared" si="504"/>
        <v>5596200</v>
      </c>
      <c r="I2162" s="121">
        <f t="shared" si="497"/>
        <v>6842428.2000000002</v>
      </c>
      <c r="K2162" s="123">
        <f t="shared" si="505"/>
        <v>8000000</v>
      </c>
      <c r="L2162" s="111">
        <f t="shared" si="506"/>
        <v>121771</v>
      </c>
      <c r="M2162" s="2">
        <f t="shared" si="507"/>
        <v>32877.800000000003</v>
      </c>
      <c r="N2162" s="112">
        <f t="shared" si="498"/>
        <v>12000000</v>
      </c>
      <c r="O2162" s="2">
        <f t="shared" si="508"/>
        <v>6842665</v>
      </c>
      <c r="P2162" s="113">
        <f t="shared" si="509"/>
        <v>5596200</v>
      </c>
      <c r="Q2162" s="121">
        <f t="shared" si="499"/>
        <v>6842428.2000000002</v>
      </c>
    </row>
    <row r="2163" spans="2:17" x14ac:dyDescent="0.4">
      <c r="B2163" s="110">
        <v>46084</v>
      </c>
      <c r="C2163" s="122">
        <f t="shared" si="500"/>
        <v>8000000</v>
      </c>
      <c r="D2163" s="111">
        <f t="shared" si="501"/>
        <v>121771</v>
      </c>
      <c r="E2163" s="2">
        <f t="shared" si="502"/>
        <v>32877.800000000003</v>
      </c>
      <c r="F2163" s="112">
        <f t="shared" si="496"/>
        <v>12000000</v>
      </c>
      <c r="G2163" s="2">
        <f t="shared" si="503"/>
        <v>6842665</v>
      </c>
      <c r="H2163" s="113">
        <f t="shared" si="504"/>
        <v>5596200</v>
      </c>
      <c r="I2163" s="121">
        <f t="shared" si="497"/>
        <v>6842428.2000000002</v>
      </c>
      <c r="K2163" s="123">
        <f t="shared" si="505"/>
        <v>8000000</v>
      </c>
      <c r="L2163" s="111">
        <f t="shared" si="506"/>
        <v>121771</v>
      </c>
      <c r="M2163" s="2">
        <f t="shared" si="507"/>
        <v>32877.800000000003</v>
      </c>
      <c r="N2163" s="112">
        <f t="shared" si="498"/>
        <v>12000000</v>
      </c>
      <c r="O2163" s="2">
        <f t="shared" si="508"/>
        <v>6842665</v>
      </c>
      <c r="P2163" s="113">
        <f t="shared" si="509"/>
        <v>5596200</v>
      </c>
      <c r="Q2163" s="121">
        <f t="shared" si="499"/>
        <v>6842428.2000000002</v>
      </c>
    </row>
    <row r="2164" spans="2:17" x14ac:dyDescent="0.4">
      <c r="B2164" s="110">
        <v>46085</v>
      </c>
      <c r="C2164" s="122">
        <f t="shared" si="500"/>
        <v>8000000</v>
      </c>
      <c r="D2164" s="111">
        <f t="shared" si="501"/>
        <v>121771</v>
      </c>
      <c r="E2164" s="2">
        <f t="shared" si="502"/>
        <v>32877.800000000003</v>
      </c>
      <c r="F2164" s="112">
        <f t="shared" si="496"/>
        <v>12000000</v>
      </c>
      <c r="G2164" s="2">
        <f t="shared" si="503"/>
        <v>6842665</v>
      </c>
      <c r="H2164" s="113">
        <f t="shared" si="504"/>
        <v>5596200</v>
      </c>
      <c r="I2164" s="121">
        <f t="shared" si="497"/>
        <v>6842428.2000000002</v>
      </c>
      <c r="K2164" s="123">
        <f t="shared" si="505"/>
        <v>8000000</v>
      </c>
      <c r="L2164" s="111">
        <f t="shared" si="506"/>
        <v>121771</v>
      </c>
      <c r="M2164" s="2">
        <f t="shared" si="507"/>
        <v>32877.800000000003</v>
      </c>
      <c r="N2164" s="112">
        <f t="shared" si="498"/>
        <v>12000000</v>
      </c>
      <c r="O2164" s="2">
        <f t="shared" si="508"/>
        <v>6842665</v>
      </c>
      <c r="P2164" s="113">
        <f t="shared" si="509"/>
        <v>5596200</v>
      </c>
      <c r="Q2164" s="121">
        <f t="shared" si="499"/>
        <v>6842428.2000000002</v>
      </c>
    </row>
    <row r="2165" spans="2:17" x14ac:dyDescent="0.4">
      <c r="B2165" s="110">
        <v>46086</v>
      </c>
      <c r="C2165" s="122">
        <f t="shared" si="500"/>
        <v>8000000</v>
      </c>
      <c r="D2165" s="111">
        <f t="shared" si="501"/>
        <v>121771</v>
      </c>
      <c r="E2165" s="2">
        <f t="shared" si="502"/>
        <v>32877.800000000003</v>
      </c>
      <c r="F2165" s="112">
        <f t="shared" si="496"/>
        <v>12000000</v>
      </c>
      <c r="G2165" s="2">
        <f t="shared" si="503"/>
        <v>6842665</v>
      </c>
      <c r="H2165" s="113">
        <f t="shared" si="504"/>
        <v>5596200</v>
      </c>
      <c r="I2165" s="121">
        <f t="shared" si="497"/>
        <v>6842428.2000000002</v>
      </c>
      <c r="K2165" s="123">
        <f t="shared" si="505"/>
        <v>8000000</v>
      </c>
      <c r="L2165" s="111">
        <f t="shared" si="506"/>
        <v>121771</v>
      </c>
      <c r="M2165" s="2">
        <f t="shared" si="507"/>
        <v>32877.800000000003</v>
      </c>
      <c r="N2165" s="112">
        <f t="shared" si="498"/>
        <v>12000000</v>
      </c>
      <c r="O2165" s="2">
        <f t="shared" si="508"/>
        <v>6842665</v>
      </c>
      <c r="P2165" s="113">
        <f t="shared" si="509"/>
        <v>5596200</v>
      </c>
      <c r="Q2165" s="121">
        <f t="shared" si="499"/>
        <v>6842428.2000000002</v>
      </c>
    </row>
    <row r="2166" spans="2:17" x14ac:dyDescent="0.4">
      <c r="B2166" s="110">
        <v>46087</v>
      </c>
      <c r="C2166" s="122">
        <f t="shared" si="500"/>
        <v>8000000</v>
      </c>
      <c r="D2166" s="111">
        <f t="shared" si="501"/>
        <v>121771</v>
      </c>
      <c r="E2166" s="2">
        <f t="shared" si="502"/>
        <v>32877.800000000003</v>
      </c>
      <c r="F2166" s="112">
        <f t="shared" si="496"/>
        <v>12000000</v>
      </c>
      <c r="G2166" s="2">
        <f t="shared" si="503"/>
        <v>6842665</v>
      </c>
      <c r="H2166" s="113">
        <f t="shared" si="504"/>
        <v>5596200</v>
      </c>
      <c r="I2166" s="121">
        <f t="shared" si="497"/>
        <v>6842428.2000000002</v>
      </c>
      <c r="K2166" s="123">
        <f t="shared" si="505"/>
        <v>8000000</v>
      </c>
      <c r="L2166" s="111">
        <f t="shared" si="506"/>
        <v>121771</v>
      </c>
      <c r="M2166" s="2">
        <f t="shared" si="507"/>
        <v>32877.800000000003</v>
      </c>
      <c r="N2166" s="112">
        <f t="shared" si="498"/>
        <v>12000000</v>
      </c>
      <c r="O2166" s="2">
        <f t="shared" si="508"/>
        <v>6842665</v>
      </c>
      <c r="P2166" s="113">
        <f t="shared" si="509"/>
        <v>5596200</v>
      </c>
      <c r="Q2166" s="121">
        <f t="shared" si="499"/>
        <v>6842428.2000000002</v>
      </c>
    </row>
    <row r="2167" spans="2:17" x14ac:dyDescent="0.4">
      <c r="B2167" s="110">
        <v>46088</v>
      </c>
      <c r="C2167" s="122">
        <f t="shared" si="500"/>
        <v>8000000</v>
      </c>
      <c r="D2167" s="111">
        <f t="shared" si="501"/>
        <v>121771</v>
      </c>
      <c r="E2167" s="2">
        <f t="shared" si="502"/>
        <v>32877.800000000003</v>
      </c>
      <c r="F2167" s="112">
        <f t="shared" si="496"/>
        <v>12000000</v>
      </c>
      <c r="G2167" s="2">
        <f t="shared" si="503"/>
        <v>6842665</v>
      </c>
      <c r="H2167" s="113">
        <f t="shared" si="504"/>
        <v>5596200</v>
      </c>
      <c r="I2167" s="121">
        <f t="shared" si="497"/>
        <v>6842428.2000000002</v>
      </c>
      <c r="K2167" s="123">
        <f t="shared" si="505"/>
        <v>8000000</v>
      </c>
      <c r="L2167" s="111">
        <f t="shared" si="506"/>
        <v>121771</v>
      </c>
      <c r="M2167" s="2">
        <f t="shared" si="507"/>
        <v>32877.800000000003</v>
      </c>
      <c r="N2167" s="112">
        <f t="shared" si="498"/>
        <v>12000000</v>
      </c>
      <c r="O2167" s="2">
        <f t="shared" si="508"/>
        <v>6842665</v>
      </c>
      <c r="P2167" s="113">
        <f t="shared" si="509"/>
        <v>5596200</v>
      </c>
      <c r="Q2167" s="121">
        <f t="shared" si="499"/>
        <v>6842428.2000000002</v>
      </c>
    </row>
    <row r="2168" spans="2:17" x14ac:dyDescent="0.4">
      <c r="B2168" s="110">
        <v>46089</v>
      </c>
      <c r="C2168" s="122">
        <f t="shared" si="500"/>
        <v>8000000</v>
      </c>
      <c r="D2168" s="111">
        <f t="shared" si="501"/>
        <v>121771</v>
      </c>
      <c r="E2168" s="2">
        <f t="shared" si="502"/>
        <v>32877.800000000003</v>
      </c>
      <c r="F2168" s="112">
        <f t="shared" si="496"/>
        <v>12000000</v>
      </c>
      <c r="G2168" s="2">
        <f t="shared" si="503"/>
        <v>6842665</v>
      </c>
      <c r="H2168" s="113">
        <f t="shared" si="504"/>
        <v>5596200</v>
      </c>
      <c r="I2168" s="121">
        <f t="shared" si="497"/>
        <v>6842428.2000000002</v>
      </c>
      <c r="K2168" s="123">
        <f t="shared" si="505"/>
        <v>8000000</v>
      </c>
      <c r="L2168" s="111">
        <f t="shared" si="506"/>
        <v>121771</v>
      </c>
      <c r="M2168" s="2">
        <f t="shared" si="507"/>
        <v>32877.800000000003</v>
      </c>
      <c r="N2168" s="112">
        <f t="shared" si="498"/>
        <v>12000000</v>
      </c>
      <c r="O2168" s="2">
        <f t="shared" si="508"/>
        <v>6842665</v>
      </c>
      <c r="P2168" s="113">
        <f t="shared" si="509"/>
        <v>5596200</v>
      </c>
      <c r="Q2168" s="121">
        <f t="shared" si="499"/>
        <v>6842428.2000000002</v>
      </c>
    </row>
    <row r="2169" spans="2:17" x14ac:dyDescent="0.4">
      <c r="B2169" s="110">
        <v>46090</v>
      </c>
      <c r="C2169" s="122">
        <f t="shared" si="500"/>
        <v>8000000</v>
      </c>
      <c r="D2169" s="111">
        <f t="shared" si="501"/>
        <v>121771</v>
      </c>
      <c r="E2169" s="2">
        <f t="shared" si="502"/>
        <v>32877.800000000003</v>
      </c>
      <c r="F2169" s="112">
        <f t="shared" si="496"/>
        <v>12000000</v>
      </c>
      <c r="G2169" s="2">
        <f t="shared" si="503"/>
        <v>6842665</v>
      </c>
      <c r="H2169" s="113">
        <f t="shared" si="504"/>
        <v>5596200</v>
      </c>
      <c r="I2169" s="121">
        <f t="shared" si="497"/>
        <v>6842428.2000000002</v>
      </c>
      <c r="K2169" s="123">
        <f t="shared" si="505"/>
        <v>8000000</v>
      </c>
      <c r="L2169" s="111">
        <f t="shared" si="506"/>
        <v>121771</v>
      </c>
      <c r="M2169" s="2">
        <f t="shared" si="507"/>
        <v>32877.800000000003</v>
      </c>
      <c r="N2169" s="112">
        <f t="shared" si="498"/>
        <v>12000000</v>
      </c>
      <c r="O2169" s="2">
        <f t="shared" si="508"/>
        <v>6842665</v>
      </c>
      <c r="P2169" s="113">
        <f t="shared" si="509"/>
        <v>5596200</v>
      </c>
      <c r="Q2169" s="121">
        <f t="shared" si="499"/>
        <v>6842428.2000000002</v>
      </c>
    </row>
    <row r="2170" spans="2:17" x14ac:dyDescent="0.4">
      <c r="B2170" s="110">
        <v>46091</v>
      </c>
      <c r="C2170" s="122">
        <f t="shared" si="500"/>
        <v>8000000</v>
      </c>
      <c r="D2170" s="111">
        <f t="shared" si="501"/>
        <v>121771</v>
      </c>
      <c r="E2170" s="2">
        <f t="shared" si="502"/>
        <v>32877.800000000003</v>
      </c>
      <c r="F2170" s="112">
        <f t="shared" si="496"/>
        <v>12000000</v>
      </c>
      <c r="G2170" s="2">
        <f t="shared" si="503"/>
        <v>6842665</v>
      </c>
      <c r="H2170" s="113">
        <f t="shared" si="504"/>
        <v>5596200</v>
      </c>
      <c r="I2170" s="121">
        <f t="shared" si="497"/>
        <v>6842428.2000000002</v>
      </c>
      <c r="K2170" s="123">
        <f t="shared" si="505"/>
        <v>8000000</v>
      </c>
      <c r="L2170" s="111">
        <f t="shared" si="506"/>
        <v>121771</v>
      </c>
      <c r="M2170" s="2">
        <f t="shared" si="507"/>
        <v>32877.800000000003</v>
      </c>
      <c r="N2170" s="112">
        <f t="shared" si="498"/>
        <v>12000000</v>
      </c>
      <c r="O2170" s="2">
        <f t="shared" si="508"/>
        <v>6842665</v>
      </c>
      <c r="P2170" s="113">
        <f t="shared" si="509"/>
        <v>5596200</v>
      </c>
      <c r="Q2170" s="121">
        <f t="shared" si="499"/>
        <v>6842428.2000000002</v>
      </c>
    </row>
    <row r="2171" spans="2:17" x14ac:dyDescent="0.4">
      <c r="B2171" s="110">
        <v>46092</v>
      </c>
      <c r="C2171" s="122">
        <f t="shared" si="500"/>
        <v>8000000</v>
      </c>
      <c r="D2171" s="111">
        <f t="shared" si="501"/>
        <v>121771</v>
      </c>
      <c r="E2171" s="2">
        <f t="shared" si="502"/>
        <v>32877.800000000003</v>
      </c>
      <c r="F2171" s="112">
        <f t="shared" si="496"/>
        <v>12000000</v>
      </c>
      <c r="G2171" s="2">
        <f t="shared" si="503"/>
        <v>6842665</v>
      </c>
      <c r="H2171" s="113">
        <f t="shared" si="504"/>
        <v>5596200</v>
      </c>
      <c r="I2171" s="121">
        <f t="shared" si="497"/>
        <v>6842428.2000000002</v>
      </c>
      <c r="K2171" s="123">
        <f t="shared" si="505"/>
        <v>8000000</v>
      </c>
      <c r="L2171" s="111">
        <f t="shared" si="506"/>
        <v>121771</v>
      </c>
      <c r="M2171" s="2">
        <f t="shared" si="507"/>
        <v>32877.800000000003</v>
      </c>
      <c r="N2171" s="112">
        <f t="shared" si="498"/>
        <v>12000000</v>
      </c>
      <c r="O2171" s="2">
        <f t="shared" si="508"/>
        <v>6842665</v>
      </c>
      <c r="P2171" s="113">
        <f t="shared" si="509"/>
        <v>5596200</v>
      </c>
      <c r="Q2171" s="121">
        <f t="shared" si="499"/>
        <v>6842428.2000000002</v>
      </c>
    </row>
    <row r="2172" spans="2:17" x14ac:dyDescent="0.4">
      <c r="B2172" s="110">
        <v>46093</v>
      </c>
      <c r="C2172" s="122">
        <f t="shared" si="500"/>
        <v>8000000</v>
      </c>
      <c r="D2172" s="111">
        <f t="shared" si="501"/>
        <v>121771</v>
      </c>
      <c r="E2172" s="2">
        <f t="shared" si="502"/>
        <v>32877.800000000003</v>
      </c>
      <c r="F2172" s="112">
        <f t="shared" si="496"/>
        <v>12000000</v>
      </c>
      <c r="G2172" s="2">
        <f t="shared" si="503"/>
        <v>6842665</v>
      </c>
      <c r="H2172" s="113">
        <f t="shared" si="504"/>
        <v>5596200</v>
      </c>
      <c r="I2172" s="121">
        <f t="shared" si="497"/>
        <v>6842428.2000000002</v>
      </c>
      <c r="K2172" s="123">
        <f t="shared" si="505"/>
        <v>8000000</v>
      </c>
      <c r="L2172" s="111">
        <f t="shared" si="506"/>
        <v>121771</v>
      </c>
      <c r="M2172" s="2">
        <f t="shared" si="507"/>
        <v>32877.800000000003</v>
      </c>
      <c r="N2172" s="112">
        <f t="shared" si="498"/>
        <v>12000000</v>
      </c>
      <c r="O2172" s="2">
        <f t="shared" si="508"/>
        <v>6842665</v>
      </c>
      <c r="P2172" s="113">
        <f t="shared" si="509"/>
        <v>5596200</v>
      </c>
      <c r="Q2172" s="121">
        <f t="shared" si="499"/>
        <v>6842428.2000000002</v>
      </c>
    </row>
    <row r="2173" spans="2:17" x14ac:dyDescent="0.4">
      <c r="B2173" s="110">
        <v>46094</v>
      </c>
      <c r="C2173" s="122">
        <f t="shared" si="500"/>
        <v>8000000</v>
      </c>
      <c r="D2173" s="111">
        <f t="shared" si="501"/>
        <v>121771</v>
      </c>
      <c r="E2173" s="2">
        <f t="shared" si="502"/>
        <v>32877.800000000003</v>
      </c>
      <c r="F2173" s="112">
        <f t="shared" si="496"/>
        <v>12000000</v>
      </c>
      <c r="G2173" s="2">
        <f t="shared" si="503"/>
        <v>6842665</v>
      </c>
      <c r="H2173" s="113">
        <f t="shared" si="504"/>
        <v>5596200</v>
      </c>
      <c r="I2173" s="121">
        <f t="shared" si="497"/>
        <v>6842428.2000000002</v>
      </c>
      <c r="K2173" s="123">
        <f t="shared" si="505"/>
        <v>8000000</v>
      </c>
      <c r="L2173" s="111">
        <f t="shared" si="506"/>
        <v>121771</v>
      </c>
      <c r="M2173" s="2">
        <f t="shared" si="507"/>
        <v>32877.800000000003</v>
      </c>
      <c r="N2173" s="112">
        <f t="shared" si="498"/>
        <v>12000000</v>
      </c>
      <c r="O2173" s="2">
        <f t="shared" si="508"/>
        <v>6842665</v>
      </c>
      <c r="P2173" s="113">
        <f t="shared" si="509"/>
        <v>5596200</v>
      </c>
      <c r="Q2173" s="121">
        <f t="shared" si="499"/>
        <v>6842428.2000000002</v>
      </c>
    </row>
    <row r="2174" spans="2:17" x14ac:dyDescent="0.4">
      <c r="B2174" s="110">
        <v>46095</v>
      </c>
      <c r="C2174" s="122">
        <f t="shared" si="500"/>
        <v>8000000</v>
      </c>
      <c r="D2174" s="111">
        <f t="shared" si="501"/>
        <v>121771</v>
      </c>
      <c r="E2174" s="2">
        <f t="shared" si="502"/>
        <v>32877.800000000003</v>
      </c>
      <c r="F2174" s="112">
        <f t="shared" si="496"/>
        <v>12000000</v>
      </c>
      <c r="G2174" s="2">
        <f t="shared" si="503"/>
        <v>6842665</v>
      </c>
      <c r="H2174" s="113">
        <f t="shared" si="504"/>
        <v>5596200</v>
      </c>
      <c r="I2174" s="121">
        <f t="shared" si="497"/>
        <v>6842428.2000000002</v>
      </c>
      <c r="K2174" s="123">
        <f t="shared" si="505"/>
        <v>8000000</v>
      </c>
      <c r="L2174" s="111">
        <f t="shared" si="506"/>
        <v>121771</v>
      </c>
      <c r="M2174" s="2">
        <f t="shared" si="507"/>
        <v>32877.800000000003</v>
      </c>
      <c r="N2174" s="112">
        <f t="shared" si="498"/>
        <v>12000000</v>
      </c>
      <c r="O2174" s="2">
        <f t="shared" si="508"/>
        <v>6842665</v>
      </c>
      <c r="P2174" s="113">
        <f t="shared" si="509"/>
        <v>5596200</v>
      </c>
      <c r="Q2174" s="121">
        <f t="shared" si="499"/>
        <v>6842428.2000000002</v>
      </c>
    </row>
    <row r="2175" spans="2:17" x14ac:dyDescent="0.4">
      <c r="B2175" s="110">
        <v>46096</v>
      </c>
      <c r="C2175" s="122">
        <f t="shared" si="500"/>
        <v>8000000</v>
      </c>
      <c r="D2175" s="111">
        <f t="shared" si="501"/>
        <v>121771</v>
      </c>
      <c r="E2175" s="2">
        <f t="shared" si="502"/>
        <v>32877.800000000003</v>
      </c>
      <c r="F2175" s="112">
        <f t="shared" si="496"/>
        <v>12000000</v>
      </c>
      <c r="G2175" s="2">
        <f t="shared" si="503"/>
        <v>6842665</v>
      </c>
      <c r="H2175" s="113">
        <f t="shared" si="504"/>
        <v>5596200</v>
      </c>
      <c r="I2175" s="121">
        <f t="shared" si="497"/>
        <v>6842428.2000000002</v>
      </c>
      <c r="K2175" s="123">
        <f t="shared" si="505"/>
        <v>8000000</v>
      </c>
      <c r="L2175" s="111">
        <f t="shared" si="506"/>
        <v>121771</v>
      </c>
      <c r="M2175" s="2">
        <f t="shared" si="507"/>
        <v>32877.800000000003</v>
      </c>
      <c r="N2175" s="112">
        <f t="shared" si="498"/>
        <v>12000000</v>
      </c>
      <c r="O2175" s="2">
        <f t="shared" si="508"/>
        <v>6842665</v>
      </c>
      <c r="P2175" s="113">
        <f t="shared" si="509"/>
        <v>5596200</v>
      </c>
      <c r="Q2175" s="121">
        <f t="shared" si="499"/>
        <v>6842428.2000000002</v>
      </c>
    </row>
    <row r="2176" spans="2:17" x14ac:dyDescent="0.4">
      <c r="B2176" s="110">
        <v>46097</v>
      </c>
      <c r="C2176" s="122">
        <f t="shared" si="500"/>
        <v>8000000</v>
      </c>
      <c r="D2176" s="111">
        <f t="shared" si="501"/>
        <v>121771</v>
      </c>
      <c r="E2176" s="2">
        <f t="shared" si="502"/>
        <v>32877.800000000003</v>
      </c>
      <c r="F2176" s="112">
        <f t="shared" si="496"/>
        <v>12000000</v>
      </c>
      <c r="G2176" s="2">
        <f t="shared" si="503"/>
        <v>6842665</v>
      </c>
      <c r="H2176" s="113">
        <f t="shared" si="504"/>
        <v>5596200</v>
      </c>
      <c r="I2176" s="121">
        <f t="shared" si="497"/>
        <v>6842428.2000000002</v>
      </c>
      <c r="K2176" s="123">
        <f t="shared" si="505"/>
        <v>8000000</v>
      </c>
      <c r="L2176" s="111">
        <f t="shared" si="506"/>
        <v>121771</v>
      </c>
      <c r="M2176" s="2">
        <f t="shared" si="507"/>
        <v>32877.800000000003</v>
      </c>
      <c r="N2176" s="112">
        <f t="shared" si="498"/>
        <v>12000000</v>
      </c>
      <c r="O2176" s="2">
        <f t="shared" si="508"/>
        <v>6842665</v>
      </c>
      <c r="P2176" s="113">
        <f t="shared" si="509"/>
        <v>5596200</v>
      </c>
      <c r="Q2176" s="121">
        <f t="shared" si="499"/>
        <v>6842428.2000000002</v>
      </c>
    </row>
    <row r="2177" spans="2:17" x14ac:dyDescent="0.4">
      <c r="B2177" s="110">
        <v>46098</v>
      </c>
      <c r="C2177" s="122">
        <f t="shared" si="500"/>
        <v>8000000</v>
      </c>
      <c r="D2177" s="111">
        <f t="shared" si="501"/>
        <v>121771</v>
      </c>
      <c r="E2177" s="2">
        <f t="shared" si="502"/>
        <v>32877.800000000003</v>
      </c>
      <c r="F2177" s="112">
        <f t="shared" si="496"/>
        <v>12000000</v>
      </c>
      <c r="G2177" s="2">
        <f t="shared" si="503"/>
        <v>6842665</v>
      </c>
      <c r="H2177" s="113">
        <f t="shared" si="504"/>
        <v>5596200</v>
      </c>
      <c r="I2177" s="121">
        <f t="shared" si="497"/>
        <v>6842428.2000000002</v>
      </c>
      <c r="K2177" s="123">
        <f t="shared" si="505"/>
        <v>8000000</v>
      </c>
      <c r="L2177" s="111">
        <f t="shared" si="506"/>
        <v>121771</v>
      </c>
      <c r="M2177" s="2">
        <f t="shared" si="507"/>
        <v>32877.800000000003</v>
      </c>
      <c r="N2177" s="112">
        <f t="shared" si="498"/>
        <v>12000000</v>
      </c>
      <c r="O2177" s="2">
        <f t="shared" si="508"/>
        <v>6842665</v>
      </c>
      <c r="P2177" s="113">
        <f t="shared" si="509"/>
        <v>5596200</v>
      </c>
      <c r="Q2177" s="121">
        <f t="shared" si="499"/>
        <v>6842428.2000000002</v>
      </c>
    </row>
    <row r="2178" spans="2:17" x14ac:dyDescent="0.4">
      <c r="B2178" s="110">
        <v>46099</v>
      </c>
      <c r="C2178" s="122">
        <f t="shared" si="500"/>
        <v>8000000</v>
      </c>
      <c r="D2178" s="111">
        <f t="shared" si="501"/>
        <v>121771</v>
      </c>
      <c r="E2178" s="2">
        <f t="shared" si="502"/>
        <v>41401.800000000003</v>
      </c>
      <c r="F2178" s="112">
        <f t="shared" si="496"/>
        <v>12000000</v>
      </c>
      <c r="G2178" s="2">
        <f t="shared" si="503"/>
        <v>6842665</v>
      </c>
      <c r="H2178" s="113">
        <f t="shared" si="504"/>
        <v>7788200</v>
      </c>
      <c r="I2178" s="121">
        <f t="shared" si="497"/>
        <v>9025904.1999999993</v>
      </c>
      <c r="K2178" s="123">
        <f t="shared" si="505"/>
        <v>8000000</v>
      </c>
      <c r="L2178" s="111">
        <f t="shared" si="506"/>
        <v>121771</v>
      </c>
      <c r="M2178" s="2">
        <f t="shared" si="507"/>
        <v>41401.800000000003</v>
      </c>
      <c r="N2178" s="112">
        <f t="shared" si="498"/>
        <v>12000000</v>
      </c>
      <c r="O2178" s="2">
        <f t="shared" si="508"/>
        <v>6842665</v>
      </c>
      <c r="P2178" s="113">
        <f t="shared" si="509"/>
        <v>7788200</v>
      </c>
      <c r="Q2178" s="121">
        <f t="shared" si="499"/>
        <v>9025904.1999999993</v>
      </c>
    </row>
    <row r="2179" spans="2:17" x14ac:dyDescent="0.4">
      <c r="B2179" s="110">
        <v>46100</v>
      </c>
      <c r="C2179" s="122">
        <f t="shared" si="500"/>
        <v>8000000</v>
      </c>
      <c r="D2179" s="111">
        <f t="shared" si="501"/>
        <v>121771</v>
      </c>
      <c r="E2179" s="2">
        <f t="shared" si="502"/>
        <v>41401.800000000003</v>
      </c>
      <c r="F2179" s="112">
        <f t="shared" si="496"/>
        <v>12000000</v>
      </c>
      <c r="G2179" s="2">
        <f t="shared" si="503"/>
        <v>6842665</v>
      </c>
      <c r="H2179" s="113">
        <f t="shared" si="504"/>
        <v>7788200</v>
      </c>
      <c r="I2179" s="121">
        <f t="shared" si="497"/>
        <v>9025904.1999999993</v>
      </c>
      <c r="K2179" s="123">
        <f t="shared" si="505"/>
        <v>8000000</v>
      </c>
      <c r="L2179" s="111">
        <f t="shared" si="506"/>
        <v>121771</v>
      </c>
      <c r="M2179" s="2">
        <f t="shared" si="507"/>
        <v>41401.800000000003</v>
      </c>
      <c r="N2179" s="112">
        <f t="shared" si="498"/>
        <v>12000000</v>
      </c>
      <c r="O2179" s="2">
        <f t="shared" si="508"/>
        <v>6842665</v>
      </c>
      <c r="P2179" s="113">
        <f t="shared" si="509"/>
        <v>7788200</v>
      </c>
      <c r="Q2179" s="121">
        <f t="shared" si="499"/>
        <v>9025904.1999999993</v>
      </c>
    </row>
    <row r="2180" spans="2:17" x14ac:dyDescent="0.4">
      <c r="B2180" s="110">
        <v>46101</v>
      </c>
      <c r="C2180" s="122">
        <f t="shared" si="500"/>
        <v>8000000</v>
      </c>
      <c r="D2180" s="111">
        <f t="shared" si="501"/>
        <v>121771</v>
      </c>
      <c r="E2180" s="2">
        <f t="shared" si="502"/>
        <v>41401.800000000003</v>
      </c>
      <c r="F2180" s="112">
        <f t="shared" si="496"/>
        <v>12000000</v>
      </c>
      <c r="G2180" s="2">
        <f t="shared" si="503"/>
        <v>6842665</v>
      </c>
      <c r="H2180" s="113">
        <f t="shared" si="504"/>
        <v>7788200</v>
      </c>
      <c r="I2180" s="121">
        <f t="shared" si="497"/>
        <v>9025904.1999999993</v>
      </c>
      <c r="K2180" s="123">
        <f t="shared" si="505"/>
        <v>8000000</v>
      </c>
      <c r="L2180" s="111">
        <f t="shared" si="506"/>
        <v>121771</v>
      </c>
      <c r="M2180" s="2">
        <f t="shared" si="507"/>
        <v>41401.800000000003</v>
      </c>
      <c r="N2180" s="112">
        <f t="shared" si="498"/>
        <v>12000000</v>
      </c>
      <c r="O2180" s="2">
        <f t="shared" si="508"/>
        <v>6842665</v>
      </c>
      <c r="P2180" s="113">
        <f t="shared" si="509"/>
        <v>7788200</v>
      </c>
      <c r="Q2180" s="121">
        <f t="shared" si="499"/>
        <v>9025904.1999999993</v>
      </c>
    </row>
    <row r="2181" spans="2:17" x14ac:dyDescent="0.4">
      <c r="B2181" s="110">
        <v>46102</v>
      </c>
      <c r="C2181" s="122">
        <f t="shared" si="500"/>
        <v>8000000</v>
      </c>
      <c r="D2181" s="111">
        <f t="shared" si="501"/>
        <v>121771</v>
      </c>
      <c r="E2181" s="2">
        <f t="shared" si="502"/>
        <v>41401.800000000003</v>
      </c>
      <c r="F2181" s="112">
        <f t="shared" si="496"/>
        <v>12000000</v>
      </c>
      <c r="G2181" s="2">
        <f t="shared" si="503"/>
        <v>6842665</v>
      </c>
      <c r="H2181" s="113">
        <f t="shared" si="504"/>
        <v>7788200</v>
      </c>
      <c r="I2181" s="121">
        <f t="shared" si="497"/>
        <v>9025904.1999999993</v>
      </c>
      <c r="K2181" s="123">
        <f t="shared" si="505"/>
        <v>8000000</v>
      </c>
      <c r="L2181" s="111">
        <f t="shared" si="506"/>
        <v>121771</v>
      </c>
      <c r="M2181" s="2">
        <f t="shared" si="507"/>
        <v>41401.800000000003</v>
      </c>
      <c r="N2181" s="112">
        <f t="shared" si="498"/>
        <v>12000000</v>
      </c>
      <c r="O2181" s="2">
        <f t="shared" si="508"/>
        <v>6842665</v>
      </c>
      <c r="P2181" s="113">
        <f t="shared" si="509"/>
        <v>7788200</v>
      </c>
      <c r="Q2181" s="121">
        <f t="shared" si="499"/>
        <v>9025904.1999999993</v>
      </c>
    </row>
    <row r="2182" spans="2:17" x14ac:dyDescent="0.4">
      <c r="B2182" s="110">
        <v>46103</v>
      </c>
      <c r="C2182" s="122">
        <f t="shared" si="500"/>
        <v>8000000</v>
      </c>
      <c r="D2182" s="111">
        <f t="shared" si="501"/>
        <v>121771</v>
      </c>
      <c r="E2182" s="2">
        <f t="shared" si="502"/>
        <v>41401.800000000003</v>
      </c>
      <c r="F2182" s="112">
        <f t="shared" si="496"/>
        <v>12000000</v>
      </c>
      <c r="G2182" s="2">
        <f t="shared" si="503"/>
        <v>6842665</v>
      </c>
      <c r="H2182" s="113">
        <f t="shared" si="504"/>
        <v>7788200</v>
      </c>
      <c r="I2182" s="121">
        <f t="shared" si="497"/>
        <v>9025904.1999999993</v>
      </c>
      <c r="K2182" s="123">
        <f t="shared" si="505"/>
        <v>8000000</v>
      </c>
      <c r="L2182" s="111">
        <f t="shared" si="506"/>
        <v>121771</v>
      </c>
      <c r="M2182" s="2">
        <f t="shared" si="507"/>
        <v>41401.800000000003</v>
      </c>
      <c r="N2182" s="112">
        <f t="shared" si="498"/>
        <v>12000000</v>
      </c>
      <c r="O2182" s="2">
        <f t="shared" si="508"/>
        <v>6842665</v>
      </c>
      <c r="P2182" s="113">
        <f t="shared" si="509"/>
        <v>7788200</v>
      </c>
      <c r="Q2182" s="121">
        <f t="shared" si="499"/>
        <v>9025904.1999999993</v>
      </c>
    </row>
    <row r="2183" spans="2:17" x14ac:dyDescent="0.4">
      <c r="B2183" s="110">
        <v>46104</v>
      </c>
      <c r="C2183" s="122">
        <f t="shared" si="500"/>
        <v>8000000</v>
      </c>
      <c r="D2183" s="111">
        <f t="shared" si="501"/>
        <v>121771</v>
      </c>
      <c r="E2183" s="2">
        <f t="shared" si="502"/>
        <v>41401.800000000003</v>
      </c>
      <c r="F2183" s="112">
        <f t="shared" si="496"/>
        <v>12000000</v>
      </c>
      <c r="G2183" s="2">
        <f t="shared" si="503"/>
        <v>6842665</v>
      </c>
      <c r="H2183" s="113">
        <f t="shared" si="504"/>
        <v>7788200</v>
      </c>
      <c r="I2183" s="121">
        <f t="shared" si="497"/>
        <v>9025904.1999999993</v>
      </c>
      <c r="K2183" s="123">
        <f t="shared" si="505"/>
        <v>8000000</v>
      </c>
      <c r="L2183" s="111">
        <f t="shared" si="506"/>
        <v>121771</v>
      </c>
      <c r="M2183" s="2">
        <f t="shared" si="507"/>
        <v>41401.800000000003</v>
      </c>
      <c r="N2183" s="112">
        <f t="shared" si="498"/>
        <v>12000000</v>
      </c>
      <c r="O2183" s="2">
        <f t="shared" si="508"/>
        <v>6842665</v>
      </c>
      <c r="P2183" s="113">
        <f t="shared" si="509"/>
        <v>7788200</v>
      </c>
      <c r="Q2183" s="121">
        <f t="shared" si="499"/>
        <v>9025904.1999999993</v>
      </c>
    </row>
    <row r="2184" spans="2:17" x14ac:dyDescent="0.4">
      <c r="B2184" s="110">
        <v>46105</v>
      </c>
      <c r="C2184" s="122">
        <f t="shared" si="500"/>
        <v>8000000</v>
      </c>
      <c r="D2184" s="111">
        <f t="shared" si="501"/>
        <v>121771</v>
      </c>
      <c r="E2184" s="2">
        <f t="shared" si="502"/>
        <v>41401.800000000003</v>
      </c>
      <c r="F2184" s="112">
        <f t="shared" si="496"/>
        <v>12000000</v>
      </c>
      <c r="G2184" s="2">
        <f t="shared" si="503"/>
        <v>6842665</v>
      </c>
      <c r="H2184" s="113">
        <f t="shared" si="504"/>
        <v>7788200</v>
      </c>
      <c r="I2184" s="121">
        <f t="shared" si="497"/>
        <v>9025904.1999999993</v>
      </c>
      <c r="K2184" s="123">
        <f t="shared" si="505"/>
        <v>8000000</v>
      </c>
      <c r="L2184" s="111">
        <f t="shared" si="506"/>
        <v>121771</v>
      </c>
      <c r="M2184" s="2">
        <f t="shared" si="507"/>
        <v>41401.800000000003</v>
      </c>
      <c r="N2184" s="112">
        <f t="shared" si="498"/>
        <v>12000000</v>
      </c>
      <c r="O2184" s="2">
        <f t="shared" si="508"/>
        <v>6842665</v>
      </c>
      <c r="P2184" s="113">
        <f t="shared" si="509"/>
        <v>7788200</v>
      </c>
      <c r="Q2184" s="121">
        <f t="shared" si="499"/>
        <v>9025904.1999999993</v>
      </c>
    </row>
    <row r="2185" spans="2:17" x14ac:dyDescent="0.4">
      <c r="B2185" s="110">
        <v>46106</v>
      </c>
      <c r="C2185" s="122">
        <f t="shared" si="500"/>
        <v>8000000</v>
      </c>
      <c r="D2185" s="111">
        <f t="shared" si="501"/>
        <v>121771</v>
      </c>
      <c r="E2185" s="2">
        <f t="shared" si="502"/>
        <v>41401.800000000003</v>
      </c>
      <c r="F2185" s="112">
        <f t="shared" si="496"/>
        <v>12000000</v>
      </c>
      <c r="G2185" s="2">
        <f t="shared" si="503"/>
        <v>6842665</v>
      </c>
      <c r="H2185" s="113">
        <f t="shared" si="504"/>
        <v>7788200</v>
      </c>
      <c r="I2185" s="121">
        <f t="shared" si="497"/>
        <v>9025904.1999999993</v>
      </c>
      <c r="K2185" s="123">
        <f t="shared" si="505"/>
        <v>8000000</v>
      </c>
      <c r="L2185" s="111">
        <f t="shared" si="506"/>
        <v>121771</v>
      </c>
      <c r="M2185" s="2">
        <f t="shared" si="507"/>
        <v>41401.800000000003</v>
      </c>
      <c r="N2185" s="112">
        <f t="shared" si="498"/>
        <v>12000000</v>
      </c>
      <c r="O2185" s="2">
        <f t="shared" si="508"/>
        <v>6842665</v>
      </c>
      <c r="P2185" s="113">
        <f t="shared" si="509"/>
        <v>7788200</v>
      </c>
      <c r="Q2185" s="121">
        <f t="shared" si="499"/>
        <v>9025904.1999999993</v>
      </c>
    </row>
    <row r="2186" spans="2:17" x14ac:dyDescent="0.4">
      <c r="B2186" s="110">
        <v>46107</v>
      </c>
      <c r="C2186" s="122">
        <f t="shared" si="500"/>
        <v>8000000</v>
      </c>
      <c r="D2186" s="111">
        <f t="shared" si="501"/>
        <v>121771</v>
      </c>
      <c r="E2186" s="2">
        <f t="shared" si="502"/>
        <v>41401.800000000003</v>
      </c>
      <c r="F2186" s="112">
        <f t="shared" ref="F2186:F2213" si="510">20000000-C2186</f>
        <v>12000000</v>
      </c>
      <c r="G2186" s="2">
        <f t="shared" si="503"/>
        <v>6842665</v>
      </c>
      <c r="H2186" s="113">
        <f t="shared" si="504"/>
        <v>7788200</v>
      </c>
      <c r="I2186" s="121">
        <f t="shared" ref="I2186:I2249" si="511">C2186+D2186-G2186-E2186+H2186</f>
        <v>9025904.1999999993</v>
      </c>
      <c r="K2186" s="123">
        <f t="shared" si="505"/>
        <v>8000000</v>
      </c>
      <c r="L2186" s="111">
        <f t="shared" si="506"/>
        <v>121771</v>
      </c>
      <c r="M2186" s="2">
        <f t="shared" si="507"/>
        <v>41401.800000000003</v>
      </c>
      <c r="N2186" s="112">
        <f t="shared" ref="N2186:N2213" si="512">20000000-K2186</f>
        <v>12000000</v>
      </c>
      <c r="O2186" s="2">
        <f t="shared" si="508"/>
        <v>6842665</v>
      </c>
      <c r="P2186" s="113">
        <f t="shared" si="509"/>
        <v>7788200</v>
      </c>
      <c r="Q2186" s="121">
        <f t="shared" ref="Q2186:Q2249" si="513">K2186+L2186-O2186-M2186+P2186</f>
        <v>9025904.1999999993</v>
      </c>
    </row>
    <row r="2187" spans="2:17" x14ac:dyDescent="0.4">
      <c r="B2187" s="110">
        <v>46108</v>
      </c>
      <c r="C2187" s="122">
        <f t="shared" ref="C2187:C2213" si="514">SUMIF($B$6:$B$75,$B2187,$D$6:$D$75)+C2186</f>
        <v>8000000</v>
      </c>
      <c r="D2187" s="111">
        <f t="shared" ref="D2187:D2213" si="515">SUMIF($B$6:$B$75,$B2187,$E$6:$E$75)+D2186</f>
        <v>121771</v>
      </c>
      <c r="E2187" s="2">
        <f t="shared" ref="E2187:E2213" si="516">SUMIF($G$353:$G$376,$B2187,$J$353:$J$376)+SUMIF($E$353:$E$376,$B2187,$H$353:$H$376)+SUMIF($G$353:$G$376,$B2187,$I$353:$I$376)+E2186</f>
        <v>41401.800000000003</v>
      </c>
      <c r="F2187" s="112">
        <f t="shared" si="510"/>
        <v>12000000</v>
      </c>
      <c r="G2187" s="2">
        <f t="shared" ref="G2187:G2213" si="517">SUMIF($E$353:$E$376,$B2187,$M$353:$M$376)+G2186</f>
        <v>6842665</v>
      </c>
      <c r="H2187" s="113">
        <f t="shared" ref="H2187:H2213" si="518">SUMIF($G$353:$G$376,$B2187,$N$353:$N$376)+H2186</f>
        <v>7788200</v>
      </c>
      <c r="I2187" s="121">
        <f t="shared" si="511"/>
        <v>9025904.1999999993</v>
      </c>
      <c r="K2187" s="123">
        <f t="shared" ref="K2187:K2213" si="519">SUMIF($B$6:$B$75,$B2187,$D$6:$D$75)+K2186</f>
        <v>8000000</v>
      </c>
      <c r="L2187" s="111">
        <f t="shared" ref="L2187:L2213" si="520">SUMIF($B$6:$B$75,$B2187,$E$6:$E$75)+L2186</f>
        <v>121771</v>
      </c>
      <c r="M2187" s="2">
        <f t="shared" ref="M2187:M2213" si="521">SUMIF($G$353:$G$376,$B2187,$J$353:$J$376)+SUMIF($E$353:$E$376,$B2187,$H$353:$H$376)+SUMIF($G$353:$G$376,$B2187,$I$353:$I$376)+M2186</f>
        <v>41401.800000000003</v>
      </c>
      <c r="N2187" s="112">
        <f t="shared" si="512"/>
        <v>12000000</v>
      </c>
      <c r="O2187" s="2">
        <f t="shared" ref="O2187:O2213" si="522">SUMIF($E$353:$E$376,$B2187,$M$353:$M$376)+O2186</f>
        <v>6842665</v>
      </c>
      <c r="P2187" s="113">
        <f t="shared" ref="P2187:P2213" si="523">SUMIF($G$353:$G$376,$B2187,$N$353:$N$376)+P2186</f>
        <v>7788200</v>
      </c>
      <c r="Q2187" s="121">
        <f t="shared" si="513"/>
        <v>9025904.1999999993</v>
      </c>
    </row>
    <row r="2188" spans="2:17" x14ac:dyDescent="0.4">
      <c r="B2188" s="110">
        <v>46109</v>
      </c>
      <c r="C2188" s="122">
        <f t="shared" si="514"/>
        <v>8000000</v>
      </c>
      <c r="D2188" s="111">
        <f t="shared" si="515"/>
        <v>121771</v>
      </c>
      <c r="E2188" s="2">
        <f t="shared" si="516"/>
        <v>41401.800000000003</v>
      </c>
      <c r="F2188" s="112">
        <f t="shared" si="510"/>
        <v>12000000</v>
      </c>
      <c r="G2188" s="2">
        <f t="shared" si="517"/>
        <v>6842665</v>
      </c>
      <c r="H2188" s="113">
        <f t="shared" si="518"/>
        <v>7788200</v>
      </c>
      <c r="I2188" s="121">
        <f t="shared" si="511"/>
        <v>9025904.1999999993</v>
      </c>
      <c r="K2188" s="123">
        <f t="shared" si="519"/>
        <v>8000000</v>
      </c>
      <c r="L2188" s="111">
        <f t="shared" si="520"/>
        <v>121771</v>
      </c>
      <c r="M2188" s="2">
        <f t="shared" si="521"/>
        <v>41401.800000000003</v>
      </c>
      <c r="N2188" s="112">
        <f t="shared" si="512"/>
        <v>12000000</v>
      </c>
      <c r="O2188" s="2">
        <f t="shared" si="522"/>
        <v>6842665</v>
      </c>
      <c r="P2188" s="113">
        <f t="shared" si="523"/>
        <v>7788200</v>
      </c>
      <c r="Q2188" s="121">
        <f t="shared" si="513"/>
        <v>9025904.1999999993</v>
      </c>
    </row>
    <row r="2189" spans="2:17" x14ac:dyDescent="0.4">
      <c r="B2189" s="110">
        <v>46110</v>
      </c>
      <c r="C2189" s="122">
        <f t="shared" si="514"/>
        <v>8000000</v>
      </c>
      <c r="D2189" s="111">
        <f t="shared" si="515"/>
        <v>121771</v>
      </c>
      <c r="E2189" s="2">
        <f t="shared" si="516"/>
        <v>41401.800000000003</v>
      </c>
      <c r="F2189" s="112">
        <f t="shared" si="510"/>
        <v>12000000</v>
      </c>
      <c r="G2189" s="2">
        <f t="shared" si="517"/>
        <v>6842665</v>
      </c>
      <c r="H2189" s="113">
        <f t="shared" si="518"/>
        <v>7788200</v>
      </c>
      <c r="I2189" s="121">
        <f t="shared" si="511"/>
        <v>9025904.1999999993</v>
      </c>
      <c r="K2189" s="123">
        <f t="shared" si="519"/>
        <v>8000000</v>
      </c>
      <c r="L2189" s="111">
        <f t="shared" si="520"/>
        <v>121771</v>
      </c>
      <c r="M2189" s="2">
        <f t="shared" si="521"/>
        <v>41401.800000000003</v>
      </c>
      <c r="N2189" s="112">
        <f t="shared" si="512"/>
        <v>12000000</v>
      </c>
      <c r="O2189" s="2">
        <f t="shared" si="522"/>
        <v>6842665</v>
      </c>
      <c r="P2189" s="113">
        <f t="shared" si="523"/>
        <v>7788200</v>
      </c>
      <c r="Q2189" s="121">
        <f t="shared" si="513"/>
        <v>9025904.1999999993</v>
      </c>
    </row>
    <row r="2190" spans="2:17" x14ac:dyDescent="0.4">
      <c r="B2190" s="110">
        <v>46111</v>
      </c>
      <c r="C2190" s="122">
        <f t="shared" si="514"/>
        <v>8000000</v>
      </c>
      <c r="D2190" s="111">
        <f t="shared" si="515"/>
        <v>121771</v>
      </c>
      <c r="E2190" s="2">
        <f t="shared" si="516"/>
        <v>41401.800000000003</v>
      </c>
      <c r="F2190" s="112">
        <f t="shared" si="510"/>
        <v>12000000</v>
      </c>
      <c r="G2190" s="2">
        <f t="shared" si="517"/>
        <v>6842665</v>
      </c>
      <c r="H2190" s="113">
        <f t="shared" si="518"/>
        <v>7788200</v>
      </c>
      <c r="I2190" s="121">
        <f t="shared" si="511"/>
        <v>9025904.1999999993</v>
      </c>
      <c r="K2190" s="123">
        <f t="shared" si="519"/>
        <v>8000000</v>
      </c>
      <c r="L2190" s="111">
        <f t="shared" si="520"/>
        <v>121771</v>
      </c>
      <c r="M2190" s="2">
        <f t="shared" si="521"/>
        <v>41401.800000000003</v>
      </c>
      <c r="N2190" s="112">
        <f t="shared" si="512"/>
        <v>12000000</v>
      </c>
      <c r="O2190" s="2">
        <f t="shared" si="522"/>
        <v>6842665</v>
      </c>
      <c r="P2190" s="113">
        <f t="shared" si="523"/>
        <v>7788200</v>
      </c>
      <c r="Q2190" s="121">
        <f t="shared" si="513"/>
        <v>9025904.1999999993</v>
      </c>
    </row>
    <row r="2191" spans="2:17" x14ac:dyDescent="0.4">
      <c r="B2191" s="110">
        <v>46112</v>
      </c>
      <c r="C2191" s="122">
        <f t="shared" si="514"/>
        <v>8000000</v>
      </c>
      <c r="D2191" s="111">
        <f t="shared" si="515"/>
        <v>121771</v>
      </c>
      <c r="E2191" s="2">
        <f t="shared" si="516"/>
        <v>41401.800000000003</v>
      </c>
      <c r="F2191" s="112">
        <f t="shared" si="510"/>
        <v>12000000</v>
      </c>
      <c r="G2191" s="2">
        <f t="shared" si="517"/>
        <v>6842665</v>
      </c>
      <c r="H2191" s="113">
        <f t="shared" si="518"/>
        <v>7788200</v>
      </c>
      <c r="I2191" s="121">
        <f t="shared" si="511"/>
        <v>9025904.1999999993</v>
      </c>
      <c r="K2191" s="123">
        <f t="shared" si="519"/>
        <v>8000000</v>
      </c>
      <c r="L2191" s="111">
        <f t="shared" si="520"/>
        <v>121771</v>
      </c>
      <c r="M2191" s="2">
        <f t="shared" si="521"/>
        <v>41401.800000000003</v>
      </c>
      <c r="N2191" s="112">
        <f t="shared" si="512"/>
        <v>12000000</v>
      </c>
      <c r="O2191" s="2">
        <f t="shared" si="522"/>
        <v>6842665</v>
      </c>
      <c r="P2191" s="113">
        <f t="shared" si="523"/>
        <v>7788200</v>
      </c>
      <c r="Q2191" s="121">
        <f t="shared" si="513"/>
        <v>9025904.1999999993</v>
      </c>
    </row>
    <row r="2192" spans="2:17" x14ac:dyDescent="0.4">
      <c r="B2192" s="110">
        <v>46113</v>
      </c>
      <c r="C2192" s="122">
        <f t="shared" si="514"/>
        <v>8000000</v>
      </c>
      <c r="D2192" s="111">
        <f t="shared" si="515"/>
        <v>121771</v>
      </c>
      <c r="E2192" s="2">
        <f t="shared" si="516"/>
        <v>41401.800000000003</v>
      </c>
      <c r="F2192" s="112">
        <f t="shared" si="510"/>
        <v>12000000</v>
      </c>
      <c r="G2192" s="2">
        <f t="shared" si="517"/>
        <v>6842665</v>
      </c>
      <c r="H2192" s="113">
        <f t="shared" si="518"/>
        <v>7788200</v>
      </c>
      <c r="I2192" s="121">
        <f t="shared" si="511"/>
        <v>9025904.1999999993</v>
      </c>
      <c r="K2192" s="123">
        <f t="shared" si="519"/>
        <v>8000000</v>
      </c>
      <c r="L2192" s="111">
        <f t="shared" si="520"/>
        <v>121771</v>
      </c>
      <c r="M2192" s="2">
        <f t="shared" si="521"/>
        <v>41401.800000000003</v>
      </c>
      <c r="N2192" s="112">
        <f t="shared" si="512"/>
        <v>12000000</v>
      </c>
      <c r="O2192" s="2">
        <f t="shared" si="522"/>
        <v>6842665</v>
      </c>
      <c r="P2192" s="113">
        <f t="shared" si="523"/>
        <v>7788200</v>
      </c>
      <c r="Q2192" s="121">
        <f t="shared" si="513"/>
        <v>9025904.1999999993</v>
      </c>
    </row>
    <row r="2193" spans="2:17" x14ac:dyDescent="0.4">
      <c r="B2193" s="110">
        <v>46114</v>
      </c>
      <c r="C2193" s="122">
        <f t="shared" si="514"/>
        <v>8000000</v>
      </c>
      <c r="D2193" s="111">
        <f t="shared" si="515"/>
        <v>121771</v>
      </c>
      <c r="E2193" s="2">
        <f t="shared" si="516"/>
        <v>41401.800000000003</v>
      </c>
      <c r="F2193" s="112">
        <f t="shared" si="510"/>
        <v>12000000</v>
      </c>
      <c r="G2193" s="2">
        <f t="shared" si="517"/>
        <v>6842665</v>
      </c>
      <c r="H2193" s="113">
        <f t="shared" si="518"/>
        <v>7788200</v>
      </c>
      <c r="I2193" s="121">
        <f t="shared" si="511"/>
        <v>9025904.1999999993</v>
      </c>
      <c r="K2193" s="123">
        <f t="shared" si="519"/>
        <v>8000000</v>
      </c>
      <c r="L2193" s="111">
        <f t="shared" si="520"/>
        <v>121771</v>
      </c>
      <c r="M2193" s="2">
        <f t="shared" si="521"/>
        <v>41401.800000000003</v>
      </c>
      <c r="N2193" s="112">
        <f t="shared" si="512"/>
        <v>12000000</v>
      </c>
      <c r="O2193" s="2">
        <f t="shared" si="522"/>
        <v>6842665</v>
      </c>
      <c r="P2193" s="113">
        <f t="shared" si="523"/>
        <v>7788200</v>
      </c>
      <c r="Q2193" s="121">
        <f t="shared" si="513"/>
        <v>9025904.1999999993</v>
      </c>
    </row>
    <row r="2194" spans="2:17" x14ac:dyDescent="0.4">
      <c r="B2194" s="110">
        <v>46115</v>
      </c>
      <c r="C2194" s="122">
        <f t="shared" si="514"/>
        <v>8000000</v>
      </c>
      <c r="D2194" s="111">
        <f t="shared" si="515"/>
        <v>121771</v>
      </c>
      <c r="E2194" s="2">
        <f t="shared" si="516"/>
        <v>41401.800000000003</v>
      </c>
      <c r="F2194" s="112">
        <f t="shared" si="510"/>
        <v>12000000</v>
      </c>
      <c r="G2194" s="2">
        <f t="shared" si="517"/>
        <v>6842665</v>
      </c>
      <c r="H2194" s="113">
        <f t="shared" si="518"/>
        <v>7788200</v>
      </c>
      <c r="I2194" s="121">
        <f t="shared" si="511"/>
        <v>9025904.1999999993</v>
      </c>
      <c r="K2194" s="123">
        <f t="shared" si="519"/>
        <v>8000000</v>
      </c>
      <c r="L2194" s="111">
        <f t="shared" si="520"/>
        <v>121771</v>
      </c>
      <c r="M2194" s="2">
        <f t="shared" si="521"/>
        <v>41401.800000000003</v>
      </c>
      <c r="N2194" s="112">
        <f t="shared" si="512"/>
        <v>12000000</v>
      </c>
      <c r="O2194" s="2">
        <f t="shared" si="522"/>
        <v>6842665</v>
      </c>
      <c r="P2194" s="113">
        <f t="shared" si="523"/>
        <v>7788200</v>
      </c>
      <c r="Q2194" s="121">
        <f t="shared" si="513"/>
        <v>9025904.1999999993</v>
      </c>
    </row>
    <row r="2195" spans="2:17" x14ac:dyDescent="0.4">
      <c r="B2195" s="110">
        <v>46116</v>
      </c>
      <c r="C2195" s="122">
        <f t="shared" si="514"/>
        <v>8000000</v>
      </c>
      <c r="D2195" s="111">
        <f t="shared" si="515"/>
        <v>121771</v>
      </c>
      <c r="E2195" s="2">
        <f t="shared" si="516"/>
        <v>41401.800000000003</v>
      </c>
      <c r="F2195" s="112">
        <f t="shared" si="510"/>
        <v>12000000</v>
      </c>
      <c r="G2195" s="2">
        <f t="shared" si="517"/>
        <v>6842665</v>
      </c>
      <c r="H2195" s="113">
        <f t="shared" si="518"/>
        <v>7788200</v>
      </c>
      <c r="I2195" s="121">
        <f t="shared" si="511"/>
        <v>9025904.1999999993</v>
      </c>
      <c r="K2195" s="123">
        <f t="shared" si="519"/>
        <v>8000000</v>
      </c>
      <c r="L2195" s="111">
        <f t="shared" si="520"/>
        <v>121771</v>
      </c>
      <c r="M2195" s="2">
        <f t="shared" si="521"/>
        <v>41401.800000000003</v>
      </c>
      <c r="N2195" s="112">
        <f t="shared" si="512"/>
        <v>12000000</v>
      </c>
      <c r="O2195" s="2">
        <f t="shared" si="522"/>
        <v>6842665</v>
      </c>
      <c r="P2195" s="113">
        <f t="shared" si="523"/>
        <v>7788200</v>
      </c>
      <c r="Q2195" s="121">
        <f t="shared" si="513"/>
        <v>9025904.1999999993</v>
      </c>
    </row>
    <row r="2196" spans="2:17" x14ac:dyDescent="0.4">
      <c r="B2196" s="110">
        <v>46117</v>
      </c>
      <c r="C2196" s="122">
        <f t="shared" si="514"/>
        <v>8000000</v>
      </c>
      <c r="D2196" s="111">
        <f t="shared" si="515"/>
        <v>121771</v>
      </c>
      <c r="E2196" s="2">
        <f t="shared" si="516"/>
        <v>41401.800000000003</v>
      </c>
      <c r="F2196" s="112">
        <f t="shared" si="510"/>
        <v>12000000</v>
      </c>
      <c r="G2196" s="2">
        <f t="shared" si="517"/>
        <v>6842665</v>
      </c>
      <c r="H2196" s="113">
        <f t="shared" si="518"/>
        <v>7788200</v>
      </c>
      <c r="I2196" s="121">
        <f t="shared" si="511"/>
        <v>9025904.1999999993</v>
      </c>
      <c r="K2196" s="123">
        <f t="shared" si="519"/>
        <v>8000000</v>
      </c>
      <c r="L2196" s="111">
        <f t="shared" si="520"/>
        <v>121771</v>
      </c>
      <c r="M2196" s="2">
        <f t="shared" si="521"/>
        <v>41401.800000000003</v>
      </c>
      <c r="N2196" s="112">
        <f t="shared" si="512"/>
        <v>12000000</v>
      </c>
      <c r="O2196" s="2">
        <f t="shared" si="522"/>
        <v>6842665</v>
      </c>
      <c r="P2196" s="113">
        <f t="shared" si="523"/>
        <v>7788200</v>
      </c>
      <c r="Q2196" s="121">
        <f t="shared" si="513"/>
        <v>9025904.1999999993</v>
      </c>
    </row>
    <row r="2197" spans="2:17" x14ac:dyDescent="0.4">
      <c r="B2197" s="110">
        <v>46118</v>
      </c>
      <c r="C2197" s="122">
        <f t="shared" si="514"/>
        <v>8000000</v>
      </c>
      <c r="D2197" s="111">
        <f t="shared" si="515"/>
        <v>121771</v>
      </c>
      <c r="E2197" s="2">
        <f t="shared" si="516"/>
        <v>41401.800000000003</v>
      </c>
      <c r="F2197" s="112">
        <f t="shared" si="510"/>
        <v>12000000</v>
      </c>
      <c r="G2197" s="2">
        <f t="shared" si="517"/>
        <v>6842665</v>
      </c>
      <c r="H2197" s="113">
        <f t="shared" si="518"/>
        <v>7788200</v>
      </c>
      <c r="I2197" s="121">
        <f t="shared" si="511"/>
        <v>9025904.1999999993</v>
      </c>
      <c r="K2197" s="123">
        <f t="shared" si="519"/>
        <v>8000000</v>
      </c>
      <c r="L2197" s="111">
        <f t="shared" si="520"/>
        <v>121771</v>
      </c>
      <c r="M2197" s="2">
        <f t="shared" si="521"/>
        <v>41401.800000000003</v>
      </c>
      <c r="N2197" s="112">
        <f t="shared" si="512"/>
        <v>12000000</v>
      </c>
      <c r="O2197" s="2">
        <f t="shared" si="522"/>
        <v>6842665</v>
      </c>
      <c r="P2197" s="113">
        <f t="shared" si="523"/>
        <v>7788200</v>
      </c>
      <c r="Q2197" s="121">
        <f t="shared" si="513"/>
        <v>9025904.1999999993</v>
      </c>
    </row>
    <row r="2198" spans="2:17" x14ac:dyDescent="0.4">
      <c r="B2198" s="110">
        <v>46119</v>
      </c>
      <c r="C2198" s="122">
        <f t="shared" si="514"/>
        <v>8000000</v>
      </c>
      <c r="D2198" s="111">
        <f t="shared" si="515"/>
        <v>121771</v>
      </c>
      <c r="E2198" s="2">
        <f t="shared" si="516"/>
        <v>41401.800000000003</v>
      </c>
      <c r="F2198" s="112">
        <f t="shared" si="510"/>
        <v>12000000</v>
      </c>
      <c r="G2198" s="2">
        <f t="shared" si="517"/>
        <v>6842665</v>
      </c>
      <c r="H2198" s="113">
        <f t="shared" si="518"/>
        <v>7788200</v>
      </c>
      <c r="I2198" s="121">
        <f t="shared" si="511"/>
        <v>9025904.1999999993</v>
      </c>
      <c r="K2198" s="123">
        <f t="shared" si="519"/>
        <v>8000000</v>
      </c>
      <c r="L2198" s="111">
        <f t="shared" si="520"/>
        <v>121771</v>
      </c>
      <c r="M2198" s="2">
        <f t="shared" si="521"/>
        <v>41401.800000000003</v>
      </c>
      <c r="N2198" s="112">
        <f t="shared" si="512"/>
        <v>12000000</v>
      </c>
      <c r="O2198" s="2">
        <f t="shared" si="522"/>
        <v>6842665</v>
      </c>
      <c r="P2198" s="113">
        <f t="shared" si="523"/>
        <v>7788200</v>
      </c>
      <c r="Q2198" s="121">
        <f t="shared" si="513"/>
        <v>9025904.1999999993</v>
      </c>
    </row>
    <row r="2199" spans="2:17" x14ac:dyDescent="0.4">
      <c r="B2199" s="110">
        <v>46120</v>
      </c>
      <c r="C2199" s="122">
        <f t="shared" si="514"/>
        <v>8000000</v>
      </c>
      <c r="D2199" s="111">
        <f t="shared" si="515"/>
        <v>121771</v>
      </c>
      <c r="E2199" s="2">
        <f t="shared" si="516"/>
        <v>41401.800000000003</v>
      </c>
      <c r="F2199" s="112">
        <f t="shared" si="510"/>
        <v>12000000</v>
      </c>
      <c r="G2199" s="2">
        <f t="shared" si="517"/>
        <v>6842665</v>
      </c>
      <c r="H2199" s="113">
        <f t="shared" si="518"/>
        <v>7788200</v>
      </c>
      <c r="I2199" s="121">
        <f t="shared" si="511"/>
        <v>9025904.1999999993</v>
      </c>
      <c r="K2199" s="123">
        <f t="shared" si="519"/>
        <v>8000000</v>
      </c>
      <c r="L2199" s="111">
        <f t="shared" si="520"/>
        <v>121771</v>
      </c>
      <c r="M2199" s="2">
        <f t="shared" si="521"/>
        <v>41401.800000000003</v>
      </c>
      <c r="N2199" s="112">
        <f t="shared" si="512"/>
        <v>12000000</v>
      </c>
      <c r="O2199" s="2">
        <f t="shared" si="522"/>
        <v>6842665</v>
      </c>
      <c r="P2199" s="113">
        <f t="shared" si="523"/>
        <v>7788200</v>
      </c>
      <c r="Q2199" s="121">
        <f t="shared" si="513"/>
        <v>9025904.1999999993</v>
      </c>
    </row>
    <row r="2200" spans="2:17" x14ac:dyDescent="0.4">
      <c r="B2200" s="110">
        <v>46121</v>
      </c>
      <c r="C2200" s="122">
        <f t="shared" si="514"/>
        <v>8000000</v>
      </c>
      <c r="D2200" s="111">
        <f t="shared" si="515"/>
        <v>121771</v>
      </c>
      <c r="E2200" s="2">
        <f t="shared" si="516"/>
        <v>41401.800000000003</v>
      </c>
      <c r="F2200" s="112">
        <f t="shared" si="510"/>
        <v>12000000</v>
      </c>
      <c r="G2200" s="2">
        <f t="shared" si="517"/>
        <v>6842665</v>
      </c>
      <c r="H2200" s="113">
        <f t="shared" si="518"/>
        <v>7788200</v>
      </c>
      <c r="I2200" s="121">
        <f t="shared" si="511"/>
        <v>9025904.1999999993</v>
      </c>
      <c r="K2200" s="123">
        <f t="shared" si="519"/>
        <v>8000000</v>
      </c>
      <c r="L2200" s="111">
        <f t="shared" si="520"/>
        <v>121771</v>
      </c>
      <c r="M2200" s="2">
        <f t="shared" si="521"/>
        <v>41401.800000000003</v>
      </c>
      <c r="N2200" s="112">
        <f t="shared" si="512"/>
        <v>12000000</v>
      </c>
      <c r="O2200" s="2">
        <f t="shared" si="522"/>
        <v>6842665</v>
      </c>
      <c r="P2200" s="113">
        <f t="shared" si="523"/>
        <v>7788200</v>
      </c>
      <c r="Q2200" s="121">
        <f t="shared" si="513"/>
        <v>9025904.1999999993</v>
      </c>
    </row>
    <row r="2201" spans="2:17" x14ac:dyDescent="0.4">
      <c r="B2201" s="110">
        <v>46122</v>
      </c>
      <c r="C2201" s="122">
        <f t="shared" si="514"/>
        <v>8000000</v>
      </c>
      <c r="D2201" s="111">
        <f t="shared" si="515"/>
        <v>121771</v>
      </c>
      <c r="E2201" s="2">
        <f t="shared" si="516"/>
        <v>41401.800000000003</v>
      </c>
      <c r="F2201" s="112">
        <f t="shared" si="510"/>
        <v>12000000</v>
      </c>
      <c r="G2201" s="2">
        <f t="shared" si="517"/>
        <v>6842665</v>
      </c>
      <c r="H2201" s="113">
        <f t="shared" si="518"/>
        <v>7788200</v>
      </c>
      <c r="I2201" s="121">
        <f t="shared" si="511"/>
        <v>9025904.1999999993</v>
      </c>
      <c r="K2201" s="123">
        <f t="shared" si="519"/>
        <v>8000000</v>
      </c>
      <c r="L2201" s="111">
        <f t="shared" si="520"/>
        <v>121771</v>
      </c>
      <c r="M2201" s="2">
        <f t="shared" si="521"/>
        <v>41401.800000000003</v>
      </c>
      <c r="N2201" s="112">
        <f t="shared" si="512"/>
        <v>12000000</v>
      </c>
      <c r="O2201" s="2">
        <f t="shared" si="522"/>
        <v>6842665</v>
      </c>
      <c r="P2201" s="113">
        <f t="shared" si="523"/>
        <v>7788200</v>
      </c>
      <c r="Q2201" s="121">
        <f t="shared" si="513"/>
        <v>9025904.1999999993</v>
      </c>
    </row>
    <row r="2202" spans="2:17" x14ac:dyDescent="0.4">
      <c r="B2202" s="110">
        <v>46123</v>
      </c>
      <c r="C2202" s="122">
        <f t="shared" si="514"/>
        <v>8000000</v>
      </c>
      <c r="D2202" s="111">
        <f t="shared" si="515"/>
        <v>121771</v>
      </c>
      <c r="E2202" s="2">
        <f t="shared" si="516"/>
        <v>41401.800000000003</v>
      </c>
      <c r="F2202" s="112">
        <f t="shared" si="510"/>
        <v>12000000</v>
      </c>
      <c r="G2202" s="2">
        <f t="shared" si="517"/>
        <v>6842665</v>
      </c>
      <c r="H2202" s="113">
        <f t="shared" si="518"/>
        <v>7788200</v>
      </c>
      <c r="I2202" s="121">
        <f t="shared" si="511"/>
        <v>9025904.1999999993</v>
      </c>
      <c r="K2202" s="123">
        <f t="shared" si="519"/>
        <v>8000000</v>
      </c>
      <c r="L2202" s="111">
        <f t="shared" si="520"/>
        <v>121771</v>
      </c>
      <c r="M2202" s="2">
        <f t="shared" si="521"/>
        <v>41401.800000000003</v>
      </c>
      <c r="N2202" s="112">
        <f t="shared" si="512"/>
        <v>12000000</v>
      </c>
      <c r="O2202" s="2">
        <f t="shared" si="522"/>
        <v>6842665</v>
      </c>
      <c r="P2202" s="113">
        <f t="shared" si="523"/>
        <v>7788200</v>
      </c>
      <c r="Q2202" s="121">
        <f t="shared" si="513"/>
        <v>9025904.1999999993</v>
      </c>
    </row>
    <row r="2203" spans="2:17" x14ac:dyDescent="0.4">
      <c r="B2203" s="110">
        <v>46124</v>
      </c>
      <c r="C2203" s="122">
        <f t="shared" si="514"/>
        <v>8000000</v>
      </c>
      <c r="D2203" s="111">
        <f t="shared" si="515"/>
        <v>121771</v>
      </c>
      <c r="E2203" s="2">
        <f t="shared" si="516"/>
        <v>41401.800000000003</v>
      </c>
      <c r="F2203" s="112">
        <f t="shared" si="510"/>
        <v>12000000</v>
      </c>
      <c r="G2203" s="2">
        <f t="shared" si="517"/>
        <v>6842665</v>
      </c>
      <c r="H2203" s="113">
        <f t="shared" si="518"/>
        <v>7788200</v>
      </c>
      <c r="I2203" s="121">
        <f t="shared" si="511"/>
        <v>9025904.1999999993</v>
      </c>
      <c r="K2203" s="123">
        <f t="shared" si="519"/>
        <v>8000000</v>
      </c>
      <c r="L2203" s="111">
        <f t="shared" si="520"/>
        <v>121771</v>
      </c>
      <c r="M2203" s="2">
        <f t="shared" si="521"/>
        <v>41401.800000000003</v>
      </c>
      <c r="N2203" s="112">
        <f t="shared" si="512"/>
        <v>12000000</v>
      </c>
      <c r="O2203" s="2">
        <f t="shared" si="522"/>
        <v>6842665</v>
      </c>
      <c r="P2203" s="113">
        <f t="shared" si="523"/>
        <v>7788200</v>
      </c>
      <c r="Q2203" s="121">
        <f t="shared" si="513"/>
        <v>9025904.1999999993</v>
      </c>
    </row>
    <row r="2204" spans="2:17" x14ac:dyDescent="0.4">
      <c r="B2204" s="110">
        <v>46125</v>
      </c>
      <c r="C2204" s="122">
        <f t="shared" si="514"/>
        <v>8000000</v>
      </c>
      <c r="D2204" s="111">
        <f t="shared" si="515"/>
        <v>121771</v>
      </c>
      <c r="E2204" s="2">
        <f t="shared" si="516"/>
        <v>41401.800000000003</v>
      </c>
      <c r="F2204" s="112">
        <f t="shared" si="510"/>
        <v>12000000</v>
      </c>
      <c r="G2204" s="2">
        <f t="shared" si="517"/>
        <v>6842665</v>
      </c>
      <c r="H2204" s="113">
        <f t="shared" si="518"/>
        <v>7788200</v>
      </c>
      <c r="I2204" s="121">
        <f t="shared" si="511"/>
        <v>9025904.1999999993</v>
      </c>
      <c r="K2204" s="123">
        <f t="shared" si="519"/>
        <v>8000000</v>
      </c>
      <c r="L2204" s="111">
        <f t="shared" si="520"/>
        <v>121771</v>
      </c>
      <c r="M2204" s="2">
        <f t="shared" si="521"/>
        <v>41401.800000000003</v>
      </c>
      <c r="N2204" s="112">
        <f t="shared" si="512"/>
        <v>12000000</v>
      </c>
      <c r="O2204" s="2">
        <f t="shared" si="522"/>
        <v>6842665</v>
      </c>
      <c r="P2204" s="113">
        <f t="shared" si="523"/>
        <v>7788200</v>
      </c>
      <c r="Q2204" s="121">
        <f t="shared" si="513"/>
        <v>9025904.1999999993</v>
      </c>
    </row>
    <row r="2205" spans="2:17" x14ac:dyDescent="0.4">
      <c r="B2205" s="110">
        <v>46126</v>
      </c>
      <c r="C2205" s="122">
        <f t="shared" si="514"/>
        <v>8000000</v>
      </c>
      <c r="D2205" s="111">
        <f t="shared" si="515"/>
        <v>121771</v>
      </c>
      <c r="E2205" s="2">
        <f t="shared" si="516"/>
        <v>41401.800000000003</v>
      </c>
      <c r="F2205" s="112">
        <f t="shared" si="510"/>
        <v>12000000</v>
      </c>
      <c r="G2205" s="2">
        <f t="shared" si="517"/>
        <v>6842665</v>
      </c>
      <c r="H2205" s="113">
        <f t="shared" si="518"/>
        <v>7788200</v>
      </c>
      <c r="I2205" s="121">
        <f t="shared" si="511"/>
        <v>9025904.1999999993</v>
      </c>
      <c r="K2205" s="123">
        <f t="shared" si="519"/>
        <v>8000000</v>
      </c>
      <c r="L2205" s="111">
        <f t="shared" si="520"/>
        <v>121771</v>
      </c>
      <c r="M2205" s="2">
        <f t="shared" si="521"/>
        <v>41401.800000000003</v>
      </c>
      <c r="N2205" s="112">
        <f t="shared" si="512"/>
        <v>12000000</v>
      </c>
      <c r="O2205" s="2">
        <f t="shared" si="522"/>
        <v>6842665</v>
      </c>
      <c r="P2205" s="113">
        <f t="shared" si="523"/>
        <v>7788200</v>
      </c>
      <c r="Q2205" s="121">
        <f t="shared" si="513"/>
        <v>9025904.1999999993</v>
      </c>
    </row>
    <row r="2206" spans="2:17" x14ac:dyDescent="0.4">
      <c r="B2206" s="110">
        <v>46127</v>
      </c>
      <c r="C2206" s="122">
        <f t="shared" si="514"/>
        <v>8000000</v>
      </c>
      <c r="D2206" s="111">
        <f t="shared" si="515"/>
        <v>121771</v>
      </c>
      <c r="E2206" s="2">
        <f t="shared" si="516"/>
        <v>41401.800000000003</v>
      </c>
      <c r="F2206" s="112">
        <f t="shared" si="510"/>
        <v>12000000</v>
      </c>
      <c r="G2206" s="2">
        <f t="shared" si="517"/>
        <v>6842665</v>
      </c>
      <c r="H2206" s="113">
        <f t="shared" si="518"/>
        <v>7788200</v>
      </c>
      <c r="I2206" s="121">
        <f t="shared" si="511"/>
        <v>9025904.1999999993</v>
      </c>
      <c r="K2206" s="123">
        <f t="shared" si="519"/>
        <v>8000000</v>
      </c>
      <c r="L2206" s="111">
        <f t="shared" si="520"/>
        <v>121771</v>
      </c>
      <c r="M2206" s="2">
        <f t="shared" si="521"/>
        <v>41401.800000000003</v>
      </c>
      <c r="N2206" s="112">
        <f t="shared" si="512"/>
        <v>12000000</v>
      </c>
      <c r="O2206" s="2">
        <f t="shared" si="522"/>
        <v>6842665</v>
      </c>
      <c r="P2206" s="113">
        <f t="shared" si="523"/>
        <v>7788200</v>
      </c>
      <c r="Q2206" s="121">
        <f t="shared" si="513"/>
        <v>9025904.1999999993</v>
      </c>
    </row>
    <row r="2207" spans="2:17" x14ac:dyDescent="0.4">
      <c r="B2207" s="110">
        <v>46128</v>
      </c>
      <c r="C2207" s="122">
        <f t="shared" si="514"/>
        <v>8000000</v>
      </c>
      <c r="D2207" s="111">
        <f t="shared" si="515"/>
        <v>121771</v>
      </c>
      <c r="E2207" s="2">
        <f t="shared" si="516"/>
        <v>41401.800000000003</v>
      </c>
      <c r="F2207" s="112">
        <f t="shared" si="510"/>
        <v>12000000</v>
      </c>
      <c r="G2207" s="2">
        <f t="shared" si="517"/>
        <v>6842665</v>
      </c>
      <c r="H2207" s="113">
        <f t="shared" si="518"/>
        <v>7788200</v>
      </c>
      <c r="I2207" s="121">
        <f t="shared" si="511"/>
        <v>9025904.1999999993</v>
      </c>
      <c r="K2207" s="123">
        <f t="shared" si="519"/>
        <v>8000000</v>
      </c>
      <c r="L2207" s="111">
        <f t="shared" si="520"/>
        <v>121771</v>
      </c>
      <c r="M2207" s="2">
        <f t="shared" si="521"/>
        <v>41401.800000000003</v>
      </c>
      <c r="N2207" s="112">
        <f t="shared" si="512"/>
        <v>12000000</v>
      </c>
      <c r="O2207" s="2">
        <f t="shared" si="522"/>
        <v>6842665</v>
      </c>
      <c r="P2207" s="113">
        <f t="shared" si="523"/>
        <v>7788200</v>
      </c>
      <c r="Q2207" s="121">
        <f t="shared" si="513"/>
        <v>9025904.1999999993</v>
      </c>
    </row>
    <row r="2208" spans="2:17" x14ac:dyDescent="0.4">
      <c r="B2208" s="110">
        <v>46129</v>
      </c>
      <c r="C2208" s="122">
        <f t="shared" si="514"/>
        <v>8000000</v>
      </c>
      <c r="D2208" s="111">
        <f t="shared" si="515"/>
        <v>121771</v>
      </c>
      <c r="E2208" s="2">
        <f t="shared" si="516"/>
        <v>41401.800000000003</v>
      </c>
      <c r="F2208" s="112">
        <f t="shared" si="510"/>
        <v>12000000</v>
      </c>
      <c r="G2208" s="2">
        <f t="shared" si="517"/>
        <v>6842665</v>
      </c>
      <c r="H2208" s="113">
        <f t="shared" si="518"/>
        <v>7788200</v>
      </c>
      <c r="I2208" s="121">
        <f t="shared" si="511"/>
        <v>9025904.1999999993</v>
      </c>
      <c r="K2208" s="123">
        <f t="shared" si="519"/>
        <v>8000000</v>
      </c>
      <c r="L2208" s="111">
        <f t="shared" si="520"/>
        <v>121771</v>
      </c>
      <c r="M2208" s="2">
        <f t="shared" si="521"/>
        <v>41401.800000000003</v>
      </c>
      <c r="N2208" s="112">
        <f t="shared" si="512"/>
        <v>12000000</v>
      </c>
      <c r="O2208" s="2">
        <f t="shared" si="522"/>
        <v>6842665</v>
      </c>
      <c r="P2208" s="113">
        <f t="shared" si="523"/>
        <v>7788200</v>
      </c>
      <c r="Q2208" s="121">
        <f t="shared" si="513"/>
        <v>9025904.1999999993</v>
      </c>
    </row>
    <row r="2209" spans="2:17" x14ac:dyDescent="0.4">
      <c r="B2209" s="110">
        <v>46130</v>
      </c>
      <c r="C2209" s="122">
        <f t="shared" si="514"/>
        <v>8000000</v>
      </c>
      <c r="D2209" s="111">
        <f t="shared" si="515"/>
        <v>121771</v>
      </c>
      <c r="E2209" s="2">
        <f t="shared" si="516"/>
        <v>41401.800000000003</v>
      </c>
      <c r="F2209" s="112">
        <f t="shared" si="510"/>
        <v>12000000</v>
      </c>
      <c r="G2209" s="2">
        <f t="shared" si="517"/>
        <v>6842665</v>
      </c>
      <c r="H2209" s="113">
        <f t="shared" si="518"/>
        <v>7788200</v>
      </c>
      <c r="I2209" s="121">
        <f t="shared" si="511"/>
        <v>9025904.1999999993</v>
      </c>
      <c r="K2209" s="123">
        <f t="shared" si="519"/>
        <v>8000000</v>
      </c>
      <c r="L2209" s="111">
        <f t="shared" si="520"/>
        <v>121771</v>
      </c>
      <c r="M2209" s="2">
        <f t="shared" si="521"/>
        <v>41401.800000000003</v>
      </c>
      <c r="N2209" s="112">
        <f t="shared" si="512"/>
        <v>12000000</v>
      </c>
      <c r="O2209" s="2">
        <f t="shared" si="522"/>
        <v>6842665</v>
      </c>
      <c r="P2209" s="113">
        <f t="shared" si="523"/>
        <v>7788200</v>
      </c>
      <c r="Q2209" s="121">
        <f t="shared" si="513"/>
        <v>9025904.1999999993</v>
      </c>
    </row>
    <row r="2210" spans="2:17" x14ac:dyDescent="0.4">
      <c r="B2210" s="110">
        <v>46131</v>
      </c>
      <c r="C2210" s="122">
        <f t="shared" si="514"/>
        <v>8000000</v>
      </c>
      <c r="D2210" s="111">
        <f t="shared" si="515"/>
        <v>121771</v>
      </c>
      <c r="E2210" s="2">
        <f t="shared" si="516"/>
        <v>41401.800000000003</v>
      </c>
      <c r="F2210" s="112">
        <f t="shared" si="510"/>
        <v>12000000</v>
      </c>
      <c r="G2210" s="2">
        <f t="shared" si="517"/>
        <v>6842665</v>
      </c>
      <c r="H2210" s="113">
        <f t="shared" si="518"/>
        <v>7788200</v>
      </c>
      <c r="I2210" s="121">
        <f t="shared" si="511"/>
        <v>9025904.1999999993</v>
      </c>
      <c r="K2210" s="123">
        <f t="shared" si="519"/>
        <v>8000000</v>
      </c>
      <c r="L2210" s="111">
        <f t="shared" si="520"/>
        <v>121771</v>
      </c>
      <c r="M2210" s="2">
        <f t="shared" si="521"/>
        <v>41401.800000000003</v>
      </c>
      <c r="N2210" s="112">
        <f t="shared" si="512"/>
        <v>12000000</v>
      </c>
      <c r="O2210" s="2">
        <f t="shared" si="522"/>
        <v>6842665</v>
      </c>
      <c r="P2210" s="113">
        <f t="shared" si="523"/>
        <v>7788200</v>
      </c>
      <c r="Q2210" s="121">
        <f t="shared" si="513"/>
        <v>9025904.1999999993</v>
      </c>
    </row>
    <row r="2211" spans="2:17" x14ac:dyDescent="0.4">
      <c r="B2211" s="110">
        <v>46132</v>
      </c>
      <c r="C2211" s="122">
        <f t="shared" si="514"/>
        <v>8000000</v>
      </c>
      <c r="D2211" s="111">
        <f t="shared" si="515"/>
        <v>121771</v>
      </c>
      <c r="E2211" s="2">
        <f t="shared" si="516"/>
        <v>41401.800000000003</v>
      </c>
      <c r="F2211" s="112">
        <f t="shared" si="510"/>
        <v>12000000</v>
      </c>
      <c r="G2211" s="2">
        <f t="shared" si="517"/>
        <v>6842665</v>
      </c>
      <c r="H2211" s="113">
        <f t="shared" si="518"/>
        <v>7788200</v>
      </c>
      <c r="I2211" s="121">
        <f t="shared" si="511"/>
        <v>9025904.1999999993</v>
      </c>
      <c r="K2211" s="123">
        <f t="shared" si="519"/>
        <v>8000000</v>
      </c>
      <c r="L2211" s="111">
        <f t="shared" si="520"/>
        <v>121771</v>
      </c>
      <c r="M2211" s="2">
        <f t="shared" si="521"/>
        <v>41401.800000000003</v>
      </c>
      <c r="N2211" s="112">
        <f t="shared" si="512"/>
        <v>12000000</v>
      </c>
      <c r="O2211" s="2">
        <f t="shared" si="522"/>
        <v>6842665</v>
      </c>
      <c r="P2211" s="113">
        <f t="shared" si="523"/>
        <v>7788200</v>
      </c>
      <c r="Q2211" s="121">
        <f t="shared" si="513"/>
        <v>9025904.1999999993</v>
      </c>
    </row>
    <row r="2212" spans="2:17" x14ac:dyDescent="0.4">
      <c r="B2212" s="110">
        <v>46133</v>
      </c>
      <c r="C2212" s="122">
        <f t="shared" si="514"/>
        <v>8000000</v>
      </c>
      <c r="D2212" s="111">
        <f t="shared" si="515"/>
        <v>121771</v>
      </c>
      <c r="E2212" s="2">
        <f t="shared" si="516"/>
        <v>41401.800000000003</v>
      </c>
      <c r="F2212" s="112">
        <f t="shared" si="510"/>
        <v>12000000</v>
      </c>
      <c r="G2212" s="2">
        <f t="shared" si="517"/>
        <v>6842665</v>
      </c>
      <c r="H2212" s="113">
        <f t="shared" si="518"/>
        <v>7788200</v>
      </c>
      <c r="I2212" s="121">
        <f t="shared" si="511"/>
        <v>9025904.1999999993</v>
      </c>
      <c r="K2212" s="123">
        <f t="shared" si="519"/>
        <v>8000000</v>
      </c>
      <c r="L2212" s="111">
        <f t="shared" si="520"/>
        <v>121771</v>
      </c>
      <c r="M2212" s="2">
        <f t="shared" si="521"/>
        <v>41401.800000000003</v>
      </c>
      <c r="N2212" s="112">
        <f t="shared" si="512"/>
        <v>12000000</v>
      </c>
      <c r="O2212" s="2">
        <f t="shared" si="522"/>
        <v>6842665</v>
      </c>
      <c r="P2212" s="113">
        <f t="shared" si="523"/>
        <v>7788200</v>
      </c>
      <c r="Q2212" s="121">
        <f t="shared" si="513"/>
        <v>9025904.1999999993</v>
      </c>
    </row>
    <row r="2213" spans="2:17" x14ac:dyDescent="0.4">
      <c r="B2213" s="110">
        <v>46134</v>
      </c>
      <c r="C2213" s="122">
        <f t="shared" si="514"/>
        <v>8000000</v>
      </c>
      <c r="D2213" s="111">
        <f t="shared" si="515"/>
        <v>121771</v>
      </c>
      <c r="E2213" s="2">
        <f t="shared" si="516"/>
        <v>41401.800000000003</v>
      </c>
      <c r="F2213" s="112">
        <f t="shared" si="510"/>
        <v>12000000</v>
      </c>
      <c r="G2213" s="2">
        <f t="shared" si="517"/>
        <v>6842665</v>
      </c>
      <c r="H2213" s="113">
        <f t="shared" si="518"/>
        <v>7788200</v>
      </c>
      <c r="I2213" s="121">
        <f t="shared" si="511"/>
        <v>9025904.1999999993</v>
      </c>
      <c r="K2213" s="123">
        <f t="shared" si="519"/>
        <v>8000000</v>
      </c>
      <c r="L2213" s="111">
        <f t="shared" si="520"/>
        <v>121771</v>
      </c>
      <c r="M2213" s="2">
        <f t="shared" si="521"/>
        <v>41401.800000000003</v>
      </c>
      <c r="N2213" s="112">
        <f t="shared" si="512"/>
        <v>12000000</v>
      </c>
      <c r="O2213" s="2">
        <f t="shared" si="522"/>
        <v>6842665</v>
      </c>
      <c r="P2213" s="113">
        <f t="shared" si="523"/>
        <v>7788200</v>
      </c>
      <c r="Q2213" s="121">
        <f t="shared" si="513"/>
        <v>9025904.1999999993</v>
      </c>
    </row>
    <row r="2214" spans="2:17" x14ac:dyDescent="0.4">
      <c r="B2214" s="110">
        <v>46135</v>
      </c>
      <c r="C2214" s="122">
        <f t="shared" ref="C2214:C2277" si="524">SUMIF($B$6:$B$75,$B2214,$D$6:$D$75)+C2213</f>
        <v>8000000</v>
      </c>
      <c r="D2214" s="111">
        <f t="shared" ref="D2214:D2277" si="525">SUMIF($B$6:$B$75,$B2214,$E$6:$E$75)+D2213</f>
        <v>121771</v>
      </c>
      <c r="E2214" s="2">
        <f t="shared" ref="E2214:E2277" si="526">SUMIF($G$353:$G$376,$B2214,$J$353:$J$376)+SUMIF($E$353:$E$376,$B2214,$H$353:$H$376)+SUMIF($G$353:$G$376,$B2214,$I$353:$I$376)+E2213</f>
        <v>41401.800000000003</v>
      </c>
      <c r="F2214" s="112">
        <f t="shared" ref="F2214:F2277" si="527">20000000-C2214</f>
        <v>12000000</v>
      </c>
      <c r="G2214" s="2">
        <f t="shared" ref="G2214:G2277" si="528">SUMIF($E$353:$E$376,$B2214,$M$353:$M$376)+G2213</f>
        <v>6842665</v>
      </c>
      <c r="H2214" s="113">
        <f t="shared" ref="H2214:H2277" si="529">SUMIF($G$353:$G$376,$B2214,$N$353:$N$376)+H2213</f>
        <v>7788200</v>
      </c>
      <c r="I2214" s="121">
        <f t="shared" ref="I2214:I2277" si="530">C2214+D2214-G2214-E2214+H2214</f>
        <v>9025904.1999999993</v>
      </c>
      <c r="K2214" s="123">
        <f t="shared" ref="K2214:K2277" si="531">SUMIF($B$6:$B$75,$B2214,$D$6:$D$75)+K2213</f>
        <v>8000000</v>
      </c>
      <c r="L2214" s="111">
        <f t="shared" ref="L2214:L2277" si="532">SUMIF($B$6:$B$75,$B2214,$E$6:$E$75)+L2213</f>
        <v>121771</v>
      </c>
      <c r="M2214" s="2">
        <f t="shared" ref="M2214:M2277" si="533">SUMIF($G$353:$G$376,$B2214,$J$353:$J$376)+SUMIF($E$353:$E$376,$B2214,$H$353:$H$376)+SUMIF($G$353:$G$376,$B2214,$I$353:$I$376)+M2213</f>
        <v>41401.800000000003</v>
      </c>
      <c r="N2214" s="112">
        <f t="shared" ref="N2214:N2277" si="534">20000000-K2214</f>
        <v>12000000</v>
      </c>
      <c r="O2214" s="2">
        <f t="shared" ref="O2214:O2277" si="535">SUMIF($E$353:$E$376,$B2214,$M$353:$M$376)+O2213</f>
        <v>6842665</v>
      </c>
      <c r="P2214" s="113">
        <f t="shared" ref="P2214:P2277" si="536">SUMIF($G$353:$G$376,$B2214,$N$353:$N$376)+P2213</f>
        <v>7788200</v>
      </c>
      <c r="Q2214" s="121">
        <f t="shared" ref="Q2214:Q2277" si="537">K2214+L2214-O2214-M2214+P2214</f>
        <v>9025904.1999999993</v>
      </c>
    </row>
    <row r="2215" spans="2:17" x14ac:dyDescent="0.4">
      <c r="B2215" s="110">
        <v>46136</v>
      </c>
      <c r="C2215" s="122">
        <f t="shared" si="524"/>
        <v>8000000</v>
      </c>
      <c r="D2215" s="111">
        <f t="shared" si="525"/>
        <v>121771</v>
      </c>
      <c r="E2215" s="2">
        <f t="shared" si="526"/>
        <v>41401.800000000003</v>
      </c>
      <c r="F2215" s="112">
        <f t="shared" si="527"/>
        <v>12000000</v>
      </c>
      <c r="G2215" s="2">
        <f t="shared" si="528"/>
        <v>6842665</v>
      </c>
      <c r="H2215" s="113">
        <f t="shared" si="529"/>
        <v>7788200</v>
      </c>
      <c r="I2215" s="121">
        <f t="shared" si="530"/>
        <v>9025904.1999999993</v>
      </c>
      <c r="K2215" s="123">
        <f t="shared" si="531"/>
        <v>8000000</v>
      </c>
      <c r="L2215" s="111">
        <f t="shared" si="532"/>
        <v>121771</v>
      </c>
      <c r="M2215" s="2">
        <f t="shared" si="533"/>
        <v>41401.800000000003</v>
      </c>
      <c r="N2215" s="112">
        <f t="shared" si="534"/>
        <v>12000000</v>
      </c>
      <c r="O2215" s="2">
        <f t="shared" si="535"/>
        <v>6842665</v>
      </c>
      <c r="P2215" s="113">
        <f t="shared" si="536"/>
        <v>7788200</v>
      </c>
      <c r="Q2215" s="121">
        <f t="shared" si="537"/>
        <v>9025904.1999999993</v>
      </c>
    </row>
    <row r="2216" spans="2:17" x14ac:dyDescent="0.4">
      <c r="B2216" s="110">
        <v>46137</v>
      </c>
      <c r="C2216" s="122">
        <f t="shared" si="524"/>
        <v>8000000</v>
      </c>
      <c r="D2216" s="111">
        <f t="shared" si="525"/>
        <v>121771</v>
      </c>
      <c r="E2216" s="2">
        <f t="shared" si="526"/>
        <v>41401.800000000003</v>
      </c>
      <c r="F2216" s="112">
        <f t="shared" si="527"/>
        <v>12000000</v>
      </c>
      <c r="G2216" s="2">
        <f t="shared" si="528"/>
        <v>6842665</v>
      </c>
      <c r="H2216" s="113">
        <f t="shared" si="529"/>
        <v>7788200</v>
      </c>
      <c r="I2216" s="121">
        <f t="shared" si="530"/>
        <v>9025904.1999999993</v>
      </c>
      <c r="K2216" s="123">
        <f t="shared" si="531"/>
        <v>8000000</v>
      </c>
      <c r="L2216" s="111">
        <f t="shared" si="532"/>
        <v>121771</v>
      </c>
      <c r="M2216" s="2">
        <f t="shared" si="533"/>
        <v>41401.800000000003</v>
      </c>
      <c r="N2216" s="112">
        <f t="shared" si="534"/>
        <v>12000000</v>
      </c>
      <c r="O2216" s="2">
        <f t="shared" si="535"/>
        <v>6842665</v>
      </c>
      <c r="P2216" s="113">
        <f t="shared" si="536"/>
        <v>7788200</v>
      </c>
      <c r="Q2216" s="121">
        <f t="shared" si="537"/>
        <v>9025904.1999999993</v>
      </c>
    </row>
    <row r="2217" spans="2:17" x14ac:dyDescent="0.4">
      <c r="B2217" s="110">
        <v>46138</v>
      </c>
      <c r="C2217" s="122">
        <f t="shared" si="524"/>
        <v>8000000</v>
      </c>
      <c r="D2217" s="111">
        <f t="shared" si="525"/>
        <v>121771</v>
      </c>
      <c r="E2217" s="2">
        <f t="shared" si="526"/>
        <v>41401.800000000003</v>
      </c>
      <c r="F2217" s="112">
        <f t="shared" si="527"/>
        <v>12000000</v>
      </c>
      <c r="G2217" s="2">
        <f t="shared" si="528"/>
        <v>6842665</v>
      </c>
      <c r="H2217" s="113">
        <f t="shared" si="529"/>
        <v>7788200</v>
      </c>
      <c r="I2217" s="121">
        <f t="shared" si="530"/>
        <v>9025904.1999999993</v>
      </c>
      <c r="K2217" s="123">
        <f t="shared" si="531"/>
        <v>8000000</v>
      </c>
      <c r="L2217" s="111">
        <f t="shared" si="532"/>
        <v>121771</v>
      </c>
      <c r="M2217" s="2">
        <f t="shared" si="533"/>
        <v>41401.800000000003</v>
      </c>
      <c r="N2217" s="112">
        <f t="shared" si="534"/>
        <v>12000000</v>
      </c>
      <c r="O2217" s="2">
        <f t="shared" si="535"/>
        <v>6842665</v>
      </c>
      <c r="P2217" s="113">
        <f t="shared" si="536"/>
        <v>7788200</v>
      </c>
      <c r="Q2217" s="121">
        <f t="shared" si="537"/>
        <v>9025904.1999999993</v>
      </c>
    </row>
    <row r="2218" spans="2:17" x14ac:dyDescent="0.4">
      <c r="B2218" s="110">
        <v>46139</v>
      </c>
      <c r="C2218" s="122">
        <f t="shared" si="524"/>
        <v>8000000</v>
      </c>
      <c r="D2218" s="111">
        <f t="shared" si="525"/>
        <v>121771</v>
      </c>
      <c r="E2218" s="2">
        <f t="shared" si="526"/>
        <v>41401.800000000003</v>
      </c>
      <c r="F2218" s="112">
        <f t="shared" si="527"/>
        <v>12000000</v>
      </c>
      <c r="G2218" s="2">
        <f t="shared" si="528"/>
        <v>6842665</v>
      </c>
      <c r="H2218" s="113">
        <f t="shared" si="529"/>
        <v>7788200</v>
      </c>
      <c r="I2218" s="121">
        <f t="shared" si="530"/>
        <v>9025904.1999999993</v>
      </c>
      <c r="K2218" s="123">
        <f t="shared" si="531"/>
        <v>8000000</v>
      </c>
      <c r="L2218" s="111">
        <f t="shared" si="532"/>
        <v>121771</v>
      </c>
      <c r="M2218" s="2">
        <f t="shared" si="533"/>
        <v>41401.800000000003</v>
      </c>
      <c r="N2218" s="112">
        <f t="shared" si="534"/>
        <v>12000000</v>
      </c>
      <c r="O2218" s="2">
        <f t="shared" si="535"/>
        <v>6842665</v>
      </c>
      <c r="P2218" s="113">
        <f t="shared" si="536"/>
        <v>7788200</v>
      </c>
      <c r="Q2218" s="121">
        <f t="shared" si="537"/>
        <v>9025904.1999999993</v>
      </c>
    </row>
    <row r="2219" spans="2:17" x14ac:dyDescent="0.4">
      <c r="B2219" s="110">
        <v>46140</v>
      </c>
      <c r="C2219" s="122">
        <f t="shared" si="524"/>
        <v>8000000</v>
      </c>
      <c r="D2219" s="111">
        <f t="shared" si="525"/>
        <v>121771</v>
      </c>
      <c r="E2219" s="2">
        <f t="shared" si="526"/>
        <v>41401.800000000003</v>
      </c>
      <c r="F2219" s="112">
        <f t="shared" si="527"/>
        <v>12000000</v>
      </c>
      <c r="G2219" s="2">
        <f t="shared" si="528"/>
        <v>6842665</v>
      </c>
      <c r="H2219" s="113">
        <f t="shared" si="529"/>
        <v>7788200</v>
      </c>
      <c r="I2219" s="121">
        <f t="shared" si="530"/>
        <v>9025904.1999999993</v>
      </c>
      <c r="K2219" s="123">
        <f t="shared" si="531"/>
        <v>8000000</v>
      </c>
      <c r="L2219" s="111">
        <f t="shared" si="532"/>
        <v>121771</v>
      </c>
      <c r="M2219" s="2">
        <f t="shared" si="533"/>
        <v>41401.800000000003</v>
      </c>
      <c r="N2219" s="112">
        <f t="shared" si="534"/>
        <v>12000000</v>
      </c>
      <c r="O2219" s="2">
        <f t="shared" si="535"/>
        <v>6842665</v>
      </c>
      <c r="P2219" s="113">
        <f t="shared" si="536"/>
        <v>7788200</v>
      </c>
      <c r="Q2219" s="121">
        <f t="shared" si="537"/>
        <v>9025904.1999999993</v>
      </c>
    </row>
    <row r="2220" spans="2:17" x14ac:dyDescent="0.4">
      <c r="B2220" s="110">
        <v>46141</v>
      </c>
      <c r="C2220" s="122">
        <f t="shared" si="524"/>
        <v>8000000</v>
      </c>
      <c r="D2220" s="111">
        <f t="shared" si="525"/>
        <v>121771</v>
      </c>
      <c r="E2220" s="2">
        <f t="shared" si="526"/>
        <v>41401.800000000003</v>
      </c>
      <c r="F2220" s="112">
        <f t="shared" si="527"/>
        <v>12000000</v>
      </c>
      <c r="G2220" s="2">
        <f t="shared" si="528"/>
        <v>6842665</v>
      </c>
      <c r="H2220" s="113">
        <f t="shared" si="529"/>
        <v>7788200</v>
      </c>
      <c r="I2220" s="121">
        <f t="shared" si="530"/>
        <v>9025904.1999999993</v>
      </c>
      <c r="K2220" s="123">
        <f t="shared" si="531"/>
        <v>8000000</v>
      </c>
      <c r="L2220" s="111">
        <f t="shared" si="532"/>
        <v>121771</v>
      </c>
      <c r="M2220" s="2">
        <f t="shared" si="533"/>
        <v>41401.800000000003</v>
      </c>
      <c r="N2220" s="112">
        <f t="shared" si="534"/>
        <v>12000000</v>
      </c>
      <c r="O2220" s="2">
        <f t="shared" si="535"/>
        <v>6842665</v>
      </c>
      <c r="P2220" s="113">
        <f t="shared" si="536"/>
        <v>7788200</v>
      </c>
      <c r="Q2220" s="121">
        <f t="shared" si="537"/>
        <v>9025904.1999999993</v>
      </c>
    </row>
    <row r="2221" spans="2:17" x14ac:dyDescent="0.4">
      <c r="B2221" s="110">
        <v>46142</v>
      </c>
      <c r="C2221" s="122">
        <f t="shared" si="524"/>
        <v>8000000</v>
      </c>
      <c r="D2221" s="111">
        <f t="shared" si="525"/>
        <v>121771</v>
      </c>
      <c r="E2221" s="2">
        <f t="shared" si="526"/>
        <v>41401.800000000003</v>
      </c>
      <c r="F2221" s="112">
        <f t="shared" si="527"/>
        <v>12000000</v>
      </c>
      <c r="G2221" s="2">
        <f t="shared" si="528"/>
        <v>6842665</v>
      </c>
      <c r="H2221" s="113">
        <f t="shared" si="529"/>
        <v>7788200</v>
      </c>
      <c r="I2221" s="121">
        <f t="shared" si="530"/>
        <v>9025904.1999999993</v>
      </c>
      <c r="K2221" s="123">
        <f t="shared" si="531"/>
        <v>8000000</v>
      </c>
      <c r="L2221" s="111">
        <f t="shared" si="532"/>
        <v>121771</v>
      </c>
      <c r="M2221" s="2">
        <f t="shared" si="533"/>
        <v>41401.800000000003</v>
      </c>
      <c r="N2221" s="112">
        <f t="shared" si="534"/>
        <v>12000000</v>
      </c>
      <c r="O2221" s="2">
        <f t="shared" si="535"/>
        <v>6842665</v>
      </c>
      <c r="P2221" s="113">
        <f t="shared" si="536"/>
        <v>7788200</v>
      </c>
      <c r="Q2221" s="121">
        <f t="shared" si="537"/>
        <v>9025904.1999999993</v>
      </c>
    </row>
    <row r="2222" spans="2:17" x14ac:dyDescent="0.4">
      <c r="B2222" s="110">
        <v>46143</v>
      </c>
      <c r="C2222" s="122">
        <f t="shared" si="524"/>
        <v>8000000</v>
      </c>
      <c r="D2222" s="111">
        <f t="shared" si="525"/>
        <v>121771</v>
      </c>
      <c r="E2222" s="2">
        <f t="shared" si="526"/>
        <v>41401.800000000003</v>
      </c>
      <c r="F2222" s="112">
        <f t="shared" si="527"/>
        <v>12000000</v>
      </c>
      <c r="G2222" s="2">
        <f t="shared" si="528"/>
        <v>6842665</v>
      </c>
      <c r="H2222" s="113">
        <f t="shared" si="529"/>
        <v>7788200</v>
      </c>
      <c r="I2222" s="121">
        <f t="shared" si="530"/>
        <v>9025904.1999999993</v>
      </c>
      <c r="K2222" s="123">
        <f t="shared" si="531"/>
        <v>8000000</v>
      </c>
      <c r="L2222" s="111">
        <f t="shared" si="532"/>
        <v>121771</v>
      </c>
      <c r="M2222" s="2">
        <f t="shared" si="533"/>
        <v>41401.800000000003</v>
      </c>
      <c r="N2222" s="112">
        <f t="shared" si="534"/>
        <v>12000000</v>
      </c>
      <c r="O2222" s="2">
        <f t="shared" si="535"/>
        <v>6842665</v>
      </c>
      <c r="P2222" s="113">
        <f t="shared" si="536"/>
        <v>7788200</v>
      </c>
      <c r="Q2222" s="121">
        <f t="shared" si="537"/>
        <v>9025904.1999999993</v>
      </c>
    </row>
    <row r="2223" spans="2:17" x14ac:dyDescent="0.4">
      <c r="B2223" s="110">
        <v>46144</v>
      </c>
      <c r="C2223" s="122">
        <f t="shared" si="524"/>
        <v>8000000</v>
      </c>
      <c r="D2223" s="111">
        <f t="shared" si="525"/>
        <v>121771</v>
      </c>
      <c r="E2223" s="2">
        <f t="shared" si="526"/>
        <v>41401.800000000003</v>
      </c>
      <c r="F2223" s="112">
        <f t="shared" si="527"/>
        <v>12000000</v>
      </c>
      <c r="G2223" s="2">
        <f t="shared" si="528"/>
        <v>6842665</v>
      </c>
      <c r="H2223" s="113">
        <f t="shared" si="529"/>
        <v>7788200</v>
      </c>
      <c r="I2223" s="121">
        <f t="shared" si="530"/>
        <v>9025904.1999999993</v>
      </c>
      <c r="K2223" s="123">
        <f t="shared" si="531"/>
        <v>8000000</v>
      </c>
      <c r="L2223" s="111">
        <f t="shared" si="532"/>
        <v>121771</v>
      </c>
      <c r="M2223" s="2">
        <f t="shared" si="533"/>
        <v>41401.800000000003</v>
      </c>
      <c r="N2223" s="112">
        <f t="shared" si="534"/>
        <v>12000000</v>
      </c>
      <c r="O2223" s="2">
        <f t="shared" si="535"/>
        <v>6842665</v>
      </c>
      <c r="P2223" s="113">
        <f t="shared" si="536"/>
        <v>7788200</v>
      </c>
      <c r="Q2223" s="121">
        <f t="shared" si="537"/>
        <v>9025904.1999999993</v>
      </c>
    </row>
    <row r="2224" spans="2:17" x14ac:dyDescent="0.4">
      <c r="B2224" s="110">
        <v>46145</v>
      </c>
      <c r="C2224" s="122">
        <f t="shared" si="524"/>
        <v>8000000</v>
      </c>
      <c r="D2224" s="111">
        <f t="shared" si="525"/>
        <v>121771</v>
      </c>
      <c r="E2224" s="2">
        <f t="shared" si="526"/>
        <v>41401.800000000003</v>
      </c>
      <c r="F2224" s="112">
        <f t="shared" si="527"/>
        <v>12000000</v>
      </c>
      <c r="G2224" s="2">
        <f t="shared" si="528"/>
        <v>6842665</v>
      </c>
      <c r="H2224" s="113">
        <f t="shared" si="529"/>
        <v>7788200</v>
      </c>
      <c r="I2224" s="121">
        <f t="shared" si="530"/>
        <v>9025904.1999999993</v>
      </c>
      <c r="K2224" s="123">
        <f t="shared" si="531"/>
        <v>8000000</v>
      </c>
      <c r="L2224" s="111">
        <f t="shared" si="532"/>
        <v>121771</v>
      </c>
      <c r="M2224" s="2">
        <f t="shared" si="533"/>
        <v>41401.800000000003</v>
      </c>
      <c r="N2224" s="112">
        <f t="shared" si="534"/>
        <v>12000000</v>
      </c>
      <c r="O2224" s="2">
        <f t="shared" si="535"/>
        <v>6842665</v>
      </c>
      <c r="P2224" s="113">
        <f t="shared" si="536"/>
        <v>7788200</v>
      </c>
      <c r="Q2224" s="121">
        <f t="shared" si="537"/>
        <v>9025904.1999999993</v>
      </c>
    </row>
    <row r="2225" spans="2:17" x14ac:dyDescent="0.4">
      <c r="B2225" s="110">
        <v>46146</v>
      </c>
      <c r="C2225" s="122">
        <f t="shared" si="524"/>
        <v>8000000</v>
      </c>
      <c r="D2225" s="111">
        <f t="shared" si="525"/>
        <v>121771</v>
      </c>
      <c r="E2225" s="2">
        <f t="shared" si="526"/>
        <v>41401.800000000003</v>
      </c>
      <c r="F2225" s="112">
        <f t="shared" si="527"/>
        <v>12000000</v>
      </c>
      <c r="G2225" s="2">
        <f t="shared" si="528"/>
        <v>6842665</v>
      </c>
      <c r="H2225" s="113">
        <f t="shared" si="529"/>
        <v>7788200</v>
      </c>
      <c r="I2225" s="121">
        <f t="shared" si="530"/>
        <v>9025904.1999999993</v>
      </c>
      <c r="K2225" s="123">
        <f t="shared" si="531"/>
        <v>8000000</v>
      </c>
      <c r="L2225" s="111">
        <f t="shared" si="532"/>
        <v>121771</v>
      </c>
      <c r="M2225" s="2">
        <f t="shared" si="533"/>
        <v>41401.800000000003</v>
      </c>
      <c r="N2225" s="112">
        <f t="shared" si="534"/>
        <v>12000000</v>
      </c>
      <c r="O2225" s="2">
        <f t="shared" si="535"/>
        <v>6842665</v>
      </c>
      <c r="P2225" s="113">
        <f t="shared" si="536"/>
        <v>7788200</v>
      </c>
      <c r="Q2225" s="121">
        <f t="shared" si="537"/>
        <v>9025904.1999999993</v>
      </c>
    </row>
    <row r="2226" spans="2:17" x14ac:dyDescent="0.4">
      <c r="B2226" s="110">
        <v>46147</v>
      </c>
      <c r="C2226" s="122">
        <f t="shared" si="524"/>
        <v>8000000</v>
      </c>
      <c r="D2226" s="111">
        <f t="shared" si="525"/>
        <v>121771</v>
      </c>
      <c r="E2226" s="2">
        <f t="shared" si="526"/>
        <v>41401.800000000003</v>
      </c>
      <c r="F2226" s="112">
        <f t="shared" si="527"/>
        <v>12000000</v>
      </c>
      <c r="G2226" s="2">
        <f t="shared" si="528"/>
        <v>6842665</v>
      </c>
      <c r="H2226" s="113">
        <f t="shared" si="529"/>
        <v>7788200</v>
      </c>
      <c r="I2226" s="121">
        <f t="shared" si="530"/>
        <v>9025904.1999999993</v>
      </c>
      <c r="K2226" s="123">
        <f t="shared" si="531"/>
        <v>8000000</v>
      </c>
      <c r="L2226" s="111">
        <f t="shared" si="532"/>
        <v>121771</v>
      </c>
      <c r="M2226" s="2">
        <f t="shared" si="533"/>
        <v>41401.800000000003</v>
      </c>
      <c r="N2226" s="112">
        <f t="shared" si="534"/>
        <v>12000000</v>
      </c>
      <c r="O2226" s="2">
        <f t="shared" si="535"/>
        <v>6842665</v>
      </c>
      <c r="P2226" s="113">
        <f t="shared" si="536"/>
        <v>7788200</v>
      </c>
      <c r="Q2226" s="121">
        <f t="shared" si="537"/>
        <v>9025904.1999999993</v>
      </c>
    </row>
    <row r="2227" spans="2:17" x14ac:dyDescent="0.4">
      <c r="B2227" s="110">
        <v>46148</v>
      </c>
      <c r="C2227" s="122">
        <f t="shared" si="524"/>
        <v>8000000</v>
      </c>
      <c r="D2227" s="111">
        <f t="shared" si="525"/>
        <v>121771</v>
      </c>
      <c r="E2227" s="2">
        <f t="shared" si="526"/>
        <v>41401.800000000003</v>
      </c>
      <c r="F2227" s="112">
        <f t="shared" si="527"/>
        <v>12000000</v>
      </c>
      <c r="G2227" s="2">
        <f t="shared" si="528"/>
        <v>6842665</v>
      </c>
      <c r="H2227" s="113">
        <f t="shared" si="529"/>
        <v>7788200</v>
      </c>
      <c r="I2227" s="121">
        <f t="shared" si="530"/>
        <v>9025904.1999999993</v>
      </c>
      <c r="K2227" s="123">
        <f t="shared" si="531"/>
        <v>8000000</v>
      </c>
      <c r="L2227" s="111">
        <f t="shared" si="532"/>
        <v>121771</v>
      </c>
      <c r="M2227" s="2">
        <f t="shared" si="533"/>
        <v>41401.800000000003</v>
      </c>
      <c r="N2227" s="112">
        <f t="shared" si="534"/>
        <v>12000000</v>
      </c>
      <c r="O2227" s="2">
        <f t="shared" si="535"/>
        <v>6842665</v>
      </c>
      <c r="P2227" s="113">
        <f t="shared" si="536"/>
        <v>7788200</v>
      </c>
      <c r="Q2227" s="121">
        <f t="shared" si="537"/>
        <v>9025904.1999999993</v>
      </c>
    </row>
    <row r="2228" spans="2:17" x14ac:dyDescent="0.4">
      <c r="B2228" s="110">
        <v>46149</v>
      </c>
      <c r="C2228" s="122">
        <f t="shared" si="524"/>
        <v>8000000</v>
      </c>
      <c r="D2228" s="111">
        <f t="shared" si="525"/>
        <v>121771</v>
      </c>
      <c r="E2228" s="2">
        <f t="shared" si="526"/>
        <v>41401.800000000003</v>
      </c>
      <c r="F2228" s="112">
        <f t="shared" si="527"/>
        <v>12000000</v>
      </c>
      <c r="G2228" s="2">
        <f t="shared" si="528"/>
        <v>6842665</v>
      </c>
      <c r="H2228" s="113">
        <f t="shared" si="529"/>
        <v>7788200</v>
      </c>
      <c r="I2228" s="121">
        <f t="shared" si="530"/>
        <v>9025904.1999999993</v>
      </c>
      <c r="K2228" s="123">
        <f t="shared" si="531"/>
        <v>8000000</v>
      </c>
      <c r="L2228" s="111">
        <f t="shared" si="532"/>
        <v>121771</v>
      </c>
      <c r="M2228" s="2">
        <f t="shared" si="533"/>
        <v>41401.800000000003</v>
      </c>
      <c r="N2228" s="112">
        <f t="shared" si="534"/>
        <v>12000000</v>
      </c>
      <c r="O2228" s="2">
        <f t="shared" si="535"/>
        <v>6842665</v>
      </c>
      <c r="P2228" s="113">
        <f t="shared" si="536"/>
        <v>7788200</v>
      </c>
      <c r="Q2228" s="121">
        <f t="shared" si="537"/>
        <v>9025904.1999999993</v>
      </c>
    </row>
    <row r="2229" spans="2:17" x14ac:dyDescent="0.4">
      <c r="B2229" s="110">
        <v>46150</v>
      </c>
      <c r="C2229" s="122">
        <f t="shared" si="524"/>
        <v>8000000</v>
      </c>
      <c r="D2229" s="111">
        <f t="shared" si="525"/>
        <v>121771</v>
      </c>
      <c r="E2229" s="2">
        <f t="shared" si="526"/>
        <v>41401.800000000003</v>
      </c>
      <c r="F2229" s="112">
        <f t="shared" si="527"/>
        <v>12000000</v>
      </c>
      <c r="G2229" s="2">
        <f t="shared" si="528"/>
        <v>6842665</v>
      </c>
      <c r="H2229" s="113">
        <f t="shared" si="529"/>
        <v>7788200</v>
      </c>
      <c r="I2229" s="121">
        <f t="shared" si="530"/>
        <v>9025904.1999999993</v>
      </c>
      <c r="K2229" s="123">
        <f t="shared" si="531"/>
        <v>8000000</v>
      </c>
      <c r="L2229" s="111">
        <f t="shared" si="532"/>
        <v>121771</v>
      </c>
      <c r="M2229" s="2">
        <f t="shared" si="533"/>
        <v>41401.800000000003</v>
      </c>
      <c r="N2229" s="112">
        <f t="shared" si="534"/>
        <v>12000000</v>
      </c>
      <c r="O2229" s="2">
        <f t="shared" si="535"/>
        <v>6842665</v>
      </c>
      <c r="P2229" s="113">
        <f t="shared" si="536"/>
        <v>7788200</v>
      </c>
      <c r="Q2229" s="121">
        <f t="shared" si="537"/>
        <v>9025904.1999999993</v>
      </c>
    </row>
    <row r="2230" spans="2:17" x14ac:dyDescent="0.4">
      <c r="B2230" s="110">
        <v>46151</v>
      </c>
      <c r="C2230" s="122">
        <f t="shared" si="524"/>
        <v>8000000</v>
      </c>
      <c r="D2230" s="111">
        <f t="shared" si="525"/>
        <v>121771</v>
      </c>
      <c r="E2230" s="2">
        <f t="shared" si="526"/>
        <v>41401.800000000003</v>
      </c>
      <c r="F2230" s="112">
        <f t="shared" si="527"/>
        <v>12000000</v>
      </c>
      <c r="G2230" s="2">
        <f t="shared" si="528"/>
        <v>6842665</v>
      </c>
      <c r="H2230" s="113">
        <f t="shared" si="529"/>
        <v>7788200</v>
      </c>
      <c r="I2230" s="121">
        <f t="shared" si="530"/>
        <v>9025904.1999999993</v>
      </c>
      <c r="K2230" s="123">
        <f t="shared" si="531"/>
        <v>8000000</v>
      </c>
      <c r="L2230" s="111">
        <f t="shared" si="532"/>
        <v>121771</v>
      </c>
      <c r="M2230" s="2">
        <f t="shared" si="533"/>
        <v>41401.800000000003</v>
      </c>
      <c r="N2230" s="112">
        <f t="shared" si="534"/>
        <v>12000000</v>
      </c>
      <c r="O2230" s="2">
        <f t="shared" si="535"/>
        <v>6842665</v>
      </c>
      <c r="P2230" s="113">
        <f t="shared" si="536"/>
        <v>7788200</v>
      </c>
      <c r="Q2230" s="121">
        <f t="shared" si="537"/>
        <v>9025904.1999999993</v>
      </c>
    </row>
    <row r="2231" spans="2:17" x14ac:dyDescent="0.4">
      <c r="B2231" s="110">
        <v>46152</v>
      </c>
      <c r="C2231" s="122">
        <f t="shared" si="524"/>
        <v>8000000</v>
      </c>
      <c r="D2231" s="111">
        <f t="shared" si="525"/>
        <v>121771</v>
      </c>
      <c r="E2231" s="2">
        <f t="shared" si="526"/>
        <v>41401.800000000003</v>
      </c>
      <c r="F2231" s="112">
        <f t="shared" si="527"/>
        <v>12000000</v>
      </c>
      <c r="G2231" s="2">
        <f t="shared" si="528"/>
        <v>6842665</v>
      </c>
      <c r="H2231" s="113">
        <f t="shared" si="529"/>
        <v>7788200</v>
      </c>
      <c r="I2231" s="121">
        <f t="shared" si="530"/>
        <v>9025904.1999999993</v>
      </c>
      <c r="K2231" s="123">
        <f t="shared" si="531"/>
        <v>8000000</v>
      </c>
      <c r="L2231" s="111">
        <f t="shared" si="532"/>
        <v>121771</v>
      </c>
      <c r="M2231" s="2">
        <f t="shared" si="533"/>
        <v>41401.800000000003</v>
      </c>
      <c r="N2231" s="112">
        <f t="shared" si="534"/>
        <v>12000000</v>
      </c>
      <c r="O2231" s="2">
        <f t="shared" si="535"/>
        <v>6842665</v>
      </c>
      <c r="P2231" s="113">
        <f t="shared" si="536"/>
        <v>7788200</v>
      </c>
      <c r="Q2231" s="121">
        <f t="shared" si="537"/>
        <v>9025904.1999999993</v>
      </c>
    </row>
    <row r="2232" spans="2:17" x14ac:dyDescent="0.4">
      <c r="B2232" s="110">
        <v>46153</v>
      </c>
      <c r="C2232" s="122">
        <f t="shared" si="524"/>
        <v>8000000</v>
      </c>
      <c r="D2232" s="111">
        <f t="shared" si="525"/>
        <v>121771</v>
      </c>
      <c r="E2232" s="2">
        <f t="shared" si="526"/>
        <v>41401.800000000003</v>
      </c>
      <c r="F2232" s="112">
        <f t="shared" si="527"/>
        <v>12000000</v>
      </c>
      <c r="G2232" s="2">
        <f t="shared" si="528"/>
        <v>6842665</v>
      </c>
      <c r="H2232" s="113">
        <f t="shared" si="529"/>
        <v>7788200</v>
      </c>
      <c r="I2232" s="121">
        <f t="shared" si="530"/>
        <v>9025904.1999999993</v>
      </c>
      <c r="K2232" s="123">
        <f t="shared" si="531"/>
        <v>8000000</v>
      </c>
      <c r="L2232" s="111">
        <f t="shared" si="532"/>
        <v>121771</v>
      </c>
      <c r="M2232" s="2">
        <f t="shared" si="533"/>
        <v>41401.800000000003</v>
      </c>
      <c r="N2232" s="112">
        <f t="shared" si="534"/>
        <v>12000000</v>
      </c>
      <c r="O2232" s="2">
        <f t="shared" si="535"/>
        <v>6842665</v>
      </c>
      <c r="P2232" s="113">
        <f t="shared" si="536"/>
        <v>7788200</v>
      </c>
      <c r="Q2232" s="121">
        <f t="shared" si="537"/>
        <v>9025904.1999999993</v>
      </c>
    </row>
    <row r="2233" spans="2:17" x14ac:dyDescent="0.4">
      <c r="B2233" s="110">
        <v>46154</v>
      </c>
      <c r="C2233" s="122">
        <f t="shared" si="524"/>
        <v>8000000</v>
      </c>
      <c r="D2233" s="111">
        <f t="shared" si="525"/>
        <v>121771</v>
      </c>
      <c r="E2233" s="2">
        <f t="shared" si="526"/>
        <v>41401.800000000003</v>
      </c>
      <c r="F2233" s="112">
        <f t="shared" si="527"/>
        <v>12000000</v>
      </c>
      <c r="G2233" s="2">
        <f t="shared" si="528"/>
        <v>6842665</v>
      </c>
      <c r="H2233" s="113">
        <f t="shared" si="529"/>
        <v>7788200</v>
      </c>
      <c r="I2233" s="121">
        <f t="shared" si="530"/>
        <v>9025904.1999999993</v>
      </c>
      <c r="K2233" s="123">
        <f t="shared" si="531"/>
        <v>8000000</v>
      </c>
      <c r="L2233" s="111">
        <f t="shared" si="532"/>
        <v>121771</v>
      </c>
      <c r="M2233" s="2">
        <f t="shared" si="533"/>
        <v>41401.800000000003</v>
      </c>
      <c r="N2233" s="112">
        <f t="shared" si="534"/>
        <v>12000000</v>
      </c>
      <c r="O2233" s="2">
        <f t="shared" si="535"/>
        <v>6842665</v>
      </c>
      <c r="P2233" s="113">
        <f t="shared" si="536"/>
        <v>7788200</v>
      </c>
      <c r="Q2233" s="121">
        <f t="shared" si="537"/>
        <v>9025904.1999999993</v>
      </c>
    </row>
    <row r="2234" spans="2:17" x14ac:dyDescent="0.4">
      <c r="B2234" s="110">
        <v>46155</v>
      </c>
      <c r="C2234" s="122">
        <f t="shared" si="524"/>
        <v>8000000</v>
      </c>
      <c r="D2234" s="111">
        <f t="shared" si="525"/>
        <v>121771</v>
      </c>
      <c r="E2234" s="2">
        <f t="shared" si="526"/>
        <v>41401.800000000003</v>
      </c>
      <c r="F2234" s="112">
        <f t="shared" si="527"/>
        <v>12000000</v>
      </c>
      <c r="G2234" s="2">
        <f t="shared" si="528"/>
        <v>6842665</v>
      </c>
      <c r="H2234" s="113">
        <f t="shared" si="529"/>
        <v>7788200</v>
      </c>
      <c r="I2234" s="121">
        <f t="shared" si="530"/>
        <v>9025904.1999999993</v>
      </c>
      <c r="K2234" s="123">
        <f t="shared" si="531"/>
        <v>8000000</v>
      </c>
      <c r="L2234" s="111">
        <f t="shared" si="532"/>
        <v>121771</v>
      </c>
      <c r="M2234" s="2">
        <f t="shared" si="533"/>
        <v>41401.800000000003</v>
      </c>
      <c r="N2234" s="112">
        <f t="shared" si="534"/>
        <v>12000000</v>
      </c>
      <c r="O2234" s="2">
        <f t="shared" si="535"/>
        <v>6842665</v>
      </c>
      <c r="P2234" s="113">
        <f t="shared" si="536"/>
        <v>7788200</v>
      </c>
      <c r="Q2234" s="121">
        <f t="shared" si="537"/>
        <v>9025904.1999999993</v>
      </c>
    </row>
    <row r="2235" spans="2:17" x14ac:dyDescent="0.4">
      <c r="B2235" s="110">
        <v>46156</v>
      </c>
      <c r="C2235" s="122">
        <f t="shared" si="524"/>
        <v>8000000</v>
      </c>
      <c r="D2235" s="111">
        <f t="shared" si="525"/>
        <v>121771</v>
      </c>
      <c r="E2235" s="2">
        <f t="shared" si="526"/>
        <v>41401.800000000003</v>
      </c>
      <c r="F2235" s="112">
        <f t="shared" si="527"/>
        <v>12000000</v>
      </c>
      <c r="G2235" s="2">
        <f t="shared" si="528"/>
        <v>6842665</v>
      </c>
      <c r="H2235" s="113">
        <f t="shared" si="529"/>
        <v>7788200</v>
      </c>
      <c r="I2235" s="121">
        <f t="shared" si="530"/>
        <v>9025904.1999999993</v>
      </c>
      <c r="K2235" s="123">
        <f t="shared" si="531"/>
        <v>8000000</v>
      </c>
      <c r="L2235" s="111">
        <f t="shared" si="532"/>
        <v>121771</v>
      </c>
      <c r="M2235" s="2">
        <f t="shared" si="533"/>
        <v>41401.800000000003</v>
      </c>
      <c r="N2235" s="112">
        <f t="shared" si="534"/>
        <v>12000000</v>
      </c>
      <c r="O2235" s="2">
        <f t="shared" si="535"/>
        <v>6842665</v>
      </c>
      <c r="P2235" s="113">
        <f t="shared" si="536"/>
        <v>7788200</v>
      </c>
      <c r="Q2235" s="121">
        <f t="shared" si="537"/>
        <v>9025904.1999999993</v>
      </c>
    </row>
    <row r="2236" spans="2:17" x14ac:dyDescent="0.4">
      <c r="B2236" s="110">
        <v>46157</v>
      </c>
      <c r="C2236" s="122">
        <f t="shared" si="524"/>
        <v>8000000</v>
      </c>
      <c r="D2236" s="111">
        <f t="shared" si="525"/>
        <v>121771</v>
      </c>
      <c r="E2236" s="2">
        <f t="shared" si="526"/>
        <v>41401.800000000003</v>
      </c>
      <c r="F2236" s="112">
        <f t="shared" si="527"/>
        <v>12000000</v>
      </c>
      <c r="G2236" s="2">
        <f t="shared" si="528"/>
        <v>6842665</v>
      </c>
      <c r="H2236" s="113">
        <f t="shared" si="529"/>
        <v>7788200</v>
      </c>
      <c r="I2236" s="121">
        <f t="shared" si="530"/>
        <v>9025904.1999999993</v>
      </c>
      <c r="K2236" s="123">
        <f t="shared" si="531"/>
        <v>8000000</v>
      </c>
      <c r="L2236" s="111">
        <f t="shared" si="532"/>
        <v>121771</v>
      </c>
      <c r="M2236" s="2">
        <f t="shared" si="533"/>
        <v>41401.800000000003</v>
      </c>
      <c r="N2236" s="112">
        <f t="shared" si="534"/>
        <v>12000000</v>
      </c>
      <c r="O2236" s="2">
        <f t="shared" si="535"/>
        <v>6842665</v>
      </c>
      <c r="P2236" s="113">
        <f t="shared" si="536"/>
        <v>7788200</v>
      </c>
      <c r="Q2236" s="121">
        <f t="shared" si="537"/>
        <v>9025904.1999999993</v>
      </c>
    </row>
    <row r="2237" spans="2:17" x14ac:dyDescent="0.4">
      <c r="B2237" s="110">
        <v>46158</v>
      </c>
      <c r="C2237" s="122">
        <f t="shared" si="524"/>
        <v>8000000</v>
      </c>
      <c r="D2237" s="111">
        <f t="shared" si="525"/>
        <v>121771</v>
      </c>
      <c r="E2237" s="2">
        <f t="shared" si="526"/>
        <v>41401.800000000003</v>
      </c>
      <c r="F2237" s="112">
        <f t="shared" si="527"/>
        <v>12000000</v>
      </c>
      <c r="G2237" s="2">
        <f t="shared" si="528"/>
        <v>6842665</v>
      </c>
      <c r="H2237" s="113">
        <f t="shared" si="529"/>
        <v>7788200</v>
      </c>
      <c r="I2237" s="121">
        <f t="shared" si="530"/>
        <v>9025904.1999999993</v>
      </c>
      <c r="K2237" s="123">
        <f t="shared" si="531"/>
        <v>8000000</v>
      </c>
      <c r="L2237" s="111">
        <f t="shared" si="532"/>
        <v>121771</v>
      </c>
      <c r="M2237" s="2">
        <f t="shared" si="533"/>
        <v>41401.800000000003</v>
      </c>
      <c r="N2237" s="112">
        <f t="shared" si="534"/>
        <v>12000000</v>
      </c>
      <c r="O2237" s="2">
        <f t="shared" si="535"/>
        <v>6842665</v>
      </c>
      <c r="P2237" s="113">
        <f t="shared" si="536"/>
        <v>7788200</v>
      </c>
      <c r="Q2237" s="121">
        <f t="shared" si="537"/>
        <v>9025904.1999999993</v>
      </c>
    </row>
    <row r="2238" spans="2:17" x14ac:dyDescent="0.4">
      <c r="B2238" s="110">
        <v>46159</v>
      </c>
      <c r="C2238" s="122">
        <f t="shared" si="524"/>
        <v>8000000</v>
      </c>
      <c r="D2238" s="111">
        <f t="shared" si="525"/>
        <v>121771</v>
      </c>
      <c r="E2238" s="2">
        <f t="shared" si="526"/>
        <v>41401.800000000003</v>
      </c>
      <c r="F2238" s="112">
        <f t="shared" si="527"/>
        <v>12000000</v>
      </c>
      <c r="G2238" s="2">
        <f t="shared" si="528"/>
        <v>6842665</v>
      </c>
      <c r="H2238" s="113">
        <f t="shared" si="529"/>
        <v>7788200</v>
      </c>
      <c r="I2238" s="121">
        <f t="shared" si="530"/>
        <v>9025904.1999999993</v>
      </c>
      <c r="K2238" s="123">
        <f t="shared" si="531"/>
        <v>8000000</v>
      </c>
      <c r="L2238" s="111">
        <f t="shared" si="532"/>
        <v>121771</v>
      </c>
      <c r="M2238" s="2">
        <f t="shared" si="533"/>
        <v>41401.800000000003</v>
      </c>
      <c r="N2238" s="112">
        <f t="shared" si="534"/>
        <v>12000000</v>
      </c>
      <c r="O2238" s="2">
        <f t="shared" si="535"/>
        <v>6842665</v>
      </c>
      <c r="P2238" s="113">
        <f t="shared" si="536"/>
        <v>7788200</v>
      </c>
      <c r="Q2238" s="121">
        <f t="shared" si="537"/>
        <v>9025904.1999999993</v>
      </c>
    </row>
    <row r="2239" spans="2:17" x14ac:dyDescent="0.4">
      <c r="B2239" s="110">
        <v>46160</v>
      </c>
      <c r="C2239" s="122">
        <f t="shared" si="524"/>
        <v>8000000</v>
      </c>
      <c r="D2239" s="111">
        <f t="shared" si="525"/>
        <v>121771</v>
      </c>
      <c r="E2239" s="2">
        <f t="shared" si="526"/>
        <v>41401.800000000003</v>
      </c>
      <c r="F2239" s="112">
        <f t="shared" si="527"/>
        <v>12000000</v>
      </c>
      <c r="G2239" s="2">
        <f t="shared" si="528"/>
        <v>6842665</v>
      </c>
      <c r="H2239" s="113">
        <f t="shared" si="529"/>
        <v>7788200</v>
      </c>
      <c r="I2239" s="121">
        <f t="shared" si="530"/>
        <v>9025904.1999999993</v>
      </c>
      <c r="K2239" s="123">
        <f t="shared" si="531"/>
        <v>8000000</v>
      </c>
      <c r="L2239" s="111">
        <f t="shared" si="532"/>
        <v>121771</v>
      </c>
      <c r="M2239" s="2">
        <f t="shared" si="533"/>
        <v>41401.800000000003</v>
      </c>
      <c r="N2239" s="112">
        <f t="shared" si="534"/>
        <v>12000000</v>
      </c>
      <c r="O2239" s="2">
        <f t="shared" si="535"/>
        <v>6842665</v>
      </c>
      <c r="P2239" s="113">
        <f t="shared" si="536"/>
        <v>7788200</v>
      </c>
      <c r="Q2239" s="121">
        <f t="shared" si="537"/>
        <v>9025904.1999999993</v>
      </c>
    </row>
    <row r="2240" spans="2:17" x14ac:dyDescent="0.4">
      <c r="B2240" s="110">
        <v>46161</v>
      </c>
      <c r="C2240" s="122">
        <f t="shared" si="524"/>
        <v>8000000</v>
      </c>
      <c r="D2240" s="111">
        <f t="shared" si="525"/>
        <v>121771</v>
      </c>
      <c r="E2240" s="2">
        <f t="shared" si="526"/>
        <v>41401.800000000003</v>
      </c>
      <c r="F2240" s="112">
        <f t="shared" si="527"/>
        <v>12000000</v>
      </c>
      <c r="G2240" s="2">
        <f t="shared" si="528"/>
        <v>6842665</v>
      </c>
      <c r="H2240" s="113">
        <f t="shared" si="529"/>
        <v>7788200</v>
      </c>
      <c r="I2240" s="121">
        <f t="shared" si="530"/>
        <v>9025904.1999999993</v>
      </c>
      <c r="K2240" s="123">
        <f t="shared" si="531"/>
        <v>8000000</v>
      </c>
      <c r="L2240" s="111">
        <f t="shared" si="532"/>
        <v>121771</v>
      </c>
      <c r="M2240" s="2">
        <f t="shared" si="533"/>
        <v>41401.800000000003</v>
      </c>
      <c r="N2240" s="112">
        <f t="shared" si="534"/>
        <v>12000000</v>
      </c>
      <c r="O2240" s="2">
        <f t="shared" si="535"/>
        <v>6842665</v>
      </c>
      <c r="P2240" s="113">
        <f t="shared" si="536"/>
        <v>7788200</v>
      </c>
      <c r="Q2240" s="121">
        <f t="shared" si="537"/>
        <v>9025904.1999999993</v>
      </c>
    </row>
    <row r="2241" spans="2:17" x14ac:dyDescent="0.4">
      <c r="B2241" s="110">
        <v>46162</v>
      </c>
      <c r="C2241" s="122">
        <f t="shared" si="524"/>
        <v>8000000</v>
      </c>
      <c r="D2241" s="111">
        <f t="shared" si="525"/>
        <v>121771</v>
      </c>
      <c r="E2241" s="2">
        <f t="shared" si="526"/>
        <v>41401.800000000003</v>
      </c>
      <c r="F2241" s="112">
        <f t="shared" si="527"/>
        <v>12000000</v>
      </c>
      <c r="G2241" s="2">
        <f t="shared" si="528"/>
        <v>6842665</v>
      </c>
      <c r="H2241" s="113">
        <f t="shared" si="529"/>
        <v>7788200</v>
      </c>
      <c r="I2241" s="121">
        <f t="shared" si="530"/>
        <v>9025904.1999999993</v>
      </c>
      <c r="K2241" s="123">
        <f t="shared" si="531"/>
        <v>8000000</v>
      </c>
      <c r="L2241" s="111">
        <f t="shared" si="532"/>
        <v>121771</v>
      </c>
      <c r="M2241" s="2">
        <f t="shared" si="533"/>
        <v>41401.800000000003</v>
      </c>
      <c r="N2241" s="112">
        <f t="shared" si="534"/>
        <v>12000000</v>
      </c>
      <c r="O2241" s="2">
        <f t="shared" si="535"/>
        <v>6842665</v>
      </c>
      <c r="P2241" s="113">
        <f t="shared" si="536"/>
        <v>7788200</v>
      </c>
      <c r="Q2241" s="121">
        <f t="shared" si="537"/>
        <v>9025904.1999999993</v>
      </c>
    </row>
    <row r="2242" spans="2:17" x14ac:dyDescent="0.4">
      <c r="B2242" s="110">
        <v>46163</v>
      </c>
      <c r="C2242" s="122">
        <f t="shared" si="524"/>
        <v>8000000</v>
      </c>
      <c r="D2242" s="111">
        <f t="shared" si="525"/>
        <v>121771</v>
      </c>
      <c r="E2242" s="2">
        <f t="shared" si="526"/>
        <v>41401.800000000003</v>
      </c>
      <c r="F2242" s="112">
        <f t="shared" si="527"/>
        <v>12000000</v>
      </c>
      <c r="G2242" s="2">
        <f t="shared" si="528"/>
        <v>6842665</v>
      </c>
      <c r="H2242" s="113">
        <f t="shared" si="529"/>
        <v>7788200</v>
      </c>
      <c r="I2242" s="121">
        <f t="shared" si="530"/>
        <v>9025904.1999999993</v>
      </c>
      <c r="K2242" s="123">
        <f t="shared" si="531"/>
        <v>8000000</v>
      </c>
      <c r="L2242" s="111">
        <f t="shared" si="532"/>
        <v>121771</v>
      </c>
      <c r="M2242" s="2">
        <f t="shared" si="533"/>
        <v>41401.800000000003</v>
      </c>
      <c r="N2242" s="112">
        <f t="shared" si="534"/>
        <v>12000000</v>
      </c>
      <c r="O2242" s="2">
        <f t="shared" si="535"/>
        <v>6842665</v>
      </c>
      <c r="P2242" s="113">
        <f t="shared" si="536"/>
        <v>7788200</v>
      </c>
      <c r="Q2242" s="121">
        <f t="shared" si="537"/>
        <v>9025904.1999999993</v>
      </c>
    </row>
    <row r="2243" spans="2:17" x14ac:dyDescent="0.4">
      <c r="B2243" s="110">
        <v>46164</v>
      </c>
      <c r="C2243" s="122">
        <f t="shared" si="524"/>
        <v>8000000</v>
      </c>
      <c r="D2243" s="111">
        <f t="shared" si="525"/>
        <v>121771</v>
      </c>
      <c r="E2243" s="2">
        <f t="shared" si="526"/>
        <v>41401.800000000003</v>
      </c>
      <c r="F2243" s="112">
        <f t="shared" si="527"/>
        <v>12000000</v>
      </c>
      <c r="G2243" s="2">
        <f t="shared" si="528"/>
        <v>6842665</v>
      </c>
      <c r="H2243" s="113">
        <f t="shared" si="529"/>
        <v>7788200</v>
      </c>
      <c r="I2243" s="121">
        <f t="shared" si="530"/>
        <v>9025904.1999999993</v>
      </c>
      <c r="K2243" s="123">
        <f t="shared" si="531"/>
        <v>8000000</v>
      </c>
      <c r="L2243" s="111">
        <f t="shared" si="532"/>
        <v>121771</v>
      </c>
      <c r="M2243" s="2">
        <f t="shared" si="533"/>
        <v>41401.800000000003</v>
      </c>
      <c r="N2243" s="112">
        <f t="shared" si="534"/>
        <v>12000000</v>
      </c>
      <c r="O2243" s="2">
        <f t="shared" si="535"/>
        <v>6842665</v>
      </c>
      <c r="P2243" s="113">
        <f t="shared" si="536"/>
        <v>7788200</v>
      </c>
      <c r="Q2243" s="121">
        <f t="shared" si="537"/>
        <v>9025904.1999999993</v>
      </c>
    </row>
    <row r="2244" spans="2:17" x14ac:dyDescent="0.4">
      <c r="B2244" s="110">
        <v>46165</v>
      </c>
      <c r="C2244" s="122">
        <f t="shared" si="524"/>
        <v>8000000</v>
      </c>
      <c r="D2244" s="111">
        <f t="shared" si="525"/>
        <v>121771</v>
      </c>
      <c r="E2244" s="2">
        <f t="shared" si="526"/>
        <v>41401.800000000003</v>
      </c>
      <c r="F2244" s="112">
        <f t="shared" si="527"/>
        <v>12000000</v>
      </c>
      <c r="G2244" s="2">
        <f t="shared" si="528"/>
        <v>6842665</v>
      </c>
      <c r="H2244" s="113">
        <f t="shared" si="529"/>
        <v>7788200</v>
      </c>
      <c r="I2244" s="121">
        <f t="shared" si="530"/>
        <v>9025904.1999999993</v>
      </c>
      <c r="K2244" s="123">
        <f t="shared" si="531"/>
        <v>8000000</v>
      </c>
      <c r="L2244" s="111">
        <f t="shared" si="532"/>
        <v>121771</v>
      </c>
      <c r="M2244" s="2">
        <f t="shared" si="533"/>
        <v>41401.800000000003</v>
      </c>
      <c r="N2244" s="112">
        <f t="shared" si="534"/>
        <v>12000000</v>
      </c>
      <c r="O2244" s="2">
        <f t="shared" si="535"/>
        <v>6842665</v>
      </c>
      <c r="P2244" s="113">
        <f t="shared" si="536"/>
        <v>7788200</v>
      </c>
      <c r="Q2244" s="121">
        <f t="shared" si="537"/>
        <v>9025904.1999999993</v>
      </c>
    </row>
    <row r="2245" spans="2:17" x14ac:dyDescent="0.4">
      <c r="B2245" s="110">
        <v>46166</v>
      </c>
      <c r="C2245" s="122">
        <f t="shared" si="524"/>
        <v>8000000</v>
      </c>
      <c r="D2245" s="111">
        <f t="shared" si="525"/>
        <v>121771</v>
      </c>
      <c r="E2245" s="2">
        <f t="shared" si="526"/>
        <v>41401.800000000003</v>
      </c>
      <c r="F2245" s="112">
        <f t="shared" si="527"/>
        <v>12000000</v>
      </c>
      <c r="G2245" s="2">
        <f t="shared" si="528"/>
        <v>6842665</v>
      </c>
      <c r="H2245" s="113">
        <f t="shared" si="529"/>
        <v>7788200</v>
      </c>
      <c r="I2245" s="121">
        <f t="shared" si="530"/>
        <v>9025904.1999999993</v>
      </c>
      <c r="K2245" s="123">
        <f t="shared" si="531"/>
        <v>8000000</v>
      </c>
      <c r="L2245" s="111">
        <f t="shared" si="532"/>
        <v>121771</v>
      </c>
      <c r="M2245" s="2">
        <f t="shared" si="533"/>
        <v>41401.800000000003</v>
      </c>
      <c r="N2245" s="112">
        <f t="shared" si="534"/>
        <v>12000000</v>
      </c>
      <c r="O2245" s="2">
        <f t="shared" si="535"/>
        <v>6842665</v>
      </c>
      <c r="P2245" s="113">
        <f t="shared" si="536"/>
        <v>7788200</v>
      </c>
      <c r="Q2245" s="121">
        <f t="shared" si="537"/>
        <v>9025904.1999999993</v>
      </c>
    </row>
    <row r="2246" spans="2:17" x14ac:dyDescent="0.4">
      <c r="B2246" s="110">
        <v>46167</v>
      </c>
      <c r="C2246" s="122">
        <f t="shared" si="524"/>
        <v>8000000</v>
      </c>
      <c r="D2246" s="111">
        <f t="shared" si="525"/>
        <v>121771</v>
      </c>
      <c r="E2246" s="2">
        <f t="shared" si="526"/>
        <v>41401.800000000003</v>
      </c>
      <c r="F2246" s="112">
        <f t="shared" si="527"/>
        <v>12000000</v>
      </c>
      <c r="G2246" s="2">
        <f t="shared" si="528"/>
        <v>6842665</v>
      </c>
      <c r="H2246" s="113">
        <f t="shared" si="529"/>
        <v>7788200</v>
      </c>
      <c r="I2246" s="121">
        <f t="shared" si="530"/>
        <v>9025904.1999999993</v>
      </c>
      <c r="K2246" s="123">
        <f t="shared" si="531"/>
        <v>8000000</v>
      </c>
      <c r="L2246" s="111">
        <f t="shared" si="532"/>
        <v>121771</v>
      </c>
      <c r="M2246" s="2">
        <f t="shared" si="533"/>
        <v>41401.800000000003</v>
      </c>
      <c r="N2246" s="112">
        <f t="shared" si="534"/>
        <v>12000000</v>
      </c>
      <c r="O2246" s="2">
        <f t="shared" si="535"/>
        <v>6842665</v>
      </c>
      <c r="P2246" s="113">
        <f t="shared" si="536"/>
        <v>7788200</v>
      </c>
      <c r="Q2246" s="121">
        <f t="shared" si="537"/>
        <v>9025904.1999999993</v>
      </c>
    </row>
    <row r="2247" spans="2:17" x14ac:dyDescent="0.4">
      <c r="B2247" s="110">
        <v>46168</v>
      </c>
      <c r="C2247" s="122">
        <f t="shared" si="524"/>
        <v>8000000</v>
      </c>
      <c r="D2247" s="111">
        <f t="shared" si="525"/>
        <v>121771</v>
      </c>
      <c r="E2247" s="2">
        <f t="shared" si="526"/>
        <v>41401.800000000003</v>
      </c>
      <c r="F2247" s="112">
        <f t="shared" si="527"/>
        <v>12000000</v>
      </c>
      <c r="G2247" s="2">
        <f t="shared" si="528"/>
        <v>6842665</v>
      </c>
      <c r="H2247" s="113">
        <f t="shared" si="529"/>
        <v>7788200</v>
      </c>
      <c r="I2247" s="121">
        <f t="shared" si="530"/>
        <v>9025904.1999999993</v>
      </c>
      <c r="K2247" s="123">
        <f t="shared" si="531"/>
        <v>8000000</v>
      </c>
      <c r="L2247" s="111">
        <f t="shared" si="532"/>
        <v>121771</v>
      </c>
      <c r="M2247" s="2">
        <f t="shared" si="533"/>
        <v>41401.800000000003</v>
      </c>
      <c r="N2247" s="112">
        <f t="shared" si="534"/>
        <v>12000000</v>
      </c>
      <c r="O2247" s="2">
        <f t="shared" si="535"/>
        <v>6842665</v>
      </c>
      <c r="P2247" s="113">
        <f t="shared" si="536"/>
        <v>7788200</v>
      </c>
      <c r="Q2247" s="121">
        <f t="shared" si="537"/>
        <v>9025904.1999999993</v>
      </c>
    </row>
    <row r="2248" spans="2:17" x14ac:dyDescent="0.4">
      <c r="B2248" s="110">
        <v>46169</v>
      </c>
      <c r="C2248" s="122">
        <f t="shared" si="524"/>
        <v>8000000</v>
      </c>
      <c r="D2248" s="111">
        <f t="shared" si="525"/>
        <v>121771</v>
      </c>
      <c r="E2248" s="2">
        <f t="shared" si="526"/>
        <v>41401.800000000003</v>
      </c>
      <c r="F2248" s="112">
        <f t="shared" si="527"/>
        <v>12000000</v>
      </c>
      <c r="G2248" s="2">
        <f t="shared" si="528"/>
        <v>6842665</v>
      </c>
      <c r="H2248" s="113">
        <f t="shared" si="529"/>
        <v>7788200</v>
      </c>
      <c r="I2248" s="121">
        <f t="shared" si="530"/>
        <v>9025904.1999999993</v>
      </c>
      <c r="K2248" s="123">
        <f t="shared" si="531"/>
        <v>8000000</v>
      </c>
      <c r="L2248" s="111">
        <f t="shared" si="532"/>
        <v>121771</v>
      </c>
      <c r="M2248" s="2">
        <f t="shared" si="533"/>
        <v>41401.800000000003</v>
      </c>
      <c r="N2248" s="112">
        <f t="shared" si="534"/>
        <v>12000000</v>
      </c>
      <c r="O2248" s="2">
        <f t="shared" si="535"/>
        <v>6842665</v>
      </c>
      <c r="P2248" s="113">
        <f t="shared" si="536"/>
        <v>7788200</v>
      </c>
      <c r="Q2248" s="121">
        <f t="shared" si="537"/>
        <v>9025904.1999999993</v>
      </c>
    </row>
    <row r="2249" spans="2:17" x14ac:dyDescent="0.4">
      <c r="B2249" s="110">
        <v>46170</v>
      </c>
      <c r="C2249" s="122">
        <f t="shared" si="524"/>
        <v>8000000</v>
      </c>
      <c r="D2249" s="111">
        <f t="shared" si="525"/>
        <v>121771</v>
      </c>
      <c r="E2249" s="2">
        <f t="shared" si="526"/>
        <v>41401.800000000003</v>
      </c>
      <c r="F2249" s="112">
        <f t="shared" si="527"/>
        <v>12000000</v>
      </c>
      <c r="G2249" s="2">
        <f t="shared" si="528"/>
        <v>6842665</v>
      </c>
      <c r="H2249" s="113">
        <f t="shared" si="529"/>
        <v>7788200</v>
      </c>
      <c r="I2249" s="121">
        <f t="shared" si="530"/>
        <v>9025904.1999999993</v>
      </c>
      <c r="K2249" s="123">
        <f t="shared" si="531"/>
        <v>8000000</v>
      </c>
      <c r="L2249" s="111">
        <f t="shared" si="532"/>
        <v>121771</v>
      </c>
      <c r="M2249" s="2">
        <f t="shared" si="533"/>
        <v>41401.800000000003</v>
      </c>
      <c r="N2249" s="112">
        <f t="shared" si="534"/>
        <v>12000000</v>
      </c>
      <c r="O2249" s="2">
        <f t="shared" si="535"/>
        <v>6842665</v>
      </c>
      <c r="P2249" s="113">
        <f t="shared" si="536"/>
        <v>7788200</v>
      </c>
      <c r="Q2249" s="121">
        <f t="shared" si="537"/>
        <v>9025904.1999999993</v>
      </c>
    </row>
    <row r="2250" spans="2:17" x14ac:dyDescent="0.4">
      <c r="B2250" s="110">
        <v>46171</v>
      </c>
      <c r="C2250" s="122">
        <f t="shared" si="524"/>
        <v>8000000</v>
      </c>
      <c r="D2250" s="111">
        <f t="shared" si="525"/>
        <v>121771</v>
      </c>
      <c r="E2250" s="2">
        <f t="shared" si="526"/>
        <v>41401.800000000003</v>
      </c>
      <c r="F2250" s="112">
        <f t="shared" si="527"/>
        <v>12000000</v>
      </c>
      <c r="G2250" s="2">
        <f t="shared" si="528"/>
        <v>6842665</v>
      </c>
      <c r="H2250" s="113">
        <f t="shared" si="529"/>
        <v>7788200</v>
      </c>
      <c r="I2250" s="121">
        <f t="shared" si="530"/>
        <v>9025904.1999999993</v>
      </c>
      <c r="K2250" s="123">
        <f t="shared" si="531"/>
        <v>8000000</v>
      </c>
      <c r="L2250" s="111">
        <f t="shared" si="532"/>
        <v>121771</v>
      </c>
      <c r="M2250" s="2">
        <f t="shared" si="533"/>
        <v>41401.800000000003</v>
      </c>
      <c r="N2250" s="112">
        <f t="shared" si="534"/>
        <v>12000000</v>
      </c>
      <c r="O2250" s="2">
        <f t="shared" si="535"/>
        <v>6842665</v>
      </c>
      <c r="P2250" s="113">
        <f t="shared" si="536"/>
        <v>7788200</v>
      </c>
      <c r="Q2250" s="121">
        <f t="shared" si="537"/>
        <v>9025904.1999999993</v>
      </c>
    </row>
    <row r="2251" spans="2:17" x14ac:dyDescent="0.4">
      <c r="B2251" s="110">
        <v>46172</v>
      </c>
      <c r="C2251" s="122">
        <f t="shared" si="524"/>
        <v>8000000</v>
      </c>
      <c r="D2251" s="111">
        <f t="shared" si="525"/>
        <v>121771</v>
      </c>
      <c r="E2251" s="2">
        <f t="shared" si="526"/>
        <v>41401.800000000003</v>
      </c>
      <c r="F2251" s="112">
        <f t="shared" si="527"/>
        <v>12000000</v>
      </c>
      <c r="G2251" s="2">
        <f t="shared" si="528"/>
        <v>6842665</v>
      </c>
      <c r="H2251" s="113">
        <f t="shared" si="529"/>
        <v>7788200</v>
      </c>
      <c r="I2251" s="121">
        <f t="shared" si="530"/>
        <v>9025904.1999999993</v>
      </c>
      <c r="K2251" s="123">
        <f t="shared" si="531"/>
        <v>8000000</v>
      </c>
      <c r="L2251" s="111">
        <f t="shared" si="532"/>
        <v>121771</v>
      </c>
      <c r="M2251" s="2">
        <f t="shared" si="533"/>
        <v>41401.800000000003</v>
      </c>
      <c r="N2251" s="112">
        <f t="shared" si="534"/>
        <v>12000000</v>
      </c>
      <c r="O2251" s="2">
        <f t="shared" si="535"/>
        <v>6842665</v>
      </c>
      <c r="P2251" s="113">
        <f t="shared" si="536"/>
        <v>7788200</v>
      </c>
      <c r="Q2251" s="121">
        <f t="shared" si="537"/>
        <v>9025904.1999999993</v>
      </c>
    </row>
    <row r="2252" spans="2:17" x14ac:dyDescent="0.4">
      <c r="B2252" s="110">
        <v>46173</v>
      </c>
      <c r="C2252" s="122">
        <f t="shared" si="524"/>
        <v>8000000</v>
      </c>
      <c r="D2252" s="111">
        <f t="shared" si="525"/>
        <v>121771</v>
      </c>
      <c r="E2252" s="2">
        <f t="shared" si="526"/>
        <v>41401.800000000003</v>
      </c>
      <c r="F2252" s="112">
        <f t="shared" si="527"/>
        <v>12000000</v>
      </c>
      <c r="G2252" s="2">
        <f t="shared" si="528"/>
        <v>6842665</v>
      </c>
      <c r="H2252" s="113">
        <f t="shared" si="529"/>
        <v>7788200</v>
      </c>
      <c r="I2252" s="121">
        <f t="shared" si="530"/>
        <v>9025904.1999999993</v>
      </c>
      <c r="K2252" s="123">
        <f t="shared" si="531"/>
        <v>8000000</v>
      </c>
      <c r="L2252" s="111">
        <f t="shared" si="532"/>
        <v>121771</v>
      </c>
      <c r="M2252" s="2">
        <f t="shared" si="533"/>
        <v>41401.800000000003</v>
      </c>
      <c r="N2252" s="112">
        <f t="shared" si="534"/>
        <v>12000000</v>
      </c>
      <c r="O2252" s="2">
        <f t="shared" si="535"/>
        <v>6842665</v>
      </c>
      <c r="P2252" s="113">
        <f t="shared" si="536"/>
        <v>7788200</v>
      </c>
      <c r="Q2252" s="121">
        <f t="shared" si="537"/>
        <v>9025904.1999999993</v>
      </c>
    </row>
    <row r="2253" spans="2:17" x14ac:dyDescent="0.4">
      <c r="B2253" s="110">
        <v>46174</v>
      </c>
      <c r="C2253" s="122">
        <f t="shared" si="524"/>
        <v>8000000</v>
      </c>
      <c r="D2253" s="111">
        <f t="shared" si="525"/>
        <v>121771</v>
      </c>
      <c r="E2253" s="2">
        <f t="shared" si="526"/>
        <v>41401.800000000003</v>
      </c>
      <c r="F2253" s="112">
        <f t="shared" si="527"/>
        <v>12000000</v>
      </c>
      <c r="G2253" s="2">
        <f t="shared" si="528"/>
        <v>6842665</v>
      </c>
      <c r="H2253" s="113">
        <f t="shared" si="529"/>
        <v>7788200</v>
      </c>
      <c r="I2253" s="121">
        <f t="shared" si="530"/>
        <v>9025904.1999999993</v>
      </c>
      <c r="K2253" s="123">
        <f t="shared" si="531"/>
        <v>8000000</v>
      </c>
      <c r="L2253" s="111">
        <f t="shared" si="532"/>
        <v>121771</v>
      </c>
      <c r="M2253" s="2">
        <f t="shared" si="533"/>
        <v>41401.800000000003</v>
      </c>
      <c r="N2253" s="112">
        <f t="shared" si="534"/>
        <v>12000000</v>
      </c>
      <c r="O2253" s="2">
        <f t="shared" si="535"/>
        <v>6842665</v>
      </c>
      <c r="P2253" s="113">
        <f t="shared" si="536"/>
        <v>7788200</v>
      </c>
      <c r="Q2253" s="121">
        <f t="shared" si="537"/>
        <v>9025904.1999999993</v>
      </c>
    </row>
    <row r="2254" spans="2:17" x14ac:dyDescent="0.4">
      <c r="B2254" s="110">
        <v>46175</v>
      </c>
      <c r="C2254" s="122">
        <f t="shared" si="524"/>
        <v>8000000</v>
      </c>
      <c r="D2254" s="111">
        <f t="shared" si="525"/>
        <v>121771</v>
      </c>
      <c r="E2254" s="2">
        <f t="shared" si="526"/>
        <v>41401.800000000003</v>
      </c>
      <c r="F2254" s="112">
        <f t="shared" si="527"/>
        <v>12000000</v>
      </c>
      <c r="G2254" s="2">
        <f t="shared" si="528"/>
        <v>6842665</v>
      </c>
      <c r="H2254" s="113">
        <f t="shared" si="529"/>
        <v>7788200</v>
      </c>
      <c r="I2254" s="121">
        <f t="shared" si="530"/>
        <v>9025904.1999999993</v>
      </c>
      <c r="K2254" s="123">
        <f t="shared" si="531"/>
        <v>8000000</v>
      </c>
      <c r="L2254" s="111">
        <f t="shared" si="532"/>
        <v>121771</v>
      </c>
      <c r="M2254" s="2">
        <f t="shared" si="533"/>
        <v>41401.800000000003</v>
      </c>
      <c r="N2254" s="112">
        <f t="shared" si="534"/>
        <v>12000000</v>
      </c>
      <c r="O2254" s="2">
        <f t="shared" si="535"/>
        <v>6842665</v>
      </c>
      <c r="P2254" s="113">
        <f t="shared" si="536"/>
        <v>7788200</v>
      </c>
      <c r="Q2254" s="121">
        <f t="shared" si="537"/>
        <v>9025904.1999999993</v>
      </c>
    </row>
    <row r="2255" spans="2:17" x14ac:dyDescent="0.4">
      <c r="B2255" s="110">
        <v>46176</v>
      </c>
      <c r="C2255" s="122">
        <f t="shared" si="524"/>
        <v>8000000</v>
      </c>
      <c r="D2255" s="111">
        <f t="shared" si="525"/>
        <v>121771</v>
      </c>
      <c r="E2255" s="2">
        <f t="shared" si="526"/>
        <v>41401.800000000003</v>
      </c>
      <c r="F2255" s="112">
        <f t="shared" si="527"/>
        <v>12000000</v>
      </c>
      <c r="G2255" s="2">
        <f t="shared" si="528"/>
        <v>6842665</v>
      </c>
      <c r="H2255" s="113">
        <f t="shared" si="529"/>
        <v>7788200</v>
      </c>
      <c r="I2255" s="121">
        <f t="shared" si="530"/>
        <v>9025904.1999999993</v>
      </c>
      <c r="K2255" s="123">
        <f t="shared" si="531"/>
        <v>8000000</v>
      </c>
      <c r="L2255" s="111">
        <f t="shared" si="532"/>
        <v>121771</v>
      </c>
      <c r="M2255" s="2">
        <f t="shared" si="533"/>
        <v>41401.800000000003</v>
      </c>
      <c r="N2255" s="112">
        <f t="shared" si="534"/>
        <v>12000000</v>
      </c>
      <c r="O2255" s="2">
        <f t="shared" si="535"/>
        <v>6842665</v>
      </c>
      <c r="P2255" s="113">
        <f t="shared" si="536"/>
        <v>7788200</v>
      </c>
      <c r="Q2255" s="121">
        <f t="shared" si="537"/>
        <v>9025904.1999999993</v>
      </c>
    </row>
    <row r="2256" spans="2:17" x14ac:dyDescent="0.4">
      <c r="B2256" s="110">
        <v>46177</v>
      </c>
      <c r="C2256" s="122">
        <f t="shared" si="524"/>
        <v>8000000</v>
      </c>
      <c r="D2256" s="111">
        <f t="shared" si="525"/>
        <v>121771</v>
      </c>
      <c r="E2256" s="2">
        <f t="shared" si="526"/>
        <v>41401.800000000003</v>
      </c>
      <c r="F2256" s="112">
        <f t="shared" si="527"/>
        <v>12000000</v>
      </c>
      <c r="G2256" s="2">
        <f t="shared" si="528"/>
        <v>6842665</v>
      </c>
      <c r="H2256" s="113">
        <f t="shared" si="529"/>
        <v>7788200</v>
      </c>
      <c r="I2256" s="121">
        <f t="shared" si="530"/>
        <v>9025904.1999999993</v>
      </c>
      <c r="K2256" s="123">
        <f t="shared" si="531"/>
        <v>8000000</v>
      </c>
      <c r="L2256" s="111">
        <f t="shared" si="532"/>
        <v>121771</v>
      </c>
      <c r="M2256" s="2">
        <f t="shared" si="533"/>
        <v>41401.800000000003</v>
      </c>
      <c r="N2256" s="112">
        <f t="shared" si="534"/>
        <v>12000000</v>
      </c>
      <c r="O2256" s="2">
        <f t="shared" si="535"/>
        <v>6842665</v>
      </c>
      <c r="P2256" s="113">
        <f t="shared" si="536"/>
        <v>7788200</v>
      </c>
      <c r="Q2256" s="121">
        <f t="shared" si="537"/>
        <v>9025904.1999999993</v>
      </c>
    </row>
    <row r="2257" spans="2:17" x14ac:dyDescent="0.4">
      <c r="B2257" s="110">
        <v>46178</v>
      </c>
      <c r="C2257" s="122">
        <f t="shared" si="524"/>
        <v>8000000</v>
      </c>
      <c r="D2257" s="111">
        <f t="shared" si="525"/>
        <v>121771</v>
      </c>
      <c r="E2257" s="2">
        <f t="shared" si="526"/>
        <v>41401.800000000003</v>
      </c>
      <c r="F2257" s="112">
        <f t="shared" si="527"/>
        <v>12000000</v>
      </c>
      <c r="G2257" s="2">
        <f t="shared" si="528"/>
        <v>6842665</v>
      </c>
      <c r="H2257" s="113">
        <f t="shared" si="529"/>
        <v>7788200</v>
      </c>
      <c r="I2257" s="121">
        <f t="shared" si="530"/>
        <v>9025904.1999999993</v>
      </c>
      <c r="K2257" s="123">
        <f t="shared" si="531"/>
        <v>8000000</v>
      </c>
      <c r="L2257" s="111">
        <f t="shared" si="532"/>
        <v>121771</v>
      </c>
      <c r="M2257" s="2">
        <f t="shared" si="533"/>
        <v>41401.800000000003</v>
      </c>
      <c r="N2257" s="112">
        <f t="shared" si="534"/>
        <v>12000000</v>
      </c>
      <c r="O2257" s="2">
        <f t="shared" si="535"/>
        <v>6842665</v>
      </c>
      <c r="P2257" s="113">
        <f t="shared" si="536"/>
        <v>7788200</v>
      </c>
      <c r="Q2257" s="121">
        <f t="shared" si="537"/>
        <v>9025904.1999999993</v>
      </c>
    </row>
    <row r="2258" spans="2:17" x14ac:dyDescent="0.4">
      <c r="B2258" s="110">
        <v>46179</v>
      </c>
      <c r="C2258" s="122">
        <f t="shared" si="524"/>
        <v>8000000</v>
      </c>
      <c r="D2258" s="111">
        <f t="shared" si="525"/>
        <v>121771</v>
      </c>
      <c r="E2258" s="2">
        <f t="shared" si="526"/>
        <v>41401.800000000003</v>
      </c>
      <c r="F2258" s="112">
        <f t="shared" si="527"/>
        <v>12000000</v>
      </c>
      <c r="G2258" s="2">
        <f t="shared" si="528"/>
        <v>6842665</v>
      </c>
      <c r="H2258" s="113">
        <f t="shared" si="529"/>
        <v>7788200</v>
      </c>
      <c r="I2258" s="121">
        <f t="shared" si="530"/>
        <v>9025904.1999999993</v>
      </c>
      <c r="K2258" s="123">
        <f t="shared" si="531"/>
        <v>8000000</v>
      </c>
      <c r="L2258" s="111">
        <f t="shared" si="532"/>
        <v>121771</v>
      </c>
      <c r="M2258" s="2">
        <f t="shared" si="533"/>
        <v>41401.800000000003</v>
      </c>
      <c r="N2258" s="112">
        <f t="shared" si="534"/>
        <v>12000000</v>
      </c>
      <c r="O2258" s="2">
        <f t="shared" si="535"/>
        <v>6842665</v>
      </c>
      <c r="P2258" s="113">
        <f t="shared" si="536"/>
        <v>7788200</v>
      </c>
      <c r="Q2258" s="121">
        <f t="shared" si="537"/>
        <v>9025904.1999999993</v>
      </c>
    </row>
    <row r="2259" spans="2:17" x14ac:dyDescent="0.4">
      <c r="B2259" s="110">
        <v>46180</v>
      </c>
      <c r="C2259" s="122">
        <f t="shared" si="524"/>
        <v>8000000</v>
      </c>
      <c r="D2259" s="111">
        <f t="shared" si="525"/>
        <v>121771</v>
      </c>
      <c r="E2259" s="2">
        <f t="shared" si="526"/>
        <v>41401.800000000003</v>
      </c>
      <c r="F2259" s="112">
        <f t="shared" si="527"/>
        <v>12000000</v>
      </c>
      <c r="G2259" s="2">
        <f t="shared" si="528"/>
        <v>6842665</v>
      </c>
      <c r="H2259" s="113">
        <f t="shared" si="529"/>
        <v>7788200</v>
      </c>
      <c r="I2259" s="121">
        <f t="shared" si="530"/>
        <v>9025904.1999999993</v>
      </c>
      <c r="K2259" s="123">
        <f t="shared" si="531"/>
        <v>8000000</v>
      </c>
      <c r="L2259" s="111">
        <f t="shared" si="532"/>
        <v>121771</v>
      </c>
      <c r="M2259" s="2">
        <f t="shared" si="533"/>
        <v>41401.800000000003</v>
      </c>
      <c r="N2259" s="112">
        <f t="shared" si="534"/>
        <v>12000000</v>
      </c>
      <c r="O2259" s="2">
        <f t="shared" si="535"/>
        <v>6842665</v>
      </c>
      <c r="P2259" s="113">
        <f t="shared" si="536"/>
        <v>7788200</v>
      </c>
      <c r="Q2259" s="121">
        <f t="shared" si="537"/>
        <v>9025904.1999999993</v>
      </c>
    </row>
    <row r="2260" spans="2:17" x14ac:dyDescent="0.4">
      <c r="B2260" s="110">
        <v>46181</v>
      </c>
      <c r="C2260" s="122">
        <f t="shared" si="524"/>
        <v>8000000</v>
      </c>
      <c r="D2260" s="111">
        <f t="shared" si="525"/>
        <v>121771</v>
      </c>
      <c r="E2260" s="2">
        <f t="shared" si="526"/>
        <v>41401.800000000003</v>
      </c>
      <c r="F2260" s="112">
        <f t="shared" si="527"/>
        <v>12000000</v>
      </c>
      <c r="G2260" s="2">
        <f t="shared" si="528"/>
        <v>6842665</v>
      </c>
      <c r="H2260" s="113">
        <f t="shared" si="529"/>
        <v>7788200</v>
      </c>
      <c r="I2260" s="121">
        <f t="shared" si="530"/>
        <v>9025904.1999999993</v>
      </c>
      <c r="K2260" s="123">
        <f t="shared" si="531"/>
        <v>8000000</v>
      </c>
      <c r="L2260" s="111">
        <f t="shared" si="532"/>
        <v>121771</v>
      </c>
      <c r="M2260" s="2">
        <f t="shared" si="533"/>
        <v>41401.800000000003</v>
      </c>
      <c r="N2260" s="112">
        <f t="shared" si="534"/>
        <v>12000000</v>
      </c>
      <c r="O2260" s="2">
        <f t="shared" si="535"/>
        <v>6842665</v>
      </c>
      <c r="P2260" s="113">
        <f t="shared" si="536"/>
        <v>7788200</v>
      </c>
      <c r="Q2260" s="121">
        <f t="shared" si="537"/>
        <v>9025904.1999999993</v>
      </c>
    </row>
    <row r="2261" spans="2:17" x14ac:dyDescent="0.4">
      <c r="B2261" s="110">
        <v>46182</v>
      </c>
      <c r="C2261" s="122">
        <f t="shared" si="524"/>
        <v>8000000</v>
      </c>
      <c r="D2261" s="111">
        <f t="shared" si="525"/>
        <v>121771</v>
      </c>
      <c r="E2261" s="2">
        <f t="shared" si="526"/>
        <v>41401.800000000003</v>
      </c>
      <c r="F2261" s="112">
        <f t="shared" si="527"/>
        <v>12000000</v>
      </c>
      <c r="G2261" s="2">
        <f t="shared" si="528"/>
        <v>6842665</v>
      </c>
      <c r="H2261" s="113">
        <f t="shared" si="529"/>
        <v>7788200</v>
      </c>
      <c r="I2261" s="121">
        <f t="shared" si="530"/>
        <v>9025904.1999999993</v>
      </c>
      <c r="K2261" s="123">
        <f t="shared" si="531"/>
        <v>8000000</v>
      </c>
      <c r="L2261" s="111">
        <f t="shared" si="532"/>
        <v>121771</v>
      </c>
      <c r="M2261" s="2">
        <f t="shared" si="533"/>
        <v>41401.800000000003</v>
      </c>
      <c r="N2261" s="112">
        <f t="shared" si="534"/>
        <v>12000000</v>
      </c>
      <c r="O2261" s="2">
        <f t="shared" si="535"/>
        <v>6842665</v>
      </c>
      <c r="P2261" s="113">
        <f t="shared" si="536"/>
        <v>7788200</v>
      </c>
      <c r="Q2261" s="121">
        <f t="shared" si="537"/>
        <v>9025904.1999999993</v>
      </c>
    </row>
    <row r="2262" spans="2:17" x14ac:dyDescent="0.4">
      <c r="B2262" s="110">
        <v>46183</v>
      </c>
      <c r="C2262" s="122">
        <f t="shared" si="524"/>
        <v>8000000</v>
      </c>
      <c r="D2262" s="111">
        <f t="shared" si="525"/>
        <v>121771</v>
      </c>
      <c r="E2262" s="2">
        <f t="shared" si="526"/>
        <v>41401.800000000003</v>
      </c>
      <c r="F2262" s="112">
        <f t="shared" si="527"/>
        <v>12000000</v>
      </c>
      <c r="G2262" s="2">
        <f t="shared" si="528"/>
        <v>6842665</v>
      </c>
      <c r="H2262" s="113">
        <f t="shared" si="529"/>
        <v>7788200</v>
      </c>
      <c r="I2262" s="121">
        <f t="shared" si="530"/>
        <v>9025904.1999999993</v>
      </c>
      <c r="K2262" s="123">
        <f t="shared" si="531"/>
        <v>8000000</v>
      </c>
      <c r="L2262" s="111">
        <f t="shared" si="532"/>
        <v>121771</v>
      </c>
      <c r="M2262" s="2">
        <f t="shared" si="533"/>
        <v>41401.800000000003</v>
      </c>
      <c r="N2262" s="112">
        <f t="shared" si="534"/>
        <v>12000000</v>
      </c>
      <c r="O2262" s="2">
        <f t="shared" si="535"/>
        <v>6842665</v>
      </c>
      <c r="P2262" s="113">
        <f t="shared" si="536"/>
        <v>7788200</v>
      </c>
      <c r="Q2262" s="121">
        <f t="shared" si="537"/>
        <v>9025904.1999999993</v>
      </c>
    </row>
    <row r="2263" spans="2:17" x14ac:dyDescent="0.4">
      <c r="B2263" s="110">
        <v>46184</v>
      </c>
      <c r="C2263" s="122">
        <f t="shared" si="524"/>
        <v>8000000</v>
      </c>
      <c r="D2263" s="111">
        <f t="shared" si="525"/>
        <v>121771</v>
      </c>
      <c r="E2263" s="2">
        <f t="shared" si="526"/>
        <v>41401.800000000003</v>
      </c>
      <c r="F2263" s="112">
        <f t="shared" si="527"/>
        <v>12000000</v>
      </c>
      <c r="G2263" s="2">
        <f t="shared" si="528"/>
        <v>6842665</v>
      </c>
      <c r="H2263" s="113">
        <f t="shared" si="529"/>
        <v>7788200</v>
      </c>
      <c r="I2263" s="121">
        <f t="shared" si="530"/>
        <v>9025904.1999999993</v>
      </c>
      <c r="K2263" s="123">
        <f t="shared" si="531"/>
        <v>8000000</v>
      </c>
      <c r="L2263" s="111">
        <f t="shared" si="532"/>
        <v>121771</v>
      </c>
      <c r="M2263" s="2">
        <f t="shared" si="533"/>
        <v>41401.800000000003</v>
      </c>
      <c r="N2263" s="112">
        <f t="shared" si="534"/>
        <v>12000000</v>
      </c>
      <c r="O2263" s="2">
        <f t="shared" si="535"/>
        <v>6842665</v>
      </c>
      <c r="P2263" s="113">
        <f t="shared" si="536"/>
        <v>7788200</v>
      </c>
      <c r="Q2263" s="121">
        <f t="shared" si="537"/>
        <v>9025904.1999999993</v>
      </c>
    </row>
    <row r="2264" spans="2:17" x14ac:dyDescent="0.4">
      <c r="B2264" s="110">
        <v>46185</v>
      </c>
      <c r="C2264" s="122">
        <f t="shared" si="524"/>
        <v>8000000</v>
      </c>
      <c r="D2264" s="111">
        <f t="shared" si="525"/>
        <v>121771</v>
      </c>
      <c r="E2264" s="2">
        <f t="shared" si="526"/>
        <v>41401.800000000003</v>
      </c>
      <c r="F2264" s="112">
        <f t="shared" si="527"/>
        <v>12000000</v>
      </c>
      <c r="G2264" s="2">
        <f t="shared" si="528"/>
        <v>6842665</v>
      </c>
      <c r="H2264" s="113">
        <f t="shared" si="529"/>
        <v>7788200</v>
      </c>
      <c r="I2264" s="121">
        <f t="shared" si="530"/>
        <v>9025904.1999999993</v>
      </c>
      <c r="K2264" s="123">
        <f t="shared" si="531"/>
        <v>8000000</v>
      </c>
      <c r="L2264" s="111">
        <f t="shared" si="532"/>
        <v>121771</v>
      </c>
      <c r="M2264" s="2">
        <f t="shared" si="533"/>
        <v>41401.800000000003</v>
      </c>
      <c r="N2264" s="112">
        <f t="shared" si="534"/>
        <v>12000000</v>
      </c>
      <c r="O2264" s="2">
        <f t="shared" si="535"/>
        <v>6842665</v>
      </c>
      <c r="P2264" s="113">
        <f t="shared" si="536"/>
        <v>7788200</v>
      </c>
      <c r="Q2264" s="121">
        <f t="shared" si="537"/>
        <v>9025904.1999999993</v>
      </c>
    </row>
    <row r="2265" spans="2:17" x14ac:dyDescent="0.4">
      <c r="B2265" s="110">
        <v>46186</v>
      </c>
      <c r="C2265" s="122">
        <f t="shared" si="524"/>
        <v>8000000</v>
      </c>
      <c r="D2265" s="111">
        <f t="shared" si="525"/>
        <v>121771</v>
      </c>
      <c r="E2265" s="2">
        <f t="shared" si="526"/>
        <v>41401.800000000003</v>
      </c>
      <c r="F2265" s="112">
        <f t="shared" si="527"/>
        <v>12000000</v>
      </c>
      <c r="G2265" s="2">
        <f t="shared" si="528"/>
        <v>6842665</v>
      </c>
      <c r="H2265" s="113">
        <f t="shared" si="529"/>
        <v>7788200</v>
      </c>
      <c r="I2265" s="121">
        <f t="shared" si="530"/>
        <v>9025904.1999999993</v>
      </c>
      <c r="K2265" s="123">
        <f t="shared" si="531"/>
        <v>8000000</v>
      </c>
      <c r="L2265" s="111">
        <f t="shared" si="532"/>
        <v>121771</v>
      </c>
      <c r="M2265" s="2">
        <f t="shared" si="533"/>
        <v>41401.800000000003</v>
      </c>
      <c r="N2265" s="112">
        <f t="shared" si="534"/>
        <v>12000000</v>
      </c>
      <c r="O2265" s="2">
        <f t="shared" si="535"/>
        <v>6842665</v>
      </c>
      <c r="P2265" s="113">
        <f t="shared" si="536"/>
        <v>7788200</v>
      </c>
      <c r="Q2265" s="121">
        <f t="shared" si="537"/>
        <v>9025904.1999999993</v>
      </c>
    </row>
    <row r="2266" spans="2:17" x14ac:dyDescent="0.4">
      <c r="B2266" s="110">
        <v>46187</v>
      </c>
      <c r="C2266" s="122">
        <f t="shared" si="524"/>
        <v>8000000</v>
      </c>
      <c r="D2266" s="111">
        <f t="shared" si="525"/>
        <v>121771</v>
      </c>
      <c r="E2266" s="2">
        <f t="shared" si="526"/>
        <v>41401.800000000003</v>
      </c>
      <c r="F2266" s="112">
        <f t="shared" si="527"/>
        <v>12000000</v>
      </c>
      <c r="G2266" s="2">
        <f t="shared" si="528"/>
        <v>6842665</v>
      </c>
      <c r="H2266" s="113">
        <f t="shared" si="529"/>
        <v>7788200</v>
      </c>
      <c r="I2266" s="121">
        <f t="shared" si="530"/>
        <v>9025904.1999999993</v>
      </c>
      <c r="K2266" s="123">
        <f t="shared" si="531"/>
        <v>8000000</v>
      </c>
      <c r="L2266" s="111">
        <f t="shared" si="532"/>
        <v>121771</v>
      </c>
      <c r="M2266" s="2">
        <f t="shared" si="533"/>
        <v>41401.800000000003</v>
      </c>
      <c r="N2266" s="112">
        <f t="shared" si="534"/>
        <v>12000000</v>
      </c>
      <c r="O2266" s="2">
        <f t="shared" si="535"/>
        <v>6842665</v>
      </c>
      <c r="P2266" s="113">
        <f t="shared" si="536"/>
        <v>7788200</v>
      </c>
      <c r="Q2266" s="121">
        <f t="shared" si="537"/>
        <v>9025904.1999999993</v>
      </c>
    </row>
    <row r="2267" spans="2:17" x14ac:dyDescent="0.4">
      <c r="B2267" s="110">
        <v>46188</v>
      </c>
      <c r="C2267" s="122">
        <f t="shared" si="524"/>
        <v>8000000</v>
      </c>
      <c r="D2267" s="111">
        <f t="shared" si="525"/>
        <v>121771</v>
      </c>
      <c r="E2267" s="2">
        <f t="shared" si="526"/>
        <v>41401.800000000003</v>
      </c>
      <c r="F2267" s="112">
        <f t="shared" si="527"/>
        <v>12000000</v>
      </c>
      <c r="G2267" s="2">
        <f t="shared" si="528"/>
        <v>6842665</v>
      </c>
      <c r="H2267" s="113">
        <f t="shared" si="529"/>
        <v>7788200</v>
      </c>
      <c r="I2267" s="121">
        <f t="shared" si="530"/>
        <v>9025904.1999999993</v>
      </c>
      <c r="K2267" s="123">
        <f t="shared" si="531"/>
        <v>8000000</v>
      </c>
      <c r="L2267" s="111">
        <f t="shared" si="532"/>
        <v>121771</v>
      </c>
      <c r="M2267" s="2">
        <f t="shared" si="533"/>
        <v>41401.800000000003</v>
      </c>
      <c r="N2267" s="112">
        <f t="shared" si="534"/>
        <v>12000000</v>
      </c>
      <c r="O2267" s="2">
        <f t="shared" si="535"/>
        <v>6842665</v>
      </c>
      <c r="P2267" s="113">
        <f t="shared" si="536"/>
        <v>7788200</v>
      </c>
      <c r="Q2267" s="121">
        <f t="shared" si="537"/>
        <v>9025904.1999999993</v>
      </c>
    </row>
    <row r="2268" spans="2:17" x14ac:dyDescent="0.4">
      <c r="B2268" s="110">
        <v>46189</v>
      </c>
      <c r="C2268" s="122">
        <f t="shared" si="524"/>
        <v>8000000</v>
      </c>
      <c r="D2268" s="111">
        <f t="shared" si="525"/>
        <v>121771</v>
      </c>
      <c r="E2268" s="2">
        <f t="shared" si="526"/>
        <v>41401.800000000003</v>
      </c>
      <c r="F2268" s="112">
        <f t="shared" si="527"/>
        <v>12000000</v>
      </c>
      <c r="G2268" s="2">
        <f t="shared" si="528"/>
        <v>6842665</v>
      </c>
      <c r="H2268" s="113">
        <f t="shared" si="529"/>
        <v>7788200</v>
      </c>
      <c r="I2268" s="121">
        <f t="shared" si="530"/>
        <v>9025904.1999999993</v>
      </c>
      <c r="K2268" s="123">
        <f t="shared" si="531"/>
        <v>8000000</v>
      </c>
      <c r="L2268" s="111">
        <f t="shared" si="532"/>
        <v>121771</v>
      </c>
      <c r="M2268" s="2">
        <f t="shared" si="533"/>
        <v>41401.800000000003</v>
      </c>
      <c r="N2268" s="112">
        <f t="shared" si="534"/>
        <v>12000000</v>
      </c>
      <c r="O2268" s="2">
        <f t="shared" si="535"/>
        <v>6842665</v>
      </c>
      <c r="P2268" s="113">
        <f t="shared" si="536"/>
        <v>7788200</v>
      </c>
      <c r="Q2268" s="121">
        <f t="shared" si="537"/>
        <v>9025904.1999999993</v>
      </c>
    </row>
    <row r="2269" spans="2:17" x14ac:dyDescent="0.4">
      <c r="B2269" s="110">
        <v>46190</v>
      </c>
      <c r="C2269" s="122">
        <f t="shared" si="524"/>
        <v>8000000</v>
      </c>
      <c r="D2269" s="111">
        <f t="shared" si="525"/>
        <v>121771</v>
      </c>
      <c r="E2269" s="2">
        <f t="shared" si="526"/>
        <v>41401.800000000003</v>
      </c>
      <c r="F2269" s="112">
        <f t="shared" si="527"/>
        <v>12000000</v>
      </c>
      <c r="G2269" s="2">
        <f t="shared" si="528"/>
        <v>6842665</v>
      </c>
      <c r="H2269" s="113">
        <f t="shared" si="529"/>
        <v>7788200</v>
      </c>
      <c r="I2269" s="121">
        <f t="shared" si="530"/>
        <v>9025904.1999999993</v>
      </c>
      <c r="K2269" s="123">
        <f t="shared" si="531"/>
        <v>8000000</v>
      </c>
      <c r="L2269" s="111">
        <f t="shared" si="532"/>
        <v>121771</v>
      </c>
      <c r="M2269" s="2">
        <f t="shared" si="533"/>
        <v>41401.800000000003</v>
      </c>
      <c r="N2269" s="112">
        <f t="shared" si="534"/>
        <v>12000000</v>
      </c>
      <c r="O2269" s="2">
        <f t="shared" si="535"/>
        <v>6842665</v>
      </c>
      <c r="P2269" s="113">
        <f t="shared" si="536"/>
        <v>7788200</v>
      </c>
      <c r="Q2269" s="121">
        <f t="shared" si="537"/>
        <v>9025904.1999999993</v>
      </c>
    </row>
    <row r="2270" spans="2:17" x14ac:dyDescent="0.4">
      <c r="B2270" s="110">
        <v>46191</v>
      </c>
      <c r="C2270" s="122">
        <f t="shared" si="524"/>
        <v>8000000</v>
      </c>
      <c r="D2270" s="111">
        <f t="shared" si="525"/>
        <v>121771</v>
      </c>
      <c r="E2270" s="2">
        <f t="shared" si="526"/>
        <v>41401.800000000003</v>
      </c>
      <c r="F2270" s="112">
        <f t="shared" si="527"/>
        <v>12000000</v>
      </c>
      <c r="G2270" s="2">
        <f t="shared" si="528"/>
        <v>6842665</v>
      </c>
      <c r="H2270" s="113">
        <f t="shared" si="529"/>
        <v>7788200</v>
      </c>
      <c r="I2270" s="121">
        <f t="shared" si="530"/>
        <v>9025904.1999999993</v>
      </c>
      <c r="K2270" s="123">
        <f t="shared" si="531"/>
        <v>8000000</v>
      </c>
      <c r="L2270" s="111">
        <f t="shared" si="532"/>
        <v>121771</v>
      </c>
      <c r="M2270" s="2">
        <f t="shared" si="533"/>
        <v>41401.800000000003</v>
      </c>
      <c r="N2270" s="112">
        <f t="shared" si="534"/>
        <v>12000000</v>
      </c>
      <c r="O2270" s="2">
        <f t="shared" si="535"/>
        <v>6842665</v>
      </c>
      <c r="P2270" s="113">
        <f t="shared" si="536"/>
        <v>7788200</v>
      </c>
      <c r="Q2270" s="121">
        <f t="shared" si="537"/>
        <v>9025904.1999999993</v>
      </c>
    </row>
    <row r="2271" spans="2:17" x14ac:dyDescent="0.4">
      <c r="B2271" s="110">
        <v>46192</v>
      </c>
      <c r="C2271" s="122">
        <f t="shared" si="524"/>
        <v>8000000</v>
      </c>
      <c r="D2271" s="111">
        <f t="shared" si="525"/>
        <v>121771</v>
      </c>
      <c r="E2271" s="2">
        <f t="shared" si="526"/>
        <v>41401.800000000003</v>
      </c>
      <c r="F2271" s="112">
        <f t="shared" si="527"/>
        <v>12000000</v>
      </c>
      <c r="G2271" s="2">
        <f t="shared" si="528"/>
        <v>6842665</v>
      </c>
      <c r="H2271" s="113">
        <f t="shared" si="529"/>
        <v>7788200</v>
      </c>
      <c r="I2271" s="121">
        <f t="shared" si="530"/>
        <v>9025904.1999999993</v>
      </c>
      <c r="K2271" s="123">
        <f t="shared" si="531"/>
        <v>8000000</v>
      </c>
      <c r="L2271" s="111">
        <f t="shared" si="532"/>
        <v>121771</v>
      </c>
      <c r="M2271" s="2">
        <f t="shared" si="533"/>
        <v>41401.800000000003</v>
      </c>
      <c r="N2271" s="112">
        <f t="shared" si="534"/>
        <v>12000000</v>
      </c>
      <c r="O2271" s="2">
        <f t="shared" si="535"/>
        <v>6842665</v>
      </c>
      <c r="P2271" s="113">
        <f t="shared" si="536"/>
        <v>7788200</v>
      </c>
      <c r="Q2271" s="121">
        <f t="shared" si="537"/>
        <v>9025904.1999999993</v>
      </c>
    </row>
    <row r="2272" spans="2:17" x14ac:dyDescent="0.4">
      <c r="B2272" s="110">
        <v>46193</v>
      </c>
      <c r="C2272" s="122">
        <f t="shared" si="524"/>
        <v>8000000</v>
      </c>
      <c r="D2272" s="111">
        <f t="shared" si="525"/>
        <v>121771</v>
      </c>
      <c r="E2272" s="2">
        <f t="shared" si="526"/>
        <v>41401.800000000003</v>
      </c>
      <c r="F2272" s="112">
        <f t="shared" si="527"/>
        <v>12000000</v>
      </c>
      <c r="G2272" s="2">
        <f t="shared" si="528"/>
        <v>6842665</v>
      </c>
      <c r="H2272" s="113">
        <f t="shared" si="529"/>
        <v>7788200</v>
      </c>
      <c r="I2272" s="121">
        <f t="shared" si="530"/>
        <v>9025904.1999999993</v>
      </c>
      <c r="K2272" s="123">
        <f t="shared" si="531"/>
        <v>8000000</v>
      </c>
      <c r="L2272" s="111">
        <f t="shared" si="532"/>
        <v>121771</v>
      </c>
      <c r="M2272" s="2">
        <f t="shared" si="533"/>
        <v>41401.800000000003</v>
      </c>
      <c r="N2272" s="112">
        <f t="shared" si="534"/>
        <v>12000000</v>
      </c>
      <c r="O2272" s="2">
        <f t="shared" si="535"/>
        <v>6842665</v>
      </c>
      <c r="P2272" s="113">
        <f t="shared" si="536"/>
        <v>7788200</v>
      </c>
      <c r="Q2272" s="121">
        <f t="shared" si="537"/>
        <v>9025904.1999999993</v>
      </c>
    </row>
    <row r="2273" spans="2:17" x14ac:dyDescent="0.4">
      <c r="B2273" s="110">
        <v>46194</v>
      </c>
      <c r="C2273" s="122">
        <f t="shared" si="524"/>
        <v>8000000</v>
      </c>
      <c r="D2273" s="111">
        <f t="shared" si="525"/>
        <v>121771</v>
      </c>
      <c r="E2273" s="2">
        <f t="shared" si="526"/>
        <v>41401.800000000003</v>
      </c>
      <c r="F2273" s="112">
        <f t="shared" si="527"/>
        <v>12000000</v>
      </c>
      <c r="G2273" s="2">
        <f t="shared" si="528"/>
        <v>6842665</v>
      </c>
      <c r="H2273" s="113">
        <f t="shared" si="529"/>
        <v>7788200</v>
      </c>
      <c r="I2273" s="121">
        <f t="shared" si="530"/>
        <v>9025904.1999999993</v>
      </c>
      <c r="K2273" s="123">
        <f t="shared" si="531"/>
        <v>8000000</v>
      </c>
      <c r="L2273" s="111">
        <f t="shared" si="532"/>
        <v>121771</v>
      </c>
      <c r="M2273" s="2">
        <f t="shared" si="533"/>
        <v>41401.800000000003</v>
      </c>
      <c r="N2273" s="112">
        <f t="shared" si="534"/>
        <v>12000000</v>
      </c>
      <c r="O2273" s="2">
        <f t="shared" si="535"/>
        <v>6842665</v>
      </c>
      <c r="P2273" s="113">
        <f t="shared" si="536"/>
        <v>7788200</v>
      </c>
      <c r="Q2273" s="121">
        <f t="shared" si="537"/>
        <v>9025904.1999999993</v>
      </c>
    </row>
    <row r="2274" spans="2:17" x14ac:dyDescent="0.4">
      <c r="B2274" s="110">
        <v>46195</v>
      </c>
      <c r="C2274" s="122">
        <f t="shared" si="524"/>
        <v>8000000</v>
      </c>
      <c r="D2274" s="111">
        <f t="shared" si="525"/>
        <v>121771</v>
      </c>
      <c r="E2274" s="2">
        <f t="shared" si="526"/>
        <v>41401.800000000003</v>
      </c>
      <c r="F2274" s="112">
        <f t="shared" si="527"/>
        <v>12000000</v>
      </c>
      <c r="G2274" s="2">
        <f t="shared" si="528"/>
        <v>6842665</v>
      </c>
      <c r="H2274" s="113">
        <f t="shared" si="529"/>
        <v>7788200</v>
      </c>
      <c r="I2274" s="121">
        <f t="shared" si="530"/>
        <v>9025904.1999999993</v>
      </c>
      <c r="K2274" s="123">
        <f t="shared" si="531"/>
        <v>8000000</v>
      </c>
      <c r="L2274" s="111">
        <f t="shared" si="532"/>
        <v>121771</v>
      </c>
      <c r="M2274" s="2">
        <f t="shared" si="533"/>
        <v>41401.800000000003</v>
      </c>
      <c r="N2274" s="112">
        <f t="shared" si="534"/>
        <v>12000000</v>
      </c>
      <c r="O2274" s="2">
        <f t="shared" si="535"/>
        <v>6842665</v>
      </c>
      <c r="P2274" s="113">
        <f t="shared" si="536"/>
        <v>7788200</v>
      </c>
      <c r="Q2274" s="121">
        <f t="shared" si="537"/>
        <v>9025904.1999999993</v>
      </c>
    </row>
    <row r="2275" spans="2:17" x14ac:dyDescent="0.4">
      <c r="B2275" s="110">
        <v>46196</v>
      </c>
      <c r="C2275" s="122">
        <f t="shared" si="524"/>
        <v>8000000</v>
      </c>
      <c r="D2275" s="111">
        <f t="shared" si="525"/>
        <v>121771</v>
      </c>
      <c r="E2275" s="2">
        <f t="shared" si="526"/>
        <v>41401.800000000003</v>
      </c>
      <c r="F2275" s="112">
        <f t="shared" si="527"/>
        <v>12000000</v>
      </c>
      <c r="G2275" s="2">
        <f t="shared" si="528"/>
        <v>6842665</v>
      </c>
      <c r="H2275" s="113">
        <f t="shared" si="529"/>
        <v>7788200</v>
      </c>
      <c r="I2275" s="121">
        <f t="shared" si="530"/>
        <v>9025904.1999999993</v>
      </c>
      <c r="K2275" s="123">
        <f t="shared" si="531"/>
        <v>8000000</v>
      </c>
      <c r="L2275" s="111">
        <f t="shared" si="532"/>
        <v>121771</v>
      </c>
      <c r="M2275" s="2">
        <f t="shared" si="533"/>
        <v>41401.800000000003</v>
      </c>
      <c r="N2275" s="112">
        <f t="shared" si="534"/>
        <v>12000000</v>
      </c>
      <c r="O2275" s="2">
        <f t="shared" si="535"/>
        <v>6842665</v>
      </c>
      <c r="P2275" s="113">
        <f t="shared" si="536"/>
        <v>7788200</v>
      </c>
      <c r="Q2275" s="121">
        <f t="shared" si="537"/>
        <v>9025904.1999999993</v>
      </c>
    </row>
    <row r="2276" spans="2:17" x14ac:dyDescent="0.4">
      <c r="B2276" s="110">
        <v>46197</v>
      </c>
      <c r="C2276" s="122">
        <f t="shared" si="524"/>
        <v>8000000</v>
      </c>
      <c r="D2276" s="111">
        <f t="shared" si="525"/>
        <v>121771</v>
      </c>
      <c r="E2276" s="2">
        <f t="shared" si="526"/>
        <v>41401.800000000003</v>
      </c>
      <c r="F2276" s="112">
        <f t="shared" si="527"/>
        <v>12000000</v>
      </c>
      <c r="G2276" s="2">
        <f t="shared" si="528"/>
        <v>6842665</v>
      </c>
      <c r="H2276" s="113">
        <f t="shared" si="529"/>
        <v>7788200</v>
      </c>
      <c r="I2276" s="121">
        <f t="shared" si="530"/>
        <v>9025904.1999999993</v>
      </c>
      <c r="K2276" s="123">
        <f t="shared" si="531"/>
        <v>8000000</v>
      </c>
      <c r="L2276" s="111">
        <f t="shared" si="532"/>
        <v>121771</v>
      </c>
      <c r="M2276" s="2">
        <f t="shared" si="533"/>
        <v>41401.800000000003</v>
      </c>
      <c r="N2276" s="112">
        <f t="shared" si="534"/>
        <v>12000000</v>
      </c>
      <c r="O2276" s="2">
        <f t="shared" si="535"/>
        <v>6842665</v>
      </c>
      <c r="P2276" s="113">
        <f t="shared" si="536"/>
        <v>7788200</v>
      </c>
      <c r="Q2276" s="121">
        <f t="shared" si="537"/>
        <v>9025904.1999999993</v>
      </c>
    </row>
    <row r="2277" spans="2:17" x14ac:dyDescent="0.4">
      <c r="B2277" s="110">
        <v>46198</v>
      </c>
      <c r="C2277" s="122">
        <f t="shared" si="524"/>
        <v>8000000</v>
      </c>
      <c r="D2277" s="111">
        <f t="shared" si="525"/>
        <v>121771</v>
      </c>
      <c r="E2277" s="2">
        <f t="shared" si="526"/>
        <v>41401.800000000003</v>
      </c>
      <c r="F2277" s="112">
        <f t="shared" si="527"/>
        <v>12000000</v>
      </c>
      <c r="G2277" s="2">
        <f t="shared" si="528"/>
        <v>6842665</v>
      </c>
      <c r="H2277" s="113">
        <f t="shared" si="529"/>
        <v>7788200</v>
      </c>
      <c r="I2277" s="121">
        <f t="shared" si="530"/>
        <v>9025904.1999999993</v>
      </c>
      <c r="K2277" s="123">
        <f t="shared" si="531"/>
        <v>8000000</v>
      </c>
      <c r="L2277" s="111">
        <f t="shared" si="532"/>
        <v>121771</v>
      </c>
      <c r="M2277" s="2">
        <f t="shared" si="533"/>
        <v>41401.800000000003</v>
      </c>
      <c r="N2277" s="112">
        <f t="shared" si="534"/>
        <v>12000000</v>
      </c>
      <c r="O2277" s="2">
        <f t="shared" si="535"/>
        <v>6842665</v>
      </c>
      <c r="P2277" s="113">
        <f t="shared" si="536"/>
        <v>7788200</v>
      </c>
      <c r="Q2277" s="121">
        <f t="shared" si="537"/>
        <v>9025904.1999999993</v>
      </c>
    </row>
    <row r="2278" spans="2:17" x14ac:dyDescent="0.4">
      <c r="B2278" s="110">
        <v>46199</v>
      </c>
      <c r="C2278" s="122">
        <f t="shared" ref="C2278:C2341" si="538">SUMIF($B$6:$B$75,$B2278,$D$6:$D$75)+C2277</f>
        <v>8000000</v>
      </c>
      <c r="D2278" s="111">
        <f t="shared" ref="D2278:D2341" si="539">SUMIF($B$6:$B$75,$B2278,$E$6:$E$75)+D2277</f>
        <v>121771</v>
      </c>
      <c r="E2278" s="2">
        <f t="shared" ref="E2278:E2341" si="540">SUMIF($G$353:$G$376,$B2278,$J$353:$J$376)+SUMIF($E$353:$E$376,$B2278,$H$353:$H$376)+SUMIF($G$353:$G$376,$B2278,$I$353:$I$376)+E2277</f>
        <v>41401.800000000003</v>
      </c>
      <c r="F2278" s="112">
        <f t="shared" ref="F2278:F2341" si="541">20000000-C2278</f>
        <v>12000000</v>
      </c>
      <c r="G2278" s="2">
        <f t="shared" ref="G2278:G2341" si="542">SUMIF($E$353:$E$376,$B2278,$M$353:$M$376)+G2277</f>
        <v>6842665</v>
      </c>
      <c r="H2278" s="113">
        <f t="shared" ref="H2278:H2341" si="543">SUMIF($G$353:$G$376,$B2278,$N$353:$N$376)+H2277</f>
        <v>7788200</v>
      </c>
      <c r="I2278" s="121">
        <f t="shared" ref="I2278:I2341" si="544">C2278+D2278-G2278-E2278+H2278</f>
        <v>9025904.1999999993</v>
      </c>
      <c r="K2278" s="123">
        <f t="shared" ref="K2278:K2341" si="545">SUMIF($B$6:$B$75,$B2278,$D$6:$D$75)+K2277</f>
        <v>8000000</v>
      </c>
      <c r="L2278" s="111">
        <f t="shared" ref="L2278:L2341" si="546">SUMIF($B$6:$B$75,$B2278,$E$6:$E$75)+L2277</f>
        <v>121771</v>
      </c>
      <c r="M2278" s="2">
        <f t="shared" ref="M2278:M2341" si="547">SUMIF($G$353:$G$376,$B2278,$J$353:$J$376)+SUMIF($E$353:$E$376,$B2278,$H$353:$H$376)+SUMIF($G$353:$G$376,$B2278,$I$353:$I$376)+M2277</f>
        <v>41401.800000000003</v>
      </c>
      <c r="N2278" s="112">
        <f t="shared" ref="N2278:N2341" si="548">20000000-K2278</f>
        <v>12000000</v>
      </c>
      <c r="O2278" s="2">
        <f t="shared" ref="O2278:O2341" si="549">SUMIF($E$353:$E$376,$B2278,$M$353:$M$376)+O2277</f>
        <v>6842665</v>
      </c>
      <c r="P2278" s="113">
        <f t="shared" ref="P2278:P2341" si="550">SUMIF($G$353:$G$376,$B2278,$N$353:$N$376)+P2277</f>
        <v>7788200</v>
      </c>
      <c r="Q2278" s="121">
        <f t="shared" ref="Q2278:Q2341" si="551">K2278+L2278-O2278-M2278+P2278</f>
        <v>9025904.1999999993</v>
      </c>
    </row>
    <row r="2279" spans="2:17" x14ac:dyDescent="0.4">
      <c r="B2279" s="110">
        <v>46200</v>
      </c>
      <c r="C2279" s="122">
        <f t="shared" si="538"/>
        <v>8000000</v>
      </c>
      <c r="D2279" s="111">
        <f t="shared" si="539"/>
        <v>121771</v>
      </c>
      <c r="E2279" s="2">
        <f t="shared" si="540"/>
        <v>41401.800000000003</v>
      </c>
      <c r="F2279" s="112">
        <f t="shared" si="541"/>
        <v>12000000</v>
      </c>
      <c r="G2279" s="2">
        <f t="shared" si="542"/>
        <v>6842665</v>
      </c>
      <c r="H2279" s="113">
        <f t="shared" si="543"/>
        <v>7788200</v>
      </c>
      <c r="I2279" s="121">
        <f t="shared" si="544"/>
        <v>9025904.1999999993</v>
      </c>
      <c r="K2279" s="123">
        <f t="shared" si="545"/>
        <v>8000000</v>
      </c>
      <c r="L2279" s="111">
        <f t="shared" si="546"/>
        <v>121771</v>
      </c>
      <c r="M2279" s="2">
        <f t="shared" si="547"/>
        <v>41401.800000000003</v>
      </c>
      <c r="N2279" s="112">
        <f t="shared" si="548"/>
        <v>12000000</v>
      </c>
      <c r="O2279" s="2">
        <f t="shared" si="549"/>
        <v>6842665</v>
      </c>
      <c r="P2279" s="113">
        <f t="shared" si="550"/>
        <v>7788200</v>
      </c>
      <c r="Q2279" s="121">
        <f t="shared" si="551"/>
        <v>9025904.1999999993</v>
      </c>
    </row>
    <row r="2280" spans="2:17" x14ac:dyDescent="0.4">
      <c r="B2280" s="110">
        <v>46201</v>
      </c>
      <c r="C2280" s="122">
        <f t="shared" si="538"/>
        <v>8000000</v>
      </c>
      <c r="D2280" s="111">
        <f t="shared" si="539"/>
        <v>121771</v>
      </c>
      <c r="E2280" s="2">
        <f t="shared" si="540"/>
        <v>41401.800000000003</v>
      </c>
      <c r="F2280" s="112">
        <f t="shared" si="541"/>
        <v>12000000</v>
      </c>
      <c r="G2280" s="2">
        <f t="shared" si="542"/>
        <v>6842665</v>
      </c>
      <c r="H2280" s="113">
        <f t="shared" si="543"/>
        <v>7788200</v>
      </c>
      <c r="I2280" s="121">
        <f t="shared" si="544"/>
        <v>9025904.1999999993</v>
      </c>
      <c r="K2280" s="123">
        <f t="shared" si="545"/>
        <v>8000000</v>
      </c>
      <c r="L2280" s="111">
        <f t="shared" si="546"/>
        <v>121771</v>
      </c>
      <c r="M2280" s="2">
        <f t="shared" si="547"/>
        <v>41401.800000000003</v>
      </c>
      <c r="N2280" s="112">
        <f t="shared" si="548"/>
        <v>12000000</v>
      </c>
      <c r="O2280" s="2">
        <f t="shared" si="549"/>
        <v>6842665</v>
      </c>
      <c r="P2280" s="113">
        <f t="shared" si="550"/>
        <v>7788200</v>
      </c>
      <c r="Q2280" s="121">
        <f t="shared" si="551"/>
        <v>9025904.1999999993</v>
      </c>
    </row>
    <row r="2281" spans="2:17" x14ac:dyDescent="0.4">
      <c r="B2281" s="110">
        <v>46202</v>
      </c>
      <c r="C2281" s="122">
        <f t="shared" si="538"/>
        <v>8000000</v>
      </c>
      <c r="D2281" s="111">
        <f t="shared" si="539"/>
        <v>121771</v>
      </c>
      <c r="E2281" s="2">
        <f t="shared" si="540"/>
        <v>41401.800000000003</v>
      </c>
      <c r="F2281" s="112">
        <f t="shared" si="541"/>
        <v>12000000</v>
      </c>
      <c r="G2281" s="2">
        <f t="shared" si="542"/>
        <v>6842665</v>
      </c>
      <c r="H2281" s="113">
        <f t="shared" si="543"/>
        <v>7788200</v>
      </c>
      <c r="I2281" s="121">
        <f t="shared" si="544"/>
        <v>9025904.1999999993</v>
      </c>
      <c r="K2281" s="123">
        <f t="shared" si="545"/>
        <v>8000000</v>
      </c>
      <c r="L2281" s="111">
        <f t="shared" si="546"/>
        <v>121771</v>
      </c>
      <c r="M2281" s="2">
        <f t="shared" si="547"/>
        <v>41401.800000000003</v>
      </c>
      <c r="N2281" s="112">
        <f t="shared" si="548"/>
        <v>12000000</v>
      </c>
      <c r="O2281" s="2">
        <f t="shared" si="549"/>
        <v>6842665</v>
      </c>
      <c r="P2281" s="113">
        <f t="shared" si="550"/>
        <v>7788200</v>
      </c>
      <c r="Q2281" s="121">
        <f t="shared" si="551"/>
        <v>9025904.1999999993</v>
      </c>
    </row>
    <row r="2282" spans="2:17" x14ac:dyDescent="0.4">
      <c r="B2282" s="110">
        <v>46203</v>
      </c>
      <c r="C2282" s="122">
        <f t="shared" si="538"/>
        <v>8000000</v>
      </c>
      <c r="D2282" s="111">
        <f t="shared" si="539"/>
        <v>121771</v>
      </c>
      <c r="E2282" s="2">
        <f t="shared" si="540"/>
        <v>41401.800000000003</v>
      </c>
      <c r="F2282" s="112">
        <f t="shared" si="541"/>
        <v>12000000</v>
      </c>
      <c r="G2282" s="2">
        <f t="shared" si="542"/>
        <v>6842665</v>
      </c>
      <c r="H2282" s="113">
        <f t="shared" si="543"/>
        <v>7788200</v>
      </c>
      <c r="I2282" s="121">
        <f t="shared" si="544"/>
        <v>9025904.1999999993</v>
      </c>
      <c r="K2282" s="123">
        <f t="shared" si="545"/>
        <v>8000000</v>
      </c>
      <c r="L2282" s="111">
        <f t="shared" si="546"/>
        <v>121771</v>
      </c>
      <c r="M2282" s="2">
        <f t="shared" si="547"/>
        <v>41401.800000000003</v>
      </c>
      <c r="N2282" s="112">
        <f t="shared" si="548"/>
        <v>12000000</v>
      </c>
      <c r="O2282" s="2">
        <f t="shared" si="549"/>
        <v>6842665</v>
      </c>
      <c r="P2282" s="113">
        <f t="shared" si="550"/>
        <v>7788200</v>
      </c>
      <c r="Q2282" s="121">
        <f t="shared" si="551"/>
        <v>9025904.1999999993</v>
      </c>
    </row>
    <row r="2283" spans="2:17" x14ac:dyDescent="0.4">
      <c r="B2283" s="110">
        <v>46204</v>
      </c>
      <c r="C2283" s="122">
        <f t="shared" si="538"/>
        <v>8000000</v>
      </c>
      <c r="D2283" s="111">
        <f t="shared" si="539"/>
        <v>121771</v>
      </c>
      <c r="E2283" s="2">
        <f t="shared" si="540"/>
        <v>41401.800000000003</v>
      </c>
      <c r="F2283" s="112">
        <f t="shared" si="541"/>
        <v>12000000</v>
      </c>
      <c r="G2283" s="2">
        <f t="shared" si="542"/>
        <v>6842665</v>
      </c>
      <c r="H2283" s="113">
        <f t="shared" si="543"/>
        <v>7788200</v>
      </c>
      <c r="I2283" s="121">
        <f t="shared" si="544"/>
        <v>9025904.1999999993</v>
      </c>
      <c r="K2283" s="123">
        <f t="shared" si="545"/>
        <v>8000000</v>
      </c>
      <c r="L2283" s="111">
        <f t="shared" si="546"/>
        <v>121771</v>
      </c>
      <c r="M2283" s="2">
        <f t="shared" si="547"/>
        <v>41401.800000000003</v>
      </c>
      <c r="N2283" s="112">
        <f t="shared" si="548"/>
        <v>12000000</v>
      </c>
      <c r="O2283" s="2">
        <f t="shared" si="549"/>
        <v>6842665</v>
      </c>
      <c r="P2283" s="113">
        <f t="shared" si="550"/>
        <v>7788200</v>
      </c>
      <c r="Q2283" s="121">
        <f t="shared" si="551"/>
        <v>9025904.1999999993</v>
      </c>
    </row>
    <row r="2284" spans="2:17" x14ac:dyDescent="0.4">
      <c r="B2284" s="110">
        <v>46205</v>
      </c>
      <c r="C2284" s="122">
        <f t="shared" si="538"/>
        <v>8000000</v>
      </c>
      <c r="D2284" s="111">
        <f t="shared" si="539"/>
        <v>121771</v>
      </c>
      <c r="E2284" s="2">
        <f t="shared" si="540"/>
        <v>41401.800000000003</v>
      </c>
      <c r="F2284" s="112">
        <f t="shared" si="541"/>
        <v>12000000</v>
      </c>
      <c r="G2284" s="2">
        <f t="shared" si="542"/>
        <v>6842665</v>
      </c>
      <c r="H2284" s="113">
        <f t="shared" si="543"/>
        <v>7788200</v>
      </c>
      <c r="I2284" s="121">
        <f t="shared" si="544"/>
        <v>9025904.1999999993</v>
      </c>
      <c r="K2284" s="123">
        <f t="shared" si="545"/>
        <v>8000000</v>
      </c>
      <c r="L2284" s="111">
        <f t="shared" si="546"/>
        <v>121771</v>
      </c>
      <c r="M2284" s="2">
        <f t="shared" si="547"/>
        <v>41401.800000000003</v>
      </c>
      <c r="N2284" s="112">
        <f t="shared" si="548"/>
        <v>12000000</v>
      </c>
      <c r="O2284" s="2">
        <f t="shared" si="549"/>
        <v>6842665</v>
      </c>
      <c r="P2284" s="113">
        <f t="shared" si="550"/>
        <v>7788200</v>
      </c>
      <c r="Q2284" s="121">
        <f t="shared" si="551"/>
        <v>9025904.1999999993</v>
      </c>
    </row>
    <row r="2285" spans="2:17" x14ac:dyDescent="0.4">
      <c r="B2285" s="110">
        <v>46206</v>
      </c>
      <c r="C2285" s="122">
        <f t="shared" si="538"/>
        <v>8000000</v>
      </c>
      <c r="D2285" s="111">
        <f t="shared" si="539"/>
        <v>121771</v>
      </c>
      <c r="E2285" s="2">
        <f t="shared" si="540"/>
        <v>41401.800000000003</v>
      </c>
      <c r="F2285" s="112">
        <f t="shared" si="541"/>
        <v>12000000</v>
      </c>
      <c r="G2285" s="2">
        <f t="shared" si="542"/>
        <v>6842665</v>
      </c>
      <c r="H2285" s="113">
        <f t="shared" si="543"/>
        <v>7788200</v>
      </c>
      <c r="I2285" s="121">
        <f t="shared" si="544"/>
        <v>9025904.1999999993</v>
      </c>
      <c r="K2285" s="123">
        <f t="shared" si="545"/>
        <v>8000000</v>
      </c>
      <c r="L2285" s="111">
        <f t="shared" si="546"/>
        <v>121771</v>
      </c>
      <c r="M2285" s="2">
        <f t="shared" si="547"/>
        <v>41401.800000000003</v>
      </c>
      <c r="N2285" s="112">
        <f t="shared" si="548"/>
        <v>12000000</v>
      </c>
      <c r="O2285" s="2">
        <f t="shared" si="549"/>
        <v>6842665</v>
      </c>
      <c r="P2285" s="113">
        <f t="shared" si="550"/>
        <v>7788200</v>
      </c>
      <c r="Q2285" s="121">
        <f t="shared" si="551"/>
        <v>9025904.1999999993</v>
      </c>
    </row>
    <row r="2286" spans="2:17" x14ac:dyDescent="0.4">
      <c r="B2286" s="110">
        <v>46207</v>
      </c>
      <c r="C2286" s="122">
        <f t="shared" si="538"/>
        <v>8000000</v>
      </c>
      <c r="D2286" s="111">
        <f t="shared" si="539"/>
        <v>121771</v>
      </c>
      <c r="E2286" s="2">
        <f t="shared" si="540"/>
        <v>41401.800000000003</v>
      </c>
      <c r="F2286" s="112">
        <f t="shared" si="541"/>
        <v>12000000</v>
      </c>
      <c r="G2286" s="2">
        <f t="shared" si="542"/>
        <v>6842665</v>
      </c>
      <c r="H2286" s="113">
        <f t="shared" si="543"/>
        <v>7788200</v>
      </c>
      <c r="I2286" s="121">
        <f t="shared" si="544"/>
        <v>9025904.1999999993</v>
      </c>
      <c r="K2286" s="123">
        <f t="shared" si="545"/>
        <v>8000000</v>
      </c>
      <c r="L2286" s="111">
        <f t="shared" si="546"/>
        <v>121771</v>
      </c>
      <c r="M2286" s="2">
        <f t="shared" si="547"/>
        <v>41401.800000000003</v>
      </c>
      <c r="N2286" s="112">
        <f t="shared" si="548"/>
        <v>12000000</v>
      </c>
      <c r="O2286" s="2">
        <f t="shared" si="549"/>
        <v>6842665</v>
      </c>
      <c r="P2286" s="113">
        <f t="shared" si="550"/>
        <v>7788200</v>
      </c>
      <c r="Q2286" s="121">
        <f t="shared" si="551"/>
        <v>9025904.1999999993</v>
      </c>
    </row>
    <row r="2287" spans="2:17" x14ac:dyDescent="0.4">
      <c r="B2287" s="110">
        <v>46208</v>
      </c>
      <c r="C2287" s="122">
        <f t="shared" si="538"/>
        <v>8000000</v>
      </c>
      <c r="D2287" s="111">
        <f t="shared" si="539"/>
        <v>121771</v>
      </c>
      <c r="E2287" s="2">
        <f t="shared" si="540"/>
        <v>41401.800000000003</v>
      </c>
      <c r="F2287" s="112">
        <f t="shared" si="541"/>
        <v>12000000</v>
      </c>
      <c r="G2287" s="2">
        <f t="shared" si="542"/>
        <v>6842665</v>
      </c>
      <c r="H2287" s="113">
        <f t="shared" si="543"/>
        <v>7788200</v>
      </c>
      <c r="I2287" s="121">
        <f t="shared" si="544"/>
        <v>9025904.1999999993</v>
      </c>
      <c r="K2287" s="123">
        <f t="shared" si="545"/>
        <v>8000000</v>
      </c>
      <c r="L2287" s="111">
        <f t="shared" si="546"/>
        <v>121771</v>
      </c>
      <c r="M2287" s="2">
        <f t="shared" si="547"/>
        <v>41401.800000000003</v>
      </c>
      <c r="N2287" s="112">
        <f t="shared" si="548"/>
        <v>12000000</v>
      </c>
      <c r="O2287" s="2">
        <f t="shared" si="549"/>
        <v>6842665</v>
      </c>
      <c r="P2287" s="113">
        <f t="shared" si="550"/>
        <v>7788200</v>
      </c>
      <c r="Q2287" s="121">
        <f t="shared" si="551"/>
        <v>9025904.1999999993</v>
      </c>
    </row>
    <row r="2288" spans="2:17" x14ac:dyDescent="0.4">
      <c r="B2288" s="110">
        <v>46209</v>
      </c>
      <c r="C2288" s="122">
        <f t="shared" si="538"/>
        <v>8000000</v>
      </c>
      <c r="D2288" s="111">
        <f t="shared" si="539"/>
        <v>121771</v>
      </c>
      <c r="E2288" s="2">
        <f t="shared" si="540"/>
        <v>41401.800000000003</v>
      </c>
      <c r="F2288" s="112">
        <f t="shared" si="541"/>
        <v>12000000</v>
      </c>
      <c r="G2288" s="2">
        <f t="shared" si="542"/>
        <v>6842665</v>
      </c>
      <c r="H2288" s="113">
        <f t="shared" si="543"/>
        <v>7788200</v>
      </c>
      <c r="I2288" s="121">
        <f t="shared" si="544"/>
        <v>9025904.1999999993</v>
      </c>
      <c r="K2288" s="123">
        <f t="shared" si="545"/>
        <v>8000000</v>
      </c>
      <c r="L2288" s="111">
        <f t="shared" si="546"/>
        <v>121771</v>
      </c>
      <c r="M2288" s="2">
        <f t="shared" si="547"/>
        <v>41401.800000000003</v>
      </c>
      <c r="N2288" s="112">
        <f t="shared" si="548"/>
        <v>12000000</v>
      </c>
      <c r="O2288" s="2">
        <f t="shared" si="549"/>
        <v>6842665</v>
      </c>
      <c r="P2288" s="113">
        <f t="shared" si="550"/>
        <v>7788200</v>
      </c>
      <c r="Q2288" s="121">
        <f t="shared" si="551"/>
        <v>9025904.1999999993</v>
      </c>
    </row>
    <row r="2289" spans="2:17" x14ac:dyDescent="0.4">
      <c r="B2289" s="110">
        <v>46210</v>
      </c>
      <c r="C2289" s="122">
        <f t="shared" si="538"/>
        <v>8000000</v>
      </c>
      <c r="D2289" s="111">
        <f t="shared" si="539"/>
        <v>121771</v>
      </c>
      <c r="E2289" s="2">
        <f t="shared" si="540"/>
        <v>41401.800000000003</v>
      </c>
      <c r="F2289" s="112">
        <f t="shared" si="541"/>
        <v>12000000</v>
      </c>
      <c r="G2289" s="2">
        <f t="shared" si="542"/>
        <v>6842665</v>
      </c>
      <c r="H2289" s="113">
        <f t="shared" si="543"/>
        <v>7788200</v>
      </c>
      <c r="I2289" s="121">
        <f t="shared" si="544"/>
        <v>9025904.1999999993</v>
      </c>
      <c r="K2289" s="123">
        <f t="shared" si="545"/>
        <v>8000000</v>
      </c>
      <c r="L2289" s="111">
        <f t="shared" si="546"/>
        <v>121771</v>
      </c>
      <c r="M2289" s="2">
        <f t="shared" si="547"/>
        <v>41401.800000000003</v>
      </c>
      <c r="N2289" s="112">
        <f t="shared" si="548"/>
        <v>12000000</v>
      </c>
      <c r="O2289" s="2">
        <f t="shared" si="549"/>
        <v>6842665</v>
      </c>
      <c r="P2289" s="113">
        <f t="shared" si="550"/>
        <v>7788200</v>
      </c>
      <c r="Q2289" s="121">
        <f t="shared" si="551"/>
        <v>9025904.1999999993</v>
      </c>
    </row>
    <row r="2290" spans="2:17" x14ac:dyDescent="0.4">
      <c r="B2290" s="110">
        <v>46211</v>
      </c>
      <c r="C2290" s="122">
        <f t="shared" si="538"/>
        <v>8000000</v>
      </c>
      <c r="D2290" s="111">
        <f t="shared" si="539"/>
        <v>121771</v>
      </c>
      <c r="E2290" s="2">
        <f t="shared" si="540"/>
        <v>41401.800000000003</v>
      </c>
      <c r="F2290" s="112">
        <f t="shared" si="541"/>
        <v>12000000</v>
      </c>
      <c r="G2290" s="2">
        <f t="shared" si="542"/>
        <v>6842665</v>
      </c>
      <c r="H2290" s="113">
        <f t="shared" si="543"/>
        <v>7788200</v>
      </c>
      <c r="I2290" s="121">
        <f t="shared" si="544"/>
        <v>9025904.1999999993</v>
      </c>
      <c r="K2290" s="123">
        <f t="shared" si="545"/>
        <v>8000000</v>
      </c>
      <c r="L2290" s="111">
        <f t="shared" si="546"/>
        <v>121771</v>
      </c>
      <c r="M2290" s="2">
        <f t="shared" si="547"/>
        <v>41401.800000000003</v>
      </c>
      <c r="N2290" s="112">
        <f t="shared" si="548"/>
        <v>12000000</v>
      </c>
      <c r="O2290" s="2">
        <f t="shared" si="549"/>
        <v>6842665</v>
      </c>
      <c r="P2290" s="113">
        <f t="shared" si="550"/>
        <v>7788200</v>
      </c>
      <c r="Q2290" s="121">
        <f t="shared" si="551"/>
        <v>9025904.1999999993</v>
      </c>
    </row>
    <row r="2291" spans="2:17" x14ac:dyDescent="0.4">
      <c r="B2291" s="110">
        <v>46212</v>
      </c>
      <c r="C2291" s="122">
        <f t="shared" si="538"/>
        <v>8000000</v>
      </c>
      <c r="D2291" s="111">
        <f t="shared" si="539"/>
        <v>121771</v>
      </c>
      <c r="E2291" s="2">
        <f t="shared" si="540"/>
        <v>41401.800000000003</v>
      </c>
      <c r="F2291" s="112">
        <f t="shared" si="541"/>
        <v>12000000</v>
      </c>
      <c r="G2291" s="2">
        <f t="shared" si="542"/>
        <v>6842665</v>
      </c>
      <c r="H2291" s="113">
        <f t="shared" si="543"/>
        <v>7788200</v>
      </c>
      <c r="I2291" s="121">
        <f t="shared" si="544"/>
        <v>9025904.1999999993</v>
      </c>
      <c r="K2291" s="123">
        <f t="shared" si="545"/>
        <v>8000000</v>
      </c>
      <c r="L2291" s="111">
        <f t="shared" si="546"/>
        <v>121771</v>
      </c>
      <c r="M2291" s="2">
        <f t="shared" si="547"/>
        <v>41401.800000000003</v>
      </c>
      <c r="N2291" s="112">
        <f t="shared" si="548"/>
        <v>12000000</v>
      </c>
      <c r="O2291" s="2">
        <f t="shared" si="549"/>
        <v>6842665</v>
      </c>
      <c r="P2291" s="113">
        <f t="shared" si="550"/>
        <v>7788200</v>
      </c>
      <c r="Q2291" s="121">
        <f t="shared" si="551"/>
        <v>9025904.1999999993</v>
      </c>
    </row>
    <row r="2292" spans="2:17" x14ac:dyDescent="0.4">
      <c r="B2292" s="110">
        <v>46213</v>
      </c>
      <c r="C2292" s="122">
        <f t="shared" si="538"/>
        <v>8000000</v>
      </c>
      <c r="D2292" s="111">
        <f t="shared" si="539"/>
        <v>121771</v>
      </c>
      <c r="E2292" s="2">
        <f t="shared" si="540"/>
        <v>41401.800000000003</v>
      </c>
      <c r="F2292" s="112">
        <f t="shared" si="541"/>
        <v>12000000</v>
      </c>
      <c r="G2292" s="2">
        <f t="shared" si="542"/>
        <v>6842665</v>
      </c>
      <c r="H2292" s="113">
        <f t="shared" si="543"/>
        <v>7788200</v>
      </c>
      <c r="I2292" s="121">
        <f t="shared" si="544"/>
        <v>9025904.1999999993</v>
      </c>
      <c r="K2292" s="123">
        <f t="shared" si="545"/>
        <v>8000000</v>
      </c>
      <c r="L2292" s="111">
        <f t="shared" si="546"/>
        <v>121771</v>
      </c>
      <c r="M2292" s="2">
        <f t="shared" si="547"/>
        <v>41401.800000000003</v>
      </c>
      <c r="N2292" s="112">
        <f t="shared" si="548"/>
        <v>12000000</v>
      </c>
      <c r="O2292" s="2">
        <f t="shared" si="549"/>
        <v>6842665</v>
      </c>
      <c r="P2292" s="113">
        <f t="shared" si="550"/>
        <v>7788200</v>
      </c>
      <c r="Q2292" s="121">
        <f t="shared" si="551"/>
        <v>9025904.1999999993</v>
      </c>
    </row>
    <row r="2293" spans="2:17" x14ac:dyDescent="0.4">
      <c r="B2293" s="110">
        <v>46214</v>
      </c>
      <c r="C2293" s="122">
        <f t="shared" si="538"/>
        <v>8000000</v>
      </c>
      <c r="D2293" s="111">
        <f t="shared" si="539"/>
        <v>121771</v>
      </c>
      <c r="E2293" s="2">
        <f t="shared" si="540"/>
        <v>41401.800000000003</v>
      </c>
      <c r="F2293" s="112">
        <f t="shared" si="541"/>
        <v>12000000</v>
      </c>
      <c r="G2293" s="2">
        <f t="shared" si="542"/>
        <v>6842665</v>
      </c>
      <c r="H2293" s="113">
        <f t="shared" si="543"/>
        <v>7788200</v>
      </c>
      <c r="I2293" s="121">
        <f t="shared" si="544"/>
        <v>9025904.1999999993</v>
      </c>
      <c r="K2293" s="123">
        <f t="shared" si="545"/>
        <v>8000000</v>
      </c>
      <c r="L2293" s="111">
        <f t="shared" si="546"/>
        <v>121771</v>
      </c>
      <c r="M2293" s="2">
        <f t="shared" si="547"/>
        <v>41401.800000000003</v>
      </c>
      <c r="N2293" s="112">
        <f t="shared" si="548"/>
        <v>12000000</v>
      </c>
      <c r="O2293" s="2">
        <f t="shared" si="549"/>
        <v>6842665</v>
      </c>
      <c r="P2293" s="113">
        <f t="shared" si="550"/>
        <v>7788200</v>
      </c>
      <c r="Q2293" s="121">
        <f t="shared" si="551"/>
        <v>9025904.1999999993</v>
      </c>
    </row>
    <row r="2294" spans="2:17" x14ac:dyDescent="0.4">
      <c r="B2294" s="110">
        <v>46215</v>
      </c>
      <c r="C2294" s="122">
        <f t="shared" si="538"/>
        <v>8000000</v>
      </c>
      <c r="D2294" s="111">
        <f t="shared" si="539"/>
        <v>121771</v>
      </c>
      <c r="E2294" s="2">
        <f t="shared" si="540"/>
        <v>41401.800000000003</v>
      </c>
      <c r="F2294" s="112">
        <f t="shared" si="541"/>
        <v>12000000</v>
      </c>
      <c r="G2294" s="2">
        <f t="shared" si="542"/>
        <v>6842665</v>
      </c>
      <c r="H2294" s="113">
        <f t="shared" si="543"/>
        <v>7788200</v>
      </c>
      <c r="I2294" s="121">
        <f t="shared" si="544"/>
        <v>9025904.1999999993</v>
      </c>
      <c r="K2294" s="123">
        <f t="shared" si="545"/>
        <v>8000000</v>
      </c>
      <c r="L2294" s="111">
        <f t="shared" si="546"/>
        <v>121771</v>
      </c>
      <c r="M2294" s="2">
        <f t="shared" si="547"/>
        <v>41401.800000000003</v>
      </c>
      <c r="N2294" s="112">
        <f t="shared" si="548"/>
        <v>12000000</v>
      </c>
      <c r="O2294" s="2">
        <f t="shared" si="549"/>
        <v>6842665</v>
      </c>
      <c r="P2294" s="113">
        <f t="shared" si="550"/>
        <v>7788200</v>
      </c>
      <c r="Q2294" s="121">
        <f t="shared" si="551"/>
        <v>9025904.1999999993</v>
      </c>
    </row>
    <row r="2295" spans="2:17" x14ac:dyDescent="0.4">
      <c r="B2295" s="110">
        <v>46216</v>
      </c>
      <c r="C2295" s="122">
        <f t="shared" si="538"/>
        <v>8000000</v>
      </c>
      <c r="D2295" s="111">
        <f t="shared" si="539"/>
        <v>121771</v>
      </c>
      <c r="E2295" s="2">
        <f t="shared" si="540"/>
        <v>41401.800000000003</v>
      </c>
      <c r="F2295" s="112">
        <f t="shared" si="541"/>
        <v>12000000</v>
      </c>
      <c r="G2295" s="2">
        <f t="shared" si="542"/>
        <v>6842665</v>
      </c>
      <c r="H2295" s="113">
        <f t="shared" si="543"/>
        <v>7788200</v>
      </c>
      <c r="I2295" s="121">
        <f t="shared" si="544"/>
        <v>9025904.1999999993</v>
      </c>
      <c r="K2295" s="123">
        <f t="shared" si="545"/>
        <v>8000000</v>
      </c>
      <c r="L2295" s="111">
        <f t="shared" si="546"/>
        <v>121771</v>
      </c>
      <c r="M2295" s="2">
        <f t="shared" si="547"/>
        <v>41401.800000000003</v>
      </c>
      <c r="N2295" s="112">
        <f t="shared" si="548"/>
        <v>12000000</v>
      </c>
      <c r="O2295" s="2">
        <f t="shared" si="549"/>
        <v>6842665</v>
      </c>
      <c r="P2295" s="113">
        <f t="shared" si="550"/>
        <v>7788200</v>
      </c>
      <c r="Q2295" s="121">
        <f t="shared" si="551"/>
        <v>9025904.1999999993</v>
      </c>
    </row>
    <row r="2296" spans="2:17" x14ac:dyDescent="0.4">
      <c r="B2296" s="110">
        <v>46217</v>
      </c>
      <c r="C2296" s="122">
        <f t="shared" si="538"/>
        <v>8000000</v>
      </c>
      <c r="D2296" s="111">
        <f t="shared" si="539"/>
        <v>121771</v>
      </c>
      <c r="E2296" s="2">
        <f t="shared" si="540"/>
        <v>41401.800000000003</v>
      </c>
      <c r="F2296" s="112">
        <f t="shared" si="541"/>
        <v>12000000</v>
      </c>
      <c r="G2296" s="2">
        <f t="shared" si="542"/>
        <v>6842665</v>
      </c>
      <c r="H2296" s="113">
        <f t="shared" si="543"/>
        <v>7788200</v>
      </c>
      <c r="I2296" s="121">
        <f t="shared" si="544"/>
        <v>9025904.1999999993</v>
      </c>
      <c r="K2296" s="123">
        <f t="shared" si="545"/>
        <v>8000000</v>
      </c>
      <c r="L2296" s="111">
        <f t="shared" si="546"/>
        <v>121771</v>
      </c>
      <c r="M2296" s="2">
        <f t="shared" si="547"/>
        <v>41401.800000000003</v>
      </c>
      <c r="N2296" s="112">
        <f t="shared" si="548"/>
        <v>12000000</v>
      </c>
      <c r="O2296" s="2">
        <f t="shared" si="549"/>
        <v>6842665</v>
      </c>
      <c r="P2296" s="113">
        <f t="shared" si="550"/>
        <v>7788200</v>
      </c>
      <c r="Q2296" s="121">
        <f t="shared" si="551"/>
        <v>9025904.1999999993</v>
      </c>
    </row>
    <row r="2297" spans="2:17" x14ac:dyDescent="0.4">
      <c r="B2297" s="110">
        <v>46218</v>
      </c>
      <c r="C2297" s="122">
        <f t="shared" si="538"/>
        <v>8000000</v>
      </c>
      <c r="D2297" s="111">
        <f t="shared" si="539"/>
        <v>121771</v>
      </c>
      <c r="E2297" s="2">
        <f t="shared" si="540"/>
        <v>41401.800000000003</v>
      </c>
      <c r="F2297" s="112">
        <f t="shared" si="541"/>
        <v>12000000</v>
      </c>
      <c r="G2297" s="2">
        <f t="shared" si="542"/>
        <v>6842665</v>
      </c>
      <c r="H2297" s="113">
        <f t="shared" si="543"/>
        <v>7788200</v>
      </c>
      <c r="I2297" s="121">
        <f t="shared" si="544"/>
        <v>9025904.1999999993</v>
      </c>
      <c r="K2297" s="123">
        <f t="shared" si="545"/>
        <v>8000000</v>
      </c>
      <c r="L2297" s="111">
        <f t="shared" si="546"/>
        <v>121771</v>
      </c>
      <c r="M2297" s="2">
        <f t="shared" si="547"/>
        <v>41401.800000000003</v>
      </c>
      <c r="N2297" s="112">
        <f t="shared" si="548"/>
        <v>12000000</v>
      </c>
      <c r="O2297" s="2">
        <f t="shared" si="549"/>
        <v>6842665</v>
      </c>
      <c r="P2297" s="113">
        <f t="shared" si="550"/>
        <v>7788200</v>
      </c>
      <c r="Q2297" s="121">
        <f t="shared" si="551"/>
        <v>9025904.1999999993</v>
      </c>
    </row>
    <row r="2298" spans="2:17" x14ac:dyDescent="0.4">
      <c r="B2298" s="110">
        <v>46219</v>
      </c>
      <c r="C2298" s="122">
        <f t="shared" si="538"/>
        <v>8000000</v>
      </c>
      <c r="D2298" s="111">
        <f t="shared" si="539"/>
        <v>121771</v>
      </c>
      <c r="E2298" s="2">
        <f t="shared" si="540"/>
        <v>41401.800000000003</v>
      </c>
      <c r="F2298" s="112">
        <f t="shared" si="541"/>
        <v>12000000</v>
      </c>
      <c r="G2298" s="2">
        <f t="shared" si="542"/>
        <v>6842665</v>
      </c>
      <c r="H2298" s="113">
        <f t="shared" si="543"/>
        <v>7788200</v>
      </c>
      <c r="I2298" s="121">
        <f t="shared" si="544"/>
        <v>9025904.1999999993</v>
      </c>
      <c r="K2298" s="123">
        <f t="shared" si="545"/>
        <v>8000000</v>
      </c>
      <c r="L2298" s="111">
        <f t="shared" si="546"/>
        <v>121771</v>
      </c>
      <c r="M2298" s="2">
        <f t="shared" si="547"/>
        <v>41401.800000000003</v>
      </c>
      <c r="N2298" s="112">
        <f t="shared" si="548"/>
        <v>12000000</v>
      </c>
      <c r="O2298" s="2">
        <f t="shared" si="549"/>
        <v>6842665</v>
      </c>
      <c r="P2298" s="113">
        <f t="shared" si="550"/>
        <v>7788200</v>
      </c>
      <c r="Q2298" s="121">
        <f t="shared" si="551"/>
        <v>9025904.1999999993</v>
      </c>
    </row>
    <row r="2299" spans="2:17" x14ac:dyDescent="0.4">
      <c r="B2299" s="110">
        <v>46220</v>
      </c>
      <c r="C2299" s="122">
        <f t="shared" si="538"/>
        <v>8000000</v>
      </c>
      <c r="D2299" s="111">
        <f t="shared" si="539"/>
        <v>121771</v>
      </c>
      <c r="E2299" s="2">
        <f t="shared" si="540"/>
        <v>41401.800000000003</v>
      </c>
      <c r="F2299" s="112">
        <f t="shared" si="541"/>
        <v>12000000</v>
      </c>
      <c r="G2299" s="2">
        <f t="shared" si="542"/>
        <v>6842665</v>
      </c>
      <c r="H2299" s="113">
        <f t="shared" si="543"/>
        <v>7788200</v>
      </c>
      <c r="I2299" s="121">
        <f t="shared" si="544"/>
        <v>9025904.1999999993</v>
      </c>
      <c r="K2299" s="123">
        <f t="shared" si="545"/>
        <v>8000000</v>
      </c>
      <c r="L2299" s="111">
        <f t="shared" si="546"/>
        <v>121771</v>
      </c>
      <c r="M2299" s="2">
        <f t="shared" si="547"/>
        <v>41401.800000000003</v>
      </c>
      <c r="N2299" s="112">
        <f t="shared" si="548"/>
        <v>12000000</v>
      </c>
      <c r="O2299" s="2">
        <f t="shared" si="549"/>
        <v>6842665</v>
      </c>
      <c r="P2299" s="113">
        <f t="shared" si="550"/>
        <v>7788200</v>
      </c>
      <c r="Q2299" s="121">
        <f t="shared" si="551"/>
        <v>9025904.1999999993</v>
      </c>
    </row>
    <row r="2300" spans="2:17" x14ac:dyDescent="0.4">
      <c r="B2300" s="110">
        <v>46221</v>
      </c>
      <c r="C2300" s="122">
        <f t="shared" si="538"/>
        <v>8000000</v>
      </c>
      <c r="D2300" s="111">
        <f t="shared" si="539"/>
        <v>121771</v>
      </c>
      <c r="E2300" s="2">
        <f t="shared" si="540"/>
        <v>41401.800000000003</v>
      </c>
      <c r="F2300" s="112">
        <f t="shared" si="541"/>
        <v>12000000</v>
      </c>
      <c r="G2300" s="2">
        <f t="shared" si="542"/>
        <v>6842665</v>
      </c>
      <c r="H2300" s="113">
        <f t="shared" si="543"/>
        <v>7788200</v>
      </c>
      <c r="I2300" s="121">
        <f t="shared" si="544"/>
        <v>9025904.1999999993</v>
      </c>
      <c r="K2300" s="123">
        <f t="shared" si="545"/>
        <v>8000000</v>
      </c>
      <c r="L2300" s="111">
        <f t="shared" si="546"/>
        <v>121771</v>
      </c>
      <c r="M2300" s="2">
        <f t="shared" si="547"/>
        <v>41401.800000000003</v>
      </c>
      <c r="N2300" s="112">
        <f t="shared" si="548"/>
        <v>12000000</v>
      </c>
      <c r="O2300" s="2">
        <f t="shared" si="549"/>
        <v>6842665</v>
      </c>
      <c r="P2300" s="113">
        <f t="shared" si="550"/>
        <v>7788200</v>
      </c>
      <c r="Q2300" s="121">
        <f t="shared" si="551"/>
        <v>9025904.1999999993</v>
      </c>
    </row>
    <row r="2301" spans="2:17" x14ac:dyDescent="0.4">
      <c r="B2301" s="110">
        <v>46222</v>
      </c>
      <c r="C2301" s="122">
        <f t="shared" si="538"/>
        <v>8000000</v>
      </c>
      <c r="D2301" s="111">
        <f t="shared" si="539"/>
        <v>121771</v>
      </c>
      <c r="E2301" s="2">
        <f t="shared" si="540"/>
        <v>41401.800000000003</v>
      </c>
      <c r="F2301" s="112">
        <f t="shared" si="541"/>
        <v>12000000</v>
      </c>
      <c r="G2301" s="2">
        <f t="shared" si="542"/>
        <v>6842665</v>
      </c>
      <c r="H2301" s="113">
        <f t="shared" si="543"/>
        <v>7788200</v>
      </c>
      <c r="I2301" s="121">
        <f t="shared" si="544"/>
        <v>9025904.1999999993</v>
      </c>
      <c r="K2301" s="123">
        <f t="shared" si="545"/>
        <v>8000000</v>
      </c>
      <c r="L2301" s="111">
        <f t="shared" si="546"/>
        <v>121771</v>
      </c>
      <c r="M2301" s="2">
        <f t="shared" si="547"/>
        <v>41401.800000000003</v>
      </c>
      <c r="N2301" s="112">
        <f t="shared" si="548"/>
        <v>12000000</v>
      </c>
      <c r="O2301" s="2">
        <f t="shared" si="549"/>
        <v>6842665</v>
      </c>
      <c r="P2301" s="113">
        <f t="shared" si="550"/>
        <v>7788200</v>
      </c>
      <c r="Q2301" s="121">
        <f t="shared" si="551"/>
        <v>9025904.1999999993</v>
      </c>
    </row>
    <row r="2302" spans="2:17" x14ac:dyDescent="0.4">
      <c r="B2302" s="110">
        <v>46223</v>
      </c>
      <c r="C2302" s="122">
        <f t="shared" si="538"/>
        <v>8000000</v>
      </c>
      <c r="D2302" s="111">
        <f t="shared" si="539"/>
        <v>121771</v>
      </c>
      <c r="E2302" s="2">
        <f t="shared" si="540"/>
        <v>41401.800000000003</v>
      </c>
      <c r="F2302" s="112">
        <f t="shared" si="541"/>
        <v>12000000</v>
      </c>
      <c r="G2302" s="2">
        <f t="shared" si="542"/>
        <v>6842665</v>
      </c>
      <c r="H2302" s="113">
        <f t="shared" si="543"/>
        <v>7788200</v>
      </c>
      <c r="I2302" s="121">
        <f t="shared" si="544"/>
        <v>9025904.1999999993</v>
      </c>
      <c r="K2302" s="123">
        <f t="shared" si="545"/>
        <v>8000000</v>
      </c>
      <c r="L2302" s="111">
        <f t="shared" si="546"/>
        <v>121771</v>
      </c>
      <c r="M2302" s="2">
        <f t="shared" si="547"/>
        <v>41401.800000000003</v>
      </c>
      <c r="N2302" s="112">
        <f t="shared" si="548"/>
        <v>12000000</v>
      </c>
      <c r="O2302" s="2">
        <f t="shared" si="549"/>
        <v>6842665</v>
      </c>
      <c r="P2302" s="113">
        <f t="shared" si="550"/>
        <v>7788200</v>
      </c>
      <c r="Q2302" s="121">
        <f t="shared" si="551"/>
        <v>9025904.1999999993</v>
      </c>
    </row>
    <row r="2303" spans="2:17" x14ac:dyDescent="0.4">
      <c r="B2303" s="110">
        <v>46224</v>
      </c>
      <c r="C2303" s="122">
        <f t="shared" si="538"/>
        <v>8000000</v>
      </c>
      <c r="D2303" s="111">
        <f t="shared" si="539"/>
        <v>121771</v>
      </c>
      <c r="E2303" s="2">
        <f t="shared" si="540"/>
        <v>41401.800000000003</v>
      </c>
      <c r="F2303" s="112">
        <f t="shared" si="541"/>
        <v>12000000</v>
      </c>
      <c r="G2303" s="2">
        <f t="shared" si="542"/>
        <v>6842665</v>
      </c>
      <c r="H2303" s="113">
        <f t="shared" si="543"/>
        <v>7788200</v>
      </c>
      <c r="I2303" s="121">
        <f t="shared" si="544"/>
        <v>9025904.1999999993</v>
      </c>
      <c r="K2303" s="123">
        <f t="shared" si="545"/>
        <v>8000000</v>
      </c>
      <c r="L2303" s="111">
        <f t="shared" si="546"/>
        <v>121771</v>
      </c>
      <c r="M2303" s="2">
        <f t="shared" si="547"/>
        <v>41401.800000000003</v>
      </c>
      <c r="N2303" s="112">
        <f t="shared" si="548"/>
        <v>12000000</v>
      </c>
      <c r="O2303" s="2">
        <f t="shared" si="549"/>
        <v>6842665</v>
      </c>
      <c r="P2303" s="113">
        <f t="shared" si="550"/>
        <v>7788200</v>
      </c>
      <c r="Q2303" s="121">
        <f t="shared" si="551"/>
        <v>9025904.1999999993</v>
      </c>
    </row>
    <row r="2304" spans="2:17" x14ac:dyDescent="0.4">
      <c r="B2304" s="110">
        <v>46225</v>
      </c>
      <c r="C2304" s="122">
        <f t="shared" si="538"/>
        <v>8000000</v>
      </c>
      <c r="D2304" s="111">
        <f t="shared" si="539"/>
        <v>121771</v>
      </c>
      <c r="E2304" s="2">
        <f t="shared" si="540"/>
        <v>41401.800000000003</v>
      </c>
      <c r="F2304" s="112">
        <f t="shared" si="541"/>
        <v>12000000</v>
      </c>
      <c r="G2304" s="2">
        <f t="shared" si="542"/>
        <v>6842665</v>
      </c>
      <c r="H2304" s="113">
        <f t="shared" si="543"/>
        <v>7788200</v>
      </c>
      <c r="I2304" s="121">
        <f t="shared" si="544"/>
        <v>9025904.1999999993</v>
      </c>
      <c r="K2304" s="123">
        <f t="shared" si="545"/>
        <v>8000000</v>
      </c>
      <c r="L2304" s="111">
        <f t="shared" si="546"/>
        <v>121771</v>
      </c>
      <c r="M2304" s="2">
        <f t="shared" si="547"/>
        <v>41401.800000000003</v>
      </c>
      <c r="N2304" s="112">
        <f t="shared" si="548"/>
        <v>12000000</v>
      </c>
      <c r="O2304" s="2">
        <f t="shared" si="549"/>
        <v>6842665</v>
      </c>
      <c r="P2304" s="113">
        <f t="shared" si="550"/>
        <v>7788200</v>
      </c>
      <c r="Q2304" s="121">
        <f t="shared" si="551"/>
        <v>9025904.1999999993</v>
      </c>
    </row>
    <row r="2305" spans="2:17" x14ac:dyDescent="0.4">
      <c r="B2305" s="110">
        <v>46226</v>
      </c>
      <c r="C2305" s="122">
        <f t="shared" si="538"/>
        <v>8000000</v>
      </c>
      <c r="D2305" s="111">
        <f t="shared" si="539"/>
        <v>121771</v>
      </c>
      <c r="E2305" s="2">
        <f t="shared" si="540"/>
        <v>41401.800000000003</v>
      </c>
      <c r="F2305" s="112">
        <f t="shared" si="541"/>
        <v>12000000</v>
      </c>
      <c r="G2305" s="2">
        <f t="shared" si="542"/>
        <v>6842665</v>
      </c>
      <c r="H2305" s="113">
        <f t="shared" si="543"/>
        <v>7788200</v>
      </c>
      <c r="I2305" s="121">
        <f t="shared" si="544"/>
        <v>9025904.1999999993</v>
      </c>
      <c r="K2305" s="123">
        <f t="shared" si="545"/>
        <v>8000000</v>
      </c>
      <c r="L2305" s="111">
        <f t="shared" si="546"/>
        <v>121771</v>
      </c>
      <c r="M2305" s="2">
        <f t="shared" si="547"/>
        <v>41401.800000000003</v>
      </c>
      <c r="N2305" s="112">
        <f t="shared" si="548"/>
        <v>12000000</v>
      </c>
      <c r="O2305" s="2">
        <f t="shared" si="549"/>
        <v>6842665</v>
      </c>
      <c r="P2305" s="113">
        <f t="shared" si="550"/>
        <v>7788200</v>
      </c>
      <c r="Q2305" s="121">
        <f t="shared" si="551"/>
        <v>9025904.1999999993</v>
      </c>
    </row>
    <row r="2306" spans="2:17" x14ac:dyDescent="0.4">
      <c r="B2306" s="110">
        <v>46227</v>
      </c>
      <c r="C2306" s="122">
        <f t="shared" si="538"/>
        <v>8000000</v>
      </c>
      <c r="D2306" s="111">
        <f t="shared" si="539"/>
        <v>121771</v>
      </c>
      <c r="E2306" s="2">
        <f t="shared" si="540"/>
        <v>41401.800000000003</v>
      </c>
      <c r="F2306" s="112">
        <f t="shared" si="541"/>
        <v>12000000</v>
      </c>
      <c r="G2306" s="2">
        <f t="shared" si="542"/>
        <v>6842665</v>
      </c>
      <c r="H2306" s="113">
        <f t="shared" si="543"/>
        <v>7788200</v>
      </c>
      <c r="I2306" s="121">
        <f t="shared" si="544"/>
        <v>9025904.1999999993</v>
      </c>
      <c r="K2306" s="123">
        <f t="shared" si="545"/>
        <v>8000000</v>
      </c>
      <c r="L2306" s="111">
        <f t="shared" si="546"/>
        <v>121771</v>
      </c>
      <c r="M2306" s="2">
        <f t="shared" si="547"/>
        <v>41401.800000000003</v>
      </c>
      <c r="N2306" s="112">
        <f t="shared" si="548"/>
        <v>12000000</v>
      </c>
      <c r="O2306" s="2">
        <f t="shared" si="549"/>
        <v>6842665</v>
      </c>
      <c r="P2306" s="113">
        <f t="shared" si="550"/>
        <v>7788200</v>
      </c>
      <c r="Q2306" s="121">
        <f t="shared" si="551"/>
        <v>9025904.1999999993</v>
      </c>
    </row>
    <row r="2307" spans="2:17" x14ac:dyDescent="0.4">
      <c r="B2307" s="110">
        <v>46228</v>
      </c>
      <c r="C2307" s="122">
        <f t="shared" si="538"/>
        <v>8000000</v>
      </c>
      <c r="D2307" s="111">
        <f t="shared" si="539"/>
        <v>121771</v>
      </c>
      <c r="E2307" s="2">
        <f t="shared" si="540"/>
        <v>41401.800000000003</v>
      </c>
      <c r="F2307" s="112">
        <f t="shared" si="541"/>
        <v>12000000</v>
      </c>
      <c r="G2307" s="2">
        <f t="shared" si="542"/>
        <v>6842665</v>
      </c>
      <c r="H2307" s="113">
        <f t="shared" si="543"/>
        <v>7788200</v>
      </c>
      <c r="I2307" s="121">
        <f t="shared" si="544"/>
        <v>9025904.1999999993</v>
      </c>
      <c r="K2307" s="123">
        <f t="shared" si="545"/>
        <v>8000000</v>
      </c>
      <c r="L2307" s="111">
        <f t="shared" si="546"/>
        <v>121771</v>
      </c>
      <c r="M2307" s="2">
        <f t="shared" si="547"/>
        <v>41401.800000000003</v>
      </c>
      <c r="N2307" s="112">
        <f t="shared" si="548"/>
        <v>12000000</v>
      </c>
      <c r="O2307" s="2">
        <f t="shared" si="549"/>
        <v>6842665</v>
      </c>
      <c r="P2307" s="113">
        <f t="shared" si="550"/>
        <v>7788200</v>
      </c>
      <c r="Q2307" s="121">
        <f t="shared" si="551"/>
        <v>9025904.1999999993</v>
      </c>
    </row>
    <row r="2308" spans="2:17" x14ac:dyDescent="0.4">
      <c r="B2308" s="110">
        <v>46229</v>
      </c>
      <c r="C2308" s="122">
        <f t="shared" si="538"/>
        <v>8000000</v>
      </c>
      <c r="D2308" s="111">
        <f t="shared" si="539"/>
        <v>121771</v>
      </c>
      <c r="E2308" s="2">
        <f t="shared" si="540"/>
        <v>41401.800000000003</v>
      </c>
      <c r="F2308" s="112">
        <f t="shared" si="541"/>
        <v>12000000</v>
      </c>
      <c r="G2308" s="2">
        <f t="shared" si="542"/>
        <v>6842665</v>
      </c>
      <c r="H2308" s="113">
        <f t="shared" si="543"/>
        <v>7788200</v>
      </c>
      <c r="I2308" s="121">
        <f t="shared" si="544"/>
        <v>9025904.1999999993</v>
      </c>
      <c r="K2308" s="123">
        <f t="shared" si="545"/>
        <v>8000000</v>
      </c>
      <c r="L2308" s="111">
        <f t="shared" si="546"/>
        <v>121771</v>
      </c>
      <c r="M2308" s="2">
        <f t="shared" si="547"/>
        <v>41401.800000000003</v>
      </c>
      <c r="N2308" s="112">
        <f t="shared" si="548"/>
        <v>12000000</v>
      </c>
      <c r="O2308" s="2">
        <f t="shared" si="549"/>
        <v>6842665</v>
      </c>
      <c r="P2308" s="113">
        <f t="shared" si="550"/>
        <v>7788200</v>
      </c>
      <c r="Q2308" s="121">
        <f t="shared" si="551"/>
        <v>9025904.1999999993</v>
      </c>
    </row>
    <row r="2309" spans="2:17" x14ac:dyDescent="0.4">
      <c r="B2309" s="110">
        <v>46230</v>
      </c>
      <c r="C2309" s="122">
        <f t="shared" si="538"/>
        <v>8000000</v>
      </c>
      <c r="D2309" s="111">
        <f t="shared" si="539"/>
        <v>121771</v>
      </c>
      <c r="E2309" s="2">
        <f t="shared" si="540"/>
        <v>41401.800000000003</v>
      </c>
      <c r="F2309" s="112">
        <f t="shared" si="541"/>
        <v>12000000</v>
      </c>
      <c r="G2309" s="2">
        <f t="shared" si="542"/>
        <v>6842665</v>
      </c>
      <c r="H2309" s="113">
        <f t="shared" si="543"/>
        <v>7788200</v>
      </c>
      <c r="I2309" s="121">
        <f t="shared" si="544"/>
        <v>9025904.1999999993</v>
      </c>
      <c r="K2309" s="123">
        <f t="shared" si="545"/>
        <v>8000000</v>
      </c>
      <c r="L2309" s="111">
        <f t="shared" si="546"/>
        <v>121771</v>
      </c>
      <c r="M2309" s="2">
        <f t="shared" si="547"/>
        <v>41401.800000000003</v>
      </c>
      <c r="N2309" s="112">
        <f t="shared" si="548"/>
        <v>12000000</v>
      </c>
      <c r="O2309" s="2">
        <f t="shared" si="549"/>
        <v>6842665</v>
      </c>
      <c r="P2309" s="113">
        <f t="shared" si="550"/>
        <v>7788200</v>
      </c>
      <c r="Q2309" s="121">
        <f t="shared" si="551"/>
        <v>9025904.1999999993</v>
      </c>
    </row>
    <row r="2310" spans="2:17" x14ac:dyDescent="0.4">
      <c r="B2310" s="110">
        <v>46231</v>
      </c>
      <c r="C2310" s="122">
        <f t="shared" si="538"/>
        <v>8000000</v>
      </c>
      <c r="D2310" s="111">
        <f t="shared" si="539"/>
        <v>121771</v>
      </c>
      <c r="E2310" s="2">
        <f t="shared" si="540"/>
        <v>41401.800000000003</v>
      </c>
      <c r="F2310" s="112">
        <f t="shared" si="541"/>
        <v>12000000</v>
      </c>
      <c r="G2310" s="2">
        <f t="shared" si="542"/>
        <v>6842665</v>
      </c>
      <c r="H2310" s="113">
        <f t="shared" si="543"/>
        <v>7788200</v>
      </c>
      <c r="I2310" s="121">
        <f t="shared" si="544"/>
        <v>9025904.1999999993</v>
      </c>
      <c r="K2310" s="123">
        <f t="shared" si="545"/>
        <v>8000000</v>
      </c>
      <c r="L2310" s="111">
        <f t="shared" si="546"/>
        <v>121771</v>
      </c>
      <c r="M2310" s="2">
        <f t="shared" si="547"/>
        <v>41401.800000000003</v>
      </c>
      <c r="N2310" s="112">
        <f t="shared" si="548"/>
        <v>12000000</v>
      </c>
      <c r="O2310" s="2">
        <f t="shared" si="549"/>
        <v>6842665</v>
      </c>
      <c r="P2310" s="113">
        <f t="shared" si="550"/>
        <v>7788200</v>
      </c>
      <c r="Q2310" s="121">
        <f t="shared" si="551"/>
        <v>9025904.1999999993</v>
      </c>
    </row>
    <row r="2311" spans="2:17" x14ac:dyDescent="0.4">
      <c r="B2311" s="110">
        <v>46232</v>
      </c>
      <c r="C2311" s="122">
        <f t="shared" si="538"/>
        <v>8000000</v>
      </c>
      <c r="D2311" s="111">
        <f t="shared" si="539"/>
        <v>121771</v>
      </c>
      <c r="E2311" s="2">
        <f t="shared" si="540"/>
        <v>41401.800000000003</v>
      </c>
      <c r="F2311" s="112">
        <f t="shared" si="541"/>
        <v>12000000</v>
      </c>
      <c r="G2311" s="2">
        <f t="shared" si="542"/>
        <v>6842665</v>
      </c>
      <c r="H2311" s="113">
        <f t="shared" si="543"/>
        <v>7788200</v>
      </c>
      <c r="I2311" s="121">
        <f t="shared" si="544"/>
        <v>9025904.1999999993</v>
      </c>
      <c r="K2311" s="123">
        <f t="shared" si="545"/>
        <v>8000000</v>
      </c>
      <c r="L2311" s="111">
        <f t="shared" si="546"/>
        <v>121771</v>
      </c>
      <c r="M2311" s="2">
        <f t="shared" si="547"/>
        <v>41401.800000000003</v>
      </c>
      <c r="N2311" s="112">
        <f t="shared" si="548"/>
        <v>12000000</v>
      </c>
      <c r="O2311" s="2">
        <f t="shared" si="549"/>
        <v>6842665</v>
      </c>
      <c r="P2311" s="113">
        <f t="shared" si="550"/>
        <v>7788200</v>
      </c>
      <c r="Q2311" s="121">
        <f t="shared" si="551"/>
        <v>9025904.1999999993</v>
      </c>
    </row>
    <row r="2312" spans="2:17" x14ac:dyDescent="0.4">
      <c r="B2312" s="110">
        <v>46233</v>
      </c>
      <c r="C2312" s="122">
        <f t="shared" si="538"/>
        <v>8000000</v>
      </c>
      <c r="D2312" s="111">
        <f t="shared" si="539"/>
        <v>121771</v>
      </c>
      <c r="E2312" s="2">
        <f t="shared" si="540"/>
        <v>41401.800000000003</v>
      </c>
      <c r="F2312" s="112">
        <f t="shared" si="541"/>
        <v>12000000</v>
      </c>
      <c r="G2312" s="2">
        <f t="shared" si="542"/>
        <v>6842665</v>
      </c>
      <c r="H2312" s="113">
        <f t="shared" si="543"/>
        <v>7788200</v>
      </c>
      <c r="I2312" s="121">
        <f t="shared" si="544"/>
        <v>9025904.1999999993</v>
      </c>
      <c r="K2312" s="123">
        <f t="shared" si="545"/>
        <v>8000000</v>
      </c>
      <c r="L2312" s="111">
        <f t="shared" si="546"/>
        <v>121771</v>
      </c>
      <c r="M2312" s="2">
        <f t="shared" si="547"/>
        <v>41401.800000000003</v>
      </c>
      <c r="N2312" s="112">
        <f t="shared" si="548"/>
        <v>12000000</v>
      </c>
      <c r="O2312" s="2">
        <f t="shared" si="549"/>
        <v>6842665</v>
      </c>
      <c r="P2312" s="113">
        <f t="shared" si="550"/>
        <v>7788200</v>
      </c>
      <c r="Q2312" s="121">
        <f t="shared" si="551"/>
        <v>9025904.1999999993</v>
      </c>
    </row>
    <row r="2313" spans="2:17" x14ac:dyDescent="0.4">
      <c r="B2313" s="110">
        <v>46234</v>
      </c>
      <c r="C2313" s="122">
        <f t="shared" si="538"/>
        <v>8000000</v>
      </c>
      <c r="D2313" s="111">
        <f t="shared" si="539"/>
        <v>121771</v>
      </c>
      <c r="E2313" s="2">
        <f t="shared" si="540"/>
        <v>41401.800000000003</v>
      </c>
      <c r="F2313" s="112">
        <f t="shared" si="541"/>
        <v>12000000</v>
      </c>
      <c r="G2313" s="2">
        <f t="shared" si="542"/>
        <v>6842665</v>
      </c>
      <c r="H2313" s="113">
        <f t="shared" si="543"/>
        <v>7788200</v>
      </c>
      <c r="I2313" s="121">
        <f t="shared" si="544"/>
        <v>9025904.1999999993</v>
      </c>
      <c r="K2313" s="123">
        <f t="shared" si="545"/>
        <v>8000000</v>
      </c>
      <c r="L2313" s="111">
        <f t="shared" si="546"/>
        <v>121771</v>
      </c>
      <c r="M2313" s="2">
        <f t="shared" si="547"/>
        <v>41401.800000000003</v>
      </c>
      <c r="N2313" s="112">
        <f t="shared" si="548"/>
        <v>12000000</v>
      </c>
      <c r="O2313" s="2">
        <f t="shared" si="549"/>
        <v>6842665</v>
      </c>
      <c r="P2313" s="113">
        <f t="shared" si="550"/>
        <v>7788200</v>
      </c>
      <c r="Q2313" s="121">
        <f t="shared" si="551"/>
        <v>9025904.1999999993</v>
      </c>
    </row>
    <row r="2314" spans="2:17" x14ac:dyDescent="0.4">
      <c r="B2314" s="110">
        <v>46235</v>
      </c>
      <c r="C2314" s="122">
        <f t="shared" si="538"/>
        <v>8000000</v>
      </c>
      <c r="D2314" s="111">
        <f t="shared" si="539"/>
        <v>121771</v>
      </c>
      <c r="E2314" s="2">
        <f t="shared" si="540"/>
        <v>41401.800000000003</v>
      </c>
      <c r="F2314" s="112">
        <f t="shared" si="541"/>
        <v>12000000</v>
      </c>
      <c r="G2314" s="2">
        <f t="shared" si="542"/>
        <v>6842665</v>
      </c>
      <c r="H2314" s="113">
        <f t="shared" si="543"/>
        <v>7788200</v>
      </c>
      <c r="I2314" s="121">
        <f t="shared" si="544"/>
        <v>9025904.1999999993</v>
      </c>
      <c r="K2314" s="123">
        <f t="shared" si="545"/>
        <v>8000000</v>
      </c>
      <c r="L2314" s="111">
        <f t="shared" si="546"/>
        <v>121771</v>
      </c>
      <c r="M2314" s="2">
        <f t="shared" si="547"/>
        <v>41401.800000000003</v>
      </c>
      <c r="N2314" s="112">
        <f t="shared" si="548"/>
        <v>12000000</v>
      </c>
      <c r="O2314" s="2">
        <f t="shared" si="549"/>
        <v>6842665</v>
      </c>
      <c r="P2314" s="113">
        <f t="shared" si="550"/>
        <v>7788200</v>
      </c>
      <c r="Q2314" s="121">
        <f t="shared" si="551"/>
        <v>9025904.1999999993</v>
      </c>
    </row>
    <row r="2315" spans="2:17" x14ac:dyDescent="0.4">
      <c r="B2315" s="110">
        <v>46236</v>
      </c>
      <c r="C2315" s="122">
        <f t="shared" si="538"/>
        <v>8000000</v>
      </c>
      <c r="D2315" s="111">
        <f t="shared" si="539"/>
        <v>121771</v>
      </c>
      <c r="E2315" s="2">
        <f t="shared" si="540"/>
        <v>41401.800000000003</v>
      </c>
      <c r="F2315" s="112">
        <f t="shared" si="541"/>
        <v>12000000</v>
      </c>
      <c r="G2315" s="2">
        <f t="shared" si="542"/>
        <v>6842665</v>
      </c>
      <c r="H2315" s="113">
        <f t="shared" si="543"/>
        <v>7788200</v>
      </c>
      <c r="I2315" s="121">
        <f t="shared" si="544"/>
        <v>9025904.1999999993</v>
      </c>
      <c r="K2315" s="123">
        <f t="shared" si="545"/>
        <v>8000000</v>
      </c>
      <c r="L2315" s="111">
        <f t="shared" si="546"/>
        <v>121771</v>
      </c>
      <c r="M2315" s="2">
        <f t="shared" si="547"/>
        <v>41401.800000000003</v>
      </c>
      <c r="N2315" s="112">
        <f t="shared" si="548"/>
        <v>12000000</v>
      </c>
      <c r="O2315" s="2">
        <f t="shared" si="549"/>
        <v>6842665</v>
      </c>
      <c r="P2315" s="113">
        <f t="shared" si="550"/>
        <v>7788200</v>
      </c>
      <c r="Q2315" s="121">
        <f t="shared" si="551"/>
        <v>9025904.1999999993</v>
      </c>
    </row>
    <row r="2316" spans="2:17" x14ac:dyDescent="0.4">
      <c r="B2316" s="110">
        <v>46237</v>
      </c>
      <c r="C2316" s="122">
        <f t="shared" si="538"/>
        <v>8000000</v>
      </c>
      <c r="D2316" s="111">
        <f t="shared" si="539"/>
        <v>121771</v>
      </c>
      <c r="E2316" s="2">
        <f t="shared" si="540"/>
        <v>41401.800000000003</v>
      </c>
      <c r="F2316" s="112">
        <f t="shared" si="541"/>
        <v>12000000</v>
      </c>
      <c r="G2316" s="2">
        <f t="shared" si="542"/>
        <v>6842665</v>
      </c>
      <c r="H2316" s="113">
        <f t="shared" si="543"/>
        <v>7788200</v>
      </c>
      <c r="I2316" s="121">
        <f t="shared" si="544"/>
        <v>9025904.1999999993</v>
      </c>
      <c r="K2316" s="123">
        <f t="shared" si="545"/>
        <v>8000000</v>
      </c>
      <c r="L2316" s="111">
        <f t="shared" si="546"/>
        <v>121771</v>
      </c>
      <c r="M2316" s="2">
        <f t="shared" si="547"/>
        <v>41401.800000000003</v>
      </c>
      <c r="N2316" s="112">
        <f t="shared" si="548"/>
        <v>12000000</v>
      </c>
      <c r="O2316" s="2">
        <f t="shared" si="549"/>
        <v>6842665</v>
      </c>
      <c r="P2316" s="113">
        <f t="shared" si="550"/>
        <v>7788200</v>
      </c>
      <c r="Q2316" s="121">
        <f t="shared" si="551"/>
        <v>9025904.1999999993</v>
      </c>
    </row>
    <row r="2317" spans="2:17" x14ac:dyDescent="0.4">
      <c r="B2317" s="110">
        <v>46238</v>
      </c>
      <c r="C2317" s="122">
        <f t="shared" si="538"/>
        <v>8000000</v>
      </c>
      <c r="D2317" s="111">
        <f t="shared" si="539"/>
        <v>121771</v>
      </c>
      <c r="E2317" s="2">
        <f t="shared" si="540"/>
        <v>41401.800000000003</v>
      </c>
      <c r="F2317" s="112">
        <f t="shared" si="541"/>
        <v>12000000</v>
      </c>
      <c r="G2317" s="2">
        <f t="shared" si="542"/>
        <v>6842665</v>
      </c>
      <c r="H2317" s="113">
        <f t="shared" si="543"/>
        <v>7788200</v>
      </c>
      <c r="I2317" s="121">
        <f t="shared" si="544"/>
        <v>9025904.1999999993</v>
      </c>
      <c r="K2317" s="123">
        <f t="shared" si="545"/>
        <v>8000000</v>
      </c>
      <c r="L2317" s="111">
        <f t="shared" si="546"/>
        <v>121771</v>
      </c>
      <c r="M2317" s="2">
        <f t="shared" si="547"/>
        <v>41401.800000000003</v>
      </c>
      <c r="N2317" s="112">
        <f t="shared" si="548"/>
        <v>12000000</v>
      </c>
      <c r="O2317" s="2">
        <f t="shared" si="549"/>
        <v>6842665</v>
      </c>
      <c r="P2317" s="113">
        <f t="shared" si="550"/>
        <v>7788200</v>
      </c>
      <c r="Q2317" s="121">
        <f t="shared" si="551"/>
        <v>9025904.1999999993</v>
      </c>
    </row>
    <row r="2318" spans="2:17" x14ac:dyDescent="0.4">
      <c r="B2318" s="110">
        <v>46239</v>
      </c>
      <c r="C2318" s="122">
        <f t="shared" si="538"/>
        <v>8000000</v>
      </c>
      <c r="D2318" s="111">
        <f t="shared" si="539"/>
        <v>121771</v>
      </c>
      <c r="E2318" s="2">
        <f t="shared" si="540"/>
        <v>41401.800000000003</v>
      </c>
      <c r="F2318" s="112">
        <f t="shared" si="541"/>
        <v>12000000</v>
      </c>
      <c r="G2318" s="2">
        <f t="shared" si="542"/>
        <v>6842665</v>
      </c>
      <c r="H2318" s="113">
        <f t="shared" si="543"/>
        <v>7788200</v>
      </c>
      <c r="I2318" s="121">
        <f t="shared" si="544"/>
        <v>9025904.1999999993</v>
      </c>
      <c r="K2318" s="123">
        <f t="shared" si="545"/>
        <v>8000000</v>
      </c>
      <c r="L2318" s="111">
        <f t="shared" si="546"/>
        <v>121771</v>
      </c>
      <c r="M2318" s="2">
        <f t="shared" si="547"/>
        <v>41401.800000000003</v>
      </c>
      <c r="N2318" s="112">
        <f t="shared" si="548"/>
        <v>12000000</v>
      </c>
      <c r="O2318" s="2">
        <f t="shared" si="549"/>
        <v>6842665</v>
      </c>
      <c r="P2318" s="113">
        <f t="shared" si="550"/>
        <v>7788200</v>
      </c>
      <c r="Q2318" s="121">
        <f t="shared" si="551"/>
        <v>9025904.1999999993</v>
      </c>
    </row>
    <row r="2319" spans="2:17" x14ac:dyDescent="0.4">
      <c r="B2319" s="110">
        <v>46240</v>
      </c>
      <c r="C2319" s="122">
        <f t="shared" si="538"/>
        <v>8000000</v>
      </c>
      <c r="D2319" s="111">
        <f t="shared" si="539"/>
        <v>121771</v>
      </c>
      <c r="E2319" s="2">
        <f t="shared" si="540"/>
        <v>41401.800000000003</v>
      </c>
      <c r="F2319" s="112">
        <f t="shared" si="541"/>
        <v>12000000</v>
      </c>
      <c r="G2319" s="2">
        <f t="shared" si="542"/>
        <v>6842665</v>
      </c>
      <c r="H2319" s="113">
        <f t="shared" si="543"/>
        <v>7788200</v>
      </c>
      <c r="I2319" s="121">
        <f t="shared" si="544"/>
        <v>9025904.1999999993</v>
      </c>
      <c r="K2319" s="123">
        <f t="shared" si="545"/>
        <v>8000000</v>
      </c>
      <c r="L2319" s="111">
        <f t="shared" si="546"/>
        <v>121771</v>
      </c>
      <c r="M2319" s="2">
        <f t="shared" si="547"/>
        <v>41401.800000000003</v>
      </c>
      <c r="N2319" s="112">
        <f t="shared" si="548"/>
        <v>12000000</v>
      </c>
      <c r="O2319" s="2">
        <f t="shared" si="549"/>
        <v>6842665</v>
      </c>
      <c r="P2319" s="113">
        <f t="shared" si="550"/>
        <v>7788200</v>
      </c>
      <c r="Q2319" s="121">
        <f t="shared" si="551"/>
        <v>9025904.1999999993</v>
      </c>
    </row>
    <row r="2320" spans="2:17" x14ac:dyDescent="0.4">
      <c r="B2320" s="110">
        <v>46241</v>
      </c>
      <c r="C2320" s="122">
        <f t="shared" si="538"/>
        <v>8000000</v>
      </c>
      <c r="D2320" s="111">
        <f t="shared" si="539"/>
        <v>121771</v>
      </c>
      <c r="E2320" s="2">
        <f t="shared" si="540"/>
        <v>41401.800000000003</v>
      </c>
      <c r="F2320" s="112">
        <f t="shared" si="541"/>
        <v>12000000</v>
      </c>
      <c r="G2320" s="2">
        <f t="shared" si="542"/>
        <v>6842665</v>
      </c>
      <c r="H2320" s="113">
        <f t="shared" si="543"/>
        <v>7788200</v>
      </c>
      <c r="I2320" s="121">
        <f t="shared" si="544"/>
        <v>9025904.1999999993</v>
      </c>
      <c r="K2320" s="123">
        <f t="shared" si="545"/>
        <v>8000000</v>
      </c>
      <c r="L2320" s="111">
        <f t="shared" si="546"/>
        <v>121771</v>
      </c>
      <c r="M2320" s="2">
        <f t="shared" si="547"/>
        <v>41401.800000000003</v>
      </c>
      <c r="N2320" s="112">
        <f t="shared" si="548"/>
        <v>12000000</v>
      </c>
      <c r="O2320" s="2">
        <f t="shared" si="549"/>
        <v>6842665</v>
      </c>
      <c r="P2320" s="113">
        <f t="shared" si="550"/>
        <v>7788200</v>
      </c>
      <c r="Q2320" s="121">
        <f t="shared" si="551"/>
        <v>9025904.1999999993</v>
      </c>
    </row>
    <row r="2321" spans="2:17" x14ac:dyDescent="0.4">
      <c r="B2321" s="110">
        <v>46242</v>
      </c>
      <c r="C2321" s="122">
        <f t="shared" si="538"/>
        <v>8000000</v>
      </c>
      <c r="D2321" s="111">
        <f t="shared" si="539"/>
        <v>121771</v>
      </c>
      <c r="E2321" s="2">
        <f t="shared" si="540"/>
        <v>41401.800000000003</v>
      </c>
      <c r="F2321" s="112">
        <f t="shared" si="541"/>
        <v>12000000</v>
      </c>
      <c r="G2321" s="2">
        <f t="shared" si="542"/>
        <v>6842665</v>
      </c>
      <c r="H2321" s="113">
        <f t="shared" si="543"/>
        <v>7788200</v>
      </c>
      <c r="I2321" s="121">
        <f t="shared" si="544"/>
        <v>9025904.1999999993</v>
      </c>
      <c r="K2321" s="123">
        <f t="shared" si="545"/>
        <v>8000000</v>
      </c>
      <c r="L2321" s="111">
        <f t="shared" si="546"/>
        <v>121771</v>
      </c>
      <c r="M2321" s="2">
        <f t="shared" si="547"/>
        <v>41401.800000000003</v>
      </c>
      <c r="N2321" s="112">
        <f t="shared" si="548"/>
        <v>12000000</v>
      </c>
      <c r="O2321" s="2">
        <f t="shared" si="549"/>
        <v>6842665</v>
      </c>
      <c r="P2321" s="113">
        <f t="shared" si="550"/>
        <v>7788200</v>
      </c>
      <c r="Q2321" s="121">
        <f t="shared" si="551"/>
        <v>9025904.1999999993</v>
      </c>
    </row>
    <row r="2322" spans="2:17" x14ac:dyDescent="0.4">
      <c r="B2322" s="110">
        <v>46243</v>
      </c>
      <c r="C2322" s="122">
        <f t="shared" si="538"/>
        <v>8000000</v>
      </c>
      <c r="D2322" s="111">
        <f t="shared" si="539"/>
        <v>121771</v>
      </c>
      <c r="E2322" s="2">
        <f t="shared" si="540"/>
        <v>41401.800000000003</v>
      </c>
      <c r="F2322" s="112">
        <f t="shared" si="541"/>
        <v>12000000</v>
      </c>
      <c r="G2322" s="2">
        <f t="shared" si="542"/>
        <v>6842665</v>
      </c>
      <c r="H2322" s="113">
        <f t="shared" si="543"/>
        <v>7788200</v>
      </c>
      <c r="I2322" s="121">
        <f t="shared" si="544"/>
        <v>9025904.1999999993</v>
      </c>
      <c r="K2322" s="123">
        <f t="shared" si="545"/>
        <v>8000000</v>
      </c>
      <c r="L2322" s="111">
        <f t="shared" si="546"/>
        <v>121771</v>
      </c>
      <c r="M2322" s="2">
        <f t="shared" si="547"/>
        <v>41401.800000000003</v>
      </c>
      <c r="N2322" s="112">
        <f t="shared" si="548"/>
        <v>12000000</v>
      </c>
      <c r="O2322" s="2">
        <f t="shared" si="549"/>
        <v>6842665</v>
      </c>
      <c r="P2322" s="113">
        <f t="shared" si="550"/>
        <v>7788200</v>
      </c>
      <c r="Q2322" s="121">
        <f t="shared" si="551"/>
        <v>9025904.1999999993</v>
      </c>
    </row>
    <row r="2323" spans="2:17" x14ac:dyDescent="0.4">
      <c r="B2323" s="110">
        <v>46244</v>
      </c>
      <c r="C2323" s="122">
        <f t="shared" si="538"/>
        <v>8000000</v>
      </c>
      <c r="D2323" s="111">
        <f t="shared" si="539"/>
        <v>121771</v>
      </c>
      <c r="E2323" s="2">
        <f t="shared" si="540"/>
        <v>41401.800000000003</v>
      </c>
      <c r="F2323" s="112">
        <f t="shared" si="541"/>
        <v>12000000</v>
      </c>
      <c r="G2323" s="2">
        <f t="shared" si="542"/>
        <v>6842665</v>
      </c>
      <c r="H2323" s="113">
        <f t="shared" si="543"/>
        <v>7788200</v>
      </c>
      <c r="I2323" s="121">
        <f t="shared" si="544"/>
        <v>9025904.1999999993</v>
      </c>
      <c r="K2323" s="123">
        <f t="shared" si="545"/>
        <v>8000000</v>
      </c>
      <c r="L2323" s="111">
        <f t="shared" si="546"/>
        <v>121771</v>
      </c>
      <c r="M2323" s="2">
        <f t="shared" si="547"/>
        <v>41401.800000000003</v>
      </c>
      <c r="N2323" s="112">
        <f t="shared" si="548"/>
        <v>12000000</v>
      </c>
      <c r="O2323" s="2">
        <f t="shared" si="549"/>
        <v>6842665</v>
      </c>
      <c r="P2323" s="113">
        <f t="shared" si="550"/>
        <v>7788200</v>
      </c>
      <c r="Q2323" s="121">
        <f t="shared" si="551"/>
        <v>9025904.1999999993</v>
      </c>
    </row>
    <row r="2324" spans="2:17" x14ac:dyDescent="0.4">
      <c r="B2324" s="110">
        <v>46245</v>
      </c>
      <c r="C2324" s="122">
        <f t="shared" si="538"/>
        <v>8000000</v>
      </c>
      <c r="D2324" s="111">
        <f t="shared" si="539"/>
        <v>121771</v>
      </c>
      <c r="E2324" s="2">
        <f t="shared" si="540"/>
        <v>41401.800000000003</v>
      </c>
      <c r="F2324" s="112">
        <f t="shared" si="541"/>
        <v>12000000</v>
      </c>
      <c r="G2324" s="2">
        <f t="shared" si="542"/>
        <v>6842665</v>
      </c>
      <c r="H2324" s="113">
        <f t="shared" si="543"/>
        <v>7788200</v>
      </c>
      <c r="I2324" s="121">
        <f t="shared" si="544"/>
        <v>9025904.1999999993</v>
      </c>
      <c r="K2324" s="123">
        <f t="shared" si="545"/>
        <v>8000000</v>
      </c>
      <c r="L2324" s="111">
        <f t="shared" si="546"/>
        <v>121771</v>
      </c>
      <c r="M2324" s="2">
        <f t="shared" si="547"/>
        <v>41401.800000000003</v>
      </c>
      <c r="N2324" s="112">
        <f t="shared" si="548"/>
        <v>12000000</v>
      </c>
      <c r="O2324" s="2">
        <f t="shared" si="549"/>
        <v>6842665</v>
      </c>
      <c r="P2324" s="113">
        <f t="shared" si="550"/>
        <v>7788200</v>
      </c>
      <c r="Q2324" s="121">
        <f t="shared" si="551"/>
        <v>9025904.1999999993</v>
      </c>
    </row>
    <row r="2325" spans="2:17" x14ac:dyDescent="0.4">
      <c r="B2325" s="110">
        <v>46246</v>
      </c>
      <c r="C2325" s="122">
        <f t="shared" si="538"/>
        <v>8000000</v>
      </c>
      <c r="D2325" s="111">
        <f t="shared" si="539"/>
        <v>121771</v>
      </c>
      <c r="E2325" s="2">
        <f t="shared" si="540"/>
        <v>41401.800000000003</v>
      </c>
      <c r="F2325" s="112">
        <f t="shared" si="541"/>
        <v>12000000</v>
      </c>
      <c r="G2325" s="2">
        <f t="shared" si="542"/>
        <v>6842665</v>
      </c>
      <c r="H2325" s="113">
        <f t="shared" si="543"/>
        <v>7788200</v>
      </c>
      <c r="I2325" s="121">
        <f t="shared" si="544"/>
        <v>9025904.1999999993</v>
      </c>
      <c r="K2325" s="123">
        <f t="shared" si="545"/>
        <v>8000000</v>
      </c>
      <c r="L2325" s="111">
        <f t="shared" si="546"/>
        <v>121771</v>
      </c>
      <c r="M2325" s="2">
        <f t="shared" si="547"/>
        <v>41401.800000000003</v>
      </c>
      <c r="N2325" s="112">
        <f t="shared" si="548"/>
        <v>12000000</v>
      </c>
      <c r="O2325" s="2">
        <f t="shared" si="549"/>
        <v>6842665</v>
      </c>
      <c r="P2325" s="113">
        <f t="shared" si="550"/>
        <v>7788200</v>
      </c>
      <c r="Q2325" s="121">
        <f t="shared" si="551"/>
        <v>9025904.1999999993</v>
      </c>
    </row>
    <row r="2326" spans="2:17" x14ac:dyDescent="0.4">
      <c r="B2326" s="110">
        <v>46247</v>
      </c>
      <c r="C2326" s="122">
        <f t="shared" si="538"/>
        <v>8000000</v>
      </c>
      <c r="D2326" s="111">
        <f t="shared" si="539"/>
        <v>121771</v>
      </c>
      <c r="E2326" s="2">
        <f t="shared" si="540"/>
        <v>41401.800000000003</v>
      </c>
      <c r="F2326" s="112">
        <f t="shared" si="541"/>
        <v>12000000</v>
      </c>
      <c r="G2326" s="2">
        <f t="shared" si="542"/>
        <v>6842665</v>
      </c>
      <c r="H2326" s="113">
        <f t="shared" si="543"/>
        <v>7788200</v>
      </c>
      <c r="I2326" s="121">
        <f t="shared" si="544"/>
        <v>9025904.1999999993</v>
      </c>
      <c r="K2326" s="123">
        <f t="shared" si="545"/>
        <v>8000000</v>
      </c>
      <c r="L2326" s="111">
        <f t="shared" si="546"/>
        <v>121771</v>
      </c>
      <c r="M2326" s="2">
        <f t="shared" si="547"/>
        <v>41401.800000000003</v>
      </c>
      <c r="N2326" s="112">
        <f t="shared" si="548"/>
        <v>12000000</v>
      </c>
      <c r="O2326" s="2">
        <f t="shared" si="549"/>
        <v>6842665</v>
      </c>
      <c r="P2326" s="113">
        <f t="shared" si="550"/>
        <v>7788200</v>
      </c>
      <c r="Q2326" s="121">
        <f t="shared" si="551"/>
        <v>9025904.1999999993</v>
      </c>
    </row>
    <row r="2327" spans="2:17" x14ac:dyDescent="0.4">
      <c r="B2327" s="110">
        <v>46248</v>
      </c>
      <c r="C2327" s="122">
        <f t="shared" si="538"/>
        <v>8000000</v>
      </c>
      <c r="D2327" s="111">
        <f t="shared" si="539"/>
        <v>121771</v>
      </c>
      <c r="E2327" s="2">
        <f t="shared" si="540"/>
        <v>41401.800000000003</v>
      </c>
      <c r="F2327" s="112">
        <f t="shared" si="541"/>
        <v>12000000</v>
      </c>
      <c r="G2327" s="2">
        <f t="shared" si="542"/>
        <v>6842665</v>
      </c>
      <c r="H2327" s="113">
        <f t="shared" si="543"/>
        <v>7788200</v>
      </c>
      <c r="I2327" s="121">
        <f t="shared" si="544"/>
        <v>9025904.1999999993</v>
      </c>
      <c r="K2327" s="123">
        <f t="shared" si="545"/>
        <v>8000000</v>
      </c>
      <c r="L2327" s="111">
        <f t="shared" si="546"/>
        <v>121771</v>
      </c>
      <c r="M2327" s="2">
        <f t="shared" si="547"/>
        <v>41401.800000000003</v>
      </c>
      <c r="N2327" s="112">
        <f t="shared" si="548"/>
        <v>12000000</v>
      </c>
      <c r="O2327" s="2">
        <f t="shared" si="549"/>
        <v>6842665</v>
      </c>
      <c r="P2327" s="113">
        <f t="shared" si="550"/>
        <v>7788200</v>
      </c>
      <c r="Q2327" s="121">
        <f t="shared" si="551"/>
        <v>9025904.1999999993</v>
      </c>
    </row>
    <row r="2328" spans="2:17" x14ac:dyDescent="0.4">
      <c r="B2328" s="110">
        <v>46249</v>
      </c>
      <c r="C2328" s="122">
        <f t="shared" si="538"/>
        <v>8000000</v>
      </c>
      <c r="D2328" s="111">
        <f t="shared" si="539"/>
        <v>121771</v>
      </c>
      <c r="E2328" s="2">
        <f t="shared" si="540"/>
        <v>41401.800000000003</v>
      </c>
      <c r="F2328" s="112">
        <f t="shared" si="541"/>
        <v>12000000</v>
      </c>
      <c r="G2328" s="2">
        <f t="shared" si="542"/>
        <v>6842665</v>
      </c>
      <c r="H2328" s="113">
        <f t="shared" si="543"/>
        <v>7788200</v>
      </c>
      <c r="I2328" s="121">
        <f t="shared" si="544"/>
        <v>9025904.1999999993</v>
      </c>
      <c r="K2328" s="123">
        <f t="shared" si="545"/>
        <v>8000000</v>
      </c>
      <c r="L2328" s="111">
        <f t="shared" si="546"/>
        <v>121771</v>
      </c>
      <c r="M2328" s="2">
        <f t="shared" si="547"/>
        <v>41401.800000000003</v>
      </c>
      <c r="N2328" s="112">
        <f t="shared" si="548"/>
        <v>12000000</v>
      </c>
      <c r="O2328" s="2">
        <f t="shared" si="549"/>
        <v>6842665</v>
      </c>
      <c r="P2328" s="113">
        <f t="shared" si="550"/>
        <v>7788200</v>
      </c>
      <c r="Q2328" s="121">
        <f t="shared" si="551"/>
        <v>9025904.1999999993</v>
      </c>
    </row>
    <row r="2329" spans="2:17" x14ac:dyDescent="0.4">
      <c r="B2329" s="110">
        <v>46250</v>
      </c>
      <c r="C2329" s="122">
        <f t="shared" si="538"/>
        <v>8000000</v>
      </c>
      <c r="D2329" s="111">
        <f t="shared" si="539"/>
        <v>121771</v>
      </c>
      <c r="E2329" s="2">
        <f t="shared" si="540"/>
        <v>41401.800000000003</v>
      </c>
      <c r="F2329" s="112">
        <f t="shared" si="541"/>
        <v>12000000</v>
      </c>
      <c r="G2329" s="2">
        <f t="shared" si="542"/>
        <v>6842665</v>
      </c>
      <c r="H2329" s="113">
        <f t="shared" si="543"/>
        <v>7788200</v>
      </c>
      <c r="I2329" s="121">
        <f t="shared" si="544"/>
        <v>9025904.1999999993</v>
      </c>
      <c r="K2329" s="123">
        <f t="shared" si="545"/>
        <v>8000000</v>
      </c>
      <c r="L2329" s="111">
        <f t="shared" si="546"/>
        <v>121771</v>
      </c>
      <c r="M2329" s="2">
        <f t="shared" si="547"/>
        <v>41401.800000000003</v>
      </c>
      <c r="N2329" s="112">
        <f t="shared" si="548"/>
        <v>12000000</v>
      </c>
      <c r="O2329" s="2">
        <f t="shared" si="549"/>
        <v>6842665</v>
      </c>
      <c r="P2329" s="113">
        <f t="shared" si="550"/>
        <v>7788200</v>
      </c>
      <c r="Q2329" s="121">
        <f t="shared" si="551"/>
        <v>9025904.1999999993</v>
      </c>
    </row>
    <row r="2330" spans="2:17" x14ac:dyDescent="0.4">
      <c r="B2330" s="110">
        <v>46251</v>
      </c>
      <c r="C2330" s="122">
        <f t="shared" si="538"/>
        <v>8000000</v>
      </c>
      <c r="D2330" s="111">
        <f t="shared" si="539"/>
        <v>121771</v>
      </c>
      <c r="E2330" s="2">
        <f t="shared" si="540"/>
        <v>41401.800000000003</v>
      </c>
      <c r="F2330" s="112">
        <f t="shared" si="541"/>
        <v>12000000</v>
      </c>
      <c r="G2330" s="2">
        <f t="shared" si="542"/>
        <v>6842665</v>
      </c>
      <c r="H2330" s="113">
        <f t="shared" si="543"/>
        <v>7788200</v>
      </c>
      <c r="I2330" s="121">
        <f t="shared" si="544"/>
        <v>9025904.1999999993</v>
      </c>
      <c r="K2330" s="123">
        <f t="shared" si="545"/>
        <v>8000000</v>
      </c>
      <c r="L2330" s="111">
        <f t="shared" si="546"/>
        <v>121771</v>
      </c>
      <c r="M2330" s="2">
        <f t="shared" si="547"/>
        <v>41401.800000000003</v>
      </c>
      <c r="N2330" s="112">
        <f t="shared" si="548"/>
        <v>12000000</v>
      </c>
      <c r="O2330" s="2">
        <f t="shared" si="549"/>
        <v>6842665</v>
      </c>
      <c r="P2330" s="113">
        <f t="shared" si="550"/>
        <v>7788200</v>
      </c>
      <c r="Q2330" s="121">
        <f t="shared" si="551"/>
        <v>9025904.1999999993</v>
      </c>
    </row>
    <row r="2331" spans="2:17" x14ac:dyDescent="0.4">
      <c r="B2331" s="110">
        <v>46252</v>
      </c>
      <c r="C2331" s="122">
        <f t="shared" si="538"/>
        <v>8000000</v>
      </c>
      <c r="D2331" s="111">
        <f t="shared" si="539"/>
        <v>121771</v>
      </c>
      <c r="E2331" s="2">
        <f t="shared" si="540"/>
        <v>41401.800000000003</v>
      </c>
      <c r="F2331" s="112">
        <f t="shared" si="541"/>
        <v>12000000</v>
      </c>
      <c r="G2331" s="2">
        <f t="shared" si="542"/>
        <v>6842665</v>
      </c>
      <c r="H2331" s="113">
        <f t="shared" si="543"/>
        <v>7788200</v>
      </c>
      <c r="I2331" s="121">
        <f t="shared" si="544"/>
        <v>9025904.1999999993</v>
      </c>
      <c r="K2331" s="123">
        <f t="shared" si="545"/>
        <v>8000000</v>
      </c>
      <c r="L2331" s="111">
        <f t="shared" si="546"/>
        <v>121771</v>
      </c>
      <c r="M2331" s="2">
        <f t="shared" si="547"/>
        <v>41401.800000000003</v>
      </c>
      <c r="N2331" s="112">
        <f t="shared" si="548"/>
        <v>12000000</v>
      </c>
      <c r="O2331" s="2">
        <f t="shared" si="549"/>
        <v>6842665</v>
      </c>
      <c r="P2331" s="113">
        <f t="shared" si="550"/>
        <v>7788200</v>
      </c>
      <c r="Q2331" s="121">
        <f t="shared" si="551"/>
        <v>9025904.1999999993</v>
      </c>
    </row>
    <row r="2332" spans="2:17" x14ac:dyDescent="0.4">
      <c r="B2332" s="110">
        <v>46253</v>
      </c>
      <c r="C2332" s="122">
        <f t="shared" si="538"/>
        <v>8000000</v>
      </c>
      <c r="D2332" s="111">
        <f t="shared" si="539"/>
        <v>121771</v>
      </c>
      <c r="E2332" s="2">
        <f t="shared" si="540"/>
        <v>41401.800000000003</v>
      </c>
      <c r="F2332" s="112">
        <f t="shared" si="541"/>
        <v>12000000</v>
      </c>
      <c r="G2332" s="2">
        <f t="shared" si="542"/>
        <v>6842665</v>
      </c>
      <c r="H2332" s="113">
        <f t="shared" si="543"/>
        <v>7788200</v>
      </c>
      <c r="I2332" s="121">
        <f t="shared" si="544"/>
        <v>9025904.1999999993</v>
      </c>
      <c r="K2332" s="123">
        <f t="shared" si="545"/>
        <v>8000000</v>
      </c>
      <c r="L2332" s="111">
        <f t="shared" si="546"/>
        <v>121771</v>
      </c>
      <c r="M2332" s="2">
        <f t="shared" si="547"/>
        <v>41401.800000000003</v>
      </c>
      <c r="N2332" s="112">
        <f t="shared" si="548"/>
        <v>12000000</v>
      </c>
      <c r="O2332" s="2">
        <f t="shared" si="549"/>
        <v>6842665</v>
      </c>
      <c r="P2332" s="113">
        <f t="shared" si="550"/>
        <v>7788200</v>
      </c>
      <c r="Q2332" s="121">
        <f t="shared" si="551"/>
        <v>9025904.1999999993</v>
      </c>
    </row>
    <row r="2333" spans="2:17" x14ac:dyDescent="0.4">
      <c r="B2333" s="110">
        <v>46254</v>
      </c>
      <c r="C2333" s="122">
        <f t="shared" si="538"/>
        <v>8000000</v>
      </c>
      <c r="D2333" s="111">
        <f t="shared" si="539"/>
        <v>121771</v>
      </c>
      <c r="E2333" s="2">
        <f t="shared" si="540"/>
        <v>41401.800000000003</v>
      </c>
      <c r="F2333" s="112">
        <f t="shared" si="541"/>
        <v>12000000</v>
      </c>
      <c r="G2333" s="2">
        <f t="shared" si="542"/>
        <v>6842665</v>
      </c>
      <c r="H2333" s="113">
        <f t="shared" si="543"/>
        <v>7788200</v>
      </c>
      <c r="I2333" s="121">
        <f t="shared" si="544"/>
        <v>9025904.1999999993</v>
      </c>
      <c r="K2333" s="123">
        <f t="shared" si="545"/>
        <v>8000000</v>
      </c>
      <c r="L2333" s="111">
        <f t="shared" si="546"/>
        <v>121771</v>
      </c>
      <c r="M2333" s="2">
        <f t="shared" si="547"/>
        <v>41401.800000000003</v>
      </c>
      <c r="N2333" s="112">
        <f t="shared" si="548"/>
        <v>12000000</v>
      </c>
      <c r="O2333" s="2">
        <f t="shared" si="549"/>
        <v>6842665</v>
      </c>
      <c r="P2333" s="113">
        <f t="shared" si="550"/>
        <v>7788200</v>
      </c>
      <c r="Q2333" s="121">
        <f t="shared" si="551"/>
        <v>9025904.1999999993</v>
      </c>
    </row>
    <row r="2334" spans="2:17" x14ac:dyDescent="0.4">
      <c r="B2334" s="110">
        <v>46255</v>
      </c>
      <c r="C2334" s="122">
        <f t="shared" si="538"/>
        <v>8000000</v>
      </c>
      <c r="D2334" s="111">
        <f t="shared" si="539"/>
        <v>121771</v>
      </c>
      <c r="E2334" s="2">
        <f t="shared" si="540"/>
        <v>41401.800000000003</v>
      </c>
      <c r="F2334" s="112">
        <f t="shared" si="541"/>
        <v>12000000</v>
      </c>
      <c r="G2334" s="2">
        <f t="shared" si="542"/>
        <v>6842665</v>
      </c>
      <c r="H2334" s="113">
        <f t="shared" si="543"/>
        <v>7788200</v>
      </c>
      <c r="I2334" s="121">
        <f t="shared" si="544"/>
        <v>9025904.1999999993</v>
      </c>
      <c r="K2334" s="123">
        <f t="shared" si="545"/>
        <v>8000000</v>
      </c>
      <c r="L2334" s="111">
        <f t="shared" si="546"/>
        <v>121771</v>
      </c>
      <c r="M2334" s="2">
        <f t="shared" si="547"/>
        <v>41401.800000000003</v>
      </c>
      <c r="N2334" s="112">
        <f t="shared" si="548"/>
        <v>12000000</v>
      </c>
      <c r="O2334" s="2">
        <f t="shared" si="549"/>
        <v>6842665</v>
      </c>
      <c r="P2334" s="113">
        <f t="shared" si="550"/>
        <v>7788200</v>
      </c>
      <c r="Q2334" s="121">
        <f t="shared" si="551"/>
        <v>9025904.1999999993</v>
      </c>
    </row>
    <row r="2335" spans="2:17" x14ac:dyDescent="0.4">
      <c r="B2335" s="110">
        <v>46256</v>
      </c>
      <c r="C2335" s="122">
        <f t="shared" si="538"/>
        <v>8000000</v>
      </c>
      <c r="D2335" s="111">
        <f t="shared" si="539"/>
        <v>121771</v>
      </c>
      <c r="E2335" s="2">
        <f t="shared" si="540"/>
        <v>41401.800000000003</v>
      </c>
      <c r="F2335" s="112">
        <f t="shared" si="541"/>
        <v>12000000</v>
      </c>
      <c r="G2335" s="2">
        <f t="shared" si="542"/>
        <v>6842665</v>
      </c>
      <c r="H2335" s="113">
        <f t="shared" si="543"/>
        <v>7788200</v>
      </c>
      <c r="I2335" s="121">
        <f t="shared" si="544"/>
        <v>9025904.1999999993</v>
      </c>
      <c r="K2335" s="123">
        <f t="shared" si="545"/>
        <v>8000000</v>
      </c>
      <c r="L2335" s="111">
        <f t="shared" si="546"/>
        <v>121771</v>
      </c>
      <c r="M2335" s="2">
        <f t="shared" si="547"/>
        <v>41401.800000000003</v>
      </c>
      <c r="N2335" s="112">
        <f t="shared" si="548"/>
        <v>12000000</v>
      </c>
      <c r="O2335" s="2">
        <f t="shared" si="549"/>
        <v>6842665</v>
      </c>
      <c r="P2335" s="113">
        <f t="shared" si="550"/>
        <v>7788200</v>
      </c>
      <c r="Q2335" s="121">
        <f t="shared" si="551"/>
        <v>9025904.1999999993</v>
      </c>
    </row>
    <row r="2336" spans="2:17" x14ac:dyDescent="0.4">
      <c r="B2336" s="110">
        <v>46257</v>
      </c>
      <c r="C2336" s="122">
        <f t="shared" si="538"/>
        <v>8000000</v>
      </c>
      <c r="D2336" s="111">
        <f t="shared" si="539"/>
        <v>121771</v>
      </c>
      <c r="E2336" s="2">
        <f t="shared" si="540"/>
        <v>41401.800000000003</v>
      </c>
      <c r="F2336" s="112">
        <f t="shared" si="541"/>
        <v>12000000</v>
      </c>
      <c r="G2336" s="2">
        <f t="shared" si="542"/>
        <v>6842665</v>
      </c>
      <c r="H2336" s="113">
        <f t="shared" si="543"/>
        <v>7788200</v>
      </c>
      <c r="I2336" s="121">
        <f t="shared" si="544"/>
        <v>9025904.1999999993</v>
      </c>
      <c r="K2336" s="123">
        <f t="shared" si="545"/>
        <v>8000000</v>
      </c>
      <c r="L2336" s="111">
        <f t="shared" si="546"/>
        <v>121771</v>
      </c>
      <c r="M2336" s="2">
        <f t="shared" si="547"/>
        <v>41401.800000000003</v>
      </c>
      <c r="N2336" s="112">
        <f t="shared" si="548"/>
        <v>12000000</v>
      </c>
      <c r="O2336" s="2">
        <f t="shared" si="549"/>
        <v>6842665</v>
      </c>
      <c r="P2336" s="113">
        <f t="shared" si="550"/>
        <v>7788200</v>
      </c>
      <c r="Q2336" s="121">
        <f t="shared" si="551"/>
        <v>9025904.1999999993</v>
      </c>
    </row>
    <row r="2337" spans="2:17" x14ac:dyDescent="0.4">
      <c r="B2337" s="110">
        <v>46258</v>
      </c>
      <c r="C2337" s="122">
        <f t="shared" si="538"/>
        <v>8000000</v>
      </c>
      <c r="D2337" s="111">
        <f t="shared" si="539"/>
        <v>121771</v>
      </c>
      <c r="E2337" s="2">
        <f t="shared" si="540"/>
        <v>41401.800000000003</v>
      </c>
      <c r="F2337" s="112">
        <f t="shared" si="541"/>
        <v>12000000</v>
      </c>
      <c r="G2337" s="2">
        <f t="shared" si="542"/>
        <v>6842665</v>
      </c>
      <c r="H2337" s="113">
        <f t="shared" si="543"/>
        <v>7788200</v>
      </c>
      <c r="I2337" s="121">
        <f t="shared" si="544"/>
        <v>9025904.1999999993</v>
      </c>
      <c r="K2337" s="123">
        <f t="shared" si="545"/>
        <v>8000000</v>
      </c>
      <c r="L2337" s="111">
        <f t="shared" si="546"/>
        <v>121771</v>
      </c>
      <c r="M2337" s="2">
        <f t="shared" si="547"/>
        <v>41401.800000000003</v>
      </c>
      <c r="N2337" s="112">
        <f t="shared" si="548"/>
        <v>12000000</v>
      </c>
      <c r="O2337" s="2">
        <f t="shared" si="549"/>
        <v>6842665</v>
      </c>
      <c r="P2337" s="113">
        <f t="shared" si="550"/>
        <v>7788200</v>
      </c>
      <c r="Q2337" s="121">
        <f t="shared" si="551"/>
        <v>9025904.1999999993</v>
      </c>
    </row>
    <row r="2338" spans="2:17" x14ac:dyDescent="0.4">
      <c r="B2338" s="110">
        <v>46259</v>
      </c>
      <c r="C2338" s="122">
        <f t="shared" si="538"/>
        <v>8000000</v>
      </c>
      <c r="D2338" s="111">
        <f t="shared" si="539"/>
        <v>121771</v>
      </c>
      <c r="E2338" s="2">
        <f t="shared" si="540"/>
        <v>41401.800000000003</v>
      </c>
      <c r="F2338" s="112">
        <f t="shared" si="541"/>
        <v>12000000</v>
      </c>
      <c r="G2338" s="2">
        <f t="shared" si="542"/>
        <v>6842665</v>
      </c>
      <c r="H2338" s="113">
        <f t="shared" si="543"/>
        <v>7788200</v>
      </c>
      <c r="I2338" s="121">
        <f t="shared" si="544"/>
        <v>9025904.1999999993</v>
      </c>
      <c r="K2338" s="123">
        <f t="shared" si="545"/>
        <v>8000000</v>
      </c>
      <c r="L2338" s="111">
        <f t="shared" si="546"/>
        <v>121771</v>
      </c>
      <c r="M2338" s="2">
        <f t="shared" si="547"/>
        <v>41401.800000000003</v>
      </c>
      <c r="N2338" s="112">
        <f t="shared" si="548"/>
        <v>12000000</v>
      </c>
      <c r="O2338" s="2">
        <f t="shared" si="549"/>
        <v>6842665</v>
      </c>
      <c r="P2338" s="113">
        <f t="shared" si="550"/>
        <v>7788200</v>
      </c>
      <c r="Q2338" s="121">
        <f t="shared" si="551"/>
        <v>9025904.1999999993</v>
      </c>
    </row>
    <row r="2339" spans="2:17" x14ac:dyDescent="0.4">
      <c r="B2339" s="110">
        <v>46260</v>
      </c>
      <c r="C2339" s="122">
        <f t="shared" si="538"/>
        <v>8000000</v>
      </c>
      <c r="D2339" s="111">
        <f t="shared" si="539"/>
        <v>121771</v>
      </c>
      <c r="E2339" s="2">
        <f t="shared" si="540"/>
        <v>41401.800000000003</v>
      </c>
      <c r="F2339" s="112">
        <f t="shared" si="541"/>
        <v>12000000</v>
      </c>
      <c r="G2339" s="2">
        <f t="shared" si="542"/>
        <v>6842665</v>
      </c>
      <c r="H2339" s="113">
        <f t="shared" si="543"/>
        <v>7788200</v>
      </c>
      <c r="I2339" s="121">
        <f t="shared" si="544"/>
        <v>9025904.1999999993</v>
      </c>
      <c r="K2339" s="123">
        <f t="shared" si="545"/>
        <v>8000000</v>
      </c>
      <c r="L2339" s="111">
        <f t="shared" si="546"/>
        <v>121771</v>
      </c>
      <c r="M2339" s="2">
        <f t="shared" si="547"/>
        <v>41401.800000000003</v>
      </c>
      <c r="N2339" s="112">
        <f t="shared" si="548"/>
        <v>12000000</v>
      </c>
      <c r="O2339" s="2">
        <f t="shared" si="549"/>
        <v>6842665</v>
      </c>
      <c r="P2339" s="113">
        <f t="shared" si="550"/>
        <v>7788200</v>
      </c>
      <c r="Q2339" s="121">
        <f t="shared" si="551"/>
        <v>9025904.1999999993</v>
      </c>
    </row>
    <row r="2340" spans="2:17" x14ac:dyDescent="0.4">
      <c r="B2340" s="110">
        <v>46261</v>
      </c>
      <c r="C2340" s="122">
        <f t="shared" si="538"/>
        <v>8000000</v>
      </c>
      <c r="D2340" s="111">
        <f t="shared" si="539"/>
        <v>121771</v>
      </c>
      <c r="E2340" s="2">
        <f t="shared" si="540"/>
        <v>41401.800000000003</v>
      </c>
      <c r="F2340" s="112">
        <f t="shared" si="541"/>
        <v>12000000</v>
      </c>
      <c r="G2340" s="2">
        <f t="shared" si="542"/>
        <v>6842665</v>
      </c>
      <c r="H2340" s="113">
        <f t="shared" si="543"/>
        <v>7788200</v>
      </c>
      <c r="I2340" s="121">
        <f t="shared" si="544"/>
        <v>9025904.1999999993</v>
      </c>
      <c r="K2340" s="123">
        <f t="shared" si="545"/>
        <v>8000000</v>
      </c>
      <c r="L2340" s="111">
        <f t="shared" si="546"/>
        <v>121771</v>
      </c>
      <c r="M2340" s="2">
        <f t="shared" si="547"/>
        <v>41401.800000000003</v>
      </c>
      <c r="N2340" s="112">
        <f t="shared" si="548"/>
        <v>12000000</v>
      </c>
      <c r="O2340" s="2">
        <f t="shared" si="549"/>
        <v>6842665</v>
      </c>
      <c r="P2340" s="113">
        <f t="shared" si="550"/>
        <v>7788200</v>
      </c>
      <c r="Q2340" s="121">
        <f t="shared" si="551"/>
        <v>9025904.1999999993</v>
      </c>
    </row>
    <row r="2341" spans="2:17" x14ac:dyDescent="0.4">
      <c r="B2341" s="110">
        <v>46262</v>
      </c>
      <c r="C2341" s="122">
        <f t="shared" si="538"/>
        <v>8000000</v>
      </c>
      <c r="D2341" s="111">
        <f t="shared" si="539"/>
        <v>121771</v>
      </c>
      <c r="E2341" s="2">
        <f t="shared" si="540"/>
        <v>41401.800000000003</v>
      </c>
      <c r="F2341" s="112">
        <f t="shared" si="541"/>
        <v>12000000</v>
      </c>
      <c r="G2341" s="2">
        <f t="shared" si="542"/>
        <v>6842665</v>
      </c>
      <c r="H2341" s="113">
        <f t="shared" si="543"/>
        <v>7788200</v>
      </c>
      <c r="I2341" s="121">
        <f t="shared" si="544"/>
        <v>9025904.1999999993</v>
      </c>
      <c r="K2341" s="123">
        <f t="shared" si="545"/>
        <v>8000000</v>
      </c>
      <c r="L2341" s="111">
        <f t="shared" si="546"/>
        <v>121771</v>
      </c>
      <c r="M2341" s="2">
        <f t="shared" si="547"/>
        <v>41401.800000000003</v>
      </c>
      <c r="N2341" s="112">
        <f t="shared" si="548"/>
        <v>12000000</v>
      </c>
      <c r="O2341" s="2">
        <f t="shared" si="549"/>
        <v>6842665</v>
      </c>
      <c r="P2341" s="113">
        <f t="shared" si="550"/>
        <v>7788200</v>
      </c>
      <c r="Q2341" s="121">
        <f t="shared" si="551"/>
        <v>9025904.1999999993</v>
      </c>
    </row>
    <row r="2342" spans="2:17" x14ac:dyDescent="0.4">
      <c r="B2342" s="110">
        <v>46263</v>
      </c>
      <c r="C2342" s="122">
        <f t="shared" ref="C2342:C2405" si="552">SUMIF($B$6:$B$75,$B2342,$D$6:$D$75)+C2341</f>
        <v>8000000</v>
      </c>
      <c r="D2342" s="111">
        <f t="shared" ref="D2342:D2405" si="553">SUMIF($B$6:$B$75,$B2342,$E$6:$E$75)+D2341</f>
        <v>121771</v>
      </c>
      <c r="E2342" s="2">
        <f t="shared" ref="E2342:E2405" si="554">SUMIF($G$353:$G$376,$B2342,$J$353:$J$376)+SUMIF($E$353:$E$376,$B2342,$H$353:$H$376)+SUMIF($G$353:$G$376,$B2342,$I$353:$I$376)+E2341</f>
        <v>41401.800000000003</v>
      </c>
      <c r="F2342" s="112">
        <f t="shared" ref="F2342:F2405" si="555">20000000-C2342</f>
        <v>12000000</v>
      </c>
      <c r="G2342" s="2">
        <f t="shared" ref="G2342:G2405" si="556">SUMIF($E$353:$E$376,$B2342,$M$353:$M$376)+G2341</f>
        <v>6842665</v>
      </c>
      <c r="H2342" s="113">
        <f t="shared" ref="H2342:H2405" si="557">SUMIF($G$353:$G$376,$B2342,$N$353:$N$376)+H2341</f>
        <v>7788200</v>
      </c>
      <c r="I2342" s="121">
        <f t="shared" ref="I2342:I2405" si="558">C2342+D2342-G2342-E2342+H2342</f>
        <v>9025904.1999999993</v>
      </c>
      <c r="K2342" s="123">
        <f t="shared" ref="K2342:K2405" si="559">SUMIF($B$6:$B$75,$B2342,$D$6:$D$75)+K2341</f>
        <v>8000000</v>
      </c>
      <c r="L2342" s="111">
        <f t="shared" ref="L2342:L2405" si="560">SUMIF($B$6:$B$75,$B2342,$E$6:$E$75)+L2341</f>
        <v>121771</v>
      </c>
      <c r="M2342" s="2">
        <f t="shared" ref="M2342:M2405" si="561">SUMIF($G$353:$G$376,$B2342,$J$353:$J$376)+SUMIF($E$353:$E$376,$B2342,$H$353:$H$376)+SUMIF($G$353:$G$376,$B2342,$I$353:$I$376)+M2341</f>
        <v>41401.800000000003</v>
      </c>
      <c r="N2342" s="112">
        <f t="shared" ref="N2342:N2405" si="562">20000000-K2342</f>
        <v>12000000</v>
      </c>
      <c r="O2342" s="2">
        <f t="shared" ref="O2342:O2405" si="563">SUMIF($E$353:$E$376,$B2342,$M$353:$M$376)+O2341</f>
        <v>6842665</v>
      </c>
      <c r="P2342" s="113">
        <f t="shared" ref="P2342:P2405" si="564">SUMIF($G$353:$G$376,$B2342,$N$353:$N$376)+P2341</f>
        <v>7788200</v>
      </c>
      <c r="Q2342" s="121">
        <f t="shared" ref="Q2342:Q2405" si="565">K2342+L2342-O2342-M2342+P2342</f>
        <v>9025904.1999999993</v>
      </c>
    </row>
    <row r="2343" spans="2:17" x14ac:dyDescent="0.4">
      <c r="B2343" s="110">
        <v>46264</v>
      </c>
      <c r="C2343" s="122">
        <f t="shared" si="552"/>
        <v>8000000</v>
      </c>
      <c r="D2343" s="111">
        <f t="shared" si="553"/>
        <v>121771</v>
      </c>
      <c r="E2343" s="2">
        <f t="shared" si="554"/>
        <v>41401.800000000003</v>
      </c>
      <c r="F2343" s="112">
        <f t="shared" si="555"/>
        <v>12000000</v>
      </c>
      <c r="G2343" s="2">
        <f t="shared" si="556"/>
        <v>6842665</v>
      </c>
      <c r="H2343" s="113">
        <f t="shared" si="557"/>
        <v>7788200</v>
      </c>
      <c r="I2343" s="121">
        <f t="shared" si="558"/>
        <v>9025904.1999999993</v>
      </c>
      <c r="K2343" s="123">
        <f t="shared" si="559"/>
        <v>8000000</v>
      </c>
      <c r="L2343" s="111">
        <f t="shared" si="560"/>
        <v>121771</v>
      </c>
      <c r="M2343" s="2">
        <f t="shared" si="561"/>
        <v>41401.800000000003</v>
      </c>
      <c r="N2343" s="112">
        <f t="shared" si="562"/>
        <v>12000000</v>
      </c>
      <c r="O2343" s="2">
        <f t="shared" si="563"/>
        <v>6842665</v>
      </c>
      <c r="P2343" s="113">
        <f t="shared" si="564"/>
        <v>7788200</v>
      </c>
      <c r="Q2343" s="121">
        <f t="shared" si="565"/>
        <v>9025904.1999999993</v>
      </c>
    </row>
    <row r="2344" spans="2:17" x14ac:dyDescent="0.4">
      <c r="B2344" s="110">
        <v>46265</v>
      </c>
      <c r="C2344" s="122">
        <f t="shared" si="552"/>
        <v>8000000</v>
      </c>
      <c r="D2344" s="111">
        <f t="shared" si="553"/>
        <v>121771</v>
      </c>
      <c r="E2344" s="2">
        <f t="shared" si="554"/>
        <v>41401.800000000003</v>
      </c>
      <c r="F2344" s="112">
        <f t="shared" si="555"/>
        <v>12000000</v>
      </c>
      <c r="G2344" s="2">
        <f t="shared" si="556"/>
        <v>6842665</v>
      </c>
      <c r="H2344" s="113">
        <f t="shared" si="557"/>
        <v>7788200</v>
      </c>
      <c r="I2344" s="121">
        <f t="shared" si="558"/>
        <v>9025904.1999999993</v>
      </c>
      <c r="K2344" s="123">
        <f t="shared" si="559"/>
        <v>8000000</v>
      </c>
      <c r="L2344" s="111">
        <f t="shared" si="560"/>
        <v>121771</v>
      </c>
      <c r="M2344" s="2">
        <f t="shared" si="561"/>
        <v>41401.800000000003</v>
      </c>
      <c r="N2344" s="112">
        <f t="shared" si="562"/>
        <v>12000000</v>
      </c>
      <c r="O2344" s="2">
        <f t="shared" si="563"/>
        <v>6842665</v>
      </c>
      <c r="P2344" s="113">
        <f t="shared" si="564"/>
        <v>7788200</v>
      </c>
      <c r="Q2344" s="121">
        <f t="shared" si="565"/>
        <v>9025904.1999999993</v>
      </c>
    </row>
    <row r="2345" spans="2:17" x14ac:dyDescent="0.4">
      <c r="B2345" s="110">
        <v>46266</v>
      </c>
      <c r="C2345" s="122">
        <f t="shared" si="552"/>
        <v>8000000</v>
      </c>
      <c r="D2345" s="111">
        <f t="shared" si="553"/>
        <v>121771</v>
      </c>
      <c r="E2345" s="2">
        <f t="shared" si="554"/>
        <v>41401.800000000003</v>
      </c>
      <c r="F2345" s="112">
        <f t="shared" si="555"/>
        <v>12000000</v>
      </c>
      <c r="G2345" s="2">
        <f t="shared" si="556"/>
        <v>6842665</v>
      </c>
      <c r="H2345" s="113">
        <f t="shared" si="557"/>
        <v>7788200</v>
      </c>
      <c r="I2345" s="121">
        <f t="shared" si="558"/>
        <v>9025904.1999999993</v>
      </c>
      <c r="K2345" s="123">
        <f t="shared" si="559"/>
        <v>8000000</v>
      </c>
      <c r="L2345" s="111">
        <f t="shared" si="560"/>
        <v>121771</v>
      </c>
      <c r="M2345" s="2">
        <f t="shared" si="561"/>
        <v>41401.800000000003</v>
      </c>
      <c r="N2345" s="112">
        <f t="shared" si="562"/>
        <v>12000000</v>
      </c>
      <c r="O2345" s="2">
        <f t="shared" si="563"/>
        <v>6842665</v>
      </c>
      <c r="P2345" s="113">
        <f t="shared" si="564"/>
        <v>7788200</v>
      </c>
      <c r="Q2345" s="121">
        <f t="shared" si="565"/>
        <v>9025904.1999999993</v>
      </c>
    </row>
    <row r="2346" spans="2:17" x14ac:dyDescent="0.4">
      <c r="B2346" s="110">
        <v>46267</v>
      </c>
      <c r="C2346" s="122">
        <f t="shared" si="552"/>
        <v>8000000</v>
      </c>
      <c r="D2346" s="111">
        <f t="shared" si="553"/>
        <v>121771</v>
      </c>
      <c r="E2346" s="2">
        <f t="shared" si="554"/>
        <v>41401.800000000003</v>
      </c>
      <c r="F2346" s="112">
        <f t="shared" si="555"/>
        <v>12000000</v>
      </c>
      <c r="G2346" s="2">
        <f t="shared" si="556"/>
        <v>6842665</v>
      </c>
      <c r="H2346" s="113">
        <f t="shared" si="557"/>
        <v>7788200</v>
      </c>
      <c r="I2346" s="121">
        <f t="shared" si="558"/>
        <v>9025904.1999999993</v>
      </c>
      <c r="K2346" s="123">
        <f t="shared" si="559"/>
        <v>8000000</v>
      </c>
      <c r="L2346" s="111">
        <f t="shared" si="560"/>
        <v>121771</v>
      </c>
      <c r="M2346" s="2">
        <f t="shared" si="561"/>
        <v>41401.800000000003</v>
      </c>
      <c r="N2346" s="112">
        <f t="shared" si="562"/>
        <v>12000000</v>
      </c>
      <c r="O2346" s="2">
        <f t="shared" si="563"/>
        <v>6842665</v>
      </c>
      <c r="P2346" s="113">
        <f t="shared" si="564"/>
        <v>7788200</v>
      </c>
      <c r="Q2346" s="121">
        <f t="shared" si="565"/>
        <v>9025904.1999999993</v>
      </c>
    </row>
    <row r="2347" spans="2:17" x14ac:dyDescent="0.4">
      <c r="B2347" s="110">
        <v>46268</v>
      </c>
      <c r="C2347" s="122">
        <f t="shared" si="552"/>
        <v>8000000</v>
      </c>
      <c r="D2347" s="111">
        <f t="shared" si="553"/>
        <v>121771</v>
      </c>
      <c r="E2347" s="2">
        <f t="shared" si="554"/>
        <v>41401.800000000003</v>
      </c>
      <c r="F2347" s="112">
        <f t="shared" si="555"/>
        <v>12000000</v>
      </c>
      <c r="G2347" s="2">
        <f t="shared" si="556"/>
        <v>6842665</v>
      </c>
      <c r="H2347" s="113">
        <f t="shared" si="557"/>
        <v>7788200</v>
      </c>
      <c r="I2347" s="121">
        <f t="shared" si="558"/>
        <v>9025904.1999999993</v>
      </c>
      <c r="K2347" s="123">
        <f t="shared" si="559"/>
        <v>8000000</v>
      </c>
      <c r="L2347" s="111">
        <f t="shared" si="560"/>
        <v>121771</v>
      </c>
      <c r="M2347" s="2">
        <f t="shared" si="561"/>
        <v>41401.800000000003</v>
      </c>
      <c r="N2347" s="112">
        <f t="shared" si="562"/>
        <v>12000000</v>
      </c>
      <c r="O2347" s="2">
        <f t="shared" si="563"/>
        <v>6842665</v>
      </c>
      <c r="P2347" s="113">
        <f t="shared" si="564"/>
        <v>7788200</v>
      </c>
      <c r="Q2347" s="121">
        <f t="shared" si="565"/>
        <v>9025904.1999999993</v>
      </c>
    </row>
    <row r="2348" spans="2:17" x14ac:dyDescent="0.4">
      <c r="B2348" s="110">
        <v>46269</v>
      </c>
      <c r="C2348" s="122">
        <f t="shared" si="552"/>
        <v>8000000</v>
      </c>
      <c r="D2348" s="111">
        <f t="shared" si="553"/>
        <v>121771</v>
      </c>
      <c r="E2348" s="2">
        <f t="shared" si="554"/>
        <v>41401.800000000003</v>
      </c>
      <c r="F2348" s="112">
        <f t="shared" si="555"/>
        <v>12000000</v>
      </c>
      <c r="G2348" s="2">
        <f t="shared" si="556"/>
        <v>6842665</v>
      </c>
      <c r="H2348" s="113">
        <f t="shared" si="557"/>
        <v>7788200</v>
      </c>
      <c r="I2348" s="121">
        <f t="shared" si="558"/>
        <v>9025904.1999999993</v>
      </c>
      <c r="K2348" s="123">
        <f t="shared" si="559"/>
        <v>8000000</v>
      </c>
      <c r="L2348" s="111">
        <f t="shared" si="560"/>
        <v>121771</v>
      </c>
      <c r="M2348" s="2">
        <f t="shared" si="561"/>
        <v>41401.800000000003</v>
      </c>
      <c r="N2348" s="112">
        <f t="shared" si="562"/>
        <v>12000000</v>
      </c>
      <c r="O2348" s="2">
        <f t="shared" si="563"/>
        <v>6842665</v>
      </c>
      <c r="P2348" s="113">
        <f t="shared" si="564"/>
        <v>7788200</v>
      </c>
      <c r="Q2348" s="121">
        <f t="shared" si="565"/>
        <v>9025904.1999999993</v>
      </c>
    </row>
    <row r="2349" spans="2:17" x14ac:dyDescent="0.4">
      <c r="B2349" s="110">
        <v>46270</v>
      </c>
      <c r="C2349" s="122">
        <f t="shared" si="552"/>
        <v>8000000</v>
      </c>
      <c r="D2349" s="111">
        <f t="shared" si="553"/>
        <v>121771</v>
      </c>
      <c r="E2349" s="2">
        <f t="shared" si="554"/>
        <v>41401.800000000003</v>
      </c>
      <c r="F2349" s="112">
        <f t="shared" si="555"/>
        <v>12000000</v>
      </c>
      <c r="G2349" s="2">
        <f t="shared" si="556"/>
        <v>6842665</v>
      </c>
      <c r="H2349" s="113">
        <f t="shared" si="557"/>
        <v>7788200</v>
      </c>
      <c r="I2349" s="121">
        <f t="shared" si="558"/>
        <v>9025904.1999999993</v>
      </c>
      <c r="K2349" s="123">
        <f t="shared" si="559"/>
        <v>8000000</v>
      </c>
      <c r="L2349" s="111">
        <f t="shared" si="560"/>
        <v>121771</v>
      </c>
      <c r="M2349" s="2">
        <f t="shared" si="561"/>
        <v>41401.800000000003</v>
      </c>
      <c r="N2349" s="112">
        <f t="shared" si="562"/>
        <v>12000000</v>
      </c>
      <c r="O2349" s="2">
        <f t="shared" si="563"/>
        <v>6842665</v>
      </c>
      <c r="P2349" s="113">
        <f t="shared" si="564"/>
        <v>7788200</v>
      </c>
      <c r="Q2349" s="121">
        <f t="shared" si="565"/>
        <v>9025904.1999999993</v>
      </c>
    </row>
    <row r="2350" spans="2:17" x14ac:dyDescent="0.4">
      <c r="B2350" s="110">
        <v>46271</v>
      </c>
      <c r="C2350" s="122">
        <f t="shared" si="552"/>
        <v>8000000</v>
      </c>
      <c r="D2350" s="111">
        <f t="shared" si="553"/>
        <v>121771</v>
      </c>
      <c r="E2350" s="2">
        <f t="shared" si="554"/>
        <v>41401.800000000003</v>
      </c>
      <c r="F2350" s="112">
        <f t="shared" si="555"/>
        <v>12000000</v>
      </c>
      <c r="G2350" s="2">
        <f t="shared" si="556"/>
        <v>6842665</v>
      </c>
      <c r="H2350" s="113">
        <f t="shared" si="557"/>
        <v>7788200</v>
      </c>
      <c r="I2350" s="121">
        <f t="shared" si="558"/>
        <v>9025904.1999999993</v>
      </c>
      <c r="K2350" s="123">
        <f t="shared" si="559"/>
        <v>8000000</v>
      </c>
      <c r="L2350" s="111">
        <f t="shared" si="560"/>
        <v>121771</v>
      </c>
      <c r="M2350" s="2">
        <f t="shared" si="561"/>
        <v>41401.800000000003</v>
      </c>
      <c r="N2350" s="112">
        <f t="shared" si="562"/>
        <v>12000000</v>
      </c>
      <c r="O2350" s="2">
        <f t="shared" si="563"/>
        <v>6842665</v>
      </c>
      <c r="P2350" s="113">
        <f t="shared" si="564"/>
        <v>7788200</v>
      </c>
      <c r="Q2350" s="121">
        <f t="shared" si="565"/>
        <v>9025904.1999999993</v>
      </c>
    </row>
    <row r="2351" spans="2:17" x14ac:dyDescent="0.4">
      <c r="B2351" s="110">
        <v>46272</v>
      </c>
      <c r="C2351" s="122">
        <f t="shared" si="552"/>
        <v>8000000</v>
      </c>
      <c r="D2351" s="111">
        <f t="shared" si="553"/>
        <v>121771</v>
      </c>
      <c r="E2351" s="2">
        <f t="shared" si="554"/>
        <v>41401.800000000003</v>
      </c>
      <c r="F2351" s="112">
        <f t="shared" si="555"/>
        <v>12000000</v>
      </c>
      <c r="G2351" s="2">
        <f t="shared" si="556"/>
        <v>6842665</v>
      </c>
      <c r="H2351" s="113">
        <f t="shared" si="557"/>
        <v>7788200</v>
      </c>
      <c r="I2351" s="121">
        <f t="shared" si="558"/>
        <v>9025904.1999999993</v>
      </c>
      <c r="K2351" s="123">
        <f t="shared" si="559"/>
        <v>8000000</v>
      </c>
      <c r="L2351" s="111">
        <f t="shared" si="560"/>
        <v>121771</v>
      </c>
      <c r="M2351" s="2">
        <f t="shared" si="561"/>
        <v>41401.800000000003</v>
      </c>
      <c r="N2351" s="112">
        <f t="shared" si="562"/>
        <v>12000000</v>
      </c>
      <c r="O2351" s="2">
        <f t="shared" si="563"/>
        <v>6842665</v>
      </c>
      <c r="P2351" s="113">
        <f t="shared" si="564"/>
        <v>7788200</v>
      </c>
      <c r="Q2351" s="121">
        <f t="shared" si="565"/>
        <v>9025904.1999999993</v>
      </c>
    </row>
    <row r="2352" spans="2:17" x14ac:dyDescent="0.4">
      <c r="B2352" s="110">
        <v>46273</v>
      </c>
      <c r="C2352" s="122">
        <f t="shared" si="552"/>
        <v>8000000</v>
      </c>
      <c r="D2352" s="111">
        <f t="shared" si="553"/>
        <v>121771</v>
      </c>
      <c r="E2352" s="2">
        <f t="shared" si="554"/>
        <v>41401.800000000003</v>
      </c>
      <c r="F2352" s="112">
        <f t="shared" si="555"/>
        <v>12000000</v>
      </c>
      <c r="G2352" s="2">
        <f t="shared" si="556"/>
        <v>6842665</v>
      </c>
      <c r="H2352" s="113">
        <f t="shared" si="557"/>
        <v>7788200</v>
      </c>
      <c r="I2352" s="121">
        <f t="shared" si="558"/>
        <v>9025904.1999999993</v>
      </c>
      <c r="K2352" s="123">
        <f t="shared" si="559"/>
        <v>8000000</v>
      </c>
      <c r="L2352" s="111">
        <f t="shared" si="560"/>
        <v>121771</v>
      </c>
      <c r="M2352" s="2">
        <f t="shared" si="561"/>
        <v>41401.800000000003</v>
      </c>
      <c r="N2352" s="112">
        <f t="shared" si="562"/>
        <v>12000000</v>
      </c>
      <c r="O2352" s="2">
        <f t="shared" si="563"/>
        <v>6842665</v>
      </c>
      <c r="P2352" s="113">
        <f t="shared" si="564"/>
        <v>7788200</v>
      </c>
      <c r="Q2352" s="121">
        <f t="shared" si="565"/>
        <v>9025904.1999999993</v>
      </c>
    </row>
    <row r="2353" spans="2:17" x14ac:dyDescent="0.4">
      <c r="B2353" s="110">
        <v>46274</v>
      </c>
      <c r="C2353" s="122">
        <f t="shared" si="552"/>
        <v>8000000</v>
      </c>
      <c r="D2353" s="111">
        <f t="shared" si="553"/>
        <v>121771</v>
      </c>
      <c r="E2353" s="2">
        <f t="shared" si="554"/>
        <v>41401.800000000003</v>
      </c>
      <c r="F2353" s="112">
        <f t="shared" si="555"/>
        <v>12000000</v>
      </c>
      <c r="G2353" s="2">
        <f t="shared" si="556"/>
        <v>6842665</v>
      </c>
      <c r="H2353" s="113">
        <f t="shared" si="557"/>
        <v>7788200</v>
      </c>
      <c r="I2353" s="121">
        <f t="shared" si="558"/>
        <v>9025904.1999999993</v>
      </c>
      <c r="K2353" s="123">
        <f t="shared" si="559"/>
        <v>8000000</v>
      </c>
      <c r="L2353" s="111">
        <f t="shared" si="560"/>
        <v>121771</v>
      </c>
      <c r="M2353" s="2">
        <f t="shared" si="561"/>
        <v>41401.800000000003</v>
      </c>
      <c r="N2353" s="112">
        <f t="shared" si="562"/>
        <v>12000000</v>
      </c>
      <c r="O2353" s="2">
        <f t="shared" si="563"/>
        <v>6842665</v>
      </c>
      <c r="P2353" s="113">
        <f t="shared" si="564"/>
        <v>7788200</v>
      </c>
      <c r="Q2353" s="121">
        <f t="shared" si="565"/>
        <v>9025904.1999999993</v>
      </c>
    </row>
    <row r="2354" spans="2:17" x14ac:dyDescent="0.4">
      <c r="B2354" s="110">
        <v>46275</v>
      </c>
      <c r="C2354" s="122">
        <f t="shared" si="552"/>
        <v>8000000</v>
      </c>
      <c r="D2354" s="111">
        <f t="shared" si="553"/>
        <v>121771</v>
      </c>
      <c r="E2354" s="2">
        <f t="shared" si="554"/>
        <v>41401.800000000003</v>
      </c>
      <c r="F2354" s="112">
        <f t="shared" si="555"/>
        <v>12000000</v>
      </c>
      <c r="G2354" s="2">
        <f t="shared" si="556"/>
        <v>6842665</v>
      </c>
      <c r="H2354" s="113">
        <f t="shared" si="557"/>
        <v>7788200</v>
      </c>
      <c r="I2354" s="121">
        <f t="shared" si="558"/>
        <v>9025904.1999999993</v>
      </c>
      <c r="K2354" s="123">
        <f t="shared" si="559"/>
        <v>8000000</v>
      </c>
      <c r="L2354" s="111">
        <f t="shared" si="560"/>
        <v>121771</v>
      </c>
      <c r="M2354" s="2">
        <f t="shared" si="561"/>
        <v>41401.800000000003</v>
      </c>
      <c r="N2354" s="112">
        <f t="shared" si="562"/>
        <v>12000000</v>
      </c>
      <c r="O2354" s="2">
        <f t="shared" si="563"/>
        <v>6842665</v>
      </c>
      <c r="P2354" s="113">
        <f t="shared" si="564"/>
        <v>7788200</v>
      </c>
      <c r="Q2354" s="121">
        <f t="shared" si="565"/>
        <v>9025904.1999999993</v>
      </c>
    </row>
    <row r="2355" spans="2:17" x14ac:dyDescent="0.4">
      <c r="B2355" s="110">
        <v>46276</v>
      </c>
      <c r="C2355" s="122">
        <f t="shared" si="552"/>
        <v>8000000</v>
      </c>
      <c r="D2355" s="111">
        <f t="shared" si="553"/>
        <v>121771</v>
      </c>
      <c r="E2355" s="2">
        <f t="shared" si="554"/>
        <v>41401.800000000003</v>
      </c>
      <c r="F2355" s="112">
        <f t="shared" si="555"/>
        <v>12000000</v>
      </c>
      <c r="G2355" s="2">
        <f t="shared" si="556"/>
        <v>6842665</v>
      </c>
      <c r="H2355" s="113">
        <f t="shared" si="557"/>
        <v>7788200</v>
      </c>
      <c r="I2355" s="121">
        <f t="shared" si="558"/>
        <v>9025904.1999999993</v>
      </c>
      <c r="K2355" s="123">
        <f t="shared" si="559"/>
        <v>8000000</v>
      </c>
      <c r="L2355" s="111">
        <f t="shared" si="560"/>
        <v>121771</v>
      </c>
      <c r="M2355" s="2">
        <f t="shared" si="561"/>
        <v>41401.800000000003</v>
      </c>
      <c r="N2355" s="112">
        <f t="shared" si="562"/>
        <v>12000000</v>
      </c>
      <c r="O2355" s="2">
        <f t="shared" si="563"/>
        <v>6842665</v>
      </c>
      <c r="P2355" s="113">
        <f t="shared" si="564"/>
        <v>7788200</v>
      </c>
      <c r="Q2355" s="121">
        <f t="shared" si="565"/>
        <v>9025904.1999999993</v>
      </c>
    </row>
    <row r="2356" spans="2:17" x14ac:dyDescent="0.4">
      <c r="B2356" s="110">
        <v>46277</v>
      </c>
      <c r="C2356" s="122">
        <f t="shared" si="552"/>
        <v>8000000</v>
      </c>
      <c r="D2356" s="111">
        <f t="shared" si="553"/>
        <v>121771</v>
      </c>
      <c r="E2356" s="2">
        <f t="shared" si="554"/>
        <v>41401.800000000003</v>
      </c>
      <c r="F2356" s="112">
        <f t="shared" si="555"/>
        <v>12000000</v>
      </c>
      <c r="G2356" s="2">
        <f t="shared" si="556"/>
        <v>6842665</v>
      </c>
      <c r="H2356" s="113">
        <f t="shared" si="557"/>
        <v>7788200</v>
      </c>
      <c r="I2356" s="121">
        <f t="shared" si="558"/>
        <v>9025904.1999999993</v>
      </c>
      <c r="K2356" s="123">
        <f t="shared" si="559"/>
        <v>8000000</v>
      </c>
      <c r="L2356" s="111">
        <f t="shared" si="560"/>
        <v>121771</v>
      </c>
      <c r="M2356" s="2">
        <f t="shared" si="561"/>
        <v>41401.800000000003</v>
      </c>
      <c r="N2356" s="112">
        <f t="shared" si="562"/>
        <v>12000000</v>
      </c>
      <c r="O2356" s="2">
        <f t="shared" si="563"/>
        <v>6842665</v>
      </c>
      <c r="P2356" s="113">
        <f t="shared" si="564"/>
        <v>7788200</v>
      </c>
      <c r="Q2356" s="121">
        <f t="shared" si="565"/>
        <v>9025904.1999999993</v>
      </c>
    </row>
    <row r="2357" spans="2:17" x14ac:dyDescent="0.4">
      <c r="B2357" s="110">
        <v>46278</v>
      </c>
      <c r="C2357" s="122">
        <f t="shared" si="552"/>
        <v>8000000</v>
      </c>
      <c r="D2357" s="111">
        <f t="shared" si="553"/>
        <v>121771</v>
      </c>
      <c r="E2357" s="2">
        <f t="shared" si="554"/>
        <v>41401.800000000003</v>
      </c>
      <c r="F2357" s="112">
        <f t="shared" si="555"/>
        <v>12000000</v>
      </c>
      <c r="G2357" s="2">
        <f t="shared" si="556"/>
        <v>6842665</v>
      </c>
      <c r="H2357" s="113">
        <f t="shared" si="557"/>
        <v>7788200</v>
      </c>
      <c r="I2357" s="121">
        <f t="shared" si="558"/>
        <v>9025904.1999999993</v>
      </c>
      <c r="K2357" s="123">
        <f t="shared" si="559"/>
        <v>8000000</v>
      </c>
      <c r="L2357" s="111">
        <f t="shared" si="560"/>
        <v>121771</v>
      </c>
      <c r="M2357" s="2">
        <f t="shared" si="561"/>
        <v>41401.800000000003</v>
      </c>
      <c r="N2357" s="112">
        <f t="shared" si="562"/>
        <v>12000000</v>
      </c>
      <c r="O2357" s="2">
        <f t="shared" si="563"/>
        <v>6842665</v>
      </c>
      <c r="P2357" s="113">
        <f t="shared" si="564"/>
        <v>7788200</v>
      </c>
      <c r="Q2357" s="121">
        <f t="shared" si="565"/>
        <v>9025904.1999999993</v>
      </c>
    </row>
    <row r="2358" spans="2:17" x14ac:dyDescent="0.4">
      <c r="B2358" s="110">
        <v>46279</v>
      </c>
      <c r="C2358" s="122">
        <f t="shared" si="552"/>
        <v>8000000</v>
      </c>
      <c r="D2358" s="111">
        <f t="shared" si="553"/>
        <v>121771</v>
      </c>
      <c r="E2358" s="2">
        <f t="shared" si="554"/>
        <v>41401.800000000003</v>
      </c>
      <c r="F2358" s="112">
        <f t="shared" si="555"/>
        <v>12000000</v>
      </c>
      <c r="G2358" s="2">
        <f t="shared" si="556"/>
        <v>6842665</v>
      </c>
      <c r="H2358" s="113">
        <f t="shared" si="557"/>
        <v>7788200</v>
      </c>
      <c r="I2358" s="121">
        <f t="shared" si="558"/>
        <v>9025904.1999999993</v>
      </c>
      <c r="K2358" s="123">
        <f t="shared" si="559"/>
        <v>8000000</v>
      </c>
      <c r="L2358" s="111">
        <f t="shared" si="560"/>
        <v>121771</v>
      </c>
      <c r="M2358" s="2">
        <f t="shared" si="561"/>
        <v>41401.800000000003</v>
      </c>
      <c r="N2358" s="112">
        <f t="shared" si="562"/>
        <v>12000000</v>
      </c>
      <c r="O2358" s="2">
        <f t="shared" si="563"/>
        <v>6842665</v>
      </c>
      <c r="P2358" s="113">
        <f t="shared" si="564"/>
        <v>7788200</v>
      </c>
      <c r="Q2358" s="121">
        <f t="shared" si="565"/>
        <v>9025904.1999999993</v>
      </c>
    </row>
    <row r="2359" spans="2:17" x14ac:dyDescent="0.4">
      <c r="B2359" s="110">
        <v>46280</v>
      </c>
      <c r="C2359" s="122">
        <f t="shared" si="552"/>
        <v>8000000</v>
      </c>
      <c r="D2359" s="111">
        <f t="shared" si="553"/>
        <v>121771</v>
      </c>
      <c r="E2359" s="2">
        <f t="shared" si="554"/>
        <v>41401.800000000003</v>
      </c>
      <c r="F2359" s="112">
        <f t="shared" si="555"/>
        <v>12000000</v>
      </c>
      <c r="G2359" s="2">
        <f t="shared" si="556"/>
        <v>6842665</v>
      </c>
      <c r="H2359" s="113">
        <f t="shared" si="557"/>
        <v>7788200</v>
      </c>
      <c r="I2359" s="121">
        <f t="shared" si="558"/>
        <v>9025904.1999999993</v>
      </c>
      <c r="K2359" s="123">
        <f t="shared" si="559"/>
        <v>8000000</v>
      </c>
      <c r="L2359" s="111">
        <f t="shared" si="560"/>
        <v>121771</v>
      </c>
      <c r="M2359" s="2">
        <f t="shared" si="561"/>
        <v>41401.800000000003</v>
      </c>
      <c r="N2359" s="112">
        <f t="shared" si="562"/>
        <v>12000000</v>
      </c>
      <c r="O2359" s="2">
        <f t="shared" si="563"/>
        <v>6842665</v>
      </c>
      <c r="P2359" s="113">
        <f t="shared" si="564"/>
        <v>7788200</v>
      </c>
      <c r="Q2359" s="121">
        <f t="shared" si="565"/>
        <v>9025904.1999999993</v>
      </c>
    </row>
    <row r="2360" spans="2:17" x14ac:dyDescent="0.4">
      <c r="B2360" s="110">
        <v>46281</v>
      </c>
      <c r="C2360" s="122">
        <f t="shared" si="552"/>
        <v>8000000</v>
      </c>
      <c r="D2360" s="111">
        <f t="shared" si="553"/>
        <v>121771</v>
      </c>
      <c r="E2360" s="2">
        <f t="shared" si="554"/>
        <v>41401.800000000003</v>
      </c>
      <c r="F2360" s="112">
        <f t="shared" si="555"/>
        <v>12000000</v>
      </c>
      <c r="G2360" s="2">
        <f t="shared" si="556"/>
        <v>6842665</v>
      </c>
      <c r="H2360" s="113">
        <f t="shared" si="557"/>
        <v>7788200</v>
      </c>
      <c r="I2360" s="121">
        <f t="shared" si="558"/>
        <v>9025904.1999999993</v>
      </c>
      <c r="K2360" s="123">
        <f t="shared" si="559"/>
        <v>8000000</v>
      </c>
      <c r="L2360" s="111">
        <f t="shared" si="560"/>
        <v>121771</v>
      </c>
      <c r="M2360" s="2">
        <f t="shared" si="561"/>
        <v>41401.800000000003</v>
      </c>
      <c r="N2360" s="112">
        <f t="shared" si="562"/>
        <v>12000000</v>
      </c>
      <c r="O2360" s="2">
        <f t="shared" si="563"/>
        <v>6842665</v>
      </c>
      <c r="P2360" s="113">
        <f t="shared" si="564"/>
        <v>7788200</v>
      </c>
      <c r="Q2360" s="121">
        <f t="shared" si="565"/>
        <v>9025904.1999999993</v>
      </c>
    </row>
    <row r="2361" spans="2:17" x14ac:dyDescent="0.4">
      <c r="B2361" s="110">
        <v>46282</v>
      </c>
      <c r="C2361" s="122">
        <f t="shared" si="552"/>
        <v>8000000</v>
      </c>
      <c r="D2361" s="111">
        <f t="shared" si="553"/>
        <v>121771</v>
      </c>
      <c r="E2361" s="2">
        <f t="shared" si="554"/>
        <v>41401.800000000003</v>
      </c>
      <c r="F2361" s="112">
        <f t="shared" si="555"/>
        <v>12000000</v>
      </c>
      <c r="G2361" s="2">
        <f t="shared" si="556"/>
        <v>6842665</v>
      </c>
      <c r="H2361" s="113">
        <f t="shared" si="557"/>
        <v>7788200</v>
      </c>
      <c r="I2361" s="121">
        <f t="shared" si="558"/>
        <v>9025904.1999999993</v>
      </c>
      <c r="K2361" s="123">
        <f t="shared" si="559"/>
        <v>8000000</v>
      </c>
      <c r="L2361" s="111">
        <f t="shared" si="560"/>
        <v>121771</v>
      </c>
      <c r="M2361" s="2">
        <f t="shared" si="561"/>
        <v>41401.800000000003</v>
      </c>
      <c r="N2361" s="112">
        <f t="shared" si="562"/>
        <v>12000000</v>
      </c>
      <c r="O2361" s="2">
        <f t="shared" si="563"/>
        <v>6842665</v>
      </c>
      <c r="P2361" s="113">
        <f t="shared" si="564"/>
        <v>7788200</v>
      </c>
      <c r="Q2361" s="121">
        <f t="shared" si="565"/>
        <v>9025904.1999999993</v>
      </c>
    </row>
    <row r="2362" spans="2:17" x14ac:dyDescent="0.4">
      <c r="B2362" s="110">
        <v>46283</v>
      </c>
      <c r="C2362" s="122">
        <f t="shared" si="552"/>
        <v>8000000</v>
      </c>
      <c r="D2362" s="111">
        <f t="shared" si="553"/>
        <v>121771</v>
      </c>
      <c r="E2362" s="2">
        <f t="shared" si="554"/>
        <v>41401.800000000003</v>
      </c>
      <c r="F2362" s="112">
        <f t="shared" si="555"/>
        <v>12000000</v>
      </c>
      <c r="G2362" s="2">
        <f t="shared" si="556"/>
        <v>6842665</v>
      </c>
      <c r="H2362" s="113">
        <f t="shared" si="557"/>
        <v>7788200</v>
      </c>
      <c r="I2362" s="121">
        <f t="shared" si="558"/>
        <v>9025904.1999999993</v>
      </c>
      <c r="K2362" s="123">
        <f t="shared" si="559"/>
        <v>8000000</v>
      </c>
      <c r="L2362" s="111">
        <f t="shared" si="560"/>
        <v>121771</v>
      </c>
      <c r="M2362" s="2">
        <f t="shared" si="561"/>
        <v>41401.800000000003</v>
      </c>
      <c r="N2362" s="112">
        <f t="shared" si="562"/>
        <v>12000000</v>
      </c>
      <c r="O2362" s="2">
        <f t="shared" si="563"/>
        <v>6842665</v>
      </c>
      <c r="P2362" s="113">
        <f t="shared" si="564"/>
        <v>7788200</v>
      </c>
      <c r="Q2362" s="121">
        <f t="shared" si="565"/>
        <v>9025904.1999999993</v>
      </c>
    </row>
    <row r="2363" spans="2:17" x14ac:dyDescent="0.4">
      <c r="B2363" s="110">
        <v>46284</v>
      </c>
      <c r="C2363" s="122">
        <f t="shared" si="552"/>
        <v>8000000</v>
      </c>
      <c r="D2363" s="111">
        <f t="shared" si="553"/>
        <v>121771</v>
      </c>
      <c r="E2363" s="2">
        <f t="shared" si="554"/>
        <v>41401.800000000003</v>
      </c>
      <c r="F2363" s="112">
        <f t="shared" si="555"/>
        <v>12000000</v>
      </c>
      <c r="G2363" s="2">
        <f t="shared" si="556"/>
        <v>6842665</v>
      </c>
      <c r="H2363" s="113">
        <f t="shared" si="557"/>
        <v>7788200</v>
      </c>
      <c r="I2363" s="121">
        <f t="shared" si="558"/>
        <v>9025904.1999999993</v>
      </c>
      <c r="K2363" s="123">
        <f t="shared" si="559"/>
        <v>8000000</v>
      </c>
      <c r="L2363" s="111">
        <f t="shared" si="560"/>
        <v>121771</v>
      </c>
      <c r="M2363" s="2">
        <f t="shared" si="561"/>
        <v>41401.800000000003</v>
      </c>
      <c r="N2363" s="112">
        <f t="shared" si="562"/>
        <v>12000000</v>
      </c>
      <c r="O2363" s="2">
        <f t="shared" si="563"/>
        <v>6842665</v>
      </c>
      <c r="P2363" s="113">
        <f t="shared" si="564"/>
        <v>7788200</v>
      </c>
      <c r="Q2363" s="121">
        <f t="shared" si="565"/>
        <v>9025904.1999999993</v>
      </c>
    </row>
    <row r="2364" spans="2:17" x14ac:dyDescent="0.4">
      <c r="B2364" s="110">
        <v>46285</v>
      </c>
      <c r="C2364" s="122">
        <f t="shared" si="552"/>
        <v>8000000</v>
      </c>
      <c r="D2364" s="111">
        <f t="shared" si="553"/>
        <v>121771</v>
      </c>
      <c r="E2364" s="2">
        <f t="shared" si="554"/>
        <v>41401.800000000003</v>
      </c>
      <c r="F2364" s="112">
        <f t="shared" si="555"/>
        <v>12000000</v>
      </c>
      <c r="G2364" s="2">
        <f t="shared" si="556"/>
        <v>6842665</v>
      </c>
      <c r="H2364" s="113">
        <f t="shared" si="557"/>
        <v>7788200</v>
      </c>
      <c r="I2364" s="121">
        <f t="shared" si="558"/>
        <v>9025904.1999999993</v>
      </c>
      <c r="K2364" s="123">
        <f t="shared" si="559"/>
        <v>8000000</v>
      </c>
      <c r="L2364" s="111">
        <f t="shared" si="560"/>
        <v>121771</v>
      </c>
      <c r="M2364" s="2">
        <f t="shared" si="561"/>
        <v>41401.800000000003</v>
      </c>
      <c r="N2364" s="112">
        <f t="shared" si="562"/>
        <v>12000000</v>
      </c>
      <c r="O2364" s="2">
        <f t="shared" si="563"/>
        <v>6842665</v>
      </c>
      <c r="P2364" s="113">
        <f t="shared" si="564"/>
        <v>7788200</v>
      </c>
      <c r="Q2364" s="121">
        <f t="shared" si="565"/>
        <v>9025904.1999999993</v>
      </c>
    </row>
    <row r="2365" spans="2:17" x14ac:dyDescent="0.4">
      <c r="B2365" s="110">
        <v>46286</v>
      </c>
      <c r="C2365" s="122">
        <f t="shared" si="552"/>
        <v>8000000</v>
      </c>
      <c r="D2365" s="111">
        <f t="shared" si="553"/>
        <v>121771</v>
      </c>
      <c r="E2365" s="2">
        <f t="shared" si="554"/>
        <v>41401.800000000003</v>
      </c>
      <c r="F2365" s="112">
        <f t="shared" si="555"/>
        <v>12000000</v>
      </c>
      <c r="G2365" s="2">
        <f t="shared" si="556"/>
        <v>6842665</v>
      </c>
      <c r="H2365" s="113">
        <f t="shared" si="557"/>
        <v>7788200</v>
      </c>
      <c r="I2365" s="121">
        <f t="shared" si="558"/>
        <v>9025904.1999999993</v>
      </c>
      <c r="K2365" s="123">
        <f t="shared" si="559"/>
        <v>8000000</v>
      </c>
      <c r="L2365" s="111">
        <f t="shared" si="560"/>
        <v>121771</v>
      </c>
      <c r="M2365" s="2">
        <f t="shared" si="561"/>
        <v>41401.800000000003</v>
      </c>
      <c r="N2365" s="112">
        <f t="shared" si="562"/>
        <v>12000000</v>
      </c>
      <c r="O2365" s="2">
        <f t="shared" si="563"/>
        <v>6842665</v>
      </c>
      <c r="P2365" s="113">
        <f t="shared" si="564"/>
        <v>7788200</v>
      </c>
      <c r="Q2365" s="121">
        <f t="shared" si="565"/>
        <v>9025904.1999999993</v>
      </c>
    </row>
    <row r="2366" spans="2:17" x14ac:dyDescent="0.4">
      <c r="B2366" s="110">
        <v>46287</v>
      </c>
      <c r="C2366" s="122">
        <f t="shared" si="552"/>
        <v>8000000</v>
      </c>
      <c r="D2366" s="111">
        <f t="shared" si="553"/>
        <v>121771</v>
      </c>
      <c r="E2366" s="2">
        <f t="shared" si="554"/>
        <v>41401.800000000003</v>
      </c>
      <c r="F2366" s="112">
        <f t="shared" si="555"/>
        <v>12000000</v>
      </c>
      <c r="G2366" s="2">
        <f t="shared" si="556"/>
        <v>6842665</v>
      </c>
      <c r="H2366" s="113">
        <f t="shared" si="557"/>
        <v>7788200</v>
      </c>
      <c r="I2366" s="121">
        <f t="shared" si="558"/>
        <v>9025904.1999999993</v>
      </c>
      <c r="K2366" s="123">
        <f t="shared" si="559"/>
        <v>8000000</v>
      </c>
      <c r="L2366" s="111">
        <f t="shared" si="560"/>
        <v>121771</v>
      </c>
      <c r="M2366" s="2">
        <f t="shared" si="561"/>
        <v>41401.800000000003</v>
      </c>
      <c r="N2366" s="112">
        <f t="shared" si="562"/>
        <v>12000000</v>
      </c>
      <c r="O2366" s="2">
        <f t="shared" si="563"/>
        <v>6842665</v>
      </c>
      <c r="P2366" s="113">
        <f t="shared" si="564"/>
        <v>7788200</v>
      </c>
      <c r="Q2366" s="121">
        <f t="shared" si="565"/>
        <v>9025904.1999999993</v>
      </c>
    </row>
    <row r="2367" spans="2:17" x14ac:dyDescent="0.4">
      <c r="B2367" s="110">
        <v>46288</v>
      </c>
      <c r="C2367" s="122">
        <f t="shared" si="552"/>
        <v>8000000</v>
      </c>
      <c r="D2367" s="111">
        <f t="shared" si="553"/>
        <v>121771</v>
      </c>
      <c r="E2367" s="2">
        <f t="shared" si="554"/>
        <v>41401.800000000003</v>
      </c>
      <c r="F2367" s="112">
        <f t="shared" si="555"/>
        <v>12000000</v>
      </c>
      <c r="G2367" s="2">
        <f t="shared" si="556"/>
        <v>6842665</v>
      </c>
      <c r="H2367" s="113">
        <f t="shared" si="557"/>
        <v>7788200</v>
      </c>
      <c r="I2367" s="121">
        <f t="shared" si="558"/>
        <v>9025904.1999999993</v>
      </c>
      <c r="K2367" s="123">
        <f t="shared" si="559"/>
        <v>8000000</v>
      </c>
      <c r="L2367" s="111">
        <f t="shared" si="560"/>
        <v>121771</v>
      </c>
      <c r="M2367" s="2">
        <f t="shared" si="561"/>
        <v>41401.800000000003</v>
      </c>
      <c r="N2367" s="112">
        <f t="shared" si="562"/>
        <v>12000000</v>
      </c>
      <c r="O2367" s="2">
        <f t="shared" si="563"/>
        <v>6842665</v>
      </c>
      <c r="P2367" s="113">
        <f t="shared" si="564"/>
        <v>7788200</v>
      </c>
      <c r="Q2367" s="121">
        <f t="shared" si="565"/>
        <v>9025904.1999999993</v>
      </c>
    </row>
    <row r="2368" spans="2:17" x14ac:dyDescent="0.4">
      <c r="B2368" s="110">
        <v>46289</v>
      </c>
      <c r="C2368" s="122">
        <f t="shared" si="552"/>
        <v>8000000</v>
      </c>
      <c r="D2368" s="111">
        <f t="shared" si="553"/>
        <v>121771</v>
      </c>
      <c r="E2368" s="2">
        <f t="shared" si="554"/>
        <v>41401.800000000003</v>
      </c>
      <c r="F2368" s="112">
        <f t="shared" si="555"/>
        <v>12000000</v>
      </c>
      <c r="G2368" s="2">
        <f t="shared" si="556"/>
        <v>6842665</v>
      </c>
      <c r="H2368" s="113">
        <f t="shared" si="557"/>
        <v>7788200</v>
      </c>
      <c r="I2368" s="121">
        <f t="shared" si="558"/>
        <v>9025904.1999999993</v>
      </c>
      <c r="K2368" s="123">
        <f t="shared" si="559"/>
        <v>8000000</v>
      </c>
      <c r="L2368" s="111">
        <f t="shared" si="560"/>
        <v>121771</v>
      </c>
      <c r="M2368" s="2">
        <f t="shared" si="561"/>
        <v>41401.800000000003</v>
      </c>
      <c r="N2368" s="112">
        <f t="shared" si="562"/>
        <v>12000000</v>
      </c>
      <c r="O2368" s="2">
        <f t="shared" si="563"/>
        <v>6842665</v>
      </c>
      <c r="P2368" s="113">
        <f t="shared" si="564"/>
        <v>7788200</v>
      </c>
      <c r="Q2368" s="121">
        <f t="shared" si="565"/>
        <v>9025904.1999999993</v>
      </c>
    </row>
    <row r="2369" spans="2:17" x14ac:dyDescent="0.4">
      <c r="B2369" s="110">
        <v>46290</v>
      </c>
      <c r="C2369" s="122">
        <f t="shared" si="552"/>
        <v>8000000</v>
      </c>
      <c r="D2369" s="111">
        <f t="shared" si="553"/>
        <v>121771</v>
      </c>
      <c r="E2369" s="2">
        <f t="shared" si="554"/>
        <v>41401.800000000003</v>
      </c>
      <c r="F2369" s="112">
        <f t="shared" si="555"/>
        <v>12000000</v>
      </c>
      <c r="G2369" s="2">
        <f t="shared" si="556"/>
        <v>6842665</v>
      </c>
      <c r="H2369" s="113">
        <f t="shared" si="557"/>
        <v>7788200</v>
      </c>
      <c r="I2369" s="121">
        <f t="shared" si="558"/>
        <v>9025904.1999999993</v>
      </c>
      <c r="K2369" s="123">
        <f t="shared" si="559"/>
        <v>8000000</v>
      </c>
      <c r="L2369" s="111">
        <f t="shared" si="560"/>
        <v>121771</v>
      </c>
      <c r="M2369" s="2">
        <f t="shared" si="561"/>
        <v>41401.800000000003</v>
      </c>
      <c r="N2369" s="112">
        <f t="shared" si="562"/>
        <v>12000000</v>
      </c>
      <c r="O2369" s="2">
        <f t="shared" si="563"/>
        <v>6842665</v>
      </c>
      <c r="P2369" s="113">
        <f t="shared" si="564"/>
        <v>7788200</v>
      </c>
      <c r="Q2369" s="121">
        <f t="shared" si="565"/>
        <v>9025904.1999999993</v>
      </c>
    </row>
    <row r="2370" spans="2:17" x14ac:dyDescent="0.4">
      <c r="B2370" s="110">
        <v>46291</v>
      </c>
      <c r="C2370" s="122">
        <f t="shared" si="552"/>
        <v>8000000</v>
      </c>
      <c r="D2370" s="111">
        <f t="shared" si="553"/>
        <v>121771</v>
      </c>
      <c r="E2370" s="2">
        <f t="shared" si="554"/>
        <v>41401.800000000003</v>
      </c>
      <c r="F2370" s="112">
        <f t="shared" si="555"/>
        <v>12000000</v>
      </c>
      <c r="G2370" s="2">
        <f t="shared" si="556"/>
        <v>6842665</v>
      </c>
      <c r="H2370" s="113">
        <f t="shared" si="557"/>
        <v>7788200</v>
      </c>
      <c r="I2370" s="121">
        <f t="shared" si="558"/>
        <v>9025904.1999999993</v>
      </c>
      <c r="K2370" s="123">
        <f t="shared" si="559"/>
        <v>8000000</v>
      </c>
      <c r="L2370" s="111">
        <f t="shared" si="560"/>
        <v>121771</v>
      </c>
      <c r="M2370" s="2">
        <f t="shared" si="561"/>
        <v>41401.800000000003</v>
      </c>
      <c r="N2370" s="112">
        <f t="shared" si="562"/>
        <v>12000000</v>
      </c>
      <c r="O2370" s="2">
        <f t="shared" si="563"/>
        <v>6842665</v>
      </c>
      <c r="P2370" s="113">
        <f t="shared" si="564"/>
        <v>7788200</v>
      </c>
      <c r="Q2370" s="121">
        <f t="shared" si="565"/>
        <v>9025904.1999999993</v>
      </c>
    </row>
    <row r="2371" spans="2:17" x14ac:dyDescent="0.4">
      <c r="B2371" s="110">
        <v>46292</v>
      </c>
      <c r="C2371" s="122">
        <f t="shared" si="552"/>
        <v>8000000</v>
      </c>
      <c r="D2371" s="111">
        <f t="shared" si="553"/>
        <v>121771</v>
      </c>
      <c r="E2371" s="2">
        <f t="shared" si="554"/>
        <v>41401.800000000003</v>
      </c>
      <c r="F2371" s="112">
        <f t="shared" si="555"/>
        <v>12000000</v>
      </c>
      <c r="G2371" s="2">
        <f t="shared" si="556"/>
        <v>6842665</v>
      </c>
      <c r="H2371" s="113">
        <f t="shared" si="557"/>
        <v>7788200</v>
      </c>
      <c r="I2371" s="121">
        <f t="shared" si="558"/>
        <v>9025904.1999999993</v>
      </c>
      <c r="K2371" s="123">
        <f t="shared" si="559"/>
        <v>8000000</v>
      </c>
      <c r="L2371" s="111">
        <f t="shared" si="560"/>
        <v>121771</v>
      </c>
      <c r="M2371" s="2">
        <f t="shared" si="561"/>
        <v>41401.800000000003</v>
      </c>
      <c r="N2371" s="112">
        <f t="shared" si="562"/>
        <v>12000000</v>
      </c>
      <c r="O2371" s="2">
        <f t="shared" si="563"/>
        <v>6842665</v>
      </c>
      <c r="P2371" s="113">
        <f t="shared" si="564"/>
        <v>7788200</v>
      </c>
      <c r="Q2371" s="121">
        <f t="shared" si="565"/>
        <v>9025904.1999999993</v>
      </c>
    </row>
    <row r="2372" spans="2:17" x14ac:dyDescent="0.4">
      <c r="B2372" s="110">
        <v>46293</v>
      </c>
      <c r="C2372" s="122">
        <f t="shared" si="552"/>
        <v>8000000</v>
      </c>
      <c r="D2372" s="111">
        <f t="shared" si="553"/>
        <v>121771</v>
      </c>
      <c r="E2372" s="2">
        <f t="shared" si="554"/>
        <v>41401.800000000003</v>
      </c>
      <c r="F2372" s="112">
        <f t="shared" si="555"/>
        <v>12000000</v>
      </c>
      <c r="G2372" s="2">
        <f t="shared" si="556"/>
        <v>6842665</v>
      </c>
      <c r="H2372" s="113">
        <f t="shared" si="557"/>
        <v>7788200</v>
      </c>
      <c r="I2372" s="121">
        <f t="shared" si="558"/>
        <v>9025904.1999999993</v>
      </c>
      <c r="K2372" s="123">
        <f t="shared" si="559"/>
        <v>8000000</v>
      </c>
      <c r="L2372" s="111">
        <f t="shared" si="560"/>
        <v>121771</v>
      </c>
      <c r="M2372" s="2">
        <f t="shared" si="561"/>
        <v>41401.800000000003</v>
      </c>
      <c r="N2372" s="112">
        <f t="shared" si="562"/>
        <v>12000000</v>
      </c>
      <c r="O2372" s="2">
        <f t="shared" si="563"/>
        <v>6842665</v>
      </c>
      <c r="P2372" s="113">
        <f t="shared" si="564"/>
        <v>7788200</v>
      </c>
      <c r="Q2372" s="121">
        <f t="shared" si="565"/>
        <v>9025904.1999999993</v>
      </c>
    </row>
    <row r="2373" spans="2:17" x14ac:dyDescent="0.4">
      <c r="B2373" s="110">
        <v>46294</v>
      </c>
      <c r="C2373" s="122">
        <f t="shared" si="552"/>
        <v>8000000</v>
      </c>
      <c r="D2373" s="111">
        <f t="shared" si="553"/>
        <v>121771</v>
      </c>
      <c r="E2373" s="2">
        <f t="shared" si="554"/>
        <v>41401.800000000003</v>
      </c>
      <c r="F2373" s="112">
        <f t="shared" si="555"/>
        <v>12000000</v>
      </c>
      <c r="G2373" s="2">
        <f t="shared" si="556"/>
        <v>6842665</v>
      </c>
      <c r="H2373" s="113">
        <f t="shared" si="557"/>
        <v>7788200</v>
      </c>
      <c r="I2373" s="121">
        <f t="shared" si="558"/>
        <v>9025904.1999999993</v>
      </c>
      <c r="K2373" s="123">
        <f t="shared" si="559"/>
        <v>8000000</v>
      </c>
      <c r="L2373" s="111">
        <f t="shared" si="560"/>
        <v>121771</v>
      </c>
      <c r="M2373" s="2">
        <f t="shared" si="561"/>
        <v>41401.800000000003</v>
      </c>
      <c r="N2373" s="112">
        <f t="shared" si="562"/>
        <v>12000000</v>
      </c>
      <c r="O2373" s="2">
        <f t="shared" si="563"/>
        <v>6842665</v>
      </c>
      <c r="P2373" s="113">
        <f t="shared" si="564"/>
        <v>7788200</v>
      </c>
      <c r="Q2373" s="121">
        <f t="shared" si="565"/>
        <v>9025904.1999999993</v>
      </c>
    </row>
    <row r="2374" spans="2:17" x14ac:dyDescent="0.4">
      <c r="B2374" s="110">
        <v>46295</v>
      </c>
      <c r="C2374" s="122">
        <f t="shared" si="552"/>
        <v>8000000</v>
      </c>
      <c r="D2374" s="111">
        <f t="shared" si="553"/>
        <v>121771</v>
      </c>
      <c r="E2374" s="2">
        <f t="shared" si="554"/>
        <v>41401.800000000003</v>
      </c>
      <c r="F2374" s="112">
        <f t="shared" si="555"/>
        <v>12000000</v>
      </c>
      <c r="G2374" s="2">
        <f t="shared" si="556"/>
        <v>6842665</v>
      </c>
      <c r="H2374" s="113">
        <f t="shared" si="557"/>
        <v>7788200</v>
      </c>
      <c r="I2374" s="121">
        <f t="shared" si="558"/>
        <v>9025904.1999999993</v>
      </c>
      <c r="K2374" s="123">
        <f t="shared" si="559"/>
        <v>8000000</v>
      </c>
      <c r="L2374" s="111">
        <f t="shared" si="560"/>
        <v>121771</v>
      </c>
      <c r="M2374" s="2">
        <f t="shared" si="561"/>
        <v>41401.800000000003</v>
      </c>
      <c r="N2374" s="112">
        <f t="shared" si="562"/>
        <v>12000000</v>
      </c>
      <c r="O2374" s="2">
        <f t="shared" si="563"/>
        <v>6842665</v>
      </c>
      <c r="P2374" s="113">
        <f t="shared" si="564"/>
        <v>7788200</v>
      </c>
      <c r="Q2374" s="121">
        <f t="shared" si="565"/>
        <v>9025904.1999999993</v>
      </c>
    </row>
    <row r="2375" spans="2:17" x14ac:dyDescent="0.4">
      <c r="B2375" s="110">
        <v>46296</v>
      </c>
      <c r="C2375" s="122">
        <f t="shared" si="552"/>
        <v>8000000</v>
      </c>
      <c r="D2375" s="111">
        <f t="shared" si="553"/>
        <v>121771</v>
      </c>
      <c r="E2375" s="2">
        <f t="shared" si="554"/>
        <v>41401.800000000003</v>
      </c>
      <c r="F2375" s="112">
        <f t="shared" si="555"/>
        <v>12000000</v>
      </c>
      <c r="G2375" s="2">
        <f t="shared" si="556"/>
        <v>6842665</v>
      </c>
      <c r="H2375" s="113">
        <f t="shared" si="557"/>
        <v>7788200</v>
      </c>
      <c r="I2375" s="121">
        <f t="shared" si="558"/>
        <v>9025904.1999999993</v>
      </c>
      <c r="K2375" s="123">
        <f t="shared" si="559"/>
        <v>8000000</v>
      </c>
      <c r="L2375" s="111">
        <f t="shared" si="560"/>
        <v>121771</v>
      </c>
      <c r="M2375" s="2">
        <f t="shared" si="561"/>
        <v>41401.800000000003</v>
      </c>
      <c r="N2375" s="112">
        <f t="shared" si="562"/>
        <v>12000000</v>
      </c>
      <c r="O2375" s="2">
        <f t="shared" si="563"/>
        <v>6842665</v>
      </c>
      <c r="P2375" s="113">
        <f t="shared" si="564"/>
        <v>7788200</v>
      </c>
      <c r="Q2375" s="121">
        <f t="shared" si="565"/>
        <v>9025904.1999999993</v>
      </c>
    </row>
    <row r="2376" spans="2:17" x14ac:dyDescent="0.4">
      <c r="B2376" s="110">
        <v>46297</v>
      </c>
      <c r="C2376" s="122">
        <f t="shared" si="552"/>
        <v>8000000</v>
      </c>
      <c r="D2376" s="111">
        <f t="shared" si="553"/>
        <v>121771</v>
      </c>
      <c r="E2376" s="2">
        <f t="shared" si="554"/>
        <v>41401.800000000003</v>
      </c>
      <c r="F2376" s="112">
        <f t="shared" si="555"/>
        <v>12000000</v>
      </c>
      <c r="G2376" s="2">
        <f t="shared" si="556"/>
        <v>6842665</v>
      </c>
      <c r="H2376" s="113">
        <f t="shared" si="557"/>
        <v>7788200</v>
      </c>
      <c r="I2376" s="121">
        <f t="shared" si="558"/>
        <v>9025904.1999999993</v>
      </c>
      <c r="K2376" s="123">
        <f t="shared" si="559"/>
        <v>8000000</v>
      </c>
      <c r="L2376" s="111">
        <f t="shared" si="560"/>
        <v>121771</v>
      </c>
      <c r="M2376" s="2">
        <f t="shared" si="561"/>
        <v>41401.800000000003</v>
      </c>
      <c r="N2376" s="112">
        <f t="shared" si="562"/>
        <v>12000000</v>
      </c>
      <c r="O2376" s="2">
        <f t="shared" si="563"/>
        <v>6842665</v>
      </c>
      <c r="P2376" s="113">
        <f t="shared" si="564"/>
        <v>7788200</v>
      </c>
      <c r="Q2376" s="121">
        <f t="shared" si="565"/>
        <v>9025904.1999999993</v>
      </c>
    </row>
    <row r="2377" spans="2:17" x14ac:dyDescent="0.4">
      <c r="B2377" s="110">
        <v>46298</v>
      </c>
      <c r="C2377" s="122">
        <f t="shared" si="552"/>
        <v>8000000</v>
      </c>
      <c r="D2377" s="111">
        <f t="shared" si="553"/>
        <v>121771</v>
      </c>
      <c r="E2377" s="2">
        <f t="shared" si="554"/>
        <v>41401.800000000003</v>
      </c>
      <c r="F2377" s="112">
        <f t="shared" si="555"/>
        <v>12000000</v>
      </c>
      <c r="G2377" s="2">
        <f t="shared" si="556"/>
        <v>6842665</v>
      </c>
      <c r="H2377" s="113">
        <f t="shared" si="557"/>
        <v>7788200</v>
      </c>
      <c r="I2377" s="121">
        <f t="shared" si="558"/>
        <v>9025904.1999999993</v>
      </c>
      <c r="K2377" s="123">
        <f t="shared" si="559"/>
        <v>8000000</v>
      </c>
      <c r="L2377" s="111">
        <f t="shared" si="560"/>
        <v>121771</v>
      </c>
      <c r="M2377" s="2">
        <f t="shared" si="561"/>
        <v>41401.800000000003</v>
      </c>
      <c r="N2377" s="112">
        <f t="shared" si="562"/>
        <v>12000000</v>
      </c>
      <c r="O2377" s="2">
        <f t="shared" si="563"/>
        <v>6842665</v>
      </c>
      <c r="P2377" s="113">
        <f t="shared" si="564"/>
        <v>7788200</v>
      </c>
      <c r="Q2377" s="121">
        <f t="shared" si="565"/>
        <v>9025904.1999999993</v>
      </c>
    </row>
    <row r="2378" spans="2:17" x14ac:dyDescent="0.4">
      <c r="B2378" s="110">
        <v>46299</v>
      </c>
      <c r="C2378" s="122">
        <f t="shared" si="552"/>
        <v>8000000</v>
      </c>
      <c r="D2378" s="111">
        <f t="shared" si="553"/>
        <v>121771</v>
      </c>
      <c r="E2378" s="2">
        <f t="shared" si="554"/>
        <v>41401.800000000003</v>
      </c>
      <c r="F2378" s="112">
        <f t="shared" si="555"/>
        <v>12000000</v>
      </c>
      <c r="G2378" s="2">
        <f t="shared" si="556"/>
        <v>6842665</v>
      </c>
      <c r="H2378" s="113">
        <f t="shared" si="557"/>
        <v>7788200</v>
      </c>
      <c r="I2378" s="121">
        <f t="shared" si="558"/>
        <v>9025904.1999999993</v>
      </c>
      <c r="K2378" s="123">
        <f t="shared" si="559"/>
        <v>8000000</v>
      </c>
      <c r="L2378" s="111">
        <f t="shared" si="560"/>
        <v>121771</v>
      </c>
      <c r="M2378" s="2">
        <f t="shared" si="561"/>
        <v>41401.800000000003</v>
      </c>
      <c r="N2378" s="112">
        <f t="shared" si="562"/>
        <v>12000000</v>
      </c>
      <c r="O2378" s="2">
        <f t="shared" si="563"/>
        <v>6842665</v>
      </c>
      <c r="P2378" s="113">
        <f t="shared" si="564"/>
        <v>7788200</v>
      </c>
      <c r="Q2378" s="121">
        <f t="shared" si="565"/>
        <v>9025904.1999999993</v>
      </c>
    </row>
    <row r="2379" spans="2:17" x14ac:dyDescent="0.4">
      <c r="B2379" s="110">
        <v>46300</v>
      </c>
      <c r="C2379" s="122">
        <f t="shared" si="552"/>
        <v>8000000</v>
      </c>
      <c r="D2379" s="111">
        <f t="shared" si="553"/>
        <v>121771</v>
      </c>
      <c r="E2379" s="2">
        <f t="shared" si="554"/>
        <v>41401.800000000003</v>
      </c>
      <c r="F2379" s="112">
        <f t="shared" si="555"/>
        <v>12000000</v>
      </c>
      <c r="G2379" s="2">
        <f t="shared" si="556"/>
        <v>6842665</v>
      </c>
      <c r="H2379" s="113">
        <f t="shared" si="557"/>
        <v>7788200</v>
      </c>
      <c r="I2379" s="121">
        <f t="shared" si="558"/>
        <v>9025904.1999999993</v>
      </c>
      <c r="K2379" s="123">
        <f t="shared" si="559"/>
        <v>8000000</v>
      </c>
      <c r="L2379" s="111">
        <f t="shared" si="560"/>
        <v>121771</v>
      </c>
      <c r="M2379" s="2">
        <f t="shared" si="561"/>
        <v>41401.800000000003</v>
      </c>
      <c r="N2379" s="112">
        <f t="shared" si="562"/>
        <v>12000000</v>
      </c>
      <c r="O2379" s="2">
        <f t="shared" si="563"/>
        <v>6842665</v>
      </c>
      <c r="P2379" s="113">
        <f t="shared" si="564"/>
        <v>7788200</v>
      </c>
      <c r="Q2379" s="121">
        <f t="shared" si="565"/>
        <v>9025904.1999999993</v>
      </c>
    </row>
    <row r="2380" spans="2:17" x14ac:dyDescent="0.4">
      <c r="B2380" s="110">
        <v>46301</v>
      </c>
      <c r="C2380" s="122">
        <f t="shared" si="552"/>
        <v>8000000</v>
      </c>
      <c r="D2380" s="111">
        <f t="shared" si="553"/>
        <v>121771</v>
      </c>
      <c r="E2380" s="2">
        <f t="shared" si="554"/>
        <v>41401.800000000003</v>
      </c>
      <c r="F2380" s="112">
        <f t="shared" si="555"/>
        <v>12000000</v>
      </c>
      <c r="G2380" s="2">
        <f t="shared" si="556"/>
        <v>6842665</v>
      </c>
      <c r="H2380" s="113">
        <f t="shared" si="557"/>
        <v>7788200</v>
      </c>
      <c r="I2380" s="121">
        <f t="shared" si="558"/>
        <v>9025904.1999999993</v>
      </c>
      <c r="K2380" s="123">
        <f t="shared" si="559"/>
        <v>8000000</v>
      </c>
      <c r="L2380" s="111">
        <f t="shared" si="560"/>
        <v>121771</v>
      </c>
      <c r="M2380" s="2">
        <f t="shared" si="561"/>
        <v>41401.800000000003</v>
      </c>
      <c r="N2380" s="112">
        <f t="shared" si="562"/>
        <v>12000000</v>
      </c>
      <c r="O2380" s="2">
        <f t="shared" si="563"/>
        <v>6842665</v>
      </c>
      <c r="P2380" s="113">
        <f t="shared" si="564"/>
        <v>7788200</v>
      </c>
      <c r="Q2380" s="121">
        <f t="shared" si="565"/>
        <v>9025904.1999999993</v>
      </c>
    </row>
    <row r="2381" spans="2:17" x14ac:dyDescent="0.4">
      <c r="B2381" s="110">
        <v>46302</v>
      </c>
      <c r="C2381" s="122">
        <f t="shared" si="552"/>
        <v>8000000</v>
      </c>
      <c r="D2381" s="111">
        <f t="shared" si="553"/>
        <v>121771</v>
      </c>
      <c r="E2381" s="2">
        <f t="shared" si="554"/>
        <v>41401.800000000003</v>
      </c>
      <c r="F2381" s="112">
        <f t="shared" si="555"/>
        <v>12000000</v>
      </c>
      <c r="G2381" s="2">
        <f t="shared" si="556"/>
        <v>6842665</v>
      </c>
      <c r="H2381" s="113">
        <f t="shared" si="557"/>
        <v>7788200</v>
      </c>
      <c r="I2381" s="121">
        <f t="shared" si="558"/>
        <v>9025904.1999999993</v>
      </c>
      <c r="K2381" s="123">
        <f t="shared" si="559"/>
        <v>8000000</v>
      </c>
      <c r="L2381" s="111">
        <f t="shared" si="560"/>
        <v>121771</v>
      </c>
      <c r="M2381" s="2">
        <f t="shared" si="561"/>
        <v>41401.800000000003</v>
      </c>
      <c r="N2381" s="112">
        <f t="shared" si="562"/>
        <v>12000000</v>
      </c>
      <c r="O2381" s="2">
        <f t="shared" si="563"/>
        <v>6842665</v>
      </c>
      <c r="P2381" s="113">
        <f t="shared" si="564"/>
        <v>7788200</v>
      </c>
      <c r="Q2381" s="121">
        <f t="shared" si="565"/>
        <v>9025904.1999999993</v>
      </c>
    </row>
    <row r="2382" spans="2:17" x14ac:dyDescent="0.4">
      <c r="B2382" s="110">
        <v>46303</v>
      </c>
      <c r="C2382" s="122">
        <f t="shared" si="552"/>
        <v>8000000</v>
      </c>
      <c r="D2382" s="111">
        <f t="shared" si="553"/>
        <v>121771</v>
      </c>
      <c r="E2382" s="2">
        <f t="shared" si="554"/>
        <v>41401.800000000003</v>
      </c>
      <c r="F2382" s="112">
        <f t="shared" si="555"/>
        <v>12000000</v>
      </c>
      <c r="G2382" s="2">
        <f t="shared" si="556"/>
        <v>6842665</v>
      </c>
      <c r="H2382" s="113">
        <f t="shared" si="557"/>
        <v>7788200</v>
      </c>
      <c r="I2382" s="121">
        <f t="shared" si="558"/>
        <v>9025904.1999999993</v>
      </c>
      <c r="K2382" s="123">
        <f t="shared" si="559"/>
        <v>8000000</v>
      </c>
      <c r="L2382" s="111">
        <f t="shared" si="560"/>
        <v>121771</v>
      </c>
      <c r="M2382" s="2">
        <f t="shared" si="561"/>
        <v>41401.800000000003</v>
      </c>
      <c r="N2382" s="112">
        <f t="shared" si="562"/>
        <v>12000000</v>
      </c>
      <c r="O2382" s="2">
        <f t="shared" si="563"/>
        <v>6842665</v>
      </c>
      <c r="P2382" s="113">
        <f t="shared" si="564"/>
        <v>7788200</v>
      </c>
      <c r="Q2382" s="121">
        <f t="shared" si="565"/>
        <v>9025904.1999999993</v>
      </c>
    </row>
    <row r="2383" spans="2:17" x14ac:dyDescent="0.4">
      <c r="B2383" s="110">
        <v>46304</v>
      </c>
      <c r="C2383" s="122">
        <f t="shared" si="552"/>
        <v>8000000</v>
      </c>
      <c r="D2383" s="111">
        <f t="shared" si="553"/>
        <v>121771</v>
      </c>
      <c r="E2383" s="2">
        <f t="shared" si="554"/>
        <v>41401.800000000003</v>
      </c>
      <c r="F2383" s="112">
        <f t="shared" si="555"/>
        <v>12000000</v>
      </c>
      <c r="G2383" s="2">
        <f t="shared" si="556"/>
        <v>6842665</v>
      </c>
      <c r="H2383" s="113">
        <f t="shared" si="557"/>
        <v>7788200</v>
      </c>
      <c r="I2383" s="121">
        <f t="shared" si="558"/>
        <v>9025904.1999999993</v>
      </c>
      <c r="K2383" s="123">
        <f t="shared" si="559"/>
        <v>8000000</v>
      </c>
      <c r="L2383" s="111">
        <f t="shared" si="560"/>
        <v>121771</v>
      </c>
      <c r="M2383" s="2">
        <f t="shared" si="561"/>
        <v>41401.800000000003</v>
      </c>
      <c r="N2383" s="112">
        <f t="shared" si="562"/>
        <v>12000000</v>
      </c>
      <c r="O2383" s="2">
        <f t="shared" si="563"/>
        <v>6842665</v>
      </c>
      <c r="P2383" s="113">
        <f t="shared" si="564"/>
        <v>7788200</v>
      </c>
      <c r="Q2383" s="121">
        <f t="shared" si="565"/>
        <v>9025904.1999999993</v>
      </c>
    </row>
    <row r="2384" spans="2:17" x14ac:dyDescent="0.4">
      <c r="B2384" s="110">
        <v>46305</v>
      </c>
      <c r="C2384" s="122">
        <f t="shared" si="552"/>
        <v>8000000</v>
      </c>
      <c r="D2384" s="111">
        <f t="shared" si="553"/>
        <v>121771</v>
      </c>
      <c r="E2384" s="2">
        <f t="shared" si="554"/>
        <v>41401.800000000003</v>
      </c>
      <c r="F2384" s="112">
        <f t="shared" si="555"/>
        <v>12000000</v>
      </c>
      <c r="G2384" s="2">
        <f t="shared" si="556"/>
        <v>6842665</v>
      </c>
      <c r="H2384" s="113">
        <f t="shared" si="557"/>
        <v>7788200</v>
      </c>
      <c r="I2384" s="121">
        <f t="shared" si="558"/>
        <v>9025904.1999999993</v>
      </c>
      <c r="K2384" s="123">
        <f t="shared" si="559"/>
        <v>8000000</v>
      </c>
      <c r="L2384" s="111">
        <f t="shared" si="560"/>
        <v>121771</v>
      </c>
      <c r="M2384" s="2">
        <f t="shared" si="561"/>
        <v>41401.800000000003</v>
      </c>
      <c r="N2384" s="112">
        <f t="shared" si="562"/>
        <v>12000000</v>
      </c>
      <c r="O2384" s="2">
        <f t="shared" si="563"/>
        <v>6842665</v>
      </c>
      <c r="P2384" s="113">
        <f t="shared" si="564"/>
        <v>7788200</v>
      </c>
      <c r="Q2384" s="121">
        <f t="shared" si="565"/>
        <v>9025904.1999999993</v>
      </c>
    </row>
    <row r="2385" spans="2:17" x14ac:dyDescent="0.4">
      <c r="B2385" s="110">
        <v>46306</v>
      </c>
      <c r="C2385" s="122">
        <f t="shared" si="552"/>
        <v>8000000</v>
      </c>
      <c r="D2385" s="111">
        <f t="shared" si="553"/>
        <v>121771</v>
      </c>
      <c r="E2385" s="2">
        <f t="shared" si="554"/>
        <v>41401.800000000003</v>
      </c>
      <c r="F2385" s="112">
        <f t="shared" si="555"/>
        <v>12000000</v>
      </c>
      <c r="G2385" s="2">
        <f t="shared" si="556"/>
        <v>6842665</v>
      </c>
      <c r="H2385" s="113">
        <f t="shared" si="557"/>
        <v>7788200</v>
      </c>
      <c r="I2385" s="121">
        <f t="shared" si="558"/>
        <v>9025904.1999999993</v>
      </c>
      <c r="K2385" s="123">
        <f t="shared" si="559"/>
        <v>8000000</v>
      </c>
      <c r="L2385" s="111">
        <f t="shared" si="560"/>
        <v>121771</v>
      </c>
      <c r="M2385" s="2">
        <f t="shared" si="561"/>
        <v>41401.800000000003</v>
      </c>
      <c r="N2385" s="112">
        <f t="shared" si="562"/>
        <v>12000000</v>
      </c>
      <c r="O2385" s="2">
        <f t="shared" si="563"/>
        <v>6842665</v>
      </c>
      <c r="P2385" s="113">
        <f t="shared" si="564"/>
        <v>7788200</v>
      </c>
      <c r="Q2385" s="121">
        <f t="shared" si="565"/>
        <v>9025904.1999999993</v>
      </c>
    </row>
    <row r="2386" spans="2:17" x14ac:dyDescent="0.4">
      <c r="B2386" s="110">
        <v>46307</v>
      </c>
      <c r="C2386" s="122">
        <f t="shared" si="552"/>
        <v>8000000</v>
      </c>
      <c r="D2386" s="111">
        <f t="shared" si="553"/>
        <v>121771</v>
      </c>
      <c r="E2386" s="2">
        <f t="shared" si="554"/>
        <v>41401.800000000003</v>
      </c>
      <c r="F2386" s="112">
        <f t="shared" si="555"/>
        <v>12000000</v>
      </c>
      <c r="G2386" s="2">
        <f t="shared" si="556"/>
        <v>6842665</v>
      </c>
      <c r="H2386" s="113">
        <f t="shared" si="557"/>
        <v>7788200</v>
      </c>
      <c r="I2386" s="121">
        <f t="shared" si="558"/>
        <v>9025904.1999999993</v>
      </c>
      <c r="K2386" s="123">
        <f t="shared" si="559"/>
        <v>8000000</v>
      </c>
      <c r="L2386" s="111">
        <f t="shared" si="560"/>
        <v>121771</v>
      </c>
      <c r="M2386" s="2">
        <f t="shared" si="561"/>
        <v>41401.800000000003</v>
      </c>
      <c r="N2386" s="112">
        <f t="shared" si="562"/>
        <v>12000000</v>
      </c>
      <c r="O2386" s="2">
        <f t="shared" si="563"/>
        <v>6842665</v>
      </c>
      <c r="P2386" s="113">
        <f t="shared" si="564"/>
        <v>7788200</v>
      </c>
      <c r="Q2386" s="121">
        <f t="shared" si="565"/>
        <v>9025904.1999999993</v>
      </c>
    </row>
    <row r="2387" spans="2:17" x14ac:dyDescent="0.4">
      <c r="B2387" s="110">
        <v>46308</v>
      </c>
      <c r="C2387" s="122">
        <f t="shared" si="552"/>
        <v>8000000</v>
      </c>
      <c r="D2387" s="111">
        <f t="shared" si="553"/>
        <v>121771</v>
      </c>
      <c r="E2387" s="2">
        <f t="shared" si="554"/>
        <v>41401.800000000003</v>
      </c>
      <c r="F2387" s="112">
        <f t="shared" si="555"/>
        <v>12000000</v>
      </c>
      <c r="G2387" s="2">
        <f t="shared" si="556"/>
        <v>6842665</v>
      </c>
      <c r="H2387" s="113">
        <f t="shared" si="557"/>
        <v>7788200</v>
      </c>
      <c r="I2387" s="121">
        <f t="shared" si="558"/>
        <v>9025904.1999999993</v>
      </c>
      <c r="K2387" s="123">
        <f t="shared" si="559"/>
        <v>8000000</v>
      </c>
      <c r="L2387" s="111">
        <f t="shared" si="560"/>
        <v>121771</v>
      </c>
      <c r="M2387" s="2">
        <f t="shared" si="561"/>
        <v>41401.800000000003</v>
      </c>
      <c r="N2387" s="112">
        <f t="shared" si="562"/>
        <v>12000000</v>
      </c>
      <c r="O2387" s="2">
        <f t="shared" si="563"/>
        <v>6842665</v>
      </c>
      <c r="P2387" s="113">
        <f t="shared" si="564"/>
        <v>7788200</v>
      </c>
      <c r="Q2387" s="121">
        <f t="shared" si="565"/>
        <v>9025904.1999999993</v>
      </c>
    </row>
    <row r="2388" spans="2:17" x14ac:dyDescent="0.4">
      <c r="B2388" s="110">
        <v>46309</v>
      </c>
      <c r="C2388" s="122">
        <f t="shared" si="552"/>
        <v>8000000</v>
      </c>
      <c r="D2388" s="111">
        <f t="shared" si="553"/>
        <v>121771</v>
      </c>
      <c r="E2388" s="2">
        <f t="shared" si="554"/>
        <v>41401.800000000003</v>
      </c>
      <c r="F2388" s="112">
        <f t="shared" si="555"/>
        <v>12000000</v>
      </c>
      <c r="G2388" s="2">
        <f t="shared" si="556"/>
        <v>6842665</v>
      </c>
      <c r="H2388" s="113">
        <f t="shared" si="557"/>
        <v>7788200</v>
      </c>
      <c r="I2388" s="121">
        <f t="shared" si="558"/>
        <v>9025904.1999999993</v>
      </c>
      <c r="K2388" s="123">
        <f t="shared" si="559"/>
        <v>8000000</v>
      </c>
      <c r="L2388" s="111">
        <f t="shared" si="560"/>
        <v>121771</v>
      </c>
      <c r="M2388" s="2">
        <f t="shared" si="561"/>
        <v>41401.800000000003</v>
      </c>
      <c r="N2388" s="112">
        <f t="shared" si="562"/>
        <v>12000000</v>
      </c>
      <c r="O2388" s="2">
        <f t="shared" si="563"/>
        <v>6842665</v>
      </c>
      <c r="P2388" s="113">
        <f t="shared" si="564"/>
        <v>7788200</v>
      </c>
      <c r="Q2388" s="121">
        <f t="shared" si="565"/>
        <v>9025904.1999999993</v>
      </c>
    </row>
    <row r="2389" spans="2:17" x14ac:dyDescent="0.4">
      <c r="B2389" s="110">
        <v>46310</v>
      </c>
      <c r="C2389" s="122">
        <f t="shared" si="552"/>
        <v>8000000</v>
      </c>
      <c r="D2389" s="111">
        <f t="shared" si="553"/>
        <v>121771</v>
      </c>
      <c r="E2389" s="2">
        <f t="shared" si="554"/>
        <v>41401.800000000003</v>
      </c>
      <c r="F2389" s="112">
        <f t="shared" si="555"/>
        <v>12000000</v>
      </c>
      <c r="G2389" s="2">
        <f t="shared" si="556"/>
        <v>6842665</v>
      </c>
      <c r="H2389" s="113">
        <f t="shared" si="557"/>
        <v>7788200</v>
      </c>
      <c r="I2389" s="121">
        <f t="shared" si="558"/>
        <v>9025904.1999999993</v>
      </c>
      <c r="K2389" s="123">
        <f t="shared" si="559"/>
        <v>8000000</v>
      </c>
      <c r="L2389" s="111">
        <f t="shared" si="560"/>
        <v>121771</v>
      </c>
      <c r="M2389" s="2">
        <f t="shared" si="561"/>
        <v>41401.800000000003</v>
      </c>
      <c r="N2389" s="112">
        <f t="shared" si="562"/>
        <v>12000000</v>
      </c>
      <c r="O2389" s="2">
        <f t="shared" si="563"/>
        <v>6842665</v>
      </c>
      <c r="P2389" s="113">
        <f t="shared" si="564"/>
        <v>7788200</v>
      </c>
      <c r="Q2389" s="121">
        <f t="shared" si="565"/>
        <v>9025904.1999999993</v>
      </c>
    </row>
    <row r="2390" spans="2:17" x14ac:dyDescent="0.4">
      <c r="B2390" s="110">
        <v>46311</v>
      </c>
      <c r="C2390" s="122">
        <f t="shared" si="552"/>
        <v>8000000</v>
      </c>
      <c r="D2390" s="111">
        <f t="shared" si="553"/>
        <v>121771</v>
      </c>
      <c r="E2390" s="2">
        <f t="shared" si="554"/>
        <v>41401.800000000003</v>
      </c>
      <c r="F2390" s="112">
        <f t="shared" si="555"/>
        <v>12000000</v>
      </c>
      <c r="G2390" s="2">
        <f t="shared" si="556"/>
        <v>6842665</v>
      </c>
      <c r="H2390" s="113">
        <f t="shared" si="557"/>
        <v>7788200</v>
      </c>
      <c r="I2390" s="121">
        <f t="shared" si="558"/>
        <v>9025904.1999999993</v>
      </c>
      <c r="K2390" s="123">
        <f t="shared" si="559"/>
        <v>8000000</v>
      </c>
      <c r="L2390" s="111">
        <f t="shared" si="560"/>
        <v>121771</v>
      </c>
      <c r="M2390" s="2">
        <f t="shared" si="561"/>
        <v>41401.800000000003</v>
      </c>
      <c r="N2390" s="112">
        <f t="shared" si="562"/>
        <v>12000000</v>
      </c>
      <c r="O2390" s="2">
        <f t="shared" si="563"/>
        <v>6842665</v>
      </c>
      <c r="P2390" s="113">
        <f t="shared" si="564"/>
        <v>7788200</v>
      </c>
      <c r="Q2390" s="121">
        <f t="shared" si="565"/>
        <v>9025904.1999999993</v>
      </c>
    </row>
    <row r="2391" spans="2:17" x14ac:dyDescent="0.4">
      <c r="B2391" s="110">
        <v>46312</v>
      </c>
      <c r="C2391" s="122">
        <f t="shared" si="552"/>
        <v>8000000</v>
      </c>
      <c r="D2391" s="111">
        <f t="shared" si="553"/>
        <v>121771</v>
      </c>
      <c r="E2391" s="2">
        <f t="shared" si="554"/>
        <v>41401.800000000003</v>
      </c>
      <c r="F2391" s="112">
        <f t="shared" si="555"/>
        <v>12000000</v>
      </c>
      <c r="G2391" s="2">
        <f t="shared" si="556"/>
        <v>6842665</v>
      </c>
      <c r="H2391" s="113">
        <f t="shared" si="557"/>
        <v>7788200</v>
      </c>
      <c r="I2391" s="121">
        <f t="shared" si="558"/>
        <v>9025904.1999999993</v>
      </c>
      <c r="K2391" s="123">
        <f t="shared" si="559"/>
        <v>8000000</v>
      </c>
      <c r="L2391" s="111">
        <f t="shared" si="560"/>
        <v>121771</v>
      </c>
      <c r="M2391" s="2">
        <f t="shared" si="561"/>
        <v>41401.800000000003</v>
      </c>
      <c r="N2391" s="112">
        <f t="shared" si="562"/>
        <v>12000000</v>
      </c>
      <c r="O2391" s="2">
        <f t="shared" si="563"/>
        <v>6842665</v>
      </c>
      <c r="P2391" s="113">
        <f t="shared" si="564"/>
        <v>7788200</v>
      </c>
      <c r="Q2391" s="121">
        <f t="shared" si="565"/>
        <v>9025904.1999999993</v>
      </c>
    </row>
    <row r="2392" spans="2:17" x14ac:dyDescent="0.4">
      <c r="B2392" s="110">
        <v>46313</v>
      </c>
      <c r="C2392" s="122">
        <f t="shared" si="552"/>
        <v>8000000</v>
      </c>
      <c r="D2392" s="111">
        <f t="shared" si="553"/>
        <v>121771</v>
      </c>
      <c r="E2392" s="2">
        <f t="shared" si="554"/>
        <v>41401.800000000003</v>
      </c>
      <c r="F2392" s="112">
        <f t="shared" si="555"/>
        <v>12000000</v>
      </c>
      <c r="G2392" s="2">
        <f t="shared" si="556"/>
        <v>6842665</v>
      </c>
      <c r="H2392" s="113">
        <f t="shared" si="557"/>
        <v>7788200</v>
      </c>
      <c r="I2392" s="121">
        <f t="shared" si="558"/>
        <v>9025904.1999999993</v>
      </c>
      <c r="K2392" s="123">
        <f t="shared" si="559"/>
        <v>8000000</v>
      </c>
      <c r="L2392" s="111">
        <f t="shared" si="560"/>
        <v>121771</v>
      </c>
      <c r="M2392" s="2">
        <f t="shared" si="561"/>
        <v>41401.800000000003</v>
      </c>
      <c r="N2392" s="112">
        <f t="shared" si="562"/>
        <v>12000000</v>
      </c>
      <c r="O2392" s="2">
        <f t="shared" si="563"/>
        <v>6842665</v>
      </c>
      <c r="P2392" s="113">
        <f t="shared" si="564"/>
        <v>7788200</v>
      </c>
      <c r="Q2392" s="121">
        <f t="shared" si="565"/>
        <v>9025904.1999999993</v>
      </c>
    </row>
    <row r="2393" spans="2:17" x14ac:dyDescent="0.4">
      <c r="B2393" s="110">
        <v>46314</v>
      </c>
      <c r="C2393" s="122">
        <f t="shared" si="552"/>
        <v>8000000</v>
      </c>
      <c r="D2393" s="111">
        <f t="shared" si="553"/>
        <v>121771</v>
      </c>
      <c r="E2393" s="2">
        <f t="shared" si="554"/>
        <v>41401.800000000003</v>
      </c>
      <c r="F2393" s="112">
        <f t="shared" si="555"/>
        <v>12000000</v>
      </c>
      <c r="G2393" s="2">
        <f t="shared" si="556"/>
        <v>6842665</v>
      </c>
      <c r="H2393" s="113">
        <f t="shared" si="557"/>
        <v>7788200</v>
      </c>
      <c r="I2393" s="121">
        <f t="shared" si="558"/>
        <v>9025904.1999999993</v>
      </c>
      <c r="K2393" s="123">
        <f t="shared" si="559"/>
        <v>8000000</v>
      </c>
      <c r="L2393" s="111">
        <f t="shared" si="560"/>
        <v>121771</v>
      </c>
      <c r="M2393" s="2">
        <f t="shared" si="561"/>
        <v>41401.800000000003</v>
      </c>
      <c r="N2393" s="112">
        <f t="shared" si="562"/>
        <v>12000000</v>
      </c>
      <c r="O2393" s="2">
        <f t="shared" si="563"/>
        <v>6842665</v>
      </c>
      <c r="P2393" s="113">
        <f t="shared" si="564"/>
        <v>7788200</v>
      </c>
      <c r="Q2393" s="121">
        <f t="shared" si="565"/>
        <v>9025904.1999999993</v>
      </c>
    </row>
    <row r="2394" spans="2:17" x14ac:dyDescent="0.4">
      <c r="B2394" s="110">
        <v>46315</v>
      </c>
      <c r="C2394" s="122">
        <f t="shared" si="552"/>
        <v>8000000</v>
      </c>
      <c r="D2394" s="111">
        <f t="shared" si="553"/>
        <v>121771</v>
      </c>
      <c r="E2394" s="2">
        <f t="shared" si="554"/>
        <v>41401.800000000003</v>
      </c>
      <c r="F2394" s="112">
        <f t="shared" si="555"/>
        <v>12000000</v>
      </c>
      <c r="G2394" s="2">
        <f t="shared" si="556"/>
        <v>6842665</v>
      </c>
      <c r="H2394" s="113">
        <f t="shared" si="557"/>
        <v>7788200</v>
      </c>
      <c r="I2394" s="121">
        <f t="shared" si="558"/>
        <v>9025904.1999999993</v>
      </c>
      <c r="K2394" s="123">
        <f t="shared" si="559"/>
        <v>8000000</v>
      </c>
      <c r="L2394" s="111">
        <f t="shared" si="560"/>
        <v>121771</v>
      </c>
      <c r="M2394" s="2">
        <f t="shared" si="561"/>
        <v>41401.800000000003</v>
      </c>
      <c r="N2394" s="112">
        <f t="shared" si="562"/>
        <v>12000000</v>
      </c>
      <c r="O2394" s="2">
        <f t="shared" si="563"/>
        <v>6842665</v>
      </c>
      <c r="P2394" s="113">
        <f t="shared" si="564"/>
        <v>7788200</v>
      </c>
      <c r="Q2394" s="121">
        <f t="shared" si="565"/>
        <v>9025904.1999999993</v>
      </c>
    </row>
    <row r="2395" spans="2:17" x14ac:dyDescent="0.4">
      <c r="B2395" s="110">
        <v>46316</v>
      </c>
      <c r="C2395" s="122">
        <f t="shared" si="552"/>
        <v>8000000</v>
      </c>
      <c r="D2395" s="111">
        <f t="shared" si="553"/>
        <v>121771</v>
      </c>
      <c r="E2395" s="2">
        <f t="shared" si="554"/>
        <v>41401.800000000003</v>
      </c>
      <c r="F2395" s="112">
        <f t="shared" si="555"/>
        <v>12000000</v>
      </c>
      <c r="G2395" s="2">
        <f t="shared" si="556"/>
        <v>6842665</v>
      </c>
      <c r="H2395" s="113">
        <f t="shared" si="557"/>
        <v>7788200</v>
      </c>
      <c r="I2395" s="121">
        <f t="shared" si="558"/>
        <v>9025904.1999999993</v>
      </c>
      <c r="K2395" s="123">
        <f t="shared" si="559"/>
        <v>8000000</v>
      </c>
      <c r="L2395" s="111">
        <f t="shared" si="560"/>
        <v>121771</v>
      </c>
      <c r="M2395" s="2">
        <f t="shared" si="561"/>
        <v>41401.800000000003</v>
      </c>
      <c r="N2395" s="112">
        <f t="shared" si="562"/>
        <v>12000000</v>
      </c>
      <c r="O2395" s="2">
        <f t="shared" si="563"/>
        <v>6842665</v>
      </c>
      <c r="P2395" s="113">
        <f t="shared" si="564"/>
        <v>7788200</v>
      </c>
      <c r="Q2395" s="121">
        <f t="shared" si="565"/>
        <v>9025904.1999999993</v>
      </c>
    </row>
    <row r="2396" spans="2:17" x14ac:dyDescent="0.4">
      <c r="B2396" s="110">
        <v>46317</v>
      </c>
      <c r="C2396" s="122">
        <f t="shared" si="552"/>
        <v>8000000</v>
      </c>
      <c r="D2396" s="111">
        <f t="shared" si="553"/>
        <v>121771</v>
      </c>
      <c r="E2396" s="2">
        <f t="shared" si="554"/>
        <v>41401.800000000003</v>
      </c>
      <c r="F2396" s="112">
        <f t="shared" si="555"/>
        <v>12000000</v>
      </c>
      <c r="G2396" s="2">
        <f t="shared" si="556"/>
        <v>6842665</v>
      </c>
      <c r="H2396" s="113">
        <f t="shared" si="557"/>
        <v>7788200</v>
      </c>
      <c r="I2396" s="121">
        <f t="shared" si="558"/>
        <v>9025904.1999999993</v>
      </c>
      <c r="K2396" s="123">
        <f t="shared" si="559"/>
        <v>8000000</v>
      </c>
      <c r="L2396" s="111">
        <f t="shared" si="560"/>
        <v>121771</v>
      </c>
      <c r="M2396" s="2">
        <f t="shared" si="561"/>
        <v>41401.800000000003</v>
      </c>
      <c r="N2396" s="112">
        <f t="shared" si="562"/>
        <v>12000000</v>
      </c>
      <c r="O2396" s="2">
        <f t="shared" si="563"/>
        <v>6842665</v>
      </c>
      <c r="P2396" s="113">
        <f t="shared" si="564"/>
        <v>7788200</v>
      </c>
      <c r="Q2396" s="121">
        <f t="shared" si="565"/>
        <v>9025904.1999999993</v>
      </c>
    </row>
    <row r="2397" spans="2:17" x14ac:dyDescent="0.4">
      <c r="B2397" s="110">
        <v>46318</v>
      </c>
      <c r="C2397" s="122">
        <f t="shared" si="552"/>
        <v>8000000</v>
      </c>
      <c r="D2397" s="111">
        <f t="shared" si="553"/>
        <v>121771</v>
      </c>
      <c r="E2397" s="2">
        <f t="shared" si="554"/>
        <v>41401.800000000003</v>
      </c>
      <c r="F2397" s="112">
        <f t="shared" si="555"/>
        <v>12000000</v>
      </c>
      <c r="G2397" s="2">
        <f t="shared" si="556"/>
        <v>6842665</v>
      </c>
      <c r="H2397" s="113">
        <f t="shared" si="557"/>
        <v>7788200</v>
      </c>
      <c r="I2397" s="121">
        <f t="shared" si="558"/>
        <v>9025904.1999999993</v>
      </c>
      <c r="K2397" s="123">
        <f t="shared" si="559"/>
        <v>8000000</v>
      </c>
      <c r="L2397" s="111">
        <f t="shared" si="560"/>
        <v>121771</v>
      </c>
      <c r="M2397" s="2">
        <f t="shared" si="561"/>
        <v>41401.800000000003</v>
      </c>
      <c r="N2397" s="112">
        <f t="shared" si="562"/>
        <v>12000000</v>
      </c>
      <c r="O2397" s="2">
        <f t="shared" si="563"/>
        <v>6842665</v>
      </c>
      <c r="P2397" s="113">
        <f t="shared" si="564"/>
        <v>7788200</v>
      </c>
      <c r="Q2397" s="121">
        <f t="shared" si="565"/>
        <v>9025904.1999999993</v>
      </c>
    </row>
    <row r="2398" spans="2:17" x14ac:dyDescent="0.4">
      <c r="B2398" s="110">
        <v>46319</v>
      </c>
      <c r="C2398" s="122">
        <f t="shared" si="552"/>
        <v>8000000</v>
      </c>
      <c r="D2398" s="111">
        <f t="shared" si="553"/>
        <v>121771</v>
      </c>
      <c r="E2398" s="2">
        <f t="shared" si="554"/>
        <v>41401.800000000003</v>
      </c>
      <c r="F2398" s="112">
        <f t="shared" si="555"/>
        <v>12000000</v>
      </c>
      <c r="G2398" s="2">
        <f t="shared" si="556"/>
        <v>6842665</v>
      </c>
      <c r="H2398" s="113">
        <f t="shared" si="557"/>
        <v>7788200</v>
      </c>
      <c r="I2398" s="121">
        <f t="shared" si="558"/>
        <v>9025904.1999999993</v>
      </c>
      <c r="K2398" s="123">
        <f t="shared" si="559"/>
        <v>8000000</v>
      </c>
      <c r="L2398" s="111">
        <f t="shared" si="560"/>
        <v>121771</v>
      </c>
      <c r="M2398" s="2">
        <f t="shared" si="561"/>
        <v>41401.800000000003</v>
      </c>
      <c r="N2398" s="112">
        <f t="shared" si="562"/>
        <v>12000000</v>
      </c>
      <c r="O2398" s="2">
        <f t="shared" si="563"/>
        <v>6842665</v>
      </c>
      <c r="P2398" s="113">
        <f t="shared" si="564"/>
        <v>7788200</v>
      </c>
      <c r="Q2398" s="121">
        <f t="shared" si="565"/>
        <v>9025904.1999999993</v>
      </c>
    </row>
    <row r="2399" spans="2:17" x14ac:dyDescent="0.4">
      <c r="B2399" s="110">
        <v>46320</v>
      </c>
      <c r="C2399" s="122">
        <f t="shared" si="552"/>
        <v>8000000</v>
      </c>
      <c r="D2399" s="111">
        <f t="shared" si="553"/>
        <v>121771</v>
      </c>
      <c r="E2399" s="2">
        <f t="shared" si="554"/>
        <v>41401.800000000003</v>
      </c>
      <c r="F2399" s="112">
        <f t="shared" si="555"/>
        <v>12000000</v>
      </c>
      <c r="G2399" s="2">
        <f t="shared" si="556"/>
        <v>6842665</v>
      </c>
      <c r="H2399" s="113">
        <f t="shared" si="557"/>
        <v>7788200</v>
      </c>
      <c r="I2399" s="121">
        <f t="shared" si="558"/>
        <v>9025904.1999999993</v>
      </c>
      <c r="K2399" s="123">
        <f t="shared" si="559"/>
        <v>8000000</v>
      </c>
      <c r="L2399" s="111">
        <f t="shared" si="560"/>
        <v>121771</v>
      </c>
      <c r="M2399" s="2">
        <f t="shared" si="561"/>
        <v>41401.800000000003</v>
      </c>
      <c r="N2399" s="112">
        <f t="shared" si="562"/>
        <v>12000000</v>
      </c>
      <c r="O2399" s="2">
        <f t="shared" si="563"/>
        <v>6842665</v>
      </c>
      <c r="P2399" s="113">
        <f t="shared" si="564"/>
        <v>7788200</v>
      </c>
      <c r="Q2399" s="121">
        <f t="shared" si="565"/>
        <v>9025904.1999999993</v>
      </c>
    </row>
    <row r="2400" spans="2:17" x14ac:dyDescent="0.4">
      <c r="B2400" s="110">
        <v>46321</v>
      </c>
      <c r="C2400" s="122">
        <f t="shared" si="552"/>
        <v>8000000</v>
      </c>
      <c r="D2400" s="111">
        <f t="shared" si="553"/>
        <v>121771</v>
      </c>
      <c r="E2400" s="2">
        <f t="shared" si="554"/>
        <v>41401.800000000003</v>
      </c>
      <c r="F2400" s="112">
        <f t="shared" si="555"/>
        <v>12000000</v>
      </c>
      <c r="G2400" s="2">
        <f t="shared" si="556"/>
        <v>6842665</v>
      </c>
      <c r="H2400" s="113">
        <f t="shared" si="557"/>
        <v>7788200</v>
      </c>
      <c r="I2400" s="121">
        <f t="shared" si="558"/>
        <v>9025904.1999999993</v>
      </c>
      <c r="K2400" s="123">
        <f t="shared" si="559"/>
        <v>8000000</v>
      </c>
      <c r="L2400" s="111">
        <f t="shared" si="560"/>
        <v>121771</v>
      </c>
      <c r="M2400" s="2">
        <f t="shared" si="561"/>
        <v>41401.800000000003</v>
      </c>
      <c r="N2400" s="112">
        <f t="shared" si="562"/>
        <v>12000000</v>
      </c>
      <c r="O2400" s="2">
        <f t="shared" si="563"/>
        <v>6842665</v>
      </c>
      <c r="P2400" s="113">
        <f t="shared" si="564"/>
        <v>7788200</v>
      </c>
      <c r="Q2400" s="121">
        <f t="shared" si="565"/>
        <v>9025904.1999999993</v>
      </c>
    </row>
    <row r="2401" spans="2:17" x14ac:dyDescent="0.4">
      <c r="B2401" s="110">
        <v>46322</v>
      </c>
      <c r="C2401" s="122">
        <f t="shared" si="552"/>
        <v>8000000</v>
      </c>
      <c r="D2401" s="111">
        <f t="shared" si="553"/>
        <v>121771</v>
      </c>
      <c r="E2401" s="2">
        <f t="shared" si="554"/>
        <v>41401.800000000003</v>
      </c>
      <c r="F2401" s="112">
        <f t="shared" si="555"/>
        <v>12000000</v>
      </c>
      <c r="G2401" s="2">
        <f t="shared" si="556"/>
        <v>6842665</v>
      </c>
      <c r="H2401" s="113">
        <f t="shared" si="557"/>
        <v>7788200</v>
      </c>
      <c r="I2401" s="121">
        <f t="shared" si="558"/>
        <v>9025904.1999999993</v>
      </c>
      <c r="K2401" s="123">
        <f t="shared" si="559"/>
        <v>8000000</v>
      </c>
      <c r="L2401" s="111">
        <f t="shared" si="560"/>
        <v>121771</v>
      </c>
      <c r="M2401" s="2">
        <f t="shared" si="561"/>
        <v>41401.800000000003</v>
      </c>
      <c r="N2401" s="112">
        <f t="shared" si="562"/>
        <v>12000000</v>
      </c>
      <c r="O2401" s="2">
        <f t="shared" si="563"/>
        <v>6842665</v>
      </c>
      <c r="P2401" s="113">
        <f t="shared" si="564"/>
        <v>7788200</v>
      </c>
      <c r="Q2401" s="121">
        <f t="shared" si="565"/>
        <v>9025904.1999999993</v>
      </c>
    </row>
    <row r="2402" spans="2:17" x14ac:dyDescent="0.4">
      <c r="B2402" s="110">
        <v>46323</v>
      </c>
      <c r="C2402" s="122">
        <f t="shared" si="552"/>
        <v>8000000</v>
      </c>
      <c r="D2402" s="111">
        <f t="shared" si="553"/>
        <v>121771</v>
      </c>
      <c r="E2402" s="2">
        <f t="shared" si="554"/>
        <v>41401.800000000003</v>
      </c>
      <c r="F2402" s="112">
        <f t="shared" si="555"/>
        <v>12000000</v>
      </c>
      <c r="G2402" s="2">
        <f t="shared" si="556"/>
        <v>6842665</v>
      </c>
      <c r="H2402" s="113">
        <f t="shared" si="557"/>
        <v>7788200</v>
      </c>
      <c r="I2402" s="121">
        <f t="shared" si="558"/>
        <v>9025904.1999999993</v>
      </c>
      <c r="K2402" s="123">
        <f t="shared" si="559"/>
        <v>8000000</v>
      </c>
      <c r="L2402" s="111">
        <f t="shared" si="560"/>
        <v>121771</v>
      </c>
      <c r="M2402" s="2">
        <f t="shared" si="561"/>
        <v>41401.800000000003</v>
      </c>
      <c r="N2402" s="112">
        <f t="shared" si="562"/>
        <v>12000000</v>
      </c>
      <c r="O2402" s="2">
        <f t="shared" si="563"/>
        <v>6842665</v>
      </c>
      <c r="P2402" s="113">
        <f t="shared" si="564"/>
        <v>7788200</v>
      </c>
      <c r="Q2402" s="121">
        <f t="shared" si="565"/>
        <v>9025904.1999999993</v>
      </c>
    </row>
    <row r="2403" spans="2:17" x14ac:dyDescent="0.4">
      <c r="B2403" s="110">
        <v>46324</v>
      </c>
      <c r="C2403" s="122">
        <f t="shared" si="552"/>
        <v>8000000</v>
      </c>
      <c r="D2403" s="111">
        <f t="shared" si="553"/>
        <v>121771</v>
      </c>
      <c r="E2403" s="2">
        <f t="shared" si="554"/>
        <v>41401.800000000003</v>
      </c>
      <c r="F2403" s="112">
        <f t="shared" si="555"/>
        <v>12000000</v>
      </c>
      <c r="G2403" s="2">
        <f t="shared" si="556"/>
        <v>6842665</v>
      </c>
      <c r="H2403" s="113">
        <f t="shared" si="557"/>
        <v>7788200</v>
      </c>
      <c r="I2403" s="121">
        <f t="shared" si="558"/>
        <v>9025904.1999999993</v>
      </c>
      <c r="K2403" s="123">
        <f t="shared" si="559"/>
        <v>8000000</v>
      </c>
      <c r="L2403" s="111">
        <f t="shared" si="560"/>
        <v>121771</v>
      </c>
      <c r="M2403" s="2">
        <f t="shared" si="561"/>
        <v>41401.800000000003</v>
      </c>
      <c r="N2403" s="112">
        <f t="shared" si="562"/>
        <v>12000000</v>
      </c>
      <c r="O2403" s="2">
        <f t="shared" si="563"/>
        <v>6842665</v>
      </c>
      <c r="P2403" s="113">
        <f t="shared" si="564"/>
        <v>7788200</v>
      </c>
      <c r="Q2403" s="121">
        <f t="shared" si="565"/>
        <v>9025904.1999999993</v>
      </c>
    </row>
    <row r="2404" spans="2:17" x14ac:dyDescent="0.4">
      <c r="B2404" s="110">
        <v>46325</v>
      </c>
      <c r="C2404" s="122">
        <f t="shared" si="552"/>
        <v>8000000</v>
      </c>
      <c r="D2404" s="111">
        <f t="shared" si="553"/>
        <v>121771</v>
      </c>
      <c r="E2404" s="2">
        <f t="shared" si="554"/>
        <v>41401.800000000003</v>
      </c>
      <c r="F2404" s="112">
        <f t="shared" si="555"/>
        <v>12000000</v>
      </c>
      <c r="G2404" s="2">
        <f t="shared" si="556"/>
        <v>6842665</v>
      </c>
      <c r="H2404" s="113">
        <f t="shared" si="557"/>
        <v>7788200</v>
      </c>
      <c r="I2404" s="121">
        <f t="shared" si="558"/>
        <v>9025904.1999999993</v>
      </c>
      <c r="K2404" s="123">
        <f t="shared" si="559"/>
        <v>8000000</v>
      </c>
      <c r="L2404" s="111">
        <f t="shared" si="560"/>
        <v>121771</v>
      </c>
      <c r="M2404" s="2">
        <f t="shared" si="561"/>
        <v>41401.800000000003</v>
      </c>
      <c r="N2404" s="112">
        <f t="shared" si="562"/>
        <v>12000000</v>
      </c>
      <c r="O2404" s="2">
        <f t="shared" si="563"/>
        <v>6842665</v>
      </c>
      <c r="P2404" s="113">
        <f t="shared" si="564"/>
        <v>7788200</v>
      </c>
      <c r="Q2404" s="121">
        <f t="shared" si="565"/>
        <v>9025904.1999999993</v>
      </c>
    </row>
    <row r="2405" spans="2:17" x14ac:dyDescent="0.4">
      <c r="B2405" s="110">
        <v>46326</v>
      </c>
      <c r="C2405" s="122">
        <f t="shared" si="552"/>
        <v>8000000</v>
      </c>
      <c r="D2405" s="111">
        <f t="shared" si="553"/>
        <v>121771</v>
      </c>
      <c r="E2405" s="2">
        <f t="shared" si="554"/>
        <v>41401.800000000003</v>
      </c>
      <c r="F2405" s="112">
        <f t="shared" si="555"/>
        <v>12000000</v>
      </c>
      <c r="G2405" s="2">
        <f t="shared" si="556"/>
        <v>6842665</v>
      </c>
      <c r="H2405" s="113">
        <f t="shared" si="557"/>
        <v>7788200</v>
      </c>
      <c r="I2405" s="121">
        <f t="shared" si="558"/>
        <v>9025904.1999999993</v>
      </c>
      <c r="K2405" s="123">
        <f t="shared" si="559"/>
        <v>8000000</v>
      </c>
      <c r="L2405" s="111">
        <f t="shared" si="560"/>
        <v>121771</v>
      </c>
      <c r="M2405" s="2">
        <f t="shared" si="561"/>
        <v>41401.800000000003</v>
      </c>
      <c r="N2405" s="112">
        <f t="shared" si="562"/>
        <v>12000000</v>
      </c>
      <c r="O2405" s="2">
        <f t="shared" si="563"/>
        <v>6842665</v>
      </c>
      <c r="P2405" s="113">
        <f t="shared" si="564"/>
        <v>7788200</v>
      </c>
      <c r="Q2405" s="121">
        <f t="shared" si="565"/>
        <v>9025904.1999999993</v>
      </c>
    </row>
    <row r="2406" spans="2:17" x14ac:dyDescent="0.4">
      <c r="B2406" s="110">
        <v>46327</v>
      </c>
      <c r="C2406" s="122">
        <f t="shared" ref="C2406:C2469" si="566">SUMIF($B$6:$B$75,$B2406,$D$6:$D$75)+C2405</f>
        <v>8000000</v>
      </c>
      <c r="D2406" s="111">
        <f t="shared" ref="D2406:D2469" si="567">SUMIF($B$6:$B$75,$B2406,$E$6:$E$75)+D2405</f>
        <v>121771</v>
      </c>
      <c r="E2406" s="2">
        <f t="shared" ref="E2406:E2469" si="568">SUMIF($G$353:$G$376,$B2406,$J$353:$J$376)+SUMIF($E$353:$E$376,$B2406,$H$353:$H$376)+SUMIF($G$353:$G$376,$B2406,$I$353:$I$376)+E2405</f>
        <v>41401.800000000003</v>
      </c>
      <c r="F2406" s="112">
        <f t="shared" ref="F2406:F2469" si="569">20000000-C2406</f>
        <v>12000000</v>
      </c>
      <c r="G2406" s="2">
        <f t="shared" ref="G2406:G2469" si="570">SUMIF($E$353:$E$376,$B2406,$M$353:$M$376)+G2405</f>
        <v>6842665</v>
      </c>
      <c r="H2406" s="113">
        <f t="shared" ref="H2406:H2469" si="571">SUMIF($G$353:$G$376,$B2406,$N$353:$N$376)+H2405</f>
        <v>7788200</v>
      </c>
      <c r="I2406" s="121">
        <f t="shared" ref="I2406:I2469" si="572">C2406+D2406-G2406-E2406+H2406</f>
        <v>9025904.1999999993</v>
      </c>
      <c r="K2406" s="123">
        <f t="shared" ref="K2406:K2469" si="573">SUMIF($B$6:$B$75,$B2406,$D$6:$D$75)+K2405</f>
        <v>8000000</v>
      </c>
      <c r="L2406" s="111">
        <f t="shared" ref="L2406:L2469" si="574">SUMIF($B$6:$B$75,$B2406,$E$6:$E$75)+L2405</f>
        <v>121771</v>
      </c>
      <c r="M2406" s="2">
        <f t="shared" ref="M2406:M2469" si="575">SUMIF($G$353:$G$376,$B2406,$J$353:$J$376)+SUMIF($E$353:$E$376,$B2406,$H$353:$H$376)+SUMIF($G$353:$G$376,$B2406,$I$353:$I$376)+M2405</f>
        <v>41401.800000000003</v>
      </c>
      <c r="N2406" s="112">
        <f t="shared" ref="N2406:N2469" si="576">20000000-K2406</f>
        <v>12000000</v>
      </c>
      <c r="O2406" s="2">
        <f t="shared" ref="O2406:O2469" si="577">SUMIF($E$353:$E$376,$B2406,$M$353:$M$376)+O2405</f>
        <v>6842665</v>
      </c>
      <c r="P2406" s="113">
        <f t="shared" ref="P2406:P2469" si="578">SUMIF($G$353:$G$376,$B2406,$N$353:$N$376)+P2405</f>
        <v>7788200</v>
      </c>
      <c r="Q2406" s="121">
        <f t="shared" ref="Q2406:Q2469" si="579">K2406+L2406-O2406-M2406+P2406</f>
        <v>9025904.1999999993</v>
      </c>
    </row>
    <row r="2407" spans="2:17" x14ac:dyDescent="0.4">
      <c r="B2407" s="110">
        <v>46328</v>
      </c>
      <c r="C2407" s="122">
        <f t="shared" si="566"/>
        <v>8000000</v>
      </c>
      <c r="D2407" s="111">
        <f t="shared" si="567"/>
        <v>121771</v>
      </c>
      <c r="E2407" s="2">
        <f t="shared" si="568"/>
        <v>41401.800000000003</v>
      </c>
      <c r="F2407" s="112">
        <f t="shared" si="569"/>
        <v>12000000</v>
      </c>
      <c r="G2407" s="2">
        <f t="shared" si="570"/>
        <v>6842665</v>
      </c>
      <c r="H2407" s="113">
        <f t="shared" si="571"/>
        <v>7788200</v>
      </c>
      <c r="I2407" s="121">
        <f t="shared" si="572"/>
        <v>9025904.1999999993</v>
      </c>
      <c r="K2407" s="123">
        <f t="shared" si="573"/>
        <v>8000000</v>
      </c>
      <c r="L2407" s="111">
        <f t="shared" si="574"/>
        <v>121771</v>
      </c>
      <c r="M2407" s="2">
        <f t="shared" si="575"/>
        <v>41401.800000000003</v>
      </c>
      <c r="N2407" s="112">
        <f t="shared" si="576"/>
        <v>12000000</v>
      </c>
      <c r="O2407" s="2">
        <f t="shared" si="577"/>
        <v>6842665</v>
      </c>
      <c r="P2407" s="113">
        <f t="shared" si="578"/>
        <v>7788200</v>
      </c>
      <c r="Q2407" s="121">
        <f t="shared" si="579"/>
        <v>9025904.1999999993</v>
      </c>
    </row>
    <row r="2408" spans="2:17" x14ac:dyDescent="0.4">
      <c r="B2408" s="110">
        <v>46329</v>
      </c>
      <c r="C2408" s="122">
        <f t="shared" si="566"/>
        <v>8000000</v>
      </c>
      <c r="D2408" s="111">
        <f t="shared" si="567"/>
        <v>121771</v>
      </c>
      <c r="E2408" s="2">
        <f t="shared" si="568"/>
        <v>41401.800000000003</v>
      </c>
      <c r="F2408" s="112">
        <f t="shared" si="569"/>
        <v>12000000</v>
      </c>
      <c r="G2408" s="2">
        <f t="shared" si="570"/>
        <v>6842665</v>
      </c>
      <c r="H2408" s="113">
        <f t="shared" si="571"/>
        <v>7788200</v>
      </c>
      <c r="I2408" s="121">
        <f t="shared" si="572"/>
        <v>9025904.1999999993</v>
      </c>
      <c r="K2408" s="123">
        <f t="shared" si="573"/>
        <v>8000000</v>
      </c>
      <c r="L2408" s="111">
        <f t="shared" si="574"/>
        <v>121771</v>
      </c>
      <c r="M2408" s="2">
        <f t="shared" si="575"/>
        <v>41401.800000000003</v>
      </c>
      <c r="N2408" s="112">
        <f t="shared" si="576"/>
        <v>12000000</v>
      </c>
      <c r="O2408" s="2">
        <f t="shared" si="577"/>
        <v>6842665</v>
      </c>
      <c r="P2408" s="113">
        <f t="shared" si="578"/>
        <v>7788200</v>
      </c>
      <c r="Q2408" s="121">
        <f t="shared" si="579"/>
        <v>9025904.1999999993</v>
      </c>
    </row>
    <row r="2409" spans="2:17" x14ac:dyDescent="0.4">
      <c r="B2409" s="110">
        <v>46330</v>
      </c>
      <c r="C2409" s="122">
        <f t="shared" si="566"/>
        <v>8000000</v>
      </c>
      <c r="D2409" s="111">
        <f t="shared" si="567"/>
        <v>121771</v>
      </c>
      <c r="E2409" s="2">
        <f t="shared" si="568"/>
        <v>41401.800000000003</v>
      </c>
      <c r="F2409" s="112">
        <f t="shared" si="569"/>
        <v>12000000</v>
      </c>
      <c r="G2409" s="2">
        <f t="shared" si="570"/>
        <v>6842665</v>
      </c>
      <c r="H2409" s="113">
        <f t="shared" si="571"/>
        <v>7788200</v>
      </c>
      <c r="I2409" s="121">
        <f t="shared" si="572"/>
        <v>9025904.1999999993</v>
      </c>
      <c r="K2409" s="123">
        <f t="shared" si="573"/>
        <v>8000000</v>
      </c>
      <c r="L2409" s="111">
        <f t="shared" si="574"/>
        <v>121771</v>
      </c>
      <c r="M2409" s="2">
        <f t="shared" si="575"/>
        <v>41401.800000000003</v>
      </c>
      <c r="N2409" s="112">
        <f t="shared" si="576"/>
        <v>12000000</v>
      </c>
      <c r="O2409" s="2">
        <f t="shared" si="577"/>
        <v>6842665</v>
      </c>
      <c r="P2409" s="113">
        <f t="shared" si="578"/>
        <v>7788200</v>
      </c>
      <c r="Q2409" s="121">
        <f t="shared" si="579"/>
        <v>9025904.1999999993</v>
      </c>
    </row>
    <row r="2410" spans="2:17" x14ac:dyDescent="0.4">
      <c r="B2410" s="110">
        <v>46331</v>
      </c>
      <c r="C2410" s="122">
        <f t="shared" si="566"/>
        <v>8000000</v>
      </c>
      <c r="D2410" s="111">
        <f t="shared" si="567"/>
        <v>121771</v>
      </c>
      <c r="E2410" s="2">
        <f t="shared" si="568"/>
        <v>41401.800000000003</v>
      </c>
      <c r="F2410" s="112">
        <f t="shared" si="569"/>
        <v>12000000</v>
      </c>
      <c r="G2410" s="2">
        <f t="shared" si="570"/>
        <v>6842665</v>
      </c>
      <c r="H2410" s="113">
        <f t="shared" si="571"/>
        <v>7788200</v>
      </c>
      <c r="I2410" s="121">
        <f t="shared" si="572"/>
        <v>9025904.1999999993</v>
      </c>
      <c r="K2410" s="123">
        <f t="shared" si="573"/>
        <v>8000000</v>
      </c>
      <c r="L2410" s="111">
        <f t="shared" si="574"/>
        <v>121771</v>
      </c>
      <c r="M2410" s="2">
        <f t="shared" si="575"/>
        <v>41401.800000000003</v>
      </c>
      <c r="N2410" s="112">
        <f t="shared" si="576"/>
        <v>12000000</v>
      </c>
      <c r="O2410" s="2">
        <f t="shared" si="577"/>
        <v>6842665</v>
      </c>
      <c r="P2410" s="113">
        <f t="shared" si="578"/>
        <v>7788200</v>
      </c>
      <c r="Q2410" s="121">
        <f t="shared" si="579"/>
        <v>9025904.1999999993</v>
      </c>
    </row>
    <row r="2411" spans="2:17" x14ac:dyDescent="0.4">
      <c r="B2411" s="110">
        <v>46332</v>
      </c>
      <c r="C2411" s="122">
        <f t="shared" si="566"/>
        <v>8000000</v>
      </c>
      <c r="D2411" s="111">
        <f t="shared" si="567"/>
        <v>121771</v>
      </c>
      <c r="E2411" s="2">
        <f t="shared" si="568"/>
        <v>41401.800000000003</v>
      </c>
      <c r="F2411" s="112">
        <f t="shared" si="569"/>
        <v>12000000</v>
      </c>
      <c r="G2411" s="2">
        <f t="shared" si="570"/>
        <v>6842665</v>
      </c>
      <c r="H2411" s="113">
        <f t="shared" si="571"/>
        <v>7788200</v>
      </c>
      <c r="I2411" s="121">
        <f t="shared" si="572"/>
        <v>9025904.1999999993</v>
      </c>
      <c r="K2411" s="123">
        <f t="shared" si="573"/>
        <v>8000000</v>
      </c>
      <c r="L2411" s="111">
        <f t="shared" si="574"/>
        <v>121771</v>
      </c>
      <c r="M2411" s="2">
        <f t="shared" si="575"/>
        <v>41401.800000000003</v>
      </c>
      <c r="N2411" s="112">
        <f t="shared" si="576"/>
        <v>12000000</v>
      </c>
      <c r="O2411" s="2">
        <f t="shared" si="577"/>
        <v>6842665</v>
      </c>
      <c r="P2411" s="113">
        <f t="shared" si="578"/>
        <v>7788200</v>
      </c>
      <c r="Q2411" s="121">
        <f t="shared" si="579"/>
        <v>9025904.1999999993</v>
      </c>
    </row>
    <row r="2412" spans="2:17" x14ac:dyDescent="0.4">
      <c r="B2412" s="110">
        <v>46333</v>
      </c>
      <c r="C2412" s="122">
        <f t="shared" si="566"/>
        <v>8000000</v>
      </c>
      <c r="D2412" s="111">
        <f t="shared" si="567"/>
        <v>121771</v>
      </c>
      <c r="E2412" s="2">
        <f t="shared" si="568"/>
        <v>41401.800000000003</v>
      </c>
      <c r="F2412" s="112">
        <f t="shared" si="569"/>
        <v>12000000</v>
      </c>
      <c r="G2412" s="2">
        <f t="shared" si="570"/>
        <v>6842665</v>
      </c>
      <c r="H2412" s="113">
        <f t="shared" si="571"/>
        <v>7788200</v>
      </c>
      <c r="I2412" s="121">
        <f t="shared" si="572"/>
        <v>9025904.1999999993</v>
      </c>
      <c r="K2412" s="123">
        <f t="shared" si="573"/>
        <v>8000000</v>
      </c>
      <c r="L2412" s="111">
        <f t="shared" si="574"/>
        <v>121771</v>
      </c>
      <c r="M2412" s="2">
        <f t="shared" si="575"/>
        <v>41401.800000000003</v>
      </c>
      <c r="N2412" s="112">
        <f t="shared" si="576"/>
        <v>12000000</v>
      </c>
      <c r="O2412" s="2">
        <f t="shared" si="577"/>
        <v>6842665</v>
      </c>
      <c r="P2412" s="113">
        <f t="shared" si="578"/>
        <v>7788200</v>
      </c>
      <c r="Q2412" s="121">
        <f t="shared" si="579"/>
        <v>9025904.1999999993</v>
      </c>
    </row>
    <row r="2413" spans="2:17" x14ac:dyDescent="0.4">
      <c r="B2413" s="110">
        <v>46334</v>
      </c>
      <c r="C2413" s="122">
        <f t="shared" si="566"/>
        <v>8000000</v>
      </c>
      <c r="D2413" s="111">
        <f t="shared" si="567"/>
        <v>121771</v>
      </c>
      <c r="E2413" s="2">
        <f t="shared" si="568"/>
        <v>41401.800000000003</v>
      </c>
      <c r="F2413" s="112">
        <f t="shared" si="569"/>
        <v>12000000</v>
      </c>
      <c r="G2413" s="2">
        <f t="shared" si="570"/>
        <v>6842665</v>
      </c>
      <c r="H2413" s="113">
        <f t="shared" si="571"/>
        <v>7788200</v>
      </c>
      <c r="I2413" s="121">
        <f t="shared" si="572"/>
        <v>9025904.1999999993</v>
      </c>
      <c r="K2413" s="123">
        <f t="shared" si="573"/>
        <v>8000000</v>
      </c>
      <c r="L2413" s="111">
        <f t="shared" si="574"/>
        <v>121771</v>
      </c>
      <c r="M2413" s="2">
        <f t="shared" si="575"/>
        <v>41401.800000000003</v>
      </c>
      <c r="N2413" s="112">
        <f t="shared" si="576"/>
        <v>12000000</v>
      </c>
      <c r="O2413" s="2">
        <f t="shared" si="577"/>
        <v>6842665</v>
      </c>
      <c r="P2413" s="113">
        <f t="shared" si="578"/>
        <v>7788200</v>
      </c>
      <c r="Q2413" s="121">
        <f t="shared" si="579"/>
        <v>9025904.1999999993</v>
      </c>
    </row>
    <row r="2414" spans="2:17" x14ac:dyDescent="0.4">
      <c r="B2414" s="110">
        <v>46335</v>
      </c>
      <c r="C2414" s="122">
        <f t="shared" si="566"/>
        <v>8000000</v>
      </c>
      <c r="D2414" s="111">
        <f t="shared" si="567"/>
        <v>121771</v>
      </c>
      <c r="E2414" s="2">
        <f t="shared" si="568"/>
        <v>41401.800000000003</v>
      </c>
      <c r="F2414" s="112">
        <f t="shared" si="569"/>
        <v>12000000</v>
      </c>
      <c r="G2414" s="2">
        <f t="shared" si="570"/>
        <v>6842665</v>
      </c>
      <c r="H2414" s="113">
        <f t="shared" si="571"/>
        <v>7788200</v>
      </c>
      <c r="I2414" s="121">
        <f t="shared" si="572"/>
        <v>9025904.1999999993</v>
      </c>
      <c r="K2414" s="123">
        <f t="shared" si="573"/>
        <v>8000000</v>
      </c>
      <c r="L2414" s="111">
        <f t="shared" si="574"/>
        <v>121771</v>
      </c>
      <c r="M2414" s="2">
        <f t="shared" si="575"/>
        <v>41401.800000000003</v>
      </c>
      <c r="N2414" s="112">
        <f t="shared" si="576"/>
        <v>12000000</v>
      </c>
      <c r="O2414" s="2">
        <f t="shared" si="577"/>
        <v>6842665</v>
      </c>
      <c r="P2414" s="113">
        <f t="shared" si="578"/>
        <v>7788200</v>
      </c>
      <c r="Q2414" s="121">
        <f t="shared" si="579"/>
        <v>9025904.1999999993</v>
      </c>
    </row>
    <row r="2415" spans="2:17" x14ac:dyDescent="0.4">
      <c r="B2415" s="110">
        <v>46336</v>
      </c>
      <c r="C2415" s="122">
        <f t="shared" si="566"/>
        <v>8000000</v>
      </c>
      <c r="D2415" s="111">
        <f t="shared" si="567"/>
        <v>121771</v>
      </c>
      <c r="E2415" s="2">
        <f t="shared" si="568"/>
        <v>41401.800000000003</v>
      </c>
      <c r="F2415" s="112">
        <f t="shared" si="569"/>
        <v>12000000</v>
      </c>
      <c r="G2415" s="2">
        <f t="shared" si="570"/>
        <v>6842665</v>
      </c>
      <c r="H2415" s="113">
        <f t="shared" si="571"/>
        <v>7788200</v>
      </c>
      <c r="I2415" s="121">
        <f t="shared" si="572"/>
        <v>9025904.1999999993</v>
      </c>
      <c r="K2415" s="123">
        <f t="shared" si="573"/>
        <v>8000000</v>
      </c>
      <c r="L2415" s="111">
        <f t="shared" si="574"/>
        <v>121771</v>
      </c>
      <c r="M2415" s="2">
        <f t="shared" si="575"/>
        <v>41401.800000000003</v>
      </c>
      <c r="N2415" s="112">
        <f t="shared" si="576"/>
        <v>12000000</v>
      </c>
      <c r="O2415" s="2">
        <f t="shared" si="577"/>
        <v>6842665</v>
      </c>
      <c r="P2415" s="113">
        <f t="shared" si="578"/>
        <v>7788200</v>
      </c>
      <c r="Q2415" s="121">
        <f t="shared" si="579"/>
        <v>9025904.1999999993</v>
      </c>
    </row>
    <row r="2416" spans="2:17" x14ac:dyDescent="0.4">
      <c r="B2416" s="110">
        <v>46337</v>
      </c>
      <c r="C2416" s="122">
        <f t="shared" si="566"/>
        <v>8000000</v>
      </c>
      <c r="D2416" s="111">
        <f t="shared" si="567"/>
        <v>121771</v>
      </c>
      <c r="E2416" s="2">
        <f t="shared" si="568"/>
        <v>41401.800000000003</v>
      </c>
      <c r="F2416" s="112">
        <f t="shared" si="569"/>
        <v>12000000</v>
      </c>
      <c r="G2416" s="2">
        <f t="shared" si="570"/>
        <v>6842665</v>
      </c>
      <c r="H2416" s="113">
        <f t="shared" si="571"/>
        <v>7788200</v>
      </c>
      <c r="I2416" s="121">
        <f t="shared" si="572"/>
        <v>9025904.1999999993</v>
      </c>
      <c r="K2416" s="123">
        <f t="shared" si="573"/>
        <v>8000000</v>
      </c>
      <c r="L2416" s="111">
        <f t="shared" si="574"/>
        <v>121771</v>
      </c>
      <c r="M2416" s="2">
        <f t="shared" si="575"/>
        <v>41401.800000000003</v>
      </c>
      <c r="N2416" s="112">
        <f t="shared" si="576"/>
        <v>12000000</v>
      </c>
      <c r="O2416" s="2">
        <f t="shared" si="577"/>
        <v>6842665</v>
      </c>
      <c r="P2416" s="113">
        <f t="shared" si="578"/>
        <v>7788200</v>
      </c>
      <c r="Q2416" s="121">
        <f t="shared" si="579"/>
        <v>9025904.1999999993</v>
      </c>
    </row>
    <row r="2417" spans="2:17" x14ac:dyDescent="0.4">
      <c r="B2417" s="110">
        <v>46338</v>
      </c>
      <c r="C2417" s="122">
        <f t="shared" si="566"/>
        <v>8000000</v>
      </c>
      <c r="D2417" s="111">
        <f t="shared" si="567"/>
        <v>121771</v>
      </c>
      <c r="E2417" s="2">
        <f t="shared" si="568"/>
        <v>41401.800000000003</v>
      </c>
      <c r="F2417" s="112">
        <f t="shared" si="569"/>
        <v>12000000</v>
      </c>
      <c r="G2417" s="2">
        <f t="shared" si="570"/>
        <v>6842665</v>
      </c>
      <c r="H2417" s="113">
        <f t="shared" si="571"/>
        <v>7788200</v>
      </c>
      <c r="I2417" s="121">
        <f t="shared" si="572"/>
        <v>9025904.1999999993</v>
      </c>
      <c r="K2417" s="123">
        <f t="shared" si="573"/>
        <v>8000000</v>
      </c>
      <c r="L2417" s="111">
        <f t="shared" si="574"/>
        <v>121771</v>
      </c>
      <c r="M2417" s="2">
        <f t="shared" si="575"/>
        <v>41401.800000000003</v>
      </c>
      <c r="N2417" s="112">
        <f t="shared" si="576"/>
        <v>12000000</v>
      </c>
      <c r="O2417" s="2">
        <f t="shared" si="577"/>
        <v>6842665</v>
      </c>
      <c r="P2417" s="113">
        <f t="shared" si="578"/>
        <v>7788200</v>
      </c>
      <c r="Q2417" s="121">
        <f t="shared" si="579"/>
        <v>9025904.1999999993</v>
      </c>
    </row>
    <row r="2418" spans="2:17" x14ac:dyDescent="0.4">
      <c r="B2418" s="110">
        <v>46339</v>
      </c>
      <c r="C2418" s="122">
        <f t="shared" si="566"/>
        <v>8000000</v>
      </c>
      <c r="D2418" s="111">
        <f t="shared" si="567"/>
        <v>121771</v>
      </c>
      <c r="E2418" s="2">
        <f t="shared" si="568"/>
        <v>41401.800000000003</v>
      </c>
      <c r="F2418" s="112">
        <f t="shared" si="569"/>
        <v>12000000</v>
      </c>
      <c r="G2418" s="2">
        <f t="shared" si="570"/>
        <v>6842665</v>
      </c>
      <c r="H2418" s="113">
        <f t="shared" si="571"/>
        <v>7788200</v>
      </c>
      <c r="I2418" s="121">
        <f t="shared" si="572"/>
        <v>9025904.1999999993</v>
      </c>
      <c r="K2418" s="123">
        <f t="shared" si="573"/>
        <v>8000000</v>
      </c>
      <c r="L2418" s="111">
        <f t="shared" si="574"/>
        <v>121771</v>
      </c>
      <c r="M2418" s="2">
        <f t="shared" si="575"/>
        <v>41401.800000000003</v>
      </c>
      <c r="N2418" s="112">
        <f t="shared" si="576"/>
        <v>12000000</v>
      </c>
      <c r="O2418" s="2">
        <f t="shared" si="577"/>
        <v>6842665</v>
      </c>
      <c r="P2418" s="113">
        <f t="shared" si="578"/>
        <v>7788200</v>
      </c>
      <c r="Q2418" s="121">
        <f t="shared" si="579"/>
        <v>9025904.1999999993</v>
      </c>
    </row>
    <row r="2419" spans="2:17" x14ac:dyDescent="0.4">
      <c r="B2419" s="110">
        <v>46340</v>
      </c>
      <c r="C2419" s="122">
        <f t="shared" si="566"/>
        <v>8000000</v>
      </c>
      <c r="D2419" s="111">
        <f t="shared" si="567"/>
        <v>121771</v>
      </c>
      <c r="E2419" s="2">
        <f t="shared" si="568"/>
        <v>41401.800000000003</v>
      </c>
      <c r="F2419" s="112">
        <f t="shared" si="569"/>
        <v>12000000</v>
      </c>
      <c r="G2419" s="2">
        <f t="shared" si="570"/>
        <v>6842665</v>
      </c>
      <c r="H2419" s="113">
        <f t="shared" si="571"/>
        <v>7788200</v>
      </c>
      <c r="I2419" s="121">
        <f t="shared" si="572"/>
        <v>9025904.1999999993</v>
      </c>
      <c r="K2419" s="123">
        <f t="shared" si="573"/>
        <v>8000000</v>
      </c>
      <c r="L2419" s="111">
        <f t="shared" si="574"/>
        <v>121771</v>
      </c>
      <c r="M2419" s="2">
        <f t="shared" si="575"/>
        <v>41401.800000000003</v>
      </c>
      <c r="N2419" s="112">
        <f t="shared" si="576"/>
        <v>12000000</v>
      </c>
      <c r="O2419" s="2">
        <f t="shared" si="577"/>
        <v>6842665</v>
      </c>
      <c r="P2419" s="113">
        <f t="shared" si="578"/>
        <v>7788200</v>
      </c>
      <c r="Q2419" s="121">
        <f t="shared" si="579"/>
        <v>9025904.1999999993</v>
      </c>
    </row>
    <row r="2420" spans="2:17" x14ac:dyDescent="0.4">
      <c r="B2420" s="110">
        <v>46341</v>
      </c>
      <c r="C2420" s="122">
        <f t="shared" si="566"/>
        <v>8000000</v>
      </c>
      <c r="D2420" s="111">
        <f t="shared" si="567"/>
        <v>121771</v>
      </c>
      <c r="E2420" s="2">
        <f t="shared" si="568"/>
        <v>41401.800000000003</v>
      </c>
      <c r="F2420" s="112">
        <f t="shared" si="569"/>
        <v>12000000</v>
      </c>
      <c r="G2420" s="2">
        <f t="shared" si="570"/>
        <v>6842665</v>
      </c>
      <c r="H2420" s="113">
        <f t="shared" si="571"/>
        <v>7788200</v>
      </c>
      <c r="I2420" s="121">
        <f t="shared" si="572"/>
        <v>9025904.1999999993</v>
      </c>
      <c r="K2420" s="123">
        <f t="shared" si="573"/>
        <v>8000000</v>
      </c>
      <c r="L2420" s="111">
        <f t="shared" si="574"/>
        <v>121771</v>
      </c>
      <c r="M2420" s="2">
        <f t="shared" si="575"/>
        <v>41401.800000000003</v>
      </c>
      <c r="N2420" s="112">
        <f t="shared" si="576"/>
        <v>12000000</v>
      </c>
      <c r="O2420" s="2">
        <f t="shared" si="577"/>
        <v>6842665</v>
      </c>
      <c r="P2420" s="113">
        <f t="shared" si="578"/>
        <v>7788200</v>
      </c>
      <c r="Q2420" s="121">
        <f t="shared" si="579"/>
        <v>9025904.1999999993</v>
      </c>
    </row>
    <row r="2421" spans="2:17" x14ac:dyDescent="0.4">
      <c r="B2421" s="110">
        <v>46342</v>
      </c>
      <c r="C2421" s="122">
        <f t="shared" si="566"/>
        <v>8000000</v>
      </c>
      <c r="D2421" s="111">
        <f t="shared" si="567"/>
        <v>121771</v>
      </c>
      <c r="E2421" s="2">
        <f t="shared" si="568"/>
        <v>41401.800000000003</v>
      </c>
      <c r="F2421" s="112">
        <f t="shared" si="569"/>
        <v>12000000</v>
      </c>
      <c r="G2421" s="2">
        <f t="shared" si="570"/>
        <v>6842665</v>
      </c>
      <c r="H2421" s="113">
        <f t="shared" si="571"/>
        <v>7788200</v>
      </c>
      <c r="I2421" s="121">
        <f t="shared" si="572"/>
        <v>9025904.1999999993</v>
      </c>
      <c r="K2421" s="123">
        <f t="shared" si="573"/>
        <v>8000000</v>
      </c>
      <c r="L2421" s="111">
        <f t="shared" si="574"/>
        <v>121771</v>
      </c>
      <c r="M2421" s="2">
        <f t="shared" si="575"/>
        <v>41401.800000000003</v>
      </c>
      <c r="N2421" s="112">
        <f t="shared" si="576"/>
        <v>12000000</v>
      </c>
      <c r="O2421" s="2">
        <f t="shared" si="577"/>
        <v>6842665</v>
      </c>
      <c r="P2421" s="113">
        <f t="shared" si="578"/>
        <v>7788200</v>
      </c>
      <c r="Q2421" s="121">
        <f t="shared" si="579"/>
        <v>9025904.1999999993</v>
      </c>
    </row>
    <row r="2422" spans="2:17" x14ac:dyDescent="0.4">
      <c r="B2422" s="110">
        <v>46343</v>
      </c>
      <c r="C2422" s="122">
        <f t="shared" si="566"/>
        <v>8000000</v>
      </c>
      <c r="D2422" s="111">
        <f t="shared" si="567"/>
        <v>121771</v>
      </c>
      <c r="E2422" s="2">
        <f t="shared" si="568"/>
        <v>41401.800000000003</v>
      </c>
      <c r="F2422" s="112">
        <f t="shared" si="569"/>
        <v>12000000</v>
      </c>
      <c r="G2422" s="2">
        <f t="shared" si="570"/>
        <v>6842665</v>
      </c>
      <c r="H2422" s="113">
        <f t="shared" si="571"/>
        <v>7788200</v>
      </c>
      <c r="I2422" s="121">
        <f t="shared" si="572"/>
        <v>9025904.1999999993</v>
      </c>
      <c r="K2422" s="123">
        <f t="shared" si="573"/>
        <v>8000000</v>
      </c>
      <c r="L2422" s="111">
        <f t="shared" si="574"/>
        <v>121771</v>
      </c>
      <c r="M2422" s="2">
        <f t="shared" si="575"/>
        <v>41401.800000000003</v>
      </c>
      <c r="N2422" s="112">
        <f t="shared" si="576"/>
        <v>12000000</v>
      </c>
      <c r="O2422" s="2">
        <f t="shared" si="577"/>
        <v>6842665</v>
      </c>
      <c r="P2422" s="113">
        <f t="shared" si="578"/>
        <v>7788200</v>
      </c>
      <c r="Q2422" s="121">
        <f t="shared" si="579"/>
        <v>9025904.1999999993</v>
      </c>
    </row>
    <row r="2423" spans="2:17" x14ac:dyDescent="0.4">
      <c r="B2423" s="110">
        <v>46344</v>
      </c>
      <c r="C2423" s="122">
        <f t="shared" si="566"/>
        <v>8000000</v>
      </c>
      <c r="D2423" s="111">
        <f t="shared" si="567"/>
        <v>121771</v>
      </c>
      <c r="E2423" s="2">
        <f t="shared" si="568"/>
        <v>41401.800000000003</v>
      </c>
      <c r="F2423" s="112">
        <f t="shared" si="569"/>
        <v>12000000</v>
      </c>
      <c r="G2423" s="2">
        <f t="shared" si="570"/>
        <v>6842665</v>
      </c>
      <c r="H2423" s="113">
        <f t="shared" si="571"/>
        <v>7788200</v>
      </c>
      <c r="I2423" s="121">
        <f t="shared" si="572"/>
        <v>9025904.1999999993</v>
      </c>
      <c r="K2423" s="123">
        <f t="shared" si="573"/>
        <v>8000000</v>
      </c>
      <c r="L2423" s="111">
        <f t="shared" si="574"/>
        <v>121771</v>
      </c>
      <c r="M2423" s="2">
        <f t="shared" si="575"/>
        <v>41401.800000000003</v>
      </c>
      <c r="N2423" s="112">
        <f t="shared" si="576"/>
        <v>12000000</v>
      </c>
      <c r="O2423" s="2">
        <f t="shared" si="577"/>
        <v>6842665</v>
      </c>
      <c r="P2423" s="113">
        <f t="shared" si="578"/>
        <v>7788200</v>
      </c>
      <c r="Q2423" s="121">
        <f t="shared" si="579"/>
        <v>9025904.1999999993</v>
      </c>
    </row>
    <row r="2424" spans="2:17" x14ac:dyDescent="0.4">
      <c r="B2424" s="110">
        <v>46345</v>
      </c>
      <c r="C2424" s="122">
        <f t="shared" si="566"/>
        <v>8000000</v>
      </c>
      <c r="D2424" s="111">
        <f t="shared" si="567"/>
        <v>121771</v>
      </c>
      <c r="E2424" s="2">
        <f t="shared" si="568"/>
        <v>41401.800000000003</v>
      </c>
      <c r="F2424" s="112">
        <f t="shared" si="569"/>
        <v>12000000</v>
      </c>
      <c r="G2424" s="2">
        <f t="shared" si="570"/>
        <v>6842665</v>
      </c>
      <c r="H2424" s="113">
        <f t="shared" si="571"/>
        <v>7788200</v>
      </c>
      <c r="I2424" s="121">
        <f t="shared" si="572"/>
        <v>9025904.1999999993</v>
      </c>
      <c r="K2424" s="123">
        <f t="shared" si="573"/>
        <v>8000000</v>
      </c>
      <c r="L2424" s="111">
        <f t="shared" si="574"/>
        <v>121771</v>
      </c>
      <c r="M2424" s="2">
        <f t="shared" si="575"/>
        <v>41401.800000000003</v>
      </c>
      <c r="N2424" s="112">
        <f t="shared" si="576"/>
        <v>12000000</v>
      </c>
      <c r="O2424" s="2">
        <f t="shared" si="577"/>
        <v>6842665</v>
      </c>
      <c r="P2424" s="113">
        <f t="shared" si="578"/>
        <v>7788200</v>
      </c>
      <c r="Q2424" s="121">
        <f t="shared" si="579"/>
        <v>9025904.1999999993</v>
      </c>
    </row>
    <row r="2425" spans="2:17" x14ac:dyDescent="0.4">
      <c r="B2425" s="110">
        <v>46346</v>
      </c>
      <c r="C2425" s="122">
        <f t="shared" si="566"/>
        <v>8000000</v>
      </c>
      <c r="D2425" s="111">
        <f t="shared" si="567"/>
        <v>121771</v>
      </c>
      <c r="E2425" s="2">
        <f t="shared" si="568"/>
        <v>41401.800000000003</v>
      </c>
      <c r="F2425" s="112">
        <f t="shared" si="569"/>
        <v>12000000</v>
      </c>
      <c r="G2425" s="2">
        <f t="shared" si="570"/>
        <v>6842665</v>
      </c>
      <c r="H2425" s="113">
        <f t="shared" si="571"/>
        <v>7788200</v>
      </c>
      <c r="I2425" s="121">
        <f t="shared" si="572"/>
        <v>9025904.1999999993</v>
      </c>
      <c r="K2425" s="123">
        <f t="shared" si="573"/>
        <v>8000000</v>
      </c>
      <c r="L2425" s="111">
        <f t="shared" si="574"/>
        <v>121771</v>
      </c>
      <c r="M2425" s="2">
        <f t="shared" si="575"/>
        <v>41401.800000000003</v>
      </c>
      <c r="N2425" s="112">
        <f t="shared" si="576"/>
        <v>12000000</v>
      </c>
      <c r="O2425" s="2">
        <f t="shared" si="577"/>
        <v>6842665</v>
      </c>
      <c r="P2425" s="113">
        <f t="shared" si="578"/>
        <v>7788200</v>
      </c>
      <c r="Q2425" s="121">
        <f t="shared" si="579"/>
        <v>9025904.1999999993</v>
      </c>
    </row>
    <row r="2426" spans="2:17" x14ac:dyDescent="0.4">
      <c r="B2426" s="110">
        <v>46347</v>
      </c>
      <c r="C2426" s="122">
        <f t="shared" si="566"/>
        <v>8000000</v>
      </c>
      <c r="D2426" s="111">
        <f t="shared" si="567"/>
        <v>121771</v>
      </c>
      <c r="E2426" s="2">
        <f t="shared" si="568"/>
        <v>41401.800000000003</v>
      </c>
      <c r="F2426" s="112">
        <f t="shared" si="569"/>
        <v>12000000</v>
      </c>
      <c r="G2426" s="2">
        <f t="shared" si="570"/>
        <v>6842665</v>
      </c>
      <c r="H2426" s="113">
        <f t="shared" si="571"/>
        <v>7788200</v>
      </c>
      <c r="I2426" s="121">
        <f t="shared" si="572"/>
        <v>9025904.1999999993</v>
      </c>
      <c r="K2426" s="123">
        <f t="shared" si="573"/>
        <v>8000000</v>
      </c>
      <c r="L2426" s="111">
        <f t="shared" si="574"/>
        <v>121771</v>
      </c>
      <c r="M2426" s="2">
        <f t="shared" si="575"/>
        <v>41401.800000000003</v>
      </c>
      <c r="N2426" s="112">
        <f t="shared" si="576"/>
        <v>12000000</v>
      </c>
      <c r="O2426" s="2">
        <f t="shared" si="577"/>
        <v>6842665</v>
      </c>
      <c r="P2426" s="113">
        <f t="shared" si="578"/>
        <v>7788200</v>
      </c>
      <c r="Q2426" s="121">
        <f t="shared" si="579"/>
        <v>9025904.1999999993</v>
      </c>
    </row>
    <row r="2427" spans="2:17" x14ac:dyDescent="0.4">
      <c r="B2427" s="110">
        <v>46348</v>
      </c>
      <c r="C2427" s="122">
        <f t="shared" si="566"/>
        <v>8000000</v>
      </c>
      <c r="D2427" s="111">
        <f t="shared" si="567"/>
        <v>121771</v>
      </c>
      <c r="E2427" s="2">
        <f t="shared" si="568"/>
        <v>41401.800000000003</v>
      </c>
      <c r="F2427" s="112">
        <f t="shared" si="569"/>
        <v>12000000</v>
      </c>
      <c r="G2427" s="2">
        <f t="shared" si="570"/>
        <v>6842665</v>
      </c>
      <c r="H2427" s="113">
        <f t="shared" si="571"/>
        <v>7788200</v>
      </c>
      <c r="I2427" s="121">
        <f t="shared" si="572"/>
        <v>9025904.1999999993</v>
      </c>
      <c r="K2427" s="123">
        <f t="shared" si="573"/>
        <v>8000000</v>
      </c>
      <c r="L2427" s="111">
        <f t="shared" si="574"/>
        <v>121771</v>
      </c>
      <c r="M2427" s="2">
        <f t="shared" si="575"/>
        <v>41401.800000000003</v>
      </c>
      <c r="N2427" s="112">
        <f t="shared" si="576"/>
        <v>12000000</v>
      </c>
      <c r="O2427" s="2">
        <f t="shared" si="577"/>
        <v>6842665</v>
      </c>
      <c r="P2427" s="113">
        <f t="shared" si="578"/>
        <v>7788200</v>
      </c>
      <c r="Q2427" s="121">
        <f t="shared" si="579"/>
        <v>9025904.1999999993</v>
      </c>
    </row>
    <row r="2428" spans="2:17" x14ac:dyDescent="0.4">
      <c r="B2428" s="110">
        <v>46349</v>
      </c>
      <c r="C2428" s="122">
        <f t="shared" si="566"/>
        <v>8000000</v>
      </c>
      <c r="D2428" s="111">
        <f t="shared" si="567"/>
        <v>121771</v>
      </c>
      <c r="E2428" s="2">
        <f t="shared" si="568"/>
        <v>41401.800000000003</v>
      </c>
      <c r="F2428" s="112">
        <f t="shared" si="569"/>
        <v>12000000</v>
      </c>
      <c r="G2428" s="2">
        <f t="shared" si="570"/>
        <v>6842665</v>
      </c>
      <c r="H2428" s="113">
        <f t="shared" si="571"/>
        <v>7788200</v>
      </c>
      <c r="I2428" s="121">
        <f t="shared" si="572"/>
        <v>9025904.1999999993</v>
      </c>
      <c r="K2428" s="123">
        <f t="shared" si="573"/>
        <v>8000000</v>
      </c>
      <c r="L2428" s="111">
        <f t="shared" si="574"/>
        <v>121771</v>
      </c>
      <c r="M2428" s="2">
        <f t="shared" si="575"/>
        <v>41401.800000000003</v>
      </c>
      <c r="N2428" s="112">
        <f t="shared" si="576"/>
        <v>12000000</v>
      </c>
      <c r="O2428" s="2">
        <f t="shared" si="577"/>
        <v>6842665</v>
      </c>
      <c r="P2428" s="113">
        <f t="shared" si="578"/>
        <v>7788200</v>
      </c>
      <c r="Q2428" s="121">
        <f t="shared" si="579"/>
        <v>9025904.1999999993</v>
      </c>
    </row>
    <row r="2429" spans="2:17" x14ac:dyDescent="0.4">
      <c r="B2429" s="110">
        <v>46350</v>
      </c>
      <c r="C2429" s="122">
        <f t="shared" si="566"/>
        <v>8000000</v>
      </c>
      <c r="D2429" s="111">
        <f t="shared" si="567"/>
        <v>121771</v>
      </c>
      <c r="E2429" s="2">
        <f t="shared" si="568"/>
        <v>41401.800000000003</v>
      </c>
      <c r="F2429" s="112">
        <f t="shared" si="569"/>
        <v>12000000</v>
      </c>
      <c r="G2429" s="2">
        <f t="shared" si="570"/>
        <v>6842665</v>
      </c>
      <c r="H2429" s="113">
        <f t="shared" si="571"/>
        <v>7788200</v>
      </c>
      <c r="I2429" s="121">
        <f t="shared" si="572"/>
        <v>9025904.1999999993</v>
      </c>
      <c r="K2429" s="123">
        <f t="shared" si="573"/>
        <v>8000000</v>
      </c>
      <c r="L2429" s="111">
        <f t="shared" si="574"/>
        <v>121771</v>
      </c>
      <c r="M2429" s="2">
        <f t="shared" si="575"/>
        <v>41401.800000000003</v>
      </c>
      <c r="N2429" s="112">
        <f t="shared" si="576"/>
        <v>12000000</v>
      </c>
      <c r="O2429" s="2">
        <f t="shared" si="577"/>
        <v>6842665</v>
      </c>
      <c r="P2429" s="113">
        <f t="shared" si="578"/>
        <v>7788200</v>
      </c>
      <c r="Q2429" s="121">
        <f t="shared" si="579"/>
        <v>9025904.1999999993</v>
      </c>
    </row>
    <row r="2430" spans="2:17" x14ac:dyDescent="0.4">
      <c r="B2430" s="110">
        <v>46351</v>
      </c>
      <c r="C2430" s="122">
        <f t="shared" si="566"/>
        <v>8000000</v>
      </c>
      <c r="D2430" s="111">
        <f t="shared" si="567"/>
        <v>121771</v>
      </c>
      <c r="E2430" s="2">
        <f t="shared" si="568"/>
        <v>41401.800000000003</v>
      </c>
      <c r="F2430" s="112">
        <f t="shared" si="569"/>
        <v>12000000</v>
      </c>
      <c r="G2430" s="2">
        <f t="shared" si="570"/>
        <v>6842665</v>
      </c>
      <c r="H2430" s="113">
        <f t="shared" si="571"/>
        <v>7788200</v>
      </c>
      <c r="I2430" s="121">
        <f t="shared" si="572"/>
        <v>9025904.1999999993</v>
      </c>
      <c r="K2430" s="123">
        <f t="shared" si="573"/>
        <v>8000000</v>
      </c>
      <c r="L2430" s="111">
        <f t="shared" si="574"/>
        <v>121771</v>
      </c>
      <c r="M2430" s="2">
        <f t="shared" si="575"/>
        <v>41401.800000000003</v>
      </c>
      <c r="N2430" s="112">
        <f t="shared" si="576"/>
        <v>12000000</v>
      </c>
      <c r="O2430" s="2">
        <f t="shared" si="577"/>
        <v>6842665</v>
      </c>
      <c r="P2430" s="113">
        <f t="shared" si="578"/>
        <v>7788200</v>
      </c>
      <c r="Q2430" s="121">
        <f t="shared" si="579"/>
        <v>9025904.1999999993</v>
      </c>
    </row>
    <row r="2431" spans="2:17" x14ac:dyDescent="0.4">
      <c r="B2431" s="110">
        <v>46352</v>
      </c>
      <c r="C2431" s="122">
        <f t="shared" si="566"/>
        <v>8000000</v>
      </c>
      <c r="D2431" s="111">
        <f t="shared" si="567"/>
        <v>121771</v>
      </c>
      <c r="E2431" s="2">
        <f t="shared" si="568"/>
        <v>41401.800000000003</v>
      </c>
      <c r="F2431" s="112">
        <f t="shared" si="569"/>
        <v>12000000</v>
      </c>
      <c r="G2431" s="2">
        <f t="shared" si="570"/>
        <v>6842665</v>
      </c>
      <c r="H2431" s="113">
        <f t="shared" si="571"/>
        <v>7788200</v>
      </c>
      <c r="I2431" s="121">
        <f t="shared" si="572"/>
        <v>9025904.1999999993</v>
      </c>
      <c r="K2431" s="123">
        <f t="shared" si="573"/>
        <v>8000000</v>
      </c>
      <c r="L2431" s="111">
        <f t="shared" si="574"/>
        <v>121771</v>
      </c>
      <c r="M2431" s="2">
        <f t="shared" si="575"/>
        <v>41401.800000000003</v>
      </c>
      <c r="N2431" s="112">
        <f t="shared" si="576"/>
        <v>12000000</v>
      </c>
      <c r="O2431" s="2">
        <f t="shared" si="577"/>
        <v>6842665</v>
      </c>
      <c r="P2431" s="113">
        <f t="shared" si="578"/>
        <v>7788200</v>
      </c>
      <c r="Q2431" s="121">
        <f t="shared" si="579"/>
        <v>9025904.1999999993</v>
      </c>
    </row>
    <row r="2432" spans="2:17" x14ac:dyDescent="0.4">
      <c r="B2432" s="110">
        <v>46353</v>
      </c>
      <c r="C2432" s="122">
        <f t="shared" si="566"/>
        <v>8000000</v>
      </c>
      <c r="D2432" s="111">
        <f t="shared" si="567"/>
        <v>121771</v>
      </c>
      <c r="E2432" s="2">
        <f t="shared" si="568"/>
        <v>41401.800000000003</v>
      </c>
      <c r="F2432" s="112">
        <f t="shared" si="569"/>
        <v>12000000</v>
      </c>
      <c r="G2432" s="2">
        <f t="shared" si="570"/>
        <v>6842665</v>
      </c>
      <c r="H2432" s="113">
        <f t="shared" si="571"/>
        <v>7788200</v>
      </c>
      <c r="I2432" s="121">
        <f t="shared" si="572"/>
        <v>9025904.1999999993</v>
      </c>
      <c r="K2432" s="123">
        <f t="shared" si="573"/>
        <v>8000000</v>
      </c>
      <c r="L2432" s="111">
        <f t="shared" si="574"/>
        <v>121771</v>
      </c>
      <c r="M2432" s="2">
        <f t="shared" si="575"/>
        <v>41401.800000000003</v>
      </c>
      <c r="N2432" s="112">
        <f t="shared" si="576"/>
        <v>12000000</v>
      </c>
      <c r="O2432" s="2">
        <f t="shared" si="577"/>
        <v>6842665</v>
      </c>
      <c r="P2432" s="113">
        <f t="shared" si="578"/>
        <v>7788200</v>
      </c>
      <c r="Q2432" s="121">
        <f t="shared" si="579"/>
        <v>9025904.1999999993</v>
      </c>
    </row>
    <row r="2433" spans="2:17" x14ac:dyDescent="0.4">
      <c r="B2433" s="110">
        <v>46354</v>
      </c>
      <c r="C2433" s="122">
        <f t="shared" si="566"/>
        <v>8000000</v>
      </c>
      <c r="D2433" s="111">
        <f t="shared" si="567"/>
        <v>121771</v>
      </c>
      <c r="E2433" s="2">
        <f t="shared" si="568"/>
        <v>41401.800000000003</v>
      </c>
      <c r="F2433" s="112">
        <f t="shared" si="569"/>
        <v>12000000</v>
      </c>
      <c r="G2433" s="2">
        <f t="shared" si="570"/>
        <v>6842665</v>
      </c>
      <c r="H2433" s="113">
        <f t="shared" si="571"/>
        <v>7788200</v>
      </c>
      <c r="I2433" s="121">
        <f t="shared" si="572"/>
        <v>9025904.1999999993</v>
      </c>
      <c r="K2433" s="123">
        <f t="shared" si="573"/>
        <v>8000000</v>
      </c>
      <c r="L2433" s="111">
        <f t="shared" si="574"/>
        <v>121771</v>
      </c>
      <c r="M2433" s="2">
        <f t="shared" si="575"/>
        <v>41401.800000000003</v>
      </c>
      <c r="N2433" s="112">
        <f t="shared" si="576"/>
        <v>12000000</v>
      </c>
      <c r="O2433" s="2">
        <f t="shared" si="577"/>
        <v>6842665</v>
      </c>
      <c r="P2433" s="113">
        <f t="shared" si="578"/>
        <v>7788200</v>
      </c>
      <c r="Q2433" s="121">
        <f t="shared" si="579"/>
        <v>9025904.1999999993</v>
      </c>
    </row>
    <row r="2434" spans="2:17" x14ac:dyDescent="0.4">
      <c r="B2434" s="110">
        <v>46355</v>
      </c>
      <c r="C2434" s="122">
        <f t="shared" si="566"/>
        <v>8000000</v>
      </c>
      <c r="D2434" s="111">
        <f t="shared" si="567"/>
        <v>121771</v>
      </c>
      <c r="E2434" s="2">
        <f t="shared" si="568"/>
        <v>41401.800000000003</v>
      </c>
      <c r="F2434" s="112">
        <f t="shared" si="569"/>
        <v>12000000</v>
      </c>
      <c r="G2434" s="2">
        <f t="shared" si="570"/>
        <v>6842665</v>
      </c>
      <c r="H2434" s="113">
        <f t="shared" si="571"/>
        <v>7788200</v>
      </c>
      <c r="I2434" s="121">
        <f t="shared" si="572"/>
        <v>9025904.1999999993</v>
      </c>
      <c r="K2434" s="123">
        <f t="shared" si="573"/>
        <v>8000000</v>
      </c>
      <c r="L2434" s="111">
        <f t="shared" si="574"/>
        <v>121771</v>
      </c>
      <c r="M2434" s="2">
        <f t="shared" si="575"/>
        <v>41401.800000000003</v>
      </c>
      <c r="N2434" s="112">
        <f t="shared" si="576"/>
        <v>12000000</v>
      </c>
      <c r="O2434" s="2">
        <f t="shared" si="577"/>
        <v>6842665</v>
      </c>
      <c r="P2434" s="113">
        <f t="shared" si="578"/>
        <v>7788200</v>
      </c>
      <c r="Q2434" s="121">
        <f t="shared" si="579"/>
        <v>9025904.1999999993</v>
      </c>
    </row>
    <row r="2435" spans="2:17" x14ac:dyDescent="0.4">
      <c r="B2435" s="110">
        <v>46356</v>
      </c>
      <c r="C2435" s="122">
        <f t="shared" si="566"/>
        <v>8000000</v>
      </c>
      <c r="D2435" s="111">
        <f t="shared" si="567"/>
        <v>121771</v>
      </c>
      <c r="E2435" s="2">
        <f t="shared" si="568"/>
        <v>41401.800000000003</v>
      </c>
      <c r="F2435" s="112">
        <f t="shared" si="569"/>
        <v>12000000</v>
      </c>
      <c r="G2435" s="2">
        <f t="shared" si="570"/>
        <v>6842665</v>
      </c>
      <c r="H2435" s="113">
        <f t="shared" si="571"/>
        <v>7788200</v>
      </c>
      <c r="I2435" s="121">
        <f t="shared" si="572"/>
        <v>9025904.1999999993</v>
      </c>
      <c r="K2435" s="123">
        <f t="shared" si="573"/>
        <v>8000000</v>
      </c>
      <c r="L2435" s="111">
        <f t="shared" si="574"/>
        <v>121771</v>
      </c>
      <c r="M2435" s="2">
        <f t="shared" si="575"/>
        <v>41401.800000000003</v>
      </c>
      <c r="N2435" s="112">
        <f t="shared" si="576"/>
        <v>12000000</v>
      </c>
      <c r="O2435" s="2">
        <f t="shared" si="577"/>
        <v>6842665</v>
      </c>
      <c r="P2435" s="113">
        <f t="shared" si="578"/>
        <v>7788200</v>
      </c>
      <c r="Q2435" s="121">
        <f t="shared" si="579"/>
        <v>9025904.1999999993</v>
      </c>
    </row>
    <row r="2436" spans="2:17" x14ac:dyDescent="0.4">
      <c r="B2436" s="110">
        <v>46357</v>
      </c>
      <c r="C2436" s="122">
        <f t="shared" si="566"/>
        <v>8000000</v>
      </c>
      <c r="D2436" s="111">
        <f t="shared" si="567"/>
        <v>121771</v>
      </c>
      <c r="E2436" s="2">
        <f t="shared" si="568"/>
        <v>41401.800000000003</v>
      </c>
      <c r="F2436" s="112">
        <f t="shared" si="569"/>
        <v>12000000</v>
      </c>
      <c r="G2436" s="2">
        <f t="shared" si="570"/>
        <v>6842665</v>
      </c>
      <c r="H2436" s="113">
        <f t="shared" si="571"/>
        <v>7788200</v>
      </c>
      <c r="I2436" s="121">
        <f t="shared" si="572"/>
        <v>9025904.1999999993</v>
      </c>
      <c r="K2436" s="123">
        <f t="shared" si="573"/>
        <v>8000000</v>
      </c>
      <c r="L2436" s="111">
        <f t="shared" si="574"/>
        <v>121771</v>
      </c>
      <c r="M2436" s="2">
        <f t="shared" si="575"/>
        <v>41401.800000000003</v>
      </c>
      <c r="N2436" s="112">
        <f t="shared" si="576"/>
        <v>12000000</v>
      </c>
      <c r="O2436" s="2">
        <f t="shared" si="577"/>
        <v>6842665</v>
      </c>
      <c r="P2436" s="113">
        <f t="shared" si="578"/>
        <v>7788200</v>
      </c>
      <c r="Q2436" s="121">
        <f t="shared" si="579"/>
        <v>9025904.1999999993</v>
      </c>
    </row>
    <row r="2437" spans="2:17" x14ac:dyDescent="0.4">
      <c r="B2437" s="110">
        <v>46358</v>
      </c>
      <c r="C2437" s="122">
        <f t="shared" si="566"/>
        <v>8000000</v>
      </c>
      <c r="D2437" s="111">
        <f t="shared" si="567"/>
        <v>121771</v>
      </c>
      <c r="E2437" s="2">
        <f t="shared" si="568"/>
        <v>41401.800000000003</v>
      </c>
      <c r="F2437" s="112">
        <f t="shared" si="569"/>
        <v>12000000</v>
      </c>
      <c r="G2437" s="2">
        <f t="shared" si="570"/>
        <v>6842665</v>
      </c>
      <c r="H2437" s="113">
        <f t="shared" si="571"/>
        <v>7788200</v>
      </c>
      <c r="I2437" s="121">
        <f t="shared" si="572"/>
        <v>9025904.1999999993</v>
      </c>
      <c r="K2437" s="123">
        <f t="shared" si="573"/>
        <v>8000000</v>
      </c>
      <c r="L2437" s="111">
        <f t="shared" si="574"/>
        <v>121771</v>
      </c>
      <c r="M2437" s="2">
        <f t="shared" si="575"/>
        <v>41401.800000000003</v>
      </c>
      <c r="N2437" s="112">
        <f t="shared" si="576"/>
        <v>12000000</v>
      </c>
      <c r="O2437" s="2">
        <f t="shared" si="577"/>
        <v>6842665</v>
      </c>
      <c r="P2437" s="113">
        <f t="shared" si="578"/>
        <v>7788200</v>
      </c>
      <c r="Q2437" s="121">
        <f t="shared" si="579"/>
        <v>9025904.1999999993</v>
      </c>
    </row>
    <row r="2438" spans="2:17" x14ac:dyDescent="0.4">
      <c r="B2438" s="110">
        <v>46359</v>
      </c>
      <c r="C2438" s="122">
        <f t="shared" si="566"/>
        <v>8000000</v>
      </c>
      <c r="D2438" s="111">
        <f t="shared" si="567"/>
        <v>121771</v>
      </c>
      <c r="E2438" s="2">
        <f t="shared" si="568"/>
        <v>41401.800000000003</v>
      </c>
      <c r="F2438" s="112">
        <f t="shared" si="569"/>
        <v>12000000</v>
      </c>
      <c r="G2438" s="2">
        <f t="shared" si="570"/>
        <v>6842665</v>
      </c>
      <c r="H2438" s="113">
        <f t="shared" si="571"/>
        <v>7788200</v>
      </c>
      <c r="I2438" s="121">
        <f t="shared" si="572"/>
        <v>9025904.1999999993</v>
      </c>
      <c r="K2438" s="123">
        <f t="shared" si="573"/>
        <v>8000000</v>
      </c>
      <c r="L2438" s="111">
        <f t="shared" si="574"/>
        <v>121771</v>
      </c>
      <c r="M2438" s="2">
        <f t="shared" si="575"/>
        <v>41401.800000000003</v>
      </c>
      <c r="N2438" s="112">
        <f t="shared" si="576"/>
        <v>12000000</v>
      </c>
      <c r="O2438" s="2">
        <f t="shared" si="577"/>
        <v>6842665</v>
      </c>
      <c r="P2438" s="113">
        <f t="shared" si="578"/>
        <v>7788200</v>
      </c>
      <c r="Q2438" s="121">
        <f t="shared" si="579"/>
        <v>9025904.1999999993</v>
      </c>
    </row>
    <row r="2439" spans="2:17" x14ac:dyDescent="0.4">
      <c r="B2439" s="110">
        <v>46360</v>
      </c>
      <c r="C2439" s="122">
        <f t="shared" si="566"/>
        <v>8000000</v>
      </c>
      <c r="D2439" s="111">
        <f t="shared" si="567"/>
        <v>121771</v>
      </c>
      <c r="E2439" s="2">
        <f t="shared" si="568"/>
        <v>41401.800000000003</v>
      </c>
      <c r="F2439" s="112">
        <f t="shared" si="569"/>
        <v>12000000</v>
      </c>
      <c r="G2439" s="2">
        <f t="shared" si="570"/>
        <v>6842665</v>
      </c>
      <c r="H2439" s="113">
        <f t="shared" si="571"/>
        <v>7788200</v>
      </c>
      <c r="I2439" s="121">
        <f t="shared" si="572"/>
        <v>9025904.1999999993</v>
      </c>
      <c r="K2439" s="123">
        <f t="shared" si="573"/>
        <v>8000000</v>
      </c>
      <c r="L2439" s="111">
        <f t="shared" si="574"/>
        <v>121771</v>
      </c>
      <c r="M2439" s="2">
        <f t="shared" si="575"/>
        <v>41401.800000000003</v>
      </c>
      <c r="N2439" s="112">
        <f t="shared" si="576"/>
        <v>12000000</v>
      </c>
      <c r="O2439" s="2">
        <f t="shared" si="577"/>
        <v>6842665</v>
      </c>
      <c r="P2439" s="113">
        <f t="shared" si="578"/>
        <v>7788200</v>
      </c>
      <c r="Q2439" s="121">
        <f t="shared" si="579"/>
        <v>9025904.1999999993</v>
      </c>
    </row>
    <row r="2440" spans="2:17" x14ac:dyDescent="0.4">
      <c r="B2440" s="110">
        <v>46361</v>
      </c>
      <c r="C2440" s="122">
        <f t="shared" si="566"/>
        <v>8000000</v>
      </c>
      <c r="D2440" s="111">
        <f t="shared" si="567"/>
        <v>121771</v>
      </c>
      <c r="E2440" s="2">
        <f t="shared" si="568"/>
        <v>41401.800000000003</v>
      </c>
      <c r="F2440" s="112">
        <f t="shared" si="569"/>
        <v>12000000</v>
      </c>
      <c r="G2440" s="2">
        <f t="shared" si="570"/>
        <v>6842665</v>
      </c>
      <c r="H2440" s="113">
        <f t="shared" si="571"/>
        <v>7788200</v>
      </c>
      <c r="I2440" s="121">
        <f t="shared" si="572"/>
        <v>9025904.1999999993</v>
      </c>
      <c r="K2440" s="123">
        <f t="shared" si="573"/>
        <v>8000000</v>
      </c>
      <c r="L2440" s="111">
        <f t="shared" si="574"/>
        <v>121771</v>
      </c>
      <c r="M2440" s="2">
        <f t="shared" si="575"/>
        <v>41401.800000000003</v>
      </c>
      <c r="N2440" s="112">
        <f t="shared" si="576"/>
        <v>12000000</v>
      </c>
      <c r="O2440" s="2">
        <f t="shared" si="577"/>
        <v>6842665</v>
      </c>
      <c r="P2440" s="113">
        <f t="shared" si="578"/>
        <v>7788200</v>
      </c>
      <c r="Q2440" s="121">
        <f t="shared" si="579"/>
        <v>9025904.1999999993</v>
      </c>
    </row>
    <row r="2441" spans="2:17" x14ac:dyDescent="0.4">
      <c r="B2441" s="110">
        <v>46362</v>
      </c>
      <c r="C2441" s="122">
        <f t="shared" si="566"/>
        <v>8000000</v>
      </c>
      <c r="D2441" s="111">
        <f t="shared" si="567"/>
        <v>121771</v>
      </c>
      <c r="E2441" s="2">
        <f t="shared" si="568"/>
        <v>41401.800000000003</v>
      </c>
      <c r="F2441" s="112">
        <f t="shared" si="569"/>
        <v>12000000</v>
      </c>
      <c r="G2441" s="2">
        <f t="shared" si="570"/>
        <v>6842665</v>
      </c>
      <c r="H2441" s="113">
        <f t="shared" si="571"/>
        <v>7788200</v>
      </c>
      <c r="I2441" s="121">
        <f t="shared" si="572"/>
        <v>9025904.1999999993</v>
      </c>
      <c r="K2441" s="123">
        <f t="shared" si="573"/>
        <v>8000000</v>
      </c>
      <c r="L2441" s="111">
        <f t="shared" si="574"/>
        <v>121771</v>
      </c>
      <c r="M2441" s="2">
        <f t="shared" si="575"/>
        <v>41401.800000000003</v>
      </c>
      <c r="N2441" s="112">
        <f t="shared" si="576"/>
        <v>12000000</v>
      </c>
      <c r="O2441" s="2">
        <f t="shared" si="577"/>
        <v>6842665</v>
      </c>
      <c r="P2441" s="113">
        <f t="shared" si="578"/>
        <v>7788200</v>
      </c>
      <c r="Q2441" s="121">
        <f t="shared" si="579"/>
        <v>9025904.1999999993</v>
      </c>
    </row>
    <row r="2442" spans="2:17" x14ac:dyDescent="0.4">
      <c r="B2442" s="110">
        <v>46363</v>
      </c>
      <c r="C2442" s="122">
        <f t="shared" si="566"/>
        <v>8000000</v>
      </c>
      <c r="D2442" s="111">
        <f t="shared" si="567"/>
        <v>121771</v>
      </c>
      <c r="E2442" s="2">
        <f t="shared" si="568"/>
        <v>41401.800000000003</v>
      </c>
      <c r="F2442" s="112">
        <f t="shared" si="569"/>
        <v>12000000</v>
      </c>
      <c r="G2442" s="2">
        <f t="shared" si="570"/>
        <v>6842665</v>
      </c>
      <c r="H2442" s="113">
        <f t="shared" si="571"/>
        <v>7788200</v>
      </c>
      <c r="I2442" s="121">
        <f t="shared" si="572"/>
        <v>9025904.1999999993</v>
      </c>
      <c r="K2442" s="123">
        <f t="shared" si="573"/>
        <v>8000000</v>
      </c>
      <c r="L2442" s="111">
        <f t="shared" si="574"/>
        <v>121771</v>
      </c>
      <c r="M2442" s="2">
        <f t="shared" si="575"/>
        <v>41401.800000000003</v>
      </c>
      <c r="N2442" s="112">
        <f t="shared" si="576"/>
        <v>12000000</v>
      </c>
      <c r="O2442" s="2">
        <f t="shared" si="577"/>
        <v>6842665</v>
      </c>
      <c r="P2442" s="113">
        <f t="shared" si="578"/>
        <v>7788200</v>
      </c>
      <c r="Q2442" s="121">
        <f t="shared" si="579"/>
        <v>9025904.1999999993</v>
      </c>
    </row>
    <row r="2443" spans="2:17" x14ac:dyDescent="0.4">
      <c r="B2443" s="110">
        <v>46364</v>
      </c>
      <c r="C2443" s="122">
        <f t="shared" si="566"/>
        <v>8000000</v>
      </c>
      <c r="D2443" s="111">
        <f t="shared" si="567"/>
        <v>121771</v>
      </c>
      <c r="E2443" s="2">
        <f t="shared" si="568"/>
        <v>41401.800000000003</v>
      </c>
      <c r="F2443" s="112">
        <f t="shared" si="569"/>
        <v>12000000</v>
      </c>
      <c r="G2443" s="2">
        <f t="shared" si="570"/>
        <v>6842665</v>
      </c>
      <c r="H2443" s="113">
        <f t="shared" si="571"/>
        <v>7788200</v>
      </c>
      <c r="I2443" s="121">
        <f t="shared" si="572"/>
        <v>9025904.1999999993</v>
      </c>
      <c r="K2443" s="123">
        <f t="shared" si="573"/>
        <v>8000000</v>
      </c>
      <c r="L2443" s="111">
        <f t="shared" si="574"/>
        <v>121771</v>
      </c>
      <c r="M2443" s="2">
        <f t="shared" si="575"/>
        <v>41401.800000000003</v>
      </c>
      <c r="N2443" s="112">
        <f t="shared" si="576"/>
        <v>12000000</v>
      </c>
      <c r="O2443" s="2">
        <f t="shared" si="577"/>
        <v>6842665</v>
      </c>
      <c r="P2443" s="113">
        <f t="shared" si="578"/>
        <v>7788200</v>
      </c>
      <c r="Q2443" s="121">
        <f t="shared" si="579"/>
        <v>9025904.1999999993</v>
      </c>
    </row>
    <row r="2444" spans="2:17" x14ac:dyDescent="0.4">
      <c r="B2444" s="110">
        <v>46365</v>
      </c>
      <c r="C2444" s="122">
        <f t="shared" si="566"/>
        <v>8000000</v>
      </c>
      <c r="D2444" s="111">
        <f t="shared" si="567"/>
        <v>121771</v>
      </c>
      <c r="E2444" s="2">
        <f t="shared" si="568"/>
        <v>41401.800000000003</v>
      </c>
      <c r="F2444" s="112">
        <f t="shared" si="569"/>
        <v>12000000</v>
      </c>
      <c r="G2444" s="2">
        <f t="shared" si="570"/>
        <v>6842665</v>
      </c>
      <c r="H2444" s="113">
        <f t="shared" si="571"/>
        <v>7788200</v>
      </c>
      <c r="I2444" s="121">
        <f t="shared" si="572"/>
        <v>9025904.1999999993</v>
      </c>
      <c r="K2444" s="123">
        <f t="shared" si="573"/>
        <v>8000000</v>
      </c>
      <c r="L2444" s="111">
        <f t="shared" si="574"/>
        <v>121771</v>
      </c>
      <c r="M2444" s="2">
        <f t="shared" si="575"/>
        <v>41401.800000000003</v>
      </c>
      <c r="N2444" s="112">
        <f t="shared" si="576"/>
        <v>12000000</v>
      </c>
      <c r="O2444" s="2">
        <f t="shared" si="577"/>
        <v>6842665</v>
      </c>
      <c r="P2444" s="113">
        <f t="shared" si="578"/>
        <v>7788200</v>
      </c>
      <c r="Q2444" s="121">
        <f t="shared" si="579"/>
        <v>9025904.1999999993</v>
      </c>
    </row>
    <row r="2445" spans="2:17" x14ac:dyDescent="0.4">
      <c r="B2445" s="110">
        <v>46366</v>
      </c>
      <c r="C2445" s="122">
        <f t="shared" si="566"/>
        <v>8000000</v>
      </c>
      <c r="D2445" s="111">
        <f t="shared" si="567"/>
        <v>121771</v>
      </c>
      <c r="E2445" s="2">
        <f t="shared" si="568"/>
        <v>41401.800000000003</v>
      </c>
      <c r="F2445" s="112">
        <f t="shared" si="569"/>
        <v>12000000</v>
      </c>
      <c r="G2445" s="2">
        <f t="shared" si="570"/>
        <v>6842665</v>
      </c>
      <c r="H2445" s="113">
        <f t="shared" si="571"/>
        <v>7788200</v>
      </c>
      <c r="I2445" s="121">
        <f t="shared" si="572"/>
        <v>9025904.1999999993</v>
      </c>
      <c r="K2445" s="123">
        <f t="shared" si="573"/>
        <v>8000000</v>
      </c>
      <c r="L2445" s="111">
        <f t="shared" si="574"/>
        <v>121771</v>
      </c>
      <c r="M2445" s="2">
        <f t="shared" si="575"/>
        <v>41401.800000000003</v>
      </c>
      <c r="N2445" s="112">
        <f t="shared" si="576"/>
        <v>12000000</v>
      </c>
      <c r="O2445" s="2">
        <f t="shared" si="577"/>
        <v>6842665</v>
      </c>
      <c r="P2445" s="113">
        <f t="shared" si="578"/>
        <v>7788200</v>
      </c>
      <c r="Q2445" s="121">
        <f t="shared" si="579"/>
        <v>9025904.1999999993</v>
      </c>
    </row>
    <row r="2446" spans="2:17" x14ac:dyDescent="0.4">
      <c r="B2446" s="110">
        <v>46367</v>
      </c>
      <c r="C2446" s="122">
        <f t="shared" si="566"/>
        <v>8000000</v>
      </c>
      <c r="D2446" s="111">
        <f t="shared" si="567"/>
        <v>121771</v>
      </c>
      <c r="E2446" s="2">
        <f t="shared" si="568"/>
        <v>41401.800000000003</v>
      </c>
      <c r="F2446" s="112">
        <f t="shared" si="569"/>
        <v>12000000</v>
      </c>
      <c r="G2446" s="2">
        <f t="shared" si="570"/>
        <v>6842665</v>
      </c>
      <c r="H2446" s="113">
        <f t="shared" si="571"/>
        <v>7788200</v>
      </c>
      <c r="I2446" s="121">
        <f t="shared" si="572"/>
        <v>9025904.1999999993</v>
      </c>
      <c r="K2446" s="123">
        <f t="shared" si="573"/>
        <v>8000000</v>
      </c>
      <c r="L2446" s="111">
        <f t="shared" si="574"/>
        <v>121771</v>
      </c>
      <c r="M2446" s="2">
        <f t="shared" si="575"/>
        <v>41401.800000000003</v>
      </c>
      <c r="N2446" s="112">
        <f t="shared" si="576"/>
        <v>12000000</v>
      </c>
      <c r="O2446" s="2">
        <f t="shared" si="577"/>
        <v>6842665</v>
      </c>
      <c r="P2446" s="113">
        <f t="shared" si="578"/>
        <v>7788200</v>
      </c>
      <c r="Q2446" s="121">
        <f t="shared" si="579"/>
        <v>9025904.1999999993</v>
      </c>
    </row>
    <row r="2447" spans="2:17" x14ac:dyDescent="0.4">
      <c r="B2447" s="110">
        <v>46368</v>
      </c>
      <c r="C2447" s="122">
        <f t="shared" si="566"/>
        <v>8000000</v>
      </c>
      <c r="D2447" s="111">
        <f t="shared" si="567"/>
        <v>121771</v>
      </c>
      <c r="E2447" s="2">
        <f t="shared" si="568"/>
        <v>41401.800000000003</v>
      </c>
      <c r="F2447" s="112">
        <f t="shared" si="569"/>
        <v>12000000</v>
      </c>
      <c r="G2447" s="2">
        <f t="shared" si="570"/>
        <v>6842665</v>
      </c>
      <c r="H2447" s="113">
        <f t="shared" si="571"/>
        <v>7788200</v>
      </c>
      <c r="I2447" s="121">
        <f t="shared" si="572"/>
        <v>9025904.1999999993</v>
      </c>
      <c r="K2447" s="123">
        <f t="shared" si="573"/>
        <v>8000000</v>
      </c>
      <c r="L2447" s="111">
        <f t="shared" si="574"/>
        <v>121771</v>
      </c>
      <c r="M2447" s="2">
        <f t="shared" si="575"/>
        <v>41401.800000000003</v>
      </c>
      <c r="N2447" s="112">
        <f t="shared" si="576"/>
        <v>12000000</v>
      </c>
      <c r="O2447" s="2">
        <f t="shared" si="577"/>
        <v>6842665</v>
      </c>
      <c r="P2447" s="113">
        <f t="shared" si="578"/>
        <v>7788200</v>
      </c>
      <c r="Q2447" s="121">
        <f t="shared" si="579"/>
        <v>9025904.1999999993</v>
      </c>
    </row>
    <row r="2448" spans="2:17" x14ac:dyDescent="0.4">
      <c r="B2448" s="110">
        <v>46369</v>
      </c>
      <c r="C2448" s="122">
        <f t="shared" si="566"/>
        <v>8000000</v>
      </c>
      <c r="D2448" s="111">
        <f t="shared" si="567"/>
        <v>121771</v>
      </c>
      <c r="E2448" s="2">
        <f t="shared" si="568"/>
        <v>41401.800000000003</v>
      </c>
      <c r="F2448" s="112">
        <f t="shared" si="569"/>
        <v>12000000</v>
      </c>
      <c r="G2448" s="2">
        <f t="shared" si="570"/>
        <v>6842665</v>
      </c>
      <c r="H2448" s="113">
        <f t="shared" si="571"/>
        <v>7788200</v>
      </c>
      <c r="I2448" s="121">
        <f t="shared" si="572"/>
        <v>9025904.1999999993</v>
      </c>
      <c r="K2448" s="123">
        <f t="shared" si="573"/>
        <v>8000000</v>
      </c>
      <c r="L2448" s="111">
        <f t="shared" si="574"/>
        <v>121771</v>
      </c>
      <c r="M2448" s="2">
        <f t="shared" si="575"/>
        <v>41401.800000000003</v>
      </c>
      <c r="N2448" s="112">
        <f t="shared" si="576"/>
        <v>12000000</v>
      </c>
      <c r="O2448" s="2">
        <f t="shared" si="577"/>
        <v>6842665</v>
      </c>
      <c r="P2448" s="113">
        <f t="shared" si="578"/>
        <v>7788200</v>
      </c>
      <c r="Q2448" s="121">
        <f t="shared" si="579"/>
        <v>9025904.1999999993</v>
      </c>
    </row>
    <row r="2449" spans="2:17" x14ac:dyDescent="0.4">
      <c r="B2449" s="110">
        <v>46370</v>
      </c>
      <c r="C2449" s="122">
        <f t="shared" si="566"/>
        <v>8000000</v>
      </c>
      <c r="D2449" s="111">
        <f t="shared" si="567"/>
        <v>121771</v>
      </c>
      <c r="E2449" s="2">
        <f t="shared" si="568"/>
        <v>41401.800000000003</v>
      </c>
      <c r="F2449" s="112">
        <f t="shared" si="569"/>
        <v>12000000</v>
      </c>
      <c r="G2449" s="2">
        <f t="shared" si="570"/>
        <v>6842665</v>
      </c>
      <c r="H2449" s="113">
        <f t="shared" si="571"/>
        <v>7788200</v>
      </c>
      <c r="I2449" s="121">
        <f t="shared" si="572"/>
        <v>9025904.1999999993</v>
      </c>
      <c r="K2449" s="123">
        <f t="shared" si="573"/>
        <v>8000000</v>
      </c>
      <c r="L2449" s="111">
        <f t="shared" si="574"/>
        <v>121771</v>
      </c>
      <c r="M2449" s="2">
        <f t="shared" si="575"/>
        <v>41401.800000000003</v>
      </c>
      <c r="N2449" s="112">
        <f t="shared" si="576"/>
        <v>12000000</v>
      </c>
      <c r="O2449" s="2">
        <f t="shared" si="577"/>
        <v>6842665</v>
      </c>
      <c r="P2449" s="113">
        <f t="shared" si="578"/>
        <v>7788200</v>
      </c>
      <c r="Q2449" s="121">
        <f t="shared" si="579"/>
        <v>9025904.1999999993</v>
      </c>
    </row>
    <row r="2450" spans="2:17" x14ac:dyDescent="0.4">
      <c r="B2450" s="110">
        <v>46371</v>
      </c>
      <c r="C2450" s="122">
        <f t="shared" si="566"/>
        <v>8000000</v>
      </c>
      <c r="D2450" s="111">
        <f t="shared" si="567"/>
        <v>121771</v>
      </c>
      <c r="E2450" s="2">
        <f t="shared" si="568"/>
        <v>41401.800000000003</v>
      </c>
      <c r="F2450" s="112">
        <f t="shared" si="569"/>
        <v>12000000</v>
      </c>
      <c r="G2450" s="2">
        <f t="shared" si="570"/>
        <v>6842665</v>
      </c>
      <c r="H2450" s="113">
        <f t="shared" si="571"/>
        <v>7788200</v>
      </c>
      <c r="I2450" s="121">
        <f t="shared" si="572"/>
        <v>9025904.1999999993</v>
      </c>
      <c r="K2450" s="123">
        <f t="shared" si="573"/>
        <v>8000000</v>
      </c>
      <c r="L2450" s="111">
        <f t="shared" si="574"/>
        <v>121771</v>
      </c>
      <c r="M2450" s="2">
        <f t="shared" si="575"/>
        <v>41401.800000000003</v>
      </c>
      <c r="N2450" s="112">
        <f t="shared" si="576"/>
        <v>12000000</v>
      </c>
      <c r="O2450" s="2">
        <f t="shared" si="577"/>
        <v>6842665</v>
      </c>
      <c r="P2450" s="113">
        <f t="shared" si="578"/>
        <v>7788200</v>
      </c>
      <c r="Q2450" s="121">
        <f t="shared" si="579"/>
        <v>9025904.1999999993</v>
      </c>
    </row>
    <row r="2451" spans="2:17" x14ac:dyDescent="0.4">
      <c r="B2451" s="110">
        <v>46372</v>
      </c>
      <c r="C2451" s="122">
        <f t="shared" si="566"/>
        <v>8000000</v>
      </c>
      <c r="D2451" s="111">
        <f t="shared" si="567"/>
        <v>121771</v>
      </c>
      <c r="E2451" s="2">
        <f t="shared" si="568"/>
        <v>41401.800000000003</v>
      </c>
      <c r="F2451" s="112">
        <f t="shared" si="569"/>
        <v>12000000</v>
      </c>
      <c r="G2451" s="2">
        <f t="shared" si="570"/>
        <v>6842665</v>
      </c>
      <c r="H2451" s="113">
        <f t="shared" si="571"/>
        <v>7788200</v>
      </c>
      <c r="I2451" s="121">
        <f t="shared" si="572"/>
        <v>9025904.1999999993</v>
      </c>
      <c r="K2451" s="123">
        <f t="shared" si="573"/>
        <v>8000000</v>
      </c>
      <c r="L2451" s="111">
        <f t="shared" si="574"/>
        <v>121771</v>
      </c>
      <c r="M2451" s="2">
        <f t="shared" si="575"/>
        <v>41401.800000000003</v>
      </c>
      <c r="N2451" s="112">
        <f t="shared" si="576"/>
        <v>12000000</v>
      </c>
      <c r="O2451" s="2">
        <f t="shared" si="577"/>
        <v>6842665</v>
      </c>
      <c r="P2451" s="113">
        <f t="shared" si="578"/>
        <v>7788200</v>
      </c>
      <c r="Q2451" s="121">
        <f t="shared" si="579"/>
        <v>9025904.1999999993</v>
      </c>
    </row>
    <row r="2452" spans="2:17" x14ac:dyDescent="0.4">
      <c r="B2452" s="110">
        <v>46373</v>
      </c>
      <c r="C2452" s="122">
        <f t="shared" si="566"/>
        <v>8000000</v>
      </c>
      <c r="D2452" s="111">
        <f t="shared" si="567"/>
        <v>121771</v>
      </c>
      <c r="E2452" s="2">
        <f t="shared" si="568"/>
        <v>41401.800000000003</v>
      </c>
      <c r="F2452" s="112">
        <f t="shared" si="569"/>
        <v>12000000</v>
      </c>
      <c r="G2452" s="2">
        <f t="shared" si="570"/>
        <v>6842665</v>
      </c>
      <c r="H2452" s="113">
        <f t="shared" si="571"/>
        <v>7788200</v>
      </c>
      <c r="I2452" s="121">
        <f t="shared" si="572"/>
        <v>9025904.1999999993</v>
      </c>
      <c r="K2452" s="123">
        <f t="shared" si="573"/>
        <v>8000000</v>
      </c>
      <c r="L2452" s="111">
        <f t="shared" si="574"/>
        <v>121771</v>
      </c>
      <c r="M2452" s="2">
        <f t="shared" si="575"/>
        <v>41401.800000000003</v>
      </c>
      <c r="N2452" s="112">
        <f t="shared" si="576"/>
        <v>12000000</v>
      </c>
      <c r="O2452" s="2">
        <f t="shared" si="577"/>
        <v>6842665</v>
      </c>
      <c r="P2452" s="113">
        <f t="shared" si="578"/>
        <v>7788200</v>
      </c>
      <c r="Q2452" s="121">
        <f t="shared" si="579"/>
        <v>9025904.1999999993</v>
      </c>
    </row>
    <row r="2453" spans="2:17" x14ac:dyDescent="0.4">
      <c r="B2453" s="110">
        <v>46374</v>
      </c>
      <c r="C2453" s="122">
        <f t="shared" si="566"/>
        <v>8000000</v>
      </c>
      <c r="D2453" s="111">
        <f t="shared" si="567"/>
        <v>121771</v>
      </c>
      <c r="E2453" s="2">
        <f t="shared" si="568"/>
        <v>41401.800000000003</v>
      </c>
      <c r="F2453" s="112">
        <f t="shared" si="569"/>
        <v>12000000</v>
      </c>
      <c r="G2453" s="2">
        <f t="shared" si="570"/>
        <v>6842665</v>
      </c>
      <c r="H2453" s="113">
        <f t="shared" si="571"/>
        <v>7788200</v>
      </c>
      <c r="I2453" s="121">
        <f t="shared" si="572"/>
        <v>9025904.1999999993</v>
      </c>
      <c r="K2453" s="123">
        <f t="shared" si="573"/>
        <v>8000000</v>
      </c>
      <c r="L2453" s="111">
        <f t="shared" si="574"/>
        <v>121771</v>
      </c>
      <c r="M2453" s="2">
        <f t="shared" si="575"/>
        <v>41401.800000000003</v>
      </c>
      <c r="N2453" s="112">
        <f t="shared" si="576"/>
        <v>12000000</v>
      </c>
      <c r="O2453" s="2">
        <f t="shared" si="577"/>
        <v>6842665</v>
      </c>
      <c r="P2453" s="113">
        <f t="shared" si="578"/>
        <v>7788200</v>
      </c>
      <c r="Q2453" s="121">
        <f t="shared" si="579"/>
        <v>9025904.1999999993</v>
      </c>
    </row>
    <row r="2454" spans="2:17" x14ac:dyDescent="0.4">
      <c r="B2454" s="110">
        <v>46375</v>
      </c>
      <c r="C2454" s="122">
        <f t="shared" si="566"/>
        <v>8000000</v>
      </c>
      <c r="D2454" s="111">
        <f t="shared" si="567"/>
        <v>121771</v>
      </c>
      <c r="E2454" s="2">
        <f t="shared" si="568"/>
        <v>41401.800000000003</v>
      </c>
      <c r="F2454" s="112">
        <f t="shared" si="569"/>
        <v>12000000</v>
      </c>
      <c r="G2454" s="2">
        <f t="shared" si="570"/>
        <v>6842665</v>
      </c>
      <c r="H2454" s="113">
        <f t="shared" si="571"/>
        <v>7788200</v>
      </c>
      <c r="I2454" s="121">
        <f t="shared" si="572"/>
        <v>9025904.1999999993</v>
      </c>
      <c r="K2454" s="123">
        <f t="shared" si="573"/>
        <v>8000000</v>
      </c>
      <c r="L2454" s="111">
        <f t="shared" si="574"/>
        <v>121771</v>
      </c>
      <c r="M2454" s="2">
        <f t="shared" si="575"/>
        <v>41401.800000000003</v>
      </c>
      <c r="N2454" s="112">
        <f t="shared" si="576"/>
        <v>12000000</v>
      </c>
      <c r="O2454" s="2">
        <f t="shared" si="577"/>
        <v>6842665</v>
      </c>
      <c r="P2454" s="113">
        <f t="shared" si="578"/>
        <v>7788200</v>
      </c>
      <c r="Q2454" s="121">
        <f t="shared" si="579"/>
        <v>9025904.1999999993</v>
      </c>
    </row>
    <row r="2455" spans="2:17" x14ac:dyDescent="0.4">
      <c r="B2455" s="110">
        <v>46376</v>
      </c>
      <c r="C2455" s="122">
        <f t="shared" si="566"/>
        <v>8000000</v>
      </c>
      <c r="D2455" s="111">
        <f t="shared" si="567"/>
        <v>121771</v>
      </c>
      <c r="E2455" s="2">
        <f t="shared" si="568"/>
        <v>41401.800000000003</v>
      </c>
      <c r="F2455" s="112">
        <f t="shared" si="569"/>
        <v>12000000</v>
      </c>
      <c r="G2455" s="2">
        <f t="shared" si="570"/>
        <v>6842665</v>
      </c>
      <c r="H2455" s="113">
        <f t="shared" si="571"/>
        <v>7788200</v>
      </c>
      <c r="I2455" s="121">
        <f t="shared" si="572"/>
        <v>9025904.1999999993</v>
      </c>
      <c r="K2455" s="123">
        <f t="shared" si="573"/>
        <v>8000000</v>
      </c>
      <c r="L2455" s="111">
        <f t="shared" si="574"/>
        <v>121771</v>
      </c>
      <c r="M2455" s="2">
        <f t="shared" si="575"/>
        <v>41401.800000000003</v>
      </c>
      <c r="N2455" s="112">
        <f t="shared" si="576"/>
        <v>12000000</v>
      </c>
      <c r="O2455" s="2">
        <f t="shared" si="577"/>
        <v>6842665</v>
      </c>
      <c r="P2455" s="113">
        <f t="shared" si="578"/>
        <v>7788200</v>
      </c>
      <c r="Q2455" s="121">
        <f t="shared" si="579"/>
        <v>9025904.1999999993</v>
      </c>
    </row>
    <row r="2456" spans="2:17" x14ac:dyDescent="0.4">
      <c r="B2456" s="110">
        <v>46377</v>
      </c>
      <c r="C2456" s="122">
        <f t="shared" si="566"/>
        <v>8000000</v>
      </c>
      <c r="D2456" s="111">
        <f t="shared" si="567"/>
        <v>121771</v>
      </c>
      <c r="E2456" s="2">
        <f t="shared" si="568"/>
        <v>41401.800000000003</v>
      </c>
      <c r="F2456" s="112">
        <f t="shared" si="569"/>
        <v>12000000</v>
      </c>
      <c r="G2456" s="2">
        <f t="shared" si="570"/>
        <v>6842665</v>
      </c>
      <c r="H2456" s="113">
        <f t="shared" si="571"/>
        <v>7788200</v>
      </c>
      <c r="I2456" s="121">
        <f t="shared" si="572"/>
        <v>9025904.1999999993</v>
      </c>
      <c r="K2456" s="123">
        <f t="shared" si="573"/>
        <v>8000000</v>
      </c>
      <c r="L2456" s="111">
        <f t="shared" si="574"/>
        <v>121771</v>
      </c>
      <c r="M2456" s="2">
        <f t="shared" si="575"/>
        <v>41401.800000000003</v>
      </c>
      <c r="N2456" s="112">
        <f t="shared" si="576"/>
        <v>12000000</v>
      </c>
      <c r="O2456" s="2">
        <f t="shared" si="577"/>
        <v>6842665</v>
      </c>
      <c r="P2456" s="113">
        <f t="shared" si="578"/>
        <v>7788200</v>
      </c>
      <c r="Q2456" s="121">
        <f t="shared" si="579"/>
        <v>9025904.1999999993</v>
      </c>
    </row>
    <row r="2457" spans="2:17" x14ac:dyDescent="0.4">
      <c r="B2457" s="110">
        <v>46378</v>
      </c>
      <c r="C2457" s="122">
        <f t="shared" si="566"/>
        <v>8000000</v>
      </c>
      <c r="D2457" s="111">
        <f t="shared" si="567"/>
        <v>121771</v>
      </c>
      <c r="E2457" s="2">
        <f t="shared" si="568"/>
        <v>41401.800000000003</v>
      </c>
      <c r="F2457" s="112">
        <f t="shared" si="569"/>
        <v>12000000</v>
      </c>
      <c r="G2457" s="2">
        <f t="shared" si="570"/>
        <v>6842665</v>
      </c>
      <c r="H2457" s="113">
        <f t="shared" si="571"/>
        <v>7788200</v>
      </c>
      <c r="I2457" s="121">
        <f t="shared" si="572"/>
        <v>9025904.1999999993</v>
      </c>
      <c r="K2457" s="123">
        <f t="shared" si="573"/>
        <v>8000000</v>
      </c>
      <c r="L2457" s="111">
        <f t="shared" si="574"/>
        <v>121771</v>
      </c>
      <c r="M2457" s="2">
        <f t="shared" si="575"/>
        <v>41401.800000000003</v>
      </c>
      <c r="N2457" s="112">
        <f t="shared" si="576"/>
        <v>12000000</v>
      </c>
      <c r="O2457" s="2">
        <f t="shared" si="577"/>
        <v>6842665</v>
      </c>
      <c r="P2457" s="113">
        <f t="shared" si="578"/>
        <v>7788200</v>
      </c>
      <c r="Q2457" s="121">
        <f t="shared" si="579"/>
        <v>9025904.1999999993</v>
      </c>
    </row>
    <row r="2458" spans="2:17" x14ac:dyDescent="0.4">
      <c r="B2458" s="110">
        <v>46379</v>
      </c>
      <c r="C2458" s="122">
        <f t="shared" si="566"/>
        <v>8000000</v>
      </c>
      <c r="D2458" s="111">
        <f t="shared" si="567"/>
        <v>121771</v>
      </c>
      <c r="E2458" s="2">
        <f t="shared" si="568"/>
        <v>41401.800000000003</v>
      </c>
      <c r="F2458" s="112">
        <f t="shared" si="569"/>
        <v>12000000</v>
      </c>
      <c r="G2458" s="2">
        <f t="shared" si="570"/>
        <v>6842665</v>
      </c>
      <c r="H2458" s="113">
        <f t="shared" si="571"/>
        <v>7788200</v>
      </c>
      <c r="I2458" s="121">
        <f t="shared" si="572"/>
        <v>9025904.1999999993</v>
      </c>
      <c r="K2458" s="123">
        <f t="shared" si="573"/>
        <v>8000000</v>
      </c>
      <c r="L2458" s="111">
        <f t="shared" si="574"/>
        <v>121771</v>
      </c>
      <c r="M2458" s="2">
        <f t="shared" si="575"/>
        <v>41401.800000000003</v>
      </c>
      <c r="N2458" s="112">
        <f t="shared" si="576"/>
        <v>12000000</v>
      </c>
      <c r="O2458" s="2">
        <f t="shared" si="577"/>
        <v>6842665</v>
      </c>
      <c r="P2458" s="113">
        <f t="shared" si="578"/>
        <v>7788200</v>
      </c>
      <c r="Q2458" s="121">
        <f t="shared" si="579"/>
        <v>9025904.1999999993</v>
      </c>
    </row>
    <row r="2459" spans="2:17" x14ac:dyDescent="0.4">
      <c r="B2459" s="110">
        <v>46380</v>
      </c>
      <c r="C2459" s="122">
        <f t="shared" si="566"/>
        <v>8000000</v>
      </c>
      <c r="D2459" s="111">
        <f t="shared" si="567"/>
        <v>121771</v>
      </c>
      <c r="E2459" s="2">
        <f t="shared" si="568"/>
        <v>41401.800000000003</v>
      </c>
      <c r="F2459" s="112">
        <f t="shared" si="569"/>
        <v>12000000</v>
      </c>
      <c r="G2459" s="2">
        <f t="shared" si="570"/>
        <v>6842665</v>
      </c>
      <c r="H2459" s="113">
        <f t="shared" si="571"/>
        <v>7788200</v>
      </c>
      <c r="I2459" s="121">
        <f t="shared" si="572"/>
        <v>9025904.1999999993</v>
      </c>
      <c r="K2459" s="123">
        <f t="shared" si="573"/>
        <v>8000000</v>
      </c>
      <c r="L2459" s="111">
        <f t="shared" si="574"/>
        <v>121771</v>
      </c>
      <c r="M2459" s="2">
        <f t="shared" si="575"/>
        <v>41401.800000000003</v>
      </c>
      <c r="N2459" s="112">
        <f t="shared" si="576"/>
        <v>12000000</v>
      </c>
      <c r="O2459" s="2">
        <f t="shared" si="577"/>
        <v>6842665</v>
      </c>
      <c r="P2459" s="113">
        <f t="shared" si="578"/>
        <v>7788200</v>
      </c>
      <c r="Q2459" s="121">
        <f t="shared" si="579"/>
        <v>9025904.1999999993</v>
      </c>
    </row>
    <row r="2460" spans="2:17" x14ac:dyDescent="0.4">
      <c r="B2460" s="110">
        <v>46381</v>
      </c>
      <c r="C2460" s="122">
        <f t="shared" si="566"/>
        <v>8000000</v>
      </c>
      <c r="D2460" s="111">
        <f t="shared" si="567"/>
        <v>121771</v>
      </c>
      <c r="E2460" s="2">
        <f t="shared" si="568"/>
        <v>41401.800000000003</v>
      </c>
      <c r="F2460" s="112">
        <f t="shared" si="569"/>
        <v>12000000</v>
      </c>
      <c r="G2460" s="2">
        <f t="shared" si="570"/>
        <v>6842665</v>
      </c>
      <c r="H2460" s="113">
        <f t="shared" si="571"/>
        <v>7788200</v>
      </c>
      <c r="I2460" s="121">
        <f t="shared" si="572"/>
        <v>9025904.1999999993</v>
      </c>
      <c r="K2460" s="123">
        <f t="shared" si="573"/>
        <v>8000000</v>
      </c>
      <c r="L2460" s="111">
        <f t="shared" si="574"/>
        <v>121771</v>
      </c>
      <c r="M2460" s="2">
        <f t="shared" si="575"/>
        <v>41401.800000000003</v>
      </c>
      <c r="N2460" s="112">
        <f t="shared" si="576"/>
        <v>12000000</v>
      </c>
      <c r="O2460" s="2">
        <f t="shared" si="577"/>
        <v>6842665</v>
      </c>
      <c r="P2460" s="113">
        <f t="shared" si="578"/>
        <v>7788200</v>
      </c>
      <c r="Q2460" s="121">
        <f t="shared" si="579"/>
        <v>9025904.1999999993</v>
      </c>
    </row>
    <row r="2461" spans="2:17" x14ac:dyDescent="0.4">
      <c r="B2461" s="110">
        <v>46382</v>
      </c>
      <c r="C2461" s="122">
        <f t="shared" si="566"/>
        <v>8000000</v>
      </c>
      <c r="D2461" s="111">
        <f t="shared" si="567"/>
        <v>121771</v>
      </c>
      <c r="E2461" s="2">
        <f t="shared" si="568"/>
        <v>41401.800000000003</v>
      </c>
      <c r="F2461" s="112">
        <f t="shared" si="569"/>
        <v>12000000</v>
      </c>
      <c r="G2461" s="2">
        <f t="shared" si="570"/>
        <v>6842665</v>
      </c>
      <c r="H2461" s="113">
        <f t="shared" si="571"/>
        <v>7788200</v>
      </c>
      <c r="I2461" s="121">
        <f t="shared" si="572"/>
        <v>9025904.1999999993</v>
      </c>
      <c r="K2461" s="123">
        <f t="shared" si="573"/>
        <v>8000000</v>
      </c>
      <c r="L2461" s="111">
        <f t="shared" si="574"/>
        <v>121771</v>
      </c>
      <c r="M2461" s="2">
        <f t="shared" si="575"/>
        <v>41401.800000000003</v>
      </c>
      <c r="N2461" s="112">
        <f t="shared" si="576"/>
        <v>12000000</v>
      </c>
      <c r="O2461" s="2">
        <f t="shared" si="577"/>
        <v>6842665</v>
      </c>
      <c r="P2461" s="113">
        <f t="shared" si="578"/>
        <v>7788200</v>
      </c>
      <c r="Q2461" s="121">
        <f t="shared" si="579"/>
        <v>9025904.1999999993</v>
      </c>
    </row>
    <row r="2462" spans="2:17" x14ac:dyDescent="0.4">
      <c r="B2462" s="110">
        <v>46383</v>
      </c>
      <c r="C2462" s="122">
        <f t="shared" si="566"/>
        <v>8000000</v>
      </c>
      <c r="D2462" s="111">
        <f t="shared" si="567"/>
        <v>121771</v>
      </c>
      <c r="E2462" s="2">
        <f t="shared" si="568"/>
        <v>41401.800000000003</v>
      </c>
      <c r="F2462" s="112">
        <f t="shared" si="569"/>
        <v>12000000</v>
      </c>
      <c r="G2462" s="2">
        <f t="shared" si="570"/>
        <v>6842665</v>
      </c>
      <c r="H2462" s="113">
        <f t="shared" si="571"/>
        <v>7788200</v>
      </c>
      <c r="I2462" s="121">
        <f t="shared" si="572"/>
        <v>9025904.1999999993</v>
      </c>
      <c r="K2462" s="123">
        <f t="shared" si="573"/>
        <v>8000000</v>
      </c>
      <c r="L2462" s="111">
        <f t="shared" si="574"/>
        <v>121771</v>
      </c>
      <c r="M2462" s="2">
        <f t="shared" si="575"/>
        <v>41401.800000000003</v>
      </c>
      <c r="N2462" s="112">
        <f t="shared" si="576"/>
        <v>12000000</v>
      </c>
      <c r="O2462" s="2">
        <f t="shared" si="577"/>
        <v>6842665</v>
      </c>
      <c r="P2462" s="113">
        <f t="shared" si="578"/>
        <v>7788200</v>
      </c>
      <c r="Q2462" s="121">
        <f t="shared" si="579"/>
        <v>9025904.1999999993</v>
      </c>
    </row>
    <row r="2463" spans="2:17" x14ac:dyDescent="0.4">
      <c r="B2463" s="110">
        <v>46384</v>
      </c>
      <c r="C2463" s="122">
        <f t="shared" si="566"/>
        <v>8000000</v>
      </c>
      <c r="D2463" s="111">
        <f t="shared" si="567"/>
        <v>121771</v>
      </c>
      <c r="E2463" s="2">
        <f t="shared" si="568"/>
        <v>41401.800000000003</v>
      </c>
      <c r="F2463" s="112">
        <f t="shared" si="569"/>
        <v>12000000</v>
      </c>
      <c r="G2463" s="2">
        <f t="shared" si="570"/>
        <v>6842665</v>
      </c>
      <c r="H2463" s="113">
        <f t="shared" si="571"/>
        <v>7788200</v>
      </c>
      <c r="I2463" s="121">
        <f t="shared" si="572"/>
        <v>9025904.1999999993</v>
      </c>
      <c r="K2463" s="123">
        <f t="shared" si="573"/>
        <v>8000000</v>
      </c>
      <c r="L2463" s="111">
        <f t="shared" si="574"/>
        <v>121771</v>
      </c>
      <c r="M2463" s="2">
        <f t="shared" si="575"/>
        <v>41401.800000000003</v>
      </c>
      <c r="N2463" s="112">
        <f t="shared" si="576"/>
        <v>12000000</v>
      </c>
      <c r="O2463" s="2">
        <f t="shared" si="577"/>
        <v>6842665</v>
      </c>
      <c r="P2463" s="113">
        <f t="shared" si="578"/>
        <v>7788200</v>
      </c>
      <c r="Q2463" s="121">
        <f t="shared" si="579"/>
        <v>9025904.1999999993</v>
      </c>
    </row>
    <row r="2464" spans="2:17" x14ac:dyDescent="0.4">
      <c r="B2464" s="110">
        <v>46385</v>
      </c>
      <c r="C2464" s="122">
        <f t="shared" si="566"/>
        <v>8000000</v>
      </c>
      <c r="D2464" s="111">
        <f t="shared" si="567"/>
        <v>121771</v>
      </c>
      <c r="E2464" s="2">
        <f t="shared" si="568"/>
        <v>41401.800000000003</v>
      </c>
      <c r="F2464" s="112">
        <f t="shared" si="569"/>
        <v>12000000</v>
      </c>
      <c r="G2464" s="2">
        <f t="shared" si="570"/>
        <v>6842665</v>
      </c>
      <c r="H2464" s="113">
        <f t="shared" si="571"/>
        <v>7788200</v>
      </c>
      <c r="I2464" s="121">
        <f t="shared" si="572"/>
        <v>9025904.1999999993</v>
      </c>
      <c r="K2464" s="123">
        <f t="shared" si="573"/>
        <v>8000000</v>
      </c>
      <c r="L2464" s="111">
        <f t="shared" si="574"/>
        <v>121771</v>
      </c>
      <c r="M2464" s="2">
        <f t="shared" si="575"/>
        <v>41401.800000000003</v>
      </c>
      <c r="N2464" s="112">
        <f t="shared" si="576"/>
        <v>12000000</v>
      </c>
      <c r="O2464" s="2">
        <f t="shared" si="577"/>
        <v>6842665</v>
      </c>
      <c r="P2464" s="113">
        <f t="shared" si="578"/>
        <v>7788200</v>
      </c>
      <c r="Q2464" s="121">
        <f t="shared" si="579"/>
        <v>9025904.1999999993</v>
      </c>
    </row>
    <row r="2465" spans="2:17" x14ac:dyDescent="0.4">
      <c r="B2465" s="110">
        <v>46386</v>
      </c>
      <c r="C2465" s="122">
        <f t="shared" si="566"/>
        <v>8000000</v>
      </c>
      <c r="D2465" s="111">
        <f t="shared" si="567"/>
        <v>121771</v>
      </c>
      <c r="E2465" s="2">
        <f t="shared" si="568"/>
        <v>41401.800000000003</v>
      </c>
      <c r="F2465" s="112">
        <f t="shared" si="569"/>
        <v>12000000</v>
      </c>
      <c r="G2465" s="2">
        <f t="shared" si="570"/>
        <v>6842665</v>
      </c>
      <c r="H2465" s="113">
        <f t="shared" si="571"/>
        <v>7788200</v>
      </c>
      <c r="I2465" s="121">
        <f t="shared" si="572"/>
        <v>9025904.1999999993</v>
      </c>
      <c r="K2465" s="123">
        <f t="shared" si="573"/>
        <v>8000000</v>
      </c>
      <c r="L2465" s="111">
        <f t="shared" si="574"/>
        <v>121771</v>
      </c>
      <c r="M2465" s="2">
        <f t="shared" si="575"/>
        <v>41401.800000000003</v>
      </c>
      <c r="N2465" s="112">
        <f t="shared" si="576"/>
        <v>12000000</v>
      </c>
      <c r="O2465" s="2">
        <f t="shared" si="577"/>
        <v>6842665</v>
      </c>
      <c r="P2465" s="113">
        <f t="shared" si="578"/>
        <v>7788200</v>
      </c>
      <c r="Q2465" s="121">
        <f t="shared" si="579"/>
        <v>9025904.1999999993</v>
      </c>
    </row>
    <row r="2466" spans="2:17" x14ac:dyDescent="0.4">
      <c r="B2466" s="110">
        <v>46387</v>
      </c>
      <c r="C2466" s="122">
        <f t="shared" si="566"/>
        <v>8000000</v>
      </c>
      <c r="D2466" s="111">
        <f t="shared" si="567"/>
        <v>121771</v>
      </c>
      <c r="E2466" s="2">
        <f t="shared" si="568"/>
        <v>41401.800000000003</v>
      </c>
      <c r="F2466" s="112">
        <f t="shared" si="569"/>
        <v>12000000</v>
      </c>
      <c r="G2466" s="2">
        <f t="shared" si="570"/>
        <v>6842665</v>
      </c>
      <c r="H2466" s="113">
        <f t="shared" si="571"/>
        <v>7788200</v>
      </c>
      <c r="I2466" s="121">
        <f t="shared" si="572"/>
        <v>9025904.1999999993</v>
      </c>
      <c r="K2466" s="123">
        <f t="shared" si="573"/>
        <v>8000000</v>
      </c>
      <c r="L2466" s="111">
        <f t="shared" si="574"/>
        <v>121771</v>
      </c>
      <c r="M2466" s="2">
        <f t="shared" si="575"/>
        <v>41401.800000000003</v>
      </c>
      <c r="N2466" s="112">
        <f t="shared" si="576"/>
        <v>12000000</v>
      </c>
      <c r="O2466" s="2">
        <f t="shared" si="577"/>
        <v>6842665</v>
      </c>
      <c r="P2466" s="113">
        <f t="shared" si="578"/>
        <v>7788200</v>
      </c>
      <c r="Q2466" s="121">
        <f t="shared" si="579"/>
        <v>9025904.1999999993</v>
      </c>
    </row>
    <row r="2467" spans="2:17" x14ac:dyDescent="0.4">
      <c r="B2467" s="110">
        <v>46388</v>
      </c>
      <c r="C2467" s="122">
        <f t="shared" si="566"/>
        <v>8000000</v>
      </c>
      <c r="D2467" s="111">
        <f t="shared" si="567"/>
        <v>121771</v>
      </c>
      <c r="E2467" s="2">
        <f t="shared" si="568"/>
        <v>41401.800000000003</v>
      </c>
      <c r="F2467" s="112">
        <f t="shared" si="569"/>
        <v>12000000</v>
      </c>
      <c r="G2467" s="2">
        <f t="shared" si="570"/>
        <v>6842665</v>
      </c>
      <c r="H2467" s="113">
        <f t="shared" si="571"/>
        <v>7788200</v>
      </c>
      <c r="I2467" s="121">
        <f t="shared" si="572"/>
        <v>9025904.1999999993</v>
      </c>
      <c r="K2467" s="123">
        <f t="shared" si="573"/>
        <v>8000000</v>
      </c>
      <c r="L2467" s="111">
        <f t="shared" si="574"/>
        <v>121771</v>
      </c>
      <c r="M2467" s="2">
        <f t="shared" si="575"/>
        <v>41401.800000000003</v>
      </c>
      <c r="N2467" s="112">
        <f t="shared" si="576"/>
        <v>12000000</v>
      </c>
      <c r="O2467" s="2">
        <f t="shared" si="577"/>
        <v>6842665</v>
      </c>
      <c r="P2467" s="113">
        <f t="shared" si="578"/>
        <v>7788200</v>
      </c>
      <c r="Q2467" s="121">
        <f t="shared" si="579"/>
        <v>9025904.1999999993</v>
      </c>
    </row>
    <row r="2468" spans="2:17" x14ac:dyDescent="0.4">
      <c r="B2468" s="110">
        <v>46389</v>
      </c>
      <c r="C2468" s="122">
        <f t="shared" si="566"/>
        <v>8000000</v>
      </c>
      <c r="D2468" s="111">
        <f t="shared" si="567"/>
        <v>121771</v>
      </c>
      <c r="E2468" s="2">
        <f t="shared" si="568"/>
        <v>41401.800000000003</v>
      </c>
      <c r="F2468" s="112">
        <f t="shared" si="569"/>
        <v>12000000</v>
      </c>
      <c r="G2468" s="2">
        <f t="shared" si="570"/>
        <v>6842665</v>
      </c>
      <c r="H2468" s="113">
        <f t="shared" si="571"/>
        <v>7788200</v>
      </c>
      <c r="I2468" s="121">
        <f t="shared" si="572"/>
        <v>9025904.1999999993</v>
      </c>
      <c r="K2468" s="123">
        <f t="shared" si="573"/>
        <v>8000000</v>
      </c>
      <c r="L2468" s="111">
        <f t="shared" si="574"/>
        <v>121771</v>
      </c>
      <c r="M2468" s="2">
        <f t="shared" si="575"/>
        <v>41401.800000000003</v>
      </c>
      <c r="N2468" s="112">
        <f t="shared" si="576"/>
        <v>12000000</v>
      </c>
      <c r="O2468" s="2">
        <f t="shared" si="577"/>
        <v>6842665</v>
      </c>
      <c r="P2468" s="113">
        <f t="shared" si="578"/>
        <v>7788200</v>
      </c>
      <c r="Q2468" s="121">
        <f t="shared" si="579"/>
        <v>9025904.1999999993</v>
      </c>
    </row>
    <row r="2469" spans="2:17" x14ac:dyDescent="0.4">
      <c r="B2469" s="110">
        <v>46390</v>
      </c>
      <c r="C2469" s="122">
        <f t="shared" si="566"/>
        <v>8000000</v>
      </c>
      <c r="D2469" s="111">
        <f t="shared" si="567"/>
        <v>121771</v>
      </c>
      <c r="E2469" s="2">
        <f t="shared" si="568"/>
        <v>41401.800000000003</v>
      </c>
      <c r="F2469" s="112">
        <f t="shared" si="569"/>
        <v>12000000</v>
      </c>
      <c r="G2469" s="2">
        <f t="shared" si="570"/>
        <v>6842665</v>
      </c>
      <c r="H2469" s="113">
        <f t="shared" si="571"/>
        <v>7788200</v>
      </c>
      <c r="I2469" s="121">
        <f t="shared" si="572"/>
        <v>9025904.1999999993</v>
      </c>
      <c r="K2469" s="123">
        <f t="shared" si="573"/>
        <v>8000000</v>
      </c>
      <c r="L2469" s="111">
        <f t="shared" si="574"/>
        <v>121771</v>
      </c>
      <c r="M2469" s="2">
        <f t="shared" si="575"/>
        <v>41401.800000000003</v>
      </c>
      <c r="N2469" s="112">
        <f t="shared" si="576"/>
        <v>12000000</v>
      </c>
      <c r="O2469" s="2">
        <f t="shared" si="577"/>
        <v>6842665</v>
      </c>
      <c r="P2469" s="113">
        <f t="shared" si="578"/>
        <v>7788200</v>
      </c>
      <c r="Q2469" s="121">
        <f t="shared" si="579"/>
        <v>9025904.1999999993</v>
      </c>
    </row>
    <row r="2470" spans="2:17" x14ac:dyDescent="0.4">
      <c r="B2470" s="110">
        <v>46391</v>
      </c>
      <c r="C2470" s="122">
        <f t="shared" ref="C2470:C2480" si="580">SUMIF($B$6:$B$75,$B2470,$D$6:$D$75)+C2469</f>
        <v>8000000</v>
      </c>
      <c r="D2470" s="111">
        <f t="shared" ref="D2470:D2480" si="581">SUMIF($B$6:$B$75,$B2470,$E$6:$E$75)+D2469</f>
        <v>121771</v>
      </c>
      <c r="E2470" s="2">
        <f t="shared" ref="E2470:E2480" si="582">SUMIF($G$353:$G$376,$B2470,$J$353:$J$376)+SUMIF($E$353:$E$376,$B2470,$H$353:$H$376)+SUMIF($G$353:$G$376,$B2470,$I$353:$I$376)+E2469</f>
        <v>41401.800000000003</v>
      </c>
      <c r="F2470" s="112">
        <f t="shared" ref="F2470:F2480" si="583">20000000-C2470</f>
        <v>12000000</v>
      </c>
      <c r="G2470" s="2">
        <f t="shared" ref="G2470:G2480" si="584">SUMIF($E$353:$E$376,$B2470,$M$353:$M$376)+G2469</f>
        <v>6842665</v>
      </c>
      <c r="H2470" s="113">
        <f t="shared" ref="H2470:H2480" si="585">SUMIF($G$353:$G$376,$B2470,$N$353:$N$376)+H2469</f>
        <v>7788200</v>
      </c>
      <c r="I2470" s="121">
        <f t="shared" ref="I2470:I2480" si="586">C2470+D2470-G2470-E2470+H2470</f>
        <v>9025904.1999999993</v>
      </c>
      <c r="K2470" s="123">
        <f t="shared" ref="K2470:K2480" si="587">SUMIF($B$6:$B$75,$B2470,$D$6:$D$75)+K2469</f>
        <v>8000000</v>
      </c>
      <c r="L2470" s="111">
        <f t="shared" ref="L2470:L2480" si="588">SUMIF($B$6:$B$75,$B2470,$E$6:$E$75)+L2469</f>
        <v>121771</v>
      </c>
      <c r="M2470" s="2">
        <f t="shared" ref="M2470:M2480" si="589">SUMIF($G$353:$G$376,$B2470,$J$353:$J$376)+SUMIF($E$353:$E$376,$B2470,$H$353:$H$376)+SUMIF($G$353:$G$376,$B2470,$I$353:$I$376)+M2469</f>
        <v>41401.800000000003</v>
      </c>
      <c r="N2470" s="112">
        <f t="shared" ref="N2470:N2480" si="590">20000000-K2470</f>
        <v>12000000</v>
      </c>
      <c r="O2470" s="2">
        <f t="shared" ref="O2470:O2480" si="591">SUMIF($E$353:$E$376,$B2470,$M$353:$M$376)+O2469</f>
        <v>6842665</v>
      </c>
      <c r="P2470" s="113">
        <f t="shared" ref="P2470:P2480" si="592">SUMIF($G$353:$G$376,$B2470,$N$353:$N$376)+P2469</f>
        <v>7788200</v>
      </c>
      <c r="Q2470" s="121">
        <f t="shared" ref="Q2470:Q2480" si="593">K2470+L2470-O2470-M2470+P2470</f>
        <v>9025904.1999999993</v>
      </c>
    </row>
    <row r="2471" spans="2:17" x14ac:dyDescent="0.4">
      <c r="B2471" s="110">
        <v>46392</v>
      </c>
      <c r="C2471" s="122">
        <f t="shared" si="580"/>
        <v>8000000</v>
      </c>
      <c r="D2471" s="111">
        <f t="shared" si="581"/>
        <v>121771</v>
      </c>
      <c r="E2471" s="2">
        <f t="shared" si="582"/>
        <v>41401.800000000003</v>
      </c>
      <c r="F2471" s="112">
        <f t="shared" si="583"/>
        <v>12000000</v>
      </c>
      <c r="G2471" s="2">
        <f t="shared" si="584"/>
        <v>6842665</v>
      </c>
      <c r="H2471" s="113">
        <f t="shared" si="585"/>
        <v>7788200</v>
      </c>
      <c r="I2471" s="121">
        <f t="shared" si="586"/>
        <v>9025904.1999999993</v>
      </c>
      <c r="K2471" s="123">
        <f t="shared" si="587"/>
        <v>8000000</v>
      </c>
      <c r="L2471" s="111">
        <f t="shared" si="588"/>
        <v>121771</v>
      </c>
      <c r="M2471" s="2">
        <f t="shared" si="589"/>
        <v>41401.800000000003</v>
      </c>
      <c r="N2471" s="112">
        <f t="shared" si="590"/>
        <v>12000000</v>
      </c>
      <c r="O2471" s="2">
        <f t="shared" si="591"/>
        <v>6842665</v>
      </c>
      <c r="P2471" s="113">
        <f t="shared" si="592"/>
        <v>7788200</v>
      </c>
      <c r="Q2471" s="121">
        <f t="shared" si="593"/>
        <v>9025904.1999999993</v>
      </c>
    </row>
    <row r="2472" spans="2:17" x14ac:dyDescent="0.4">
      <c r="B2472" s="110">
        <v>46393</v>
      </c>
      <c r="C2472" s="122">
        <f t="shared" si="580"/>
        <v>8000000</v>
      </c>
      <c r="D2472" s="111">
        <f t="shared" si="581"/>
        <v>121771</v>
      </c>
      <c r="E2472" s="2">
        <f t="shared" si="582"/>
        <v>41401.800000000003</v>
      </c>
      <c r="F2472" s="112">
        <f t="shared" si="583"/>
        <v>12000000</v>
      </c>
      <c r="G2472" s="2">
        <f t="shared" si="584"/>
        <v>6842665</v>
      </c>
      <c r="H2472" s="113">
        <f t="shared" si="585"/>
        <v>7788200</v>
      </c>
      <c r="I2472" s="121">
        <f t="shared" si="586"/>
        <v>9025904.1999999993</v>
      </c>
      <c r="K2472" s="123">
        <f t="shared" si="587"/>
        <v>8000000</v>
      </c>
      <c r="L2472" s="111">
        <f t="shared" si="588"/>
        <v>121771</v>
      </c>
      <c r="M2472" s="2">
        <f t="shared" si="589"/>
        <v>41401.800000000003</v>
      </c>
      <c r="N2472" s="112">
        <f t="shared" si="590"/>
        <v>12000000</v>
      </c>
      <c r="O2472" s="2">
        <f t="shared" si="591"/>
        <v>6842665</v>
      </c>
      <c r="P2472" s="113">
        <f t="shared" si="592"/>
        <v>7788200</v>
      </c>
      <c r="Q2472" s="121">
        <f t="shared" si="593"/>
        <v>9025904.1999999993</v>
      </c>
    </row>
    <row r="2473" spans="2:17" x14ac:dyDescent="0.4">
      <c r="B2473" s="110">
        <v>46394</v>
      </c>
      <c r="C2473" s="122">
        <f t="shared" si="580"/>
        <v>8000000</v>
      </c>
      <c r="D2473" s="111">
        <f t="shared" si="581"/>
        <v>121771</v>
      </c>
      <c r="E2473" s="2">
        <f t="shared" si="582"/>
        <v>41401.800000000003</v>
      </c>
      <c r="F2473" s="112">
        <f t="shared" si="583"/>
        <v>12000000</v>
      </c>
      <c r="G2473" s="2">
        <f t="shared" si="584"/>
        <v>6842665</v>
      </c>
      <c r="H2473" s="113">
        <f t="shared" si="585"/>
        <v>7788200</v>
      </c>
      <c r="I2473" s="121">
        <f t="shared" si="586"/>
        <v>9025904.1999999993</v>
      </c>
      <c r="K2473" s="123">
        <f t="shared" si="587"/>
        <v>8000000</v>
      </c>
      <c r="L2473" s="111">
        <f t="shared" si="588"/>
        <v>121771</v>
      </c>
      <c r="M2473" s="2">
        <f t="shared" si="589"/>
        <v>41401.800000000003</v>
      </c>
      <c r="N2473" s="112">
        <f t="shared" si="590"/>
        <v>12000000</v>
      </c>
      <c r="O2473" s="2">
        <f t="shared" si="591"/>
        <v>6842665</v>
      </c>
      <c r="P2473" s="113">
        <f t="shared" si="592"/>
        <v>7788200</v>
      </c>
      <c r="Q2473" s="121">
        <f t="shared" si="593"/>
        <v>9025904.1999999993</v>
      </c>
    </row>
    <row r="2474" spans="2:17" x14ac:dyDescent="0.4">
      <c r="B2474" s="110">
        <v>46395</v>
      </c>
      <c r="C2474" s="122">
        <f t="shared" si="580"/>
        <v>8000000</v>
      </c>
      <c r="D2474" s="111">
        <f t="shared" si="581"/>
        <v>121771</v>
      </c>
      <c r="E2474" s="2">
        <f t="shared" si="582"/>
        <v>41401.800000000003</v>
      </c>
      <c r="F2474" s="112">
        <f t="shared" si="583"/>
        <v>12000000</v>
      </c>
      <c r="G2474" s="2">
        <f t="shared" si="584"/>
        <v>6842665</v>
      </c>
      <c r="H2474" s="113">
        <f t="shared" si="585"/>
        <v>7788200</v>
      </c>
      <c r="I2474" s="121">
        <f t="shared" si="586"/>
        <v>9025904.1999999993</v>
      </c>
      <c r="K2474" s="123">
        <f t="shared" si="587"/>
        <v>8000000</v>
      </c>
      <c r="L2474" s="111">
        <f t="shared" si="588"/>
        <v>121771</v>
      </c>
      <c r="M2474" s="2">
        <f t="shared" si="589"/>
        <v>41401.800000000003</v>
      </c>
      <c r="N2474" s="112">
        <f t="shared" si="590"/>
        <v>12000000</v>
      </c>
      <c r="O2474" s="2">
        <f t="shared" si="591"/>
        <v>6842665</v>
      </c>
      <c r="P2474" s="113">
        <f t="shared" si="592"/>
        <v>7788200</v>
      </c>
      <c r="Q2474" s="121">
        <f t="shared" si="593"/>
        <v>9025904.1999999993</v>
      </c>
    </row>
    <row r="2475" spans="2:17" x14ac:dyDescent="0.4">
      <c r="B2475" s="110">
        <v>46396</v>
      </c>
      <c r="C2475" s="122">
        <f t="shared" si="580"/>
        <v>8000000</v>
      </c>
      <c r="D2475" s="111">
        <f t="shared" si="581"/>
        <v>121771</v>
      </c>
      <c r="E2475" s="2">
        <f t="shared" si="582"/>
        <v>41401.800000000003</v>
      </c>
      <c r="F2475" s="112">
        <f t="shared" si="583"/>
        <v>12000000</v>
      </c>
      <c r="G2475" s="2">
        <f t="shared" si="584"/>
        <v>6842665</v>
      </c>
      <c r="H2475" s="113">
        <f t="shared" si="585"/>
        <v>7788200</v>
      </c>
      <c r="I2475" s="121">
        <f t="shared" si="586"/>
        <v>9025904.1999999993</v>
      </c>
      <c r="K2475" s="123">
        <f t="shared" si="587"/>
        <v>8000000</v>
      </c>
      <c r="L2475" s="111">
        <f t="shared" si="588"/>
        <v>121771</v>
      </c>
      <c r="M2475" s="2">
        <f t="shared" si="589"/>
        <v>41401.800000000003</v>
      </c>
      <c r="N2475" s="112">
        <f t="shared" si="590"/>
        <v>12000000</v>
      </c>
      <c r="O2475" s="2">
        <f t="shared" si="591"/>
        <v>6842665</v>
      </c>
      <c r="P2475" s="113">
        <f t="shared" si="592"/>
        <v>7788200</v>
      </c>
      <c r="Q2475" s="121">
        <f t="shared" si="593"/>
        <v>9025904.1999999993</v>
      </c>
    </row>
    <row r="2476" spans="2:17" x14ac:dyDescent="0.4">
      <c r="B2476" s="110">
        <v>46397</v>
      </c>
      <c r="C2476" s="122">
        <f t="shared" si="580"/>
        <v>8000000</v>
      </c>
      <c r="D2476" s="111">
        <f t="shared" si="581"/>
        <v>121771</v>
      </c>
      <c r="E2476" s="2">
        <f t="shared" si="582"/>
        <v>41401.800000000003</v>
      </c>
      <c r="F2476" s="112">
        <f t="shared" si="583"/>
        <v>12000000</v>
      </c>
      <c r="G2476" s="2">
        <f t="shared" si="584"/>
        <v>6842665</v>
      </c>
      <c r="H2476" s="113">
        <f t="shared" si="585"/>
        <v>7788200</v>
      </c>
      <c r="I2476" s="121">
        <f t="shared" si="586"/>
        <v>9025904.1999999993</v>
      </c>
      <c r="K2476" s="123">
        <f t="shared" si="587"/>
        <v>8000000</v>
      </c>
      <c r="L2476" s="111">
        <f t="shared" si="588"/>
        <v>121771</v>
      </c>
      <c r="M2476" s="2">
        <f t="shared" si="589"/>
        <v>41401.800000000003</v>
      </c>
      <c r="N2476" s="112">
        <f t="shared" si="590"/>
        <v>12000000</v>
      </c>
      <c r="O2476" s="2">
        <f t="shared" si="591"/>
        <v>6842665</v>
      </c>
      <c r="P2476" s="113">
        <f t="shared" si="592"/>
        <v>7788200</v>
      </c>
      <c r="Q2476" s="121">
        <f t="shared" si="593"/>
        <v>9025904.1999999993</v>
      </c>
    </row>
    <row r="2477" spans="2:17" x14ac:dyDescent="0.4">
      <c r="B2477" s="110">
        <v>46398</v>
      </c>
      <c r="C2477" s="122">
        <f t="shared" si="580"/>
        <v>8000000</v>
      </c>
      <c r="D2477" s="111">
        <f t="shared" si="581"/>
        <v>121771</v>
      </c>
      <c r="E2477" s="2">
        <f t="shared" si="582"/>
        <v>41401.800000000003</v>
      </c>
      <c r="F2477" s="112">
        <f t="shared" si="583"/>
        <v>12000000</v>
      </c>
      <c r="G2477" s="2">
        <f t="shared" si="584"/>
        <v>6842665</v>
      </c>
      <c r="H2477" s="113">
        <f t="shared" si="585"/>
        <v>7788200</v>
      </c>
      <c r="I2477" s="121">
        <f t="shared" si="586"/>
        <v>9025904.1999999993</v>
      </c>
      <c r="K2477" s="123">
        <f t="shared" si="587"/>
        <v>8000000</v>
      </c>
      <c r="L2477" s="111">
        <f t="shared" si="588"/>
        <v>121771</v>
      </c>
      <c r="M2477" s="2">
        <f t="shared" si="589"/>
        <v>41401.800000000003</v>
      </c>
      <c r="N2477" s="112">
        <f t="shared" si="590"/>
        <v>12000000</v>
      </c>
      <c r="O2477" s="2">
        <f t="shared" si="591"/>
        <v>6842665</v>
      </c>
      <c r="P2477" s="113">
        <f t="shared" si="592"/>
        <v>7788200</v>
      </c>
      <c r="Q2477" s="121">
        <f t="shared" si="593"/>
        <v>9025904.1999999993</v>
      </c>
    </row>
    <row r="2478" spans="2:17" x14ac:dyDescent="0.4">
      <c r="B2478" s="110">
        <v>46399</v>
      </c>
      <c r="C2478" s="122">
        <f t="shared" si="580"/>
        <v>8000000</v>
      </c>
      <c r="D2478" s="111">
        <f t="shared" si="581"/>
        <v>121771</v>
      </c>
      <c r="E2478" s="2">
        <f t="shared" si="582"/>
        <v>41401.800000000003</v>
      </c>
      <c r="F2478" s="112">
        <f t="shared" si="583"/>
        <v>12000000</v>
      </c>
      <c r="G2478" s="2">
        <f t="shared" si="584"/>
        <v>6842665</v>
      </c>
      <c r="H2478" s="113">
        <f t="shared" si="585"/>
        <v>7788200</v>
      </c>
      <c r="I2478" s="121">
        <f t="shared" si="586"/>
        <v>9025904.1999999993</v>
      </c>
      <c r="K2478" s="123">
        <f t="shared" si="587"/>
        <v>8000000</v>
      </c>
      <c r="L2478" s="111">
        <f t="shared" si="588"/>
        <v>121771</v>
      </c>
      <c r="M2478" s="2">
        <f t="shared" si="589"/>
        <v>41401.800000000003</v>
      </c>
      <c r="N2478" s="112">
        <f t="shared" si="590"/>
        <v>12000000</v>
      </c>
      <c r="O2478" s="2">
        <f t="shared" si="591"/>
        <v>6842665</v>
      </c>
      <c r="P2478" s="113">
        <f t="shared" si="592"/>
        <v>7788200</v>
      </c>
      <c r="Q2478" s="121">
        <f t="shared" si="593"/>
        <v>9025904.1999999993</v>
      </c>
    </row>
    <row r="2479" spans="2:17" x14ac:dyDescent="0.4">
      <c r="B2479" s="110">
        <v>46400</v>
      </c>
      <c r="C2479" s="122">
        <f t="shared" si="580"/>
        <v>8000000</v>
      </c>
      <c r="D2479" s="111">
        <f t="shared" si="581"/>
        <v>121771</v>
      </c>
      <c r="E2479" s="2">
        <f t="shared" si="582"/>
        <v>41401.800000000003</v>
      </c>
      <c r="F2479" s="112">
        <f t="shared" si="583"/>
        <v>12000000</v>
      </c>
      <c r="G2479" s="2">
        <f t="shared" si="584"/>
        <v>6842665</v>
      </c>
      <c r="H2479" s="113">
        <f t="shared" si="585"/>
        <v>7788200</v>
      </c>
      <c r="I2479" s="121">
        <f t="shared" si="586"/>
        <v>9025904.1999999993</v>
      </c>
      <c r="K2479" s="123">
        <f t="shared" si="587"/>
        <v>8000000</v>
      </c>
      <c r="L2479" s="111">
        <f t="shared" si="588"/>
        <v>121771</v>
      </c>
      <c r="M2479" s="2">
        <f t="shared" si="589"/>
        <v>41401.800000000003</v>
      </c>
      <c r="N2479" s="112">
        <f t="shared" si="590"/>
        <v>12000000</v>
      </c>
      <c r="O2479" s="2">
        <f t="shared" si="591"/>
        <v>6842665</v>
      </c>
      <c r="P2479" s="113">
        <f t="shared" si="592"/>
        <v>7788200</v>
      </c>
      <c r="Q2479" s="121">
        <f t="shared" si="593"/>
        <v>9025904.1999999993</v>
      </c>
    </row>
    <row r="2480" spans="2:17" x14ac:dyDescent="0.4">
      <c r="B2480" s="110">
        <v>46401</v>
      </c>
      <c r="C2480" s="122">
        <f t="shared" si="580"/>
        <v>8000000</v>
      </c>
      <c r="D2480" s="111">
        <f t="shared" si="581"/>
        <v>121771</v>
      </c>
      <c r="E2480" s="2">
        <f t="shared" si="582"/>
        <v>41401.800000000003</v>
      </c>
      <c r="F2480" s="112">
        <f t="shared" si="583"/>
        <v>12000000</v>
      </c>
      <c r="G2480" s="2">
        <f t="shared" si="584"/>
        <v>6842665</v>
      </c>
      <c r="H2480" s="113">
        <f t="shared" si="585"/>
        <v>7788200</v>
      </c>
      <c r="I2480" s="121">
        <f t="shared" si="586"/>
        <v>9025904.1999999993</v>
      </c>
      <c r="K2480" s="123">
        <f t="shared" si="587"/>
        <v>8000000</v>
      </c>
      <c r="L2480" s="111">
        <f t="shared" si="588"/>
        <v>121771</v>
      </c>
      <c r="M2480" s="2">
        <f t="shared" si="589"/>
        <v>41401.800000000003</v>
      </c>
      <c r="N2480" s="112">
        <f t="shared" si="590"/>
        <v>12000000</v>
      </c>
      <c r="O2480" s="2">
        <f t="shared" si="591"/>
        <v>6842665</v>
      </c>
      <c r="P2480" s="113">
        <f t="shared" si="592"/>
        <v>7788200</v>
      </c>
      <c r="Q2480" s="121">
        <f t="shared" si="593"/>
        <v>9025904.1999999993</v>
      </c>
    </row>
  </sheetData>
  <phoneticPr fontId="9" type="noConversion"/>
  <pageMargins left="0.7" right="0.7" top="0.75" bottom="0.75" header="0.3" footer="0.3"/>
  <pageSetup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T304"/>
  <sheetViews>
    <sheetView workbookViewId="0">
      <selection activeCell="E6" sqref="E6"/>
    </sheetView>
  </sheetViews>
  <sheetFormatPr defaultRowHeight="17.399999999999999" x14ac:dyDescent="0.4"/>
  <cols>
    <col min="2" max="2" width="23.59765625" style="405" bestFit="1" customWidth="1"/>
    <col min="3" max="3" width="13.8984375" style="405" bestFit="1" customWidth="1"/>
    <col min="4" max="4" width="13.09765625" style="405" customWidth="1"/>
    <col min="5" max="5" width="13.8984375" style="405" bestFit="1" customWidth="1"/>
    <col min="6" max="6" width="10.09765625" style="405" customWidth="1"/>
    <col min="7" max="7" width="13" style="405" customWidth="1"/>
    <col min="8" max="8" width="12.69921875" style="405" bestFit="1" customWidth="1"/>
    <col min="10" max="10" width="16.09765625" style="405" customWidth="1"/>
    <col min="11" max="11" width="27.3984375" style="405" customWidth="1"/>
    <col min="12" max="12" width="11.69921875" style="405" customWidth="1"/>
    <col min="13" max="13" width="9" style="405" customWidth="1"/>
    <col min="14" max="15" width="13.19921875" style="405" customWidth="1"/>
    <col min="16" max="16" width="12.09765625" style="405" bestFit="1" customWidth="1"/>
    <col min="17" max="17" width="12.09765625" style="405" customWidth="1"/>
    <col min="18" max="18" width="9" style="405" bestFit="1" customWidth="1"/>
  </cols>
  <sheetData>
    <row r="3" spans="2:18" x14ac:dyDescent="0.4">
      <c r="B3" t="s">
        <v>614</v>
      </c>
    </row>
    <row r="5" spans="2:18" x14ac:dyDescent="0.4">
      <c r="B5" s="19" t="s">
        <v>615</v>
      </c>
      <c r="C5" s="19" t="s">
        <v>616</v>
      </c>
      <c r="D5" s="19" t="s">
        <v>617</v>
      </c>
      <c r="E5" s="19" t="s">
        <v>125</v>
      </c>
      <c r="F5" s="19" t="s">
        <v>618</v>
      </c>
      <c r="G5" s="19" t="s">
        <v>619</v>
      </c>
      <c r="I5" s="19"/>
    </row>
    <row r="6" spans="2:18" ht="18" customHeight="1" thickBot="1" x14ac:dyDescent="0.45">
      <c r="B6" t="s">
        <v>620</v>
      </c>
      <c r="C6" s="16">
        <v>350000000</v>
      </c>
      <c r="D6" s="16">
        <f>1850000</f>
        <v>1850000</v>
      </c>
      <c r="E6" s="16">
        <f>C6-D6</f>
        <v>348150000</v>
      </c>
      <c r="F6" s="17">
        <v>3.159E-2</v>
      </c>
      <c r="G6" s="16">
        <f>E6*F6*31/365</f>
        <v>934081.68082191783</v>
      </c>
      <c r="L6" t="s">
        <v>621</v>
      </c>
      <c r="M6" t="s">
        <v>622</v>
      </c>
      <c r="N6" t="s">
        <v>623</v>
      </c>
      <c r="P6" t="s">
        <v>614</v>
      </c>
      <c r="Q6" t="s">
        <v>624</v>
      </c>
    </row>
    <row r="7" spans="2:18" x14ac:dyDescent="0.4">
      <c r="B7" t="s">
        <v>625</v>
      </c>
      <c r="C7" s="16">
        <v>17490000</v>
      </c>
      <c r="D7" s="16">
        <f>1110000+10000+10000+60000+100000+300000</f>
        <v>1590000</v>
      </c>
      <c r="E7" s="16">
        <f>C7-D7</f>
        <v>15900000</v>
      </c>
      <c r="F7" s="17">
        <v>4.0500000000000001E-2</v>
      </c>
      <c r="G7" s="16">
        <f>E7*F7*31/365</f>
        <v>54691.643835616436</v>
      </c>
      <c r="H7" s="16">
        <f>F7*E7*1/365</f>
        <v>1764.2465753424658</v>
      </c>
      <c r="J7" t="s">
        <v>626</v>
      </c>
      <c r="K7" s="125" t="s">
        <v>627</v>
      </c>
      <c r="L7" s="162">
        <v>110000000</v>
      </c>
      <c r="M7" s="162">
        <v>0</v>
      </c>
      <c r="N7" s="162">
        <f t="shared" ref="N7:N12" si="0">(L7+M7/400*100000)</f>
        <v>110000000</v>
      </c>
      <c r="O7" s="162">
        <f>N7-P7</f>
        <v>33000000</v>
      </c>
      <c r="P7" s="163">
        <v>77000000</v>
      </c>
      <c r="Q7" s="2">
        <v>0</v>
      </c>
      <c r="R7" t="s">
        <v>628</v>
      </c>
    </row>
    <row r="8" spans="2:18" x14ac:dyDescent="0.4">
      <c r="B8" t="s">
        <v>629</v>
      </c>
      <c r="C8" s="16">
        <v>27510000</v>
      </c>
      <c r="D8" s="16">
        <f>18070000+300000+620000+290000+270000+650000+1700000+510000+840000</f>
        <v>23250000</v>
      </c>
      <c r="E8" s="16">
        <f>C8-D8</f>
        <v>4260000</v>
      </c>
      <c r="F8" s="17">
        <v>0.05</v>
      </c>
      <c r="G8" s="16">
        <f>E8*F8*31/365</f>
        <v>18090.410958904111</v>
      </c>
      <c r="H8" s="16">
        <f>F8*E8*1/365</f>
        <v>583.56164383561645</v>
      </c>
      <c r="J8" t="s">
        <v>630</v>
      </c>
      <c r="K8" s="126" t="s">
        <v>631</v>
      </c>
      <c r="L8" s="2">
        <v>215000000</v>
      </c>
      <c r="M8" s="2">
        <v>0</v>
      </c>
      <c r="N8" s="2">
        <f t="shared" si="0"/>
        <v>215000000</v>
      </c>
      <c r="O8" s="2">
        <f>L8-P8</f>
        <v>115000000</v>
      </c>
      <c r="P8" s="164">
        <v>100000000</v>
      </c>
      <c r="Q8" s="2"/>
      <c r="R8" t="s">
        <v>632</v>
      </c>
    </row>
    <row r="9" spans="2:18" x14ac:dyDescent="0.4">
      <c r="J9" t="s">
        <v>633</v>
      </c>
      <c r="K9" s="126" t="s">
        <v>634</v>
      </c>
      <c r="L9" s="2">
        <v>380000000</v>
      </c>
      <c r="M9" s="2">
        <v>0</v>
      </c>
      <c r="N9" s="2">
        <f t="shared" si="0"/>
        <v>380000000</v>
      </c>
      <c r="O9" s="2">
        <f>L9-P9</f>
        <v>145500000</v>
      </c>
      <c r="P9" s="164">
        <f>194500000+40000000</f>
        <v>234500000</v>
      </c>
      <c r="Q9" s="2">
        <v>190000000</v>
      </c>
      <c r="R9" t="s">
        <v>635</v>
      </c>
    </row>
    <row r="10" spans="2:18" x14ac:dyDescent="0.4">
      <c r="J10" t="s">
        <v>636</v>
      </c>
      <c r="K10" s="126" t="s">
        <v>637</v>
      </c>
      <c r="L10" s="2">
        <v>500000000</v>
      </c>
      <c r="M10" s="2">
        <v>0</v>
      </c>
      <c r="N10" s="2">
        <f t="shared" si="0"/>
        <v>500000000</v>
      </c>
      <c r="O10" s="2">
        <f>L10-P10</f>
        <v>200000000</v>
      </c>
      <c r="P10" s="164">
        <v>300000000</v>
      </c>
      <c r="Q10" s="2">
        <v>300000000</v>
      </c>
      <c r="R10" t="s">
        <v>638</v>
      </c>
    </row>
    <row r="11" spans="2:18" x14ac:dyDescent="0.4">
      <c r="B11" s="18"/>
      <c r="C11" s="20">
        <f>SUM(C6:C8)</f>
        <v>395000000</v>
      </c>
      <c r="D11" s="20">
        <f>SUM(D6:D8)</f>
        <v>26690000</v>
      </c>
      <c r="E11" s="20">
        <f>SUM(E6:E8)</f>
        <v>368310000</v>
      </c>
      <c r="F11" s="21">
        <f>G11/E11/31*365</f>
        <v>3.2187582471287772E-2</v>
      </c>
      <c r="G11" s="20">
        <f>SUM(G6:G8)</f>
        <v>1006863.7356164383</v>
      </c>
      <c r="J11" t="s">
        <v>639</v>
      </c>
      <c r="K11" s="126" t="s">
        <v>640</v>
      </c>
      <c r="L11" s="2">
        <v>500000000</v>
      </c>
      <c r="M11" s="2">
        <v>850000</v>
      </c>
      <c r="N11" s="2">
        <f t="shared" si="0"/>
        <v>712500000</v>
      </c>
      <c r="O11" s="2">
        <f>L11-P11</f>
        <v>213000000</v>
      </c>
      <c r="P11" s="164">
        <v>287000000</v>
      </c>
      <c r="Q11" s="2">
        <v>268000000</v>
      </c>
      <c r="R11" t="s">
        <v>641</v>
      </c>
    </row>
    <row r="12" spans="2:18" ht="18" customHeight="1" thickBot="1" x14ac:dyDescent="0.45">
      <c r="G12" s="16">
        <f>G11*12</f>
        <v>12082364.827397261</v>
      </c>
      <c r="J12" t="s">
        <v>642</v>
      </c>
      <c r="K12" s="127" t="s">
        <v>643</v>
      </c>
      <c r="L12" s="165">
        <v>600000000</v>
      </c>
      <c r="M12" s="165">
        <v>660000</v>
      </c>
      <c r="N12" s="165">
        <f t="shared" si="0"/>
        <v>765000000</v>
      </c>
      <c r="O12" s="165">
        <f>L12-P12</f>
        <v>250000000</v>
      </c>
      <c r="P12" s="166">
        <v>350000000</v>
      </c>
      <c r="Q12" s="2"/>
      <c r="R12" t="s">
        <v>644</v>
      </c>
    </row>
    <row r="13" spans="2:18" x14ac:dyDescent="0.4">
      <c r="G13" s="16"/>
      <c r="K13" s="126"/>
      <c r="L13" s="2"/>
      <c r="M13" s="2"/>
      <c r="N13" s="2"/>
      <c r="O13" s="2"/>
      <c r="P13" s="164"/>
      <c r="Q13" s="2"/>
    </row>
    <row r="14" spans="2:18" x14ac:dyDescent="0.4">
      <c r="G14" s="16"/>
      <c r="K14" s="126"/>
      <c r="L14" s="2"/>
      <c r="M14" s="2"/>
      <c r="N14" s="2"/>
      <c r="O14" s="2"/>
      <c r="P14" s="164"/>
      <c r="Q14" s="2"/>
    </row>
    <row r="15" spans="2:18" ht="18" customHeight="1" thickBot="1" x14ac:dyDescent="0.45">
      <c r="C15" s="16"/>
      <c r="D15" s="16">
        <f>4500*0.05/12</f>
        <v>18.75</v>
      </c>
      <c r="E15" s="16"/>
      <c r="F15" s="17"/>
      <c r="G15" s="16"/>
      <c r="K15" s="127"/>
      <c r="L15" s="165"/>
      <c r="M15" s="165"/>
      <c r="N15" s="165"/>
      <c r="O15" s="165"/>
      <c r="P15" s="166"/>
      <c r="Q15" s="2"/>
    </row>
    <row r="16" spans="2:18" x14ac:dyDescent="0.4">
      <c r="C16" s="16">
        <v>300000</v>
      </c>
      <c r="D16" s="16"/>
      <c r="E16" s="16"/>
      <c r="F16" s="17"/>
      <c r="G16" s="16"/>
      <c r="N16" s="2"/>
      <c r="O16" s="2"/>
      <c r="P16" s="2"/>
      <c r="Q16" s="2"/>
    </row>
    <row r="17" spans="2:20" x14ac:dyDescent="0.4">
      <c r="C17" s="16">
        <v>10000</v>
      </c>
      <c r="D17" s="16"/>
      <c r="E17" s="16"/>
      <c r="F17" s="17"/>
      <c r="G17" s="16"/>
      <c r="N17" s="2"/>
      <c r="O17" s="2"/>
      <c r="P17" s="2"/>
      <c r="Q17" s="2"/>
    </row>
    <row r="18" spans="2:20" x14ac:dyDescent="0.4">
      <c r="C18" s="161"/>
      <c r="D18" s="16"/>
      <c r="E18" s="16"/>
      <c r="F18" s="17"/>
      <c r="G18" s="16"/>
      <c r="N18" s="2"/>
      <c r="O18" s="2"/>
      <c r="P18" s="2"/>
      <c r="Q18" s="2"/>
    </row>
    <row r="19" spans="2:20" x14ac:dyDescent="0.4">
      <c r="C19" s="20"/>
      <c r="D19" s="20"/>
      <c r="E19" s="20"/>
      <c r="F19" s="21"/>
      <c r="G19" s="20"/>
      <c r="J19" s="16"/>
      <c r="N19" s="2"/>
      <c r="O19" s="2"/>
      <c r="P19" s="2"/>
      <c r="Q19" s="2"/>
    </row>
    <row r="20" spans="2:20" x14ac:dyDescent="0.4">
      <c r="E20" s="16"/>
      <c r="F20">
        <f>0.0035*E6</f>
        <v>1218525</v>
      </c>
      <c r="G20" s="16"/>
      <c r="J20" s="16"/>
    </row>
    <row r="21" spans="2:20" x14ac:dyDescent="0.4">
      <c r="C21" s="22"/>
      <c r="J21" s="16"/>
    </row>
    <row r="22" spans="2:20" x14ac:dyDescent="0.4">
      <c r="G22">
        <f>3.23/12</f>
        <v>0.26916666666666667</v>
      </c>
      <c r="H22" s="16"/>
      <c r="J22" s="16"/>
    </row>
    <row r="23" spans="2:20" x14ac:dyDescent="0.4">
      <c r="G23">
        <f>0.32*12</f>
        <v>3.84</v>
      </c>
      <c r="J23" s="16"/>
      <c r="N23" s="22"/>
      <c r="O23" s="22"/>
      <c r="P23" s="16"/>
      <c r="Q23" s="16"/>
      <c r="R23" s="16">
        <f>N23*P23/12</f>
        <v>0</v>
      </c>
    </row>
    <row r="24" spans="2:20" x14ac:dyDescent="0.4">
      <c r="I24" s="17"/>
      <c r="J24" s="16"/>
      <c r="N24" s="22"/>
      <c r="O24" s="22"/>
      <c r="P24" s="16"/>
      <c r="Q24" s="16"/>
      <c r="R24" s="16">
        <f>N24*P24/12</f>
        <v>0</v>
      </c>
    </row>
    <row r="25" spans="2:20" x14ac:dyDescent="0.4">
      <c r="B25" t="s">
        <v>645</v>
      </c>
      <c r="J25" s="16"/>
    </row>
    <row r="26" spans="2:20" x14ac:dyDescent="0.4">
      <c r="B26" t="s">
        <v>646</v>
      </c>
      <c r="J26" s="16"/>
    </row>
    <row r="29" spans="2:20" x14ac:dyDescent="0.4">
      <c r="G29" s="10" t="s">
        <v>647</v>
      </c>
      <c r="H29" s="308">
        <f>SUM(F33:F500)</f>
        <v>1222244</v>
      </c>
    </row>
    <row r="31" spans="2:20" x14ac:dyDescent="0.4">
      <c r="E31" s="71">
        <f>(D7+D8)/(C7+C8)</f>
        <v>0.55200000000000005</v>
      </c>
      <c r="G31" s="2">
        <f>SUM(G33:G1038)</f>
        <v>212682880.51999998</v>
      </c>
      <c r="H31" s="2">
        <f>SUM(H33:H1038)</f>
        <v>17171420.924959682</v>
      </c>
      <c r="I31" s="245">
        <f>H31/G31</f>
        <v>8.0737203121268336E-2</v>
      </c>
    </row>
    <row r="32" spans="2:20" x14ac:dyDescent="0.4">
      <c r="C32" t="s">
        <v>648</v>
      </c>
      <c r="D32" t="s">
        <v>126</v>
      </c>
      <c r="E32" t="s">
        <v>127</v>
      </c>
      <c r="F32" t="s">
        <v>649</v>
      </c>
      <c r="G32" t="s">
        <v>650</v>
      </c>
      <c r="H32" t="s">
        <v>651</v>
      </c>
      <c r="T32" s="2"/>
    </row>
    <row r="33" spans="2:20" x14ac:dyDescent="0.4">
      <c r="B33" t="s">
        <v>652</v>
      </c>
      <c r="C33" s="1">
        <v>45807</v>
      </c>
      <c r="D33" s="1">
        <v>45807</v>
      </c>
      <c r="E33" s="2">
        <v>200000</v>
      </c>
      <c r="F33" s="2">
        <v>27</v>
      </c>
      <c r="G33" s="2">
        <f t="shared" ref="G33:G64" si="1">N33*O33</f>
        <v>4576499.5200000005</v>
      </c>
      <c r="H33" s="2">
        <f t="shared" ref="H33:H64" si="2">N33*R33-G33-T33</f>
        <v>210130.18380767951</v>
      </c>
      <c r="K33" s="38" t="s">
        <v>109</v>
      </c>
      <c r="L33" s="6" t="s">
        <v>160</v>
      </c>
      <c r="M33" s="6" t="str">
        <f t="shared" ref="M33:M64" si="3">IF(OR($C33="신한",$C33="OTC",$C33="무상증자(신한)",$C33="토스",$C33="R토스"),1,"확인")</f>
        <v>확인</v>
      </c>
      <c r="N33" s="34">
        <v>920</v>
      </c>
      <c r="O33" s="212">
        <v>4974.4560000000001</v>
      </c>
      <c r="P33" s="195">
        <v>45805</v>
      </c>
      <c r="Q33" s="35"/>
      <c r="R33" s="212">
        <v>5230</v>
      </c>
      <c r="S33" s="8">
        <v>45806</v>
      </c>
      <c r="T33" s="2">
        <f>N33*O33*0.001891+R33*N33*(0.001891+0.0015)</f>
        <v>24970.296192320002</v>
      </c>
    </row>
    <row r="34" spans="2:20" x14ac:dyDescent="0.4">
      <c r="C34" s="1">
        <v>45807</v>
      </c>
      <c r="D34" s="1">
        <v>45807</v>
      </c>
      <c r="E34" s="2">
        <v>180000</v>
      </c>
      <c r="F34" s="2">
        <v>24</v>
      </c>
      <c r="G34" s="2">
        <f t="shared" si="1"/>
        <v>7303098</v>
      </c>
      <c r="H34" s="2">
        <f t="shared" si="2"/>
        <v>180083.04418199998</v>
      </c>
      <c r="K34" s="38" t="s">
        <v>134</v>
      </c>
      <c r="L34" s="6" t="s">
        <v>160</v>
      </c>
      <c r="M34" s="6" t="str">
        <f t="shared" si="3"/>
        <v>확인</v>
      </c>
      <c r="N34" s="34">
        <v>51</v>
      </c>
      <c r="O34" s="212">
        <v>143198</v>
      </c>
      <c r="P34" s="195">
        <v>45805</v>
      </c>
      <c r="Q34" s="35"/>
      <c r="R34" s="212">
        <v>147500</v>
      </c>
      <c r="S34" s="8">
        <v>45807</v>
      </c>
      <c r="T34" s="2">
        <f>N34*O34*0.001891+R34*N34*(0.001891+0.0015)</f>
        <v>39318.955818000002</v>
      </c>
    </row>
    <row r="35" spans="2:20" x14ac:dyDescent="0.4">
      <c r="C35" s="1">
        <v>45807</v>
      </c>
      <c r="D35" s="1">
        <v>45810</v>
      </c>
      <c r="E35" s="447">
        <v>1460000</v>
      </c>
      <c r="F35" s="447">
        <v>11149</v>
      </c>
      <c r="G35" s="2">
        <f t="shared" si="1"/>
        <v>1470000</v>
      </c>
      <c r="H35" s="2">
        <f t="shared" si="2"/>
        <v>77222</v>
      </c>
      <c r="K35" s="38" t="s">
        <v>134</v>
      </c>
      <c r="L35" s="6" t="s">
        <v>122</v>
      </c>
      <c r="M35" s="6" t="str">
        <f t="shared" si="3"/>
        <v>확인</v>
      </c>
      <c r="N35" s="34">
        <v>10</v>
      </c>
      <c r="O35" s="212">
        <v>147000</v>
      </c>
      <c r="P35" s="195">
        <v>45807</v>
      </c>
      <c r="Q35" s="35" t="s">
        <v>113</v>
      </c>
      <c r="R35" s="212">
        <v>155000</v>
      </c>
      <c r="S35" s="8">
        <v>45810</v>
      </c>
      <c r="T35" s="2">
        <f t="shared" ref="T35:T45" si="4">N35*O35*0.00015+R35*N35*(0.00015+0.0015)</f>
        <v>2778</v>
      </c>
    </row>
    <row r="36" spans="2:20" x14ac:dyDescent="0.4">
      <c r="C36" s="1">
        <v>45807</v>
      </c>
      <c r="D36" s="1">
        <v>45810</v>
      </c>
      <c r="E36" s="445"/>
      <c r="F36" s="445"/>
      <c r="G36" s="2">
        <f t="shared" si="1"/>
        <v>739000</v>
      </c>
      <c r="H36" s="2">
        <f t="shared" si="2"/>
        <v>34610.400000000001</v>
      </c>
      <c r="K36" s="38" t="s">
        <v>134</v>
      </c>
      <c r="L36" s="6" t="s">
        <v>122</v>
      </c>
      <c r="M36" s="6" t="str">
        <f t="shared" si="3"/>
        <v>확인</v>
      </c>
      <c r="N36" s="34">
        <v>5</v>
      </c>
      <c r="O36" s="212">
        <v>147800</v>
      </c>
      <c r="P36" s="195">
        <v>45807</v>
      </c>
      <c r="Q36" s="35" t="s">
        <v>113</v>
      </c>
      <c r="R36" s="212">
        <v>155000</v>
      </c>
      <c r="S36" s="8">
        <v>45810</v>
      </c>
      <c r="T36" s="2">
        <f t="shared" si="4"/>
        <v>1389.6</v>
      </c>
    </row>
    <row r="37" spans="2:20" x14ac:dyDescent="0.4">
      <c r="C37" s="1">
        <v>45807</v>
      </c>
      <c r="D37" s="1">
        <v>45810</v>
      </c>
      <c r="E37" s="445"/>
      <c r="F37" s="445"/>
      <c r="G37" s="2">
        <f t="shared" si="1"/>
        <v>736500</v>
      </c>
      <c r="H37" s="2">
        <f t="shared" si="2"/>
        <v>37110.775000000001</v>
      </c>
      <c r="K37" s="38" t="s">
        <v>134</v>
      </c>
      <c r="L37" s="6" t="s">
        <v>122</v>
      </c>
      <c r="M37" s="6" t="str">
        <f t="shared" si="3"/>
        <v>확인</v>
      </c>
      <c r="N37" s="34">
        <v>5</v>
      </c>
      <c r="O37" s="212">
        <v>147300</v>
      </c>
      <c r="P37" s="195">
        <v>45807</v>
      </c>
      <c r="Q37" s="35" t="s">
        <v>113</v>
      </c>
      <c r="R37" s="212">
        <v>155000</v>
      </c>
      <c r="S37" s="8">
        <v>45810</v>
      </c>
      <c r="T37" s="2">
        <f t="shared" si="4"/>
        <v>1389.2249999999999</v>
      </c>
    </row>
    <row r="38" spans="2:20" x14ac:dyDescent="0.4">
      <c r="C38" s="1">
        <v>45807</v>
      </c>
      <c r="D38" s="1">
        <v>45810</v>
      </c>
      <c r="E38" s="445"/>
      <c r="F38" s="445"/>
      <c r="G38" s="2">
        <f t="shared" si="1"/>
        <v>1463000</v>
      </c>
      <c r="H38" s="2">
        <f t="shared" si="2"/>
        <v>84223.05</v>
      </c>
      <c r="K38" s="38" t="s">
        <v>134</v>
      </c>
      <c r="L38" s="6" t="s">
        <v>122</v>
      </c>
      <c r="M38" s="6" t="str">
        <f t="shared" si="3"/>
        <v>확인</v>
      </c>
      <c r="N38" s="34">
        <v>10</v>
      </c>
      <c r="O38" s="212">
        <v>146300</v>
      </c>
      <c r="P38" s="195">
        <v>45807</v>
      </c>
      <c r="Q38" s="35" t="s">
        <v>113</v>
      </c>
      <c r="R38" s="212">
        <v>155000</v>
      </c>
      <c r="S38" s="8">
        <v>45810</v>
      </c>
      <c r="T38" s="2">
        <f t="shared" si="4"/>
        <v>2776.95</v>
      </c>
    </row>
    <row r="39" spans="2:20" x14ac:dyDescent="0.4">
      <c r="C39" s="1">
        <v>45807</v>
      </c>
      <c r="D39" s="1">
        <v>45810</v>
      </c>
      <c r="E39" s="445"/>
      <c r="F39" s="445"/>
      <c r="G39" s="2">
        <f t="shared" si="1"/>
        <v>1457000</v>
      </c>
      <c r="H39" s="2">
        <f t="shared" si="2"/>
        <v>90223.95</v>
      </c>
      <c r="K39" s="38" t="s">
        <v>134</v>
      </c>
      <c r="L39" s="6" t="s">
        <v>122</v>
      </c>
      <c r="M39" s="6" t="str">
        <f t="shared" si="3"/>
        <v>확인</v>
      </c>
      <c r="N39" s="34">
        <v>10</v>
      </c>
      <c r="O39" s="212">
        <v>145700</v>
      </c>
      <c r="P39" s="195">
        <v>45807</v>
      </c>
      <c r="Q39" s="35" t="s">
        <v>113</v>
      </c>
      <c r="R39" s="212">
        <v>155000</v>
      </c>
      <c r="S39" s="8">
        <v>45810</v>
      </c>
      <c r="T39" s="2">
        <f t="shared" si="4"/>
        <v>2776.05</v>
      </c>
    </row>
    <row r="40" spans="2:20" x14ac:dyDescent="0.4">
      <c r="C40" s="1">
        <v>45807</v>
      </c>
      <c r="D40" s="1">
        <v>45810</v>
      </c>
      <c r="E40" s="445"/>
      <c r="F40" s="445"/>
      <c r="G40" s="2">
        <f t="shared" si="1"/>
        <v>1450000</v>
      </c>
      <c r="H40" s="2">
        <f t="shared" si="2"/>
        <v>97225</v>
      </c>
      <c r="K40" s="38" t="s">
        <v>134</v>
      </c>
      <c r="L40" s="6" t="s">
        <v>122</v>
      </c>
      <c r="M40" s="6" t="str">
        <f t="shared" si="3"/>
        <v>확인</v>
      </c>
      <c r="N40" s="34">
        <v>10</v>
      </c>
      <c r="O40" s="212">
        <v>145000</v>
      </c>
      <c r="P40" s="195">
        <v>45807</v>
      </c>
      <c r="Q40" s="35" t="s">
        <v>113</v>
      </c>
      <c r="R40" s="212">
        <v>155000</v>
      </c>
      <c r="S40" s="8">
        <v>45810</v>
      </c>
      <c r="T40" s="2">
        <f t="shared" si="4"/>
        <v>2775</v>
      </c>
    </row>
    <row r="41" spans="2:20" x14ac:dyDescent="0.4">
      <c r="C41" s="1">
        <v>45807</v>
      </c>
      <c r="D41" s="1">
        <v>45810</v>
      </c>
      <c r="E41" s="445"/>
      <c r="F41" s="445"/>
      <c r="G41" s="2">
        <f t="shared" si="1"/>
        <v>1435000</v>
      </c>
      <c r="H41" s="2">
        <f t="shared" si="2"/>
        <v>112227.25</v>
      </c>
      <c r="K41" s="38" t="s">
        <v>134</v>
      </c>
      <c r="L41" s="6" t="s">
        <v>122</v>
      </c>
      <c r="M41" s="6" t="str">
        <f t="shared" si="3"/>
        <v>확인</v>
      </c>
      <c r="N41" s="34">
        <v>10</v>
      </c>
      <c r="O41" s="212">
        <v>143500</v>
      </c>
      <c r="P41" s="195">
        <v>45807</v>
      </c>
      <c r="Q41" s="35" t="s">
        <v>113</v>
      </c>
      <c r="R41" s="212">
        <v>155000</v>
      </c>
      <c r="S41" s="8">
        <v>45810</v>
      </c>
      <c r="T41" s="2">
        <f t="shared" si="4"/>
        <v>2772.75</v>
      </c>
    </row>
    <row r="42" spans="2:20" x14ac:dyDescent="0.4">
      <c r="C42" s="1">
        <v>45807</v>
      </c>
      <c r="D42" s="1">
        <v>45810</v>
      </c>
      <c r="E42" s="445"/>
      <c r="F42" s="445"/>
      <c r="G42" s="2">
        <f t="shared" si="1"/>
        <v>1800000</v>
      </c>
      <c r="H42" s="2">
        <f t="shared" si="2"/>
        <v>141520.75</v>
      </c>
      <c r="K42" s="38" t="s">
        <v>64</v>
      </c>
      <c r="L42" s="6" t="s">
        <v>122</v>
      </c>
      <c r="M42" s="6" t="str">
        <f t="shared" si="3"/>
        <v>확인</v>
      </c>
      <c r="N42" s="34">
        <v>100</v>
      </c>
      <c r="O42" s="212">
        <v>18000</v>
      </c>
      <c r="P42" s="195">
        <v>45807</v>
      </c>
      <c r="Q42" s="35" t="s">
        <v>113</v>
      </c>
      <c r="R42" s="212">
        <v>19450</v>
      </c>
      <c r="S42" s="8">
        <v>45810</v>
      </c>
      <c r="T42" s="2">
        <f t="shared" si="4"/>
        <v>3479.25</v>
      </c>
    </row>
    <row r="43" spans="2:20" x14ac:dyDescent="0.4">
      <c r="C43" s="1">
        <v>45807</v>
      </c>
      <c r="D43" s="1">
        <v>45810</v>
      </c>
      <c r="E43" s="445"/>
      <c r="F43" s="445"/>
      <c r="G43" s="2">
        <f t="shared" si="1"/>
        <v>1790000</v>
      </c>
      <c r="H43" s="2">
        <f t="shared" si="2"/>
        <v>151522.25</v>
      </c>
      <c r="K43" s="38" t="s">
        <v>64</v>
      </c>
      <c r="L43" s="6" t="s">
        <v>122</v>
      </c>
      <c r="M43" s="6" t="str">
        <f t="shared" si="3"/>
        <v>확인</v>
      </c>
      <c r="N43" s="34">
        <v>100</v>
      </c>
      <c r="O43" s="212">
        <v>17900</v>
      </c>
      <c r="P43" s="195">
        <v>45807</v>
      </c>
      <c r="Q43" s="35" t="s">
        <v>113</v>
      </c>
      <c r="R43" s="212">
        <v>19450</v>
      </c>
      <c r="S43" s="8">
        <v>45810</v>
      </c>
      <c r="T43" s="2">
        <f t="shared" si="4"/>
        <v>3477.75</v>
      </c>
    </row>
    <row r="44" spans="2:20" x14ac:dyDescent="0.4">
      <c r="C44" s="1">
        <v>45807</v>
      </c>
      <c r="D44" s="1">
        <v>45810</v>
      </c>
      <c r="E44" s="445"/>
      <c r="F44" s="445"/>
      <c r="G44" s="2">
        <f t="shared" si="1"/>
        <v>1780000</v>
      </c>
      <c r="H44" s="2">
        <f t="shared" si="2"/>
        <v>161523.75</v>
      </c>
      <c r="K44" s="38" t="s">
        <v>64</v>
      </c>
      <c r="L44" s="6" t="s">
        <v>122</v>
      </c>
      <c r="M44" s="6" t="str">
        <f t="shared" si="3"/>
        <v>확인</v>
      </c>
      <c r="N44" s="34">
        <v>100</v>
      </c>
      <c r="O44" s="212">
        <v>17800</v>
      </c>
      <c r="P44" s="195">
        <v>45807</v>
      </c>
      <c r="Q44" s="35" t="s">
        <v>113</v>
      </c>
      <c r="R44" s="212">
        <v>19450</v>
      </c>
      <c r="S44" s="8">
        <v>45810</v>
      </c>
      <c r="T44" s="2">
        <f t="shared" si="4"/>
        <v>3476.25</v>
      </c>
    </row>
    <row r="45" spans="2:20" x14ac:dyDescent="0.4">
      <c r="C45" s="1">
        <v>45807</v>
      </c>
      <c r="D45" s="1">
        <v>45810</v>
      </c>
      <c r="E45" s="445"/>
      <c r="F45" s="445"/>
      <c r="G45" s="2">
        <f t="shared" si="1"/>
        <v>1750000</v>
      </c>
      <c r="H45" s="2">
        <f t="shared" si="2"/>
        <v>191528.25</v>
      </c>
      <c r="K45" s="38" t="s">
        <v>64</v>
      </c>
      <c r="L45" s="6" t="s">
        <v>122</v>
      </c>
      <c r="M45" s="6" t="str">
        <f t="shared" si="3"/>
        <v>확인</v>
      </c>
      <c r="N45" s="34">
        <v>100</v>
      </c>
      <c r="O45" s="212">
        <v>17500</v>
      </c>
      <c r="P45" s="195">
        <v>45807</v>
      </c>
      <c r="Q45" s="35" t="s">
        <v>113</v>
      </c>
      <c r="R45" s="212">
        <v>19450</v>
      </c>
      <c r="S45" s="8">
        <v>45810</v>
      </c>
      <c r="T45" s="2">
        <f t="shared" si="4"/>
        <v>3471.75</v>
      </c>
    </row>
    <row r="46" spans="2:20" x14ac:dyDescent="0.4">
      <c r="C46" s="1">
        <v>45807</v>
      </c>
      <c r="D46" s="1">
        <v>45810</v>
      </c>
      <c r="E46" s="445"/>
      <c r="F46" s="445"/>
      <c r="G46" s="2">
        <f t="shared" si="1"/>
        <v>5639100</v>
      </c>
      <c r="H46" s="2">
        <f t="shared" si="2"/>
        <v>159470.3229</v>
      </c>
      <c r="K46" s="38" t="s">
        <v>64</v>
      </c>
      <c r="L46" s="6" t="s">
        <v>160</v>
      </c>
      <c r="M46" s="6" t="str">
        <f t="shared" si="3"/>
        <v>확인</v>
      </c>
      <c r="N46" s="34">
        <v>300</v>
      </c>
      <c r="O46" s="212">
        <v>18797</v>
      </c>
      <c r="P46" s="195">
        <v>45805</v>
      </c>
      <c r="Q46" s="35" t="s">
        <v>113</v>
      </c>
      <c r="R46" s="212">
        <v>19430</v>
      </c>
      <c r="S46" s="8">
        <v>45810</v>
      </c>
      <c r="T46" s="2">
        <f>N46*O46*0.001891+R46*N46*(0.001891+0.0015)</f>
        <v>30429.677100000001</v>
      </c>
    </row>
    <row r="47" spans="2:20" x14ac:dyDescent="0.4">
      <c r="C47" s="1">
        <v>45807</v>
      </c>
      <c r="D47" s="1">
        <v>45810</v>
      </c>
      <c r="E47" s="445"/>
      <c r="F47" s="445"/>
      <c r="G47" s="2">
        <f t="shared" si="1"/>
        <v>502040</v>
      </c>
      <c r="H47" s="2">
        <f t="shared" si="2"/>
        <v>39205.80272</v>
      </c>
      <c r="K47" s="38" t="s">
        <v>64</v>
      </c>
      <c r="L47" s="6" t="s">
        <v>160</v>
      </c>
      <c r="M47" s="6" t="str">
        <f t="shared" si="3"/>
        <v>확인</v>
      </c>
      <c r="N47" s="34">
        <v>28</v>
      </c>
      <c r="O47" s="212">
        <v>17930</v>
      </c>
      <c r="P47" s="195">
        <v>45806</v>
      </c>
      <c r="Q47" s="35" t="s">
        <v>113</v>
      </c>
      <c r="R47" s="212">
        <v>19430</v>
      </c>
      <c r="S47" s="8">
        <v>45810</v>
      </c>
      <c r="T47" s="2">
        <f>N47*O47*0.001891+R47*N47*(0.001891+0.0015)</f>
        <v>2794.1972799999999</v>
      </c>
    </row>
    <row r="48" spans="2:20" x14ac:dyDescent="0.4">
      <c r="C48" s="1">
        <v>45807</v>
      </c>
      <c r="D48" s="1">
        <v>45810</v>
      </c>
      <c r="E48" s="445"/>
      <c r="F48" s="445"/>
      <c r="G48" s="2">
        <f t="shared" si="1"/>
        <v>2311200</v>
      </c>
      <c r="H48" s="2">
        <f t="shared" si="2"/>
        <v>106189.39079999999</v>
      </c>
      <c r="K48" s="38" t="s">
        <v>109</v>
      </c>
      <c r="L48" s="6" t="s">
        <v>160</v>
      </c>
      <c r="M48" s="6" t="str">
        <f t="shared" si="3"/>
        <v>확인</v>
      </c>
      <c r="N48" s="34">
        <v>450</v>
      </c>
      <c r="O48" s="212">
        <v>5136</v>
      </c>
      <c r="P48" s="195">
        <v>45806</v>
      </c>
      <c r="Q48" s="35" t="s">
        <v>113</v>
      </c>
      <c r="R48" s="212">
        <v>5400</v>
      </c>
      <c r="S48" s="8">
        <v>45810</v>
      </c>
      <c r="T48" s="2">
        <f>N48*O48*0.001891+R48*N48*(0.001891+0.0015)</f>
        <v>12610.609199999999</v>
      </c>
    </row>
    <row r="49" spans="3:20" x14ac:dyDescent="0.4">
      <c r="C49" s="1">
        <v>45807</v>
      </c>
      <c r="D49" s="1">
        <v>45812</v>
      </c>
      <c r="E49" s="444">
        <v>220000</v>
      </c>
      <c r="F49" s="444">
        <v>7032</v>
      </c>
      <c r="G49" s="2">
        <f t="shared" si="1"/>
        <v>1074500</v>
      </c>
      <c r="H49" s="2">
        <f t="shared" si="2"/>
        <v>15537.025</v>
      </c>
      <c r="K49" s="38" t="s">
        <v>134</v>
      </c>
      <c r="L49" s="6" t="s">
        <v>122</v>
      </c>
      <c r="M49" s="6" t="str">
        <f t="shared" si="3"/>
        <v>확인</v>
      </c>
      <c r="N49" s="34">
        <v>7</v>
      </c>
      <c r="O49" s="212">
        <v>153500</v>
      </c>
      <c r="P49" s="195">
        <v>45810</v>
      </c>
      <c r="Q49" s="35" t="s">
        <v>113</v>
      </c>
      <c r="R49" s="212">
        <v>156000</v>
      </c>
      <c r="S49" s="8">
        <v>45812</v>
      </c>
      <c r="T49" s="2">
        <f t="shared" ref="T49:T80" si="5">N49*O49*0.00015+R49*N49*(0.00015+0.0015)</f>
        <v>1962.9749999999999</v>
      </c>
    </row>
    <row r="50" spans="3:20" x14ac:dyDescent="0.4">
      <c r="C50" s="1">
        <v>45807</v>
      </c>
      <c r="D50" s="1">
        <v>45812</v>
      </c>
      <c r="E50" s="445"/>
      <c r="F50" s="445"/>
      <c r="G50" s="2">
        <f t="shared" si="1"/>
        <v>1072400</v>
      </c>
      <c r="H50" s="2">
        <f t="shared" si="2"/>
        <v>17637.34</v>
      </c>
      <c r="K50" s="38" t="s">
        <v>134</v>
      </c>
      <c r="L50" s="6" t="s">
        <v>122</v>
      </c>
      <c r="M50" s="6" t="str">
        <f t="shared" si="3"/>
        <v>확인</v>
      </c>
      <c r="N50" s="34">
        <v>7</v>
      </c>
      <c r="O50" s="212">
        <v>153200</v>
      </c>
      <c r="P50" s="195">
        <v>45810</v>
      </c>
      <c r="Q50" s="35" t="s">
        <v>113</v>
      </c>
      <c r="R50" s="212">
        <v>156000</v>
      </c>
      <c r="S50" s="8">
        <v>45812</v>
      </c>
      <c r="T50" s="2">
        <f t="shared" si="5"/>
        <v>1962.6599999999999</v>
      </c>
    </row>
    <row r="51" spans="3:20" x14ac:dyDescent="0.4">
      <c r="C51" s="1">
        <v>45807</v>
      </c>
      <c r="D51" s="1">
        <v>45812</v>
      </c>
      <c r="E51" s="445"/>
      <c r="F51" s="445"/>
      <c r="G51" s="2">
        <f t="shared" si="1"/>
        <v>1064000</v>
      </c>
      <c r="H51" s="2">
        <f t="shared" si="2"/>
        <v>26038.6</v>
      </c>
      <c r="K51" s="38" t="s">
        <v>134</v>
      </c>
      <c r="L51" s="6" t="s">
        <v>122</v>
      </c>
      <c r="M51" s="6" t="str">
        <f t="shared" si="3"/>
        <v>확인</v>
      </c>
      <c r="N51" s="34">
        <v>7</v>
      </c>
      <c r="O51" s="212">
        <v>152000</v>
      </c>
      <c r="P51" s="195">
        <v>45810</v>
      </c>
      <c r="Q51" s="35" t="s">
        <v>113</v>
      </c>
      <c r="R51" s="212">
        <v>156000</v>
      </c>
      <c r="S51" s="8">
        <v>45812</v>
      </c>
      <c r="T51" s="2">
        <f t="shared" si="5"/>
        <v>1961.3999999999999</v>
      </c>
    </row>
    <row r="52" spans="3:20" x14ac:dyDescent="0.4">
      <c r="C52" s="1">
        <v>45807</v>
      </c>
      <c r="D52" s="1">
        <v>45812</v>
      </c>
      <c r="E52" s="445"/>
      <c r="F52" s="445"/>
      <c r="G52" s="2">
        <f t="shared" si="1"/>
        <v>1214400</v>
      </c>
      <c r="H52" s="2">
        <f t="shared" si="2"/>
        <v>31358.639999999999</v>
      </c>
      <c r="K52" s="38" t="s">
        <v>134</v>
      </c>
      <c r="L52" s="6" t="s">
        <v>122</v>
      </c>
      <c r="M52" s="6" t="str">
        <f t="shared" si="3"/>
        <v>확인</v>
      </c>
      <c r="N52" s="34">
        <v>8</v>
      </c>
      <c r="O52" s="212">
        <v>151800</v>
      </c>
      <c r="P52" s="195">
        <v>45812</v>
      </c>
      <c r="Q52" s="35" t="s">
        <v>113</v>
      </c>
      <c r="R52" s="212">
        <v>156000</v>
      </c>
      <c r="S52" s="8">
        <v>45812</v>
      </c>
      <c r="T52" s="2">
        <f t="shared" si="5"/>
        <v>2241.3599999999997</v>
      </c>
    </row>
    <row r="53" spans="3:20" x14ac:dyDescent="0.4">
      <c r="C53" s="1">
        <v>45807</v>
      </c>
      <c r="D53" s="1">
        <v>45812</v>
      </c>
      <c r="E53" s="445"/>
      <c r="F53" s="445"/>
      <c r="G53" s="2">
        <f t="shared" si="1"/>
        <v>1216000</v>
      </c>
      <c r="H53" s="2">
        <f t="shared" si="2"/>
        <v>29758.400000000001</v>
      </c>
      <c r="K53" s="38" t="s">
        <v>134</v>
      </c>
      <c r="L53" s="6" t="s">
        <v>122</v>
      </c>
      <c r="M53" s="6" t="str">
        <f t="shared" si="3"/>
        <v>확인</v>
      </c>
      <c r="N53" s="34">
        <v>8</v>
      </c>
      <c r="O53" s="212">
        <v>152000</v>
      </c>
      <c r="P53" s="195">
        <v>45812</v>
      </c>
      <c r="Q53" s="35" t="s">
        <v>113</v>
      </c>
      <c r="R53" s="212">
        <v>156000</v>
      </c>
      <c r="S53" s="8">
        <v>45812</v>
      </c>
      <c r="T53" s="2">
        <f t="shared" si="5"/>
        <v>2241.6</v>
      </c>
    </row>
    <row r="54" spans="3:20" x14ac:dyDescent="0.4">
      <c r="C54" s="1">
        <v>45807</v>
      </c>
      <c r="D54" s="1">
        <v>45812</v>
      </c>
      <c r="E54" s="445"/>
      <c r="F54" s="445"/>
      <c r="G54" s="2">
        <f t="shared" si="1"/>
        <v>1640000</v>
      </c>
      <c r="H54" s="2">
        <f t="shared" si="2"/>
        <v>46965.5</v>
      </c>
      <c r="K54" s="38" t="s">
        <v>133</v>
      </c>
      <c r="L54" s="6" t="s">
        <v>122</v>
      </c>
      <c r="M54" s="6" t="str">
        <f t="shared" si="3"/>
        <v>확인</v>
      </c>
      <c r="N54" s="34">
        <v>2</v>
      </c>
      <c r="O54" s="212">
        <v>820000</v>
      </c>
      <c r="P54" s="195">
        <v>45807</v>
      </c>
      <c r="Q54" s="35" t="s">
        <v>113</v>
      </c>
      <c r="R54" s="212">
        <v>845000</v>
      </c>
      <c r="S54" s="8">
        <v>45812</v>
      </c>
      <c r="T54" s="2">
        <f t="shared" si="5"/>
        <v>3034.5</v>
      </c>
    </row>
    <row r="55" spans="3:20" x14ac:dyDescent="0.4">
      <c r="C55" s="1">
        <v>45807</v>
      </c>
      <c r="D55" s="1">
        <v>45812</v>
      </c>
      <c r="E55" s="445"/>
      <c r="F55" s="445"/>
      <c r="G55" s="2">
        <f t="shared" si="1"/>
        <v>817000</v>
      </c>
      <c r="H55" s="2">
        <f t="shared" si="2"/>
        <v>26483.200000000001</v>
      </c>
      <c r="K55" s="38" t="s">
        <v>133</v>
      </c>
      <c r="L55" s="6" t="s">
        <v>122</v>
      </c>
      <c r="M55" s="6" t="str">
        <f t="shared" si="3"/>
        <v>확인</v>
      </c>
      <c r="N55" s="34">
        <v>1</v>
      </c>
      <c r="O55" s="212">
        <v>817000</v>
      </c>
      <c r="P55" s="195">
        <v>45810</v>
      </c>
      <c r="Q55" s="35" t="s">
        <v>113</v>
      </c>
      <c r="R55" s="212">
        <v>845000</v>
      </c>
      <c r="S55" s="8">
        <v>45812</v>
      </c>
      <c r="T55" s="2">
        <f t="shared" si="5"/>
        <v>1516.8</v>
      </c>
    </row>
    <row r="56" spans="3:20" x14ac:dyDescent="0.4">
      <c r="C56" s="1">
        <v>45807</v>
      </c>
      <c r="D56" s="1">
        <v>45812</v>
      </c>
      <c r="E56" s="445"/>
      <c r="F56" s="445"/>
      <c r="G56" s="2">
        <f t="shared" si="1"/>
        <v>1656000</v>
      </c>
      <c r="H56" s="2">
        <f t="shared" si="2"/>
        <v>30963.1</v>
      </c>
      <c r="K56" s="38" t="s">
        <v>133</v>
      </c>
      <c r="L56" s="6" t="s">
        <v>122</v>
      </c>
      <c r="M56" s="6" t="str">
        <f t="shared" si="3"/>
        <v>확인</v>
      </c>
      <c r="N56" s="34">
        <v>2</v>
      </c>
      <c r="O56" s="212">
        <v>828000</v>
      </c>
      <c r="P56" s="195">
        <v>45812</v>
      </c>
      <c r="Q56" s="35" t="s">
        <v>113</v>
      </c>
      <c r="R56" s="212">
        <v>845000</v>
      </c>
      <c r="S56" s="8">
        <v>45812</v>
      </c>
      <c r="T56" s="2">
        <f t="shared" si="5"/>
        <v>3036.9</v>
      </c>
    </row>
    <row r="57" spans="3:20" x14ac:dyDescent="0.4">
      <c r="C57" s="1">
        <v>45807</v>
      </c>
      <c r="D57" s="1">
        <v>45813</v>
      </c>
      <c r="E57" s="447">
        <v>170000</v>
      </c>
      <c r="F57" s="447">
        <v>18765</v>
      </c>
      <c r="G57" s="2">
        <f t="shared" si="1"/>
        <v>73700</v>
      </c>
      <c r="H57" s="2">
        <f t="shared" si="2"/>
        <v>3860.74</v>
      </c>
      <c r="K57" s="38" t="s">
        <v>43</v>
      </c>
      <c r="L57" s="6" t="s">
        <v>122</v>
      </c>
      <c r="M57" s="6" t="str">
        <f t="shared" si="3"/>
        <v>확인</v>
      </c>
      <c r="N57" s="34">
        <v>10</v>
      </c>
      <c r="O57" s="212">
        <v>7370</v>
      </c>
      <c r="P57" s="195">
        <v>45807</v>
      </c>
      <c r="Q57" s="35" t="s">
        <v>113</v>
      </c>
      <c r="R57" s="212">
        <v>7770</v>
      </c>
      <c r="S57" s="8">
        <v>45813</v>
      </c>
      <c r="T57" s="2">
        <f t="shared" si="5"/>
        <v>139.26000000000002</v>
      </c>
    </row>
    <row r="58" spans="3:20" x14ac:dyDescent="0.4">
      <c r="C58" s="1">
        <v>45807</v>
      </c>
      <c r="D58" s="1">
        <v>45813</v>
      </c>
      <c r="E58" s="445"/>
      <c r="F58" s="445"/>
      <c r="G58" s="2">
        <f t="shared" si="1"/>
        <v>73600</v>
      </c>
      <c r="H58" s="2">
        <f t="shared" si="2"/>
        <v>3960.7550000000001</v>
      </c>
      <c r="K58" s="38" t="s">
        <v>43</v>
      </c>
      <c r="L58" s="6" t="s">
        <v>122</v>
      </c>
      <c r="M58" s="6" t="str">
        <f t="shared" si="3"/>
        <v>확인</v>
      </c>
      <c r="N58" s="34">
        <v>10</v>
      </c>
      <c r="O58" s="212">
        <v>7360</v>
      </c>
      <c r="P58" s="195">
        <v>45807</v>
      </c>
      <c r="Q58" s="35" t="s">
        <v>113</v>
      </c>
      <c r="R58" s="212">
        <v>7770</v>
      </c>
      <c r="S58" s="8">
        <v>45813</v>
      </c>
      <c r="T58" s="2">
        <f t="shared" si="5"/>
        <v>139.245</v>
      </c>
    </row>
    <row r="59" spans="3:20" x14ac:dyDescent="0.4">
      <c r="C59" s="1">
        <v>45807</v>
      </c>
      <c r="D59" s="1">
        <v>45813</v>
      </c>
      <c r="E59" s="445"/>
      <c r="F59" s="445"/>
      <c r="G59" s="2">
        <f t="shared" si="1"/>
        <v>370000</v>
      </c>
      <c r="H59" s="2">
        <f t="shared" si="2"/>
        <v>17803.474999999999</v>
      </c>
      <c r="K59" s="38" t="s">
        <v>43</v>
      </c>
      <c r="L59" s="6" t="s">
        <v>122</v>
      </c>
      <c r="M59" s="6" t="str">
        <f t="shared" si="3"/>
        <v>확인</v>
      </c>
      <c r="N59" s="34">
        <v>50</v>
      </c>
      <c r="O59" s="212">
        <v>7400</v>
      </c>
      <c r="P59" s="195">
        <v>45807</v>
      </c>
      <c r="Q59" s="35" t="s">
        <v>113</v>
      </c>
      <c r="R59" s="212">
        <v>7770</v>
      </c>
      <c r="S59" s="8">
        <v>45813</v>
      </c>
      <c r="T59" s="2">
        <f t="shared" si="5"/>
        <v>696.52499999999998</v>
      </c>
    </row>
    <row r="60" spans="3:20" x14ac:dyDescent="0.4">
      <c r="C60" s="1">
        <v>45807</v>
      </c>
      <c r="D60" s="1">
        <v>45813</v>
      </c>
      <c r="E60" s="445"/>
      <c r="F60" s="445"/>
      <c r="G60" s="2">
        <f t="shared" si="1"/>
        <v>1470000</v>
      </c>
      <c r="H60" s="2">
        <f t="shared" si="2"/>
        <v>81215.399999999994</v>
      </c>
      <c r="K60" s="38" t="s">
        <v>43</v>
      </c>
      <c r="L60" s="6" t="s">
        <v>122</v>
      </c>
      <c r="M60" s="6" t="str">
        <f t="shared" si="3"/>
        <v>확인</v>
      </c>
      <c r="N60" s="34">
        <v>200</v>
      </c>
      <c r="O60" s="212">
        <v>7350</v>
      </c>
      <c r="P60" s="195">
        <v>45807</v>
      </c>
      <c r="Q60" s="35" t="s">
        <v>113</v>
      </c>
      <c r="R60" s="212">
        <v>7770</v>
      </c>
      <c r="S60" s="8">
        <v>45813</v>
      </c>
      <c r="T60" s="2">
        <f t="shared" si="5"/>
        <v>2784.6</v>
      </c>
    </row>
    <row r="61" spans="3:20" x14ac:dyDescent="0.4">
      <c r="C61" s="1">
        <v>45807</v>
      </c>
      <c r="D61" s="1">
        <v>45813</v>
      </c>
      <c r="E61" s="445"/>
      <c r="F61" s="445"/>
      <c r="G61" s="2">
        <f t="shared" si="1"/>
        <v>511000</v>
      </c>
      <c r="H61" s="2">
        <f t="shared" si="2"/>
        <v>31925.915000000001</v>
      </c>
      <c r="K61" s="38" t="s">
        <v>43</v>
      </c>
      <c r="L61" s="6" t="s">
        <v>122</v>
      </c>
      <c r="M61" s="6" t="str">
        <f t="shared" si="3"/>
        <v>확인</v>
      </c>
      <c r="N61" s="34">
        <v>70</v>
      </c>
      <c r="O61" s="212">
        <v>7300</v>
      </c>
      <c r="P61" s="195">
        <v>45810</v>
      </c>
      <c r="Q61" s="35" t="s">
        <v>113</v>
      </c>
      <c r="R61" s="212">
        <v>7770</v>
      </c>
      <c r="S61" s="8">
        <v>45813</v>
      </c>
      <c r="T61" s="2">
        <f t="shared" si="5"/>
        <v>974.08499999999992</v>
      </c>
    </row>
    <row r="62" spans="3:20" x14ac:dyDescent="0.4">
      <c r="C62" s="1">
        <v>45807</v>
      </c>
      <c r="D62" s="1">
        <v>45813</v>
      </c>
      <c r="E62" s="445"/>
      <c r="F62" s="445"/>
      <c r="G62" s="2">
        <f t="shared" si="1"/>
        <v>738000</v>
      </c>
      <c r="H62" s="2">
        <f t="shared" si="2"/>
        <v>37607.25</v>
      </c>
      <c r="K62" s="38" t="s">
        <v>43</v>
      </c>
      <c r="L62" s="6" t="s">
        <v>122</v>
      </c>
      <c r="M62" s="6" t="str">
        <f t="shared" si="3"/>
        <v>확인</v>
      </c>
      <c r="N62" s="34">
        <v>100</v>
      </c>
      <c r="O62" s="212">
        <v>7380</v>
      </c>
      <c r="P62" s="195">
        <v>45812</v>
      </c>
      <c r="Q62" s="35" t="s">
        <v>113</v>
      </c>
      <c r="R62" s="212">
        <v>7770</v>
      </c>
      <c r="S62" s="8">
        <v>45813</v>
      </c>
      <c r="T62" s="2">
        <f t="shared" si="5"/>
        <v>1392.75</v>
      </c>
    </row>
    <row r="63" spans="3:20" x14ac:dyDescent="0.4">
      <c r="C63" s="1">
        <v>45807</v>
      </c>
      <c r="D63" s="1">
        <v>45813</v>
      </c>
      <c r="E63" s="445"/>
      <c r="F63" s="445"/>
      <c r="G63" s="2">
        <f t="shared" si="1"/>
        <v>1300000</v>
      </c>
      <c r="H63" s="2">
        <f t="shared" si="2"/>
        <v>-343.30000000000018</v>
      </c>
      <c r="K63" s="38" t="s">
        <v>136</v>
      </c>
      <c r="L63" s="6" t="s">
        <v>122</v>
      </c>
      <c r="M63" s="6" t="str">
        <f t="shared" si="3"/>
        <v>확인</v>
      </c>
      <c r="N63" s="34">
        <v>2</v>
      </c>
      <c r="O63" s="212">
        <v>650000</v>
      </c>
      <c r="P63" s="195">
        <v>45812</v>
      </c>
      <c r="Q63" s="35" t="s">
        <v>113</v>
      </c>
      <c r="R63" s="212">
        <v>651000</v>
      </c>
      <c r="S63" s="8">
        <v>45813</v>
      </c>
      <c r="T63" s="2">
        <f t="shared" si="5"/>
        <v>2343.3000000000002</v>
      </c>
    </row>
    <row r="64" spans="3:20" x14ac:dyDescent="0.4">
      <c r="C64" s="1">
        <v>45807</v>
      </c>
      <c r="D64" s="1">
        <v>45817</v>
      </c>
      <c r="E64" s="444">
        <v>270000</v>
      </c>
      <c r="F64" s="444">
        <v>13901</v>
      </c>
      <c r="G64" s="2">
        <f t="shared" si="1"/>
        <v>3427500</v>
      </c>
      <c r="H64" s="2">
        <f t="shared" si="2"/>
        <v>166045.875</v>
      </c>
      <c r="K64" s="38" t="s">
        <v>138</v>
      </c>
      <c r="L64" s="6" t="s">
        <v>122</v>
      </c>
      <c r="M64" s="33" t="str">
        <f t="shared" si="3"/>
        <v>확인</v>
      </c>
      <c r="N64" s="34">
        <v>150</v>
      </c>
      <c r="O64" s="212">
        <v>22850</v>
      </c>
      <c r="P64" s="195">
        <v>45813</v>
      </c>
      <c r="Q64" s="35" t="s">
        <v>113</v>
      </c>
      <c r="R64" s="212">
        <v>24000</v>
      </c>
      <c r="S64" s="8">
        <v>45817</v>
      </c>
      <c r="T64" s="2">
        <f t="shared" si="5"/>
        <v>6454.125</v>
      </c>
    </row>
    <row r="65" spans="3:20" x14ac:dyDescent="0.4">
      <c r="C65" s="1">
        <v>45807</v>
      </c>
      <c r="D65" s="1">
        <v>45817</v>
      </c>
      <c r="E65" s="445"/>
      <c r="F65" s="445"/>
      <c r="G65" s="2">
        <f t="shared" ref="G65:G96" si="6">N65*O65</f>
        <v>5667000</v>
      </c>
      <c r="H65" s="2">
        <f t="shared" ref="H65:H96" si="7">N65*R65-G65-T65</f>
        <v>247373.7</v>
      </c>
      <c r="K65" s="38" t="s">
        <v>139</v>
      </c>
      <c r="L65" s="6" t="s">
        <v>122</v>
      </c>
      <c r="M65" s="6" t="str">
        <f t="shared" ref="M65:M96" si="8">IF(OR($C65="신한",$C65="OTC",$C65="무상증자(신한)",$C65="토스",$C65="R토스"),1,"확인")</f>
        <v>확인</v>
      </c>
      <c r="N65" s="34">
        <v>30</v>
      </c>
      <c r="O65" s="212">
        <v>188900</v>
      </c>
      <c r="P65" s="195">
        <v>45813</v>
      </c>
      <c r="Q65" s="35" t="s">
        <v>113</v>
      </c>
      <c r="R65" s="212">
        <v>197500</v>
      </c>
      <c r="S65" s="8">
        <v>45817</v>
      </c>
      <c r="T65" s="2">
        <f t="shared" si="5"/>
        <v>10626.3</v>
      </c>
    </row>
    <row r="66" spans="3:20" x14ac:dyDescent="0.4">
      <c r="C66" s="1">
        <v>45807</v>
      </c>
      <c r="D66" s="1">
        <v>45817</v>
      </c>
      <c r="E66" s="445"/>
      <c r="F66" s="445"/>
      <c r="G66" s="2">
        <f t="shared" si="6"/>
        <v>4140000</v>
      </c>
      <c r="H66" s="2">
        <f t="shared" si="7"/>
        <v>-72344.75</v>
      </c>
      <c r="K66" s="38" t="s">
        <v>128</v>
      </c>
      <c r="L66" s="6" t="s">
        <v>122</v>
      </c>
      <c r="M66" s="6" t="str">
        <f t="shared" si="8"/>
        <v>확인</v>
      </c>
      <c r="N66" s="34">
        <v>50</v>
      </c>
      <c r="O66" s="212">
        <v>82800</v>
      </c>
      <c r="P66" s="195">
        <v>45817</v>
      </c>
      <c r="Q66" s="35" t="s">
        <v>113</v>
      </c>
      <c r="R66" s="212">
        <v>81500</v>
      </c>
      <c r="S66" s="8">
        <v>45817</v>
      </c>
      <c r="T66" s="2">
        <f t="shared" si="5"/>
        <v>7344.75</v>
      </c>
    </row>
    <row r="67" spans="3:20" x14ac:dyDescent="0.4">
      <c r="C67" s="1">
        <v>45807</v>
      </c>
      <c r="D67" s="1">
        <v>45817</v>
      </c>
      <c r="E67" s="445"/>
      <c r="F67" s="445"/>
      <c r="G67" s="2">
        <f t="shared" si="6"/>
        <v>8170000</v>
      </c>
      <c r="H67" s="2">
        <f t="shared" si="7"/>
        <v>-84590.5</v>
      </c>
      <c r="K67" s="38" t="s">
        <v>128</v>
      </c>
      <c r="L67" s="6" t="s">
        <v>122</v>
      </c>
      <c r="M67" s="6" t="str">
        <f t="shared" si="8"/>
        <v>확인</v>
      </c>
      <c r="N67" s="34">
        <v>100</v>
      </c>
      <c r="O67" s="212">
        <v>81700</v>
      </c>
      <c r="P67" s="195">
        <v>45817</v>
      </c>
      <c r="Q67" s="35" t="s">
        <v>113</v>
      </c>
      <c r="R67" s="212">
        <v>81000</v>
      </c>
      <c r="S67" s="8">
        <v>45817</v>
      </c>
      <c r="T67" s="2">
        <f t="shared" si="5"/>
        <v>14590.5</v>
      </c>
    </row>
    <row r="68" spans="3:20" x14ac:dyDescent="0.4">
      <c r="C68" s="1">
        <v>45807</v>
      </c>
      <c r="D68" s="1">
        <v>45817</v>
      </c>
      <c r="E68" s="445"/>
      <c r="F68" s="445"/>
      <c r="G68" s="2">
        <f t="shared" si="6"/>
        <v>1630000</v>
      </c>
      <c r="H68" s="2">
        <f t="shared" si="7"/>
        <v>17033</v>
      </c>
      <c r="K68" s="38" t="s">
        <v>128</v>
      </c>
      <c r="L68" s="6" t="s">
        <v>122</v>
      </c>
      <c r="M68" s="6" t="str">
        <f t="shared" si="8"/>
        <v>확인</v>
      </c>
      <c r="N68" s="34">
        <v>20</v>
      </c>
      <c r="O68" s="212">
        <v>81500</v>
      </c>
      <c r="P68" s="195">
        <v>45817</v>
      </c>
      <c r="Q68" s="35"/>
      <c r="R68" s="212">
        <v>82500</v>
      </c>
      <c r="S68" s="8">
        <v>45817</v>
      </c>
      <c r="T68" s="2">
        <f t="shared" si="5"/>
        <v>2967</v>
      </c>
    </row>
    <row r="69" spans="3:20" x14ac:dyDescent="0.4">
      <c r="C69" s="1">
        <v>45807</v>
      </c>
      <c r="D69" s="1">
        <v>45818</v>
      </c>
      <c r="E69" s="444">
        <v>900000</v>
      </c>
      <c r="F69" s="444">
        <v>12900</v>
      </c>
      <c r="G69" s="2">
        <f t="shared" si="6"/>
        <v>616000</v>
      </c>
      <c r="H69" s="2">
        <f t="shared" si="7"/>
        <v>22851.599999999999</v>
      </c>
      <c r="K69" s="38" t="s">
        <v>134</v>
      </c>
      <c r="L69" s="6" t="s">
        <v>122</v>
      </c>
      <c r="M69" s="6" t="str">
        <f t="shared" si="8"/>
        <v>확인</v>
      </c>
      <c r="N69" s="34">
        <v>4</v>
      </c>
      <c r="O69" s="212">
        <v>154000</v>
      </c>
      <c r="P69" s="195">
        <v>45813</v>
      </c>
      <c r="Q69" s="35" t="s">
        <v>113</v>
      </c>
      <c r="R69" s="212">
        <v>160000</v>
      </c>
      <c r="S69" s="8">
        <v>45818</v>
      </c>
      <c r="T69" s="2">
        <f t="shared" si="5"/>
        <v>1148.4000000000001</v>
      </c>
    </row>
    <row r="70" spans="3:20" x14ac:dyDescent="0.4">
      <c r="C70" s="1">
        <v>45807</v>
      </c>
      <c r="D70" s="1">
        <v>45818</v>
      </c>
      <c r="E70" s="445"/>
      <c r="F70" s="445"/>
      <c r="G70" s="2">
        <f t="shared" si="6"/>
        <v>606000</v>
      </c>
      <c r="H70" s="2">
        <f t="shared" si="7"/>
        <v>32853.1</v>
      </c>
      <c r="K70" s="38" t="s">
        <v>134</v>
      </c>
      <c r="L70" s="6" t="s">
        <v>122</v>
      </c>
      <c r="M70" s="6" t="str">
        <f t="shared" si="8"/>
        <v>확인</v>
      </c>
      <c r="N70" s="34">
        <v>4</v>
      </c>
      <c r="O70" s="212">
        <v>151500</v>
      </c>
      <c r="P70" s="195">
        <v>45813</v>
      </c>
      <c r="Q70" s="35" t="s">
        <v>113</v>
      </c>
      <c r="R70" s="212">
        <v>160000</v>
      </c>
      <c r="S70" s="8">
        <v>45818</v>
      </c>
      <c r="T70" s="2">
        <f t="shared" si="5"/>
        <v>1146.9000000000001</v>
      </c>
    </row>
    <row r="71" spans="3:20" x14ac:dyDescent="0.4">
      <c r="C71" s="1">
        <v>45807</v>
      </c>
      <c r="D71" s="1">
        <v>45818</v>
      </c>
      <c r="E71" s="445"/>
      <c r="F71" s="445"/>
      <c r="G71" s="2">
        <f t="shared" si="6"/>
        <v>922200</v>
      </c>
      <c r="H71" s="2">
        <f t="shared" si="7"/>
        <v>36077.67</v>
      </c>
      <c r="K71" s="38" t="s">
        <v>134</v>
      </c>
      <c r="L71" s="6" t="s">
        <v>122</v>
      </c>
      <c r="M71" s="6" t="str">
        <f t="shared" si="8"/>
        <v>확인</v>
      </c>
      <c r="N71" s="34">
        <v>6</v>
      </c>
      <c r="O71" s="212">
        <v>153700</v>
      </c>
      <c r="P71" s="195">
        <v>45813</v>
      </c>
      <c r="Q71" s="35" t="s">
        <v>113</v>
      </c>
      <c r="R71" s="212">
        <v>160000</v>
      </c>
      <c r="S71" s="8">
        <v>45818</v>
      </c>
      <c r="T71" s="2">
        <f t="shared" si="5"/>
        <v>1722.33</v>
      </c>
    </row>
    <row r="72" spans="3:20" x14ac:dyDescent="0.4">
      <c r="C72" s="1">
        <v>45807</v>
      </c>
      <c r="D72" s="1">
        <v>45818</v>
      </c>
      <c r="E72" s="445"/>
      <c r="F72" s="445"/>
      <c r="G72" s="2">
        <f t="shared" si="6"/>
        <v>456900</v>
      </c>
      <c r="H72" s="2">
        <f t="shared" si="7"/>
        <v>22239.465</v>
      </c>
      <c r="K72" s="38" t="s">
        <v>134</v>
      </c>
      <c r="L72" s="6" t="s">
        <v>122</v>
      </c>
      <c r="M72" s="6" t="str">
        <f t="shared" si="8"/>
        <v>확인</v>
      </c>
      <c r="N72" s="34">
        <v>3</v>
      </c>
      <c r="O72" s="212">
        <v>152300</v>
      </c>
      <c r="P72" s="195">
        <v>45817</v>
      </c>
      <c r="Q72" s="35" t="s">
        <v>113</v>
      </c>
      <c r="R72" s="212">
        <v>160000</v>
      </c>
      <c r="S72" s="8">
        <v>45818</v>
      </c>
      <c r="T72" s="2">
        <f t="shared" si="5"/>
        <v>860.53499999999997</v>
      </c>
    </row>
    <row r="73" spans="3:20" x14ac:dyDescent="0.4">
      <c r="C73" s="1">
        <v>45807</v>
      </c>
      <c r="D73" s="1">
        <v>45818</v>
      </c>
      <c r="E73" s="445"/>
      <c r="F73" s="445"/>
      <c r="G73" s="2">
        <f t="shared" si="6"/>
        <v>303000</v>
      </c>
      <c r="H73" s="2">
        <f t="shared" si="7"/>
        <v>16426.55</v>
      </c>
      <c r="K73" s="38" t="s">
        <v>134</v>
      </c>
      <c r="L73" s="6" t="s">
        <v>122</v>
      </c>
      <c r="M73" s="6" t="str">
        <f t="shared" si="8"/>
        <v>확인</v>
      </c>
      <c r="N73" s="34">
        <v>2</v>
      </c>
      <c r="O73" s="212">
        <v>151500</v>
      </c>
      <c r="P73" s="195">
        <v>45817</v>
      </c>
      <c r="Q73" s="35" t="s">
        <v>113</v>
      </c>
      <c r="R73" s="212">
        <v>160000</v>
      </c>
      <c r="S73" s="8">
        <v>45818</v>
      </c>
      <c r="T73" s="2">
        <f t="shared" si="5"/>
        <v>573.45000000000005</v>
      </c>
    </row>
    <row r="74" spans="3:20" x14ac:dyDescent="0.4">
      <c r="C74" s="1">
        <v>45807</v>
      </c>
      <c r="D74" s="1">
        <v>45818</v>
      </c>
      <c r="E74" s="445"/>
      <c r="F74" s="445"/>
      <c r="G74" s="2">
        <f t="shared" si="6"/>
        <v>2190000</v>
      </c>
      <c r="H74" s="2">
        <f t="shared" si="7"/>
        <v>40983.75</v>
      </c>
      <c r="K74" s="38" t="s">
        <v>140</v>
      </c>
      <c r="L74" s="6" t="s">
        <v>122</v>
      </c>
      <c r="M74" s="6" t="str">
        <f t="shared" si="8"/>
        <v>확인</v>
      </c>
      <c r="N74" s="34">
        <v>30</v>
      </c>
      <c r="O74" s="212">
        <v>73000</v>
      </c>
      <c r="P74" s="195">
        <v>45817</v>
      </c>
      <c r="Q74" s="35" t="s">
        <v>113</v>
      </c>
      <c r="R74" s="212">
        <v>74500</v>
      </c>
      <c r="S74" s="8">
        <v>45818</v>
      </c>
      <c r="T74" s="2">
        <f t="shared" si="5"/>
        <v>4016.25</v>
      </c>
    </row>
    <row r="75" spans="3:20" x14ac:dyDescent="0.4">
      <c r="C75" s="1">
        <v>45807</v>
      </c>
      <c r="D75" s="1">
        <v>45818</v>
      </c>
      <c r="E75" s="445"/>
      <c r="F75" s="445"/>
      <c r="G75" s="2">
        <f t="shared" si="6"/>
        <v>1292000</v>
      </c>
      <c r="H75" s="2">
        <f t="shared" si="7"/>
        <v>69555.600000000006</v>
      </c>
      <c r="K75" s="38" t="s">
        <v>136</v>
      </c>
      <c r="L75" s="6" t="s">
        <v>122</v>
      </c>
      <c r="M75" s="6" t="str">
        <f t="shared" si="8"/>
        <v>확인</v>
      </c>
      <c r="N75" s="34">
        <v>2</v>
      </c>
      <c r="O75" s="212">
        <v>646000</v>
      </c>
      <c r="P75" s="195">
        <v>45812</v>
      </c>
      <c r="Q75" s="35" t="s">
        <v>113</v>
      </c>
      <c r="R75" s="212">
        <v>682000</v>
      </c>
      <c r="S75" s="8">
        <v>45818</v>
      </c>
      <c r="T75" s="2">
        <f t="shared" si="5"/>
        <v>2444.4</v>
      </c>
    </row>
    <row r="76" spans="3:20" x14ac:dyDescent="0.4">
      <c r="C76" s="1">
        <v>45807</v>
      </c>
      <c r="D76" s="1">
        <v>45818</v>
      </c>
      <c r="E76" s="445"/>
      <c r="F76" s="445"/>
      <c r="G76" s="2">
        <f t="shared" si="6"/>
        <v>1298000</v>
      </c>
      <c r="H76" s="2">
        <f t="shared" si="7"/>
        <v>63554.7</v>
      </c>
      <c r="K76" s="38" t="s">
        <v>136</v>
      </c>
      <c r="L76" s="6" t="s">
        <v>122</v>
      </c>
      <c r="M76" s="6" t="str">
        <f t="shared" si="8"/>
        <v>확인</v>
      </c>
      <c r="N76" s="34">
        <v>2</v>
      </c>
      <c r="O76" s="212">
        <v>649000</v>
      </c>
      <c r="P76" s="195">
        <v>45813</v>
      </c>
      <c r="Q76" s="35" t="s">
        <v>113</v>
      </c>
      <c r="R76" s="212">
        <v>682000</v>
      </c>
      <c r="S76" s="8">
        <v>45818</v>
      </c>
      <c r="T76" s="2">
        <f t="shared" si="5"/>
        <v>2445.2999999999997</v>
      </c>
    </row>
    <row r="77" spans="3:20" x14ac:dyDescent="0.4">
      <c r="C77" s="1">
        <v>45807</v>
      </c>
      <c r="D77" s="1">
        <v>45818</v>
      </c>
      <c r="E77" s="445"/>
      <c r="F77" s="445"/>
      <c r="G77" s="2">
        <f t="shared" si="6"/>
        <v>649000</v>
      </c>
      <c r="H77" s="2">
        <f t="shared" si="7"/>
        <v>31777.35</v>
      </c>
      <c r="K77" s="38" t="s">
        <v>136</v>
      </c>
      <c r="L77" s="6" t="s">
        <v>122</v>
      </c>
      <c r="M77" s="6" t="str">
        <f t="shared" si="8"/>
        <v>확인</v>
      </c>
      <c r="N77" s="34">
        <v>1</v>
      </c>
      <c r="O77" s="212">
        <v>649000</v>
      </c>
      <c r="P77" s="195">
        <v>45817</v>
      </c>
      <c r="Q77" s="35" t="s">
        <v>113</v>
      </c>
      <c r="R77" s="212">
        <v>682000</v>
      </c>
      <c r="S77" s="8">
        <v>45818</v>
      </c>
      <c r="T77" s="2">
        <f t="shared" si="5"/>
        <v>1222.6499999999999</v>
      </c>
    </row>
    <row r="78" spans="3:20" x14ac:dyDescent="0.4">
      <c r="C78" s="1">
        <v>45807</v>
      </c>
      <c r="D78" s="1">
        <v>45818</v>
      </c>
      <c r="E78" s="445"/>
      <c r="F78" s="445"/>
      <c r="G78" s="2">
        <f t="shared" si="6"/>
        <v>962500</v>
      </c>
      <c r="H78" s="2">
        <f t="shared" si="7"/>
        <v>8251</v>
      </c>
      <c r="K78" s="38" t="s">
        <v>64</v>
      </c>
      <c r="L78" s="6" t="s">
        <v>122</v>
      </c>
      <c r="M78" s="6" t="str">
        <f t="shared" si="8"/>
        <v>확인</v>
      </c>
      <c r="N78" s="34">
        <v>50</v>
      </c>
      <c r="O78" s="212">
        <v>19250</v>
      </c>
      <c r="P78" s="195">
        <v>45810</v>
      </c>
      <c r="Q78" s="35" t="s">
        <v>113</v>
      </c>
      <c r="R78" s="212">
        <v>19450</v>
      </c>
      <c r="S78" s="8">
        <v>45818</v>
      </c>
      <c r="T78" s="2">
        <f t="shared" si="5"/>
        <v>1749</v>
      </c>
    </row>
    <row r="79" spans="3:20" x14ac:dyDescent="0.4">
      <c r="C79" s="1">
        <v>45807</v>
      </c>
      <c r="D79" s="1">
        <v>45818</v>
      </c>
      <c r="E79" s="445"/>
      <c r="F79" s="445"/>
      <c r="G79" s="2">
        <f t="shared" si="6"/>
        <v>757600</v>
      </c>
      <c r="H79" s="2">
        <f t="shared" si="7"/>
        <v>19002.66</v>
      </c>
      <c r="K79" s="38" t="s">
        <v>64</v>
      </c>
      <c r="L79" s="6" t="s">
        <v>122</v>
      </c>
      <c r="M79" s="6" t="str">
        <f t="shared" si="8"/>
        <v>확인</v>
      </c>
      <c r="N79" s="34">
        <v>40</v>
      </c>
      <c r="O79" s="212">
        <v>18940</v>
      </c>
      <c r="P79" s="195">
        <v>45810</v>
      </c>
      <c r="Q79" s="35" t="s">
        <v>113</v>
      </c>
      <c r="R79" s="212">
        <v>19450</v>
      </c>
      <c r="S79" s="8">
        <v>45818</v>
      </c>
      <c r="T79" s="2">
        <f t="shared" si="5"/>
        <v>1397.3400000000001</v>
      </c>
    </row>
    <row r="80" spans="3:20" x14ac:dyDescent="0.4">
      <c r="C80" s="1">
        <v>45807</v>
      </c>
      <c r="D80" s="1">
        <v>45818</v>
      </c>
      <c r="E80" s="445"/>
      <c r="F80" s="445"/>
      <c r="G80" s="2">
        <f t="shared" si="6"/>
        <v>1117200</v>
      </c>
      <c r="H80" s="2">
        <f t="shared" si="7"/>
        <v>47706.87</v>
      </c>
      <c r="K80" s="38" t="s">
        <v>64</v>
      </c>
      <c r="L80" s="6" t="s">
        <v>122</v>
      </c>
      <c r="M80" s="6" t="str">
        <f t="shared" si="8"/>
        <v>확인</v>
      </c>
      <c r="N80" s="34">
        <v>60</v>
      </c>
      <c r="O80" s="212">
        <v>18620</v>
      </c>
      <c r="P80" s="195">
        <v>45812</v>
      </c>
      <c r="Q80" s="35" t="s">
        <v>113</v>
      </c>
      <c r="R80" s="212">
        <v>19450</v>
      </c>
      <c r="S80" s="8">
        <v>45818</v>
      </c>
      <c r="T80" s="2">
        <f t="shared" si="5"/>
        <v>2093.13</v>
      </c>
    </row>
    <row r="81" spans="3:20" x14ac:dyDescent="0.4">
      <c r="C81" s="1">
        <v>45807</v>
      </c>
      <c r="D81" s="1">
        <v>45818</v>
      </c>
      <c r="E81" s="445"/>
      <c r="F81" s="445"/>
      <c r="G81" s="2">
        <f t="shared" si="6"/>
        <v>1110000</v>
      </c>
      <c r="H81" s="2">
        <f t="shared" si="7"/>
        <v>54907.95</v>
      </c>
      <c r="K81" s="38" t="s">
        <v>64</v>
      </c>
      <c r="L81" s="6" t="s">
        <v>122</v>
      </c>
      <c r="M81" s="6" t="str">
        <f t="shared" si="8"/>
        <v>확인</v>
      </c>
      <c r="N81" s="34">
        <v>60</v>
      </c>
      <c r="O81" s="212">
        <v>18500</v>
      </c>
      <c r="P81" s="195">
        <v>45812</v>
      </c>
      <c r="Q81" s="35" t="s">
        <v>113</v>
      </c>
      <c r="R81" s="212">
        <v>19450</v>
      </c>
      <c r="S81" s="8">
        <v>45818</v>
      </c>
      <c r="T81" s="2">
        <f t="shared" ref="T81:T112" si="9">N81*O81*0.00015+R81*N81*(0.00015+0.0015)</f>
        <v>2092.0499999999997</v>
      </c>
    </row>
    <row r="82" spans="3:20" x14ac:dyDescent="0.4">
      <c r="C82" s="1">
        <v>45807</v>
      </c>
      <c r="D82" s="1">
        <v>45818</v>
      </c>
      <c r="E82" s="445"/>
      <c r="F82" s="445"/>
      <c r="G82" s="2">
        <f t="shared" si="6"/>
        <v>728800</v>
      </c>
      <c r="H82" s="2">
        <f t="shared" si="7"/>
        <v>47806.98</v>
      </c>
      <c r="K82" s="38" t="s">
        <v>64</v>
      </c>
      <c r="L82" s="6" t="s">
        <v>122</v>
      </c>
      <c r="M82" s="6" t="str">
        <f t="shared" si="8"/>
        <v>확인</v>
      </c>
      <c r="N82" s="34">
        <v>40</v>
      </c>
      <c r="O82" s="212">
        <v>18220</v>
      </c>
      <c r="P82" s="195">
        <v>45812</v>
      </c>
      <c r="Q82" s="35" t="s">
        <v>113</v>
      </c>
      <c r="R82" s="212">
        <v>19450</v>
      </c>
      <c r="S82" s="8">
        <v>45818</v>
      </c>
      <c r="T82" s="2">
        <f t="shared" si="9"/>
        <v>1393.02</v>
      </c>
    </row>
    <row r="83" spans="3:20" x14ac:dyDescent="0.4">
      <c r="C83" s="1">
        <v>45807</v>
      </c>
      <c r="D83" s="1">
        <v>45818</v>
      </c>
      <c r="E83" s="445"/>
      <c r="F83" s="445"/>
      <c r="G83" s="2">
        <f t="shared" si="6"/>
        <v>540000</v>
      </c>
      <c r="H83" s="2">
        <f t="shared" si="7"/>
        <v>42456.224999999999</v>
      </c>
      <c r="K83" s="38" t="s">
        <v>64</v>
      </c>
      <c r="L83" s="6" t="s">
        <v>122</v>
      </c>
      <c r="M83" s="6" t="str">
        <f t="shared" si="8"/>
        <v>확인</v>
      </c>
      <c r="N83" s="34">
        <v>30</v>
      </c>
      <c r="O83" s="212">
        <v>18000</v>
      </c>
      <c r="P83" s="195">
        <v>45812</v>
      </c>
      <c r="Q83" s="35" t="s">
        <v>113</v>
      </c>
      <c r="R83" s="212">
        <v>19450</v>
      </c>
      <c r="S83" s="8">
        <v>45818</v>
      </c>
      <c r="T83" s="2">
        <f t="shared" si="9"/>
        <v>1043.7750000000001</v>
      </c>
    </row>
    <row r="84" spans="3:20" x14ac:dyDescent="0.4">
      <c r="C84" s="1">
        <v>45807</v>
      </c>
      <c r="D84" s="1">
        <v>45818</v>
      </c>
      <c r="E84" s="445"/>
      <c r="F84" s="445"/>
      <c r="G84" s="2">
        <f t="shared" si="6"/>
        <v>443750</v>
      </c>
      <c r="H84" s="2">
        <f t="shared" si="7"/>
        <v>41631.125</v>
      </c>
      <c r="K84" s="38" t="s">
        <v>64</v>
      </c>
      <c r="L84" s="6" t="s">
        <v>122</v>
      </c>
      <c r="M84" s="6" t="str">
        <f t="shared" si="8"/>
        <v>확인</v>
      </c>
      <c r="N84" s="34">
        <v>25</v>
      </c>
      <c r="O84" s="212">
        <v>17750</v>
      </c>
      <c r="P84" s="195">
        <v>45813</v>
      </c>
      <c r="Q84" s="35" t="s">
        <v>113</v>
      </c>
      <c r="R84" s="212">
        <v>19450</v>
      </c>
      <c r="S84" s="8">
        <v>45818</v>
      </c>
      <c r="T84" s="2">
        <f t="shared" si="9"/>
        <v>868.875</v>
      </c>
    </row>
    <row r="85" spans="3:20" x14ac:dyDescent="0.4">
      <c r="C85" s="1">
        <v>45807</v>
      </c>
      <c r="D85" s="1">
        <v>45818</v>
      </c>
      <c r="E85" s="445"/>
      <c r="F85" s="445"/>
      <c r="G85" s="2">
        <f t="shared" si="6"/>
        <v>1850000</v>
      </c>
      <c r="H85" s="2">
        <f t="shared" si="7"/>
        <v>91513.25</v>
      </c>
      <c r="K85" s="38" t="s">
        <v>64</v>
      </c>
      <c r="L85" s="6" t="s">
        <v>122</v>
      </c>
      <c r="M85" s="6" t="str">
        <f t="shared" si="8"/>
        <v>확인</v>
      </c>
      <c r="N85" s="34">
        <v>100</v>
      </c>
      <c r="O85" s="212">
        <v>18500</v>
      </c>
      <c r="P85" s="195">
        <v>45813</v>
      </c>
      <c r="Q85" s="35" t="s">
        <v>113</v>
      </c>
      <c r="R85" s="212">
        <v>19450</v>
      </c>
      <c r="S85" s="8">
        <v>45818</v>
      </c>
      <c r="T85" s="2">
        <f t="shared" si="9"/>
        <v>3486.75</v>
      </c>
    </row>
    <row r="86" spans="3:20" x14ac:dyDescent="0.4">
      <c r="C86" s="1">
        <v>45807</v>
      </c>
      <c r="D86" s="1">
        <v>45818</v>
      </c>
      <c r="E86" s="445"/>
      <c r="F86" s="445"/>
      <c r="G86" s="2">
        <f t="shared" si="6"/>
        <v>1063800</v>
      </c>
      <c r="H86" s="2">
        <f t="shared" si="7"/>
        <v>101114.88</v>
      </c>
      <c r="K86" s="38" t="s">
        <v>64</v>
      </c>
      <c r="L86" s="6" t="s">
        <v>122</v>
      </c>
      <c r="M86" s="6" t="str">
        <f t="shared" si="8"/>
        <v>확인</v>
      </c>
      <c r="N86" s="34">
        <v>60</v>
      </c>
      <c r="O86" s="212">
        <v>17730</v>
      </c>
      <c r="P86" s="195">
        <v>45813</v>
      </c>
      <c r="Q86" s="35" t="s">
        <v>113</v>
      </c>
      <c r="R86" s="212">
        <v>19450</v>
      </c>
      <c r="S86" s="8">
        <v>45818</v>
      </c>
      <c r="T86" s="2">
        <f t="shared" si="9"/>
        <v>2085.12</v>
      </c>
    </row>
    <row r="87" spans="3:20" x14ac:dyDescent="0.4">
      <c r="C87" s="1">
        <v>45807</v>
      </c>
      <c r="D87" s="1">
        <v>45818</v>
      </c>
      <c r="E87" s="445"/>
      <c r="F87" s="445"/>
      <c r="G87" s="2">
        <f t="shared" si="6"/>
        <v>205200</v>
      </c>
      <c r="H87" s="2">
        <f t="shared" si="7"/>
        <v>27784.11</v>
      </c>
      <c r="K87" s="38" t="s">
        <v>64</v>
      </c>
      <c r="L87" s="6" t="s">
        <v>122</v>
      </c>
      <c r="M87" s="6" t="str">
        <f t="shared" si="8"/>
        <v>확인</v>
      </c>
      <c r="N87" s="34">
        <v>12</v>
      </c>
      <c r="O87" s="212">
        <v>17100</v>
      </c>
      <c r="P87" s="195">
        <v>45817</v>
      </c>
      <c r="Q87" s="35" t="s">
        <v>113</v>
      </c>
      <c r="R87" s="212">
        <v>19450</v>
      </c>
      <c r="S87" s="8">
        <v>45818</v>
      </c>
      <c r="T87" s="2">
        <f t="shared" si="9"/>
        <v>415.89</v>
      </c>
    </row>
    <row r="88" spans="3:20" x14ac:dyDescent="0.4">
      <c r="C88" s="1">
        <v>45807</v>
      </c>
      <c r="D88" s="1">
        <v>45819</v>
      </c>
      <c r="E88" s="444">
        <v>300000</v>
      </c>
      <c r="F88" s="444">
        <v>3369</v>
      </c>
      <c r="G88" s="2">
        <f t="shared" si="6"/>
        <v>2370000</v>
      </c>
      <c r="H88" s="2">
        <f t="shared" si="7"/>
        <v>105552.5</v>
      </c>
      <c r="K88" s="38" t="s">
        <v>137</v>
      </c>
      <c r="L88" s="6" t="s">
        <v>122</v>
      </c>
      <c r="M88" s="6" t="str">
        <f t="shared" si="8"/>
        <v>확인</v>
      </c>
      <c r="N88" s="34">
        <v>200</v>
      </c>
      <c r="O88" s="212">
        <v>11850</v>
      </c>
      <c r="P88" s="195">
        <v>45813</v>
      </c>
      <c r="Q88" s="35"/>
      <c r="R88" s="212">
        <v>12400</v>
      </c>
      <c r="S88" s="8">
        <v>45819</v>
      </c>
      <c r="T88" s="2">
        <f t="shared" si="9"/>
        <v>4447.5</v>
      </c>
    </row>
    <row r="89" spans="3:20" x14ac:dyDescent="0.4">
      <c r="C89" s="1">
        <v>45807</v>
      </c>
      <c r="D89" s="1">
        <v>45819</v>
      </c>
      <c r="E89" s="445"/>
      <c r="F89" s="445"/>
      <c r="G89" s="2">
        <f t="shared" si="6"/>
        <v>468000</v>
      </c>
      <c r="H89" s="2">
        <f t="shared" si="7"/>
        <v>27111.4</v>
      </c>
      <c r="K89" s="38" t="s">
        <v>137</v>
      </c>
      <c r="L89" s="6" t="s">
        <v>122</v>
      </c>
      <c r="M89" s="6" t="str">
        <f t="shared" si="8"/>
        <v>확인</v>
      </c>
      <c r="N89" s="34">
        <v>40</v>
      </c>
      <c r="O89" s="212">
        <v>11700</v>
      </c>
      <c r="P89" s="195">
        <v>45818</v>
      </c>
      <c r="Q89" s="35"/>
      <c r="R89" s="212">
        <v>12400</v>
      </c>
      <c r="S89" s="8">
        <v>45819</v>
      </c>
      <c r="T89" s="2">
        <f t="shared" si="9"/>
        <v>888.59999999999991</v>
      </c>
    </row>
    <row r="90" spans="3:20" x14ac:dyDescent="0.4">
      <c r="C90" s="1">
        <v>45807</v>
      </c>
      <c r="D90" s="1">
        <v>45819</v>
      </c>
      <c r="E90" s="445"/>
      <c r="F90" s="445"/>
      <c r="G90" s="2">
        <f t="shared" si="6"/>
        <v>1795000</v>
      </c>
      <c r="H90" s="2">
        <f t="shared" si="7"/>
        <v>100597.4</v>
      </c>
      <c r="K90" s="38" t="s">
        <v>143</v>
      </c>
      <c r="L90" s="6" t="s">
        <v>122</v>
      </c>
      <c r="M90" s="6" t="str">
        <f t="shared" si="8"/>
        <v>확인</v>
      </c>
      <c r="N90" s="34">
        <v>100</v>
      </c>
      <c r="O90" s="212">
        <v>17950</v>
      </c>
      <c r="P90" s="195">
        <v>45819</v>
      </c>
      <c r="Q90" s="35"/>
      <c r="R90" s="212">
        <v>18990</v>
      </c>
      <c r="S90" s="8">
        <v>45819</v>
      </c>
      <c r="T90" s="2">
        <f t="shared" si="9"/>
        <v>3402.6</v>
      </c>
    </row>
    <row r="91" spans="3:20" x14ac:dyDescent="0.4">
      <c r="C91" s="1">
        <v>45807</v>
      </c>
      <c r="D91" s="1">
        <v>45819</v>
      </c>
      <c r="E91" s="445"/>
      <c r="F91" s="445"/>
      <c r="G91" s="2">
        <f t="shared" si="6"/>
        <v>894000</v>
      </c>
      <c r="H91" s="2">
        <f t="shared" si="7"/>
        <v>53799.224999999999</v>
      </c>
      <c r="K91" s="38" t="s">
        <v>143</v>
      </c>
      <c r="L91" s="6" t="s">
        <v>122</v>
      </c>
      <c r="M91" s="6" t="str">
        <f t="shared" si="8"/>
        <v>확인</v>
      </c>
      <c r="N91" s="34">
        <v>50</v>
      </c>
      <c r="O91" s="212">
        <v>17880</v>
      </c>
      <c r="P91" s="195">
        <v>45819</v>
      </c>
      <c r="Q91" s="35"/>
      <c r="R91" s="212">
        <v>18990</v>
      </c>
      <c r="S91" s="8">
        <v>45819</v>
      </c>
      <c r="T91" s="2">
        <f t="shared" si="9"/>
        <v>1700.7749999999999</v>
      </c>
    </row>
    <row r="92" spans="3:20" x14ac:dyDescent="0.4">
      <c r="C92" s="1">
        <v>45807</v>
      </c>
      <c r="D92" s="1">
        <v>45819</v>
      </c>
      <c r="E92" s="445"/>
      <c r="F92" s="445"/>
      <c r="G92" s="2">
        <f t="shared" si="6"/>
        <v>5616000</v>
      </c>
      <c r="H92" s="2">
        <f t="shared" si="7"/>
        <v>70757.55</v>
      </c>
      <c r="K92" s="38" t="s">
        <v>143</v>
      </c>
      <c r="L92" s="6" t="s">
        <v>122</v>
      </c>
      <c r="M92" s="6" t="str">
        <f t="shared" si="8"/>
        <v>확인</v>
      </c>
      <c r="N92" s="34">
        <v>300</v>
      </c>
      <c r="O92" s="212">
        <v>18720</v>
      </c>
      <c r="P92" s="195">
        <v>45819</v>
      </c>
      <c r="Q92" s="35"/>
      <c r="R92" s="212">
        <v>18990</v>
      </c>
      <c r="S92" s="8">
        <v>45819</v>
      </c>
      <c r="T92" s="2">
        <f t="shared" si="9"/>
        <v>10242.449999999999</v>
      </c>
    </row>
    <row r="93" spans="3:20" x14ac:dyDescent="0.4">
      <c r="C93" s="1">
        <v>45807</v>
      </c>
      <c r="D93" s="1">
        <v>45819</v>
      </c>
      <c r="E93" s="445"/>
      <c r="F93" s="445"/>
      <c r="G93" s="2">
        <f t="shared" si="6"/>
        <v>1040000</v>
      </c>
      <c r="H93" s="2">
        <f t="shared" si="7"/>
        <v>50042.2</v>
      </c>
      <c r="K93" s="38" t="s">
        <v>141</v>
      </c>
      <c r="L93" s="6" t="s">
        <v>122</v>
      </c>
      <c r="M93" s="6" t="str">
        <f t="shared" si="8"/>
        <v>확인</v>
      </c>
      <c r="N93" s="34">
        <v>100</v>
      </c>
      <c r="O93" s="212">
        <v>10400</v>
      </c>
      <c r="P93" s="195">
        <v>45818</v>
      </c>
      <c r="Q93" s="35"/>
      <c r="R93" s="212">
        <v>10920</v>
      </c>
      <c r="S93" s="8">
        <v>45819</v>
      </c>
      <c r="T93" s="2">
        <f t="shared" si="9"/>
        <v>1957.8</v>
      </c>
    </row>
    <row r="94" spans="3:20" x14ac:dyDescent="0.4">
      <c r="C94" s="1">
        <v>45807</v>
      </c>
      <c r="D94" s="1">
        <v>45820</v>
      </c>
      <c r="E94" s="444">
        <v>410000</v>
      </c>
      <c r="F94" s="444">
        <v>3328</v>
      </c>
      <c r="G94" s="2">
        <f t="shared" si="6"/>
        <v>4485000</v>
      </c>
      <c r="H94" s="2">
        <f t="shared" si="7"/>
        <v>231531</v>
      </c>
      <c r="K94" s="38" t="s">
        <v>45</v>
      </c>
      <c r="L94" s="6" t="s">
        <v>122</v>
      </c>
      <c r="M94" s="6" t="str">
        <f t="shared" si="8"/>
        <v>확인</v>
      </c>
      <c r="N94" s="34">
        <v>150</v>
      </c>
      <c r="O94" s="212">
        <v>29900</v>
      </c>
      <c r="P94" s="195">
        <v>45817</v>
      </c>
      <c r="Q94" s="35"/>
      <c r="R94" s="212">
        <v>31500</v>
      </c>
      <c r="S94" s="8">
        <v>45820</v>
      </c>
      <c r="T94" s="2">
        <f t="shared" si="9"/>
        <v>8469</v>
      </c>
    </row>
    <row r="95" spans="3:20" x14ac:dyDescent="0.4">
      <c r="C95" s="1">
        <v>45807</v>
      </c>
      <c r="D95" s="1">
        <v>45820</v>
      </c>
      <c r="E95" s="445"/>
      <c r="F95" s="445"/>
      <c r="G95" s="2">
        <f t="shared" si="6"/>
        <v>885000</v>
      </c>
      <c r="H95" s="2">
        <f t="shared" si="7"/>
        <v>58308</v>
      </c>
      <c r="K95" s="38" t="s">
        <v>45</v>
      </c>
      <c r="L95" s="6" t="s">
        <v>122</v>
      </c>
      <c r="M95" s="6" t="str">
        <f t="shared" si="8"/>
        <v>확인</v>
      </c>
      <c r="N95" s="34">
        <v>30</v>
      </c>
      <c r="O95" s="212">
        <v>29500</v>
      </c>
      <c r="P95" s="195">
        <v>45818</v>
      </c>
      <c r="Q95" s="35"/>
      <c r="R95" s="212">
        <v>31500</v>
      </c>
      <c r="S95" s="8">
        <v>45820</v>
      </c>
      <c r="T95" s="2">
        <f t="shared" si="9"/>
        <v>1692</v>
      </c>
    </row>
    <row r="96" spans="3:20" x14ac:dyDescent="0.4">
      <c r="C96" s="1">
        <v>45807</v>
      </c>
      <c r="D96" s="1">
        <v>45820</v>
      </c>
      <c r="E96" s="445"/>
      <c r="F96" s="445"/>
      <c r="G96" s="2">
        <f t="shared" si="6"/>
        <v>1735000</v>
      </c>
      <c r="H96" s="2">
        <f t="shared" si="7"/>
        <v>52784.6</v>
      </c>
      <c r="K96" s="38" t="s">
        <v>132</v>
      </c>
      <c r="L96" s="6" t="s">
        <v>122</v>
      </c>
      <c r="M96" s="6" t="str">
        <f t="shared" si="8"/>
        <v>확인</v>
      </c>
      <c r="N96" s="34">
        <v>100</v>
      </c>
      <c r="O96" s="212">
        <v>17350</v>
      </c>
      <c r="P96" s="195">
        <v>45807</v>
      </c>
      <c r="Q96" s="35" t="s">
        <v>113</v>
      </c>
      <c r="R96" s="212">
        <v>17910</v>
      </c>
      <c r="S96" s="8">
        <v>45820</v>
      </c>
      <c r="T96" s="2">
        <f t="shared" si="9"/>
        <v>3215.4</v>
      </c>
    </row>
    <row r="97" spans="3:20" x14ac:dyDescent="0.4">
      <c r="C97" s="1">
        <v>45807</v>
      </c>
      <c r="D97" s="1">
        <v>45820</v>
      </c>
      <c r="E97" s="445"/>
      <c r="F97" s="445"/>
      <c r="G97" s="2">
        <f t="shared" ref="G97:G122" si="10">N97*O97</f>
        <v>693680</v>
      </c>
      <c r="H97" s="2">
        <f t="shared" ref="H97:H128" si="11">N97*R97-G97-T97</f>
        <v>21433.887999999999</v>
      </c>
      <c r="K97" s="38" t="s">
        <v>132</v>
      </c>
      <c r="L97" s="6" t="s">
        <v>122</v>
      </c>
      <c r="M97" s="6" t="str">
        <f t="shared" ref="M97:M122" si="12">IF(OR($C97="신한",$C97="OTC",$C97="무상증자(신한)",$C97="토스",$C97="R토스"),1,"확인")</f>
        <v>확인</v>
      </c>
      <c r="N97" s="34">
        <v>40</v>
      </c>
      <c r="O97" s="212">
        <v>17342</v>
      </c>
      <c r="P97" s="195">
        <v>45810</v>
      </c>
      <c r="Q97" s="35" t="s">
        <v>113</v>
      </c>
      <c r="R97" s="212">
        <v>17910</v>
      </c>
      <c r="S97" s="8">
        <v>45820</v>
      </c>
      <c r="T97" s="2">
        <f t="shared" si="9"/>
        <v>1286.1119999999999</v>
      </c>
    </row>
    <row r="98" spans="3:20" x14ac:dyDescent="0.4">
      <c r="C98" s="1">
        <v>45807</v>
      </c>
      <c r="D98" s="1">
        <v>45820</v>
      </c>
      <c r="E98" s="445"/>
      <c r="F98" s="445"/>
      <c r="G98" s="2">
        <f t="shared" si="10"/>
        <v>1050000</v>
      </c>
      <c r="H98" s="2">
        <f t="shared" si="11"/>
        <v>22669.41</v>
      </c>
      <c r="K98" s="38" t="s">
        <v>132</v>
      </c>
      <c r="L98" s="6" t="s">
        <v>122</v>
      </c>
      <c r="M98" s="6" t="str">
        <f t="shared" si="12"/>
        <v>확인</v>
      </c>
      <c r="N98" s="34">
        <v>60</v>
      </c>
      <c r="O98" s="212">
        <v>17500</v>
      </c>
      <c r="P98" s="195">
        <v>45812</v>
      </c>
      <c r="Q98" s="35" t="s">
        <v>113</v>
      </c>
      <c r="R98" s="212">
        <v>17910</v>
      </c>
      <c r="S98" s="8">
        <v>45820</v>
      </c>
      <c r="T98" s="2">
        <f t="shared" si="9"/>
        <v>1930.59</v>
      </c>
    </row>
    <row r="99" spans="3:20" x14ac:dyDescent="0.4">
      <c r="C99" s="1">
        <v>45807</v>
      </c>
      <c r="D99" s="1">
        <v>45820</v>
      </c>
      <c r="E99" s="445"/>
      <c r="F99" s="445"/>
      <c r="G99" s="2">
        <f t="shared" si="10"/>
        <v>1048200</v>
      </c>
      <c r="H99" s="2">
        <f t="shared" si="11"/>
        <v>24469.68</v>
      </c>
      <c r="K99" s="38" t="s">
        <v>132</v>
      </c>
      <c r="L99" s="6" t="s">
        <v>122</v>
      </c>
      <c r="M99" s="6" t="str">
        <f t="shared" si="12"/>
        <v>확인</v>
      </c>
      <c r="N99" s="34">
        <v>60</v>
      </c>
      <c r="O99" s="212">
        <v>17470</v>
      </c>
      <c r="P99" s="195">
        <v>45812</v>
      </c>
      <c r="Q99" s="35" t="s">
        <v>113</v>
      </c>
      <c r="R99" s="212">
        <v>17910</v>
      </c>
      <c r="S99" s="8">
        <v>45820</v>
      </c>
      <c r="T99" s="2">
        <f t="shared" si="9"/>
        <v>1930.32</v>
      </c>
    </row>
    <row r="100" spans="3:20" x14ac:dyDescent="0.4">
      <c r="C100" s="1">
        <v>45807</v>
      </c>
      <c r="D100" s="1">
        <v>45820</v>
      </c>
      <c r="E100" s="445"/>
      <c r="F100" s="445"/>
      <c r="G100" s="2">
        <f t="shared" si="10"/>
        <v>527400</v>
      </c>
      <c r="H100" s="2">
        <f t="shared" si="11"/>
        <v>8934.3449999999993</v>
      </c>
      <c r="K100" s="38" t="s">
        <v>132</v>
      </c>
      <c r="L100" s="6" t="s">
        <v>122</v>
      </c>
      <c r="M100" s="6" t="str">
        <f t="shared" si="12"/>
        <v>확인</v>
      </c>
      <c r="N100" s="34">
        <v>30</v>
      </c>
      <c r="O100" s="212">
        <v>17580</v>
      </c>
      <c r="P100" s="195">
        <v>45813</v>
      </c>
      <c r="Q100" s="35" t="s">
        <v>113</v>
      </c>
      <c r="R100" s="212">
        <v>17910</v>
      </c>
      <c r="S100" s="8">
        <v>45820</v>
      </c>
      <c r="T100" s="2">
        <f t="shared" si="9"/>
        <v>965.65499999999997</v>
      </c>
    </row>
    <row r="101" spans="3:20" x14ac:dyDescent="0.4">
      <c r="C101" s="1">
        <v>45807</v>
      </c>
      <c r="D101" s="1">
        <v>45824</v>
      </c>
      <c r="E101" s="444">
        <v>450000</v>
      </c>
      <c r="F101" s="444">
        <v>13090</v>
      </c>
      <c r="G101" s="2">
        <f t="shared" si="10"/>
        <v>1350000</v>
      </c>
      <c r="H101" s="2">
        <f t="shared" si="11"/>
        <v>39500.699999999997</v>
      </c>
      <c r="K101" s="38" t="s">
        <v>136</v>
      </c>
      <c r="L101" s="6" t="s">
        <v>122</v>
      </c>
      <c r="M101" s="6" t="str">
        <f t="shared" si="12"/>
        <v>확인</v>
      </c>
      <c r="N101" s="34">
        <v>2</v>
      </c>
      <c r="O101" s="212">
        <v>675000</v>
      </c>
      <c r="P101" s="195">
        <v>45818</v>
      </c>
      <c r="Q101" s="35" t="s">
        <v>113</v>
      </c>
      <c r="R101" s="212">
        <v>696000</v>
      </c>
      <c r="S101" s="8">
        <v>45824</v>
      </c>
      <c r="T101" s="2">
        <f t="shared" si="9"/>
        <v>2499.3000000000002</v>
      </c>
    </row>
    <row r="102" spans="3:20" x14ac:dyDescent="0.4">
      <c r="C102" s="1">
        <v>45807</v>
      </c>
      <c r="D102" s="1">
        <v>45824</v>
      </c>
      <c r="E102" s="445"/>
      <c r="F102" s="445"/>
      <c r="G102" s="2">
        <f t="shared" si="10"/>
        <v>1336000</v>
      </c>
      <c r="H102" s="2">
        <f t="shared" si="11"/>
        <v>53502.8</v>
      </c>
      <c r="K102" s="38" t="s">
        <v>136</v>
      </c>
      <c r="L102" s="6" t="s">
        <v>122</v>
      </c>
      <c r="M102" s="6" t="str">
        <f t="shared" si="12"/>
        <v>확인</v>
      </c>
      <c r="N102" s="34">
        <v>2</v>
      </c>
      <c r="O102" s="212">
        <v>668000</v>
      </c>
      <c r="P102" s="195">
        <v>45818</v>
      </c>
      <c r="Q102" s="35" t="s">
        <v>113</v>
      </c>
      <c r="R102" s="212">
        <v>696000</v>
      </c>
      <c r="S102" s="8">
        <v>45824</v>
      </c>
      <c r="T102" s="2">
        <f t="shared" si="9"/>
        <v>2497.2000000000003</v>
      </c>
    </row>
    <row r="103" spans="3:20" x14ac:dyDescent="0.4">
      <c r="C103" s="1">
        <v>45807</v>
      </c>
      <c r="D103" s="1">
        <v>45824</v>
      </c>
      <c r="E103" s="445"/>
      <c r="F103" s="445"/>
      <c r="G103" s="2">
        <f t="shared" si="10"/>
        <v>1366000</v>
      </c>
      <c r="H103" s="2">
        <f t="shared" si="11"/>
        <v>23498.3</v>
      </c>
      <c r="K103" s="38" t="s">
        <v>136</v>
      </c>
      <c r="L103" s="6" t="s">
        <v>122</v>
      </c>
      <c r="M103" s="6" t="str">
        <f t="shared" si="12"/>
        <v>확인</v>
      </c>
      <c r="N103" s="34">
        <v>2</v>
      </c>
      <c r="O103" s="212">
        <v>683000</v>
      </c>
      <c r="P103" s="195">
        <v>45820</v>
      </c>
      <c r="Q103" s="35" t="s">
        <v>113</v>
      </c>
      <c r="R103" s="212">
        <v>696000</v>
      </c>
      <c r="S103" s="8">
        <v>45824</v>
      </c>
      <c r="T103" s="2">
        <f t="shared" si="9"/>
        <v>2501.7000000000003</v>
      </c>
    </row>
    <row r="104" spans="3:20" x14ac:dyDescent="0.4">
      <c r="C104" s="1">
        <v>45807</v>
      </c>
      <c r="D104" s="1">
        <v>45824</v>
      </c>
      <c r="E104" s="445"/>
      <c r="F104" s="445"/>
      <c r="G104" s="2">
        <f t="shared" si="10"/>
        <v>1340000</v>
      </c>
      <c r="H104" s="2">
        <f t="shared" si="11"/>
        <v>49502.2</v>
      </c>
      <c r="K104" s="38" t="s">
        <v>136</v>
      </c>
      <c r="L104" s="6" t="s">
        <v>122</v>
      </c>
      <c r="M104" s="6" t="str">
        <f t="shared" si="12"/>
        <v>확인</v>
      </c>
      <c r="N104" s="34">
        <v>2</v>
      </c>
      <c r="O104" s="212">
        <v>670000</v>
      </c>
      <c r="P104" s="195">
        <v>45821</v>
      </c>
      <c r="Q104" s="35" t="s">
        <v>113</v>
      </c>
      <c r="R104" s="212">
        <v>696000</v>
      </c>
      <c r="S104" s="8">
        <v>45824</v>
      </c>
      <c r="T104" s="2">
        <f t="shared" si="9"/>
        <v>2497.8000000000002</v>
      </c>
    </row>
    <row r="105" spans="3:20" x14ac:dyDescent="0.4">
      <c r="C105" s="1">
        <v>45807</v>
      </c>
      <c r="D105" s="1">
        <v>45824</v>
      </c>
      <c r="E105" s="445"/>
      <c r="F105" s="445"/>
      <c r="G105" s="2">
        <f t="shared" si="10"/>
        <v>354000</v>
      </c>
      <c r="H105" s="2">
        <f t="shared" si="11"/>
        <v>49679.64</v>
      </c>
      <c r="K105" s="38" t="s">
        <v>102</v>
      </c>
      <c r="L105" s="6" t="s">
        <v>122</v>
      </c>
      <c r="M105" s="6" t="str">
        <f t="shared" si="12"/>
        <v>확인</v>
      </c>
      <c r="N105" s="34">
        <v>6</v>
      </c>
      <c r="O105" s="212">
        <v>59000</v>
      </c>
      <c r="P105" s="195">
        <v>45820</v>
      </c>
      <c r="Q105" s="33"/>
      <c r="R105" s="212">
        <v>67400</v>
      </c>
      <c r="S105" s="8">
        <v>45824</v>
      </c>
      <c r="T105" s="2">
        <f t="shared" si="9"/>
        <v>720.36</v>
      </c>
    </row>
    <row r="106" spans="3:20" x14ac:dyDescent="0.4">
      <c r="C106" s="1">
        <v>45807</v>
      </c>
      <c r="D106" s="1">
        <v>45824</v>
      </c>
      <c r="E106" s="445"/>
      <c r="F106" s="445"/>
      <c r="G106" s="2">
        <f t="shared" si="10"/>
        <v>3900000</v>
      </c>
      <c r="H106" s="2">
        <f t="shared" si="11"/>
        <v>136742.39999999999</v>
      </c>
      <c r="K106" s="38" t="s">
        <v>102</v>
      </c>
      <c r="L106" s="6" t="s">
        <v>122</v>
      </c>
      <c r="M106" s="6" t="str">
        <f t="shared" si="12"/>
        <v>확인</v>
      </c>
      <c r="N106" s="34">
        <v>60</v>
      </c>
      <c r="O106" s="212">
        <v>65000</v>
      </c>
      <c r="P106" s="195">
        <v>45824</v>
      </c>
      <c r="Q106" s="33"/>
      <c r="R106" s="212">
        <v>67400</v>
      </c>
      <c r="S106" s="8">
        <v>45824</v>
      </c>
      <c r="T106" s="2">
        <f t="shared" si="9"/>
        <v>7257.6</v>
      </c>
    </row>
    <row r="107" spans="3:20" x14ac:dyDescent="0.4">
      <c r="C107" s="1">
        <v>45807</v>
      </c>
      <c r="D107" s="1">
        <v>45824</v>
      </c>
      <c r="E107" s="445"/>
      <c r="F107" s="445"/>
      <c r="G107" s="2">
        <f t="shared" si="10"/>
        <v>850000</v>
      </c>
      <c r="H107" s="2">
        <f t="shared" si="11"/>
        <v>56374.3</v>
      </c>
      <c r="K107" s="38" t="s">
        <v>142</v>
      </c>
      <c r="L107" s="6" t="s">
        <v>122</v>
      </c>
      <c r="M107" s="6" t="str">
        <f t="shared" si="12"/>
        <v>확인</v>
      </c>
      <c r="N107" s="34">
        <v>2</v>
      </c>
      <c r="O107" s="212">
        <v>425000</v>
      </c>
      <c r="P107" s="195">
        <v>45819</v>
      </c>
      <c r="Q107" s="33"/>
      <c r="R107" s="212">
        <v>454000</v>
      </c>
      <c r="S107" s="8">
        <v>45824</v>
      </c>
      <c r="T107" s="2">
        <f t="shared" si="9"/>
        <v>1625.7</v>
      </c>
    </row>
    <row r="108" spans="3:20" x14ac:dyDescent="0.4">
      <c r="C108" s="1">
        <v>45807</v>
      </c>
      <c r="D108" s="1">
        <v>45824</v>
      </c>
      <c r="E108" s="445"/>
      <c r="F108" s="445"/>
      <c r="G108" s="2">
        <f t="shared" si="10"/>
        <v>837000</v>
      </c>
      <c r="H108" s="2">
        <f t="shared" si="11"/>
        <v>69376.25</v>
      </c>
      <c r="K108" s="38" t="s">
        <v>142</v>
      </c>
      <c r="L108" s="6" t="s">
        <v>122</v>
      </c>
      <c r="M108" s="6" t="str">
        <f t="shared" si="12"/>
        <v>확인</v>
      </c>
      <c r="N108" s="34">
        <v>2</v>
      </c>
      <c r="O108" s="212">
        <v>418500</v>
      </c>
      <c r="P108" s="195">
        <v>45819</v>
      </c>
      <c r="Q108" s="33"/>
      <c r="R108" s="212">
        <v>454000</v>
      </c>
      <c r="S108" s="8">
        <v>45824</v>
      </c>
      <c r="T108" s="2">
        <f t="shared" si="9"/>
        <v>1623.75</v>
      </c>
    </row>
    <row r="109" spans="3:20" x14ac:dyDescent="0.4">
      <c r="C109" s="1">
        <v>45807</v>
      </c>
      <c r="D109" s="1">
        <v>45826</v>
      </c>
      <c r="E109" s="444">
        <v>800000</v>
      </c>
      <c r="F109" s="444">
        <v>6421</v>
      </c>
      <c r="G109" s="2">
        <f t="shared" si="10"/>
        <v>1219500</v>
      </c>
      <c r="H109" s="2">
        <f t="shared" si="11"/>
        <v>-14175.3</v>
      </c>
      <c r="K109" s="38" t="s">
        <v>128</v>
      </c>
      <c r="L109" s="6" t="s">
        <v>122</v>
      </c>
      <c r="M109" s="6" t="str">
        <f t="shared" si="12"/>
        <v>확인</v>
      </c>
      <c r="N109" s="34">
        <v>15</v>
      </c>
      <c r="O109" s="212">
        <v>81300</v>
      </c>
      <c r="P109" s="195">
        <v>45817</v>
      </c>
      <c r="Q109" s="8" t="s">
        <v>113</v>
      </c>
      <c r="R109" s="212">
        <v>80500</v>
      </c>
      <c r="S109" s="8">
        <v>45826</v>
      </c>
      <c r="T109" s="2">
        <f t="shared" si="9"/>
        <v>2175.3000000000002</v>
      </c>
    </row>
    <row r="110" spans="3:20" x14ac:dyDescent="0.4">
      <c r="C110" s="1">
        <v>45807</v>
      </c>
      <c r="D110" s="1">
        <v>45826</v>
      </c>
      <c r="E110" s="445"/>
      <c r="F110" s="445"/>
      <c r="G110" s="2">
        <f t="shared" si="10"/>
        <v>705000</v>
      </c>
      <c r="H110" s="2">
        <f t="shared" si="11"/>
        <v>98566</v>
      </c>
      <c r="K110" s="38" t="s">
        <v>128</v>
      </c>
      <c r="L110" s="6" t="s">
        <v>122</v>
      </c>
      <c r="M110" s="6" t="str">
        <f t="shared" si="12"/>
        <v>확인</v>
      </c>
      <c r="N110" s="34">
        <v>10</v>
      </c>
      <c r="O110" s="212">
        <v>70500</v>
      </c>
      <c r="P110" s="195">
        <v>45818</v>
      </c>
      <c r="Q110" s="8" t="s">
        <v>113</v>
      </c>
      <c r="R110" s="212">
        <v>80500</v>
      </c>
      <c r="S110" s="8">
        <v>45826</v>
      </c>
      <c r="T110" s="2">
        <f t="shared" si="9"/>
        <v>1434</v>
      </c>
    </row>
    <row r="111" spans="3:20" x14ac:dyDescent="0.4">
      <c r="C111" s="1">
        <v>45807</v>
      </c>
      <c r="D111" s="1">
        <v>45826</v>
      </c>
      <c r="E111" s="445"/>
      <c r="F111" s="445"/>
      <c r="G111" s="2">
        <f t="shared" si="10"/>
        <v>711000</v>
      </c>
      <c r="H111" s="2">
        <f t="shared" si="11"/>
        <v>92565.1</v>
      </c>
      <c r="K111" s="38" t="s">
        <v>128</v>
      </c>
      <c r="L111" s="6" t="s">
        <v>122</v>
      </c>
      <c r="M111" s="6" t="str">
        <f t="shared" si="12"/>
        <v>확인</v>
      </c>
      <c r="N111" s="34">
        <v>10</v>
      </c>
      <c r="O111" s="212">
        <v>71100</v>
      </c>
      <c r="P111" s="195">
        <v>45819</v>
      </c>
      <c r="Q111" s="8" t="s">
        <v>113</v>
      </c>
      <c r="R111" s="212">
        <v>80500</v>
      </c>
      <c r="S111" s="8">
        <v>45826</v>
      </c>
      <c r="T111" s="2">
        <f t="shared" si="9"/>
        <v>1434.9</v>
      </c>
    </row>
    <row r="112" spans="3:20" x14ac:dyDescent="0.4">
      <c r="C112" s="1">
        <v>45807</v>
      </c>
      <c r="D112" s="1">
        <v>45826</v>
      </c>
      <c r="E112" s="445"/>
      <c r="F112" s="445"/>
      <c r="G112" s="2">
        <f t="shared" si="10"/>
        <v>926900</v>
      </c>
      <c r="H112" s="2">
        <f t="shared" si="11"/>
        <v>117734.24</v>
      </c>
      <c r="K112" s="38" t="s">
        <v>128</v>
      </c>
      <c r="L112" s="6" t="s">
        <v>122</v>
      </c>
      <c r="M112" s="6" t="str">
        <f t="shared" si="12"/>
        <v>확인</v>
      </c>
      <c r="N112" s="34">
        <v>13</v>
      </c>
      <c r="O112" s="212">
        <v>71300</v>
      </c>
      <c r="P112" s="195">
        <v>45819</v>
      </c>
      <c r="Q112" s="8" t="s">
        <v>113</v>
      </c>
      <c r="R112" s="212">
        <v>80500</v>
      </c>
      <c r="S112" s="8">
        <v>45826</v>
      </c>
      <c r="T112" s="2">
        <f t="shared" si="9"/>
        <v>1865.76</v>
      </c>
    </row>
    <row r="113" spans="3:20" x14ac:dyDescent="0.4">
      <c r="C113" s="1">
        <v>45807</v>
      </c>
      <c r="D113" s="1">
        <v>45826</v>
      </c>
      <c r="E113" s="445"/>
      <c r="F113" s="445"/>
      <c r="G113" s="2">
        <f t="shared" si="10"/>
        <v>693000</v>
      </c>
      <c r="H113" s="2">
        <f t="shared" si="11"/>
        <v>110567.8</v>
      </c>
      <c r="K113" s="38" t="s">
        <v>128</v>
      </c>
      <c r="L113" s="6" t="s">
        <v>122</v>
      </c>
      <c r="M113" s="6" t="str">
        <f t="shared" si="12"/>
        <v>확인</v>
      </c>
      <c r="N113" s="34">
        <v>10</v>
      </c>
      <c r="O113" s="212">
        <v>69300</v>
      </c>
      <c r="P113" s="195">
        <v>45820</v>
      </c>
      <c r="Q113" s="8" t="s">
        <v>113</v>
      </c>
      <c r="R113" s="212">
        <v>80500</v>
      </c>
      <c r="S113" s="8">
        <v>45826</v>
      </c>
      <c r="T113" s="2">
        <f t="shared" ref="T113:T122" si="13">N113*O113*0.00015+R113*N113*(0.00015+0.0015)</f>
        <v>1432.2</v>
      </c>
    </row>
    <row r="114" spans="3:20" x14ac:dyDescent="0.4">
      <c r="C114" s="1">
        <v>45807</v>
      </c>
      <c r="D114" s="1">
        <v>45826</v>
      </c>
      <c r="E114" s="445"/>
      <c r="F114" s="445"/>
      <c r="G114" s="2">
        <f t="shared" si="10"/>
        <v>624600</v>
      </c>
      <c r="H114" s="2">
        <f t="shared" si="11"/>
        <v>98610.884999999995</v>
      </c>
      <c r="K114" s="38" t="s">
        <v>128</v>
      </c>
      <c r="L114" s="6" t="s">
        <v>122</v>
      </c>
      <c r="M114" s="6" t="str">
        <f t="shared" si="12"/>
        <v>확인</v>
      </c>
      <c r="N114" s="34">
        <v>9</v>
      </c>
      <c r="O114" s="212">
        <v>69400</v>
      </c>
      <c r="P114" s="195">
        <v>45820</v>
      </c>
      <c r="Q114" s="8" t="s">
        <v>113</v>
      </c>
      <c r="R114" s="212">
        <v>80500</v>
      </c>
      <c r="S114" s="8">
        <v>45826</v>
      </c>
      <c r="T114" s="2">
        <f t="shared" si="13"/>
        <v>1289.115</v>
      </c>
    </row>
    <row r="115" spans="3:20" x14ac:dyDescent="0.4">
      <c r="C115" s="1">
        <v>45807</v>
      </c>
      <c r="D115" s="1">
        <v>45826</v>
      </c>
      <c r="E115" s="445"/>
      <c r="F115" s="444">
        <v>14792</v>
      </c>
      <c r="G115" s="2">
        <f t="shared" si="10"/>
        <v>103020</v>
      </c>
      <c r="H115" s="2">
        <f t="shared" si="11"/>
        <v>21558.627</v>
      </c>
      <c r="K115" s="38" t="s">
        <v>132</v>
      </c>
      <c r="L115" s="6" t="s">
        <v>122</v>
      </c>
      <c r="M115" s="6" t="str">
        <f t="shared" si="12"/>
        <v>확인</v>
      </c>
      <c r="N115" s="34">
        <v>6</v>
      </c>
      <c r="O115" s="212">
        <v>17170</v>
      </c>
      <c r="P115" s="195">
        <v>45824</v>
      </c>
      <c r="Q115" s="8" t="s">
        <v>113</v>
      </c>
      <c r="R115" s="212">
        <v>20800</v>
      </c>
      <c r="S115" s="8">
        <v>45826</v>
      </c>
      <c r="T115" s="2">
        <f t="shared" si="13"/>
        <v>221.37299999999999</v>
      </c>
    </row>
    <row r="116" spans="3:20" x14ac:dyDescent="0.4">
      <c r="C116" s="1">
        <v>45807</v>
      </c>
      <c r="D116" s="1">
        <v>45826</v>
      </c>
      <c r="E116" s="445"/>
      <c r="F116" s="445"/>
      <c r="G116" s="2">
        <f t="shared" si="10"/>
        <v>1239000</v>
      </c>
      <c r="H116" s="2">
        <f t="shared" si="11"/>
        <v>214411.75</v>
      </c>
      <c r="K116" s="38" t="s">
        <v>132</v>
      </c>
      <c r="L116" s="6" t="s">
        <v>122</v>
      </c>
      <c r="M116" s="6" t="str">
        <f t="shared" si="12"/>
        <v>확인</v>
      </c>
      <c r="N116" s="34">
        <v>70</v>
      </c>
      <c r="O116" s="212">
        <v>17700</v>
      </c>
      <c r="P116" s="195">
        <v>45825</v>
      </c>
      <c r="Q116" s="8" t="s">
        <v>113</v>
      </c>
      <c r="R116" s="212">
        <v>20800</v>
      </c>
      <c r="S116" s="8">
        <v>45826</v>
      </c>
      <c r="T116" s="2">
        <f t="shared" si="13"/>
        <v>2588.25</v>
      </c>
    </row>
    <row r="117" spans="3:20" x14ac:dyDescent="0.4">
      <c r="C117" s="1">
        <v>45807</v>
      </c>
      <c r="D117" s="1">
        <v>45826</v>
      </c>
      <c r="E117" s="445"/>
      <c r="F117" s="445"/>
      <c r="G117" s="2">
        <f t="shared" si="10"/>
        <v>437250</v>
      </c>
      <c r="H117" s="2">
        <f t="shared" si="11"/>
        <v>81826.412500000006</v>
      </c>
      <c r="K117" s="38" t="s">
        <v>132</v>
      </c>
      <c r="L117" s="6" t="s">
        <v>122</v>
      </c>
      <c r="M117" s="6" t="str">
        <f t="shared" si="12"/>
        <v>확인</v>
      </c>
      <c r="N117" s="34">
        <v>25</v>
      </c>
      <c r="O117" s="212">
        <v>17490</v>
      </c>
      <c r="P117" s="195">
        <v>45825</v>
      </c>
      <c r="Q117" s="8" t="s">
        <v>113</v>
      </c>
      <c r="R117" s="212">
        <v>20800</v>
      </c>
      <c r="S117" s="8">
        <v>45826</v>
      </c>
      <c r="T117" s="2">
        <f t="shared" si="13"/>
        <v>923.58749999999998</v>
      </c>
    </row>
    <row r="118" spans="3:20" x14ac:dyDescent="0.4">
      <c r="C118" s="1">
        <v>45807</v>
      </c>
      <c r="D118" s="1">
        <v>45832</v>
      </c>
      <c r="E118" s="444">
        <v>200000</v>
      </c>
      <c r="F118" s="444">
        <v>18690</v>
      </c>
      <c r="G118" s="2">
        <f t="shared" si="10"/>
        <v>400000</v>
      </c>
      <c r="H118" s="2">
        <f t="shared" si="11"/>
        <v>21742.875</v>
      </c>
      <c r="K118" s="38" t="s">
        <v>144</v>
      </c>
      <c r="L118" s="6" t="s">
        <v>122</v>
      </c>
      <c r="M118" s="6" t="str">
        <f t="shared" si="12"/>
        <v>확인</v>
      </c>
      <c r="N118" s="34">
        <v>5</v>
      </c>
      <c r="O118" s="212">
        <v>80000</v>
      </c>
      <c r="P118" s="195">
        <v>45821</v>
      </c>
      <c r="Q118" s="8" t="s">
        <v>113</v>
      </c>
      <c r="R118" s="212">
        <v>84500</v>
      </c>
      <c r="S118" s="8">
        <v>45832</v>
      </c>
      <c r="T118" s="2">
        <f t="shared" si="13"/>
        <v>757.125</v>
      </c>
    </row>
    <row r="119" spans="3:20" x14ac:dyDescent="0.4">
      <c r="C119" s="1">
        <v>45807</v>
      </c>
      <c r="D119" s="1">
        <v>45832</v>
      </c>
      <c r="E119" s="445"/>
      <c r="F119" s="445"/>
      <c r="G119" s="2">
        <f t="shared" si="10"/>
        <v>309200</v>
      </c>
      <c r="H119" s="2">
        <f t="shared" si="11"/>
        <v>28195.919999999998</v>
      </c>
      <c r="K119" s="38" t="s">
        <v>144</v>
      </c>
      <c r="L119" s="6" t="s">
        <v>122</v>
      </c>
      <c r="M119" s="6" t="str">
        <f t="shared" si="12"/>
        <v>확인</v>
      </c>
      <c r="N119" s="34">
        <v>4</v>
      </c>
      <c r="O119" s="212">
        <v>77300</v>
      </c>
      <c r="P119" s="195">
        <v>45821</v>
      </c>
      <c r="Q119" s="8" t="s">
        <v>113</v>
      </c>
      <c r="R119" s="212">
        <v>84500</v>
      </c>
      <c r="S119" s="8">
        <v>45832</v>
      </c>
      <c r="T119" s="2">
        <f t="shared" si="13"/>
        <v>604.08000000000004</v>
      </c>
    </row>
    <row r="120" spans="3:20" x14ac:dyDescent="0.4">
      <c r="C120" s="1">
        <v>45807</v>
      </c>
      <c r="D120" s="1">
        <v>45832</v>
      </c>
      <c r="E120" s="445"/>
      <c r="F120" s="445"/>
      <c r="G120" s="2">
        <f t="shared" si="10"/>
        <v>308000</v>
      </c>
      <c r="H120" s="2">
        <f t="shared" si="11"/>
        <v>29396.1</v>
      </c>
      <c r="K120" s="38" t="s">
        <v>144</v>
      </c>
      <c r="L120" s="6" t="s">
        <v>122</v>
      </c>
      <c r="M120" s="6" t="str">
        <f t="shared" si="12"/>
        <v>확인</v>
      </c>
      <c r="N120" s="34">
        <v>4</v>
      </c>
      <c r="O120" s="212">
        <v>77000</v>
      </c>
      <c r="P120" s="195">
        <v>45824</v>
      </c>
      <c r="Q120" s="8" t="s">
        <v>113</v>
      </c>
      <c r="R120" s="212">
        <v>84500</v>
      </c>
      <c r="S120" s="8">
        <v>45832</v>
      </c>
      <c r="T120" s="2">
        <f t="shared" si="13"/>
        <v>603.90000000000009</v>
      </c>
    </row>
    <row r="121" spans="3:20" x14ac:dyDescent="0.4">
      <c r="C121" s="1">
        <v>45807</v>
      </c>
      <c r="D121" s="1">
        <v>45832</v>
      </c>
      <c r="E121" s="445"/>
      <c r="F121" s="445"/>
      <c r="G121" s="2">
        <f t="shared" si="10"/>
        <v>778000</v>
      </c>
      <c r="H121" s="2">
        <f t="shared" si="11"/>
        <v>65489.05</v>
      </c>
      <c r="K121" s="38" t="s">
        <v>144</v>
      </c>
      <c r="L121" s="6" t="s">
        <v>122</v>
      </c>
      <c r="M121" s="6" t="str">
        <f t="shared" si="12"/>
        <v>확인</v>
      </c>
      <c r="N121" s="34">
        <v>10</v>
      </c>
      <c r="O121" s="212">
        <v>77800</v>
      </c>
      <c r="P121" s="195">
        <v>45824</v>
      </c>
      <c r="Q121" s="8" t="s">
        <v>113</v>
      </c>
      <c r="R121" s="212">
        <v>84500</v>
      </c>
      <c r="S121" s="8">
        <v>45832</v>
      </c>
      <c r="T121" s="2">
        <f t="shared" si="13"/>
        <v>1510.95</v>
      </c>
    </row>
    <row r="122" spans="3:20" x14ac:dyDescent="0.4">
      <c r="C122" s="1">
        <v>45807</v>
      </c>
      <c r="D122" s="1">
        <v>45832</v>
      </c>
      <c r="E122" s="445"/>
      <c r="F122" s="445"/>
      <c r="G122" s="2">
        <f t="shared" si="10"/>
        <v>785000</v>
      </c>
      <c r="H122" s="2">
        <f t="shared" si="11"/>
        <v>58488</v>
      </c>
      <c r="K122" s="38" t="s">
        <v>144</v>
      </c>
      <c r="L122" s="6" t="s">
        <v>122</v>
      </c>
      <c r="M122" s="6" t="str">
        <f t="shared" si="12"/>
        <v>확인</v>
      </c>
      <c r="N122" s="34">
        <v>10</v>
      </c>
      <c r="O122" s="212">
        <v>78500</v>
      </c>
      <c r="P122" s="195">
        <v>45825</v>
      </c>
      <c r="Q122" s="8" t="s">
        <v>113</v>
      </c>
      <c r="R122" s="212">
        <v>84500</v>
      </c>
      <c r="S122" s="8">
        <v>45832</v>
      </c>
      <c r="T122" s="2">
        <f t="shared" si="13"/>
        <v>1512</v>
      </c>
    </row>
    <row r="123" spans="3:20" x14ac:dyDescent="0.4">
      <c r="C123" s="2" t="s">
        <v>653</v>
      </c>
      <c r="D123" s="1">
        <v>45833</v>
      </c>
      <c r="F123" s="2">
        <v>12867</v>
      </c>
      <c r="G123" s="2"/>
      <c r="H123" s="2"/>
      <c r="K123" s="38"/>
      <c r="L123" s="6"/>
      <c r="M123" s="6"/>
      <c r="N123" s="34"/>
      <c r="O123" s="212"/>
      <c r="P123" s="195"/>
      <c r="Q123" s="8"/>
      <c r="R123" s="212"/>
      <c r="S123" s="8"/>
      <c r="T123" s="2"/>
    </row>
    <row r="124" spans="3:20" x14ac:dyDescent="0.4">
      <c r="C124" s="1">
        <v>45807</v>
      </c>
      <c r="D124" s="1">
        <v>45834</v>
      </c>
      <c r="E124" s="444">
        <v>440000</v>
      </c>
      <c r="F124" s="444">
        <f>14585+6175-3087</f>
        <v>17673</v>
      </c>
      <c r="G124" s="2">
        <f t="shared" ref="G124:G139" si="14">N124*O124</f>
        <v>533000</v>
      </c>
      <c r="H124" s="2">
        <f t="shared" ref="H124:H139" si="15">N124*R124-G124-T124</f>
        <v>85897.05</v>
      </c>
      <c r="K124" s="38" t="s">
        <v>109</v>
      </c>
      <c r="L124" s="6" t="s">
        <v>122</v>
      </c>
      <c r="M124" s="6" t="str">
        <f t="shared" ref="M124:M139" si="16">IF(OR($C124="신한",$C124="OTC",$C124="무상증자(신한)",$C124="토스",$C124="R토스"),1,"확인")</f>
        <v>확인</v>
      </c>
      <c r="N124" s="34">
        <v>100</v>
      </c>
      <c r="O124" s="212">
        <v>5330</v>
      </c>
      <c r="P124" s="195">
        <v>45807</v>
      </c>
      <c r="Q124" s="8"/>
      <c r="R124" s="212">
        <v>6200</v>
      </c>
      <c r="S124" s="8">
        <v>45834</v>
      </c>
      <c r="T124" s="2">
        <f t="shared" ref="T124:T139" si="17">N124*O124*0.00015+R124*N124*(0.00015+0.0015)</f>
        <v>1102.95</v>
      </c>
    </row>
    <row r="125" spans="3:20" x14ac:dyDescent="0.4">
      <c r="C125" s="1">
        <v>45807</v>
      </c>
      <c r="D125" s="1">
        <v>45834</v>
      </c>
      <c r="E125" s="445"/>
      <c r="F125" s="445"/>
      <c r="G125" s="2">
        <f t="shared" si="14"/>
        <v>529000</v>
      </c>
      <c r="H125" s="2">
        <f t="shared" si="15"/>
        <v>89897.65</v>
      </c>
      <c r="K125" s="38" t="s">
        <v>109</v>
      </c>
      <c r="L125" s="6" t="s">
        <v>122</v>
      </c>
      <c r="M125" s="6" t="str">
        <f t="shared" si="16"/>
        <v>확인</v>
      </c>
      <c r="N125" s="34">
        <v>100</v>
      </c>
      <c r="O125" s="212">
        <v>5290</v>
      </c>
      <c r="P125" s="195">
        <v>45807</v>
      </c>
      <c r="Q125" s="8"/>
      <c r="R125" s="212">
        <v>6200</v>
      </c>
      <c r="S125" s="8">
        <v>45834</v>
      </c>
      <c r="T125" s="2">
        <f t="shared" si="17"/>
        <v>1102.3499999999999</v>
      </c>
    </row>
    <row r="126" spans="3:20" x14ac:dyDescent="0.4">
      <c r="C126" s="1">
        <v>45807</v>
      </c>
      <c r="D126" s="1">
        <v>45834</v>
      </c>
      <c r="E126" s="445"/>
      <c r="F126" s="445"/>
      <c r="G126" s="2">
        <f t="shared" si="14"/>
        <v>525000</v>
      </c>
      <c r="H126" s="2">
        <f t="shared" si="15"/>
        <v>93898.25</v>
      </c>
      <c r="K126" s="38" t="s">
        <v>109</v>
      </c>
      <c r="L126" s="6" t="s">
        <v>122</v>
      </c>
      <c r="M126" s="6" t="str">
        <f t="shared" si="16"/>
        <v>확인</v>
      </c>
      <c r="N126" s="34">
        <v>100</v>
      </c>
      <c r="O126" s="212">
        <v>5250</v>
      </c>
      <c r="P126" s="195">
        <v>45807</v>
      </c>
      <c r="Q126" s="8"/>
      <c r="R126" s="212">
        <v>6200</v>
      </c>
      <c r="S126" s="8">
        <v>45834</v>
      </c>
      <c r="T126" s="2">
        <f t="shared" si="17"/>
        <v>1101.75</v>
      </c>
    </row>
    <row r="127" spans="3:20" x14ac:dyDescent="0.4">
      <c r="C127" s="1">
        <v>45807</v>
      </c>
      <c r="D127" s="1">
        <v>45834</v>
      </c>
      <c r="E127" s="445"/>
      <c r="F127" s="445"/>
      <c r="G127" s="2">
        <f t="shared" si="14"/>
        <v>506000</v>
      </c>
      <c r="H127" s="2">
        <f t="shared" si="15"/>
        <v>112901.1</v>
      </c>
      <c r="K127" s="38" t="s">
        <v>109</v>
      </c>
      <c r="L127" s="6" t="s">
        <v>122</v>
      </c>
      <c r="M127" s="6" t="str">
        <f t="shared" si="16"/>
        <v>확인</v>
      </c>
      <c r="N127" s="34">
        <v>100</v>
      </c>
      <c r="O127" s="212">
        <v>5060</v>
      </c>
      <c r="P127" s="195">
        <v>45807</v>
      </c>
      <c r="Q127" s="8"/>
      <c r="R127" s="212">
        <v>6200</v>
      </c>
      <c r="S127" s="8">
        <v>45834</v>
      </c>
      <c r="T127" s="2">
        <f t="shared" si="17"/>
        <v>1098.9000000000001</v>
      </c>
    </row>
    <row r="128" spans="3:20" x14ac:dyDescent="0.4">
      <c r="C128" s="1">
        <v>45807</v>
      </c>
      <c r="D128" s="1">
        <v>45834</v>
      </c>
      <c r="E128" s="445"/>
      <c r="F128" s="445"/>
      <c r="G128" s="2">
        <f t="shared" si="14"/>
        <v>518000</v>
      </c>
      <c r="H128" s="2">
        <f t="shared" si="15"/>
        <v>100899.3</v>
      </c>
      <c r="K128" s="38" t="s">
        <v>109</v>
      </c>
      <c r="L128" s="6" t="s">
        <v>122</v>
      </c>
      <c r="M128" s="6" t="str">
        <f t="shared" si="16"/>
        <v>확인</v>
      </c>
      <c r="N128" s="34">
        <v>100</v>
      </c>
      <c r="O128" s="212">
        <v>5180</v>
      </c>
      <c r="P128" s="195">
        <v>45807</v>
      </c>
      <c r="Q128" s="8"/>
      <c r="R128" s="212">
        <v>6200</v>
      </c>
      <c r="S128" s="8">
        <v>45834</v>
      </c>
      <c r="T128" s="2">
        <f t="shared" si="17"/>
        <v>1100.7</v>
      </c>
    </row>
    <row r="129" spans="3:20" x14ac:dyDescent="0.4">
      <c r="C129" s="1">
        <v>45807</v>
      </c>
      <c r="D129" s="1">
        <v>45838</v>
      </c>
      <c r="E129" s="444">
        <v>750000</v>
      </c>
      <c r="F129" s="444">
        <f>12109+9190</f>
        <v>21299</v>
      </c>
      <c r="G129" s="2">
        <f t="shared" si="14"/>
        <v>1024000</v>
      </c>
      <c r="H129" s="2">
        <f t="shared" si="15"/>
        <v>275698.09999999998</v>
      </c>
      <c r="K129" s="38" t="s">
        <v>109</v>
      </c>
      <c r="L129" s="6" t="s">
        <v>122</v>
      </c>
      <c r="M129" s="6" t="str">
        <f t="shared" si="16"/>
        <v>확인</v>
      </c>
      <c r="N129" s="34">
        <v>200</v>
      </c>
      <c r="O129" s="212">
        <v>5120</v>
      </c>
      <c r="P129" s="195">
        <v>45807</v>
      </c>
      <c r="Q129" s="8"/>
      <c r="R129" s="212">
        <v>6510</v>
      </c>
      <c r="S129" s="8">
        <v>45838</v>
      </c>
      <c r="T129" s="2">
        <f t="shared" si="17"/>
        <v>2301.9</v>
      </c>
    </row>
    <row r="130" spans="3:20" x14ac:dyDescent="0.4">
      <c r="C130" s="1">
        <v>45807</v>
      </c>
      <c r="D130" s="1">
        <v>45838</v>
      </c>
      <c r="E130" s="445"/>
      <c r="F130" s="445"/>
      <c r="G130" s="2">
        <f t="shared" si="14"/>
        <v>510000</v>
      </c>
      <c r="H130" s="2">
        <f t="shared" si="15"/>
        <v>139849.35</v>
      </c>
      <c r="K130" s="38" t="s">
        <v>109</v>
      </c>
      <c r="L130" s="6" t="s">
        <v>122</v>
      </c>
      <c r="M130" s="6" t="str">
        <f t="shared" si="16"/>
        <v>확인</v>
      </c>
      <c r="N130" s="34">
        <v>100</v>
      </c>
      <c r="O130" s="212">
        <v>5100</v>
      </c>
      <c r="P130" s="195">
        <v>45813</v>
      </c>
      <c r="Q130" s="8"/>
      <c r="R130" s="212">
        <v>6510</v>
      </c>
      <c r="S130" s="8">
        <v>45838</v>
      </c>
      <c r="T130" s="2">
        <f t="shared" si="17"/>
        <v>1150.6500000000001</v>
      </c>
    </row>
    <row r="131" spans="3:20" x14ac:dyDescent="0.4">
      <c r="C131" s="1">
        <v>45807</v>
      </c>
      <c r="D131" s="1">
        <v>45838</v>
      </c>
      <c r="E131" s="445"/>
      <c r="F131" s="445"/>
      <c r="G131" s="2">
        <f t="shared" si="14"/>
        <v>505000</v>
      </c>
      <c r="H131" s="2">
        <f t="shared" si="15"/>
        <v>144850.1</v>
      </c>
      <c r="K131" s="38" t="s">
        <v>109</v>
      </c>
      <c r="L131" s="6" t="s">
        <v>122</v>
      </c>
      <c r="M131" s="6" t="str">
        <f t="shared" si="16"/>
        <v>확인</v>
      </c>
      <c r="N131" s="34">
        <v>100</v>
      </c>
      <c r="O131" s="212">
        <v>5050</v>
      </c>
      <c r="P131" s="195">
        <v>45813</v>
      </c>
      <c r="Q131" s="8"/>
      <c r="R131" s="212">
        <v>6510</v>
      </c>
      <c r="S131" s="8">
        <v>45838</v>
      </c>
      <c r="T131" s="2">
        <f t="shared" si="17"/>
        <v>1149.9000000000001</v>
      </c>
    </row>
    <row r="132" spans="3:20" x14ac:dyDescent="0.4">
      <c r="C132" s="1">
        <v>45807</v>
      </c>
      <c r="D132" s="1">
        <v>45838</v>
      </c>
      <c r="E132" s="445"/>
      <c r="F132" s="445"/>
      <c r="G132" s="2">
        <f t="shared" si="14"/>
        <v>1110000</v>
      </c>
      <c r="H132" s="2">
        <f t="shared" si="15"/>
        <v>189685.2</v>
      </c>
      <c r="K132" s="38" t="s">
        <v>109</v>
      </c>
      <c r="L132" s="6" t="s">
        <v>122</v>
      </c>
      <c r="M132" s="6" t="str">
        <f t="shared" si="16"/>
        <v>확인</v>
      </c>
      <c r="N132" s="34">
        <v>200</v>
      </c>
      <c r="O132" s="212">
        <v>5550</v>
      </c>
      <c r="P132" s="195">
        <v>45821</v>
      </c>
      <c r="Q132" s="8"/>
      <c r="R132" s="212">
        <v>6510</v>
      </c>
      <c r="S132" s="8">
        <v>45838</v>
      </c>
      <c r="T132" s="2">
        <f t="shared" si="17"/>
        <v>2314.8000000000002</v>
      </c>
    </row>
    <row r="133" spans="3:20" x14ac:dyDescent="0.4">
      <c r="C133" s="1">
        <v>45807</v>
      </c>
      <c r="D133" s="1">
        <v>45838</v>
      </c>
      <c r="E133" s="445"/>
      <c r="F133" s="445"/>
      <c r="G133" s="2">
        <f t="shared" si="14"/>
        <v>307500</v>
      </c>
      <c r="H133" s="2">
        <f t="shared" si="15"/>
        <v>17416.8</v>
      </c>
      <c r="K133" s="38" t="s">
        <v>109</v>
      </c>
      <c r="L133" s="6" t="s">
        <v>122</v>
      </c>
      <c r="M133" s="6" t="str">
        <f t="shared" si="16"/>
        <v>확인</v>
      </c>
      <c r="N133" s="34">
        <v>50</v>
      </c>
      <c r="O133" s="212">
        <v>6150</v>
      </c>
      <c r="P133" s="195">
        <v>45835</v>
      </c>
      <c r="Q133" s="8"/>
      <c r="R133" s="212">
        <v>6510</v>
      </c>
      <c r="S133" s="8">
        <v>45838</v>
      </c>
      <c r="T133" s="2">
        <f t="shared" si="17"/>
        <v>583.20000000000005</v>
      </c>
    </row>
    <row r="134" spans="3:20" x14ac:dyDescent="0.4">
      <c r="C134" s="1">
        <v>45807</v>
      </c>
      <c r="D134" s="1">
        <v>45841</v>
      </c>
      <c r="E134" s="444">
        <v>90000</v>
      </c>
      <c r="F134" s="444">
        <v>5511</v>
      </c>
      <c r="G134" s="2">
        <f t="shared" si="14"/>
        <v>719000</v>
      </c>
      <c r="H134" s="2">
        <f t="shared" si="15"/>
        <v>59605.15</v>
      </c>
      <c r="K134" s="38" t="s">
        <v>140</v>
      </c>
      <c r="L134" s="6" t="s">
        <v>122</v>
      </c>
      <c r="M134" s="6" t="str">
        <f t="shared" si="16"/>
        <v>확인</v>
      </c>
      <c r="N134" s="34">
        <v>10</v>
      </c>
      <c r="O134" s="212">
        <v>71900</v>
      </c>
      <c r="P134" s="195">
        <v>45821</v>
      </c>
      <c r="Q134" s="8" t="s">
        <v>113</v>
      </c>
      <c r="R134" s="212">
        <v>78000</v>
      </c>
      <c r="S134" s="8">
        <v>45841</v>
      </c>
      <c r="T134" s="2">
        <f t="shared" si="17"/>
        <v>1394.85</v>
      </c>
    </row>
    <row r="135" spans="3:20" x14ac:dyDescent="0.4">
      <c r="C135" s="1">
        <v>45807</v>
      </c>
      <c r="D135" s="1">
        <v>45841</v>
      </c>
      <c r="E135" s="445"/>
      <c r="F135" s="445"/>
      <c r="G135" s="2">
        <f t="shared" si="14"/>
        <v>355000</v>
      </c>
      <c r="H135" s="2">
        <f t="shared" si="15"/>
        <v>34303.25</v>
      </c>
      <c r="K135" s="38" t="s">
        <v>140</v>
      </c>
      <c r="L135" s="6" t="s">
        <v>122</v>
      </c>
      <c r="M135" s="6" t="str">
        <f t="shared" si="16"/>
        <v>확인</v>
      </c>
      <c r="N135" s="34">
        <v>5</v>
      </c>
      <c r="O135" s="212">
        <v>71000</v>
      </c>
      <c r="P135" s="195">
        <v>45824</v>
      </c>
      <c r="Q135" s="8" t="s">
        <v>113</v>
      </c>
      <c r="R135" s="212">
        <v>78000</v>
      </c>
      <c r="S135" s="8">
        <v>45841</v>
      </c>
      <c r="T135" s="2">
        <f t="shared" si="17"/>
        <v>696.75</v>
      </c>
    </row>
    <row r="136" spans="3:20" x14ac:dyDescent="0.4">
      <c r="C136" s="1">
        <v>45807</v>
      </c>
      <c r="D136" s="1">
        <v>45841</v>
      </c>
      <c r="E136" s="445"/>
      <c r="F136" s="445"/>
      <c r="G136" s="2">
        <f t="shared" si="14"/>
        <v>765000</v>
      </c>
      <c r="H136" s="2">
        <f t="shared" si="15"/>
        <v>13598.25</v>
      </c>
      <c r="K136" s="38" t="s">
        <v>140</v>
      </c>
      <c r="L136" s="6" t="s">
        <v>122</v>
      </c>
      <c r="M136" s="6" t="str">
        <f t="shared" si="16"/>
        <v>확인</v>
      </c>
      <c r="N136" s="34">
        <v>10</v>
      </c>
      <c r="O136" s="212">
        <v>76500</v>
      </c>
      <c r="P136" s="195">
        <v>45833</v>
      </c>
      <c r="Q136" s="8" t="s">
        <v>113</v>
      </c>
      <c r="R136" s="212">
        <v>78000</v>
      </c>
      <c r="S136" s="8">
        <v>45841</v>
      </c>
      <c r="T136" s="2">
        <f t="shared" si="17"/>
        <v>1401.75</v>
      </c>
    </row>
    <row r="137" spans="3:20" x14ac:dyDescent="0.4">
      <c r="C137" s="1">
        <v>45807</v>
      </c>
      <c r="D137" s="1">
        <v>45848</v>
      </c>
      <c r="E137" s="444">
        <v>500000</v>
      </c>
      <c r="F137" s="444">
        <v>70224</v>
      </c>
      <c r="G137" s="2">
        <f t="shared" si="14"/>
        <v>938500</v>
      </c>
      <c r="H137" s="2">
        <f t="shared" si="15"/>
        <v>184502.97500000001</v>
      </c>
      <c r="K137" s="38" t="s">
        <v>143</v>
      </c>
      <c r="L137" s="6" t="s">
        <v>122</v>
      </c>
      <c r="M137" s="6" t="str">
        <f t="shared" si="16"/>
        <v>확인</v>
      </c>
      <c r="N137" s="34">
        <v>50</v>
      </c>
      <c r="O137" s="212">
        <v>18770</v>
      </c>
      <c r="P137" s="195">
        <v>45821</v>
      </c>
      <c r="Q137" s="8"/>
      <c r="R137" s="212">
        <v>22500</v>
      </c>
      <c r="S137" s="8">
        <v>45848</v>
      </c>
      <c r="T137" s="2">
        <f t="shared" si="17"/>
        <v>1997.0250000000001</v>
      </c>
    </row>
    <row r="138" spans="3:20" x14ac:dyDescent="0.4">
      <c r="C138" s="1">
        <v>45807</v>
      </c>
      <c r="D138" s="1">
        <v>45848</v>
      </c>
      <c r="E138" s="445"/>
      <c r="F138" s="445"/>
      <c r="G138" s="2">
        <f t="shared" si="14"/>
        <v>1519200</v>
      </c>
      <c r="H138" s="2">
        <f t="shared" si="15"/>
        <v>277602.12</v>
      </c>
      <c r="K138" s="38" t="s">
        <v>143</v>
      </c>
      <c r="L138" s="6" t="s">
        <v>122</v>
      </c>
      <c r="M138" s="6" t="str">
        <f t="shared" si="16"/>
        <v>확인</v>
      </c>
      <c r="N138" s="34">
        <v>80</v>
      </c>
      <c r="O138" s="212">
        <v>18990</v>
      </c>
      <c r="P138" s="195">
        <v>45821</v>
      </c>
      <c r="Q138" s="8"/>
      <c r="R138" s="212">
        <v>22500</v>
      </c>
      <c r="S138" s="8">
        <v>45848</v>
      </c>
      <c r="T138" s="2">
        <f t="shared" si="17"/>
        <v>3197.88</v>
      </c>
    </row>
    <row r="139" spans="3:20" x14ac:dyDescent="0.4">
      <c r="C139" s="1">
        <v>45807</v>
      </c>
      <c r="D139" s="1">
        <v>45848</v>
      </c>
      <c r="E139" s="445"/>
      <c r="F139" s="445"/>
      <c r="G139" s="2">
        <f t="shared" si="14"/>
        <v>377600</v>
      </c>
      <c r="H139" s="2">
        <f t="shared" si="15"/>
        <v>71600.86</v>
      </c>
      <c r="K139" s="38" t="s">
        <v>143</v>
      </c>
      <c r="L139" s="6" t="s">
        <v>122</v>
      </c>
      <c r="M139" s="6" t="str">
        <f t="shared" si="16"/>
        <v>확인</v>
      </c>
      <c r="N139" s="34">
        <v>20</v>
      </c>
      <c r="O139" s="212">
        <v>18880</v>
      </c>
      <c r="P139" s="195">
        <v>45821</v>
      </c>
      <c r="Q139" s="8"/>
      <c r="R139" s="212">
        <v>22500</v>
      </c>
      <c r="S139" s="8">
        <v>45848</v>
      </c>
      <c r="T139" s="2">
        <f t="shared" si="17"/>
        <v>799.14</v>
      </c>
    </row>
    <row r="140" spans="3:20" x14ac:dyDescent="0.4">
      <c r="C140" s="2" t="s">
        <v>653</v>
      </c>
      <c r="D140" s="1">
        <v>45863</v>
      </c>
      <c r="F140" s="2">
        <f>2857+22106</f>
        <v>24963</v>
      </c>
      <c r="G140" s="2"/>
      <c r="H140" s="2"/>
      <c r="K140" s="38"/>
      <c r="L140" s="6"/>
      <c r="M140" s="6"/>
      <c r="N140" s="34"/>
      <c r="O140" s="212"/>
      <c r="P140" s="195"/>
      <c r="Q140" s="8"/>
      <c r="R140" s="212"/>
      <c r="S140" s="8"/>
      <c r="T140" s="2"/>
    </row>
    <row r="141" spans="3:20" x14ac:dyDescent="0.4">
      <c r="C141" s="1">
        <v>45807</v>
      </c>
      <c r="D141" s="1">
        <v>45867</v>
      </c>
      <c r="E141" s="444">
        <v>260000</v>
      </c>
      <c r="F141" s="444">
        <v>36833</v>
      </c>
      <c r="G141" s="2">
        <f>N141*O141</f>
        <v>1720000</v>
      </c>
      <c r="H141" s="2">
        <f>N141*R141-G141-T141</f>
        <v>190583.9</v>
      </c>
      <c r="K141" s="38" t="s">
        <v>133</v>
      </c>
      <c r="L141" s="6" t="s">
        <v>122</v>
      </c>
      <c r="M141" s="6" t="str">
        <f>IF(OR($C141="신한",$C141="OTC",$C141="무상증자(신한)",$C141="토스",$C141="R토스"),1,"확인")</f>
        <v>확인</v>
      </c>
      <c r="N141" s="34">
        <v>2</v>
      </c>
      <c r="O141" s="212">
        <v>860000</v>
      </c>
      <c r="P141" s="195">
        <v>45833</v>
      </c>
      <c r="Q141" s="8"/>
      <c r="R141" s="212">
        <v>957000</v>
      </c>
      <c r="S141" s="8">
        <v>45867</v>
      </c>
      <c r="T141" s="2">
        <f>N141*O141*0.00015+R141*N141*(0.00015+0.0015)</f>
        <v>3416.1</v>
      </c>
    </row>
    <row r="142" spans="3:20" x14ac:dyDescent="0.4">
      <c r="C142" s="1">
        <v>45807</v>
      </c>
      <c r="D142" s="1">
        <v>45867</v>
      </c>
      <c r="E142" s="445"/>
      <c r="F142" s="445"/>
      <c r="G142" s="2">
        <f>N142*O142</f>
        <v>847000</v>
      </c>
      <c r="H142" s="2">
        <f>N142*R142-G142-T142</f>
        <v>108293.9</v>
      </c>
      <c r="K142" s="38" t="s">
        <v>133</v>
      </c>
      <c r="L142" s="6" t="s">
        <v>122</v>
      </c>
      <c r="M142" s="6" t="str">
        <f>IF(OR($C142="신한",$C142="OTC",$C142="무상증자(신한)",$C142="토스",$C142="R토스"),1,"확인")</f>
        <v>확인</v>
      </c>
      <c r="N142" s="34">
        <v>1</v>
      </c>
      <c r="O142" s="212">
        <v>847000</v>
      </c>
      <c r="P142" s="195">
        <v>45839</v>
      </c>
      <c r="Q142" s="8"/>
      <c r="R142" s="212">
        <v>957000</v>
      </c>
      <c r="S142" s="8">
        <v>45867</v>
      </c>
      <c r="T142" s="2">
        <f>N142*O142*0.00015+R142*N142*(0.00015+0.0015)</f>
        <v>1706.1</v>
      </c>
    </row>
    <row r="143" spans="3:20" x14ac:dyDescent="0.4">
      <c r="C143" s="2" t="s">
        <v>653</v>
      </c>
      <c r="D143" s="1">
        <v>45894</v>
      </c>
      <c r="F143" s="2">
        <v>25932</v>
      </c>
      <c r="G143" s="2"/>
      <c r="H143" s="2"/>
      <c r="K143" s="38"/>
      <c r="L143" s="6"/>
      <c r="M143" s="6"/>
      <c r="N143" s="34"/>
      <c r="O143" s="212"/>
      <c r="P143" s="195"/>
      <c r="Q143" s="8"/>
      <c r="R143" s="212"/>
      <c r="S143" s="8"/>
      <c r="T143" s="2"/>
    </row>
    <row r="144" spans="3:20" x14ac:dyDescent="0.4">
      <c r="C144" s="2" t="s">
        <v>653</v>
      </c>
      <c r="D144" s="1">
        <v>45900</v>
      </c>
      <c r="F144" s="2">
        <v>59953</v>
      </c>
      <c r="G144" s="2"/>
      <c r="H144" s="2"/>
      <c r="K144" s="38"/>
      <c r="L144" s="6"/>
      <c r="M144" s="6"/>
      <c r="N144" s="34"/>
      <c r="O144" s="212"/>
      <c r="P144" s="195"/>
      <c r="Q144" s="8"/>
      <c r="R144" s="212"/>
      <c r="S144" s="8"/>
      <c r="T144" s="2"/>
    </row>
    <row r="145" spans="3:20" x14ac:dyDescent="0.4">
      <c r="C145" s="2" t="s">
        <v>653</v>
      </c>
      <c r="D145" s="1">
        <v>45905</v>
      </c>
      <c r="F145" s="2">
        <v>40047</v>
      </c>
      <c r="G145" s="2"/>
      <c r="H145" s="2"/>
      <c r="K145" s="38"/>
      <c r="L145" s="6"/>
      <c r="M145" s="6"/>
      <c r="N145" s="34"/>
      <c r="O145" s="212"/>
      <c r="P145" s="195"/>
      <c r="Q145" s="8"/>
      <c r="R145" s="212"/>
      <c r="S145" s="8"/>
      <c r="T145" s="2"/>
    </row>
    <row r="146" spans="3:20" x14ac:dyDescent="0.4">
      <c r="C146" s="1">
        <v>45807</v>
      </c>
      <c r="D146" s="1">
        <v>45916</v>
      </c>
      <c r="E146" s="444">
        <v>800000</v>
      </c>
      <c r="F146" s="444">
        <v>102028</v>
      </c>
      <c r="G146" s="2">
        <f t="shared" ref="G146:G162" si="18">N146*O146</f>
        <v>218500</v>
      </c>
      <c r="H146" s="2">
        <f t="shared" ref="H146:H162" si="19">N146*R146-G146-T146</f>
        <v>7094.3249999999998</v>
      </c>
      <c r="K146" s="38" t="s">
        <v>143</v>
      </c>
      <c r="L146" s="6" t="s">
        <v>122</v>
      </c>
      <c r="M146" s="6" t="str">
        <f>IF(OR($C146="신한",$C146="OTC",$C146="무상증자(신한)",$C146="토스",$C146="R토스"),1,"확인")</f>
        <v>확인</v>
      </c>
      <c r="N146" s="34">
        <v>10</v>
      </c>
      <c r="O146" s="212">
        <v>21850</v>
      </c>
      <c r="P146" s="195">
        <v>45849</v>
      </c>
      <c r="Q146" s="33" t="s">
        <v>113</v>
      </c>
      <c r="R146" s="212">
        <v>22600</v>
      </c>
      <c r="S146" s="8">
        <v>45910</v>
      </c>
      <c r="T146" s="2">
        <f t="shared" ref="T146:T162" si="20">N146*O146*0.00015+R146*N146*(0.00015+0.0015)</f>
        <v>405.67499999999995</v>
      </c>
    </row>
    <row r="147" spans="3:20" x14ac:dyDescent="0.4">
      <c r="C147" s="1">
        <v>45807</v>
      </c>
      <c r="D147" s="1">
        <v>45916</v>
      </c>
      <c r="E147" s="445"/>
      <c r="F147" s="445"/>
      <c r="G147" s="2">
        <f t="shared" si="18"/>
        <v>527500</v>
      </c>
      <c r="H147" s="2">
        <f t="shared" si="19"/>
        <v>36488.625</v>
      </c>
      <c r="K147" s="38" t="s">
        <v>143</v>
      </c>
      <c r="L147" s="6" t="s">
        <v>122</v>
      </c>
      <c r="M147" s="6" t="str">
        <f>IF(OR($C147="신한",$C147="OTC",$C147="무상증자(신한)",$C147="토스",$C147="R토스"),1,"확인")</f>
        <v>확인</v>
      </c>
      <c r="N147" s="34">
        <v>25</v>
      </c>
      <c r="O147" s="212">
        <v>21100</v>
      </c>
      <c r="P147" s="195">
        <v>45854</v>
      </c>
      <c r="Q147" s="33" t="s">
        <v>113</v>
      </c>
      <c r="R147" s="212">
        <v>22600</v>
      </c>
      <c r="S147" s="8">
        <v>45910</v>
      </c>
      <c r="T147" s="2">
        <f t="shared" si="20"/>
        <v>1011.375</v>
      </c>
    </row>
    <row r="148" spans="3:20" x14ac:dyDescent="0.4">
      <c r="C148" s="1">
        <v>45807</v>
      </c>
      <c r="D148" s="1">
        <v>45916</v>
      </c>
      <c r="E148" s="445"/>
      <c r="F148" s="445"/>
      <c r="G148" s="2">
        <f t="shared" si="18"/>
        <v>630000</v>
      </c>
      <c r="H148" s="2">
        <f t="shared" si="19"/>
        <v>46786.8</v>
      </c>
      <c r="K148" s="38" t="s">
        <v>143</v>
      </c>
      <c r="L148" s="6" t="s">
        <v>122</v>
      </c>
      <c r="M148" s="6" t="str">
        <f>IF(OR($C148="신한",$C148="OTC",$C148="무상증자(신한)",$C148="토스",$C148="R토스"),1,"확인")</f>
        <v>확인</v>
      </c>
      <c r="N148" s="34">
        <v>30</v>
      </c>
      <c r="O148" s="212">
        <v>21000</v>
      </c>
      <c r="P148" s="195">
        <v>45854</v>
      </c>
      <c r="Q148" s="33" t="s">
        <v>113</v>
      </c>
      <c r="R148" s="212">
        <v>22600</v>
      </c>
      <c r="S148" s="8">
        <v>45910</v>
      </c>
      <c r="T148" s="2">
        <f t="shared" si="20"/>
        <v>1213.2</v>
      </c>
    </row>
    <row r="149" spans="3:20" x14ac:dyDescent="0.4">
      <c r="C149" s="1">
        <v>45807</v>
      </c>
      <c r="D149" s="1">
        <v>45916</v>
      </c>
      <c r="E149" s="445"/>
      <c r="F149" s="445"/>
      <c r="G149" s="2">
        <f t="shared" si="18"/>
        <v>185300</v>
      </c>
      <c r="H149" s="2">
        <f t="shared" si="19"/>
        <v>40299.305</v>
      </c>
      <c r="K149" s="38" t="s">
        <v>143</v>
      </c>
      <c r="L149" s="6" t="s">
        <v>122</v>
      </c>
      <c r="M149" s="6" t="str">
        <f>IF(OR($C149="신한",$C149="OTC",$C149="무상증자(신한)",$C149="토스",$C149="R토스"),1,"확인")</f>
        <v>확인</v>
      </c>
      <c r="N149" s="34">
        <v>10</v>
      </c>
      <c r="O149" s="212">
        <v>18530</v>
      </c>
      <c r="P149" s="195">
        <v>45894</v>
      </c>
      <c r="Q149" s="33" t="s">
        <v>113</v>
      </c>
      <c r="R149" s="212">
        <v>22600</v>
      </c>
      <c r="S149" s="8">
        <v>45910</v>
      </c>
      <c r="T149" s="2">
        <f t="shared" si="20"/>
        <v>400.69499999999999</v>
      </c>
    </row>
    <row r="150" spans="3:20" x14ac:dyDescent="0.4">
      <c r="C150" s="1">
        <v>45807</v>
      </c>
      <c r="D150" s="1">
        <v>45916</v>
      </c>
      <c r="E150" s="445"/>
      <c r="F150" s="445"/>
      <c r="G150" s="2">
        <f t="shared" si="18"/>
        <v>903000</v>
      </c>
      <c r="H150" s="2">
        <f t="shared" si="19"/>
        <v>260441.47500000001</v>
      </c>
      <c r="K150" s="38" t="s">
        <v>24</v>
      </c>
      <c r="L150" s="6" t="s">
        <v>122</v>
      </c>
      <c r="M150" s="6">
        <v>1</v>
      </c>
      <c r="N150" s="34">
        <v>150</v>
      </c>
      <c r="O150" s="212">
        <v>6020</v>
      </c>
      <c r="P150" s="195">
        <v>45821</v>
      </c>
      <c r="Q150" s="8" t="s">
        <v>113</v>
      </c>
      <c r="R150" s="212">
        <v>7770</v>
      </c>
      <c r="S150" s="8">
        <v>45912</v>
      </c>
      <c r="T150" s="2">
        <f t="shared" si="20"/>
        <v>2058.5250000000001</v>
      </c>
    </row>
    <row r="151" spans="3:20" x14ac:dyDescent="0.4">
      <c r="C151" s="1">
        <v>45807</v>
      </c>
      <c r="D151" s="1">
        <v>45916</v>
      </c>
      <c r="E151" s="445"/>
      <c r="F151" s="445"/>
      <c r="G151" s="2">
        <f t="shared" si="18"/>
        <v>2130000</v>
      </c>
      <c r="H151" s="2">
        <f t="shared" si="19"/>
        <v>196834.35</v>
      </c>
      <c r="K151" s="38" t="s">
        <v>24</v>
      </c>
      <c r="L151" s="6" t="s">
        <v>122</v>
      </c>
      <c r="M151" s="6">
        <v>1</v>
      </c>
      <c r="N151" s="34">
        <v>300</v>
      </c>
      <c r="O151" s="212">
        <v>7100</v>
      </c>
      <c r="P151" s="195">
        <v>45848</v>
      </c>
      <c r="Q151" s="8" t="s">
        <v>113</v>
      </c>
      <c r="R151" s="212">
        <v>7770</v>
      </c>
      <c r="S151" s="8">
        <v>45912</v>
      </c>
      <c r="T151" s="2">
        <f t="shared" si="20"/>
        <v>4165.6499999999996</v>
      </c>
    </row>
    <row r="152" spans="3:20" x14ac:dyDescent="0.4">
      <c r="C152" s="1">
        <v>45807</v>
      </c>
      <c r="D152" s="1">
        <v>45919</v>
      </c>
      <c r="E152" s="446">
        <v>400000</v>
      </c>
      <c r="F152" s="446">
        <v>8219</v>
      </c>
      <c r="G152" s="2">
        <f t="shared" si="18"/>
        <v>643000</v>
      </c>
      <c r="H152" s="2">
        <f t="shared" si="19"/>
        <v>35781.550000000003</v>
      </c>
      <c r="K152" s="38" t="s">
        <v>109</v>
      </c>
      <c r="L152" s="6" t="s">
        <v>122</v>
      </c>
      <c r="M152" s="6" t="str">
        <f t="shared" ref="M152:M162" si="21">IF(OR($C152="신한",$C152="OTC",$C152="무상증자(신한)",$C152="토스",$C152="R토스"),1,"확인")</f>
        <v>확인</v>
      </c>
      <c r="N152" s="34">
        <v>100</v>
      </c>
      <c r="O152" s="212">
        <v>6430</v>
      </c>
      <c r="P152" s="195">
        <v>45838</v>
      </c>
      <c r="Q152" s="8" t="s">
        <v>113</v>
      </c>
      <c r="R152" s="212">
        <v>6800</v>
      </c>
      <c r="S152" s="8">
        <v>45919</v>
      </c>
      <c r="T152" s="2">
        <f t="shared" si="20"/>
        <v>1218.45</v>
      </c>
    </row>
    <row r="153" spans="3:20" x14ac:dyDescent="0.4">
      <c r="C153" s="1">
        <v>45807</v>
      </c>
      <c r="D153" s="1">
        <v>45919</v>
      </c>
      <c r="E153" s="445"/>
      <c r="F153" s="445"/>
      <c r="G153" s="2">
        <f t="shared" si="18"/>
        <v>640000</v>
      </c>
      <c r="H153" s="2">
        <f t="shared" si="19"/>
        <v>38782</v>
      </c>
      <c r="K153" s="38" t="s">
        <v>109</v>
      </c>
      <c r="L153" s="6" t="s">
        <v>122</v>
      </c>
      <c r="M153" s="6" t="str">
        <f t="shared" si="21"/>
        <v>확인</v>
      </c>
      <c r="N153" s="34">
        <v>100</v>
      </c>
      <c r="O153" s="212">
        <v>6400</v>
      </c>
      <c r="P153" s="195">
        <v>45838</v>
      </c>
      <c r="Q153" s="8" t="s">
        <v>113</v>
      </c>
      <c r="R153" s="212">
        <v>6800</v>
      </c>
      <c r="S153" s="8">
        <v>45919</v>
      </c>
      <c r="T153" s="2">
        <f t="shared" si="20"/>
        <v>1218</v>
      </c>
    </row>
    <row r="154" spans="3:20" x14ac:dyDescent="0.4">
      <c r="C154" s="1">
        <v>45807</v>
      </c>
      <c r="D154" s="1">
        <v>45919</v>
      </c>
      <c r="E154" s="445"/>
      <c r="F154" s="445"/>
      <c r="G154" s="2">
        <f t="shared" si="18"/>
        <v>630000</v>
      </c>
      <c r="H154" s="2">
        <f t="shared" si="19"/>
        <v>48783.5</v>
      </c>
      <c r="K154" s="38" t="s">
        <v>109</v>
      </c>
      <c r="L154" s="6" t="s">
        <v>122</v>
      </c>
      <c r="M154" s="6" t="str">
        <f t="shared" si="21"/>
        <v>확인</v>
      </c>
      <c r="N154" s="34">
        <v>100</v>
      </c>
      <c r="O154" s="212">
        <v>6300</v>
      </c>
      <c r="P154" s="195">
        <v>45838</v>
      </c>
      <c r="Q154" s="8" t="s">
        <v>113</v>
      </c>
      <c r="R154" s="212">
        <v>6800</v>
      </c>
      <c r="S154" s="8">
        <v>45919</v>
      </c>
      <c r="T154" s="2">
        <f t="shared" si="20"/>
        <v>1216.5</v>
      </c>
    </row>
    <row r="155" spans="3:20" x14ac:dyDescent="0.4">
      <c r="C155" s="1">
        <v>45807</v>
      </c>
      <c r="D155" s="1">
        <v>45919</v>
      </c>
      <c r="E155" s="445"/>
      <c r="F155" s="445"/>
      <c r="G155" s="2">
        <f t="shared" si="18"/>
        <v>635000</v>
      </c>
      <c r="H155" s="2">
        <f t="shared" si="19"/>
        <v>43782.75</v>
      </c>
      <c r="K155" s="38" t="s">
        <v>109</v>
      </c>
      <c r="L155" s="6" t="s">
        <v>122</v>
      </c>
      <c r="M155" s="6" t="str">
        <f t="shared" si="21"/>
        <v>확인</v>
      </c>
      <c r="N155" s="34">
        <v>100</v>
      </c>
      <c r="O155" s="212">
        <v>6350</v>
      </c>
      <c r="P155" s="195">
        <v>45838</v>
      </c>
      <c r="Q155" s="8" t="s">
        <v>113</v>
      </c>
      <c r="R155" s="212">
        <v>6800</v>
      </c>
      <c r="S155" s="8">
        <v>45919</v>
      </c>
      <c r="T155" s="2">
        <f t="shared" si="20"/>
        <v>1217.25</v>
      </c>
    </row>
    <row r="156" spans="3:20" x14ac:dyDescent="0.4">
      <c r="C156" s="1">
        <v>45807</v>
      </c>
      <c r="D156" s="1">
        <v>45919</v>
      </c>
      <c r="E156" s="445"/>
      <c r="F156" s="445"/>
      <c r="G156" s="2">
        <f t="shared" si="18"/>
        <v>635000</v>
      </c>
      <c r="H156" s="2">
        <f t="shared" si="19"/>
        <v>43782.75</v>
      </c>
      <c r="K156" s="38" t="s">
        <v>109</v>
      </c>
      <c r="L156" s="6" t="s">
        <v>122</v>
      </c>
      <c r="M156" s="6" t="str">
        <f t="shared" si="21"/>
        <v>확인</v>
      </c>
      <c r="N156" s="34">
        <v>100</v>
      </c>
      <c r="O156" s="212">
        <v>6350</v>
      </c>
      <c r="P156" s="195">
        <v>45839</v>
      </c>
      <c r="Q156" s="8" t="s">
        <v>113</v>
      </c>
      <c r="R156" s="212">
        <v>6800</v>
      </c>
      <c r="S156" s="8">
        <v>45919</v>
      </c>
      <c r="T156" s="2">
        <f t="shared" si="20"/>
        <v>1217.25</v>
      </c>
    </row>
    <row r="157" spans="3:20" x14ac:dyDescent="0.4">
      <c r="C157" s="1">
        <v>45807</v>
      </c>
      <c r="D157" s="1">
        <v>45919</v>
      </c>
      <c r="E157" s="445"/>
      <c r="F157" s="445"/>
      <c r="G157" s="2">
        <f t="shared" si="18"/>
        <v>314000</v>
      </c>
      <c r="H157" s="2">
        <f t="shared" si="19"/>
        <v>25391.9</v>
      </c>
      <c r="K157" s="38" t="s">
        <v>109</v>
      </c>
      <c r="L157" s="6" t="s">
        <v>122</v>
      </c>
      <c r="M157" s="6" t="str">
        <f t="shared" si="21"/>
        <v>확인</v>
      </c>
      <c r="N157" s="34">
        <v>50</v>
      </c>
      <c r="O157" s="212">
        <v>6280</v>
      </c>
      <c r="P157" s="195">
        <v>45839</v>
      </c>
      <c r="Q157" s="8" t="s">
        <v>113</v>
      </c>
      <c r="R157" s="212">
        <v>6800</v>
      </c>
      <c r="S157" s="8">
        <v>45919</v>
      </c>
      <c r="T157" s="2">
        <f t="shared" si="20"/>
        <v>608.1</v>
      </c>
    </row>
    <row r="158" spans="3:20" x14ac:dyDescent="0.4">
      <c r="C158" s="1">
        <v>45807</v>
      </c>
      <c r="D158" s="1">
        <v>45919</v>
      </c>
      <c r="E158" s="445"/>
      <c r="F158" s="445"/>
      <c r="G158" s="2">
        <f t="shared" si="18"/>
        <v>312500</v>
      </c>
      <c r="H158" s="2">
        <f t="shared" si="19"/>
        <v>26892.125</v>
      </c>
      <c r="K158" s="38" t="s">
        <v>109</v>
      </c>
      <c r="L158" s="6" t="s">
        <v>122</v>
      </c>
      <c r="M158" s="6" t="str">
        <f t="shared" si="21"/>
        <v>확인</v>
      </c>
      <c r="N158" s="34">
        <v>50</v>
      </c>
      <c r="O158" s="212">
        <v>6250</v>
      </c>
      <c r="P158" s="195">
        <v>45839</v>
      </c>
      <c r="Q158" s="8" t="s">
        <v>113</v>
      </c>
      <c r="R158" s="212">
        <v>6800</v>
      </c>
      <c r="S158" s="8">
        <v>45919</v>
      </c>
      <c r="T158" s="2">
        <f t="shared" si="20"/>
        <v>607.875</v>
      </c>
    </row>
    <row r="159" spans="3:20" x14ac:dyDescent="0.4">
      <c r="C159" s="1">
        <v>45807</v>
      </c>
      <c r="D159" s="1">
        <v>45919</v>
      </c>
      <c r="E159" s="445"/>
      <c r="F159" s="445"/>
      <c r="G159" s="2">
        <f t="shared" si="18"/>
        <v>246000</v>
      </c>
      <c r="H159" s="2">
        <f t="shared" si="19"/>
        <v>25514.3</v>
      </c>
      <c r="K159" s="38" t="s">
        <v>109</v>
      </c>
      <c r="L159" s="6" t="s">
        <v>122</v>
      </c>
      <c r="M159" s="6" t="str">
        <f t="shared" si="21"/>
        <v>확인</v>
      </c>
      <c r="N159" s="34">
        <v>40</v>
      </c>
      <c r="O159" s="212">
        <v>6150</v>
      </c>
      <c r="P159" s="195">
        <v>45842</v>
      </c>
      <c r="Q159" s="8" t="s">
        <v>113</v>
      </c>
      <c r="R159" s="212">
        <v>6800</v>
      </c>
      <c r="S159" s="8">
        <v>45919</v>
      </c>
      <c r="T159" s="2">
        <f t="shared" si="20"/>
        <v>485.7</v>
      </c>
    </row>
    <row r="160" spans="3:20" x14ac:dyDescent="0.4">
      <c r="C160" s="1">
        <v>45807</v>
      </c>
      <c r="D160" s="1">
        <v>45919</v>
      </c>
      <c r="E160" s="445"/>
      <c r="F160" s="445"/>
      <c r="G160" s="2">
        <f t="shared" si="18"/>
        <v>623000</v>
      </c>
      <c r="H160" s="2">
        <f t="shared" si="19"/>
        <v>55784.55</v>
      </c>
      <c r="K160" s="38" t="s">
        <v>109</v>
      </c>
      <c r="L160" s="6" t="s">
        <v>122</v>
      </c>
      <c r="M160" s="6" t="str">
        <f t="shared" si="21"/>
        <v>확인</v>
      </c>
      <c r="N160" s="34">
        <v>100</v>
      </c>
      <c r="O160" s="212">
        <v>6230</v>
      </c>
      <c r="P160" s="195">
        <v>45849</v>
      </c>
      <c r="Q160" s="8" t="s">
        <v>113</v>
      </c>
      <c r="R160" s="212">
        <v>6800</v>
      </c>
      <c r="S160" s="8">
        <v>45919</v>
      </c>
      <c r="T160" s="2">
        <f t="shared" si="20"/>
        <v>1215.45</v>
      </c>
    </row>
    <row r="161" spans="2:20" x14ac:dyDescent="0.4">
      <c r="C161" s="1">
        <v>45807</v>
      </c>
      <c r="D161" s="1">
        <v>45919</v>
      </c>
      <c r="E161" s="445"/>
      <c r="F161" s="445"/>
      <c r="G161" s="2">
        <f t="shared" si="18"/>
        <v>310000</v>
      </c>
      <c r="H161" s="2">
        <f t="shared" si="19"/>
        <v>29392.5</v>
      </c>
      <c r="K161" s="38" t="s">
        <v>109</v>
      </c>
      <c r="L161" s="6" t="s">
        <v>122</v>
      </c>
      <c r="M161" s="6" t="str">
        <f t="shared" si="21"/>
        <v>확인</v>
      </c>
      <c r="N161" s="34">
        <v>50</v>
      </c>
      <c r="O161" s="212">
        <v>6200</v>
      </c>
      <c r="P161" s="195">
        <v>45852</v>
      </c>
      <c r="Q161" s="8" t="s">
        <v>113</v>
      </c>
      <c r="R161" s="212">
        <v>6800</v>
      </c>
      <c r="S161" s="8">
        <v>45919</v>
      </c>
      <c r="T161" s="2">
        <f t="shared" si="20"/>
        <v>607.5</v>
      </c>
    </row>
    <row r="162" spans="2:20" x14ac:dyDescent="0.4">
      <c r="C162" s="1">
        <v>45807</v>
      </c>
      <c r="D162" s="1">
        <v>45919</v>
      </c>
      <c r="E162" s="445"/>
      <c r="F162" s="445"/>
      <c r="G162" s="2">
        <f t="shared" si="18"/>
        <v>166500</v>
      </c>
      <c r="H162" s="2">
        <f t="shared" si="19"/>
        <v>37138.425000000003</v>
      </c>
      <c r="K162" s="38" t="s">
        <v>109</v>
      </c>
      <c r="L162" s="6" t="s">
        <v>122</v>
      </c>
      <c r="M162" s="6" t="str">
        <f t="shared" si="21"/>
        <v>확인</v>
      </c>
      <c r="N162" s="34">
        <v>30</v>
      </c>
      <c r="O162" s="212">
        <v>5550</v>
      </c>
      <c r="P162" s="195">
        <v>45894</v>
      </c>
      <c r="Q162" s="8" t="s">
        <v>113</v>
      </c>
      <c r="R162" s="212">
        <v>6800</v>
      </c>
      <c r="S162" s="8">
        <v>45919</v>
      </c>
      <c r="T162" s="2">
        <f t="shared" si="20"/>
        <v>361.57500000000005</v>
      </c>
    </row>
    <row r="163" spans="2:20" x14ac:dyDescent="0.4">
      <c r="C163" t="s">
        <v>654</v>
      </c>
      <c r="D163" s="1">
        <v>45922</v>
      </c>
      <c r="E163" s="254">
        <v>780000</v>
      </c>
      <c r="F163" s="2">
        <v>18887</v>
      </c>
      <c r="G163" s="2"/>
      <c r="H163" s="2"/>
    </row>
    <row r="164" spans="2:20" x14ac:dyDescent="0.4">
      <c r="C164" s="1">
        <v>45807</v>
      </c>
      <c r="D164" s="1">
        <v>45926</v>
      </c>
      <c r="E164" s="444">
        <v>200000</v>
      </c>
      <c r="F164" s="444">
        <v>10410</v>
      </c>
      <c r="G164" s="2">
        <f t="shared" ref="G164:G178" si="22">N164*O164</f>
        <v>93000</v>
      </c>
      <c r="H164" s="2">
        <f t="shared" ref="H164:H178" si="23">N164*R164-G164-T164</f>
        <v>-6157.5</v>
      </c>
      <c r="K164" s="38" t="s">
        <v>135</v>
      </c>
      <c r="L164" s="6" t="s">
        <v>122</v>
      </c>
      <c r="M164" s="6" t="str">
        <f t="shared" ref="M164:M170" si="24">IF(OR($C163="신한",$C163="OTC",$C163="무상증자(신한)",$C163="토스",$C163="R토스"),1,"확인")</f>
        <v>확인</v>
      </c>
      <c r="N164" s="34">
        <v>3</v>
      </c>
      <c r="O164" s="212">
        <v>31000</v>
      </c>
      <c r="P164" s="195">
        <v>45812</v>
      </c>
      <c r="Q164" s="8" t="s">
        <v>113</v>
      </c>
      <c r="R164" s="212">
        <v>29000</v>
      </c>
      <c r="S164" s="8">
        <v>45925</v>
      </c>
      <c r="T164" s="2">
        <f t="shared" ref="T164:T178" si="25">N164*O164*0.00015+R164*N164*(0.00015+0.0015)</f>
        <v>157.5</v>
      </c>
    </row>
    <row r="165" spans="2:20" x14ac:dyDescent="0.4">
      <c r="C165" s="1">
        <v>45807</v>
      </c>
      <c r="D165" s="1">
        <v>45926</v>
      </c>
      <c r="E165" s="445"/>
      <c r="F165" s="445"/>
      <c r="G165" s="2">
        <f t="shared" si="22"/>
        <v>305000</v>
      </c>
      <c r="H165" s="2">
        <f t="shared" si="23"/>
        <v>-15524.25</v>
      </c>
      <c r="K165" s="38" t="s">
        <v>135</v>
      </c>
      <c r="L165" s="6" t="s">
        <v>122</v>
      </c>
      <c r="M165" s="6" t="str">
        <f t="shared" si="24"/>
        <v>확인</v>
      </c>
      <c r="N165" s="34">
        <v>10</v>
      </c>
      <c r="O165" s="212">
        <v>30500</v>
      </c>
      <c r="P165" s="195">
        <v>45812</v>
      </c>
      <c r="Q165" s="8" t="s">
        <v>113</v>
      </c>
      <c r="R165" s="212">
        <v>29000</v>
      </c>
      <c r="S165" s="8">
        <v>45925</v>
      </c>
      <c r="T165" s="2">
        <f t="shared" si="25"/>
        <v>524.25</v>
      </c>
    </row>
    <row r="166" spans="2:20" x14ac:dyDescent="0.4">
      <c r="C166" s="1">
        <v>45807</v>
      </c>
      <c r="D166" s="1">
        <v>45926</v>
      </c>
      <c r="E166" s="445"/>
      <c r="F166" s="445"/>
      <c r="G166" s="2">
        <f t="shared" si="22"/>
        <v>85500</v>
      </c>
      <c r="H166" s="2">
        <f t="shared" si="23"/>
        <v>1343.625</v>
      </c>
      <c r="K166" s="38" t="s">
        <v>135</v>
      </c>
      <c r="L166" s="6" t="s">
        <v>122</v>
      </c>
      <c r="M166" s="6" t="str">
        <f t="shared" si="24"/>
        <v>확인</v>
      </c>
      <c r="N166" s="34">
        <v>3</v>
      </c>
      <c r="O166" s="212">
        <v>28500</v>
      </c>
      <c r="P166" s="195">
        <v>45813</v>
      </c>
      <c r="Q166" s="8" t="s">
        <v>113</v>
      </c>
      <c r="R166" s="212">
        <v>29000</v>
      </c>
      <c r="S166" s="8">
        <v>45925</v>
      </c>
      <c r="T166" s="2">
        <f t="shared" si="25"/>
        <v>156.375</v>
      </c>
    </row>
    <row r="167" spans="2:20" x14ac:dyDescent="0.4">
      <c r="C167" s="1">
        <v>45807</v>
      </c>
      <c r="D167" s="1">
        <v>45926</v>
      </c>
      <c r="E167" s="445"/>
      <c r="F167" s="445"/>
      <c r="G167" s="2">
        <f t="shared" si="22"/>
        <v>53400</v>
      </c>
      <c r="H167" s="2">
        <f t="shared" si="23"/>
        <v>4496.29</v>
      </c>
      <c r="K167" s="38" t="s">
        <v>135</v>
      </c>
      <c r="L167" s="6" t="s">
        <v>122</v>
      </c>
      <c r="M167" s="6" t="str">
        <f t="shared" si="24"/>
        <v>확인</v>
      </c>
      <c r="N167" s="34">
        <v>2</v>
      </c>
      <c r="O167" s="212">
        <v>26700</v>
      </c>
      <c r="P167" s="195">
        <v>45817</v>
      </c>
      <c r="Q167" s="8" t="s">
        <v>113</v>
      </c>
      <c r="R167" s="212">
        <v>29000</v>
      </c>
      <c r="S167" s="8">
        <v>45925</v>
      </c>
      <c r="T167" s="2">
        <f t="shared" si="25"/>
        <v>103.71000000000001</v>
      </c>
    </row>
    <row r="168" spans="2:20" x14ac:dyDescent="0.4">
      <c r="C168" s="1">
        <v>45807</v>
      </c>
      <c r="D168" s="1">
        <v>45926</v>
      </c>
      <c r="E168" s="445"/>
      <c r="F168" s="445"/>
      <c r="G168" s="2">
        <f t="shared" si="22"/>
        <v>54000</v>
      </c>
      <c r="H168" s="2">
        <f t="shared" si="23"/>
        <v>3896.2</v>
      </c>
      <c r="K168" s="38" t="s">
        <v>135</v>
      </c>
      <c r="L168" s="6" t="s">
        <v>122</v>
      </c>
      <c r="M168" s="6" t="str">
        <f t="shared" si="24"/>
        <v>확인</v>
      </c>
      <c r="N168" s="34">
        <v>2</v>
      </c>
      <c r="O168" s="212">
        <v>27000</v>
      </c>
      <c r="P168" s="195">
        <v>45818</v>
      </c>
      <c r="Q168" s="8" t="s">
        <v>113</v>
      </c>
      <c r="R168" s="212">
        <v>29000</v>
      </c>
      <c r="S168" s="8">
        <v>45925</v>
      </c>
      <c r="T168" s="2">
        <f t="shared" si="25"/>
        <v>103.8</v>
      </c>
    </row>
    <row r="169" spans="2:20" x14ac:dyDescent="0.4">
      <c r="C169" s="1">
        <v>45807</v>
      </c>
      <c r="D169" s="1">
        <v>45926</v>
      </c>
      <c r="E169" s="445"/>
      <c r="F169" s="445"/>
      <c r="G169" s="2">
        <f t="shared" si="22"/>
        <v>685000</v>
      </c>
      <c r="H169" s="2">
        <f t="shared" si="23"/>
        <v>38701</v>
      </c>
      <c r="K169" s="38" t="s">
        <v>135</v>
      </c>
      <c r="L169" s="6" t="s">
        <v>122</v>
      </c>
      <c r="M169" s="6" t="str">
        <f t="shared" si="24"/>
        <v>확인</v>
      </c>
      <c r="N169" s="34">
        <v>25</v>
      </c>
      <c r="O169" s="212">
        <v>27400</v>
      </c>
      <c r="P169" s="195">
        <v>45818</v>
      </c>
      <c r="Q169" s="8" t="s">
        <v>113</v>
      </c>
      <c r="R169" s="212">
        <v>29000</v>
      </c>
      <c r="S169" s="8">
        <v>45925</v>
      </c>
      <c r="T169" s="2">
        <f t="shared" si="25"/>
        <v>1299</v>
      </c>
    </row>
    <row r="170" spans="2:20" x14ac:dyDescent="0.4">
      <c r="C170" s="1">
        <v>45807</v>
      </c>
      <c r="D170" s="1">
        <v>45926</v>
      </c>
      <c r="E170" s="445"/>
      <c r="F170" s="445"/>
      <c r="G170" s="2">
        <f t="shared" si="22"/>
        <v>544000</v>
      </c>
      <c r="H170" s="2">
        <f t="shared" si="23"/>
        <v>34961.4</v>
      </c>
      <c r="K170" s="38" t="s">
        <v>135</v>
      </c>
      <c r="L170" s="6" t="s">
        <v>122</v>
      </c>
      <c r="M170" s="6" t="str">
        <f t="shared" si="24"/>
        <v>확인</v>
      </c>
      <c r="N170" s="34">
        <v>20</v>
      </c>
      <c r="O170" s="212">
        <v>27200</v>
      </c>
      <c r="P170" s="195">
        <v>45818</v>
      </c>
      <c r="Q170" s="8" t="s">
        <v>113</v>
      </c>
      <c r="R170" s="212">
        <v>29000</v>
      </c>
      <c r="S170" s="8">
        <v>45925</v>
      </c>
      <c r="T170" s="2">
        <f t="shared" si="25"/>
        <v>1038.5999999999999</v>
      </c>
    </row>
    <row r="171" spans="2:20" x14ac:dyDescent="0.4">
      <c r="C171" s="1">
        <v>45807</v>
      </c>
      <c r="D171" s="1">
        <v>45926</v>
      </c>
      <c r="E171" s="445"/>
      <c r="F171" s="445"/>
      <c r="G171" s="2">
        <f t="shared" si="22"/>
        <v>556000</v>
      </c>
      <c r="H171" s="2">
        <f t="shared" si="23"/>
        <v>22959.599999999999</v>
      </c>
      <c r="K171" s="38" t="s">
        <v>135</v>
      </c>
      <c r="L171" s="6" t="s">
        <v>122</v>
      </c>
      <c r="M171" s="6" t="str">
        <f>IF(OR($C174="신한",$C174="OTC",$C174="무상증자(신한)",$C174="토스",$C174="R토스"),1,"확인")</f>
        <v>확인</v>
      </c>
      <c r="N171" s="34">
        <v>20</v>
      </c>
      <c r="O171" s="212">
        <v>27800</v>
      </c>
      <c r="P171" s="195">
        <v>45827</v>
      </c>
      <c r="Q171" s="8" t="s">
        <v>113</v>
      </c>
      <c r="R171" s="212">
        <v>29000</v>
      </c>
      <c r="S171" s="8">
        <v>45925</v>
      </c>
      <c r="T171" s="2">
        <f t="shared" si="25"/>
        <v>1040.4000000000001</v>
      </c>
    </row>
    <row r="172" spans="2:20" x14ac:dyDescent="0.4">
      <c r="C172" s="1">
        <v>45807</v>
      </c>
      <c r="D172" s="1">
        <v>45926</v>
      </c>
      <c r="E172" s="445"/>
      <c r="F172" s="445"/>
      <c r="G172" s="2">
        <f t="shared" si="22"/>
        <v>123000</v>
      </c>
      <c r="H172" s="2">
        <f t="shared" si="23"/>
        <v>21742.3</v>
      </c>
      <c r="K172" s="38" t="s">
        <v>135</v>
      </c>
      <c r="L172" s="6" t="s">
        <v>122</v>
      </c>
      <c r="M172" s="6" t="str">
        <f>IF(OR($C171="신한",$C171="OTC",$C171="무상증자(신한)",$C171="토스",$C171="R토스"),1,"확인")</f>
        <v>확인</v>
      </c>
      <c r="N172" s="34">
        <v>5</v>
      </c>
      <c r="O172" s="212">
        <v>24600</v>
      </c>
      <c r="P172" s="195">
        <v>45848</v>
      </c>
      <c r="Q172" s="8" t="s">
        <v>113</v>
      </c>
      <c r="R172" s="212">
        <v>29000</v>
      </c>
      <c r="S172" s="8">
        <v>45925</v>
      </c>
      <c r="T172" s="2">
        <f t="shared" si="25"/>
        <v>257.7</v>
      </c>
    </row>
    <row r="173" spans="2:20" x14ac:dyDescent="0.4">
      <c r="C173" s="1">
        <v>45807</v>
      </c>
      <c r="D173" s="1">
        <v>45926</v>
      </c>
      <c r="E173" s="445"/>
      <c r="F173" s="445"/>
      <c r="G173" s="2">
        <f t="shared" si="22"/>
        <v>255000</v>
      </c>
      <c r="H173" s="2">
        <f t="shared" si="23"/>
        <v>34483.25</v>
      </c>
      <c r="K173" s="38" t="s">
        <v>135</v>
      </c>
      <c r="L173" s="6" t="s">
        <v>122</v>
      </c>
      <c r="M173" s="6" t="str">
        <f>IF(OR($C172="신한",$C172="OTC",$C172="무상증자(신한)",$C172="토스",$C172="R토스"),1,"확인")</f>
        <v>확인</v>
      </c>
      <c r="N173" s="34">
        <v>10</v>
      </c>
      <c r="O173" s="212">
        <v>25500</v>
      </c>
      <c r="P173" s="195">
        <v>45852</v>
      </c>
      <c r="Q173" s="8" t="s">
        <v>113</v>
      </c>
      <c r="R173" s="212">
        <v>29000</v>
      </c>
      <c r="S173" s="8">
        <v>45925</v>
      </c>
      <c r="T173" s="2">
        <f t="shared" si="25"/>
        <v>516.75</v>
      </c>
    </row>
    <row r="174" spans="2:20" x14ac:dyDescent="0.4">
      <c r="C174" s="1">
        <v>45807</v>
      </c>
      <c r="D174" s="1">
        <v>45926</v>
      </c>
      <c r="E174" s="2">
        <v>464000</v>
      </c>
      <c r="F174" s="2">
        <v>0</v>
      </c>
      <c r="G174" s="2">
        <f t="shared" si="22"/>
        <v>2745000</v>
      </c>
      <c r="H174" s="2">
        <f t="shared" si="23"/>
        <v>414366</v>
      </c>
      <c r="K174" s="38" t="s">
        <v>135</v>
      </c>
      <c r="L174" s="6" t="s">
        <v>122</v>
      </c>
      <c r="M174" s="6" t="str">
        <f>IF(OR($C170="신한",$C170="OTC",$C170="무상증자(신한)",$C170="토스",$C170="R토스"),1,"확인")</f>
        <v>확인</v>
      </c>
      <c r="N174" s="34">
        <v>100</v>
      </c>
      <c r="O174" s="212">
        <v>27450</v>
      </c>
      <c r="P174" s="195">
        <v>45819</v>
      </c>
      <c r="Q174" s="8" t="s">
        <v>113</v>
      </c>
      <c r="R174" s="212">
        <v>31650</v>
      </c>
      <c r="S174" s="8">
        <v>45926</v>
      </c>
      <c r="T174" s="2">
        <f t="shared" si="25"/>
        <v>5634</v>
      </c>
    </row>
    <row r="175" spans="2:20" x14ac:dyDescent="0.4">
      <c r="B175">
        <v>913285</v>
      </c>
      <c r="C175" s="1">
        <v>45807</v>
      </c>
      <c r="D175" s="1">
        <v>45931</v>
      </c>
      <c r="E175" s="444">
        <v>900700</v>
      </c>
      <c r="F175" s="444">
        <v>12558</v>
      </c>
      <c r="G175" s="2">
        <f t="shared" si="22"/>
        <v>255000</v>
      </c>
      <c r="H175" s="2">
        <f t="shared" si="23"/>
        <v>99875.175000000003</v>
      </c>
      <c r="K175" s="38" t="s">
        <v>135</v>
      </c>
      <c r="L175" s="6" t="s">
        <v>122</v>
      </c>
      <c r="M175" s="6" t="str">
        <f>IF(OR($C173="신한",$C173="OTC",$C173="무상증자(신한)",$C173="토스",$C173="R토스"),1,"확인")</f>
        <v>확인</v>
      </c>
      <c r="N175" s="34">
        <v>10</v>
      </c>
      <c r="O175" s="212">
        <v>25500</v>
      </c>
      <c r="P175" s="195">
        <v>45852</v>
      </c>
      <c r="Q175" s="8" t="s">
        <v>113</v>
      </c>
      <c r="R175" s="212">
        <v>35550</v>
      </c>
      <c r="S175" s="8">
        <v>45931</v>
      </c>
      <c r="T175" s="2">
        <f t="shared" si="25"/>
        <v>624.82500000000005</v>
      </c>
    </row>
    <row r="176" spans="2:20" x14ac:dyDescent="0.4">
      <c r="C176" s="1">
        <v>45807</v>
      </c>
      <c r="D176" s="1">
        <v>45931</v>
      </c>
      <c r="E176" s="445"/>
      <c r="F176" s="445"/>
      <c r="G176" s="2">
        <f t="shared" si="22"/>
        <v>169400</v>
      </c>
      <c r="H176" s="2">
        <f t="shared" si="23"/>
        <v>79013.987500000003</v>
      </c>
      <c r="K176" s="38" t="s">
        <v>135</v>
      </c>
      <c r="L176" s="6" t="s">
        <v>122</v>
      </c>
      <c r="M176" s="6" t="str">
        <f>IF(OR($C175="신한",$C175="OTC",$C175="무상증자(신한)",$C175="토스",$C175="R토스"),1,"확인")</f>
        <v>확인</v>
      </c>
      <c r="N176" s="34">
        <v>7</v>
      </c>
      <c r="O176" s="212">
        <v>24200</v>
      </c>
      <c r="P176" s="195">
        <v>45894</v>
      </c>
      <c r="Q176" s="8" t="s">
        <v>113</v>
      </c>
      <c r="R176" s="212">
        <v>35550</v>
      </c>
      <c r="S176" s="8">
        <v>45931</v>
      </c>
      <c r="T176" s="2">
        <f t="shared" si="25"/>
        <v>436.01250000000005</v>
      </c>
    </row>
    <row r="177" spans="3:20" x14ac:dyDescent="0.4">
      <c r="C177" s="1">
        <v>45807</v>
      </c>
      <c r="D177" s="1">
        <v>45931</v>
      </c>
      <c r="E177" s="445"/>
      <c r="F177" s="445"/>
      <c r="G177" s="2">
        <f t="shared" si="22"/>
        <v>255000</v>
      </c>
      <c r="H177" s="2">
        <f t="shared" si="23"/>
        <v>99875.175000000003</v>
      </c>
      <c r="K177" s="38" t="s">
        <v>135</v>
      </c>
      <c r="L177" s="6" t="s">
        <v>122</v>
      </c>
      <c r="M177" s="6" t="str">
        <f>IF(OR($C176="신한",$C176="OTC",$C176="무상증자(신한)",$C176="토스",$C176="R토스"),1,"확인")</f>
        <v>확인</v>
      </c>
      <c r="N177" s="34">
        <v>10</v>
      </c>
      <c r="O177" s="212">
        <v>25500</v>
      </c>
      <c r="P177" s="195">
        <v>45922</v>
      </c>
      <c r="Q177" s="8" t="s">
        <v>113</v>
      </c>
      <c r="R177" s="212">
        <v>35550</v>
      </c>
      <c r="S177" s="8">
        <v>45931</v>
      </c>
      <c r="T177" s="2">
        <f t="shared" si="25"/>
        <v>624.82500000000005</v>
      </c>
    </row>
    <row r="178" spans="3:20" x14ac:dyDescent="0.4">
      <c r="C178" s="1">
        <v>45807</v>
      </c>
      <c r="D178" s="1">
        <v>45931</v>
      </c>
      <c r="E178" s="445"/>
      <c r="F178" s="445"/>
      <c r="G178" s="2">
        <f t="shared" si="22"/>
        <v>2096000</v>
      </c>
      <c r="H178" s="2">
        <f t="shared" si="23"/>
        <v>742993</v>
      </c>
      <c r="K178" s="38" t="s">
        <v>135</v>
      </c>
      <c r="L178" s="6" t="s">
        <v>122</v>
      </c>
      <c r="M178" s="6" t="str">
        <f>IF(OR($C177="신한",$C177="OTC",$C177="무상증자(신한)",$C177="토스",$C177="R토스"),1,"확인")</f>
        <v>확인</v>
      </c>
      <c r="N178" s="34">
        <v>80</v>
      </c>
      <c r="O178" s="212">
        <v>26200</v>
      </c>
      <c r="P178" s="195">
        <v>45923</v>
      </c>
      <c r="Q178" s="8" t="s">
        <v>113</v>
      </c>
      <c r="R178" s="212">
        <v>35550</v>
      </c>
      <c r="S178" s="8">
        <v>45931</v>
      </c>
      <c r="T178" s="2">
        <f t="shared" si="25"/>
        <v>5007</v>
      </c>
    </row>
    <row r="179" spans="3:20" x14ac:dyDescent="0.4">
      <c r="C179" t="s">
        <v>653</v>
      </c>
      <c r="D179" s="1">
        <v>45925</v>
      </c>
      <c r="E179" s="2"/>
      <c r="F179" s="2">
        <f>13165-7812</f>
        <v>5353</v>
      </c>
      <c r="G179" s="2"/>
      <c r="H179" s="2"/>
      <c r="T179" s="2"/>
    </row>
    <row r="180" spans="3:20" x14ac:dyDescent="0.4">
      <c r="C180" s="1">
        <v>45807</v>
      </c>
      <c r="D180" s="1">
        <v>45940</v>
      </c>
      <c r="E180" s="444">
        <v>100000</v>
      </c>
      <c r="F180" s="444">
        <v>21495</v>
      </c>
      <c r="G180" s="2">
        <f>N180*O180</f>
        <v>1310000</v>
      </c>
      <c r="H180" s="2">
        <f>N180*R180-G180-T180</f>
        <v>47559.5</v>
      </c>
      <c r="K180" s="38" t="s">
        <v>145</v>
      </c>
      <c r="L180" s="6" t="s">
        <v>122</v>
      </c>
      <c r="M180" s="6" t="str">
        <f>IF(OR($C180="신한",$C180="OTC",$C180="무상증자(신한)",$C180="토스",$C180="R토스"),1,"확인")</f>
        <v>확인</v>
      </c>
      <c r="N180" s="34">
        <v>20</v>
      </c>
      <c r="O180" s="212">
        <v>65500</v>
      </c>
      <c r="P180" s="195">
        <v>45833</v>
      </c>
      <c r="Q180" s="8" t="s">
        <v>113</v>
      </c>
      <c r="R180" s="212">
        <v>68000</v>
      </c>
      <c r="S180" s="8">
        <v>45940</v>
      </c>
      <c r="T180" s="2">
        <f>N180*O180*0.00015+R180*N180*(0.00015+0.0015)</f>
        <v>2440.5</v>
      </c>
    </row>
    <row r="181" spans="3:20" x14ac:dyDescent="0.4">
      <c r="C181" s="1">
        <v>45807</v>
      </c>
      <c r="D181" s="1">
        <v>45940</v>
      </c>
      <c r="E181" s="445"/>
      <c r="F181" s="445"/>
      <c r="G181" s="2">
        <f>N181*O181</f>
        <v>381000</v>
      </c>
      <c r="H181" s="2">
        <f>N181*R181-G181-T181</f>
        <v>26269.65</v>
      </c>
      <c r="K181" s="38" t="s">
        <v>145</v>
      </c>
      <c r="L181" s="6" t="s">
        <v>122</v>
      </c>
      <c r="M181" s="6" t="str">
        <f>IF(OR($C181="신한",$C181="OTC",$C181="무상증자(신한)",$C181="토스",$C181="R토스"),1,"확인")</f>
        <v>확인</v>
      </c>
      <c r="N181" s="34">
        <v>6</v>
      </c>
      <c r="O181" s="212">
        <v>63500</v>
      </c>
      <c r="P181" s="195">
        <v>45834</v>
      </c>
      <c r="Q181" s="8" t="s">
        <v>113</v>
      </c>
      <c r="R181" s="212">
        <v>68000</v>
      </c>
      <c r="S181" s="8">
        <v>45940</v>
      </c>
      <c r="T181" s="2">
        <f>N181*O181*0.00015+R181*N181*(0.00015+0.0015)</f>
        <v>730.35</v>
      </c>
    </row>
    <row r="182" spans="3:20" x14ac:dyDescent="0.4">
      <c r="C182" s="1">
        <v>45807</v>
      </c>
      <c r="D182" s="1">
        <v>45940</v>
      </c>
      <c r="E182" s="445"/>
      <c r="F182" s="445"/>
      <c r="G182" s="2">
        <f>N182*O182</f>
        <v>466200</v>
      </c>
      <c r="H182" s="2">
        <f>N182*R182-G182-T182</f>
        <v>8944.67</v>
      </c>
      <c r="K182" s="38" t="s">
        <v>145</v>
      </c>
      <c r="L182" s="6" t="s">
        <v>122</v>
      </c>
      <c r="M182" s="6" t="str">
        <f>IF(OR($C182="신한",$C182="OTC",$C182="무상증자(신한)",$C182="토스",$C182="R토스"),1,"확인")</f>
        <v>확인</v>
      </c>
      <c r="N182" s="34">
        <v>7</v>
      </c>
      <c r="O182" s="212">
        <v>66600</v>
      </c>
      <c r="P182" s="195">
        <v>45839</v>
      </c>
      <c r="Q182" s="8" t="s">
        <v>113</v>
      </c>
      <c r="R182" s="212">
        <v>68000</v>
      </c>
      <c r="S182" s="8">
        <v>45940</v>
      </c>
      <c r="T182" s="2">
        <f>N182*O182*0.00015+R182*N182*(0.00015+0.0015)</f>
        <v>855.32999999999993</v>
      </c>
    </row>
    <row r="183" spans="3:20" x14ac:dyDescent="0.4">
      <c r="C183" s="1">
        <v>45807</v>
      </c>
      <c r="D183" s="1">
        <v>45940</v>
      </c>
      <c r="E183" s="445"/>
      <c r="F183" s="445"/>
      <c r="G183" s="2">
        <f>N183*O183</f>
        <v>119400</v>
      </c>
      <c r="H183" s="2">
        <f>N183*R183-G183-T183</f>
        <v>16357.69</v>
      </c>
      <c r="K183" s="38" t="s">
        <v>145</v>
      </c>
      <c r="L183" s="6" t="s">
        <v>122</v>
      </c>
      <c r="M183" s="6" t="str">
        <f>IF(OR($C183="신한",$C183="OTC",$C183="무상증자(신한)",$C183="토스",$C183="R토스"),1,"확인")</f>
        <v>확인</v>
      </c>
      <c r="N183" s="34">
        <v>2</v>
      </c>
      <c r="O183" s="212">
        <v>59700</v>
      </c>
      <c r="P183" s="195">
        <v>45842</v>
      </c>
      <c r="Q183" s="8" t="s">
        <v>113</v>
      </c>
      <c r="R183" s="212">
        <v>68000</v>
      </c>
      <c r="S183" s="8">
        <v>45940</v>
      </c>
      <c r="T183" s="2">
        <f>N183*O183*0.00015+R183*N183*(0.00015+0.0015)</f>
        <v>242.31</v>
      </c>
    </row>
    <row r="184" spans="3:20" x14ac:dyDescent="0.4">
      <c r="C184" t="s">
        <v>654</v>
      </c>
      <c r="D184" s="1">
        <v>45940</v>
      </c>
      <c r="E184" s="2">
        <v>455100</v>
      </c>
      <c r="F184" s="2">
        <v>0</v>
      </c>
    </row>
    <row r="185" spans="3:20" x14ac:dyDescent="0.4">
      <c r="C185" t="s">
        <v>654</v>
      </c>
      <c r="D185" s="1">
        <v>45945</v>
      </c>
      <c r="E185" s="2">
        <v>520000</v>
      </c>
      <c r="F185" s="2">
        <v>47280</v>
      </c>
    </row>
    <row r="186" spans="3:20" x14ac:dyDescent="0.4">
      <c r="C186" t="s">
        <v>654</v>
      </c>
      <c r="D186" s="1">
        <v>45950</v>
      </c>
      <c r="E186" s="2">
        <v>72300</v>
      </c>
      <c r="F186" s="2">
        <v>11219</v>
      </c>
    </row>
    <row r="187" spans="3:20" x14ac:dyDescent="0.4">
      <c r="C187" t="s">
        <v>654</v>
      </c>
      <c r="D187" s="1">
        <v>45957</v>
      </c>
      <c r="E187" s="2">
        <v>315000</v>
      </c>
      <c r="F187" s="2">
        <v>15637</v>
      </c>
    </row>
    <row r="188" spans="3:20" x14ac:dyDescent="0.4">
      <c r="C188" t="s">
        <v>653</v>
      </c>
      <c r="D188" s="1">
        <v>45957</v>
      </c>
      <c r="E188" s="2"/>
      <c r="F188" s="2">
        <f>29006-11172</f>
        <v>17834</v>
      </c>
      <c r="G188" s="2"/>
      <c r="H188" s="2"/>
      <c r="T188" s="2"/>
    </row>
    <row r="189" spans="3:20" x14ac:dyDescent="0.4">
      <c r="C189" s="1">
        <v>45807</v>
      </c>
      <c r="D189" s="1">
        <v>45958</v>
      </c>
      <c r="E189" s="444">
        <v>570000</v>
      </c>
      <c r="F189" s="444">
        <v>2190</v>
      </c>
      <c r="G189" s="2">
        <f>N189*O189</f>
        <v>980000</v>
      </c>
      <c r="H189" s="2">
        <f>N189*R189-G189-T189</f>
        <v>187922.5</v>
      </c>
      <c r="K189" s="38" t="s">
        <v>147</v>
      </c>
      <c r="L189" s="6" t="s">
        <v>122</v>
      </c>
      <c r="M189" s="6" t="str">
        <f>IF(OR($C189="신한",$C189="OTC",$C189="무상증자(신한)",$C189="토스",$C189="R토스"),1,"확인")</f>
        <v>확인</v>
      </c>
      <c r="N189" s="34">
        <v>20</v>
      </c>
      <c r="O189" s="212">
        <v>49000</v>
      </c>
      <c r="P189" s="195">
        <v>45940</v>
      </c>
      <c r="Q189" s="8" t="s">
        <v>113</v>
      </c>
      <c r="R189" s="212">
        <v>58500</v>
      </c>
      <c r="S189" s="8">
        <v>45958</v>
      </c>
      <c r="T189" s="2">
        <f>N189*O189*0.00015+R189*N189*(0.00015+0.0015)</f>
        <v>2077.5</v>
      </c>
    </row>
    <row r="190" spans="3:20" x14ac:dyDescent="0.4">
      <c r="C190" s="1">
        <v>45807</v>
      </c>
      <c r="D190" s="1">
        <v>45958</v>
      </c>
      <c r="E190" s="445"/>
      <c r="F190" s="445"/>
      <c r="G190" s="2">
        <f>N190*O190</f>
        <v>969000</v>
      </c>
      <c r="H190" s="2">
        <f>N190*R190-G190-T190</f>
        <v>198924.15</v>
      </c>
      <c r="K190" s="38" t="s">
        <v>147</v>
      </c>
      <c r="L190" s="6" t="s">
        <v>122</v>
      </c>
      <c r="M190" s="6" t="str">
        <f>IF(OR($C190="신한",$C190="OTC",$C190="무상증자(신한)",$C190="토스",$C190="R토스"),1,"확인")</f>
        <v>확인</v>
      </c>
      <c r="N190" s="34">
        <v>20</v>
      </c>
      <c r="O190" s="212">
        <v>48450</v>
      </c>
      <c r="P190" s="195">
        <v>45943</v>
      </c>
      <c r="Q190" s="8" t="s">
        <v>113</v>
      </c>
      <c r="R190" s="212">
        <v>58500</v>
      </c>
      <c r="S190" s="8">
        <v>45958</v>
      </c>
      <c r="T190" s="2">
        <f>N190*O190*0.00015+R190*N190*(0.00015+0.0015)</f>
        <v>2075.85</v>
      </c>
    </row>
    <row r="191" spans="3:20" x14ac:dyDescent="0.4">
      <c r="C191" s="1">
        <v>45807</v>
      </c>
      <c r="D191" s="1">
        <v>45958</v>
      </c>
      <c r="E191" s="445"/>
      <c r="F191" s="445"/>
      <c r="G191" s="2">
        <f>N191*O191</f>
        <v>105600</v>
      </c>
      <c r="H191" s="2">
        <f>N191*R191-G191-T191</f>
        <v>11191.11</v>
      </c>
      <c r="K191" s="38" t="s">
        <v>147</v>
      </c>
      <c r="L191" s="6" t="s">
        <v>122</v>
      </c>
      <c r="M191" s="6" t="str">
        <f>IF(OR($C191="신한",$C191="OTC",$C191="무상증자(신한)",$C191="토스",$C191="R토스"),1,"확인")</f>
        <v>확인</v>
      </c>
      <c r="N191" s="34">
        <v>2</v>
      </c>
      <c r="O191" s="212">
        <v>52800</v>
      </c>
      <c r="P191" s="195">
        <v>45945</v>
      </c>
      <c r="Q191" s="8" t="s">
        <v>113</v>
      </c>
      <c r="R191" s="212">
        <v>58500</v>
      </c>
      <c r="S191" s="8">
        <v>45958</v>
      </c>
      <c r="T191" s="2">
        <f>N191*O191*0.00015+R191*N191*(0.00015+0.0015)</f>
        <v>208.89000000000001</v>
      </c>
    </row>
    <row r="192" spans="3:20" x14ac:dyDescent="0.4">
      <c r="C192" s="1">
        <v>45807</v>
      </c>
      <c r="D192" s="1">
        <v>45958</v>
      </c>
      <c r="E192" s="445"/>
      <c r="F192" s="445"/>
      <c r="G192" s="2">
        <f>N192*O192</f>
        <v>724500</v>
      </c>
      <c r="H192" s="2">
        <f>N192*R192-G192-T192</f>
        <v>151443.45000000001</v>
      </c>
      <c r="K192" s="38" t="s">
        <v>147</v>
      </c>
      <c r="L192" s="6" t="s">
        <v>122</v>
      </c>
      <c r="M192" s="6" t="str">
        <f>IF(OR($C192="신한",$C192="OTC",$C192="무상증자(신한)",$C192="토스",$C192="R토스"),1,"확인")</f>
        <v>확인</v>
      </c>
      <c r="N192" s="34">
        <v>15</v>
      </c>
      <c r="O192" s="212">
        <v>48300</v>
      </c>
      <c r="P192" s="195">
        <v>45951</v>
      </c>
      <c r="Q192" s="8" t="s">
        <v>113</v>
      </c>
      <c r="R192" s="212">
        <v>58500</v>
      </c>
      <c r="S192" s="8">
        <v>45958</v>
      </c>
      <c r="T192" s="2">
        <f>N192*O192*0.00015+R192*N192*(0.00015+0.0015)</f>
        <v>1556.55</v>
      </c>
    </row>
    <row r="193" spans="3:20" x14ac:dyDescent="0.4">
      <c r="C193" s="1">
        <v>45807</v>
      </c>
      <c r="D193" s="1">
        <v>45958</v>
      </c>
      <c r="E193" s="445"/>
      <c r="F193" s="445"/>
      <c r="G193" s="2">
        <f>N193*O193</f>
        <v>94300</v>
      </c>
      <c r="H193" s="2">
        <f>N193*R193-G193-T193</f>
        <v>22492.805</v>
      </c>
      <c r="K193" s="38" t="s">
        <v>147</v>
      </c>
      <c r="L193" s="6" t="s">
        <v>122</v>
      </c>
      <c r="M193" s="6" t="str">
        <f>IF(OR($C193="신한",$C193="OTC",$C193="무상증자(신한)",$C193="토스",$C193="R토스"),1,"확인")</f>
        <v>확인</v>
      </c>
      <c r="N193" s="34">
        <v>2</v>
      </c>
      <c r="O193" s="212">
        <v>47150</v>
      </c>
      <c r="P193" s="195">
        <v>45952</v>
      </c>
      <c r="Q193" s="8" t="s">
        <v>113</v>
      </c>
      <c r="R193" s="212">
        <v>58500</v>
      </c>
      <c r="S193" s="8">
        <v>45958</v>
      </c>
      <c r="T193" s="2">
        <f>N193*O193*0.00015+R193*N193*(0.00015+0.0015)</f>
        <v>207.19500000000002</v>
      </c>
    </row>
    <row r="194" spans="3:20" x14ac:dyDescent="0.4">
      <c r="C194" t="s">
        <v>654</v>
      </c>
      <c r="D194" s="1">
        <v>45961</v>
      </c>
      <c r="E194" s="2">
        <v>1500000</v>
      </c>
      <c r="F194" s="2">
        <v>6338</v>
      </c>
    </row>
    <row r="195" spans="3:20" x14ac:dyDescent="0.4">
      <c r="C195" t="s">
        <v>654</v>
      </c>
      <c r="D195" s="1">
        <v>45971</v>
      </c>
      <c r="E195" s="2">
        <v>105400</v>
      </c>
      <c r="F195" s="2">
        <v>19072</v>
      </c>
    </row>
    <row r="196" spans="3:20" x14ac:dyDescent="0.4">
      <c r="C196" s="1">
        <v>45807</v>
      </c>
      <c r="D196" s="1">
        <v>45973</v>
      </c>
      <c r="E196" s="444">
        <v>937009</v>
      </c>
      <c r="F196" s="444">
        <v>35893</v>
      </c>
      <c r="G196" s="2">
        <f>N196*O196</f>
        <v>2440000</v>
      </c>
      <c r="H196" s="2">
        <f>N196*R196-G196-T196</f>
        <v>854189</v>
      </c>
      <c r="K196" s="38" t="s">
        <v>391</v>
      </c>
      <c r="L196" s="6" t="s">
        <v>122</v>
      </c>
      <c r="M196" s="6" t="str">
        <f>IF(OR($C196="신한",$C196="OTC",$C196="무상증자(신한)",$C196="토스",$C196="R토스"),1,"확인")</f>
        <v>확인</v>
      </c>
      <c r="N196" s="34">
        <v>2000</v>
      </c>
      <c r="O196" s="212">
        <v>1220</v>
      </c>
      <c r="P196" s="195">
        <v>45959</v>
      </c>
      <c r="Q196" s="8"/>
      <c r="R196" s="212">
        <v>1650</v>
      </c>
      <c r="S196" s="8">
        <v>45973</v>
      </c>
      <c r="T196" s="2">
        <f>N196*O196*0.00015+R196*N196*(0.00015+0.0015)</f>
        <v>5811</v>
      </c>
    </row>
    <row r="197" spans="3:20" x14ac:dyDescent="0.4">
      <c r="C197" s="1">
        <v>45807</v>
      </c>
      <c r="D197" s="1">
        <v>45973</v>
      </c>
      <c r="E197" s="445"/>
      <c r="F197" s="445"/>
      <c r="G197" s="2">
        <f>N197*O197</f>
        <v>1467</v>
      </c>
      <c r="H197" s="2">
        <f>N197*R197-G197-T197</f>
        <v>180.05744999999999</v>
      </c>
      <c r="K197" s="38" t="s">
        <v>391</v>
      </c>
      <c r="L197" s="6" t="s">
        <v>165</v>
      </c>
      <c r="M197" s="6" t="str">
        <f>IF(OR($C197="신한",$C197="OTC",$C197="무상증자(신한)",$C197="토스",$C197="R토스"),1,"확인")</f>
        <v>확인</v>
      </c>
      <c r="N197" s="34">
        <v>1</v>
      </c>
      <c r="O197" s="212">
        <v>1467</v>
      </c>
      <c r="P197" s="195">
        <v>45965</v>
      </c>
      <c r="Q197" s="8"/>
      <c r="R197" s="212">
        <v>1650</v>
      </c>
      <c r="S197" s="8">
        <v>45973</v>
      </c>
      <c r="T197" s="2">
        <f>N197*O197*0.00015+R197*N197*(0.00015+0.0015)</f>
        <v>2.9425500000000002</v>
      </c>
    </row>
    <row r="198" spans="3:20" x14ac:dyDescent="0.4">
      <c r="C198" s="1">
        <v>45807</v>
      </c>
      <c r="D198" s="1">
        <v>45973</v>
      </c>
      <c r="E198" s="445"/>
      <c r="F198" s="445"/>
      <c r="G198" s="2">
        <f>N198*O198</f>
        <v>705000</v>
      </c>
      <c r="H198" s="2">
        <f>N198*R198-G198-T198</f>
        <v>118533</v>
      </c>
      <c r="K198" s="38" t="s">
        <v>391</v>
      </c>
      <c r="L198" s="6" t="s">
        <v>122</v>
      </c>
      <c r="M198" s="6" t="str">
        <f>IF(OR($C198="신한",$C198="OTC",$C198="무상증자(신한)",$C198="토스",$C198="R토스"),1,"확인")</f>
        <v>확인</v>
      </c>
      <c r="N198" s="34">
        <v>500</v>
      </c>
      <c r="O198" s="212">
        <v>1410</v>
      </c>
      <c r="P198" s="195">
        <v>45965</v>
      </c>
      <c r="Q198" s="8"/>
      <c r="R198" s="212">
        <v>1650</v>
      </c>
      <c r="S198" s="8">
        <v>45973</v>
      </c>
      <c r="T198" s="2">
        <f>N198*O198*0.00015+R198*N198*(0.00015+0.0015)</f>
        <v>1467</v>
      </c>
    </row>
    <row r="199" spans="3:20" x14ac:dyDescent="0.4">
      <c r="C199" s="1" t="s">
        <v>653</v>
      </c>
      <c r="D199" s="1">
        <v>45986</v>
      </c>
      <c r="E199" s="2"/>
      <c r="F199" s="2">
        <v>46129</v>
      </c>
      <c r="G199" s="2"/>
      <c r="H199" s="2"/>
      <c r="K199" s="38"/>
      <c r="L199" s="6"/>
      <c r="M199" s="6"/>
      <c r="N199" s="34"/>
      <c r="O199" s="212"/>
      <c r="P199" s="195"/>
      <c r="Q199" s="8"/>
      <c r="R199" s="212"/>
      <c r="S199" s="8"/>
      <c r="T199" s="2"/>
    </row>
    <row r="200" spans="3:20" x14ac:dyDescent="0.4">
      <c r="C200" s="1">
        <v>45807</v>
      </c>
      <c r="D200" s="1">
        <v>45987</v>
      </c>
      <c r="E200" s="444">
        <v>400000</v>
      </c>
      <c r="F200" s="444">
        <f>24715-22956</f>
        <v>1759</v>
      </c>
      <c r="G200" s="2">
        <f t="shared" ref="G200:G240" si="26">N200*O200</f>
        <v>118200</v>
      </c>
      <c r="H200" s="2">
        <f t="shared" ref="H200:H240" si="27">N200*R200-G200-T200</f>
        <v>3181.63</v>
      </c>
      <c r="K200" s="38" t="s">
        <v>147</v>
      </c>
      <c r="L200" s="6" t="s">
        <v>165</v>
      </c>
      <c r="M200" s="6" t="str">
        <f t="shared" ref="M200:M240" si="28">IF(OR($C200="신한",$C200="OTC",$C200="무상증자(신한)",$C200="토스",$C200="R토스"),1,"확인")</f>
        <v>확인</v>
      </c>
      <c r="N200" s="34">
        <v>2</v>
      </c>
      <c r="O200" s="212">
        <v>59100</v>
      </c>
      <c r="P200" s="195">
        <v>45959</v>
      </c>
      <c r="Q200" s="8"/>
      <c r="R200" s="212">
        <v>60800</v>
      </c>
      <c r="S200" s="8">
        <v>45986</v>
      </c>
      <c r="T200" s="2">
        <f t="shared" ref="T200:T240" si="29">N200*O200*0.00015+R200*N200*(0.00015+0.0015)</f>
        <v>218.36999999999998</v>
      </c>
    </row>
    <row r="201" spans="3:20" x14ac:dyDescent="0.4">
      <c r="C201" s="1">
        <v>45807</v>
      </c>
      <c r="D201" s="1">
        <v>45987</v>
      </c>
      <c r="E201" s="445"/>
      <c r="F201" s="445"/>
      <c r="G201" s="2">
        <f t="shared" si="26"/>
        <v>2220000</v>
      </c>
      <c r="H201" s="2">
        <f t="shared" si="27"/>
        <v>207654.2</v>
      </c>
      <c r="K201" s="38" t="s">
        <v>147</v>
      </c>
      <c r="L201" s="6" t="s">
        <v>122</v>
      </c>
      <c r="M201" s="6" t="str">
        <f t="shared" si="28"/>
        <v>확인</v>
      </c>
      <c r="N201" s="34">
        <v>40</v>
      </c>
      <c r="O201" s="212">
        <v>55500</v>
      </c>
      <c r="P201" s="195">
        <v>45961</v>
      </c>
      <c r="Q201" s="8" t="s">
        <v>113</v>
      </c>
      <c r="R201" s="212">
        <v>60800</v>
      </c>
      <c r="S201" s="8">
        <v>45986</v>
      </c>
      <c r="T201" s="2">
        <f t="shared" si="29"/>
        <v>4345.8</v>
      </c>
    </row>
    <row r="202" spans="3:20" x14ac:dyDescent="0.4">
      <c r="C202" s="1">
        <v>45807</v>
      </c>
      <c r="D202" s="1">
        <v>45987</v>
      </c>
      <c r="E202" s="445"/>
      <c r="F202" s="445"/>
      <c r="G202" s="2">
        <f t="shared" si="26"/>
        <v>553000</v>
      </c>
      <c r="H202" s="2">
        <f t="shared" si="27"/>
        <v>53913.85</v>
      </c>
      <c r="K202" s="38" t="s">
        <v>147</v>
      </c>
      <c r="L202" s="6" t="s">
        <v>122</v>
      </c>
      <c r="M202" s="6" t="str">
        <f t="shared" si="28"/>
        <v>확인</v>
      </c>
      <c r="N202" s="34">
        <v>10</v>
      </c>
      <c r="O202" s="212">
        <v>55300</v>
      </c>
      <c r="P202" s="195">
        <v>45964</v>
      </c>
      <c r="Q202" s="8" t="s">
        <v>113</v>
      </c>
      <c r="R202" s="212">
        <v>60800</v>
      </c>
      <c r="S202" s="8">
        <v>45986</v>
      </c>
      <c r="T202" s="2">
        <f t="shared" si="29"/>
        <v>1086.1500000000001</v>
      </c>
    </row>
    <row r="203" spans="3:20" x14ac:dyDescent="0.4">
      <c r="C203" s="1">
        <v>45807</v>
      </c>
      <c r="D203" s="1">
        <v>45987</v>
      </c>
      <c r="E203" s="445"/>
      <c r="F203" s="445"/>
      <c r="G203" s="2">
        <f t="shared" si="26"/>
        <v>107200</v>
      </c>
      <c r="H203" s="2">
        <f t="shared" si="27"/>
        <v>14183.28</v>
      </c>
      <c r="K203" s="38" t="s">
        <v>147</v>
      </c>
      <c r="L203" s="6" t="s">
        <v>165</v>
      </c>
      <c r="M203" s="6" t="str">
        <f t="shared" si="28"/>
        <v>확인</v>
      </c>
      <c r="N203" s="34">
        <v>2</v>
      </c>
      <c r="O203" s="212">
        <v>53600</v>
      </c>
      <c r="P203" s="195">
        <v>45966</v>
      </c>
      <c r="Q203" s="8"/>
      <c r="R203" s="212">
        <v>60800</v>
      </c>
      <c r="S203" s="8">
        <v>45986</v>
      </c>
      <c r="T203" s="2">
        <f t="shared" si="29"/>
        <v>216.71999999999997</v>
      </c>
    </row>
    <row r="204" spans="3:20" x14ac:dyDescent="0.4">
      <c r="C204" s="1">
        <v>45807</v>
      </c>
      <c r="D204" s="1">
        <v>45987</v>
      </c>
      <c r="E204" s="445"/>
      <c r="F204" s="445"/>
      <c r="G204" s="2">
        <f t="shared" si="26"/>
        <v>526000</v>
      </c>
      <c r="H204" s="2">
        <f t="shared" si="27"/>
        <v>80917.899999999994</v>
      </c>
      <c r="K204" s="38" t="s">
        <v>147</v>
      </c>
      <c r="L204" s="6" t="s">
        <v>122</v>
      </c>
      <c r="M204" s="6" t="str">
        <f t="shared" si="28"/>
        <v>확인</v>
      </c>
      <c r="N204" s="34">
        <v>10</v>
      </c>
      <c r="O204" s="212">
        <v>52600</v>
      </c>
      <c r="P204" s="195">
        <v>45973</v>
      </c>
      <c r="Q204" s="8" t="s">
        <v>113</v>
      </c>
      <c r="R204" s="212">
        <v>60800</v>
      </c>
      <c r="S204" s="8">
        <v>45986</v>
      </c>
      <c r="T204" s="2">
        <f t="shared" si="29"/>
        <v>1082.1000000000001</v>
      </c>
    </row>
    <row r="205" spans="3:20" x14ac:dyDescent="0.4">
      <c r="C205" s="1">
        <v>45807</v>
      </c>
      <c r="D205" s="1">
        <v>45987</v>
      </c>
      <c r="E205" s="445"/>
      <c r="F205" s="445"/>
      <c r="G205" s="2">
        <f t="shared" si="26"/>
        <v>104000</v>
      </c>
      <c r="H205" s="2">
        <f t="shared" si="27"/>
        <v>17383.759999999998</v>
      </c>
      <c r="K205" s="38" t="s">
        <v>147</v>
      </c>
      <c r="L205" s="6" t="s">
        <v>165</v>
      </c>
      <c r="M205" s="6" t="str">
        <f t="shared" si="28"/>
        <v>확인</v>
      </c>
      <c r="N205" s="34">
        <v>2</v>
      </c>
      <c r="O205" s="212">
        <v>52000</v>
      </c>
      <c r="P205" s="195">
        <v>45973</v>
      </c>
      <c r="Q205" s="8"/>
      <c r="R205" s="212">
        <v>60800</v>
      </c>
      <c r="S205" s="8">
        <v>45986</v>
      </c>
      <c r="T205" s="2">
        <f t="shared" si="29"/>
        <v>216.23999999999998</v>
      </c>
    </row>
    <row r="206" spans="3:20" x14ac:dyDescent="0.4">
      <c r="C206" s="1">
        <v>45807</v>
      </c>
      <c r="D206" s="1">
        <v>45987</v>
      </c>
      <c r="E206" s="445"/>
      <c r="F206" s="445"/>
      <c r="G206" s="2">
        <f t="shared" si="26"/>
        <v>101000</v>
      </c>
      <c r="H206" s="2">
        <f t="shared" si="27"/>
        <v>20384.21</v>
      </c>
      <c r="K206" s="38" t="s">
        <v>147</v>
      </c>
      <c r="L206" s="6" t="s">
        <v>165</v>
      </c>
      <c r="M206" s="6" t="str">
        <f t="shared" si="28"/>
        <v>확인</v>
      </c>
      <c r="N206" s="34">
        <v>2</v>
      </c>
      <c r="O206" s="212">
        <v>50500</v>
      </c>
      <c r="P206" s="195">
        <v>45980</v>
      </c>
      <c r="Q206" s="8"/>
      <c r="R206" s="212">
        <v>60800</v>
      </c>
      <c r="S206" s="8">
        <v>45986</v>
      </c>
      <c r="T206" s="2">
        <f t="shared" si="29"/>
        <v>215.79</v>
      </c>
    </row>
    <row r="207" spans="3:20" x14ac:dyDescent="0.4">
      <c r="C207" s="1">
        <v>45807</v>
      </c>
      <c r="D207" s="1">
        <v>45994</v>
      </c>
      <c r="E207" s="444">
        <v>530000</v>
      </c>
      <c r="F207" s="444">
        <v>11974</v>
      </c>
      <c r="G207" s="2">
        <f t="shared" si="26"/>
        <v>162000</v>
      </c>
      <c r="H207" s="2">
        <f t="shared" si="27"/>
        <v>61606.1</v>
      </c>
      <c r="K207" s="38" t="s">
        <v>391</v>
      </c>
      <c r="L207" s="6" t="s">
        <v>122</v>
      </c>
      <c r="M207" s="6" t="str">
        <f t="shared" si="28"/>
        <v>확인</v>
      </c>
      <c r="N207" s="34">
        <v>100</v>
      </c>
      <c r="O207" s="212">
        <v>1620</v>
      </c>
      <c r="P207" s="195">
        <v>45973</v>
      </c>
      <c r="Q207" s="8"/>
      <c r="R207" s="212">
        <v>2240</v>
      </c>
      <c r="S207" s="8">
        <v>45994</v>
      </c>
      <c r="T207" s="2">
        <f t="shared" si="29"/>
        <v>393.90000000000003</v>
      </c>
    </row>
    <row r="208" spans="3:20" x14ac:dyDescent="0.4">
      <c r="C208" s="1">
        <v>45807</v>
      </c>
      <c r="D208" s="1">
        <v>45994</v>
      </c>
      <c r="E208" s="445"/>
      <c r="F208" s="445"/>
      <c r="G208" s="2">
        <f t="shared" si="26"/>
        <v>2140</v>
      </c>
      <c r="H208" s="2">
        <f t="shared" si="27"/>
        <v>95.983000000000004</v>
      </c>
      <c r="K208" s="38" t="s">
        <v>391</v>
      </c>
      <c r="L208" s="6" t="s">
        <v>165</v>
      </c>
      <c r="M208" s="6" t="str">
        <f t="shared" si="28"/>
        <v>확인</v>
      </c>
      <c r="N208" s="34">
        <v>1</v>
      </c>
      <c r="O208" s="212">
        <v>2140</v>
      </c>
      <c r="P208" s="195">
        <v>45979</v>
      </c>
      <c r="Q208" s="8"/>
      <c r="R208" s="212">
        <v>2240</v>
      </c>
      <c r="S208" s="8">
        <v>45994</v>
      </c>
      <c r="T208" s="2">
        <f t="shared" si="29"/>
        <v>4.0170000000000003</v>
      </c>
    </row>
    <row r="209" spans="3:20" x14ac:dyDescent="0.4">
      <c r="C209" s="1">
        <v>45807</v>
      </c>
      <c r="D209" s="1">
        <v>45994</v>
      </c>
      <c r="E209" s="445"/>
      <c r="F209" s="445"/>
      <c r="G209" s="2">
        <f t="shared" si="26"/>
        <v>179000</v>
      </c>
      <c r="H209" s="2">
        <f t="shared" si="27"/>
        <v>44603.55</v>
      </c>
      <c r="K209" s="38" t="s">
        <v>391</v>
      </c>
      <c r="L209" s="6" t="s">
        <v>122</v>
      </c>
      <c r="M209" s="6" t="str">
        <f t="shared" si="28"/>
        <v>확인</v>
      </c>
      <c r="N209" s="34">
        <v>100</v>
      </c>
      <c r="O209" s="212">
        <v>1790</v>
      </c>
      <c r="P209" s="195">
        <v>45985</v>
      </c>
      <c r="Q209" s="8"/>
      <c r="R209" s="212">
        <v>2240</v>
      </c>
      <c r="S209" s="8">
        <v>45994</v>
      </c>
      <c r="T209" s="2">
        <f t="shared" si="29"/>
        <v>396.45000000000005</v>
      </c>
    </row>
    <row r="210" spans="3:20" x14ac:dyDescent="0.4">
      <c r="C210" s="1">
        <v>45807</v>
      </c>
      <c r="D210" s="1">
        <v>45994</v>
      </c>
      <c r="E210" s="445"/>
      <c r="F210" s="445"/>
      <c r="G210" s="2">
        <f t="shared" si="26"/>
        <v>1731</v>
      </c>
      <c r="H210" s="2">
        <f t="shared" si="27"/>
        <v>505.04435000000001</v>
      </c>
      <c r="K210" s="38" t="s">
        <v>391</v>
      </c>
      <c r="L210" s="6" t="s">
        <v>165</v>
      </c>
      <c r="M210" s="6" t="str">
        <f t="shared" si="28"/>
        <v>확인</v>
      </c>
      <c r="N210" s="34">
        <v>1</v>
      </c>
      <c r="O210" s="212">
        <v>1731</v>
      </c>
      <c r="P210" s="195">
        <v>45986</v>
      </c>
      <c r="Q210" s="8"/>
      <c r="R210" s="212">
        <v>2240</v>
      </c>
      <c r="S210" s="8">
        <v>45994</v>
      </c>
      <c r="T210" s="2">
        <f t="shared" si="29"/>
        <v>3.9556500000000003</v>
      </c>
    </row>
    <row r="211" spans="3:20" x14ac:dyDescent="0.4">
      <c r="C211" s="1">
        <v>45807</v>
      </c>
      <c r="D211" s="1">
        <v>45994</v>
      </c>
      <c r="E211" s="445"/>
      <c r="F211" s="445"/>
      <c r="G211" s="2">
        <f t="shared" si="26"/>
        <v>522000</v>
      </c>
      <c r="H211" s="2">
        <f t="shared" si="27"/>
        <v>148812.9</v>
      </c>
      <c r="K211" s="38" t="s">
        <v>391</v>
      </c>
      <c r="L211" s="6" t="s">
        <v>122</v>
      </c>
      <c r="M211" s="6" t="str">
        <f t="shared" si="28"/>
        <v>확인</v>
      </c>
      <c r="N211" s="34">
        <v>300</v>
      </c>
      <c r="O211" s="212">
        <v>1740</v>
      </c>
      <c r="P211" s="195">
        <v>45986</v>
      </c>
      <c r="Q211" s="8"/>
      <c r="R211" s="212">
        <v>2240</v>
      </c>
      <c r="S211" s="8">
        <v>45994</v>
      </c>
      <c r="T211" s="2">
        <f t="shared" si="29"/>
        <v>1187.0999999999999</v>
      </c>
    </row>
    <row r="212" spans="3:20" x14ac:dyDescent="0.4">
      <c r="C212" s="1">
        <v>45807</v>
      </c>
      <c r="D212" s="1">
        <v>45994</v>
      </c>
      <c r="E212" s="445"/>
      <c r="F212" s="445"/>
      <c r="G212" s="2">
        <f t="shared" si="26"/>
        <v>503100</v>
      </c>
      <c r="H212" s="2">
        <f t="shared" si="27"/>
        <v>167715.73499999999</v>
      </c>
      <c r="K212" s="38" t="s">
        <v>391</v>
      </c>
      <c r="L212" s="6" t="s">
        <v>122</v>
      </c>
      <c r="M212" s="6" t="str">
        <f t="shared" si="28"/>
        <v>확인</v>
      </c>
      <c r="N212" s="34">
        <v>300</v>
      </c>
      <c r="O212" s="212">
        <v>1677</v>
      </c>
      <c r="P212" s="195">
        <v>45987</v>
      </c>
      <c r="Q212" s="8"/>
      <c r="R212" s="212">
        <v>2240</v>
      </c>
      <c r="S212" s="8">
        <v>45994</v>
      </c>
      <c r="T212" s="2">
        <f t="shared" si="29"/>
        <v>1184.2649999999999</v>
      </c>
    </row>
    <row r="213" spans="3:20" x14ac:dyDescent="0.4">
      <c r="C213" s="1">
        <v>45807</v>
      </c>
      <c r="D213" s="1">
        <v>45994</v>
      </c>
      <c r="E213" s="445"/>
      <c r="F213" s="445"/>
      <c r="G213" s="2">
        <f t="shared" si="26"/>
        <v>267000</v>
      </c>
      <c r="H213" s="2">
        <f t="shared" si="27"/>
        <v>68405.55</v>
      </c>
      <c r="K213" s="38" t="s">
        <v>391</v>
      </c>
      <c r="L213" s="6" t="s">
        <v>122</v>
      </c>
      <c r="M213" s="6" t="str">
        <f t="shared" si="28"/>
        <v>확인</v>
      </c>
      <c r="N213" s="34">
        <v>150</v>
      </c>
      <c r="O213" s="212">
        <v>1780</v>
      </c>
      <c r="P213" s="195">
        <v>45988</v>
      </c>
      <c r="Q213" s="8"/>
      <c r="R213" s="212">
        <v>2240</v>
      </c>
      <c r="S213" s="8">
        <v>45994</v>
      </c>
      <c r="T213" s="2">
        <f t="shared" si="29"/>
        <v>594.44999999999993</v>
      </c>
    </row>
    <row r="214" spans="3:20" x14ac:dyDescent="0.4">
      <c r="C214" s="1">
        <v>45807</v>
      </c>
      <c r="D214" s="1">
        <v>45994</v>
      </c>
      <c r="E214" s="445"/>
      <c r="F214" s="445"/>
      <c r="G214" s="2">
        <f t="shared" si="26"/>
        <v>174000</v>
      </c>
      <c r="H214" s="2">
        <f t="shared" si="27"/>
        <v>49604.3</v>
      </c>
      <c r="K214" s="38" t="s">
        <v>391</v>
      </c>
      <c r="L214" s="6" t="s">
        <v>122</v>
      </c>
      <c r="M214" s="6" t="str">
        <f t="shared" si="28"/>
        <v>확인</v>
      </c>
      <c r="N214" s="34">
        <v>100</v>
      </c>
      <c r="O214" s="212">
        <v>1740</v>
      </c>
      <c r="P214" s="195">
        <v>45989</v>
      </c>
      <c r="Q214" s="8"/>
      <c r="R214" s="212">
        <v>2240</v>
      </c>
      <c r="S214" s="8">
        <v>45994</v>
      </c>
      <c r="T214" s="2">
        <f t="shared" si="29"/>
        <v>395.70000000000005</v>
      </c>
    </row>
    <row r="215" spans="3:20" x14ac:dyDescent="0.4">
      <c r="C215" s="1">
        <v>45807</v>
      </c>
      <c r="D215" s="1">
        <v>45994</v>
      </c>
      <c r="E215" s="445"/>
      <c r="F215" s="445"/>
      <c r="G215" s="2">
        <f t="shared" si="26"/>
        <v>2055</v>
      </c>
      <c r="H215" s="2">
        <f t="shared" si="27"/>
        <v>180.99574999999999</v>
      </c>
      <c r="K215" s="38" t="s">
        <v>391</v>
      </c>
      <c r="L215" s="6" t="s">
        <v>165</v>
      </c>
      <c r="M215" s="6" t="str">
        <f t="shared" si="28"/>
        <v>확인</v>
      </c>
      <c r="N215" s="34">
        <v>1</v>
      </c>
      <c r="O215" s="212">
        <v>2055</v>
      </c>
      <c r="P215" s="195">
        <v>45993</v>
      </c>
      <c r="Q215" s="8"/>
      <c r="R215" s="212">
        <v>2240</v>
      </c>
      <c r="S215" s="8">
        <v>45994</v>
      </c>
      <c r="T215" s="2">
        <f t="shared" si="29"/>
        <v>4.0042499999999999</v>
      </c>
    </row>
    <row r="216" spans="3:20" x14ac:dyDescent="0.4">
      <c r="C216" s="1">
        <v>45807</v>
      </c>
      <c r="D216" s="1">
        <v>46003</v>
      </c>
      <c r="E216" s="444">
        <v>680000</v>
      </c>
      <c r="F216" s="444">
        <v>14742</v>
      </c>
      <c r="G216" s="2">
        <f t="shared" si="26"/>
        <v>358200</v>
      </c>
      <c r="H216" s="2">
        <f t="shared" si="27"/>
        <v>127543.38</v>
      </c>
      <c r="K216" s="38" t="s">
        <v>147</v>
      </c>
      <c r="L216" s="6" t="s">
        <v>122</v>
      </c>
      <c r="M216" s="6" t="str">
        <f t="shared" si="28"/>
        <v>확인</v>
      </c>
      <c r="N216" s="34">
        <v>6</v>
      </c>
      <c r="O216" s="212">
        <v>59700</v>
      </c>
      <c r="P216" s="195">
        <v>45987</v>
      </c>
      <c r="Q216" s="8" t="s">
        <v>113</v>
      </c>
      <c r="R216" s="212">
        <v>81100</v>
      </c>
      <c r="S216" s="8">
        <v>46003</v>
      </c>
      <c r="T216" s="2">
        <f t="shared" si="29"/>
        <v>856.62</v>
      </c>
    </row>
    <row r="217" spans="3:20" x14ac:dyDescent="0.4">
      <c r="C217" s="1">
        <v>45807</v>
      </c>
      <c r="D217" s="1">
        <v>46003</v>
      </c>
      <c r="E217" s="445"/>
      <c r="F217" s="445"/>
      <c r="G217" s="2">
        <f t="shared" si="26"/>
        <v>906000</v>
      </c>
      <c r="H217" s="2">
        <f t="shared" si="27"/>
        <v>308356.875</v>
      </c>
      <c r="K217" s="38" t="s">
        <v>147</v>
      </c>
      <c r="L217" s="6" t="s">
        <v>122</v>
      </c>
      <c r="M217" s="6" t="str">
        <f t="shared" si="28"/>
        <v>확인</v>
      </c>
      <c r="N217" s="34">
        <v>15</v>
      </c>
      <c r="O217" s="212">
        <v>60400</v>
      </c>
      <c r="P217" s="195">
        <v>45987</v>
      </c>
      <c r="Q217" s="8" t="s">
        <v>113</v>
      </c>
      <c r="R217" s="212">
        <v>81100</v>
      </c>
      <c r="S217" s="8">
        <v>46003</v>
      </c>
      <c r="T217" s="2">
        <f t="shared" si="29"/>
        <v>2143.125</v>
      </c>
    </row>
    <row r="218" spans="3:20" x14ac:dyDescent="0.4">
      <c r="C218" s="1">
        <v>45807</v>
      </c>
      <c r="D218" s="1">
        <v>46003</v>
      </c>
      <c r="E218" s="445"/>
      <c r="F218" s="445"/>
      <c r="G218" s="2">
        <f t="shared" si="26"/>
        <v>119600</v>
      </c>
      <c r="H218" s="2">
        <f t="shared" si="27"/>
        <v>42314.43</v>
      </c>
      <c r="K218" s="38" t="s">
        <v>147</v>
      </c>
      <c r="L218" s="6" t="s">
        <v>165</v>
      </c>
      <c r="M218" s="6" t="str">
        <f t="shared" si="28"/>
        <v>확인</v>
      </c>
      <c r="N218" s="34">
        <v>2</v>
      </c>
      <c r="O218" s="212">
        <v>59800</v>
      </c>
      <c r="P218" s="195">
        <v>45987</v>
      </c>
      <c r="Q218" s="8"/>
      <c r="R218" s="212">
        <v>81100</v>
      </c>
      <c r="S218" s="8">
        <v>46003</v>
      </c>
      <c r="T218" s="2">
        <f t="shared" si="29"/>
        <v>285.57</v>
      </c>
    </row>
    <row r="219" spans="3:20" x14ac:dyDescent="0.4">
      <c r="C219" s="1">
        <v>45807</v>
      </c>
      <c r="D219" s="1">
        <v>46003</v>
      </c>
      <c r="E219" s="445"/>
      <c r="F219" s="445"/>
      <c r="G219" s="2">
        <f t="shared" si="26"/>
        <v>635000</v>
      </c>
      <c r="H219" s="2">
        <f t="shared" si="27"/>
        <v>174566.6</v>
      </c>
      <c r="K219" s="38" t="s">
        <v>147</v>
      </c>
      <c r="L219" s="6" t="s">
        <v>122</v>
      </c>
      <c r="M219" s="6" t="str">
        <f t="shared" si="28"/>
        <v>확인</v>
      </c>
      <c r="N219" s="34">
        <v>10</v>
      </c>
      <c r="O219" s="212">
        <v>63500</v>
      </c>
      <c r="P219" s="195">
        <v>45993</v>
      </c>
      <c r="Q219" s="8" t="s">
        <v>113</v>
      </c>
      <c r="R219" s="212">
        <v>81100</v>
      </c>
      <c r="S219" s="8">
        <v>46003</v>
      </c>
      <c r="T219" s="2">
        <f t="shared" si="29"/>
        <v>1433.4</v>
      </c>
    </row>
    <row r="220" spans="3:20" x14ac:dyDescent="0.4">
      <c r="C220" s="1">
        <v>45807</v>
      </c>
      <c r="D220" s="1">
        <v>46003</v>
      </c>
      <c r="E220" s="445"/>
      <c r="F220" s="445"/>
      <c r="G220" s="2">
        <f t="shared" si="26"/>
        <v>133000</v>
      </c>
      <c r="H220" s="2">
        <f t="shared" si="27"/>
        <v>28912.42</v>
      </c>
      <c r="K220" s="38" t="s">
        <v>147</v>
      </c>
      <c r="L220" s="6" t="s">
        <v>165</v>
      </c>
      <c r="M220" s="6" t="str">
        <f t="shared" si="28"/>
        <v>확인</v>
      </c>
      <c r="N220" s="34">
        <v>2</v>
      </c>
      <c r="O220" s="212">
        <v>66500</v>
      </c>
      <c r="P220" s="195">
        <v>45994</v>
      </c>
      <c r="Q220" s="8"/>
      <c r="R220" s="212">
        <v>81100</v>
      </c>
      <c r="S220" s="8">
        <v>46003</v>
      </c>
      <c r="T220" s="2">
        <f t="shared" si="29"/>
        <v>287.58</v>
      </c>
    </row>
    <row r="221" spans="3:20" x14ac:dyDescent="0.4">
      <c r="C221" s="1">
        <v>45807</v>
      </c>
      <c r="D221" s="1">
        <v>46003</v>
      </c>
      <c r="E221" s="445"/>
      <c r="F221" s="445"/>
      <c r="G221" s="2">
        <f t="shared" si="26"/>
        <v>153000</v>
      </c>
      <c r="H221" s="2">
        <f t="shared" si="27"/>
        <v>8909.42</v>
      </c>
      <c r="K221" s="38" t="s">
        <v>147</v>
      </c>
      <c r="L221" s="6" t="s">
        <v>165</v>
      </c>
      <c r="M221" s="6" t="str">
        <f t="shared" si="28"/>
        <v>확인</v>
      </c>
      <c r="N221" s="34">
        <v>2</v>
      </c>
      <c r="O221" s="212">
        <v>76500</v>
      </c>
      <c r="P221" s="195">
        <v>46001</v>
      </c>
      <c r="Q221" s="8"/>
      <c r="R221" s="212">
        <v>81100</v>
      </c>
      <c r="S221" s="8">
        <v>46003</v>
      </c>
      <c r="T221" s="2">
        <f t="shared" si="29"/>
        <v>290.58</v>
      </c>
    </row>
    <row r="222" spans="3:20" x14ac:dyDescent="0.4">
      <c r="C222" s="1">
        <v>45807</v>
      </c>
      <c r="D222" s="1">
        <v>46010</v>
      </c>
      <c r="E222" s="444">
        <v>1050491</v>
      </c>
      <c r="F222" s="444">
        <v>53606</v>
      </c>
      <c r="G222" s="2">
        <f t="shared" si="26"/>
        <v>2876000</v>
      </c>
      <c r="H222" s="2">
        <f t="shared" si="27"/>
        <v>26770.400000000001</v>
      </c>
      <c r="K222" s="38" t="s">
        <v>146</v>
      </c>
      <c r="L222" s="6" t="s">
        <v>122</v>
      </c>
      <c r="M222" s="6" t="str">
        <f t="shared" si="28"/>
        <v>확인</v>
      </c>
      <c r="N222" s="34">
        <v>200</v>
      </c>
      <c r="O222" s="212">
        <v>14380</v>
      </c>
      <c r="P222" s="195">
        <v>45848</v>
      </c>
      <c r="Q222" s="8" t="s">
        <v>113</v>
      </c>
      <c r="R222" s="212">
        <v>14540</v>
      </c>
      <c r="S222" s="8">
        <v>46010</v>
      </c>
      <c r="T222" s="2">
        <f t="shared" si="29"/>
        <v>5229.5999999999995</v>
      </c>
    </row>
    <row r="223" spans="3:20" x14ac:dyDescent="0.4">
      <c r="C223" s="1">
        <v>45807</v>
      </c>
      <c r="D223" s="1">
        <v>46010</v>
      </c>
      <c r="E223" s="445"/>
      <c r="F223" s="445"/>
      <c r="G223" s="2">
        <f t="shared" si="26"/>
        <v>240000</v>
      </c>
      <c r="H223" s="2">
        <f t="shared" si="27"/>
        <v>34909.589999999997</v>
      </c>
      <c r="K223" s="38" t="s">
        <v>146</v>
      </c>
      <c r="L223" s="6" t="s">
        <v>122</v>
      </c>
      <c r="M223" s="6" t="str">
        <f t="shared" si="28"/>
        <v>확인</v>
      </c>
      <c r="N223" s="34">
        <v>20</v>
      </c>
      <c r="O223" s="212">
        <v>12000</v>
      </c>
      <c r="P223" s="195">
        <v>45859</v>
      </c>
      <c r="Q223" s="8" t="s">
        <v>113</v>
      </c>
      <c r="R223" s="212">
        <v>13770</v>
      </c>
      <c r="S223" s="8">
        <v>46009</v>
      </c>
      <c r="T223" s="2">
        <f t="shared" si="29"/>
        <v>490.41</v>
      </c>
    </row>
    <row r="224" spans="3:20" x14ac:dyDescent="0.4">
      <c r="C224" s="1">
        <v>45807</v>
      </c>
      <c r="D224" s="1">
        <v>46010</v>
      </c>
      <c r="E224" s="445"/>
      <c r="F224" s="445"/>
      <c r="G224" s="2">
        <f t="shared" si="26"/>
        <v>203150</v>
      </c>
      <c r="H224" s="2">
        <f t="shared" si="27"/>
        <v>43591.680500000002</v>
      </c>
      <c r="K224" s="38" t="s">
        <v>146</v>
      </c>
      <c r="L224" s="6" t="s">
        <v>122</v>
      </c>
      <c r="M224" s="6" t="str">
        <f t="shared" si="28"/>
        <v>확인</v>
      </c>
      <c r="N224" s="34">
        <v>17</v>
      </c>
      <c r="O224" s="212">
        <v>11950</v>
      </c>
      <c r="P224" s="195">
        <v>45861</v>
      </c>
      <c r="Q224" s="8" t="s">
        <v>113</v>
      </c>
      <c r="R224" s="212">
        <v>14540</v>
      </c>
      <c r="S224" s="8">
        <v>46010</v>
      </c>
      <c r="T224" s="2">
        <f t="shared" si="29"/>
        <v>438.31949999999995</v>
      </c>
    </row>
    <row r="225" spans="3:20" x14ac:dyDescent="0.4">
      <c r="C225" s="1">
        <v>45807</v>
      </c>
      <c r="D225" s="1">
        <v>46010</v>
      </c>
      <c r="E225" s="445"/>
      <c r="F225" s="445"/>
      <c r="G225" s="2">
        <f t="shared" si="26"/>
        <v>106000</v>
      </c>
      <c r="H225" s="2">
        <f t="shared" si="27"/>
        <v>31456.895</v>
      </c>
      <c r="K225" s="38" t="s">
        <v>146</v>
      </c>
      <c r="L225" s="6" t="s">
        <v>122</v>
      </c>
      <c r="M225" s="6" t="str">
        <f t="shared" si="28"/>
        <v>확인</v>
      </c>
      <c r="N225" s="34">
        <v>10</v>
      </c>
      <c r="O225" s="212">
        <v>10600</v>
      </c>
      <c r="P225" s="195">
        <v>45880</v>
      </c>
      <c r="Q225" s="8" t="s">
        <v>113</v>
      </c>
      <c r="R225" s="212">
        <v>13770</v>
      </c>
      <c r="S225" s="8">
        <v>46009</v>
      </c>
      <c r="T225" s="2">
        <f t="shared" si="29"/>
        <v>243.10500000000002</v>
      </c>
    </row>
    <row r="226" spans="3:20" x14ac:dyDescent="0.4">
      <c r="C226" s="1">
        <v>45807</v>
      </c>
      <c r="D226" s="1">
        <v>46010</v>
      </c>
      <c r="E226" s="445"/>
      <c r="F226" s="445"/>
      <c r="G226" s="2">
        <f t="shared" si="26"/>
        <v>184500</v>
      </c>
      <c r="H226" s="2">
        <f t="shared" si="27"/>
        <v>76760.486999999994</v>
      </c>
      <c r="K226" s="38" t="s">
        <v>146</v>
      </c>
      <c r="L226" s="6" t="s">
        <v>122</v>
      </c>
      <c r="M226" s="6" t="str">
        <f t="shared" si="28"/>
        <v>확인</v>
      </c>
      <c r="N226" s="34">
        <v>18</v>
      </c>
      <c r="O226" s="212">
        <v>10250</v>
      </c>
      <c r="P226" s="195">
        <v>45894</v>
      </c>
      <c r="Q226" s="8" t="s">
        <v>113</v>
      </c>
      <c r="R226" s="212">
        <v>14540</v>
      </c>
      <c r="S226" s="8">
        <v>46010</v>
      </c>
      <c r="T226" s="2">
        <f t="shared" si="29"/>
        <v>459.51300000000003</v>
      </c>
    </row>
    <row r="227" spans="3:20" x14ac:dyDescent="0.4">
      <c r="C227" s="1">
        <v>45807</v>
      </c>
      <c r="D227" s="1">
        <v>46010</v>
      </c>
      <c r="E227" s="445"/>
      <c r="F227" s="445"/>
      <c r="G227" s="2">
        <f t="shared" si="26"/>
        <v>779100</v>
      </c>
      <c r="H227" s="2">
        <f t="shared" si="27"/>
        <v>236903.76500000001</v>
      </c>
      <c r="K227" s="38" t="s">
        <v>146</v>
      </c>
      <c r="L227" s="6" t="s">
        <v>122</v>
      </c>
      <c r="M227" s="6" t="str">
        <f t="shared" si="28"/>
        <v>확인</v>
      </c>
      <c r="N227" s="34">
        <v>70</v>
      </c>
      <c r="O227" s="212">
        <v>11130</v>
      </c>
      <c r="P227" s="195">
        <v>45917</v>
      </c>
      <c r="Q227" s="8" t="s">
        <v>113</v>
      </c>
      <c r="R227" s="212">
        <v>14540</v>
      </c>
      <c r="S227" s="8">
        <v>46010</v>
      </c>
      <c r="T227" s="2">
        <f t="shared" si="29"/>
        <v>1796.2349999999999</v>
      </c>
    </row>
    <row r="228" spans="3:20" x14ac:dyDescent="0.4">
      <c r="C228" s="1">
        <v>45807</v>
      </c>
      <c r="D228" s="1">
        <v>46010</v>
      </c>
      <c r="E228" s="445"/>
      <c r="F228" s="445"/>
      <c r="G228" s="2">
        <f t="shared" si="26"/>
        <v>335100</v>
      </c>
      <c r="H228" s="2">
        <f t="shared" si="27"/>
        <v>77268.12</v>
      </c>
      <c r="K228" s="38" t="s">
        <v>146</v>
      </c>
      <c r="L228" s="6" t="s">
        <v>122</v>
      </c>
      <c r="M228" s="6" t="str">
        <f t="shared" si="28"/>
        <v>확인</v>
      </c>
      <c r="N228" s="34">
        <v>30</v>
      </c>
      <c r="O228" s="212">
        <v>11170</v>
      </c>
      <c r="P228" s="195">
        <v>45918</v>
      </c>
      <c r="Q228" s="8" t="s">
        <v>113</v>
      </c>
      <c r="R228" s="212">
        <v>13770</v>
      </c>
      <c r="S228" s="8">
        <v>46009</v>
      </c>
      <c r="T228" s="2">
        <f t="shared" si="29"/>
        <v>731.88</v>
      </c>
    </row>
    <row r="229" spans="3:20" x14ac:dyDescent="0.4">
      <c r="C229" s="1">
        <v>45807</v>
      </c>
      <c r="D229" s="1">
        <v>46010</v>
      </c>
      <c r="E229" s="445"/>
      <c r="F229" s="445"/>
      <c r="G229" s="2">
        <f t="shared" si="26"/>
        <v>327600</v>
      </c>
      <c r="H229" s="2">
        <f t="shared" si="27"/>
        <v>107831.13</v>
      </c>
      <c r="K229" s="38" t="s">
        <v>146</v>
      </c>
      <c r="L229" s="6" t="s">
        <v>122</v>
      </c>
      <c r="M229" s="6" t="str">
        <f t="shared" si="28"/>
        <v>확인</v>
      </c>
      <c r="N229" s="34">
        <v>30</v>
      </c>
      <c r="O229" s="212">
        <v>10920</v>
      </c>
      <c r="P229" s="195">
        <v>45922</v>
      </c>
      <c r="Q229" s="8" t="s">
        <v>113</v>
      </c>
      <c r="R229" s="212">
        <v>14540</v>
      </c>
      <c r="S229" s="8">
        <v>46010</v>
      </c>
      <c r="T229" s="2">
        <f t="shared" si="29"/>
        <v>768.87</v>
      </c>
    </row>
    <row r="230" spans="3:20" x14ac:dyDescent="0.4">
      <c r="C230" s="1">
        <v>45807</v>
      </c>
      <c r="D230" s="1">
        <v>46010</v>
      </c>
      <c r="E230" s="445"/>
      <c r="F230" s="445"/>
      <c r="G230" s="2">
        <f t="shared" si="26"/>
        <v>201600</v>
      </c>
      <c r="H230" s="2">
        <f t="shared" si="27"/>
        <v>88689.94</v>
      </c>
      <c r="K230" s="38" t="s">
        <v>146</v>
      </c>
      <c r="L230" s="6" t="s">
        <v>122</v>
      </c>
      <c r="M230" s="6" t="str">
        <f t="shared" si="28"/>
        <v>확인</v>
      </c>
      <c r="N230" s="34">
        <v>20</v>
      </c>
      <c r="O230" s="212">
        <v>10080</v>
      </c>
      <c r="P230" s="195">
        <v>45930</v>
      </c>
      <c r="Q230" s="8" t="s">
        <v>113</v>
      </c>
      <c r="R230" s="212">
        <v>14540</v>
      </c>
      <c r="S230" s="8">
        <v>46010</v>
      </c>
      <c r="T230" s="2">
        <f t="shared" si="29"/>
        <v>510.06</v>
      </c>
    </row>
    <row r="231" spans="3:20" x14ac:dyDescent="0.4">
      <c r="C231" s="1">
        <v>45807</v>
      </c>
      <c r="D231" s="1">
        <v>46010</v>
      </c>
      <c r="E231" s="445"/>
      <c r="F231" s="445"/>
      <c r="G231" s="2">
        <f t="shared" si="26"/>
        <v>150750</v>
      </c>
      <c r="H231" s="2">
        <f t="shared" si="27"/>
        <v>55436.58</v>
      </c>
      <c r="K231" s="38" t="s">
        <v>146</v>
      </c>
      <c r="L231" s="6" t="s">
        <v>122</v>
      </c>
      <c r="M231" s="6" t="str">
        <f t="shared" si="28"/>
        <v>확인</v>
      </c>
      <c r="N231" s="34">
        <v>15</v>
      </c>
      <c r="O231" s="212">
        <v>10050</v>
      </c>
      <c r="P231" s="195">
        <v>45940</v>
      </c>
      <c r="Q231" s="8" t="s">
        <v>113</v>
      </c>
      <c r="R231" s="212">
        <v>13770</v>
      </c>
      <c r="S231" s="8">
        <v>46009</v>
      </c>
      <c r="T231" s="2">
        <f t="shared" si="29"/>
        <v>363.42</v>
      </c>
    </row>
    <row r="232" spans="3:20" x14ac:dyDescent="0.4">
      <c r="C232" s="1">
        <v>45807</v>
      </c>
      <c r="D232" s="1">
        <v>46010</v>
      </c>
      <c r="E232" s="445"/>
      <c r="F232" s="445"/>
      <c r="G232" s="2">
        <f t="shared" si="26"/>
        <v>97200</v>
      </c>
      <c r="H232" s="2">
        <f t="shared" si="27"/>
        <v>47945.51</v>
      </c>
      <c r="K232" s="38" t="s">
        <v>146</v>
      </c>
      <c r="L232" s="6" t="s">
        <v>165</v>
      </c>
      <c r="M232" s="6" t="str">
        <f t="shared" si="28"/>
        <v>확인</v>
      </c>
      <c r="N232" s="34">
        <v>10</v>
      </c>
      <c r="O232" s="212">
        <v>9720</v>
      </c>
      <c r="P232" s="195">
        <v>45947</v>
      </c>
      <c r="Q232" s="8" t="s">
        <v>113</v>
      </c>
      <c r="R232" s="212">
        <v>14540</v>
      </c>
      <c r="S232" s="8">
        <v>46010</v>
      </c>
      <c r="T232" s="2">
        <f t="shared" si="29"/>
        <v>254.49</v>
      </c>
    </row>
    <row r="233" spans="3:20" x14ac:dyDescent="0.4">
      <c r="C233" s="1">
        <v>45807</v>
      </c>
      <c r="D233" s="1">
        <v>46010</v>
      </c>
      <c r="E233" s="445"/>
      <c r="F233" s="445"/>
      <c r="G233" s="2">
        <f t="shared" si="26"/>
        <v>98700</v>
      </c>
      <c r="H233" s="2">
        <f t="shared" si="27"/>
        <v>46445.285000000003</v>
      </c>
      <c r="K233" s="38" t="s">
        <v>146</v>
      </c>
      <c r="L233" s="6" t="s">
        <v>165</v>
      </c>
      <c r="M233" s="6" t="str">
        <f t="shared" si="28"/>
        <v>확인</v>
      </c>
      <c r="N233" s="34">
        <v>10</v>
      </c>
      <c r="O233" s="212">
        <v>9870</v>
      </c>
      <c r="P233" s="195">
        <v>45954</v>
      </c>
      <c r="Q233" s="8" t="s">
        <v>113</v>
      </c>
      <c r="R233" s="212">
        <v>14540</v>
      </c>
      <c r="S233" s="8">
        <v>46010</v>
      </c>
      <c r="T233" s="2">
        <f t="shared" si="29"/>
        <v>254.715</v>
      </c>
    </row>
    <row r="234" spans="3:20" x14ac:dyDescent="0.4">
      <c r="C234" s="1">
        <v>45807</v>
      </c>
      <c r="D234" s="1">
        <v>46010</v>
      </c>
      <c r="E234" s="445"/>
      <c r="F234" s="445"/>
      <c r="G234" s="2">
        <f t="shared" si="26"/>
        <v>104700</v>
      </c>
      <c r="H234" s="2">
        <f t="shared" si="27"/>
        <v>40444.385000000002</v>
      </c>
      <c r="K234" s="38" t="s">
        <v>146</v>
      </c>
      <c r="L234" s="6" t="s">
        <v>165</v>
      </c>
      <c r="M234" s="6" t="str">
        <f t="shared" si="28"/>
        <v>확인</v>
      </c>
      <c r="N234" s="34">
        <v>10</v>
      </c>
      <c r="O234" s="212">
        <v>10470</v>
      </c>
      <c r="P234" s="195">
        <v>45961</v>
      </c>
      <c r="Q234" s="8" t="s">
        <v>113</v>
      </c>
      <c r="R234" s="212">
        <v>14540</v>
      </c>
      <c r="S234" s="8">
        <v>46010</v>
      </c>
      <c r="T234" s="2">
        <f t="shared" si="29"/>
        <v>255.61500000000001</v>
      </c>
    </row>
    <row r="235" spans="3:20" x14ac:dyDescent="0.4">
      <c r="C235" s="1">
        <v>45807</v>
      </c>
      <c r="D235" s="1">
        <v>46010</v>
      </c>
      <c r="E235" s="445"/>
      <c r="F235" s="445"/>
      <c r="G235" s="2">
        <f t="shared" si="26"/>
        <v>102600</v>
      </c>
      <c r="H235" s="2">
        <f t="shared" si="27"/>
        <v>42544.7</v>
      </c>
      <c r="K235" s="38" t="s">
        <v>146</v>
      </c>
      <c r="L235" s="6" t="s">
        <v>165</v>
      </c>
      <c r="M235" s="6" t="str">
        <f t="shared" si="28"/>
        <v>확인</v>
      </c>
      <c r="N235" s="34">
        <v>10</v>
      </c>
      <c r="O235" s="212">
        <v>10260</v>
      </c>
      <c r="P235" s="195">
        <v>45968</v>
      </c>
      <c r="Q235" s="8" t="s">
        <v>113</v>
      </c>
      <c r="R235" s="212">
        <v>14540</v>
      </c>
      <c r="S235" s="8">
        <v>46010</v>
      </c>
      <c r="T235" s="2">
        <f t="shared" si="29"/>
        <v>255.29999999999998</v>
      </c>
    </row>
    <row r="236" spans="3:20" x14ac:dyDescent="0.4">
      <c r="C236" s="1">
        <v>45807</v>
      </c>
      <c r="D236" s="1">
        <v>46010</v>
      </c>
      <c r="E236" s="445"/>
      <c r="F236" s="445"/>
      <c r="G236" s="2">
        <f t="shared" si="26"/>
        <v>102900</v>
      </c>
      <c r="H236" s="2">
        <f t="shared" si="27"/>
        <v>42244.654999999999</v>
      </c>
      <c r="K236" s="38" t="s">
        <v>146</v>
      </c>
      <c r="L236" s="6" t="s">
        <v>165</v>
      </c>
      <c r="M236" s="6" t="str">
        <f t="shared" si="28"/>
        <v>확인</v>
      </c>
      <c r="N236" s="34">
        <v>10</v>
      </c>
      <c r="O236" s="212">
        <v>10290</v>
      </c>
      <c r="P236" s="195">
        <v>45975</v>
      </c>
      <c r="Q236" s="8" t="s">
        <v>113</v>
      </c>
      <c r="R236" s="212">
        <v>14540</v>
      </c>
      <c r="S236" s="8">
        <v>46010</v>
      </c>
      <c r="T236" s="2">
        <f t="shared" si="29"/>
        <v>255.345</v>
      </c>
    </row>
    <row r="237" spans="3:20" x14ac:dyDescent="0.4">
      <c r="C237" s="1">
        <v>45807</v>
      </c>
      <c r="D237" s="1">
        <v>46010</v>
      </c>
      <c r="E237" s="445"/>
      <c r="F237" s="445"/>
      <c r="G237" s="2">
        <f t="shared" si="26"/>
        <v>110300</v>
      </c>
      <c r="H237" s="2">
        <f t="shared" si="27"/>
        <v>34843.544999999998</v>
      </c>
      <c r="K237" s="38" t="s">
        <v>146</v>
      </c>
      <c r="L237" s="6" t="s">
        <v>165</v>
      </c>
      <c r="M237" s="6" t="str">
        <f t="shared" si="28"/>
        <v>확인</v>
      </c>
      <c r="N237" s="34">
        <v>10</v>
      </c>
      <c r="O237" s="212">
        <v>11030</v>
      </c>
      <c r="P237" s="195">
        <v>45982</v>
      </c>
      <c r="Q237" s="8" t="s">
        <v>113</v>
      </c>
      <c r="R237" s="212">
        <v>14540</v>
      </c>
      <c r="S237" s="8">
        <v>46010</v>
      </c>
      <c r="T237" s="2">
        <f t="shared" si="29"/>
        <v>256.45499999999998</v>
      </c>
    </row>
    <row r="238" spans="3:20" x14ac:dyDescent="0.4">
      <c r="C238" s="1">
        <v>45807</v>
      </c>
      <c r="D238" s="1">
        <v>46010</v>
      </c>
      <c r="E238" s="445"/>
      <c r="F238" s="445"/>
      <c r="G238" s="2">
        <f t="shared" si="26"/>
        <v>116750</v>
      </c>
      <c r="H238" s="2">
        <f t="shared" si="27"/>
        <v>28392.577499999999</v>
      </c>
      <c r="K238" s="38" t="s">
        <v>146</v>
      </c>
      <c r="L238" s="6" t="s">
        <v>165</v>
      </c>
      <c r="M238" s="6" t="str">
        <f t="shared" si="28"/>
        <v>확인</v>
      </c>
      <c r="N238" s="34">
        <v>10</v>
      </c>
      <c r="O238" s="212">
        <v>11675</v>
      </c>
      <c r="P238" s="195">
        <v>45989</v>
      </c>
      <c r="Q238" s="8" t="s">
        <v>113</v>
      </c>
      <c r="R238" s="212">
        <v>14540</v>
      </c>
      <c r="S238" s="8">
        <v>46010</v>
      </c>
      <c r="T238" s="2">
        <f t="shared" si="29"/>
        <v>257.42250000000001</v>
      </c>
    </row>
    <row r="239" spans="3:20" x14ac:dyDescent="0.4">
      <c r="C239" s="1">
        <v>45807</v>
      </c>
      <c r="D239" s="1">
        <v>46010</v>
      </c>
      <c r="E239" s="445"/>
      <c r="F239" s="445"/>
      <c r="G239" s="2">
        <f t="shared" si="26"/>
        <v>120800</v>
      </c>
      <c r="H239" s="2">
        <f t="shared" si="27"/>
        <v>24341.97</v>
      </c>
      <c r="K239" s="38" t="s">
        <v>146</v>
      </c>
      <c r="L239" s="6" t="s">
        <v>165</v>
      </c>
      <c r="M239" s="6" t="str">
        <f t="shared" si="28"/>
        <v>확인</v>
      </c>
      <c r="N239" s="34">
        <v>10</v>
      </c>
      <c r="O239" s="212">
        <v>12080</v>
      </c>
      <c r="P239" s="195">
        <v>45996</v>
      </c>
      <c r="Q239" s="8" t="s">
        <v>113</v>
      </c>
      <c r="R239" s="212">
        <v>14540</v>
      </c>
      <c r="S239" s="8">
        <v>46010</v>
      </c>
      <c r="T239" s="2">
        <f t="shared" si="29"/>
        <v>258.02999999999997</v>
      </c>
    </row>
    <row r="240" spans="3:20" x14ac:dyDescent="0.4">
      <c r="C240" s="1">
        <v>45807</v>
      </c>
      <c r="D240" s="1">
        <v>46010</v>
      </c>
      <c r="E240" s="445"/>
      <c r="F240" s="445"/>
      <c r="G240" s="2">
        <f t="shared" si="26"/>
        <v>135250</v>
      </c>
      <c r="H240" s="2">
        <f t="shared" si="27"/>
        <v>9889.8024999999998</v>
      </c>
      <c r="K240" s="38" t="s">
        <v>146</v>
      </c>
      <c r="L240" s="6" t="s">
        <v>165</v>
      </c>
      <c r="M240" s="6" t="str">
        <f t="shared" si="28"/>
        <v>확인</v>
      </c>
      <c r="N240" s="34">
        <v>10</v>
      </c>
      <c r="O240" s="212">
        <v>13525</v>
      </c>
      <c r="P240" s="195">
        <v>46003</v>
      </c>
      <c r="Q240" s="8" t="s">
        <v>113</v>
      </c>
      <c r="R240" s="212">
        <v>14540</v>
      </c>
      <c r="S240" s="8">
        <v>46010</v>
      </c>
      <c r="T240" s="2">
        <f t="shared" si="29"/>
        <v>260.19749999999999</v>
      </c>
    </row>
    <row r="241" spans="3:20" x14ac:dyDescent="0.4">
      <c r="C241" s="1" t="s">
        <v>653</v>
      </c>
      <c r="D241" s="1">
        <v>46016</v>
      </c>
      <c r="E241" s="2"/>
      <c r="F241" s="2">
        <f>10689+8416</f>
        <v>19105</v>
      </c>
      <c r="G241" s="2"/>
      <c r="H241" s="2"/>
      <c r="K241" s="38"/>
      <c r="L241" s="6"/>
      <c r="M241" s="6"/>
      <c r="N241" s="34"/>
      <c r="O241" s="212"/>
      <c r="P241" s="195"/>
      <c r="Q241" s="8"/>
      <c r="R241" s="212"/>
      <c r="S241" s="8"/>
      <c r="T241" s="2"/>
    </row>
    <row r="242" spans="3:20" x14ac:dyDescent="0.4">
      <c r="C242" t="s">
        <v>654</v>
      </c>
      <c r="D242" s="1">
        <v>46021</v>
      </c>
      <c r="E242" s="2">
        <v>800000</v>
      </c>
      <c r="F242" s="2">
        <v>7013</v>
      </c>
    </row>
    <row r="243" spans="3:20" x14ac:dyDescent="0.4">
      <c r="C243" s="1" t="s">
        <v>653</v>
      </c>
      <c r="D243" s="1">
        <v>46047</v>
      </c>
      <c r="E243" s="2"/>
      <c r="F243" s="2">
        <f>33621+55552</f>
        <v>89173</v>
      </c>
    </row>
    <row r="244" spans="3:20" x14ac:dyDescent="0.4">
      <c r="C244" s="1">
        <v>45807</v>
      </c>
      <c r="D244" s="1">
        <v>46058</v>
      </c>
      <c r="E244" s="444">
        <v>310000</v>
      </c>
      <c r="F244" s="444">
        <v>34059</v>
      </c>
      <c r="G244" s="2">
        <f t="shared" ref="G244:G280" si="30">N244*O244</f>
        <v>143500</v>
      </c>
      <c r="H244" s="2">
        <f t="shared" ref="H244:H280" si="31">N244*R244-G244-T244</f>
        <v>-2654.34</v>
      </c>
      <c r="K244" s="38" t="s">
        <v>146</v>
      </c>
      <c r="L244" s="6" t="s">
        <v>165</v>
      </c>
      <c r="M244" s="6" t="str">
        <f t="shared" ref="M244:M280" si="32">IF(OR($C244="신한",$C244="OTC",$C244="무상증자(신한)",$C244="토스",$C244="R토스"),1,"확인")</f>
        <v>확인</v>
      </c>
      <c r="N244" s="34">
        <v>10</v>
      </c>
      <c r="O244" s="212">
        <v>14350</v>
      </c>
      <c r="P244" s="195">
        <v>46010</v>
      </c>
      <c r="Q244" s="8" t="s">
        <v>113</v>
      </c>
      <c r="R244" s="212">
        <v>14110</v>
      </c>
      <c r="S244" s="8">
        <v>46058</v>
      </c>
      <c r="T244" s="2">
        <f t="shared" ref="T244:T280" si="33">N244*O244*0.00015+R244*N244*(0.00015+0.0015)</f>
        <v>254.34</v>
      </c>
    </row>
    <row r="245" spans="3:20" x14ac:dyDescent="0.4">
      <c r="C245" s="1">
        <v>45807</v>
      </c>
      <c r="D245" s="1">
        <v>46058</v>
      </c>
      <c r="E245" s="445"/>
      <c r="F245" s="445"/>
      <c r="G245" s="2">
        <f t="shared" si="30"/>
        <v>1407000</v>
      </c>
      <c r="H245" s="2">
        <f t="shared" si="31"/>
        <v>1460.7999999999997</v>
      </c>
      <c r="K245" s="38" t="s">
        <v>146</v>
      </c>
      <c r="L245" s="6" t="s">
        <v>122</v>
      </c>
      <c r="M245" s="6" t="str">
        <f t="shared" si="32"/>
        <v>확인</v>
      </c>
      <c r="N245" s="34">
        <v>100</v>
      </c>
      <c r="O245" s="212">
        <v>14070</v>
      </c>
      <c r="P245" s="195">
        <v>46013</v>
      </c>
      <c r="Q245" s="8" t="s">
        <v>113</v>
      </c>
      <c r="R245" s="212">
        <v>14110</v>
      </c>
      <c r="S245" s="8">
        <v>46058</v>
      </c>
      <c r="T245" s="2">
        <f t="shared" si="33"/>
        <v>2539.2000000000003</v>
      </c>
    </row>
    <row r="246" spans="3:20" x14ac:dyDescent="0.4">
      <c r="C246" s="1">
        <v>45807</v>
      </c>
      <c r="D246" s="1">
        <v>46058</v>
      </c>
      <c r="E246" s="445"/>
      <c r="F246" s="445"/>
      <c r="G246" s="2">
        <f t="shared" si="30"/>
        <v>991900</v>
      </c>
      <c r="H246" s="2">
        <f t="shared" si="31"/>
        <v>-5978.49</v>
      </c>
      <c r="K246" s="38" t="s">
        <v>146</v>
      </c>
      <c r="L246" s="6" t="s">
        <v>122</v>
      </c>
      <c r="M246" s="6" t="str">
        <f t="shared" si="32"/>
        <v>확인</v>
      </c>
      <c r="N246" s="34">
        <v>70</v>
      </c>
      <c r="O246" s="212">
        <v>14170</v>
      </c>
      <c r="P246" s="195">
        <v>46014</v>
      </c>
      <c r="Q246" s="8" t="s">
        <v>113</v>
      </c>
      <c r="R246" s="212">
        <v>14110</v>
      </c>
      <c r="S246" s="8">
        <v>46058</v>
      </c>
      <c r="T246" s="2">
        <f t="shared" si="33"/>
        <v>1778.49</v>
      </c>
    </row>
    <row r="247" spans="3:20" x14ac:dyDescent="0.4">
      <c r="C247" s="1">
        <v>45807</v>
      </c>
      <c r="D247" s="1">
        <v>46058</v>
      </c>
      <c r="E247" s="445"/>
      <c r="F247" s="445"/>
      <c r="G247" s="2">
        <f t="shared" si="30"/>
        <v>701000</v>
      </c>
      <c r="H247" s="2">
        <f t="shared" si="31"/>
        <v>3230.7749999999996</v>
      </c>
      <c r="K247" s="38" t="s">
        <v>146</v>
      </c>
      <c r="L247" s="6" t="s">
        <v>122</v>
      </c>
      <c r="M247" s="6" t="str">
        <f t="shared" si="32"/>
        <v>확인</v>
      </c>
      <c r="N247" s="34">
        <v>50</v>
      </c>
      <c r="O247" s="212">
        <v>14020</v>
      </c>
      <c r="P247" s="195">
        <v>46014</v>
      </c>
      <c r="Q247" s="8" t="s">
        <v>113</v>
      </c>
      <c r="R247" s="212">
        <v>14110</v>
      </c>
      <c r="S247" s="8">
        <v>46058</v>
      </c>
      <c r="T247" s="2">
        <f t="shared" si="33"/>
        <v>1269.2250000000001</v>
      </c>
    </row>
    <row r="248" spans="3:20" x14ac:dyDescent="0.4">
      <c r="C248" s="1">
        <v>45807</v>
      </c>
      <c r="D248" s="1">
        <v>46058</v>
      </c>
      <c r="E248" s="445"/>
      <c r="F248" s="445"/>
      <c r="G248" s="2">
        <f t="shared" si="30"/>
        <v>1365000</v>
      </c>
      <c r="H248" s="2">
        <f t="shared" si="31"/>
        <v>43467.1</v>
      </c>
      <c r="K248" s="38" t="s">
        <v>146</v>
      </c>
      <c r="L248" s="6" t="s">
        <v>122</v>
      </c>
      <c r="M248" s="6" t="str">
        <f t="shared" si="32"/>
        <v>확인</v>
      </c>
      <c r="N248" s="34">
        <v>100</v>
      </c>
      <c r="O248" s="212">
        <v>13650</v>
      </c>
      <c r="P248" s="195">
        <v>46015</v>
      </c>
      <c r="Q248" s="8" t="s">
        <v>113</v>
      </c>
      <c r="R248" s="212">
        <v>14110</v>
      </c>
      <c r="S248" s="8">
        <v>46058</v>
      </c>
      <c r="T248" s="2">
        <f t="shared" si="33"/>
        <v>2532.9</v>
      </c>
    </row>
    <row r="249" spans="3:20" x14ac:dyDescent="0.4">
      <c r="C249" s="1">
        <v>45807</v>
      </c>
      <c r="D249" s="1">
        <v>46058</v>
      </c>
      <c r="E249" s="445"/>
      <c r="F249" s="445"/>
      <c r="G249" s="2">
        <f t="shared" si="30"/>
        <v>556000</v>
      </c>
      <c r="H249" s="2">
        <f t="shared" si="31"/>
        <v>7385.34</v>
      </c>
      <c r="K249" s="38" t="s">
        <v>146</v>
      </c>
      <c r="L249" s="6" t="s">
        <v>122</v>
      </c>
      <c r="M249" s="6" t="str">
        <f t="shared" si="32"/>
        <v>확인</v>
      </c>
      <c r="N249" s="34">
        <v>40</v>
      </c>
      <c r="O249" s="212">
        <v>13900</v>
      </c>
      <c r="P249" s="195">
        <v>46015</v>
      </c>
      <c r="Q249" s="8" t="s">
        <v>113</v>
      </c>
      <c r="R249" s="212">
        <v>14110</v>
      </c>
      <c r="S249" s="8">
        <v>46058</v>
      </c>
      <c r="T249" s="2">
        <f t="shared" si="33"/>
        <v>1014.66</v>
      </c>
    </row>
    <row r="250" spans="3:20" x14ac:dyDescent="0.4">
      <c r="C250" s="1">
        <v>45807</v>
      </c>
      <c r="D250" s="1">
        <v>46058</v>
      </c>
      <c r="E250" s="445"/>
      <c r="F250" s="445"/>
      <c r="G250" s="2">
        <f t="shared" si="30"/>
        <v>810000</v>
      </c>
      <c r="H250" s="2">
        <f t="shared" si="31"/>
        <v>35081.61</v>
      </c>
      <c r="K250" s="38" t="s">
        <v>146</v>
      </c>
      <c r="L250" s="6" t="s">
        <v>122</v>
      </c>
      <c r="M250" s="6" t="str">
        <f t="shared" si="32"/>
        <v>확인</v>
      </c>
      <c r="N250" s="34">
        <v>60</v>
      </c>
      <c r="O250" s="212">
        <v>13500</v>
      </c>
      <c r="P250" s="195">
        <v>46017</v>
      </c>
      <c r="Q250" s="8" t="s">
        <v>113</v>
      </c>
      <c r="R250" s="212">
        <v>14110</v>
      </c>
      <c r="S250" s="8">
        <v>46058</v>
      </c>
      <c r="T250" s="2">
        <f t="shared" si="33"/>
        <v>1518.39</v>
      </c>
    </row>
    <row r="251" spans="3:20" x14ac:dyDescent="0.4">
      <c r="C251" s="1">
        <v>45807</v>
      </c>
      <c r="D251" s="1">
        <v>46058</v>
      </c>
      <c r="E251" s="445"/>
      <c r="F251" s="445"/>
      <c r="G251" s="2">
        <f t="shared" si="30"/>
        <v>137000</v>
      </c>
      <c r="H251" s="2">
        <f t="shared" si="31"/>
        <v>3846.6350000000002</v>
      </c>
      <c r="K251" s="38" t="s">
        <v>146</v>
      </c>
      <c r="L251" s="6" t="s">
        <v>165</v>
      </c>
      <c r="M251" s="6" t="str">
        <f t="shared" si="32"/>
        <v>확인</v>
      </c>
      <c r="N251" s="34">
        <v>10</v>
      </c>
      <c r="O251" s="212">
        <v>13700</v>
      </c>
      <c r="P251" s="195">
        <v>46017</v>
      </c>
      <c r="Q251" s="8" t="s">
        <v>113</v>
      </c>
      <c r="R251" s="212">
        <v>14110</v>
      </c>
      <c r="S251" s="8">
        <v>46058</v>
      </c>
      <c r="T251" s="2">
        <f t="shared" si="33"/>
        <v>253.36500000000001</v>
      </c>
    </row>
    <row r="252" spans="3:20" x14ac:dyDescent="0.4">
      <c r="C252" s="1">
        <v>45807</v>
      </c>
      <c r="D252" s="1">
        <v>46058</v>
      </c>
      <c r="E252" s="445"/>
      <c r="F252" s="445"/>
      <c r="G252" s="2">
        <f t="shared" si="30"/>
        <v>774000</v>
      </c>
      <c r="H252" s="2">
        <f t="shared" si="31"/>
        <v>71087.009999999995</v>
      </c>
      <c r="K252" s="38" t="s">
        <v>146</v>
      </c>
      <c r="L252" s="6" t="s">
        <v>122</v>
      </c>
      <c r="M252" s="6" t="str">
        <f t="shared" si="32"/>
        <v>확인</v>
      </c>
      <c r="N252" s="34">
        <v>60</v>
      </c>
      <c r="O252" s="212">
        <v>12900</v>
      </c>
      <c r="P252" s="195">
        <v>46020</v>
      </c>
      <c r="Q252" s="8" t="s">
        <v>113</v>
      </c>
      <c r="R252" s="212">
        <v>14110</v>
      </c>
      <c r="S252" s="8">
        <v>46058</v>
      </c>
      <c r="T252" s="2">
        <f t="shared" si="33"/>
        <v>1512.99</v>
      </c>
    </row>
    <row r="253" spans="3:20" x14ac:dyDescent="0.4">
      <c r="C253" s="1">
        <v>45807</v>
      </c>
      <c r="D253" s="1">
        <v>46058</v>
      </c>
      <c r="E253" s="445"/>
      <c r="F253" s="445"/>
      <c r="G253" s="2">
        <f t="shared" si="30"/>
        <v>124000</v>
      </c>
      <c r="H253" s="2">
        <f t="shared" si="31"/>
        <v>16848.584999999999</v>
      </c>
      <c r="K253" s="38" t="s">
        <v>146</v>
      </c>
      <c r="L253" s="6" t="s">
        <v>165</v>
      </c>
      <c r="M253" s="6" t="str">
        <f t="shared" si="32"/>
        <v>확인</v>
      </c>
      <c r="N253" s="34">
        <v>10</v>
      </c>
      <c r="O253" s="212">
        <v>12400</v>
      </c>
      <c r="P253" s="195">
        <v>46024</v>
      </c>
      <c r="Q253" s="8" t="s">
        <v>113</v>
      </c>
      <c r="R253" s="212">
        <v>14110</v>
      </c>
      <c r="S253" s="8">
        <v>46058</v>
      </c>
      <c r="T253" s="2">
        <f t="shared" si="33"/>
        <v>251.41499999999999</v>
      </c>
    </row>
    <row r="254" spans="3:20" x14ac:dyDescent="0.4">
      <c r="C254" s="1">
        <v>45807</v>
      </c>
      <c r="D254" s="1">
        <v>46058</v>
      </c>
      <c r="E254" s="445"/>
      <c r="F254" s="445"/>
      <c r="G254" s="2">
        <f t="shared" si="30"/>
        <v>117480</v>
      </c>
      <c r="H254" s="2">
        <f t="shared" si="31"/>
        <v>23369.562999999998</v>
      </c>
      <c r="K254" s="38" t="s">
        <v>146</v>
      </c>
      <c r="L254" s="6" t="s">
        <v>165</v>
      </c>
      <c r="M254" s="6" t="str">
        <f t="shared" si="32"/>
        <v>확인</v>
      </c>
      <c r="N254" s="34">
        <v>10</v>
      </c>
      <c r="O254" s="212">
        <v>11748</v>
      </c>
      <c r="P254" s="195">
        <v>46031</v>
      </c>
      <c r="Q254" s="8" t="s">
        <v>113</v>
      </c>
      <c r="R254" s="212">
        <v>14110</v>
      </c>
      <c r="S254" s="8">
        <v>46058</v>
      </c>
      <c r="T254" s="2">
        <f t="shared" si="33"/>
        <v>250.43700000000001</v>
      </c>
    </row>
    <row r="255" spans="3:20" x14ac:dyDescent="0.4">
      <c r="C255" s="1">
        <v>45807</v>
      </c>
      <c r="D255" s="1">
        <v>46058</v>
      </c>
      <c r="E255" s="445"/>
      <c r="F255" s="445"/>
      <c r="G255" s="2">
        <f t="shared" si="30"/>
        <v>114580</v>
      </c>
      <c r="H255" s="2">
        <f t="shared" si="31"/>
        <v>26269.998</v>
      </c>
      <c r="K255" s="38" t="s">
        <v>146</v>
      </c>
      <c r="L255" s="6" t="s">
        <v>165</v>
      </c>
      <c r="M255" s="6" t="str">
        <f t="shared" si="32"/>
        <v>확인</v>
      </c>
      <c r="N255" s="34">
        <v>10</v>
      </c>
      <c r="O255" s="212">
        <v>11458</v>
      </c>
      <c r="P255" s="195">
        <v>46038</v>
      </c>
      <c r="Q255" s="8" t="s">
        <v>113</v>
      </c>
      <c r="R255" s="212">
        <v>14110</v>
      </c>
      <c r="S255" s="8">
        <v>46058</v>
      </c>
      <c r="T255" s="2">
        <f t="shared" si="33"/>
        <v>250.00200000000001</v>
      </c>
    </row>
    <row r="256" spans="3:20" x14ac:dyDescent="0.4">
      <c r="C256" s="1">
        <v>45807</v>
      </c>
      <c r="D256" s="1">
        <v>46058</v>
      </c>
      <c r="E256" s="445"/>
      <c r="F256" s="445"/>
      <c r="G256" s="2">
        <f t="shared" si="30"/>
        <v>113470</v>
      </c>
      <c r="H256" s="2">
        <f t="shared" si="31"/>
        <v>27380.164499999999</v>
      </c>
      <c r="K256" s="38" t="s">
        <v>146</v>
      </c>
      <c r="L256" s="6" t="s">
        <v>165</v>
      </c>
      <c r="M256" s="6" t="str">
        <f t="shared" si="32"/>
        <v>확인</v>
      </c>
      <c r="N256" s="34">
        <v>10</v>
      </c>
      <c r="O256" s="212">
        <v>11347</v>
      </c>
      <c r="P256" s="195">
        <v>46045</v>
      </c>
      <c r="Q256" s="8" t="s">
        <v>113</v>
      </c>
      <c r="R256" s="212">
        <v>14110</v>
      </c>
      <c r="S256" s="8">
        <v>46058</v>
      </c>
      <c r="T256" s="2">
        <f t="shared" si="33"/>
        <v>249.8355</v>
      </c>
    </row>
    <row r="257" spans="3:20" x14ac:dyDescent="0.4">
      <c r="C257" s="1">
        <v>45807</v>
      </c>
      <c r="D257" s="1">
        <v>46058</v>
      </c>
      <c r="E257" s="445"/>
      <c r="F257" s="445"/>
      <c r="G257" s="2">
        <f t="shared" si="30"/>
        <v>363000</v>
      </c>
      <c r="H257" s="2">
        <f t="shared" si="31"/>
        <v>59547.105000000003</v>
      </c>
      <c r="K257" s="38" t="s">
        <v>146</v>
      </c>
      <c r="L257" s="6" t="s">
        <v>122</v>
      </c>
      <c r="M257" s="6" t="str">
        <f t="shared" si="32"/>
        <v>확인</v>
      </c>
      <c r="N257" s="34">
        <v>30</v>
      </c>
      <c r="O257" s="212">
        <v>12100</v>
      </c>
      <c r="P257" s="195">
        <v>46052</v>
      </c>
      <c r="Q257" s="8" t="s">
        <v>113</v>
      </c>
      <c r="R257" s="212">
        <v>14110</v>
      </c>
      <c r="S257" s="8">
        <v>46058</v>
      </c>
      <c r="T257" s="2">
        <f t="shared" si="33"/>
        <v>752.8950000000001</v>
      </c>
    </row>
    <row r="258" spans="3:20" x14ac:dyDescent="0.4">
      <c r="C258" s="1">
        <v>45807</v>
      </c>
      <c r="D258" s="1">
        <v>46058</v>
      </c>
      <c r="E258" s="445"/>
      <c r="F258" s="445"/>
      <c r="G258" s="2">
        <f t="shared" si="30"/>
        <v>119700</v>
      </c>
      <c r="H258" s="2">
        <f t="shared" si="31"/>
        <v>21149.23</v>
      </c>
      <c r="K258" s="38" t="s">
        <v>146</v>
      </c>
      <c r="L258" s="6" t="s">
        <v>165</v>
      </c>
      <c r="M258" s="6" t="str">
        <f t="shared" si="32"/>
        <v>확인</v>
      </c>
      <c r="N258" s="34">
        <v>10</v>
      </c>
      <c r="O258" s="212">
        <v>11970</v>
      </c>
      <c r="P258" s="195">
        <v>46052</v>
      </c>
      <c r="Q258" s="8" t="s">
        <v>113</v>
      </c>
      <c r="R258" s="212">
        <v>14110</v>
      </c>
      <c r="S258" s="8">
        <v>46058</v>
      </c>
      <c r="T258" s="2">
        <f t="shared" si="33"/>
        <v>250.76999999999998</v>
      </c>
    </row>
    <row r="259" spans="3:20" x14ac:dyDescent="0.4">
      <c r="C259" s="1">
        <v>45807</v>
      </c>
      <c r="D259" s="1">
        <v>46063</v>
      </c>
      <c r="E259" s="444">
        <v>630000</v>
      </c>
      <c r="F259" s="444">
        <v>15341</v>
      </c>
      <c r="G259" s="2">
        <f t="shared" si="30"/>
        <v>366000</v>
      </c>
      <c r="H259" s="2">
        <f t="shared" si="31"/>
        <v>-36599.4</v>
      </c>
      <c r="K259" s="38" t="s">
        <v>129</v>
      </c>
      <c r="L259" s="6" t="s">
        <v>122</v>
      </c>
      <c r="M259" s="6" t="str">
        <f t="shared" si="32"/>
        <v>확인</v>
      </c>
      <c r="N259" s="34">
        <v>50</v>
      </c>
      <c r="O259" s="212">
        <v>7320</v>
      </c>
      <c r="P259" s="195">
        <v>45855</v>
      </c>
      <c r="Q259" s="8" t="s">
        <v>113</v>
      </c>
      <c r="R259" s="212">
        <v>6600</v>
      </c>
      <c r="S259" s="8">
        <v>46057</v>
      </c>
      <c r="T259" s="2">
        <f t="shared" si="33"/>
        <v>599.4</v>
      </c>
    </row>
    <row r="260" spans="3:20" x14ac:dyDescent="0.4">
      <c r="C260" s="1">
        <v>45807</v>
      </c>
      <c r="D260" s="1">
        <v>46063</v>
      </c>
      <c r="E260" s="445"/>
      <c r="F260" s="445"/>
      <c r="G260" s="2">
        <f t="shared" si="30"/>
        <v>129000</v>
      </c>
      <c r="H260" s="2">
        <f t="shared" si="31"/>
        <v>2762.85</v>
      </c>
      <c r="K260" s="38" t="s">
        <v>129</v>
      </c>
      <c r="L260" s="6" t="s">
        <v>122</v>
      </c>
      <c r="M260" s="6" t="str">
        <f t="shared" si="32"/>
        <v>확인</v>
      </c>
      <c r="N260" s="34">
        <v>20</v>
      </c>
      <c r="O260" s="212">
        <v>6450</v>
      </c>
      <c r="P260" s="195">
        <v>45861</v>
      </c>
      <c r="Q260" s="8" t="s">
        <v>113</v>
      </c>
      <c r="R260" s="212">
        <v>6600</v>
      </c>
      <c r="S260" s="8">
        <v>46057</v>
      </c>
      <c r="T260" s="2">
        <f t="shared" si="33"/>
        <v>237.15</v>
      </c>
    </row>
    <row r="261" spans="3:20" x14ac:dyDescent="0.4">
      <c r="C261" s="1">
        <v>45807</v>
      </c>
      <c r="D261" s="1">
        <v>46063</v>
      </c>
      <c r="E261" s="445"/>
      <c r="F261" s="445"/>
      <c r="G261" s="2">
        <f t="shared" si="30"/>
        <v>118600</v>
      </c>
      <c r="H261" s="2">
        <f t="shared" si="31"/>
        <v>13164.41</v>
      </c>
      <c r="K261" s="38" t="s">
        <v>129</v>
      </c>
      <c r="L261" s="6" t="s">
        <v>122</v>
      </c>
      <c r="M261" s="6" t="str">
        <f t="shared" si="32"/>
        <v>확인</v>
      </c>
      <c r="N261" s="34">
        <v>20</v>
      </c>
      <c r="O261" s="212">
        <v>5930</v>
      </c>
      <c r="P261" s="195">
        <v>45880</v>
      </c>
      <c r="Q261" s="8" t="s">
        <v>113</v>
      </c>
      <c r="R261" s="212">
        <v>6600</v>
      </c>
      <c r="S261" s="8">
        <v>46057</v>
      </c>
      <c r="T261" s="2">
        <f t="shared" si="33"/>
        <v>235.59</v>
      </c>
    </row>
    <row r="262" spans="3:20" x14ac:dyDescent="0.4">
      <c r="C262" s="1">
        <v>45807</v>
      </c>
      <c r="D262" s="1">
        <v>46063</v>
      </c>
      <c r="E262" s="445"/>
      <c r="F262" s="445"/>
      <c r="G262" s="2">
        <f t="shared" si="30"/>
        <v>160500</v>
      </c>
      <c r="H262" s="2">
        <f t="shared" si="31"/>
        <v>37149.224999999999</v>
      </c>
      <c r="K262" s="38" t="s">
        <v>129</v>
      </c>
      <c r="L262" s="6" t="s">
        <v>122</v>
      </c>
      <c r="M262" s="6" t="str">
        <f t="shared" si="32"/>
        <v>확인</v>
      </c>
      <c r="N262" s="34">
        <v>30</v>
      </c>
      <c r="O262" s="212">
        <v>5350</v>
      </c>
      <c r="P262" s="195">
        <v>45894</v>
      </c>
      <c r="Q262" s="8" t="s">
        <v>113</v>
      </c>
      <c r="R262" s="212">
        <v>6600</v>
      </c>
      <c r="S262" s="8">
        <v>46057</v>
      </c>
      <c r="T262" s="2">
        <f t="shared" si="33"/>
        <v>350.77499999999998</v>
      </c>
    </row>
    <row r="263" spans="3:20" x14ac:dyDescent="0.4">
      <c r="C263" s="1">
        <v>45807</v>
      </c>
      <c r="D263" s="1">
        <v>46063</v>
      </c>
      <c r="E263" s="445"/>
      <c r="F263" s="445"/>
      <c r="G263" s="2">
        <f t="shared" si="30"/>
        <v>955500</v>
      </c>
      <c r="H263" s="2">
        <f t="shared" si="31"/>
        <v>32723.174999999999</v>
      </c>
      <c r="K263" s="38" t="s">
        <v>129</v>
      </c>
      <c r="L263" s="6" t="s">
        <v>122</v>
      </c>
      <c r="M263" s="6" t="str">
        <f t="shared" si="32"/>
        <v>확인</v>
      </c>
      <c r="N263" s="34">
        <v>150</v>
      </c>
      <c r="O263" s="212">
        <v>6370</v>
      </c>
      <c r="P263" s="195">
        <v>45916</v>
      </c>
      <c r="Q263" s="8" t="s">
        <v>113</v>
      </c>
      <c r="R263" s="212">
        <v>6600</v>
      </c>
      <c r="S263" s="8">
        <v>46057</v>
      </c>
      <c r="T263" s="2">
        <f t="shared" si="33"/>
        <v>1776.825</v>
      </c>
    </row>
    <row r="264" spans="3:20" x14ac:dyDescent="0.4">
      <c r="C264" s="1">
        <v>45807</v>
      </c>
      <c r="D264" s="1">
        <v>46063</v>
      </c>
      <c r="E264" s="445"/>
      <c r="F264" s="445"/>
      <c r="G264" s="2">
        <f t="shared" si="30"/>
        <v>485600</v>
      </c>
      <c r="H264" s="2">
        <f t="shared" si="31"/>
        <v>73403.16</v>
      </c>
      <c r="K264" s="38" t="s">
        <v>129</v>
      </c>
      <c r="L264" s="6" t="s">
        <v>122</v>
      </c>
      <c r="M264" s="6" t="str">
        <f t="shared" si="32"/>
        <v>확인</v>
      </c>
      <c r="N264" s="34">
        <v>80</v>
      </c>
      <c r="O264" s="212">
        <v>6070</v>
      </c>
      <c r="P264" s="195">
        <v>45917</v>
      </c>
      <c r="Q264" s="8" t="s">
        <v>113</v>
      </c>
      <c r="R264" s="212">
        <v>7000</v>
      </c>
      <c r="S264" s="8">
        <v>46063</v>
      </c>
      <c r="T264" s="2">
        <f t="shared" si="33"/>
        <v>996.84</v>
      </c>
    </row>
    <row r="265" spans="3:20" x14ac:dyDescent="0.4">
      <c r="C265" s="1">
        <v>45807</v>
      </c>
      <c r="D265" s="1">
        <v>46063</v>
      </c>
      <c r="E265" s="445"/>
      <c r="F265" s="445"/>
      <c r="G265" s="2">
        <f t="shared" si="30"/>
        <v>357000</v>
      </c>
      <c r="H265" s="2">
        <f t="shared" si="31"/>
        <v>62253.45</v>
      </c>
      <c r="K265" s="38" t="s">
        <v>129</v>
      </c>
      <c r="L265" s="6" t="s">
        <v>122</v>
      </c>
      <c r="M265" s="6" t="str">
        <f t="shared" si="32"/>
        <v>확인</v>
      </c>
      <c r="N265" s="34">
        <v>60</v>
      </c>
      <c r="O265" s="212">
        <v>5950</v>
      </c>
      <c r="P265" s="195">
        <v>45922</v>
      </c>
      <c r="Q265" s="8" t="s">
        <v>113</v>
      </c>
      <c r="R265" s="212">
        <v>7000</v>
      </c>
      <c r="S265" s="8">
        <v>46063</v>
      </c>
      <c r="T265" s="2">
        <f t="shared" si="33"/>
        <v>746.55</v>
      </c>
    </row>
    <row r="266" spans="3:20" x14ac:dyDescent="0.4">
      <c r="C266" s="1">
        <v>45807</v>
      </c>
      <c r="D266" s="1">
        <v>46063</v>
      </c>
      <c r="E266" s="445"/>
      <c r="F266" s="445"/>
      <c r="G266" s="2">
        <f t="shared" si="30"/>
        <v>56000</v>
      </c>
      <c r="H266" s="2">
        <f t="shared" si="31"/>
        <v>9882.7000000000007</v>
      </c>
      <c r="K266" s="38" t="s">
        <v>129</v>
      </c>
      <c r="L266" s="6" t="s">
        <v>122</v>
      </c>
      <c r="M266" s="6" t="str">
        <f t="shared" si="32"/>
        <v>확인</v>
      </c>
      <c r="N266" s="34">
        <v>10</v>
      </c>
      <c r="O266" s="212">
        <v>5600</v>
      </c>
      <c r="P266" s="195">
        <v>45930</v>
      </c>
      <c r="Q266" s="8" t="s">
        <v>113</v>
      </c>
      <c r="R266" s="212">
        <v>6600</v>
      </c>
      <c r="S266" s="8">
        <v>46057</v>
      </c>
      <c r="T266" s="2">
        <f t="shared" si="33"/>
        <v>117.30000000000001</v>
      </c>
    </row>
    <row r="267" spans="3:20" x14ac:dyDescent="0.4">
      <c r="C267" s="1">
        <v>45807</v>
      </c>
      <c r="D267" s="1">
        <v>46063</v>
      </c>
      <c r="E267" s="445"/>
      <c r="F267" s="445"/>
      <c r="G267" s="2">
        <f t="shared" si="30"/>
        <v>111600</v>
      </c>
      <c r="H267" s="2">
        <f t="shared" si="31"/>
        <v>20165.46</v>
      </c>
      <c r="K267" s="38" t="s">
        <v>129</v>
      </c>
      <c r="L267" s="6" t="s">
        <v>122</v>
      </c>
      <c r="M267" s="6" t="str">
        <f t="shared" si="32"/>
        <v>확인</v>
      </c>
      <c r="N267" s="34">
        <v>20</v>
      </c>
      <c r="O267" s="212">
        <v>5580</v>
      </c>
      <c r="P267" s="195">
        <v>45940</v>
      </c>
      <c r="Q267" s="8" t="s">
        <v>113</v>
      </c>
      <c r="R267" s="212">
        <v>6600</v>
      </c>
      <c r="S267" s="8">
        <v>46057</v>
      </c>
      <c r="T267" s="2">
        <f t="shared" si="33"/>
        <v>234.54000000000002</v>
      </c>
    </row>
    <row r="268" spans="3:20" x14ac:dyDescent="0.4">
      <c r="C268" s="1">
        <v>45807</v>
      </c>
      <c r="D268" s="1">
        <v>46063</v>
      </c>
      <c r="E268" s="445"/>
      <c r="F268" s="445"/>
      <c r="G268" s="2">
        <f t="shared" si="30"/>
        <v>237600</v>
      </c>
      <c r="H268" s="2">
        <f t="shared" si="31"/>
        <v>69856.160000000003</v>
      </c>
      <c r="K268" s="38" t="s">
        <v>129</v>
      </c>
      <c r="L268" s="6" t="s">
        <v>122</v>
      </c>
      <c r="M268" s="6" t="str">
        <f t="shared" si="32"/>
        <v>확인</v>
      </c>
      <c r="N268" s="34">
        <v>44</v>
      </c>
      <c r="O268" s="212">
        <v>5400</v>
      </c>
      <c r="P268" s="195">
        <v>45943</v>
      </c>
      <c r="Q268" s="8" t="s">
        <v>113</v>
      </c>
      <c r="R268" s="212">
        <v>7000</v>
      </c>
      <c r="S268" s="8">
        <v>46063</v>
      </c>
      <c r="T268" s="2">
        <f t="shared" si="33"/>
        <v>543.84</v>
      </c>
    </row>
    <row r="269" spans="3:20" x14ac:dyDescent="0.4">
      <c r="C269" s="1">
        <v>45807</v>
      </c>
      <c r="D269" s="1">
        <v>46063</v>
      </c>
      <c r="E269" s="445"/>
      <c r="F269" s="445"/>
      <c r="G269" s="2">
        <f t="shared" si="30"/>
        <v>610000</v>
      </c>
      <c r="H269" s="2">
        <f t="shared" si="31"/>
        <v>88753.5</v>
      </c>
      <c r="K269" s="38" t="s">
        <v>129</v>
      </c>
      <c r="L269" s="6" t="s">
        <v>122</v>
      </c>
      <c r="M269" s="6" t="str">
        <f t="shared" si="32"/>
        <v>확인</v>
      </c>
      <c r="N269" s="34">
        <v>100</v>
      </c>
      <c r="O269" s="212">
        <v>6100</v>
      </c>
      <c r="P269" s="195">
        <v>46052</v>
      </c>
      <c r="Q269" s="8" t="s">
        <v>113</v>
      </c>
      <c r="R269" s="212">
        <v>7000</v>
      </c>
      <c r="S269" s="8">
        <v>46063</v>
      </c>
      <c r="T269" s="2">
        <f t="shared" si="33"/>
        <v>1246.5</v>
      </c>
    </row>
    <row r="270" spans="3:20" x14ac:dyDescent="0.4">
      <c r="C270" s="1">
        <v>45807</v>
      </c>
      <c r="D270" s="1">
        <v>46063</v>
      </c>
      <c r="E270" s="445"/>
      <c r="F270" s="445"/>
      <c r="G270" s="2">
        <f t="shared" si="30"/>
        <v>1905000</v>
      </c>
      <c r="H270" s="2">
        <f t="shared" si="31"/>
        <v>191249.25</v>
      </c>
      <c r="K270" s="38" t="s">
        <v>129</v>
      </c>
      <c r="L270" s="6" t="s">
        <v>122</v>
      </c>
      <c r="M270" s="6" t="str">
        <f t="shared" si="32"/>
        <v>확인</v>
      </c>
      <c r="N270" s="34">
        <v>300</v>
      </c>
      <c r="O270" s="212">
        <v>6350</v>
      </c>
      <c r="P270" s="195">
        <v>46058</v>
      </c>
      <c r="Q270" s="8" t="s">
        <v>113</v>
      </c>
      <c r="R270" s="212">
        <v>7000</v>
      </c>
      <c r="S270" s="8">
        <v>46063</v>
      </c>
      <c r="T270" s="2">
        <f t="shared" si="33"/>
        <v>3750.75</v>
      </c>
    </row>
    <row r="271" spans="3:20" x14ac:dyDescent="0.4">
      <c r="C271" s="1">
        <v>45807</v>
      </c>
      <c r="D271" s="1">
        <v>46063</v>
      </c>
      <c r="E271" s="445"/>
      <c r="F271" s="445"/>
      <c r="G271" s="2">
        <f t="shared" si="30"/>
        <v>640000</v>
      </c>
      <c r="H271" s="2">
        <f t="shared" si="31"/>
        <v>83707.75</v>
      </c>
      <c r="K271" s="38" t="s">
        <v>109</v>
      </c>
      <c r="L271" s="6" t="s">
        <v>122</v>
      </c>
      <c r="M271" s="6" t="str">
        <f t="shared" si="32"/>
        <v>확인</v>
      </c>
      <c r="N271" s="34">
        <v>100</v>
      </c>
      <c r="O271" s="212">
        <v>6400</v>
      </c>
      <c r="P271" s="195">
        <v>45924</v>
      </c>
      <c r="Q271" s="8" t="s">
        <v>113</v>
      </c>
      <c r="R271" s="212">
        <v>7250</v>
      </c>
      <c r="S271" s="8">
        <v>46063</v>
      </c>
      <c r="T271" s="2">
        <f t="shared" si="33"/>
        <v>1292.25</v>
      </c>
    </row>
    <row r="272" spans="3:20" x14ac:dyDescent="0.4">
      <c r="C272" s="1">
        <v>45807</v>
      </c>
      <c r="D272" s="1">
        <v>46063</v>
      </c>
      <c r="E272" s="444">
        <v>350000</v>
      </c>
      <c r="F272" s="444">
        <v>5964</v>
      </c>
      <c r="G272" s="2">
        <f t="shared" si="30"/>
        <v>111800</v>
      </c>
      <c r="H272" s="2">
        <f t="shared" si="31"/>
        <v>38934.080000000002</v>
      </c>
      <c r="K272" s="38" t="s">
        <v>109</v>
      </c>
      <c r="L272" s="6" t="s">
        <v>165</v>
      </c>
      <c r="M272" s="6" t="str">
        <f t="shared" si="32"/>
        <v>확인</v>
      </c>
      <c r="N272" s="34">
        <v>20</v>
      </c>
      <c r="O272" s="212">
        <v>5590</v>
      </c>
      <c r="P272" s="195">
        <v>45946</v>
      </c>
      <c r="Q272" s="8" t="s">
        <v>113</v>
      </c>
      <c r="R272" s="212">
        <v>7550</v>
      </c>
      <c r="S272" s="8">
        <v>46063</v>
      </c>
      <c r="T272" s="2">
        <f t="shared" si="33"/>
        <v>265.92</v>
      </c>
    </row>
    <row r="273" spans="3:20" x14ac:dyDescent="0.4">
      <c r="C273" s="1">
        <v>45807</v>
      </c>
      <c r="D273" s="1">
        <v>46063</v>
      </c>
      <c r="E273" s="445"/>
      <c r="F273" s="445"/>
      <c r="G273" s="2">
        <f t="shared" si="30"/>
        <v>106120</v>
      </c>
      <c r="H273" s="2">
        <f t="shared" si="31"/>
        <v>44614.932000000001</v>
      </c>
      <c r="K273" s="38" t="s">
        <v>109</v>
      </c>
      <c r="L273" s="6" t="s">
        <v>165</v>
      </c>
      <c r="M273" s="6" t="str">
        <f t="shared" si="32"/>
        <v>확인</v>
      </c>
      <c r="N273" s="34">
        <v>20</v>
      </c>
      <c r="O273" s="212">
        <v>5306</v>
      </c>
      <c r="P273" s="195">
        <v>45953</v>
      </c>
      <c r="Q273" s="8" t="s">
        <v>113</v>
      </c>
      <c r="R273" s="212">
        <v>7550</v>
      </c>
      <c r="S273" s="8">
        <v>46063</v>
      </c>
      <c r="T273" s="2">
        <f t="shared" si="33"/>
        <v>265.06799999999998</v>
      </c>
    </row>
    <row r="274" spans="3:20" x14ac:dyDescent="0.4">
      <c r="C274" s="1">
        <v>45807</v>
      </c>
      <c r="D274" s="1">
        <v>46063</v>
      </c>
      <c r="E274" s="445"/>
      <c r="F274" s="445"/>
      <c r="G274" s="2">
        <f t="shared" si="30"/>
        <v>214000</v>
      </c>
      <c r="H274" s="2">
        <f t="shared" si="31"/>
        <v>87469.6</v>
      </c>
      <c r="K274" s="38" t="s">
        <v>109</v>
      </c>
      <c r="L274" s="6" t="s">
        <v>122</v>
      </c>
      <c r="M274" s="6" t="str">
        <f t="shared" si="32"/>
        <v>확인</v>
      </c>
      <c r="N274" s="34">
        <v>40</v>
      </c>
      <c r="O274" s="212">
        <v>5350</v>
      </c>
      <c r="P274" s="195">
        <v>45957</v>
      </c>
      <c r="Q274" s="8" t="s">
        <v>113</v>
      </c>
      <c r="R274" s="212">
        <v>7550</v>
      </c>
      <c r="S274" s="8">
        <v>46063</v>
      </c>
      <c r="T274" s="2">
        <f t="shared" si="33"/>
        <v>530.4</v>
      </c>
    </row>
    <row r="275" spans="3:20" x14ac:dyDescent="0.4">
      <c r="C275" s="1">
        <v>45807</v>
      </c>
      <c r="D275" s="1">
        <v>46063</v>
      </c>
      <c r="E275" s="445"/>
      <c r="F275" s="445"/>
      <c r="G275" s="2">
        <f t="shared" si="30"/>
        <v>107000</v>
      </c>
      <c r="H275" s="2">
        <f t="shared" si="31"/>
        <v>43734.8</v>
      </c>
      <c r="K275" s="38" t="s">
        <v>109</v>
      </c>
      <c r="L275" s="6" t="s">
        <v>165</v>
      </c>
      <c r="M275" s="6" t="str">
        <f t="shared" si="32"/>
        <v>확인</v>
      </c>
      <c r="N275" s="34">
        <v>20</v>
      </c>
      <c r="O275" s="212">
        <v>5350</v>
      </c>
      <c r="P275" s="195">
        <v>45960</v>
      </c>
      <c r="Q275" s="8"/>
      <c r="R275" s="212">
        <v>7550</v>
      </c>
      <c r="S275" s="8">
        <v>46063</v>
      </c>
      <c r="T275" s="2">
        <f t="shared" si="33"/>
        <v>265.2</v>
      </c>
    </row>
    <row r="276" spans="3:20" x14ac:dyDescent="0.4">
      <c r="C276" s="1">
        <v>45807</v>
      </c>
      <c r="D276" s="1">
        <v>46063</v>
      </c>
      <c r="E276" s="445"/>
      <c r="F276" s="445"/>
      <c r="G276" s="2">
        <f t="shared" si="30"/>
        <v>105800</v>
      </c>
      <c r="H276" s="2">
        <f t="shared" si="31"/>
        <v>39543.89</v>
      </c>
      <c r="K276" s="38" t="s">
        <v>109</v>
      </c>
      <c r="L276" s="6" t="s">
        <v>165</v>
      </c>
      <c r="M276" s="6" t="str">
        <f t="shared" si="32"/>
        <v>확인</v>
      </c>
      <c r="N276" s="34">
        <v>20</v>
      </c>
      <c r="O276" s="212">
        <v>5290</v>
      </c>
      <c r="P276" s="195">
        <v>45967</v>
      </c>
      <c r="Q276" s="8"/>
      <c r="R276" s="212">
        <v>7280</v>
      </c>
      <c r="S276" s="8">
        <v>46063</v>
      </c>
      <c r="T276" s="2">
        <f t="shared" si="33"/>
        <v>256.11</v>
      </c>
    </row>
    <row r="277" spans="3:20" x14ac:dyDescent="0.4">
      <c r="C277" s="1">
        <v>45807</v>
      </c>
      <c r="D277" s="1">
        <v>46063</v>
      </c>
      <c r="E277" s="445"/>
      <c r="F277" s="445"/>
      <c r="G277" s="2">
        <f t="shared" si="30"/>
        <v>112600</v>
      </c>
      <c r="H277" s="2">
        <f t="shared" si="31"/>
        <v>32742.87</v>
      </c>
      <c r="K277" s="38" t="s">
        <v>109</v>
      </c>
      <c r="L277" s="6" t="s">
        <v>165</v>
      </c>
      <c r="M277" s="6" t="str">
        <f t="shared" si="32"/>
        <v>확인</v>
      </c>
      <c r="N277" s="34">
        <v>20</v>
      </c>
      <c r="O277" s="212">
        <v>5630</v>
      </c>
      <c r="P277" s="195">
        <v>45974</v>
      </c>
      <c r="Q277" s="8"/>
      <c r="R277" s="212">
        <v>7280</v>
      </c>
      <c r="S277" s="8">
        <v>46063</v>
      </c>
      <c r="T277" s="2">
        <f t="shared" si="33"/>
        <v>257.13</v>
      </c>
    </row>
    <row r="278" spans="3:20" x14ac:dyDescent="0.4">
      <c r="C278" s="1">
        <v>45807</v>
      </c>
      <c r="D278" s="1">
        <v>46063</v>
      </c>
      <c r="E278" s="445"/>
      <c r="F278" s="445"/>
      <c r="G278" s="2">
        <f t="shared" si="30"/>
        <v>119000</v>
      </c>
      <c r="H278" s="2">
        <f t="shared" si="31"/>
        <v>26341.91</v>
      </c>
      <c r="K278" s="38" t="s">
        <v>109</v>
      </c>
      <c r="L278" s="6" t="s">
        <v>165</v>
      </c>
      <c r="M278" s="6" t="str">
        <f t="shared" si="32"/>
        <v>확인</v>
      </c>
      <c r="N278" s="34">
        <v>20</v>
      </c>
      <c r="O278" s="212">
        <v>5950</v>
      </c>
      <c r="P278" s="195">
        <v>45981</v>
      </c>
      <c r="Q278" s="8"/>
      <c r="R278" s="212">
        <v>7280</v>
      </c>
      <c r="S278" s="8">
        <v>46063</v>
      </c>
      <c r="T278" s="2">
        <f t="shared" si="33"/>
        <v>258.09000000000003</v>
      </c>
    </row>
    <row r="279" spans="3:20" x14ac:dyDescent="0.4">
      <c r="C279" s="1">
        <v>45807</v>
      </c>
      <c r="D279" s="1">
        <v>46063</v>
      </c>
      <c r="E279" s="445"/>
      <c r="F279" s="445"/>
      <c r="G279" s="2">
        <f t="shared" si="30"/>
        <v>117800</v>
      </c>
      <c r="H279" s="2">
        <f t="shared" si="31"/>
        <v>27542.09</v>
      </c>
      <c r="K279" s="38" t="s">
        <v>109</v>
      </c>
      <c r="L279" s="6" t="s">
        <v>165</v>
      </c>
      <c r="M279" s="6" t="str">
        <f t="shared" si="32"/>
        <v>확인</v>
      </c>
      <c r="N279" s="34">
        <v>20</v>
      </c>
      <c r="O279" s="212">
        <v>5890</v>
      </c>
      <c r="P279" s="195">
        <v>45988</v>
      </c>
      <c r="Q279" s="8"/>
      <c r="R279" s="212">
        <v>7280</v>
      </c>
      <c r="S279" s="8">
        <v>46063</v>
      </c>
      <c r="T279" s="2">
        <f t="shared" si="33"/>
        <v>257.91000000000003</v>
      </c>
    </row>
    <row r="280" spans="3:20" x14ac:dyDescent="0.4">
      <c r="C280" s="1">
        <v>45807</v>
      </c>
      <c r="D280" s="1">
        <v>46063</v>
      </c>
      <c r="E280" s="445"/>
      <c r="F280" s="445"/>
      <c r="G280" s="2">
        <f t="shared" si="30"/>
        <v>132600</v>
      </c>
      <c r="H280" s="2">
        <f t="shared" si="31"/>
        <v>12739.87</v>
      </c>
      <c r="K280" s="38" t="s">
        <v>109</v>
      </c>
      <c r="L280" s="6" t="s">
        <v>165</v>
      </c>
      <c r="M280" s="6" t="str">
        <f t="shared" si="32"/>
        <v>확인</v>
      </c>
      <c r="N280" s="34">
        <v>20</v>
      </c>
      <c r="O280" s="212">
        <v>6630</v>
      </c>
      <c r="P280" s="195">
        <v>45995</v>
      </c>
      <c r="Q280" s="8"/>
      <c r="R280" s="212">
        <v>7280</v>
      </c>
      <c r="S280" s="8">
        <v>46063</v>
      </c>
      <c r="T280" s="2">
        <f t="shared" si="33"/>
        <v>260.13</v>
      </c>
    </row>
    <row r="281" spans="3:20" x14ac:dyDescent="0.4">
      <c r="C281" s="1" t="s">
        <v>654</v>
      </c>
      <c r="D281" s="1">
        <v>46067</v>
      </c>
      <c r="E281" s="2">
        <v>270000</v>
      </c>
      <c r="F281" s="2">
        <v>2254</v>
      </c>
    </row>
    <row r="282" spans="3:20" x14ac:dyDescent="0.4">
      <c r="C282" s="1">
        <v>45807</v>
      </c>
      <c r="D282" s="1">
        <v>46076</v>
      </c>
      <c r="E282" s="444">
        <v>650000</v>
      </c>
      <c r="F282" s="444">
        <v>9813</v>
      </c>
      <c r="G282" s="2">
        <f>N282*O282</f>
        <v>136100</v>
      </c>
      <c r="H282" s="2">
        <f>N282*R282-G282-T282</f>
        <v>14430.764999999999</v>
      </c>
      <c r="K282" s="38" t="s">
        <v>146</v>
      </c>
      <c r="L282" s="6" t="s">
        <v>165</v>
      </c>
      <c r="M282" s="6" t="str">
        <f>IF(OR($C282="신한",$C282="OTC",$C282="무상증자(신한)",$C282="토스",$C282="R토스"),1,"확인")</f>
        <v>확인</v>
      </c>
      <c r="N282" s="34">
        <v>10</v>
      </c>
      <c r="O282" s="212">
        <v>13610</v>
      </c>
      <c r="P282" s="195">
        <v>46059</v>
      </c>
      <c r="Q282" s="8"/>
      <c r="R282" s="212">
        <v>15080</v>
      </c>
      <c r="S282" s="8">
        <v>46076</v>
      </c>
      <c r="T282" s="2">
        <f>N282*O282*0.00015+R282*N282*(0.00015+0.0015)</f>
        <v>269.23500000000001</v>
      </c>
    </row>
    <row r="283" spans="3:20" x14ac:dyDescent="0.4">
      <c r="C283" s="1">
        <v>45807</v>
      </c>
      <c r="D283" s="1">
        <v>46076</v>
      </c>
      <c r="E283" s="445"/>
      <c r="F283" s="445"/>
      <c r="G283" s="2">
        <f>N283*O283</f>
        <v>5400000</v>
      </c>
      <c r="H283" s="2">
        <f>N283*R283-G283-T283</f>
        <v>621237.19999999995</v>
      </c>
      <c r="K283" s="38" t="s">
        <v>146</v>
      </c>
      <c r="L283" s="6" t="s">
        <v>122</v>
      </c>
      <c r="M283" s="6" t="str">
        <f>IF(OR($C283="신한",$C283="OTC",$C283="무상증자(신한)",$C283="토스",$C283="R토스"),1,"확인")</f>
        <v>확인</v>
      </c>
      <c r="N283" s="34">
        <v>400</v>
      </c>
      <c r="O283" s="212">
        <v>13500</v>
      </c>
      <c r="P283" s="195">
        <v>46059</v>
      </c>
      <c r="Q283" s="8"/>
      <c r="R283" s="212">
        <v>15080</v>
      </c>
      <c r="S283" s="8">
        <v>46076</v>
      </c>
      <c r="T283" s="2">
        <f>N283*O283*0.00015+R283*N283*(0.00015+0.0015)</f>
        <v>10762.8</v>
      </c>
    </row>
    <row r="284" spans="3:20" x14ac:dyDescent="0.4">
      <c r="C284" s="1">
        <v>45807</v>
      </c>
      <c r="D284" s="1">
        <v>46076</v>
      </c>
      <c r="E284" s="445"/>
      <c r="F284" s="445"/>
      <c r="G284" s="2">
        <f>N284*O284</f>
        <v>130000</v>
      </c>
      <c r="H284" s="2">
        <f>N284*R284-G284-T284</f>
        <v>20531.68</v>
      </c>
      <c r="K284" s="38" t="s">
        <v>146</v>
      </c>
      <c r="L284" s="6" t="s">
        <v>165</v>
      </c>
      <c r="M284" s="6" t="str">
        <f>IF(OR($C284="신한",$C284="OTC",$C284="무상증자(신한)",$C284="토스",$C284="R토스"),1,"확인")</f>
        <v>확인</v>
      </c>
      <c r="N284" s="34">
        <v>10</v>
      </c>
      <c r="O284" s="212">
        <v>13000</v>
      </c>
      <c r="P284" s="195">
        <v>46066</v>
      </c>
      <c r="Q284" s="8"/>
      <c r="R284" s="212">
        <v>15080</v>
      </c>
      <c r="S284" s="8">
        <v>46076</v>
      </c>
      <c r="T284" s="2">
        <f>N284*O284*0.00015+R284*N284*(0.00015+0.0015)</f>
        <v>268.32</v>
      </c>
    </row>
    <row r="285" spans="3:20" x14ac:dyDescent="0.4">
      <c r="C285" s="1">
        <v>45807</v>
      </c>
      <c r="D285" s="1">
        <v>46076</v>
      </c>
      <c r="E285" s="445"/>
      <c r="F285" s="445"/>
      <c r="G285" s="2">
        <f>N285*O285</f>
        <v>143100</v>
      </c>
      <c r="H285" s="2">
        <f>N285*R285-G285-T285</f>
        <v>7429.7150000000001</v>
      </c>
      <c r="K285" s="38" t="s">
        <v>146</v>
      </c>
      <c r="L285" s="6" t="s">
        <v>165</v>
      </c>
      <c r="M285" s="6" t="str">
        <f>IF(OR($C285="신한",$C285="OTC",$C285="무상증자(신한)",$C285="토스",$C285="R토스"),1,"확인")</f>
        <v>확인</v>
      </c>
      <c r="N285" s="34">
        <v>10</v>
      </c>
      <c r="O285" s="212">
        <v>14310</v>
      </c>
      <c r="P285" s="195">
        <v>46073</v>
      </c>
      <c r="Q285" s="8"/>
      <c r="R285" s="212">
        <v>15080</v>
      </c>
      <c r="S285" s="8">
        <v>46076</v>
      </c>
      <c r="T285" s="2">
        <f>N285*O285*0.00015+R285*N285*(0.00015+0.0015)</f>
        <v>270.28499999999997</v>
      </c>
    </row>
    <row r="286" spans="3:20" x14ac:dyDescent="0.4">
      <c r="C286" s="1" t="s">
        <v>653</v>
      </c>
      <c r="D286" s="1">
        <v>46078</v>
      </c>
      <c r="E286" s="2"/>
      <c r="F286" s="2">
        <v>25514</v>
      </c>
    </row>
    <row r="287" spans="3:20" x14ac:dyDescent="0.4">
      <c r="C287" s="1" t="s">
        <v>654</v>
      </c>
      <c r="D287" s="1">
        <v>46085</v>
      </c>
      <c r="E287" s="2">
        <v>1800000</v>
      </c>
      <c r="F287" s="2">
        <v>19736</v>
      </c>
    </row>
    <row r="288" spans="3:20" x14ac:dyDescent="0.4">
      <c r="C288" s="1" t="s">
        <v>654</v>
      </c>
      <c r="D288" s="1">
        <v>46102</v>
      </c>
      <c r="E288" s="2">
        <v>510000</v>
      </c>
      <c r="F288" s="2">
        <v>13064</v>
      </c>
    </row>
    <row r="289" spans="3:20" x14ac:dyDescent="0.4">
      <c r="C289" s="1" t="s">
        <v>653</v>
      </c>
      <c r="D289" s="374">
        <v>46106</v>
      </c>
      <c r="E289" s="375"/>
      <c r="F289" s="375">
        <v>41008</v>
      </c>
    </row>
    <row r="290" spans="3:20" x14ac:dyDescent="0.4">
      <c r="C290" s="1" t="s">
        <v>654</v>
      </c>
      <c r="D290" s="1">
        <v>46107</v>
      </c>
      <c r="E290" s="2">
        <v>840000</v>
      </c>
      <c r="F290" s="2">
        <v>698</v>
      </c>
    </row>
    <row r="291" spans="3:20" x14ac:dyDescent="0.4">
      <c r="C291" s="1">
        <v>45807</v>
      </c>
      <c r="D291" s="1">
        <v>46127</v>
      </c>
      <c r="E291" s="444">
        <v>300000</v>
      </c>
      <c r="F291" s="444">
        <v>38089</v>
      </c>
      <c r="G291" s="2">
        <f t="shared" ref="G291:G304" si="34">N291*O291</f>
        <v>68000</v>
      </c>
      <c r="H291" s="2">
        <f t="shared" ref="H291:H304" si="35">N291*R291-G291-T291</f>
        <v>3871</v>
      </c>
      <c r="K291" s="38" t="s">
        <v>131</v>
      </c>
      <c r="L291" s="6" t="s">
        <v>122</v>
      </c>
      <c r="M291" s="6" t="str">
        <f t="shared" ref="M291:M304" si="36">IF(OR($C291="신한",$C291="OTC",$C291="무상증자(신한)",$C291="토스",$C291="R토스"),1,"확인")</f>
        <v>확인</v>
      </c>
      <c r="N291" s="34">
        <v>10</v>
      </c>
      <c r="O291" s="212">
        <v>6800</v>
      </c>
      <c r="P291" s="195">
        <v>45929</v>
      </c>
      <c r="Q291" s="8" t="s">
        <v>113</v>
      </c>
      <c r="R291" s="212">
        <v>7200</v>
      </c>
      <c r="S291" s="8">
        <v>46127</v>
      </c>
      <c r="T291" s="2">
        <f t="shared" ref="T291:T304" si="37">N291*O291*0.00015+R291*N291*(0.00015+0.0015)</f>
        <v>129</v>
      </c>
    </row>
    <row r="292" spans="3:20" x14ac:dyDescent="0.4">
      <c r="C292" s="1">
        <v>45807</v>
      </c>
      <c r="D292" s="1">
        <v>46127</v>
      </c>
      <c r="E292" s="445"/>
      <c r="F292" s="445"/>
      <c r="G292" s="2">
        <f t="shared" si="34"/>
        <v>63000</v>
      </c>
      <c r="H292" s="2">
        <f t="shared" si="35"/>
        <v>8871.75</v>
      </c>
      <c r="K292" s="38" t="s">
        <v>131</v>
      </c>
      <c r="L292" s="6" t="s">
        <v>122</v>
      </c>
      <c r="M292" s="6" t="str">
        <f t="shared" si="36"/>
        <v>확인</v>
      </c>
      <c r="N292" s="34">
        <v>10</v>
      </c>
      <c r="O292" s="212">
        <v>6300</v>
      </c>
      <c r="P292" s="195">
        <v>45929</v>
      </c>
      <c r="Q292" s="8" t="s">
        <v>113</v>
      </c>
      <c r="R292" s="212">
        <v>7200</v>
      </c>
      <c r="S292" s="8">
        <v>46127</v>
      </c>
      <c r="T292" s="2">
        <f t="shared" si="37"/>
        <v>128.25</v>
      </c>
    </row>
    <row r="293" spans="3:20" x14ac:dyDescent="0.4">
      <c r="C293" s="1">
        <v>45807</v>
      </c>
      <c r="D293" s="1">
        <v>46127</v>
      </c>
      <c r="E293" s="445"/>
      <c r="F293" s="445"/>
      <c r="G293" s="2">
        <f t="shared" si="34"/>
        <v>141000</v>
      </c>
      <c r="H293" s="2">
        <f t="shared" si="35"/>
        <v>2741.25</v>
      </c>
      <c r="K293" s="38" t="s">
        <v>131</v>
      </c>
      <c r="L293" s="6" t="s">
        <v>122</v>
      </c>
      <c r="M293" s="6" t="str">
        <f t="shared" si="36"/>
        <v>확인</v>
      </c>
      <c r="N293" s="34">
        <v>20</v>
      </c>
      <c r="O293" s="212">
        <v>7050</v>
      </c>
      <c r="P293" s="195">
        <v>45930</v>
      </c>
      <c r="Q293" s="8" t="s">
        <v>113</v>
      </c>
      <c r="R293" s="212">
        <v>7200</v>
      </c>
      <c r="S293" s="8">
        <v>46127</v>
      </c>
      <c r="T293" s="2">
        <f t="shared" si="37"/>
        <v>258.75</v>
      </c>
    </row>
    <row r="294" spans="3:20" x14ac:dyDescent="0.4">
      <c r="C294" s="1">
        <v>45807</v>
      </c>
      <c r="D294" s="1">
        <v>46127</v>
      </c>
      <c r="E294" s="445"/>
      <c r="F294" s="445"/>
      <c r="G294" s="2">
        <f t="shared" si="34"/>
        <v>201000</v>
      </c>
      <c r="H294" s="2">
        <f t="shared" si="35"/>
        <v>14613.45</v>
      </c>
      <c r="K294" s="38" t="s">
        <v>131</v>
      </c>
      <c r="L294" s="6" t="s">
        <v>122</v>
      </c>
      <c r="M294" s="6" t="str">
        <f t="shared" si="36"/>
        <v>확인</v>
      </c>
      <c r="N294" s="34">
        <v>30</v>
      </c>
      <c r="O294" s="212">
        <v>6700</v>
      </c>
      <c r="P294" s="195">
        <v>45930</v>
      </c>
      <c r="Q294" s="8" t="s">
        <v>113</v>
      </c>
      <c r="R294" s="212">
        <v>7200</v>
      </c>
      <c r="S294" s="8">
        <v>46127</v>
      </c>
      <c r="T294" s="2">
        <f t="shared" si="37"/>
        <v>386.54999999999995</v>
      </c>
    </row>
    <row r="295" spans="3:20" x14ac:dyDescent="0.4">
      <c r="C295" s="1">
        <v>45807</v>
      </c>
      <c r="D295" s="1">
        <v>46127</v>
      </c>
      <c r="E295" s="445"/>
      <c r="F295" s="445"/>
      <c r="G295" s="2">
        <f t="shared" si="34"/>
        <v>660000</v>
      </c>
      <c r="H295" s="2">
        <f t="shared" si="35"/>
        <v>58713</v>
      </c>
      <c r="K295" s="38" t="s">
        <v>131</v>
      </c>
      <c r="L295" s="6" t="s">
        <v>122</v>
      </c>
      <c r="M295" s="6" t="str">
        <f t="shared" si="36"/>
        <v>확인</v>
      </c>
      <c r="N295" s="34">
        <v>100</v>
      </c>
      <c r="O295" s="212">
        <v>6600</v>
      </c>
      <c r="P295" s="195">
        <v>45930</v>
      </c>
      <c r="Q295" s="8" t="s">
        <v>113</v>
      </c>
      <c r="R295" s="212">
        <v>7200</v>
      </c>
      <c r="S295" s="8">
        <v>46127</v>
      </c>
      <c r="T295" s="2">
        <f t="shared" si="37"/>
        <v>1287</v>
      </c>
    </row>
    <row r="296" spans="3:20" x14ac:dyDescent="0.4">
      <c r="C296" s="1">
        <v>45807</v>
      </c>
      <c r="D296" s="1">
        <v>46127</v>
      </c>
      <c r="E296" s="445"/>
      <c r="F296" s="445"/>
      <c r="G296" s="2">
        <f t="shared" si="34"/>
        <v>193500</v>
      </c>
      <c r="H296" s="2">
        <f t="shared" si="35"/>
        <v>22114.575000000001</v>
      </c>
      <c r="K296" s="38" t="s">
        <v>131</v>
      </c>
      <c r="L296" s="6" t="s">
        <v>122</v>
      </c>
      <c r="M296" s="6" t="str">
        <f t="shared" si="36"/>
        <v>확인</v>
      </c>
      <c r="N296" s="34">
        <v>30</v>
      </c>
      <c r="O296" s="212">
        <v>6450</v>
      </c>
      <c r="P296" s="195">
        <v>45930</v>
      </c>
      <c r="Q296" s="8" t="s">
        <v>113</v>
      </c>
      <c r="R296" s="212">
        <v>7200</v>
      </c>
      <c r="S296" s="8">
        <v>46127</v>
      </c>
      <c r="T296" s="2">
        <f t="shared" si="37"/>
        <v>385.42499999999995</v>
      </c>
    </row>
    <row r="297" spans="3:20" x14ac:dyDescent="0.4">
      <c r="C297" s="1">
        <v>45807</v>
      </c>
      <c r="D297" s="1">
        <v>46127</v>
      </c>
      <c r="E297" s="445"/>
      <c r="F297" s="445"/>
      <c r="G297" s="2">
        <f t="shared" si="34"/>
        <v>198000</v>
      </c>
      <c r="H297" s="2">
        <f t="shared" si="35"/>
        <v>17613.900000000001</v>
      </c>
      <c r="K297" s="38" t="s">
        <v>131</v>
      </c>
      <c r="L297" s="6" t="s">
        <v>122</v>
      </c>
      <c r="M297" s="6" t="str">
        <f t="shared" si="36"/>
        <v>확인</v>
      </c>
      <c r="N297" s="34">
        <v>30</v>
      </c>
      <c r="O297" s="212">
        <v>6600</v>
      </c>
      <c r="P297" s="195">
        <v>45931</v>
      </c>
      <c r="Q297" s="8" t="s">
        <v>113</v>
      </c>
      <c r="R297" s="212">
        <v>7200</v>
      </c>
      <c r="S297" s="8">
        <v>46127</v>
      </c>
      <c r="T297" s="2">
        <f t="shared" si="37"/>
        <v>386.09999999999997</v>
      </c>
    </row>
    <row r="298" spans="3:20" x14ac:dyDescent="0.4">
      <c r="C298" s="1">
        <v>45807</v>
      </c>
      <c r="D298" s="1">
        <v>46127</v>
      </c>
      <c r="E298" s="445"/>
      <c r="F298" s="445"/>
      <c r="G298" s="2">
        <f t="shared" si="34"/>
        <v>195000</v>
      </c>
      <c r="H298" s="2">
        <f t="shared" si="35"/>
        <v>20614.349999999999</v>
      </c>
      <c r="K298" s="38" t="s">
        <v>131</v>
      </c>
      <c r="L298" s="6" t="s">
        <v>122</v>
      </c>
      <c r="M298" s="6" t="str">
        <f t="shared" si="36"/>
        <v>확인</v>
      </c>
      <c r="N298" s="34">
        <v>30</v>
      </c>
      <c r="O298" s="212">
        <v>6500</v>
      </c>
      <c r="P298" s="195">
        <v>45932</v>
      </c>
      <c r="Q298" s="8" t="s">
        <v>113</v>
      </c>
      <c r="R298" s="212">
        <v>7200</v>
      </c>
      <c r="S298" s="8">
        <v>46127</v>
      </c>
      <c r="T298" s="2">
        <f t="shared" si="37"/>
        <v>385.65</v>
      </c>
    </row>
    <row r="299" spans="3:20" x14ac:dyDescent="0.4">
      <c r="C299" s="1">
        <v>45807</v>
      </c>
      <c r="D299" s="1">
        <v>46127</v>
      </c>
      <c r="E299" s="445"/>
      <c r="F299" s="445"/>
      <c r="G299" s="2">
        <f t="shared" si="34"/>
        <v>166400</v>
      </c>
      <c r="H299" s="2">
        <f t="shared" si="35"/>
        <v>20466.16</v>
      </c>
      <c r="K299" s="38" t="s">
        <v>131</v>
      </c>
      <c r="L299" s="6" t="s">
        <v>122</v>
      </c>
      <c r="M299" s="6" t="str">
        <f t="shared" si="36"/>
        <v>확인</v>
      </c>
      <c r="N299" s="34">
        <v>26</v>
      </c>
      <c r="O299" s="212">
        <v>6400</v>
      </c>
      <c r="P299" s="195">
        <v>45943</v>
      </c>
      <c r="Q299" s="8"/>
      <c r="R299" s="212">
        <v>7200</v>
      </c>
      <c r="S299" s="8">
        <v>46127</v>
      </c>
      <c r="T299" s="2">
        <f t="shared" si="37"/>
        <v>333.84</v>
      </c>
    </row>
    <row r="300" spans="3:20" x14ac:dyDescent="0.4">
      <c r="C300" s="1">
        <v>45807</v>
      </c>
      <c r="D300" s="1">
        <v>46127</v>
      </c>
      <c r="E300" s="445"/>
      <c r="F300" s="445"/>
      <c r="G300" s="2">
        <f t="shared" si="34"/>
        <v>660000</v>
      </c>
      <c r="H300" s="2">
        <f t="shared" si="35"/>
        <v>58713</v>
      </c>
      <c r="K300" s="38" t="s">
        <v>131</v>
      </c>
      <c r="L300" s="6" t="s">
        <v>122</v>
      </c>
      <c r="M300" s="6" t="str">
        <f t="shared" si="36"/>
        <v>확인</v>
      </c>
      <c r="N300" s="34">
        <v>100</v>
      </c>
      <c r="O300" s="212">
        <v>6600</v>
      </c>
      <c r="P300" s="195">
        <v>45951</v>
      </c>
      <c r="Q300" s="8"/>
      <c r="R300" s="212">
        <v>7200</v>
      </c>
      <c r="S300" s="8">
        <v>46127</v>
      </c>
      <c r="T300" s="2">
        <f t="shared" si="37"/>
        <v>1287</v>
      </c>
    </row>
    <row r="301" spans="3:20" x14ac:dyDescent="0.4">
      <c r="C301" s="1">
        <v>45807</v>
      </c>
      <c r="D301" s="1">
        <v>46127</v>
      </c>
      <c r="E301" s="445"/>
      <c r="F301" s="445"/>
      <c r="G301" s="2">
        <f t="shared" si="34"/>
        <v>712000</v>
      </c>
      <c r="H301" s="2">
        <f t="shared" si="35"/>
        <v>6705.2</v>
      </c>
      <c r="K301" s="38" t="s">
        <v>131</v>
      </c>
      <c r="L301" s="6" t="s">
        <v>122</v>
      </c>
      <c r="M301" s="6" t="str">
        <f t="shared" si="36"/>
        <v>확인</v>
      </c>
      <c r="N301" s="34">
        <v>100</v>
      </c>
      <c r="O301" s="212">
        <v>7120</v>
      </c>
      <c r="P301" s="195">
        <v>45959</v>
      </c>
      <c r="Q301" s="8"/>
      <c r="R301" s="212">
        <v>7200</v>
      </c>
      <c r="S301" s="8">
        <v>46127</v>
      </c>
      <c r="T301" s="2">
        <f t="shared" si="37"/>
        <v>1294.8</v>
      </c>
    </row>
    <row r="302" spans="3:20" x14ac:dyDescent="0.4">
      <c r="C302" s="1">
        <v>45807</v>
      </c>
      <c r="D302" s="1">
        <v>46127</v>
      </c>
      <c r="E302" s="445"/>
      <c r="F302" s="445"/>
      <c r="G302" s="2">
        <f t="shared" si="34"/>
        <v>325000</v>
      </c>
      <c r="H302" s="2">
        <f t="shared" si="35"/>
        <v>34357.25</v>
      </c>
      <c r="K302" s="38" t="s">
        <v>131</v>
      </c>
      <c r="L302" s="6" t="s">
        <v>122</v>
      </c>
      <c r="M302" s="6" t="str">
        <f t="shared" si="36"/>
        <v>확인</v>
      </c>
      <c r="N302" s="34">
        <v>50</v>
      </c>
      <c r="O302" s="212">
        <v>6500</v>
      </c>
      <c r="P302" s="195">
        <v>45961</v>
      </c>
      <c r="Q302" s="8"/>
      <c r="R302" s="212">
        <v>7200</v>
      </c>
      <c r="S302" s="8">
        <v>46127</v>
      </c>
      <c r="T302" s="2">
        <f t="shared" si="37"/>
        <v>642.75</v>
      </c>
    </row>
    <row r="303" spans="3:20" x14ac:dyDescent="0.4">
      <c r="C303" s="1">
        <v>45807</v>
      </c>
      <c r="D303" s="1">
        <v>46127</v>
      </c>
      <c r="E303" s="445"/>
      <c r="F303" s="445"/>
      <c r="G303" s="2">
        <f t="shared" si="34"/>
        <v>327500</v>
      </c>
      <c r="H303" s="2">
        <f t="shared" si="35"/>
        <v>31856.875</v>
      </c>
      <c r="K303" s="38" t="s">
        <v>131</v>
      </c>
      <c r="L303" s="6" t="s">
        <v>122</v>
      </c>
      <c r="M303" s="6" t="str">
        <f t="shared" si="36"/>
        <v>확인</v>
      </c>
      <c r="N303" s="34">
        <v>50</v>
      </c>
      <c r="O303" s="212">
        <v>6550</v>
      </c>
      <c r="P303" s="195">
        <v>45973</v>
      </c>
      <c r="Q303" s="8"/>
      <c r="R303" s="212">
        <v>7200</v>
      </c>
      <c r="S303" s="8">
        <v>46127</v>
      </c>
      <c r="T303" s="2">
        <f t="shared" si="37"/>
        <v>643.125</v>
      </c>
    </row>
    <row r="304" spans="3:20" x14ac:dyDescent="0.4">
      <c r="C304" s="1">
        <v>45807</v>
      </c>
      <c r="D304" s="1">
        <v>46127</v>
      </c>
      <c r="E304" s="445"/>
      <c r="F304" s="445"/>
      <c r="G304" s="2">
        <f t="shared" si="34"/>
        <v>178200</v>
      </c>
      <c r="H304" s="2">
        <f t="shared" si="35"/>
        <v>37416.870000000003</v>
      </c>
      <c r="K304" s="38" t="s">
        <v>131</v>
      </c>
      <c r="L304" s="6" t="s">
        <v>122</v>
      </c>
      <c r="M304" s="6" t="str">
        <f t="shared" si="36"/>
        <v>확인</v>
      </c>
      <c r="N304" s="34">
        <v>30</v>
      </c>
      <c r="O304" s="212">
        <v>5940</v>
      </c>
      <c r="P304" s="195">
        <v>45993</v>
      </c>
      <c r="Q304" s="8"/>
      <c r="R304" s="212">
        <v>7200</v>
      </c>
      <c r="S304" s="8">
        <v>46127</v>
      </c>
      <c r="T304" s="2">
        <f t="shared" si="37"/>
        <v>383.13</v>
      </c>
    </row>
  </sheetData>
  <mergeCells count="63">
    <mergeCell ref="E49:E56"/>
    <mergeCell ref="F291:F304"/>
    <mergeCell ref="F124:F128"/>
    <mergeCell ref="F180:F183"/>
    <mergeCell ref="E35:E48"/>
    <mergeCell ref="F189:F193"/>
    <mergeCell ref="E272:E280"/>
    <mergeCell ref="E101:E108"/>
    <mergeCell ref="E222:E240"/>
    <mergeCell ref="E137:E139"/>
    <mergeCell ref="F129:F133"/>
    <mergeCell ref="E94:E100"/>
    <mergeCell ref="F216:F221"/>
    <mergeCell ref="F35:F48"/>
    <mergeCell ref="E291:E304"/>
    <mergeCell ref="E118:E122"/>
    <mergeCell ref="F57:F63"/>
    <mergeCell ref="E109:E117"/>
    <mergeCell ref="F196:F198"/>
    <mergeCell ref="F118:F122"/>
    <mergeCell ref="E64:E68"/>
    <mergeCell ref="F109:F114"/>
    <mergeCell ref="F49:F56"/>
    <mergeCell ref="E152:E162"/>
    <mergeCell ref="E164:E173"/>
    <mergeCell ref="F146:F151"/>
    <mergeCell ref="E207:E215"/>
    <mergeCell ref="E175:E178"/>
    <mergeCell ref="E124:E128"/>
    <mergeCell ref="E196:E198"/>
    <mergeCell ref="E180:E183"/>
    <mergeCell ref="E88:E93"/>
    <mergeCell ref="E57:E63"/>
    <mergeCell ref="E189:E193"/>
    <mergeCell ref="F141:F142"/>
    <mergeCell ref="F64:F68"/>
    <mergeCell ref="E134:E136"/>
    <mergeCell ref="F152:F162"/>
    <mergeCell ref="F88:F93"/>
    <mergeCell ref="F272:F280"/>
    <mergeCell ref="F69:F87"/>
    <mergeCell ref="E282:E285"/>
    <mergeCell ref="F222:F240"/>
    <mergeCell ref="F134:F136"/>
    <mergeCell ref="F94:F100"/>
    <mergeCell ref="F200:F206"/>
    <mergeCell ref="F282:F285"/>
    <mergeCell ref="E69:E87"/>
    <mergeCell ref="F164:F173"/>
    <mergeCell ref="E129:E133"/>
    <mergeCell ref="F137:F139"/>
    <mergeCell ref="F259:F271"/>
    <mergeCell ref="F101:F108"/>
    <mergeCell ref="F244:F258"/>
    <mergeCell ref="E146:E151"/>
    <mergeCell ref="F115:F117"/>
    <mergeCell ref="F175:F178"/>
    <mergeCell ref="E259:E271"/>
    <mergeCell ref="E141:E142"/>
    <mergeCell ref="F207:F215"/>
    <mergeCell ref="E216:E221"/>
    <mergeCell ref="E200:E206"/>
    <mergeCell ref="E244:E258"/>
  </mergeCells>
  <phoneticPr fontId="9" type="noConversion"/>
  <pageMargins left="0.7" right="0.7" top="0.75" bottom="0.75" header="0.3" footer="0.3"/>
  <pageSetup paperSize="9" orientation="portrait" horizontalDpi="400" verticalDpi="4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5:P122"/>
  <sheetViews>
    <sheetView topLeftCell="A98" workbookViewId="0">
      <selection activeCell="O116" sqref="O116"/>
    </sheetView>
  </sheetViews>
  <sheetFormatPr defaultColWidth="9" defaultRowHeight="17.399999999999999" x14ac:dyDescent="0.4"/>
  <cols>
    <col min="1" max="1" width="9" style="128" customWidth="1"/>
    <col min="2" max="16384" width="9" style="128"/>
  </cols>
  <sheetData>
    <row r="5" spans="3:15" x14ac:dyDescent="0.4">
      <c r="D5" s="128" t="s">
        <v>655</v>
      </c>
    </row>
    <row r="6" spans="3:15" x14ac:dyDescent="0.4">
      <c r="D6" s="128" t="s">
        <v>656</v>
      </c>
      <c r="E6" s="128" t="s">
        <v>657</v>
      </c>
      <c r="F6" s="128" t="s">
        <v>658</v>
      </c>
      <c r="G6" s="128" t="s">
        <v>659</v>
      </c>
      <c r="H6" s="128" t="s">
        <v>660</v>
      </c>
      <c r="I6" s="128" t="s">
        <v>661</v>
      </c>
      <c r="J6" s="128" t="s">
        <v>662</v>
      </c>
      <c r="K6" s="128" t="s">
        <v>663</v>
      </c>
      <c r="L6" s="128" t="s">
        <v>664</v>
      </c>
      <c r="M6" s="128" t="s">
        <v>665</v>
      </c>
      <c r="N6" s="128" t="s">
        <v>666</v>
      </c>
      <c r="O6" s="128" t="s">
        <v>667</v>
      </c>
    </row>
    <row r="7" spans="3:15" x14ac:dyDescent="0.4">
      <c r="C7" s="128" t="s">
        <v>668</v>
      </c>
      <c r="D7" s="131"/>
      <c r="E7" s="131"/>
      <c r="F7" s="131"/>
      <c r="G7" s="131"/>
      <c r="H7" s="131"/>
      <c r="I7" s="131"/>
      <c r="J7" s="131"/>
      <c r="K7" s="131"/>
      <c r="L7" s="131"/>
      <c r="M7" s="131"/>
      <c r="N7" s="131">
        <f>N8+N10-N15</f>
        <v>154730</v>
      </c>
      <c r="O7" s="131">
        <f>O8+O10-O15</f>
        <v>257710</v>
      </c>
    </row>
    <row r="8" spans="3:15" x14ac:dyDescent="0.4">
      <c r="C8" s="128" t="s">
        <v>669</v>
      </c>
      <c r="D8" s="131"/>
      <c r="E8" s="131"/>
      <c r="F8" s="131"/>
      <c r="G8" s="131"/>
      <c r="H8" s="131"/>
      <c r="I8" s="131"/>
      <c r="J8" s="131"/>
      <c r="K8" s="131"/>
      <c r="L8" s="131"/>
      <c r="M8" s="131"/>
      <c r="N8" s="131">
        <v>128960</v>
      </c>
      <c r="O8" s="131">
        <v>154230</v>
      </c>
    </row>
    <row r="9" spans="3:15" x14ac:dyDescent="0.4">
      <c r="C9" s="128" t="s">
        <v>670</v>
      </c>
      <c r="D9" s="131">
        <f t="shared" ref="D9:O9" si="0">D8-D11-D12-D13-D14-D15</f>
        <v>0</v>
      </c>
      <c r="E9" s="131">
        <f t="shared" si="0"/>
        <v>0</v>
      </c>
      <c r="F9" s="131">
        <f t="shared" si="0"/>
        <v>0</v>
      </c>
      <c r="G9" s="131">
        <f t="shared" si="0"/>
        <v>0</v>
      </c>
      <c r="H9" s="131">
        <f t="shared" si="0"/>
        <v>0</v>
      </c>
      <c r="I9" s="131">
        <f t="shared" si="0"/>
        <v>0</v>
      </c>
      <c r="J9" s="131">
        <f t="shared" si="0"/>
        <v>0</v>
      </c>
      <c r="K9" s="131">
        <f t="shared" si="0"/>
        <v>0</v>
      </c>
      <c r="L9" s="131">
        <f t="shared" si="0"/>
        <v>0</v>
      </c>
      <c r="M9" s="131">
        <f t="shared" si="0"/>
        <v>0</v>
      </c>
      <c r="N9" s="131">
        <f t="shared" si="0"/>
        <v>93730</v>
      </c>
      <c r="O9" s="131">
        <f t="shared" si="0"/>
        <v>83060</v>
      </c>
    </row>
    <row r="10" spans="3:15" x14ac:dyDescent="0.4">
      <c r="C10" s="128" t="s">
        <v>671</v>
      </c>
      <c r="D10" s="131"/>
      <c r="E10" s="131"/>
      <c r="F10" s="131"/>
      <c r="G10" s="131"/>
      <c r="H10" s="131"/>
      <c r="I10" s="131"/>
      <c r="J10" s="131"/>
      <c r="K10" s="131"/>
      <c r="L10" s="131"/>
      <c r="M10" s="131"/>
      <c r="N10" s="131">
        <v>43670</v>
      </c>
      <c r="O10" s="131">
        <v>121380</v>
      </c>
    </row>
    <row r="11" spans="3:15" x14ac:dyDescent="0.4">
      <c r="C11" s="128" t="s">
        <v>672</v>
      </c>
      <c r="D11" s="131"/>
      <c r="E11" s="131"/>
      <c r="F11" s="131"/>
      <c r="G11" s="131"/>
      <c r="H11" s="131"/>
      <c r="I11" s="131"/>
      <c r="J11" s="131"/>
      <c r="K11" s="131"/>
      <c r="L11" s="131"/>
      <c r="M11" s="131"/>
      <c r="N11" s="131">
        <v>14500</v>
      </c>
      <c r="O11" s="131">
        <v>13200</v>
      </c>
    </row>
    <row r="12" spans="3:15" x14ac:dyDescent="0.4">
      <c r="C12" s="128" t="s">
        <v>673</v>
      </c>
      <c r="D12" s="131"/>
      <c r="E12" s="131"/>
      <c r="F12" s="131"/>
      <c r="G12" s="131"/>
      <c r="H12" s="131"/>
      <c r="I12" s="131"/>
      <c r="J12" s="131"/>
      <c r="K12" s="131"/>
      <c r="L12" s="131"/>
      <c r="M12" s="131"/>
      <c r="N12" s="131"/>
      <c r="O12" s="131">
        <f>12980+12980+6130</f>
        <v>32090</v>
      </c>
    </row>
    <row r="13" spans="3:15" x14ac:dyDescent="0.4">
      <c r="C13" s="128" t="s">
        <v>674</v>
      </c>
      <c r="D13" s="131"/>
      <c r="E13" s="131"/>
      <c r="F13" s="131"/>
      <c r="G13" s="131"/>
      <c r="H13" s="131"/>
      <c r="I13" s="131"/>
      <c r="J13" s="131"/>
      <c r="K13" s="131"/>
      <c r="L13" s="131"/>
      <c r="M13" s="131"/>
      <c r="N13" s="131">
        <v>2420</v>
      </c>
      <c r="O13" s="131">
        <v>7760</v>
      </c>
    </row>
    <row r="14" spans="3:15" x14ac:dyDescent="0.4">
      <c r="C14" s="128" t="s">
        <v>675</v>
      </c>
      <c r="D14" s="131"/>
      <c r="E14" s="131"/>
      <c r="F14" s="131"/>
      <c r="G14" s="131"/>
      <c r="H14" s="131"/>
      <c r="I14" s="131"/>
      <c r="J14" s="131"/>
      <c r="K14" s="131"/>
      <c r="L14" s="131"/>
      <c r="M14" s="131"/>
      <c r="N14" s="131">
        <v>410</v>
      </c>
      <c r="O14" s="131">
        <v>220</v>
      </c>
    </row>
    <row r="15" spans="3:15" x14ac:dyDescent="0.4">
      <c r="C15" s="128" t="s">
        <v>676</v>
      </c>
      <c r="D15" s="131"/>
      <c r="E15" s="131"/>
      <c r="F15" s="131"/>
      <c r="G15" s="131"/>
      <c r="H15" s="131"/>
      <c r="I15" s="131"/>
      <c r="J15" s="131"/>
      <c r="K15" s="131"/>
      <c r="L15" s="131"/>
      <c r="M15" s="131"/>
      <c r="N15" s="131">
        <v>17900</v>
      </c>
      <c r="O15" s="131">
        <v>17900</v>
      </c>
    </row>
    <row r="16" spans="3:15" x14ac:dyDescent="0.4">
      <c r="D16" s="131"/>
      <c r="E16" s="131"/>
      <c r="F16" s="131"/>
      <c r="G16" s="131"/>
      <c r="H16" s="131"/>
      <c r="I16" s="131"/>
      <c r="J16" s="131"/>
      <c r="K16" s="131"/>
      <c r="L16" s="131"/>
      <c r="M16" s="131"/>
      <c r="N16" s="131"/>
      <c r="O16" s="131"/>
    </row>
    <row r="17" spans="3:15" x14ac:dyDescent="0.4">
      <c r="D17" s="131" t="s">
        <v>677</v>
      </c>
      <c r="E17" s="131"/>
      <c r="F17" s="131"/>
      <c r="G17" s="131"/>
      <c r="H17" s="131"/>
      <c r="I17" s="131"/>
      <c r="J17" s="131"/>
      <c r="K17" s="131"/>
      <c r="L17" s="131"/>
      <c r="M17" s="131"/>
      <c r="N17" s="131"/>
      <c r="O17" s="131"/>
    </row>
    <row r="18" spans="3:15" x14ac:dyDescent="0.4">
      <c r="D18" s="128" t="s">
        <v>656</v>
      </c>
      <c r="E18" s="128" t="s">
        <v>657</v>
      </c>
      <c r="F18" s="128" t="s">
        <v>658</v>
      </c>
      <c r="G18" s="128" t="s">
        <v>659</v>
      </c>
      <c r="H18" s="128" t="s">
        <v>660</v>
      </c>
      <c r="I18" s="128" t="s">
        <v>661</v>
      </c>
      <c r="J18" s="128" t="s">
        <v>662</v>
      </c>
      <c r="K18" s="128" t="s">
        <v>663</v>
      </c>
      <c r="L18" s="128" t="s">
        <v>664</v>
      </c>
      <c r="M18" s="128" t="s">
        <v>665</v>
      </c>
      <c r="N18" s="128" t="s">
        <v>666</v>
      </c>
      <c r="O18" s="128" t="s">
        <v>667</v>
      </c>
    </row>
    <row r="19" spans="3:15" x14ac:dyDescent="0.4">
      <c r="C19" s="128" t="s">
        <v>668</v>
      </c>
      <c r="D19" s="131">
        <f t="shared" ref="D19:O19" si="1">D20+D22-D27</f>
        <v>223090</v>
      </c>
      <c r="E19" s="131">
        <f t="shared" si="1"/>
        <v>229820</v>
      </c>
      <c r="F19" s="131">
        <f t="shared" si="1"/>
        <v>181750</v>
      </c>
      <c r="G19" s="131">
        <f t="shared" si="1"/>
        <v>182970</v>
      </c>
      <c r="H19" s="131">
        <f t="shared" si="1"/>
        <v>135800</v>
      </c>
      <c r="I19" s="131">
        <f t="shared" si="1"/>
        <v>166610</v>
      </c>
      <c r="J19" s="131">
        <f t="shared" si="1"/>
        <v>131250</v>
      </c>
      <c r="K19" s="131">
        <f t="shared" si="1"/>
        <v>162250</v>
      </c>
      <c r="L19" s="131">
        <f t="shared" si="1"/>
        <v>118750</v>
      </c>
      <c r="M19" s="131">
        <f t="shared" si="1"/>
        <v>156080</v>
      </c>
      <c r="N19" s="131">
        <f t="shared" si="1"/>
        <v>162350</v>
      </c>
      <c r="O19" s="131">
        <f t="shared" si="1"/>
        <v>216480</v>
      </c>
    </row>
    <row r="20" spans="3:15" x14ac:dyDescent="0.4">
      <c r="C20" s="128" t="s">
        <v>669</v>
      </c>
      <c r="D20" s="131">
        <v>125660</v>
      </c>
      <c r="E20" s="131">
        <v>147570</v>
      </c>
      <c r="F20" s="131">
        <v>124510</v>
      </c>
      <c r="G20" s="131">
        <v>147900</v>
      </c>
      <c r="H20" s="131">
        <v>120150</v>
      </c>
      <c r="I20" s="131">
        <v>160350</v>
      </c>
      <c r="J20" s="131">
        <v>127430</v>
      </c>
      <c r="K20" s="131">
        <v>161840</v>
      </c>
      <c r="L20" s="131">
        <v>120620</v>
      </c>
      <c r="M20" s="131">
        <v>146580</v>
      </c>
      <c r="N20" s="131">
        <v>122860</v>
      </c>
      <c r="O20" s="131">
        <v>157890</v>
      </c>
    </row>
    <row r="21" spans="3:15" x14ac:dyDescent="0.4">
      <c r="C21" s="128" t="s">
        <v>670</v>
      </c>
      <c r="D21" s="131">
        <f t="shared" ref="D21:O21" si="2">D20-D23-D24-D25-D26-D27</f>
        <v>89500</v>
      </c>
      <c r="E21" s="131">
        <f t="shared" si="2"/>
        <v>88160</v>
      </c>
      <c r="F21" s="131">
        <f t="shared" si="2"/>
        <v>87530</v>
      </c>
      <c r="G21" s="131">
        <f t="shared" si="2"/>
        <v>87430</v>
      </c>
      <c r="H21" s="131">
        <f t="shared" si="2"/>
        <v>88510</v>
      </c>
      <c r="I21" s="131">
        <f t="shared" si="2"/>
        <v>88610</v>
      </c>
      <c r="J21" s="131">
        <f t="shared" si="2"/>
        <v>91270</v>
      </c>
      <c r="K21" s="131">
        <f t="shared" si="2"/>
        <v>87590</v>
      </c>
      <c r="L21" s="131">
        <f t="shared" si="2"/>
        <v>91410</v>
      </c>
      <c r="M21" s="131">
        <f t="shared" si="2"/>
        <v>87070</v>
      </c>
      <c r="N21" s="131">
        <f t="shared" si="2"/>
        <v>90270</v>
      </c>
      <c r="O21" s="131">
        <f t="shared" si="2"/>
        <v>90220</v>
      </c>
    </row>
    <row r="22" spans="3:15" x14ac:dyDescent="0.4">
      <c r="C22" s="128" t="s">
        <v>671</v>
      </c>
      <c r="D22" s="131">
        <v>115330</v>
      </c>
      <c r="E22" s="131">
        <v>100150</v>
      </c>
      <c r="F22" s="128">
        <v>75140</v>
      </c>
      <c r="G22" s="131">
        <v>52970</v>
      </c>
      <c r="H22" s="131">
        <v>33550</v>
      </c>
      <c r="I22" s="131">
        <v>24160</v>
      </c>
      <c r="J22" s="131">
        <v>21720</v>
      </c>
      <c r="K22" s="131">
        <v>18310</v>
      </c>
      <c r="L22" s="131">
        <v>16030</v>
      </c>
      <c r="M22" s="131">
        <v>27400</v>
      </c>
      <c r="N22" s="131">
        <v>57390</v>
      </c>
      <c r="O22" s="131">
        <v>76490</v>
      </c>
    </row>
    <row r="23" spans="3:15" x14ac:dyDescent="0.4">
      <c r="C23" s="128" t="s">
        <v>672</v>
      </c>
      <c r="D23" s="131">
        <v>10700</v>
      </c>
      <c r="E23" s="131">
        <v>10600</v>
      </c>
      <c r="F23" s="131">
        <v>10600</v>
      </c>
      <c r="G23" s="131">
        <v>10300</v>
      </c>
      <c r="H23" s="131">
        <v>12600</v>
      </c>
      <c r="I23" s="131">
        <v>13000</v>
      </c>
      <c r="J23" s="131">
        <v>16600</v>
      </c>
      <c r="K23" s="131">
        <v>20000</v>
      </c>
      <c r="L23" s="131">
        <v>10000</v>
      </c>
      <c r="M23" s="131">
        <v>10700</v>
      </c>
      <c r="N23" s="131">
        <v>10200</v>
      </c>
      <c r="O23" s="131">
        <v>12100</v>
      </c>
    </row>
    <row r="24" spans="3:15" x14ac:dyDescent="0.4">
      <c r="C24" s="128" t="s">
        <v>673</v>
      </c>
      <c r="D24" s="131"/>
      <c r="E24" s="131">
        <f>10740+11930+5070</f>
        <v>27740</v>
      </c>
      <c r="F24" s="131"/>
      <c r="G24" s="131">
        <f>10910+12130+5150</f>
        <v>28190</v>
      </c>
      <c r="H24" s="131"/>
      <c r="I24" s="131">
        <f>13980+15530+6600</f>
        <v>36110</v>
      </c>
      <c r="J24" s="131"/>
      <c r="K24" s="131">
        <f>13650+15170+6450</f>
        <v>35270</v>
      </c>
      <c r="L24" s="131"/>
      <c r="M24" s="131">
        <f>10490+11660+4950</f>
        <v>27100</v>
      </c>
      <c r="N24" s="131"/>
      <c r="O24" s="131">
        <f>12150+13500+5740</f>
        <v>31390</v>
      </c>
    </row>
    <row r="25" spans="3:15" x14ac:dyDescent="0.4">
      <c r="C25" s="128" t="s">
        <v>674</v>
      </c>
      <c r="D25" s="131">
        <v>6860</v>
      </c>
      <c r="E25" s="131">
        <v>2860</v>
      </c>
      <c r="F25" s="131">
        <v>8170</v>
      </c>
      <c r="G25" s="131">
        <v>3940</v>
      </c>
      <c r="H25" s="131">
        <v>830</v>
      </c>
      <c r="I25" s="131">
        <v>3550</v>
      </c>
      <c r="J25" s="131">
        <v>750</v>
      </c>
      <c r="K25" s="131">
        <v>760</v>
      </c>
      <c r="L25" s="131">
        <v>860</v>
      </c>
      <c r="M25" s="131">
        <v>3280</v>
      </c>
      <c r="N25" s="131">
        <v>4170</v>
      </c>
      <c r="O25" s="131">
        <v>5370</v>
      </c>
    </row>
    <row r="26" spans="3:15" x14ac:dyDescent="0.4">
      <c r="C26" s="128" t="s">
        <v>675</v>
      </c>
      <c r="D26" s="131">
        <v>700</v>
      </c>
      <c r="E26" s="131">
        <v>310</v>
      </c>
      <c r="F26" s="131">
        <v>310</v>
      </c>
      <c r="G26" s="131">
        <v>140</v>
      </c>
      <c r="H26" s="131">
        <v>310</v>
      </c>
      <c r="I26" s="131">
        <v>1180</v>
      </c>
      <c r="J26" s="131">
        <v>910</v>
      </c>
      <c r="K26" s="131">
        <v>320</v>
      </c>
      <c r="L26" s="131">
        <v>450</v>
      </c>
      <c r="M26" s="131">
        <v>530</v>
      </c>
      <c r="N26" s="131">
        <v>320</v>
      </c>
      <c r="O26" s="131">
        <v>910</v>
      </c>
    </row>
    <row r="27" spans="3:15" x14ac:dyDescent="0.4">
      <c r="C27" s="128" t="s">
        <v>676</v>
      </c>
      <c r="D27" s="131">
        <v>17900</v>
      </c>
      <c r="E27" s="131">
        <v>17900</v>
      </c>
      <c r="F27" s="131">
        <v>17900</v>
      </c>
      <c r="G27" s="131">
        <v>17900</v>
      </c>
      <c r="H27" s="131">
        <v>17900</v>
      </c>
      <c r="I27" s="131">
        <v>17900</v>
      </c>
      <c r="J27" s="131">
        <v>17900</v>
      </c>
      <c r="K27" s="131">
        <v>17900</v>
      </c>
      <c r="L27" s="131">
        <v>17900</v>
      </c>
      <c r="M27" s="131">
        <v>17900</v>
      </c>
      <c r="N27" s="131">
        <v>17900</v>
      </c>
      <c r="O27" s="131">
        <v>17900</v>
      </c>
    </row>
    <row r="28" spans="3:15" x14ac:dyDescent="0.4">
      <c r="D28" s="131"/>
      <c r="E28" s="131"/>
      <c r="F28" s="131"/>
      <c r="G28" s="131"/>
      <c r="H28" s="131"/>
      <c r="I28" s="131"/>
      <c r="J28" s="131"/>
      <c r="K28" s="131"/>
      <c r="L28" s="131"/>
      <c r="M28" s="131"/>
      <c r="N28" s="131"/>
      <c r="O28" s="131"/>
    </row>
    <row r="29" spans="3:15" x14ac:dyDescent="0.4">
      <c r="D29" s="131"/>
      <c r="E29" s="131"/>
      <c r="F29" s="131"/>
      <c r="G29" s="131"/>
      <c r="H29" s="131"/>
      <c r="I29" s="131"/>
      <c r="J29" s="131"/>
      <c r="K29" s="131"/>
      <c r="L29" s="131"/>
      <c r="M29" s="131"/>
      <c r="N29" s="131"/>
      <c r="O29" s="131"/>
    </row>
    <row r="30" spans="3:15" x14ac:dyDescent="0.4">
      <c r="D30" s="128" t="s">
        <v>678</v>
      </c>
      <c r="N30" s="128" t="s">
        <v>679</v>
      </c>
    </row>
    <row r="31" spans="3:15" x14ac:dyDescent="0.4">
      <c r="D31" s="128" t="s">
        <v>656</v>
      </c>
      <c r="E31" s="128" t="s">
        <v>657</v>
      </c>
      <c r="F31" s="128" t="s">
        <v>658</v>
      </c>
      <c r="G31" s="128" t="s">
        <v>659</v>
      </c>
      <c r="H31" s="128" t="s">
        <v>660</v>
      </c>
      <c r="I31" s="128" t="s">
        <v>661</v>
      </c>
      <c r="J31" s="128" t="s">
        <v>662</v>
      </c>
      <c r="K31" s="128" t="s">
        <v>663</v>
      </c>
      <c r="L31" s="128" t="s">
        <v>664</v>
      </c>
      <c r="M31" s="128" t="s">
        <v>665</v>
      </c>
      <c r="N31" s="128" t="s">
        <v>666</v>
      </c>
      <c r="O31" s="128" t="s">
        <v>667</v>
      </c>
    </row>
    <row r="32" spans="3:15" x14ac:dyDescent="0.4">
      <c r="C32" s="128" t="s">
        <v>668</v>
      </c>
      <c r="D32" s="131">
        <f t="shared" ref="D32:M32" si="3">D33+D35-D40</f>
        <v>201290</v>
      </c>
      <c r="E32" s="131">
        <f t="shared" si="3"/>
        <v>306540</v>
      </c>
      <c r="F32" s="131">
        <f t="shared" si="3"/>
        <v>123130</v>
      </c>
      <c r="G32" s="131">
        <f t="shared" si="3"/>
        <v>191510</v>
      </c>
      <c r="H32" s="131">
        <f t="shared" si="3"/>
        <v>131070</v>
      </c>
      <c r="I32" s="131">
        <f t="shared" si="3"/>
        <v>148950</v>
      </c>
      <c r="J32" s="131">
        <f t="shared" si="3"/>
        <v>128960</v>
      </c>
      <c r="K32" s="131">
        <f t="shared" si="3"/>
        <v>170380</v>
      </c>
      <c r="L32" s="131">
        <f t="shared" si="3"/>
        <v>120550</v>
      </c>
      <c r="M32" s="131">
        <f t="shared" si="3"/>
        <v>175690</v>
      </c>
      <c r="N32" s="131">
        <f>N33+N35+N36</f>
        <v>135530</v>
      </c>
      <c r="O32" s="131">
        <f>O33+O35+O36</f>
        <v>256460</v>
      </c>
    </row>
    <row r="33" spans="3:16" x14ac:dyDescent="0.4">
      <c r="C33" s="128" t="s">
        <v>669</v>
      </c>
      <c r="D33" s="131">
        <v>121890</v>
      </c>
      <c r="E33" s="131">
        <v>154590</v>
      </c>
      <c r="F33" s="131">
        <v>124220</v>
      </c>
      <c r="G33" s="131">
        <v>141900</v>
      </c>
      <c r="H33" s="131">
        <v>121780</v>
      </c>
      <c r="I33" s="131">
        <v>147860</v>
      </c>
      <c r="J33" s="131">
        <v>131440</v>
      </c>
      <c r="K33" s="131">
        <v>169170</v>
      </c>
      <c r="L33" s="131">
        <v>123990</v>
      </c>
      <c r="M33" s="131">
        <v>165310</v>
      </c>
      <c r="N33" s="131">
        <v>106000</v>
      </c>
      <c r="O33" s="131">
        <v>118000</v>
      </c>
    </row>
    <row r="34" spans="3:16" x14ac:dyDescent="0.4">
      <c r="C34" s="128" t="s">
        <v>670</v>
      </c>
      <c r="D34" s="131">
        <f t="shared" ref="D34:M34" si="4">D33-D36-D37-D38-D39-D40</f>
        <v>89220</v>
      </c>
      <c r="E34" s="131">
        <f t="shared" si="4"/>
        <v>93600</v>
      </c>
      <c r="F34" s="131">
        <f t="shared" si="4"/>
        <v>91900</v>
      </c>
      <c r="G34" s="131">
        <f t="shared" si="4"/>
        <v>84810</v>
      </c>
      <c r="H34" s="131">
        <f t="shared" si="4"/>
        <v>86620</v>
      </c>
      <c r="I34" s="131">
        <f t="shared" si="4"/>
        <v>87170</v>
      </c>
      <c r="J34" s="131">
        <f t="shared" si="4"/>
        <v>94960</v>
      </c>
      <c r="K34" s="131">
        <f t="shared" si="4"/>
        <v>87470</v>
      </c>
      <c r="L34" s="131">
        <f t="shared" si="4"/>
        <v>89670</v>
      </c>
      <c r="M34" s="131">
        <f t="shared" si="4"/>
        <v>97710</v>
      </c>
      <c r="N34" s="131">
        <f>N33-N38-N40</f>
        <v>57461</v>
      </c>
      <c r="O34" s="131">
        <f>O33-O38-O40</f>
        <v>67868</v>
      </c>
    </row>
    <row r="35" spans="3:16" x14ac:dyDescent="0.4">
      <c r="C35" s="128" t="s">
        <v>671</v>
      </c>
      <c r="D35" s="131">
        <v>97300</v>
      </c>
      <c r="E35" s="131">
        <v>169850</v>
      </c>
      <c r="F35" s="131">
        <v>16810</v>
      </c>
      <c r="G35" s="131">
        <v>67510</v>
      </c>
      <c r="H35" s="131">
        <v>27190</v>
      </c>
      <c r="I35" s="131">
        <v>18990</v>
      </c>
      <c r="J35" s="131">
        <v>15420</v>
      </c>
      <c r="K35" s="131">
        <v>19110</v>
      </c>
      <c r="L35" s="131">
        <v>14460</v>
      </c>
      <c r="M35" s="131">
        <v>29480</v>
      </c>
      <c r="N35" s="131">
        <v>29530</v>
      </c>
      <c r="O35" s="131">
        <v>81960</v>
      </c>
    </row>
    <row r="36" spans="3:16" x14ac:dyDescent="0.4">
      <c r="C36" s="128" t="s">
        <v>672</v>
      </c>
      <c r="D36" s="131">
        <v>10600</v>
      </c>
      <c r="E36" s="131">
        <v>9800</v>
      </c>
      <c r="F36" s="131">
        <v>10100</v>
      </c>
      <c r="G36" s="131">
        <v>9800</v>
      </c>
      <c r="H36" s="131">
        <v>10000</v>
      </c>
      <c r="I36" s="131">
        <v>10900</v>
      </c>
      <c r="J36" s="131">
        <v>16900</v>
      </c>
      <c r="K36" s="131">
        <v>29300</v>
      </c>
      <c r="L36" s="131">
        <v>14800</v>
      </c>
      <c r="M36" s="131">
        <v>13300</v>
      </c>
      <c r="N36" s="131"/>
      <c r="O36" s="131">
        <v>56500</v>
      </c>
    </row>
    <row r="37" spans="3:16" x14ac:dyDescent="0.4">
      <c r="C37" s="128" t="s">
        <v>673</v>
      </c>
      <c r="D37" s="131"/>
      <c r="E37" s="131">
        <f>10190+11320+4810</f>
        <v>26320</v>
      </c>
      <c r="F37" s="131"/>
      <c r="G37" s="131">
        <f>10980+12200+5190</f>
        <v>28370</v>
      </c>
      <c r="H37" s="131"/>
      <c r="I37" s="131">
        <f>11810+13120+5580</f>
        <v>30510</v>
      </c>
      <c r="J37" s="131"/>
      <c r="K37" s="131">
        <f>12680+14090+5990</f>
        <v>32760</v>
      </c>
      <c r="L37" s="131"/>
      <c r="M37" s="131">
        <f>12960+14400+6120</f>
        <v>33480</v>
      </c>
      <c r="N37" s="131"/>
      <c r="O37" s="131">
        <f>12830+12080+5130</f>
        <v>30040</v>
      </c>
    </row>
    <row r="38" spans="3:16" x14ac:dyDescent="0.4">
      <c r="C38" s="128" t="s">
        <v>674</v>
      </c>
      <c r="D38" s="131">
        <v>3800</v>
      </c>
      <c r="E38" s="131">
        <v>6620</v>
      </c>
      <c r="F38" s="131">
        <v>3740</v>
      </c>
      <c r="G38" s="131">
        <v>710</v>
      </c>
      <c r="H38" s="131">
        <v>6250</v>
      </c>
      <c r="I38" s="131">
        <v>930</v>
      </c>
      <c r="J38" s="131">
        <v>960</v>
      </c>
      <c r="K38" s="131">
        <v>1240</v>
      </c>
      <c r="L38" s="131">
        <v>1010</v>
      </c>
      <c r="M38" s="131">
        <v>1140</v>
      </c>
      <c r="N38" s="131">
        <v>8539</v>
      </c>
      <c r="O38" s="131">
        <v>10132</v>
      </c>
    </row>
    <row r="39" spans="3:16" x14ac:dyDescent="0.4">
      <c r="C39" s="128" t="s">
        <v>675</v>
      </c>
      <c r="D39" s="131">
        <v>370</v>
      </c>
      <c r="E39" s="131">
        <v>350</v>
      </c>
      <c r="F39" s="131">
        <v>580</v>
      </c>
      <c r="G39" s="131">
        <v>310</v>
      </c>
      <c r="H39" s="131">
        <v>1010</v>
      </c>
      <c r="I39" s="131">
        <v>450</v>
      </c>
      <c r="J39" s="131">
        <v>720</v>
      </c>
      <c r="K39" s="131">
        <v>500</v>
      </c>
      <c r="L39" s="131">
        <v>610</v>
      </c>
      <c r="M39" s="131">
        <v>580</v>
      </c>
      <c r="N39" s="131"/>
      <c r="O39" s="131"/>
    </row>
    <row r="40" spans="3:16" x14ac:dyDescent="0.4">
      <c r="C40" s="128" t="s">
        <v>676</v>
      </c>
      <c r="D40" s="131">
        <v>17900</v>
      </c>
      <c r="E40" s="131">
        <v>17900</v>
      </c>
      <c r="F40" s="131">
        <v>17900</v>
      </c>
      <c r="G40" s="131">
        <v>17900</v>
      </c>
      <c r="H40" s="131">
        <v>17900</v>
      </c>
      <c r="I40" s="131">
        <v>17900</v>
      </c>
      <c r="J40" s="131">
        <v>17900</v>
      </c>
      <c r="K40" s="131">
        <v>17900</v>
      </c>
      <c r="L40" s="131">
        <v>17900</v>
      </c>
      <c r="M40" s="131">
        <v>19100</v>
      </c>
      <c r="N40" s="131">
        <v>40000</v>
      </c>
      <c r="O40" s="131">
        <v>40000</v>
      </c>
    </row>
    <row r="41" spans="3:16" x14ac:dyDescent="0.4">
      <c r="D41" s="131"/>
      <c r="E41" s="131"/>
      <c r="F41" s="131"/>
      <c r="G41" s="131"/>
      <c r="H41" s="131"/>
      <c r="I41" s="131"/>
      <c r="J41" s="131"/>
      <c r="K41" s="131"/>
      <c r="L41" s="131"/>
      <c r="M41" s="131"/>
      <c r="N41" s="131"/>
      <c r="O41" s="131"/>
    </row>
    <row r="42" spans="3:16" x14ac:dyDescent="0.4">
      <c r="D42" s="128" t="s">
        <v>680</v>
      </c>
    </row>
    <row r="43" spans="3:16" x14ac:dyDescent="0.4">
      <c r="D43" s="128" t="s">
        <v>656</v>
      </c>
      <c r="E43" s="128" t="s">
        <v>657</v>
      </c>
      <c r="F43" s="128" t="s">
        <v>658</v>
      </c>
      <c r="G43" s="128" t="s">
        <v>659</v>
      </c>
      <c r="H43" s="128" t="s">
        <v>660</v>
      </c>
      <c r="I43" s="128" t="s">
        <v>661</v>
      </c>
      <c r="J43" s="128" t="s">
        <v>662</v>
      </c>
      <c r="K43" s="128" t="s">
        <v>663</v>
      </c>
      <c r="L43" s="128" t="s">
        <v>664</v>
      </c>
      <c r="M43" s="128" t="s">
        <v>665</v>
      </c>
      <c r="N43" s="128" t="s">
        <v>666</v>
      </c>
      <c r="O43" s="128" t="s">
        <v>667</v>
      </c>
    </row>
    <row r="44" spans="3:16" x14ac:dyDescent="0.4">
      <c r="C44" s="128" t="s">
        <v>668</v>
      </c>
      <c r="D44" s="131">
        <f t="shared" ref="D44:O44" si="5">D45+D47+D48+D49</f>
        <v>234360</v>
      </c>
      <c r="E44" s="131">
        <f t="shared" si="5"/>
        <v>248800</v>
      </c>
      <c r="F44" s="131">
        <f t="shared" si="5"/>
        <v>174210</v>
      </c>
      <c r="G44" s="131">
        <f t="shared" si="5"/>
        <v>215520</v>
      </c>
      <c r="H44" s="131">
        <f t="shared" si="5"/>
        <v>174440</v>
      </c>
      <c r="I44" s="131">
        <f t="shared" si="5"/>
        <v>205680</v>
      </c>
      <c r="J44" s="131">
        <f t="shared" si="5"/>
        <v>166850</v>
      </c>
      <c r="K44" s="131">
        <f t="shared" si="5"/>
        <v>262570</v>
      </c>
      <c r="L44" s="131">
        <f t="shared" si="5"/>
        <v>167960</v>
      </c>
      <c r="M44" s="131">
        <f t="shared" si="5"/>
        <v>202360</v>
      </c>
      <c r="N44" s="131">
        <f t="shared" si="5"/>
        <v>180820</v>
      </c>
      <c r="O44" s="131">
        <f t="shared" si="5"/>
        <v>247780</v>
      </c>
      <c r="P44" s="131"/>
    </row>
    <row r="45" spans="3:16" x14ac:dyDescent="0.4">
      <c r="C45" s="128" t="s">
        <v>669</v>
      </c>
      <c r="D45" s="131">
        <v>108000</v>
      </c>
      <c r="E45" s="131">
        <v>118000</v>
      </c>
      <c r="F45" s="131">
        <v>116000</v>
      </c>
      <c r="G45" s="131">
        <v>125000</v>
      </c>
      <c r="H45" s="131">
        <v>114000</v>
      </c>
      <c r="I45" s="131">
        <v>116000</v>
      </c>
      <c r="J45" s="131">
        <v>120000</v>
      </c>
      <c r="K45" s="131">
        <v>123000</v>
      </c>
      <c r="L45" s="131">
        <v>117000</v>
      </c>
      <c r="M45" s="131">
        <v>123000</v>
      </c>
      <c r="N45" s="131">
        <v>111000</v>
      </c>
      <c r="O45" s="131">
        <v>113000</v>
      </c>
      <c r="P45" s="131"/>
    </row>
    <row r="46" spans="3:16" x14ac:dyDescent="0.4">
      <c r="C46" s="128" t="s">
        <v>670</v>
      </c>
      <c r="D46" s="131">
        <f t="shared" ref="D46:O46" si="6">D45-D50-D52</f>
        <v>57137</v>
      </c>
      <c r="E46" s="131">
        <f t="shared" si="6"/>
        <v>66363</v>
      </c>
      <c r="F46" s="131">
        <f t="shared" si="6"/>
        <v>64993</v>
      </c>
      <c r="G46" s="131">
        <f t="shared" si="6"/>
        <v>76004</v>
      </c>
      <c r="H46" s="131">
        <f t="shared" si="6"/>
        <v>63000</v>
      </c>
      <c r="I46" s="131">
        <f t="shared" si="6"/>
        <v>67537</v>
      </c>
      <c r="J46" s="131">
        <f t="shared" si="6"/>
        <v>69726</v>
      </c>
      <c r="K46" s="131">
        <f t="shared" si="6"/>
        <v>72258</v>
      </c>
      <c r="L46" s="131">
        <f t="shared" si="6"/>
        <v>66043</v>
      </c>
      <c r="M46" s="131">
        <f t="shared" si="6"/>
        <v>73923</v>
      </c>
      <c r="N46" s="131">
        <f t="shared" si="6"/>
        <v>62425</v>
      </c>
      <c r="O46" s="131">
        <f t="shared" si="6"/>
        <v>62722</v>
      </c>
      <c r="P46" s="131"/>
    </row>
    <row r="47" spans="3:16" x14ac:dyDescent="0.4">
      <c r="C47" s="128" t="s">
        <v>671</v>
      </c>
      <c r="D47" s="131">
        <v>83080</v>
      </c>
      <c r="E47" s="131">
        <v>62910</v>
      </c>
      <c r="F47" s="131">
        <v>27750</v>
      </c>
      <c r="G47" s="131">
        <v>25130</v>
      </c>
      <c r="H47" s="131">
        <v>27750</v>
      </c>
      <c r="I47" s="131">
        <v>17720</v>
      </c>
      <c r="J47" s="131">
        <v>11740</v>
      </c>
      <c r="K47" s="131">
        <v>10790</v>
      </c>
      <c r="L47" s="131">
        <v>15030</v>
      </c>
      <c r="M47" s="131">
        <v>18360</v>
      </c>
      <c r="N47" s="131">
        <v>44120</v>
      </c>
      <c r="O47" s="131">
        <v>72120</v>
      </c>
      <c r="P47" s="131"/>
    </row>
    <row r="48" spans="3:16" x14ac:dyDescent="0.4">
      <c r="C48" s="128" t="s">
        <v>672</v>
      </c>
      <c r="D48" s="131">
        <v>43280</v>
      </c>
      <c r="E48" s="131">
        <v>35240</v>
      </c>
      <c r="F48" s="131">
        <v>30460</v>
      </c>
      <c r="G48" s="131">
        <v>33310</v>
      </c>
      <c r="H48" s="131">
        <v>32690</v>
      </c>
      <c r="I48" s="131">
        <v>36520</v>
      </c>
      <c r="J48" s="131">
        <v>35110</v>
      </c>
      <c r="K48" s="131">
        <v>95300</v>
      </c>
      <c r="L48" s="131">
        <v>35930</v>
      </c>
      <c r="M48" s="131">
        <v>25440</v>
      </c>
      <c r="N48" s="131">
        <v>25700</v>
      </c>
      <c r="O48" s="131">
        <v>27490</v>
      </c>
      <c r="P48" s="131"/>
    </row>
    <row r="49" spans="3:16" x14ac:dyDescent="0.4">
      <c r="C49" s="128" t="s">
        <v>673</v>
      </c>
      <c r="D49" s="157"/>
      <c r="E49" s="131">
        <v>32650</v>
      </c>
      <c r="F49" s="157"/>
      <c r="G49" s="131">
        <v>32080</v>
      </c>
      <c r="H49" s="157"/>
      <c r="I49" s="131">
        <v>35440</v>
      </c>
      <c r="J49" s="157"/>
      <c r="K49" s="131">
        <v>33480</v>
      </c>
      <c r="L49" s="157"/>
      <c r="M49" s="131">
        <v>35560</v>
      </c>
      <c r="N49" s="157"/>
      <c r="O49" s="131">
        <v>35170</v>
      </c>
      <c r="P49" s="131"/>
    </row>
    <row r="50" spans="3:16" x14ac:dyDescent="0.4">
      <c r="C50" s="128" t="s">
        <v>674</v>
      </c>
      <c r="D50" s="131">
        <v>10863</v>
      </c>
      <c r="E50" s="131">
        <v>11637</v>
      </c>
      <c r="F50" s="131">
        <v>11007</v>
      </c>
      <c r="G50" s="131">
        <v>8996</v>
      </c>
      <c r="H50" s="131">
        <v>11000</v>
      </c>
      <c r="I50" s="131">
        <v>8463</v>
      </c>
      <c r="J50" s="131">
        <v>10274</v>
      </c>
      <c r="K50" s="131">
        <v>10742</v>
      </c>
      <c r="L50" s="131">
        <v>10957</v>
      </c>
      <c r="M50" s="131">
        <v>9077</v>
      </c>
      <c r="N50" s="131">
        <v>8575</v>
      </c>
      <c r="O50" s="131">
        <v>10278</v>
      </c>
      <c r="P50" s="131"/>
    </row>
    <row r="51" spans="3:16" x14ac:dyDescent="0.4">
      <c r="D51" s="131"/>
      <c r="E51" s="131"/>
      <c r="F51" s="131"/>
      <c r="G51" s="131"/>
      <c r="H51" s="131"/>
      <c r="I51" s="131"/>
      <c r="J51" s="131"/>
      <c r="K51" s="131"/>
      <c r="L51" s="131"/>
      <c r="M51" s="131"/>
      <c r="N51" s="131"/>
      <c r="O51" s="131"/>
      <c r="P51" s="131"/>
    </row>
    <row r="52" spans="3:16" x14ac:dyDescent="0.4">
      <c r="C52" s="128" t="s">
        <v>676</v>
      </c>
      <c r="D52" s="131">
        <v>40000</v>
      </c>
      <c r="E52" s="131">
        <v>40000</v>
      </c>
      <c r="F52" s="131">
        <v>40000</v>
      </c>
      <c r="G52" s="131">
        <v>40000</v>
      </c>
      <c r="H52" s="131">
        <v>40000</v>
      </c>
      <c r="I52" s="131">
        <v>40000</v>
      </c>
      <c r="J52" s="131">
        <v>40000</v>
      </c>
      <c r="K52" s="131">
        <v>40000</v>
      </c>
      <c r="L52" s="131">
        <v>40000</v>
      </c>
      <c r="M52" s="131">
        <v>40000</v>
      </c>
      <c r="N52" s="131">
        <v>40000</v>
      </c>
      <c r="O52" s="131">
        <v>40000</v>
      </c>
      <c r="P52" s="131"/>
    </row>
    <row r="53" spans="3:16" x14ac:dyDescent="0.4">
      <c r="D53" s="131"/>
      <c r="E53" s="131"/>
      <c r="F53" s="131"/>
      <c r="G53" s="131"/>
      <c r="H53" s="131"/>
      <c r="I53" s="131"/>
      <c r="J53" s="131"/>
      <c r="K53" s="131"/>
      <c r="L53" s="131"/>
      <c r="M53" s="131"/>
      <c r="N53" s="131"/>
      <c r="O53" s="131"/>
      <c r="P53" s="131"/>
    </row>
    <row r="55" spans="3:16" x14ac:dyDescent="0.4">
      <c r="D55" s="128" t="s">
        <v>681</v>
      </c>
    </row>
    <row r="56" spans="3:16" x14ac:dyDescent="0.4">
      <c r="D56" s="128" t="s">
        <v>656</v>
      </c>
      <c r="E56" s="128" t="s">
        <v>657</v>
      </c>
      <c r="F56" s="128" t="s">
        <v>658</v>
      </c>
      <c r="G56" s="128" t="s">
        <v>659</v>
      </c>
      <c r="H56" s="128" t="s">
        <v>660</v>
      </c>
      <c r="I56" s="128" t="s">
        <v>661</v>
      </c>
      <c r="J56" s="128" t="s">
        <v>662</v>
      </c>
      <c r="K56" s="128" t="s">
        <v>663</v>
      </c>
      <c r="L56" s="128" t="s">
        <v>664</v>
      </c>
      <c r="M56" s="128" t="s">
        <v>665</v>
      </c>
      <c r="N56" s="128" t="s">
        <v>666</v>
      </c>
      <c r="O56" s="128" t="s">
        <v>667</v>
      </c>
    </row>
    <row r="57" spans="3:16" x14ac:dyDescent="0.4">
      <c r="C57" s="128" t="s">
        <v>668</v>
      </c>
      <c r="D57" s="131">
        <f t="shared" ref="D57:M57" si="7">D58+D60+D63+D65</f>
        <v>225440</v>
      </c>
      <c r="E57" s="131">
        <f t="shared" si="7"/>
        <v>260660</v>
      </c>
      <c r="F57" s="131">
        <f t="shared" si="7"/>
        <v>183380</v>
      </c>
      <c r="G57" s="131">
        <f t="shared" si="7"/>
        <v>196120</v>
      </c>
      <c r="H57" s="131">
        <f t="shared" si="7"/>
        <v>147600</v>
      </c>
      <c r="I57" s="131">
        <f t="shared" si="7"/>
        <v>186520</v>
      </c>
      <c r="J57" s="131">
        <f t="shared" si="7"/>
        <v>166300</v>
      </c>
      <c r="K57" s="131">
        <f t="shared" si="7"/>
        <v>197340</v>
      </c>
      <c r="L57" s="131">
        <f t="shared" si="7"/>
        <v>157470</v>
      </c>
      <c r="M57" s="131">
        <f t="shared" si="7"/>
        <v>188770</v>
      </c>
      <c r="N57" s="131">
        <f>N58+N63</f>
        <v>302840</v>
      </c>
      <c r="O57" s="131">
        <f>O58+O63</f>
        <v>459550</v>
      </c>
    </row>
    <row r="58" spans="3:16" x14ac:dyDescent="0.4">
      <c r="C58" s="128" t="s">
        <v>669</v>
      </c>
      <c r="D58" s="131">
        <v>113000</v>
      </c>
      <c r="E58" s="131">
        <v>118000</v>
      </c>
      <c r="F58" s="131">
        <v>114000</v>
      </c>
      <c r="G58" s="131">
        <v>111000</v>
      </c>
      <c r="H58" s="131">
        <v>111000</v>
      </c>
      <c r="I58" s="131">
        <v>118000</v>
      </c>
      <c r="J58" s="131">
        <v>124000</v>
      </c>
      <c r="K58" s="131">
        <v>121000</v>
      </c>
      <c r="L58" s="131">
        <v>118000</v>
      </c>
      <c r="M58" s="131">
        <v>113000</v>
      </c>
      <c r="N58" s="131">
        <v>258690</v>
      </c>
      <c r="O58" s="131">
        <v>401790</v>
      </c>
    </row>
    <row r="59" spans="3:16" x14ac:dyDescent="0.4">
      <c r="C59" s="128" t="s">
        <v>670</v>
      </c>
      <c r="D59" s="131">
        <f t="shared" ref="D59:M59" si="8">D57-D67-D69</f>
        <v>173983</v>
      </c>
      <c r="E59" s="131">
        <f t="shared" si="8"/>
        <v>208884</v>
      </c>
      <c r="F59" s="131">
        <f t="shared" si="8"/>
        <v>131954</v>
      </c>
      <c r="G59" s="131">
        <f t="shared" si="8"/>
        <v>147052</v>
      </c>
      <c r="H59" s="131">
        <f t="shared" si="8"/>
        <v>107600</v>
      </c>
      <c r="I59" s="131">
        <f t="shared" si="8"/>
        <v>137509</v>
      </c>
      <c r="J59" s="131">
        <f t="shared" si="8"/>
        <v>115278</v>
      </c>
      <c r="K59" s="131">
        <f t="shared" si="8"/>
        <v>157340</v>
      </c>
      <c r="L59" s="131">
        <f t="shared" si="8"/>
        <v>105303</v>
      </c>
      <c r="M59" s="131">
        <f t="shared" si="8"/>
        <v>138473</v>
      </c>
      <c r="N59" s="131">
        <f>N58-N69-N64-N66-N61</f>
        <v>230360</v>
      </c>
      <c r="O59" s="131">
        <f>O58-O69-O64-O66-O61</f>
        <v>360420</v>
      </c>
    </row>
    <row r="60" spans="3:16" x14ac:dyDescent="0.4">
      <c r="C60" s="128" t="s">
        <v>671</v>
      </c>
      <c r="D60" s="131">
        <v>89160</v>
      </c>
      <c r="E60" s="131">
        <v>87050</v>
      </c>
      <c r="F60" s="131">
        <v>55530</v>
      </c>
      <c r="G60" s="131">
        <v>39230</v>
      </c>
      <c r="H60" s="131">
        <v>22350</v>
      </c>
      <c r="I60" s="131">
        <v>19680</v>
      </c>
      <c r="J60" s="131">
        <v>15290</v>
      </c>
      <c r="K60" s="131">
        <v>14630</v>
      </c>
      <c r="L60" s="131">
        <v>17820</v>
      </c>
      <c r="M60" s="131">
        <v>26730</v>
      </c>
      <c r="N60" s="131">
        <v>49670</v>
      </c>
      <c r="O60" s="131">
        <v>182070</v>
      </c>
    </row>
    <row r="61" spans="3:16" x14ac:dyDescent="0.4">
      <c r="C61" s="128" t="s">
        <v>682</v>
      </c>
      <c r="D61" s="131"/>
      <c r="E61" s="131"/>
      <c r="F61" s="131"/>
      <c r="G61" s="131"/>
      <c r="H61" s="131"/>
      <c r="I61" s="131"/>
      <c r="J61" s="131"/>
      <c r="K61" s="131"/>
      <c r="L61" s="131"/>
      <c r="M61" s="131"/>
      <c r="N61" s="131">
        <v>5730</v>
      </c>
      <c r="O61" s="131">
        <v>8580</v>
      </c>
    </row>
    <row r="62" spans="3:16" x14ac:dyDescent="0.4">
      <c r="C62" s="128" t="s">
        <v>683</v>
      </c>
      <c r="D62" s="131"/>
      <c r="E62" s="131"/>
      <c r="F62" s="131"/>
      <c r="G62" s="131"/>
      <c r="H62" s="131"/>
      <c r="I62" s="131"/>
      <c r="J62" s="131"/>
      <c r="K62" s="131"/>
      <c r="L62" s="131"/>
      <c r="M62" s="131"/>
      <c r="N62" s="156"/>
      <c r="O62" s="131">
        <v>1500</v>
      </c>
    </row>
    <row r="63" spans="3:16" x14ac:dyDescent="0.4">
      <c r="C63" s="128" t="s">
        <v>672</v>
      </c>
      <c r="D63" s="131">
        <v>23280</v>
      </c>
      <c r="E63" s="131">
        <v>20780</v>
      </c>
      <c r="F63" s="131">
        <v>13850</v>
      </c>
      <c r="G63" s="131">
        <v>13910</v>
      </c>
      <c r="H63" s="131">
        <v>14250</v>
      </c>
      <c r="I63" s="131">
        <v>15600</v>
      </c>
      <c r="J63" s="131">
        <v>27010</v>
      </c>
      <c r="K63" s="131">
        <v>30350</v>
      </c>
      <c r="L63" s="131">
        <v>21650</v>
      </c>
      <c r="M63" s="131">
        <v>18530</v>
      </c>
      <c r="N63" s="131">
        <v>44150</v>
      </c>
      <c r="O63" s="131">
        <v>57760</v>
      </c>
    </row>
    <row r="64" spans="3:16" x14ac:dyDescent="0.4">
      <c r="C64" s="128" t="s">
        <v>684</v>
      </c>
      <c r="D64" s="131"/>
      <c r="E64" s="131"/>
      <c r="F64" s="131"/>
      <c r="G64" s="131"/>
      <c r="H64" s="131"/>
      <c r="I64" s="131"/>
      <c r="J64" s="131"/>
      <c r="K64" s="131"/>
      <c r="L64" s="131"/>
      <c r="M64" s="131"/>
      <c r="N64" s="131">
        <f>6390+2120</f>
        <v>8510</v>
      </c>
      <c r="O64" s="131">
        <f>16550+2080</f>
        <v>18630</v>
      </c>
    </row>
    <row r="65" spans="3:15" x14ac:dyDescent="0.4">
      <c r="C65" s="128" t="s">
        <v>673</v>
      </c>
      <c r="D65" s="157"/>
      <c r="E65" s="131">
        <v>34830</v>
      </c>
      <c r="F65" s="157"/>
      <c r="G65" s="131">
        <v>31980</v>
      </c>
      <c r="H65" s="157"/>
      <c r="I65" s="131">
        <v>33240</v>
      </c>
      <c r="J65" s="157"/>
      <c r="K65" s="131">
        <v>31360</v>
      </c>
      <c r="L65" s="157"/>
      <c r="M65" s="131">
        <v>30510</v>
      </c>
      <c r="N65" s="131">
        <v>16800</v>
      </c>
      <c r="O65" s="131">
        <v>17850</v>
      </c>
    </row>
    <row r="66" spans="3:15" x14ac:dyDescent="0.4">
      <c r="C66" s="128" t="s">
        <v>685</v>
      </c>
      <c r="D66" s="157"/>
      <c r="E66" s="131"/>
      <c r="F66" s="157"/>
      <c r="G66" s="131"/>
      <c r="H66" s="157"/>
      <c r="I66" s="131"/>
      <c r="J66" s="157"/>
      <c r="K66" s="131"/>
      <c r="L66" s="157"/>
      <c r="M66" s="131"/>
      <c r="N66" s="131">
        <v>260</v>
      </c>
      <c r="O66" s="131">
        <v>330</v>
      </c>
    </row>
    <row r="67" spans="3:15" x14ac:dyDescent="0.4">
      <c r="C67" s="128" t="s">
        <v>674</v>
      </c>
      <c r="D67" s="131">
        <v>11457</v>
      </c>
      <c r="E67" s="131">
        <v>11776</v>
      </c>
      <c r="F67" s="131">
        <v>11426</v>
      </c>
      <c r="G67" s="131">
        <v>9068</v>
      </c>
      <c r="H67" s="131"/>
      <c r="I67" s="131">
        <v>9011</v>
      </c>
      <c r="J67" s="131">
        <v>11022</v>
      </c>
      <c r="K67" s="131"/>
      <c r="L67" s="131">
        <v>12167</v>
      </c>
      <c r="M67" s="131">
        <v>10297</v>
      </c>
      <c r="N67" s="131"/>
      <c r="O67" s="131"/>
    </row>
    <row r="68" spans="3:15" x14ac:dyDescent="0.4">
      <c r="D68" s="131"/>
      <c r="E68" s="131"/>
      <c r="F68" s="131"/>
      <c r="G68" s="131"/>
      <c r="H68" s="131"/>
      <c r="I68" s="131"/>
      <c r="J68" s="131"/>
      <c r="K68" s="131"/>
      <c r="L68" s="131"/>
      <c r="M68" s="131"/>
      <c r="N68" s="131"/>
      <c r="O68" s="131"/>
    </row>
    <row r="69" spans="3:15" x14ac:dyDescent="0.4">
      <c r="C69" s="128" t="s">
        <v>676</v>
      </c>
      <c r="D69" s="131">
        <v>40000</v>
      </c>
      <c r="E69" s="131">
        <v>40000</v>
      </c>
      <c r="F69" s="131">
        <v>40000</v>
      </c>
      <c r="G69" s="131">
        <v>40000</v>
      </c>
      <c r="H69" s="131">
        <v>40000</v>
      </c>
      <c r="I69" s="131">
        <v>40000</v>
      </c>
      <c r="J69" s="131">
        <v>40000</v>
      </c>
      <c r="K69" s="131">
        <v>40000</v>
      </c>
      <c r="L69" s="131">
        <v>40000</v>
      </c>
      <c r="M69" s="131">
        <v>40000</v>
      </c>
      <c r="N69" s="131">
        <v>13830</v>
      </c>
      <c r="O69" s="131">
        <v>13830</v>
      </c>
    </row>
    <row r="70" spans="3:15" x14ac:dyDescent="0.4">
      <c r="M70" s="128">
        <f>40000*24</f>
        <v>960000</v>
      </c>
    </row>
    <row r="72" spans="3:15" x14ac:dyDescent="0.4">
      <c r="D72" s="128" t="s">
        <v>686</v>
      </c>
    </row>
    <row r="73" spans="3:15" x14ac:dyDescent="0.4">
      <c r="D73" s="128" t="s">
        <v>656</v>
      </c>
      <c r="E73" s="128" t="s">
        <v>657</v>
      </c>
      <c r="F73" s="128" t="s">
        <v>658</v>
      </c>
      <c r="G73" s="128" t="s">
        <v>659</v>
      </c>
      <c r="H73" s="128" t="s">
        <v>660</v>
      </c>
      <c r="I73" s="128" t="s">
        <v>661</v>
      </c>
      <c r="J73" s="128" t="s">
        <v>662</v>
      </c>
      <c r="K73" s="128" t="s">
        <v>663</v>
      </c>
      <c r="L73" s="128" t="s">
        <v>664</v>
      </c>
      <c r="M73" s="128" t="s">
        <v>665</v>
      </c>
      <c r="N73" s="128" t="s">
        <v>666</v>
      </c>
      <c r="O73" s="128" t="s">
        <v>667</v>
      </c>
    </row>
    <row r="74" spans="3:15" x14ac:dyDescent="0.4">
      <c r="C74" s="128" t="s">
        <v>668</v>
      </c>
      <c r="D74" s="131">
        <f t="shared" ref="D74:O74" si="9">D75+D79</f>
        <v>330690</v>
      </c>
      <c r="E74" s="131">
        <f t="shared" si="9"/>
        <v>400860</v>
      </c>
      <c r="F74" s="131">
        <f t="shared" si="9"/>
        <v>284160</v>
      </c>
      <c r="G74" s="131">
        <f t="shared" si="9"/>
        <v>235830</v>
      </c>
      <c r="H74" s="131">
        <f t="shared" si="9"/>
        <v>238580</v>
      </c>
      <c r="I74" s="131">
        <f t="shared" si="9"/>
        <v>244350</v>
      </c>
      <c r="J74" s="131">
        <f t="shared" si="9"/>
        <v>263170</v>
      </c>
      <c r="K74" s="131">
        <f t="shared" si="9"/>
        <v>310600</v>
      </c>
      <c r="L74" s="131">
        <f t="shared" si="9"/>
        <v>243140</v>
      </c>
      <c r="M74" s="131">
        <f t="shared" si="9"/>
        <v>246660</v>
      </c>
      <c r="N74" s="131">
        <f t="shared" si="9"/>
        <v>301500</v>
      </c>
      <c r="O74" s="131">
        <f t="shared" si="9"/>
        <v>398280</v>
      </c>
    </row>
    <row r="75" spans="3:15" x14ac:dyDescent="0.4">
      <c r="C75" s="128" t="s">
        <v>669</v>
      </c>
      <c r="D75" s="131">
        <v>330690</v>
      </c>
      <c r="E75" s="131">
        <v>394950</v>
      </c>
      <c r="F75" s="131">
        <v>284160</v>
      </c>
      <c r="G75" s="131">
        <v>229910</v>
      </c>
      <c r="H75" s="131">
        <v>238580</v>
      </c>
      <c r="I75" s="131">
        <v>238450</v>
      </c>
      <c r="J75" s="131">
        <v>263170</v>
      </c>
      <c r="K75" s="131">
        <v>305370</v>
      </c>
      <c r="L75" s="131">
        <v>243140</v>
      </c>
      <c r="M75" s="131">
        <v>239060</v>
      </c>
      <c r="N75" s="131">
        <v>301500</v>
      </c>
      <c r="O75" s="131">
        <v>390670</v>
      </c>
    </row>
    <row r="76" spans="3:15" x14ac:dyDescent="0.4">
      <c r="C76" s="128" t="s">
        <v>670</v>
      </c>
      <c r="D76" s="131">
        <f t="shared" ref="D76:O76" si="10">D75-D86-D81-D83-D78</f>
        <v>294780</v>
      </c>
      <c r="E76" s="131">
        <f t="shared" si="10"/>
        <v>350810</v>
      </c>
      <c r="F76" s="131">
        <f t="shared" si="10"/>
        <v>255090</v>
      </c>
      <c r="G76" s="131">
        <f t="shared" si="10"/>
        <v>205260</v>
      </c>
      <c r="H76" s="131">
        <f t="shared" si="10"/>
        <v>207340</v>
      </c>
      <c r="I76" s="131">
        <f t="shared" si="10"/>
        <v>201930</v>
      </c>
      <c r="J76" s="131">
        <f t="shared" si="10"/>
        <v>223040</v>
      </c>
      <c r="K76" s="131">
        <f t="shared" si="10"/>
        <v>264700</v>
      </c>
      <c r="L76" s="131">
        <f t="shared" si="10"/>
        <v>203710</v>
      </c>
      <c r="M76" s="131">
        <f t="shared" si="10"/>
        <v>204900</v>
      </c>
      <c r="N76" s="131">
        <f t="shared" si="10"/>
        <v>262100</v>
      </c>
      <c r="O76" s="131">
        <f t="shared" si="10"/>
        <v>339460</v>
      </c>
    </row>
    <row r="77" spans="3:15" x14ac:dyDescent="0.4">
      <c r="C77" s="128" t="s">
        <v>687</v>
      </c>
      <c r="D77" s="131">
        <v>125200</v>
      </c>
      <c r="E77" s="131">
        <v>164650</v>
      </c>
      <c r="F77" s="131">
        <v>71870</v>
      </c>
      <c r="G77" s="131">
        <v>24790</v>
      </c>
      <c r="H77" s="131">
        <v>20850</v>
      </c>
      <c r="I77" s="131">
        <v>11140</v>
      </c>
      <c r="J77" s="131">
        <v>13360</v>
      </c>
      <c r="K77" s="131">
        <v>10030</v>
      </c>
      <c r="L77" s="131">
        <v>10440</v>
      </c>
      <c r="M77" s="131">
        <v>18240</v>
      </c>
      <c r="N77" s="131">
        <v>76680</v>
      </c>
      <c r="O77" s="131">
        <v>158770</v>
      </c>
    </row>
    <row r="78" spans="3:15" x14ac:dyDescent="0.4">
      <c r="C78" s="128" t="s">
        <v>682</v>
      </c>
      <c r="D78" s="131">
        <v>10750</v>
      </c>
      <c r="E78" s="131">
        <v>10200</v>
      </c>
      <c r="F78" s="131">
        <v>5950</v>
      </c>
      <c r="G78" s="131">
        <v>4010</v>
      </c>
      <c r="H78" s="131">
        <v>1100</v>
      </c>
      <c r="I78" s="131">
        <v>1540</v>
      </c>
      <c r="J78" s="131">
        <v>1360</v>
      </c>
      <c r="K78" s="131">
        <v>830</v>
      </c>
      <c r="L78" s="131">
        <v>840</v>
      </c>
      <c r="M78" s="131">
        <v>1140</v>
      </c>
      <c r="N78" s="131">
        <v>5990</v>
      </c>
      <c r="O78" s="131">
        <v>8750</v>
      </c>
    </row>
    <row r="79" spans="3:15" x14ac:dyDescent="0.4">
      <c r="C79" s="128" t="s">
        <v>683</v>
      </c>
      <c r="D79" s="156"/>
      <c r="E79" s="131">
        <v>5910</v>
      </c>
      <c r="F79" s="156"/>
      <c r="G79" s="131">
        <v>5920</v>
      </c>
      <c r="H79" s="156"/>
      <c r="I79" s="131">
        <v>5900</v>
      </c>
      <c r="J79" s="156"/>
      <c r="K79" s="131">
        <v>5230</v>
      </c>
      <c r="L79" s="156"/>
      <c r="M79" s="131">
        <v>7600</v>
      </c>
      <c r="N79" s="156"/>
      <c r="O79" s="131">
        <v>7610</v>
      </c>
    </row>
    <row r="80" spans="3:15" x14ac:dyDescent="0.4">
      <c r="C80" s="128" t="s">
        <v>688</v>
      </c>
      <c r="D80" s="131">
        <v>35020</v>
      </c>
      <c r="E80" s="131">
        <v>53200</v>
      </c>
      <c r="F80" s="131">
        <v>41170</v>
      </c>
      <c r="G80" s="131">
        <v>39060</v>
      </c>
      <c r="H80" s="131">
        <v>38130</v>
      </c>
      <c r="I80" s="131">
        <v>53460</v>
      </c>
      <c r="J80" s="131">
        <v>66110</v>
      </c>
      <c r="K80" s="131">
        <v>117070</v>
      </c>
      <c r="L80" s="131">
        <v>48900</v>
      </c>
      <c r="M80" s="131">
        <v>41820</v>
      </c>
      <c r="N80" s="131">
        <v>41570</v>
      </c>
      <c r="O80" s="131">
        <v>48250</v>
      </c>
    </row>
    <row r="81" spans="3:15" x14ac:dyDescent="0.4">
      <c r="C81" s="128" t="s">
        <v>684</v>
      </c>
      <c r="D81" s="131">
        <f>8930+1960</f>
        <v>10890</v>
      </c>
      <c r="E81" s="131">
        <f>17870+2070</f>
        <v>19940</v>
      </c>
      <c r="F81" s="131">
        <f>6570+2240</f>
        <v>8810</v>
      </c>
      <c r="G81" s="131">
        <v>6300</v>
      </c>
      <c r="H81" s="131">
        <v>6960</v>
      </c>
      <c r="I81" s="131">
        <v>11580</v>
      </c>
      <c r="J81" s="131">
        <v>14810</v>
      </c>
      <c r="K81" s="131">
        <v>16050</v>
      </c>
      <c r="L81" s="131">
        <v>14790</v>
      </c>
      <c r="M81" s="131">
        <v>9370</v>
      </c>
      <c r="N81" s="131">
        <v>9700</v>
      </c>
      <c r="O81" s="131">
        <v>18980</v>
      </c>
    </row>
    <row r="82" spans="3:15" x14ac:dyDescent="0.4">
      <c r="C82" s="128" t="s">
        <v>673</v>
      </c>
      <c r="D82" s="131">
        <v>19550</v>
      </c>
      <c r="E82" s="131">
        <v>20700</v>
      </c>
      <c r="F82" s="131">
        <v>23000</v>
      </c>
      <c r="G82" s="131">
        <v>19550</v>
      </c>
      <c r="H82" s="131">
        <v>20700</v>
      </c>
      <c r="I82" s="131">
        <v>17250</v>
      </c>
      <c r="J82" s="131">
        <v>18400</v>
      </c>
      <c r="K82" s="131">
        <v>19550</v>
      </c>
      <c r="L82" s="131">
        <v>16100</v>
      </c>
      <c r="M82" s="131">
        <v>20700</v>
      </c>
      <c r="N82" s="131">
        <v>20700</v>
      </c>
      <c r="O82" s="131">
        <v>18400</v>
      </c>
    </row>
    <row r="83" spans="3:15" x14ac:dyDescent="0.4">
      <c r="C83" s="128" t="s">
        <v>685</v>
      </c>
      <c r="D83" s="131">
        <v>440</v>
      </c>
      <c r="E83" s="131">
        <v>170</v>
      </c>
      <c r="F83" s="131">
        <v>480</v>
      </c>
      <c r="G83" s="131">
        <v>510</v>
      </c>
      <c r="H83" s="131">
        <v>130</v>
      </c>
      <c r="I83" s="131">
        <v>350</v>
      </c>
      <c r="J83" s="131">
        <v>910</v>
      </c>
      <c r="K83" s="131">
        <v>740</v>
      </c>
      <c r="L83" s="131">
        <v>750</v>
      </c>
      <c r="M83" s="131">
        <v>600</v>
      </c>
      <c r="N83" s="131">
        <v>660</v>
      </c>
      <c r="O83" s="131">
        <v>430</v>
      </c>
    </row>
    <row r="84" spans="3:15" x14ac:dyDescent="0.4">
      <c r="D84" s="131"/>
      <c r="E84" s="131"/>
      <c r="F84" s="131"/>
      <c r="G84" s="131"/>
      <c r="H84" s="131"/>
      <c r="I84" s="131"/>
      <c r="J84" s="131"/>
      <c r="K84" s="131"/>
      <c r="L84" s="131"/>
      <c r="M84" s="131"/>
      <c r="N84" s="131"/>
      <c r="O84" s="131"/>
    </row>
    <row r="85" spans="3:15" x14ac:dyDescent="0.4">
      <c r="D85" s="131"/>
      <c r="E85" s="131"/>
      <c r="F85" s="131"/>
      <c r="G85" s="131"/>
      <c r="H85" s="131"/>
      <c r="I85" s="131"/>
      <c r="J85" s="131"/>
      <c r="K85" s="131"/>
      <c r="L85" s="131"/>
      <c r="M85" s="131"/>
      <c r="N85" s="131"/>
      <c r="O85" s="131"/>
    </row>
    <row r="86" spans="3:15" x14ac:dyDescent="0.4">
      <c r="C86" s="128" t="s">
        <v>676</v>
      </c>
      <c r="D86" s="131">
        <v>13830</v>
      </c>
      <c r="E86" s="131">
        <v>13830</v>
      </c>
      <c r="F86" s="131">
        <v>13830</v>
      </c>
      <c r="G86" s="131">
        <v>13830</v>
      </c>
      <c r="H86" s="131">
        <v>23050</v>
      </c>
      <c r="I86" s="131">
        <v>23050</v>
      </c>
      <c r="J86" s="131">
        <v>23050</v>
      </c>
      <c r="K86" s="131">
        <v>23050</v>
      </c>
      <c r="L86" s="131">
        <v>23050</v>
      </c>
      <c r="M86" s="131">
        <v>23050</v>
      </c>
      <c r="N86" s="131">
        <v>23050</v>
      </c>
      <c r="O86" s="131">
        <v>23050</v>
      </c>
    </row>
    <row r="90" spans="3:15" x14ac:dyDescent="0.4">
      <c r="D90" s="128" t="s">
        <v>689</v>
      </c>
      <c r="L90" s="128" t="s">
        <v>690</v>
      </c>
    </row>
    <row r="91" spans="3:15" x14ac:dyDescent="0.4">
      <c r="D91" s="128" t="s">
        <v>656</v>
      </c>
      <c r="E91" s="128" t="s">
        <v>657</v>
      </c>
      <c r="F91" s="128" t="s">
        <v>658</v>
      </c>
      <c r="G91" s="128" t="s">
        <v>659</v>
      </c>
      <c r="H91" s="128" t="s">
        <v>660</v>
      </c>
      <c r="I91" s="128" t="s">
        <v>661</v>
      </c>
      <c r="J91" s="128" t="s">
        <v>662</v>
      </c>
      <c r="K91" s="128" t="s">
        <v>663</v>
      </c>
      <c r="L91" s="128" t="s">
        <v>664</v>
      </c>
      <c r="M91" s="128" t="s">
        <v>665</v>
      </c>
      <c r="N91" s="128" t="s">
        <v>666</v>
      </c>
      <c r="O91" s="128" t="s">
        <v>667</v>
      </c>
    </row>
    <row r="92" spans="3:15" x14ac:dyDescent="0.4">
      <c r="C92" s="128" t="s">
        <v>668</v>
      </c>
      <c r="D92" s="131">
        <f t="shared" ref="D92:O92" si="11">D93+D97</f>
        <v>486560</v>
      </c>
      <c r="E92" s="131">
        <f t="shared" si="11"/>
        <v>465730</v>
      </c>
      <c r="F92" s="131">
        <f t="shared" si="11"/>
        <v>393860</v>
      </c>
      <c r="G92" s="131">
        <f t="shared" si="11"/>
        <v>312850</v>
      </c>
      <c r="H92" s="131">
        <f t="shared" si="11"/>
        <v>254480</v>
      </c>
      <c r="I92" s="131">
        <f t="shared" si="11"/>
        <v>263430</v>
      </c>
      <c r="J92" s="131">
        <f t="shared" si="11"/>
        <v>333240</v>
      </c>
      <c r="K92" s="131">
        <f t="shared" si="11"/>
        <v>439620</v>
      </c>
      <c r="L92" s="131">
        <f t="shared" si="11"/>
        <v>250350</v>
      </c>
      <c r="M92" s="131">
        <f t="shared" si="11"/>
        <v>240450</v>
      </c>
      <c r="N92" s="131">
        <f t="shared" si="11"/>
        <v>265350</v>
      </c>
      <c r="O92" s="131">
        <f t="shared" si="11"/>
        <v>335440</v>
      </c>
    </row>
    <row r="93" spans="3:15" x14ac:dyDescent="0.4">
      <c r="C93" s="128" t="s">
        <v>669</v>
      </c>
      <c r="D93" s="131">
        <v>486560</v>
      </c>
      <c r="E93" s="131">
        <v>458090</v>
      </c>
      <c r="F93" s="131">
        <v>393860</v>
      </c>
      <c r="G93" s="131">
        <v>306190</v>
      </c>
      <c r="H93" s="131">
        <v>254480</v>
      </c>
      <c r="I93" s="131">
        <v>255800</v>
      </c>
      <c r="J93" s="131">
        <v>333240</v>
      </c>
      <c r="K93" s="131">
        <v>431030</v>
      </c>
      <c r="L93" s="131">
        <v>250350</v>
      </c>
      <c r="M93" s="131">
        <v>230240</v>
      </c>
      <c r="N93" s="131">
        <v>265350</v>
      </c>
      <c r="O93" s="131">
        <v>326620</v>
      </c>
    </row>
    <row r="94" spans="3:15" x14ac:dyDescent="0.4">
      <c r="C94" s="128" t="s">
        <v>670</v>
      </c>
      <c r="D94" s="131">
        <f t="shared" ref="D94:O94" si="12">D93-D104-D99-D101-D96-D103</f>
        <v>354160</v>
      </c>
      <c r="E94" s="131">
        <f t="shared" si="12"/>
        <v>331210</v>
      </c>
      <c r="F94" s="131">
        <f t="shared" si="12"/>
        <v>300690</v>
      </c>
      <c r="G94" s="131">
        <f t="shared" si="12"/>
        <v>227570</v>
      </c>
      <c r="H94" s="131">
        <f t="shared" si="12"/>
        <v>220290</v>
      </c>
      <c r="I94" s="131">
        <f t="shared" si="12"/>
        <v>218450</v>
      </c>
      <c r="J94" s="131">
        <f t="shared" si="12"/>
        <v>285910</v>
      </c>
      <c r="K94" s="131">
        <f t="shared" si="12"/>
        <v>431110</v>
      </c>
      <c r="L94" s="131">
        <f t="shared" si="12"/>
        <v>250350</v>
      </c>
      <c r="M94" s="131">
        <f t="shared" si="12"/>
        <v>226640</v>
      </c>
      <c r="N94" s="131">
        <f t="shared" si="12"/>
        <v>229510</v>
      </c>
      <c r="O94" s="131">
        <f t="shared" si="12"/>
        <v>275290</v>
      </c>
    </row>
    <row r="95" spans="3:15" x14ac:dyDescent="0.4">
      <c r="C95" s="128" t="s">
        <v>687</v>
      </c>
      <c r="D95" s="131">
        <v>173560</v>
      </c>
      <c r="E95" s="131">
        <v>135620</v>
      </c>
      <c r="F95" s="131">
        <v>105900</v>
      </c>
      <c r="G95" s="131">
        <v>32880</v>
      </c>
      <c r="H95" s="131">
        <v>18750</v>
      </c>
      <c r="I95" s="131">
        <v>14100</v>
      </c>
      <c r="J95" s="131">
        <v>13890</v>
      </c>
      <c r="K95" s="131"/>
      <c r="L95" s="131">
        <v>12200</v>
      </c>
      <c r="M95" s="131">
        <v>22470</v>
      </c>
      <c r="N95" s="131">
        <v>34100</v>
      </c>
      <c r="O95" s="131">
        <v>76750</v>
      </c>
    </row>
    <row r="96" spans="3:15" x14ac:dyDescent="0.4">
      <c r="C96" s="128" t="s">
        <v>682</v>
      </c>
      <c r="D96" s="131">
        <v>9510</v>
      </c>
      <c r="E96" s="131">
        <v>11120</v>
      </c>
      <c r="F96" s="131">
        <v>7390</v>
      </c>
      <c r="G96" s="131">
        <v>6180</v>
      </c>
      <c r="H96" s="131">
        <v>1350</v>
      </c>
      <c r="I96" s="131">
        <v>1800</v>
      </c>
      <c r="J96" s="131">
        <v>1590</v>
      </c>
      <c r="K96" s="131">
        <v>1070</v>
      </c>
      <c r="L96" s="131"/>
      <c r="M96" s="131">
        <v>1300</v>
      </c>
      <c r="N96" s="131">
        <v>4960</v>
      </c>
      <c r="O96" s="131">
        <v>10250</v>
      </c>
    </row>
    <row r="97" spans="3:15" x14ac:dyDescent="0.4">
      <c r="C97" s="128" t="s">
        <v>683</v>
      </c>
      <c r="D97" s="156"/>
      <c r="E97" s="131">
        <v>7640</v>
      </c>
      <c r="F97" s="156"/>
      <c r="G97" s="131">
        <v>6660</v>
      </c>
      <c r="H97" s="156"/>
      <c r="I97" s="131">
        <v>7630</v>
      </c>
      <c r="J97" s="156"/>
      <c r="K97" s="131">
        <v>8590</v>
      </c>
      <c r="L97" s="156"/>
      <c r="M97" s="131">
        <v>10210</v>
      </c>
      <c r="N97" s="156"/>
      <c r="O97" s="131">
        <v>8820</v>
      </c>
    </row>
    <row r="98" spans="3:15" x14ac:dyDescent="0.4">
      <c r="C98" s="128" t="s">
        <v>688</v>
      </c>
      <c r="D98" s="131">
        <v>49420</v>
      </c>
      <c r="E98" s="131">
        <v>53340</v>
      </c>
      <c r="F98" s="131">
        <v>40340</v>
      </c>
      <c r="G98" s="131">
        <v>55180</v>
      </c>
      <c r="H98" s="131">
        <v>38000</v>
      </c>
      <c r="I98" s="131">
        <v>57200</v>
      </c>
      <c r="J98" s="131">
        <v>125090</v>
      </c>
      <c r="K98" s="131"/>
      <c r="L98" s="131">
        <v>52070</v>
      </c>
      <c r="M98" s="131">
        <v>54940</v>
      </c>
      <c r="N98" s="131">
        <v>46890</v>
      </c>
      <c r="O98" s="131">
        <v>61750</v>
      </c>
    </row>
    <row r="99" spans="3:15" x14ac:dyDescent="0.4">
      <c r="C99" s="128" t="s">
        <v>684</v>
      </c>
      <c r="D99" s="131">
        <v>19330</v>
      </c>
      <c r="E99" s="131">
        <v>11980</v>
      </c>
      <c r="F99" s="131">
        <v>11820</v>
      </c>
      <c r="G99" s="131">
        <v>11260</v>
      </c>
      <c r="H99" s="131">
        <v>8980</v>
      </c>
      <c r="I99" s="131">
        <v>11680</v>
      </c>
      <c r="J99" s="131">
        <v>22010</v>
      </c>
      <c r="K99" s="131">
        <v>-1960</v>
      </c>
      <c r="L99" s="131"/>
      <c r="M99" s="131">
        <v>11070</v>
      </c>
      <c r="N99" s="131">
        <v>7840</v>
      </c>
      <c r="O99" s="131">
        <v>17580</v>
      </c>
    </row>
    <row r="100" spans="3:15" x14ac:dyDescent="0.4">
      <c r="C100" s="128" t="s">
        <v>673</v>
      </c>
      <c r="D100" s="131">
        <v>23000</v>
      </c>
      <c r="E100" s="131">
        <v>23000</v>
      </c>
      <c r="F100" s="131">
        <v>20700</v>
      </c>
      <c r="G100" s="131">
        <v>21060</v>
      </c>
      <c r="H100" s="131">
        <v>20230</v>
      </c>
      <c r="I100" s="131">
        <v>20230</v>
      </c>
      <c r="J100" s="131">
        <v>23600</v>
      </c>
      <c r="K100" s="131"/>
      <c r="L100" s="131">
        <v>17250</v>
      </c>
      <c r="M100" s="131">
        <v>22230</v>
      </c>
      <c r="N100" s="131">
        <v>19550</v>
      </c>
      <c r="O100" s="131">
        <v>19200</v>
      </c>
    </row>
    <row r="101" spans="3:15" x14ac:dyDescent="0.4">
      <c r="C101" s="128" t="s">
        <v>685</v>
      </c>
      <c r="D101" s="131">
        <v>510</v>
      </c>
      <c r="E101" s="131">
        <v>730</v>
      </c>
      <c r="F101" s="131">
        <v>910</v>
      </c>
      <c r="G101" s="131">
        <v>630</v>
      </c>
      <c r="H101" s="131">
        <v>810</v>
      </c>
      <c r="I101" s="131">
        <v>820</v>
      </c>
      <c r="J101" s="131">
        <v>680</v>
      </c>
      <c r="K101" s="131">
        <v>810</v>
      </c>
      <c r="L101" s="131"/>
      <c r="M101" s="131">
        <v>820</v>
      </c>
      <c r="N101" s="131">
        <v>130</v>
      </c>
      <c r="O101" s="131">
        <v>590</v>
      </c>
    </row>
    <row r="102" spans="3:15" x14ac:dyDescent="0.4">
      <c r="D102" s="131"/>
      <c r="E102" s="131"/>
      <c r="F102" s="131"/>
      <c r="G102" s="131"/>
      <c r="H102" s="131"/>
      <c r="I102" s="131"/>
      <c r="J102" s="131"/>
      <c r="K102" s="131"/>
      <c r="L102" s="131"/>
      <c r="M102" s="131"/>
      <c r="N102" s="131"/>
      <c r="O102" s="131"/>
    </row>
    <row r="103" spans="3:15" x14ac:dyDescent="0.4">
      <c r="C103" s="128" t="s">
        <v>691</v>
      </c>
      <c r="D103" s="131">
        <v>80000</v>
      </c>
      <c r="E103" s="131">
        <v>80000</v>
      </c>
      <c r="F103" s="131">
        <v>50000</v>
      </c>
      <c r="G103" s="131">
        <v>37500</v>
      </c>
      <c r="H103" s="131"/>
      <c r="I103" s="131"/>
      <c r="J103" s="131"/>
      <c r="K103" s="131"/>
      <c r="L103" s="131"/>
      <c r="M103" s="131">
        <v>-32500</v>
      </c>
      <c r="N103" s="131"/>
      <c r="O103" s="131"/>
    </row>
    <row r="104" spans="3:15" x14ac:dyDescent="0.4">
      <c r="C104" s="128" t="s">
        <v>676</v>
      </c>
      <c r="D104" s="131">
        <v>23050</v>
      </c>
      <c r="E104" s="131">
        <v>23050</v>
      </c>
      <c r="F104" s="131">
        <v>23050</v>
      </c>
      <c r="G104" s="131">
        <v>23050</v>
      </c>
      <c r="H104" s="131">
        <v>23050</v>
      </c>
      <c r="I104" s="131">
        <v>23050</v>
      </c>
      <c r="J104" s="131">
        <v>23050</v>
      </c>
      <c r="K104" s="131"/>
      <c r="L104" s="131"/>
      <c r="M104" s="131">
        <v>22910</v>
      </c>
      <c r="N104" s="131">
        <v>22910</v>
      </c>
      <c r="O104" s="131">
        <v>22910</v>
      </c>
    </row>
    <row r="105" spans="3:15" x14ac:dyDescent="0.4">
      <c r="M105" s="131"/>
    </row>
    <row r="108" spans="3:15" x14ac:dyDescent="0.4">
      <c r="D108" s="128" t="s">
        <v>692</v>
      </c>
    </row>
    <row r="109" spans="3:15" x14ac:dyDescent="0.4">
      <c r="D109" s="128" t="s">
        <v>656</v>
      </c>
      <c r="E109" s="128" t="s">
        <v>657</v>
      </c>
      <c r="F109" s="128" t="s">
        <v>658</v>
      </c>
      <c r="G109" s="128" t="s">
        <v>659</v>
      </c>
      <c r="H109" s="128" t="s">
        <v>660</v>
      </c>
      <c r="I109" s="128" t="s">
        <v>661</v>
      </c>
      <c r="J109" s="128" t="s">
        <v>662</v>
      </c>
      <c r="K109" s="128" t="s">
        <v>663</v>
      </c>
      <c r="L109" s="128" t="s">
        <v>664</v>
      </c>
      <c r="M109" s="128" t="s">
        <v>665</v>
      </c>
      <c r="N109" s="128" t="s">
        <v>666</v>
      </c>
      <c r="O109" s="128" t="s">
        <v>667</v>
      </c>
    </row>
    <row r="110" spans="3:15" x14ac:dyDescent="0.4">
      <c r="C110" s="128" t="s">
        <v>668</v>
      </c>
      <c r="D110" s="131">
        <f t="shared" ref="D110:O110" si="13">D111+D115</f>
        <v>369880</v>
      </c>
      <c r="E110" s="131">
        <f t="shared" si="13"/>
        <v>356930</v>
      </c>
      <c r="F110" s="131">
        <f t="shared" si="13"/>
        <v>313250</v>
      </c>
      <c r="G110" s="131">
        <f t="shared" si="13"/>
        <v>298740</v>
      </c>
      <c r="H110" s="131">
        <f t="shared" si="13"/>
        <v>269710</v>
      </c>
      <c r="I110" s="131">
        <f t="shared" si="13"/>
        <v>286750</v>
      </c>
      <c r="J110" s="131">
        <f t="shared" si="13"/>
        <v>351660</v>
      </c>
      <c r="K110" s="131">
        <f t="shared" si="13"/>
        <v>364110</v>
      </c>
      <c r="L110" s="131">
        <f t="shared" si="13"/>
        <v>322060</v>
      </c>
      <c r="M110" s="131">
        <f t="shared" si="13"/>
        <v>286050</v>
      </c>
      <c r="N110" s="131">
        <f t="shared" si="13"/>
        <v>300830</v>
      </c>
      <c r="O110" s="131">
        <f t="shared" si="13"/>
        <v>8980</v>
      </c>
    </row>
    <row r="111" spans="3:15" x14ac:dyDescent="0.4">
      <c r="C111" s="128" t="s">
        <v>669</v>
      </c>
      <c r="D111" s="131">
        <v>369880</v>
      </c>
      <c r="E111" s="131">
        <v>348960</v>
      </c>
      <c r="F111" s="131">
        <v>313250</v>
      </c>
      <c r="G111" s="131">
        <v>291810</v>
      </c>
      <c r="H111" s="131">
        <v>269710</v>
      </c>
      <c r="I111" s="131">
        <v>279840</v>
      </c>
      <c r="J111" s="131">
        <v>351660</v>
      </c>
      <c r="K111" s="131">
        <v>357220</v>
      </c>
      <c r="L111" s="131">
        <v>322060</v>
      </c>
      <c r="M111" s="131">
        <v>277110</v>
      </c>
      <c r="N111" s="131">
        <v>300830</v>
      </c>
      <c r="O111" s="131"/>
    </row>
    <row r="112" spans="3:15" x14ac:dyDescent="0.4">
      <c r="C112" s="128" t="s">
        <v>670</v>
      </c>
      <c r="D112" s="131">
        <f t="shared" ref="D112:O112" si="14">D111-D122-D117-D119-D114-D121</f>
        <v>314970</v>
      </c>
      <c r="E112" s="131">
        <f t="shared" si="14"/>
        <v>302020</v>
      </c>
      <c r="F112" s="131">
        <f t="shared" si="14"/>
        <v>272310</v>
      </c>
      <c r="G112" s="131">
        <f t="shared" si="14"/>
        <v>256450</v>
      </c>
      <c r="H112" s="131">
        <f t="shared" si="14"/>
        <v>236840</v>
      </c>
      <c r="I112" s="131">
        <f t="shared" si="14"/>
        <v>239220</v>
      </c>
      <c r="J112" s="131">
        <f t="shared" si="14"/>
        <v>313830</v>
      </c>
      <c r="K112" s="131">
        <f t="shared" si="14"/>
        <v>318100</v>
      </c>
      <c r="L112" s="131">
        <f t="shared" si="14"/>
        <v>280330</v>
      </c>
      <c r="M112" s="131">
        <f t="shared" si="14"/>
        <v>244730</v>
      </c>
      <c r="N112" s="131">
        <f t="shared" si="14"/>
        <v>262060</v>
      </c>
      <c r="O112" s="131">
        <f t="shared" si="14"/>
        <v>0</v>
      </c>
    </row>
    <row r="113" spans="3:15" x14ac:dyDescent="0.4">
      <c r="C113" s="128" t="s">
        <v>687</v>
      </c>
      <c r="D113" s="131">
        <v>108180</v>
      </c>
      <c r="E113" s="131">
        <v>107210</v>
      </c>
      <c r="F113" s="131">
        <v>64690</v>
      </c>
      <c r="G113" s="131">
        <v>45820</v>
      </c>
      <c r="H113" s="131">
        <v>29990</v>
      </c>
      <c r="I113" s="131">
        <v>18150</v>
      </c>
      <c r="J113" s="131">
        <v>13520</v>
      </c>
      <c r="K113" s="131">
        <v>12670</v>
      </c>
      <c r="L113" s="131">
        <v>16100</v>
      </c>
      <c r="M113" s="131">
        <v>23480</v>
      </c>
      <c r="N113" s="131">
        <v>44500</v>
      </c>
      <c r="O113" s="131"/>
    </row>
    <row r="114" spans="3:15" x14ac:dyDescent="0.4">
      <c r="C114" s="128" t="s">
        <v>682</v>
      </c>
      <c r="D114" s="131">
        <v>11800</v>
      </c>
      <c r="E114" s="131">
        <v>12520</v>
      </c>
      <c r="F114" s="131">
        <v>8570</v>
      </c>
      <c r="G114" s="131">
        <v>6450</v>
      </c>
      <c r="H114" s="131">
        <v>2220</v>
      </c>
      <c r="I114" s="131">
        <v>2180</v>
      </c>
      <c r="J114" s="131">
        <v>1850</v>
      </c>
      <c r="K114" s="131">
        <v>1000</v>
      </c>
      <c r="L114" s="131">
        <v>1330</v>
      </c>
      <c r="M114" s="131">
        <v>310</v>
      </c>
      <c r="N114" s="131">
        <v>6530</v>
      </c>
      <c r="O114" s="131"/>
    </row>
    <row r="115" spans="3:15" x14ac:dyDescent="0.4">
      <c r="C115" s="128" t="s">
        <v>683</v>
      </c>
      <c r="D115" s="156"/>
      <c r="E115" s="131">
        <v>7970</v>
      </c>
      <c r="F115" s="156"/>
      <c r="G115" s="131">
        <v>6930</v>
      </c>
      <c r="H115" s="156"/>
      <c r="I115" s="131">
        <v>6910</v>
      </c>
      <c r="J115" s="156"/>
      <c r="K115" s="131">
        <v>6890</v>
      </c>
      <c r="L115" s="156"/>
      <c r="M115" s="131">
        <v>8940</v>
      </c>
      <c r="N115" s="156"/>
      <c r="O115" s="131">
        <v>8980</v>
      </c>
    </row>
    <row r="116" spans="3:15" x14ac:dyDescent="0.4">
      <c r="C116" s="128" t="s">
        <v>688</v>
      </c>
      <c r="D116" s="131">
        <v>64590</v>
      </c>
      <c r="E116" s="131">
        <v>49320</v>
      </c>
      <c r="F116" s="131">
        <v>53580</v>
      </c>
      <c r="G116" s="131">
        <v>49990</v>
      </c>
      <c r="H116" s="131">
        <v>49390</v>
      </c>
      <c r="I116" s="131">
        <v>76590</v>
      </c>
      <c r="J116" s="131">
        <v>144440</v>
      </c>
      <c r="K116" s="131">
        <v>151530</v>
      </c>
      <c r="L116" s="131">
        <v>104990</v>
      </c>
      <c r="M116" s="131">
        <v>61850</v>
      </c>
      <c r="N116" s="131">
        <v>60160</v>
      </c>
      <c r="O116" s="131"/>
    </row>
    <row r="117" spans="3:15" x14ac:dyDescent="0.4">
      <c r="C117" s="128" t="s">
        <v>684</v>
      </c>
      <c r="D117" s="131">
        <v>19910</v>
      </c>
      <c r="E117" s="131">
        <v>11030</v>
      </c>
      <c r="F117" s="131">
        <v>9180</v>
      </c>
      <c r="G117" s="131">
        <v>5290</v>
      </c>
      <c r="H117" s="131">
        <v>7440</v>
      </c>
      <c r="I117" s="131">
        <v>14860</v>
      </c>
      <c r="J117" s="131">
        <v>11980</v>
      </c>
      <c r="K117" s="131">
        <v>14340</v>
      </c>
      <c r="L117" s="131">
        <v>16550</v>
      </c>
      <c r="M117" s="131">
        <v>8720</v>
      </c>
      <c r="N117" s="131">
        <v>9120</v>
      </c>
      <c r="O117" s="131"/>
    </row>
    <row r="118" spans="3:15" x14ac:dyDescent="0.4">
      <c r="C118" s="128" t="s">
        <v>673</v>
      </c>
      <c r="D118" s="131">
        <v>21470</v>
      </c>
      <c r="E118" s="131">
        <v>20700</v>
      </c>
      <c r="F118" s="131">
        <v>21850</v>
      </c>
      <c r="G118" s="131">
        <v>23400</v>
      </c>
      <c r="H118" s="131">
        <v>22230</v>
      </c>
      <c r="I118" s="131">
        <v>21240</v>
      </c>
      <c r="J118" s="131">
        <v>23600</v>
      </c>
      <c r="K118" s="131">
        <v>24150</v>
      </c>
      <c r="L118" s="131">
        <v>26450</v>
      </c>
      <c r="M118" s="131">
        <v>21850</v>
      </c>
      <c r="N118" s="131">
        <v>26450</v>
      </c>
      <c r="O118" s="131"/>
    </row>
    <row r="119" spans="3:15" x14ac:dyDescent="0.4">
      <c r="C119" s="128" t="s">
        <v>685</v>
      </c>
      <c r="D119" s="131">
        <v>290</v>
      </c>
      <c r="E119" s="131">
        <v>480</v>
      </c>
      <c r="F119" s="131">
        <v>280</v>
      </c>
      <c r="G119" s="131">
        <v>710</v>
      </c>
      <c r="H119" s="131">
        <v>300</v>
      </c>
      <c r="I119" s="131">
        <v>670</v>
      </c>
      <c r="J119" s="131">
        <v>1090</v>
      </c>
      <c r="K119" s="131">
        <v>870</v>
      </c>
      <c r="L119" s="131">
        <v>940</v>
      </c>
      <c r="M119" s="131">
        <v>440</v>
      </c>
      <c r="N119" s="131">
        <v>210</v>
      </c>
      <c r="O119" s="131"/>
    </row>
    <row r="120" spans="3:15" x14ac:dyDescent="0.4">
      <c r="D120" s="131"/>
      <c r="E120" s="131"/>
      <c r="F120" s="131"/>
      <c r="G120" s="131"/>
      <c r="H120" s="131"/>
      <c r="I120" s="131"/>
      <c r="J120" s="131"/>
      <c r="K120" s="131"/>
      <c r="L120" s="131"/>
      <c r="M120" s="131"/>
      <c r="N120" s="131"/>
      <c r="O120" s="131"/>
    </row>
    <row r="121" spans="3:15" x14ac:dyDescent="0.4">
      <c r="C121" s="128" t="s">
        <v>691</v>
      </c>
      <c r="D121" s="131"/>
      <c r="E121" s="131"/>
      <c r="F121" s="131"/>
      <c r="G121" s="131"/>
      <c r="H121" s="131"/>
      <c r="I121" s="131"/>
      <c r="J121" s="131"/>
      <c r="K121" s="131"/>
      <c r="L121" s="131"/>
      <c r="M121" s="131"/>
      <c r="N121" s="131"/>
      <c r="O121" s="131"/>
    </row>
    <row r="122" spans="3:15" x14ac:dyDescent="0.4">
      <c r="C122" s="128" t="s">
        <v>676</v>
      </c>
      <c r="D122" s="131">
        <v>22910</v>
      </c>
      <c r="E122" s="131">
        <v>22910</v>
      </c>
      <c r="F122" s="131">
        <v>22910</v>
      </c>
      <c r="G122" s="131">
        <v>22910</v>
      </c>
      <c r="H122" s="131">
        <v>22910</v>
      </c>
      <c r="I122" s="131">
        <v>22910</v>
      </c>
      <c r="J122" s="131">
        <v>22910</v>
      </c>
      <c r="K122" s="131">
        <v>22910</v>
      </c>
      <c r="L122" s="131">
        <v>22910</v>
      </c>
      <c r="M122" s="131">
        <v>22910</v>
      </c>
      <c r="N122" s="131">
        <v>22910</v>
      </c>
      <c r="O122" s="131"/>
    </row>
  </sheetData>
  <phoneticPr fontId="9" type="noConversion"/>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K3716"/>
  <sheetViews>
    <sheetView zoomScale="90" zoomScaleNormal="90" workbookViewId="0">
      <pane xSplit="2" ySplit="2" topLeftCell="C3572" activePane="bottomRight" state="frozen"/>
      <selection pane="topRight" activeCell="C1" sqref="C1"/>
      <selection pane="bottomLeft" activeCell="A3" sqref="A3"/>
      <selection pane="bottomRight" activeCell="H3590" sqref="H3590"/>
    </sheetView>
  </sheetViews>
  <sheetFormatPr defaultRowHeight="17.399999999999999" x14ac:dyDescent="0.4"/>
  <cols>
    <col min="1" max="1" width="3.09765625" style="405" customWidth="1"/>
    <col min="2" max="2" width="11.09765625" style="405" bestFit="1" customWidth="1"/>
    <col min="3" max="4" width="15" style="405" customWidth="1"/>
    <col min="5" max="5" width="16.19921875" style="405" customWidth="1"/>
    <col min="6" max="6" width="3.5" style="405" customWidth="1"/>
    <col min="7" max="7" width="15" style="405" customWidth="1"/>
    <col min="8" max="8" width="17.59765625" style="405" customWidth="1"/>
    <col min="9" max="9" width="11" style="405" bestFit="1" customWidth="1"/>
    <col min="10" max="10" width="13.09765625" style="405" customWidth="1"/>
  </cols>
  <sheetData>
    <row r="2" spans="2:8" x14ac:dyDescent="0.4">
      <c r="C2" s="72" t="s">
        <v>611</v>
      </c>
      <c r="D2" s="72" t="s">
        <v>612</v>
      </c>
      <c r="E2" s="72" t="s">
        <v>125</v>
      </c>
      <c r="F2" s="72"/>
      <c r="G2" s="72" t="s">
        <v>693</v>
      </c>
      <c r="H2" s="72" t="s">
        <v>694</v>
      </c>
    </row>
    <row r="3" spans="2:8" x14ac:dyDescent="0.4">
      <c r="B3" s="1">
        <v>42552</v>
      </c>
      <c r="C3" s="16">
        <f>SUMIF(매도완료!$G:$G,Sheet2!$B3,매도완료!$P:$P)+매도완료!P342+매도완료!P343+매도완료!P352+매도완료!P353+매도완료!P354</f>
        <v>13685000</v>
      </c>
      <c r="D3" s="16">
        <f>SUMIF(매도완료!$J:$J,Sheet2!$B3,매도완료!$P:$P)</f>
        <v>0</v>
      </c>
      <c r="E3" s="16">
        <f>C3-D3</f>
        <v>13685000</v>
      </c>
      <c r="G3" s="16">
        <f>IF(D3=0,0,SUMIF(매도완료!$J:$J,Sheet2!$B3,매도완료!$S:$S))</f>
        <v>0</v>
      </c>
      <c r="H3" s="16">
        <f>G3</f>
        <v>0</v>
      </c>
    </row>
    <row r="4" spans="2:8" hidden="1" x14ac:dyDescent="0.4">
      <c r="B4" s="1">
        <v>42553</v>
      </c>
      <c r="C4" s="16">
        <f>SUMIF(매도완료!$G:$G,Sheet2!$B4,매도완료!$P:$P)</f>
        <v>0</v>
      </c>
      <c r="D4" s="16">
        <f>SUMIF(매도완료!$J:$J,Sheet2!$B4,매도완료!$P:$P)</f>
        <v>0</v>
      </c>
      <c r="E4" s="16">
        <f t="shared" ref="E4:E67" si="0">E3+C4-D4</f>
        <v>13685000</v>
      </c>
      <c r="G4" s="16">
        <f>IF(D4=0,0,SUMIF(매도완료!$J:$J,Sheet2!$B4,매도완료!$S:$S))</f>
        <v>0</v>
      </c>
      <c r="H4" s="16">
        <f t="shared" ref="H4:H67" si="1">H3+G4</f>
        <v>0</v>
      </c>
    </row>
    <row r="5" spans="2:8" hidden="1" x14ac:dyDescent="0.4">
      <c r="B5" s="1">
        <v>42554</v>
      </c>
      <c r="C5" s="16">
        <f>SUMIF(매도완료!$G:$G,Sheet2!$B5,매도완료!$P:$P)</f>
        <v>0</v>
      </c>
      <c r="D5" s="16">
        <f>SUMIF(매도완료!$J:$J,Sheet2!$B5,매도완료!$P:$P)</f>
        <v>0</v>
      </c>
      <c r="E5" s="16">
        <f t="shared" si="0"/>
        <v>13685000</v>
      </c>
      <c r="G5" s="16">
        <f>IF(D5=0,0,SUMIF(매도완료!$J:$J,Sheet2!$B5,매도완료!$S:$S))</f>
        <v>0</v>
      </c>
      <c r="H5" s="16">
        <f t="shared" si="1"/>
        <v>0</v>
      </c>
    </row>
    <row r="6" spans="2:8" hidden="1" x14ac:dyDescent="0.4">
      <c r="B6" s="1">
        <v>42555</v>
      </c>
      <c r="C6" s="16">
        <f>SUMIF(매도완료!$G:$G,Sheet2!$B6,매도완료!$P:$P)</f>
        <v>0</v>
      </c>
      <c r="D6" s="16">
        <f>SUMIF(매도완료!$J:$J,Sheet2!$B6,매도완료!$P:$P)</f>
        <v>0</v>
      </c>
      <c r="E6" s="16">
        <f t="shared" si="0"/>
        <v>13685000</v>
      </c>
      <c r="G6" s="16">
        <f>IF(D6=0,0,SUMIF(매도완료!$J:$J,Sheet2!$B6,매도완료!$S:$S))</f>
        <v>0</v>
      </c>
      <c r="H6" s="16">
        <f t="shared" si="1"/>
        <v>0</v>
      </c>
    </row>
    <row r="7" spans="2:8" hidden="1" x14ac:dyDescent="0.4">
      <c r="B7" s="1">
        <v>42556</v>
      </c>
      <c r="C7" s="16">
        <f>SUMIF(매도완료!$G:$G,Sheet2!$B7,매도완료!$P:$P)</f>
        <v>0</v>
      </c>
      <c r="D7" s="16">
        <f>SUMIF(매도완료!$J:$J,Sheet2!$B7,매도완료!$P:$P)</f>
        <v>0</v>
      </c>
      <c r="E7" s="16">
        <f t="shared" si="0"/>
        <v>13685000</v>
      </c>
      <c r="G7" s="16">
        <f>IF(D7=0,0,SUMIF(매도완료!$J:$J,Sheet2!$B7,매도완료!$S:$S))</f>
        <v>0</v>
      </c>
      <c r="H7" s="16">
        <f t="shared" si="1"/>
        <v>0</v>
      </c>
    </row>
    <row r="8" spans="2:8" hidden="1" x14ac:dyDescent="0.4">
      <c r="B8" s="1">
        <v>42557</v>
      </c>
      <c r="C8" s="16">
        <f>SUMIF(매도완료!$G:$G,Sheet2!$B8,매도완료!$P:$P)</f>
        <v>0</v>
      </c>
      <c r="D8" s="16">
        <f>SUMIF(매도완료!$J:$J,Sheet2!$B8,매도완료!$P:$P)</f>
        <v>0</v>
      </c>
      <c r="E8" s="16">
        <f t="shared" si="0"/>
        <v>13685000</v>
      </c>
      <c r="G8" s="16">
        <f>IF(D8=0,0,SUMIF(매도완료!$J:$J,Sheet2!$B8,매도완료!$S:$S))</f>
        <v>0</v>
      </c>
      <c r="H8" s="16">
        <f t="shared" si="1"/>
        <v>0</v>
      </c>
    </row>
    <row r="9" spans="2:8" hidden="1" x14ac:dyDescent="0.4">
      <c r="B9" s="1">
        <v>42558</v>
      </c>
      <c r="C9" s="16">
        <f>SUMIF(매도완료!$G:$G,Sheet2!$B9,매도완료!$P:$P)</f>
        <v>0</v>
      </c>
      <c r="D9" s="16">
        <f>SUMIF(매도완료!$J:$J,Sheet2!$B9,매도완료!$P:$P)</f>
        <v>0</v>
      </c>
      <c r="E9" s="16">
        <f t="shared" si="0"/>
        <v>13685000</v>
      </c>
      <c r="G9" s="16">
        <f>IF(D9=0,0,SUMIF(매도완료!$J:$J,Sheet2!$B9,매도완료!$S:$S))</f>
        <v>0</v>
      </c>
      <c r="H9" s="16">
        <f t="shared" si="1"/>
        <v>0</v>
      </c>
    </row>
    <row r="10" spans="2:8" hidden="1" x14ac:dyDescent="0.4">
      <c r="B10" s="1">
        <v>42559</v>
      </c>
      <c r="C10" s="16">
        <f>SUMIF(매도완료!$G:$G,Sheet2!$B10,매도완료!$P:$P)</f>
        <v>0</v>
      </c>
      <c r="D10" s="16">
        <f>SUMIF(매도완료!$J:$J,Sheet2!$B10,매도완료!$P:$P)</f>
        <v>0</v>
      </c>
      <c r="E10" s="16">
        <f t="shared" si="0"/>
        <v>13685000</v>
      </c>
      <c r="G10" s="16">
        <f>IF(D10=0,0,SUMIF(매도완료!$J:$J,Sheet2!$B10,매도완료!$S:$S))</f>
        <v>0</v>
      </c>
      <c r="H10" s="16">
        <f t="shared" si="1"/>
        <v>0</v>
      </c>
    </row>
    <row r="11" spans="2:8" hidden="1" x14ac:dyDescent="0.4">
      <c r="B11" s="1">
        <v>42560</v>
      </c>
      <c r="C11" s="16">
        <f>SUMIF(매도완료!$G:$G,Sheet2!$B11,매도완료!$P:$P)</f>
        <v>0</v>
      </c>
      <c r="D11" s="16">
        <f>SUMIF(매도완료!$J:$J,Sheet2!$B11,매도완료!$P:$P)</f>
        <v>0</v>
      </c>
      <c r="E11" s="16">
        <f t="shared" si="0"/>
        <v>13685000</v>
      </c>
      <c r="G11" s="16">
        <f>IF(D11=0,0,SUMIF(매도완료!$J:$J,Sheet2!$B11,매도완료!$S:$S))</f>
        <v>0</v>
      </c>
      <c r="H11" s="16">
        <f t="shared" si="1"/>
        <v>0</v>
      </c>
    </row>
    <row r="12" spans="2:8" hidden="1" x14ac:dyDescent="0.4">
      <c r="B12" s="1">
        <v>42561</v>
      </c>
      <c r="C12" s="16">
        <f>SUMIF(매도완료!$G:$G,Sheet2!$B12,매도완료!$P:$P)</f>
        <v>0</v>
      </c>
      <c r="D12" s="16">
        <f>SUMIF(매도완료!$J:$J,Sheet2!$B12,매도완료!$P:$P)</f>
        <v>0</v>
      </c>
      <c r="E12" s="16">
        <f t="shared" si="0"/>
        <v>13685000</v>
      </c>
      <c r="G12" s="16">
        <f>IF(D12=0,0,SUMIF(매도완료!$J:$J,Sheet2!$B12,매도완료!$S:$S))</f>
        <v>0</v>
      </c>
      <c r="H12" s="16">
        <f t="shared" si="1"/>
        <v>0</v>
      </c>
    </row>
    <row r="13" spans="2:8" hidden="1" x14ac:dyDescent="0.4">
      <c r="B13" s="1">
        <v>42562</v>
      </c>
      <c r="C13" s="16">
        <f>SUMIF(매도완료!$G:$G,Sheet2!$B13,매도완료!$P:$P)</f>
        <v>0</v>
      </c>
      <c r="D13" s="16">
        <f>SUMIF(매도완료!$J:$J,Sheet2!$B13,매도완료!$P:$P)</f>
        <v>0</v>
      </c>
      <c r="E13" s="16">
        <f t="shared" si="0"/>
        <v>13685000</v>
      </c>
      <c r="G13" s="16">
        <f>IF(D13=0,0,SUMIF(매도완료!$J:$J,Sheet2!$B13,매도완료!$S:$S))</f>
        <v>0</v>
      </c>
      <c r="H13" s="16">
        <f t="shared" si="1"/>
        <v>0</v>
      </c>
    </row>
    <row r="14" spans="2:8" hidden="1" x14ac:dyDescent="0.4">
      <c r="B14" s="1">
        <v>42563</v>
      </c>
      <c r="C14" s="16">
        <f>SUMIF(매도완료!$G:$G,Sheet2!$B14,매도완료!$P:$P)</f>
        <v>0</v>
      </c>
      <c r="D14" s="16">
        <f>SUMIF(매도완료!$J:$J,Sheet2!$B14,매도완료!$P:$P)</f>
        <v>0</v>
      </c>
      <c r="E14" s="16">
        <f t="shared" si="0"/>
        <v>13685000</v>
      </c>
      <c r="G14" s="16">
        <f>IF(D14=0,0,SUMIF(매도완료!$J:$J,Sheet2!$B14,매도완료!$S:$S))</f>
        <v>0</v>
      </c>
      <c r="H14" s="16">
        <f t="shared" si="1"/>
        <v>0</v>
      </c>
    </row>
    <row r="15" spans="2:8" hidden="1" x14ac:dyDescent="0.4">
      <c r="B15" s="1">
        <v>42564</v>
      </c>
      <c r="C15" s="16">
        <f>SUMIF(매도완료!$G:$G,Sheet2!$B15,매도완료!$P:$P)</f>
        <v>471350</v>
      </c>
      <c r="D15" s="16">
        <f>SUMIF(매도완료!$J:$J,Sheet2!$B15,매도완료!$P:$P)</f>
        <v>0</v>
      </c>
      <c r="E15" s="16">
        <f t="shared" si="0"/>
        <v>14156350</v>
      </c>
      <c r="G15" s="16">
        <f>IF(D15=0,0,SUMIF(매도완료!$J:$J,Sheet2!$B15,매도완료!$S:$S))</f>
        <v>0</v>
      </c>
      <c r="H15" s="16">
        <f t="shared" si="1"/>
        <v>0</v>
      </c>
    </row>
    <row r="16" spans="2:8" hidden="1" x14ac:dyDescent="0.4">
      <c r="B16" s="1">
        <v>42565</v>
      </c>
      <c r="C16" s="16">
        <f>SUMIF(매도완료!$G:$G,Sheet2!$B16,매도완료!$P:$P)</f>
        <v>0</v>
      </c>
      <c r="D16" s="16">
        <f>SUMIF(매도완료!$J:$J,Sheet2!$B16,매도완료!$P:$P)</f>
        <v>0</v>
      </c>
      <c r="E16" s="16">
        <f t="shared" si="0"/>
        <v>14156350</v>
      </c>
      <c r="G16" s="16">
        <f>IF(D16=0,0,SUMIF(매도완료!$J:$J,Sheet2!$B16,매도완료!$S:$S))</f>
        <v>0</v>
      </c>
      <c r="H16" s="16">
        <f t="shared" si="1"/>
        <v>0</v>
      </c>
    </row>
    <row r="17" spans="2:8" hidden="1" x14ac:dyDescent="0.4">
      <c r="B17" s="1">
        <v>42566</v>
      </c>
      <c r="C17" s="16">
        <f>SUMIF(매도완료!$G:$G,Sheet2!$B17,매도완료!$P:$P)</f>
        <v>0</v>
      </c>
      <c r="D17" s="16">
        <f>SUMIF(매도완료!$J:$J,Sheet2!$B17,매도완료!$P:$P)</f>
        <v>0</v>
      </c>
      <c r="E17" s="16">
        <f t="shared" si="0"/>
        <v>14156350</v>
      </c>
      <c r="G17" s="16">
        <f>IF(D17=0,0,SUMIF(매도완료!$J:$J,Sheet2!$B17,매도완료!$S:$S))</f>
        <v>0</v>
      </c>
      <c r="H17" s="16">
        <f t="shared" si="1"/>
        <v>0</v>
      </c>
    </row>
    <row r="18" spans="2:8" hidden="1" x14ac:dyDescent="0.4">
      <c r="B18" s="1">
        <v>42567</v>
      </c>
      <c r="C18" s="16">
        <f>SUMIF(매도완료!$G:$G,Sheet2!$B18,매도완료!$P:$P)</f>
        <v>0</v>
      </c>
      <c r="D18" s="16">
        <f>SUMIF(매도완료!$J:$J,Sheet2!$B18,매도완료!$P:$P)</f>
        <v>0</v>
      </c>
      <c r="E18" s="16">
        <f t="shared" si="0"/>
        <v>14156350</v>
      </c>
      <c r="G18" s="16">
        <f>IF(D18=0,0,SUMIF(매도완료!$J:$J,Sheet2!$B18,매도완료!$S:$S))</f>
        <v>0</v>
      </c>
      <c r="H18" s="16">
        <f t="shared" si="1"/>
        <v>0</v>
      </c>
    </row>
    <row r="19" spans="2:8" hidden="1" x14ac:dyDescent="0.4">
      <c r="B19" s="1">
        <v>42568</v>
      </c>
      <c r="C19" s="16">
        <f>SUMIF(매도완료!$G:$G,Sheet2!$B19,매도완료!$P:$P)</f>
        <v>0</v>
      </c>
      <c r="D19" s="16">
        <f>SUMIF(매도완료!$J:$J,Sheet2!$B19,매도완료!$P:$P)</f>
        <v>0</v>
      </c>
      <c r="E19" s="16">
        <f t="shared" si="0"/>
        <v>14156350</v>
      </c>
      <c r="G19" s="16">
        <f>IF(D19=0,0,SUMIF(매도완료!$J:$J,Sheet2!$B19,매도완료!$S:$S))</f>
        <v>0</v>
      </c>
      <c r="H19" s="16">
        <f t="shared" si="1"/>
        <v>0</v>
      </c>
    </row>
    <row r="20" spans="2:8" hidden="1" x14ac:dyDescent="0.4">
      <c r="B20" s="1">
        <v>42569</v>
      </c>
      <c r="C20" s="16">
        <f>SUMIF(매도완료!$G:$G,Sheet2!$B20,매도완료!$P:$P)</f>
        <v>0</v>
      </c>
      <c r="D20" s="16">
        <f>SUMIF(매도완료!$J:$J,Sheet2!$B20,매도완료!$P:$P)</f>
        <v>681990</v>
      </c>
      <c r="E20" s="16">
        <f t="shared" si="0"/>
        <v>13474360</v>
      </c>
      <c r="G20" s="16">
        <f>IF(D20=0,0,SUMIF(매도완료!$J:$J,Sheet2!$B20,매도완료!$S:$S))</f>
        <v>220699</v>
      </c>
      <c r="H20" s="16">
        <f t="shared" si="1"/>
        <v>220699</v>
      </c>
    </row>
    <row r="21" spans="2:8" hidden="1" x14ac:dyDescent="0.4">
      <c r="B21" s="1">
        <v>42570</v>
      </c>
      <c r="C21" s="16">
        <f>SUMIF(매도완료!$G:$G,Sheet2!$B21,매도완료!$P:$P)</f>
        <v>0</v>
      </c>
      <c r="D21" s="16">
        <f>SUMIF(매도완료!$J:$J,Sheet2!$B21,매도완료!$P:$P)</f>
        <v>0</v>
      </c>
      <c r="E21" s="16">
        <f t="shared" si="0"/>
        <v>13474360</v>
      </c>
      <c r="G21" s="16">
        <f>IF(D21=0,0,SUMIF(매도완료!$J:$J,Sheet2!$B21,매도완료!$S:$S))</f>
        <v>0</v>
      </c>
      <c r="H21" s="16">
        <f t="shared" si="1"/>
        <v>220699</v>
      </c>
    </row>
    <row r="22" spans="2:8" hidden="1" x14ac:dyDescent="0.4">
      <c r="B22" s="1">
        <v>42571</v>
      </c>
      <c r="C22" s="16">
        <f>SUMIF(매도완료!$G:$G,Sheet2!$B22,매도완료!$P:$P)</f>
        <v>822000</v>
      </c>
      <c r="D22" s="16">
        <f>SUMIF(매도완료!$J:$J,Sheet2!$B22,매도완료!$P:$P)</f>
        <v>0</v>
      </c>
      <c r="E22" s="16">
        <f t="shared" si="0"/>
        <v>14296360</v>
      </c>
      <c r="G22" s="16">
        <f>IF(D22=0,0,SUMIF(매도완료!$J:$J,Sheet2!$B22,매도완료!$S:$S))</f>
        <v>0</v>
      </c>
      <c r="H22" s="16">
        <f t="shared" si="1"/>
        <v>220699</v>
      </c>
    </row>
    <row r="23" spans="2:8" hidden="1" x14ac:dyDescent="0.4">
      <c r="B23" s="1">
        <v>42572</v>
      </c>
      <c r="C23" s="16">
        <f>SUMIF(매도완료!$G:$G,Sheet2!$B23,매도완료!$P:$P)</f>
        <v>0</v>
      </c>
      <c r="D23" s="16">
        <f>SUMIF(매도완료!$J:$J,Sheet2!$B23,매도완료!$P:$P)</f>
        <v>0</v>
      </c>
      <c r="E23" s="16">
        <f t="shared" si="0"/>
        <v>14296360</v>
      </c>
      <c r="G23" s="16">
        <f>IF(D23=0,0,SUMIF(매도완료!$J:$J,Sheet2!$B23,매도완료!$S:$S))</f>
        <v>0</v>
      </c>
      <c r="H23" s="16">
        <f t="shared" si="1"/>
        <v>220699</v>
      </c>
    </row>
    <row r="24" spans="2:8" hidden="1" x14ac:dyDescent="0.4">
      <c r="B24" s="1">
        <v>42573</v>
      </c>
      <c r="C24" s="16">
        <f>SUMIF(매도완료!$G:$G,Sheet2!$B24,매도완료!$P:$P)</f>
        <v>0</v>
      </c>
      <c r="D24" s="16">
        <f>SUMIF(매도완료!$J:$J,Sheet2!$B24,매도완료!$P:$P)</f>
        <v>0</v>
      </c>
      <c r="E24" s="16">
        <f t="shared" si="0"/>
        <v>14296360</v>
      </c>
      <c r="G24" s="16">
        <f>IF(D24=0,0,SUMIF(매도완료!$J:$J,Sheet2!$B24,매도완료!$S:$S))</f>
        <v>0</v>
      </c>
      <c r="H24" s="16">
        <f t="shared" si="1"/>
        <v>220699</v>
      </c>
    </row>
    <row r="25" spans="2:8" hidden="1" x14ac:dyDescent="0.4">
      <c r="B25" s="1">
        <v>42574</v>
      </c>
      <c r="C25" s="16">
        <f>SUMIF(매도완료!$G:$G,Sheet2!$B25,매도완료!$P:$P)</f>
        <v>0</v>
      </c>
      <c r="D25" s="16">
        <f>SUMIF(매도완료!$J:$J,Sheet2!$B25,매도완료!$P:$P)</f>
        <v>0</v>
      </c>
      <c r="E25" s="16">
        <f t="shared" si="0"/>
        <v>14296360</v>
      </c>
      <c r="G25" s="16">
        <f>IF(D25=0,0,SUMIF(매도완료!$J:$J,Sheet2!$B25,매도완료!$S:$S))</f>
        <v>0</v>
      </c>
      <c r="H25" s="16">
        <f t="shared" si="1"/>
        <v>220699</v>
      </c>
    </row>
    <row r="26" spans="2:8" hidden="1" x14ac:dyDescent="0.4">
      <c r="B26" s="1">
        <v>42575</v>
      </c>
      <c r="C26" s="16">
        <f>SUMIF(매도완료!$G:$G,Sheet2!$B26,매도완료!$P:$P)</f>
        <v>0</v>
      </c>
      <c r="D26" s="16">
        <f>SUMIF(매도완료!$J:$J,Sheet2!$B26,매도완료!$P:$P)</f>
        <v>0</v>
      </c>
      <c r="E26" s="16">
        <f t="shared" si="0"/>
        <v>14296360</v>
      </c>
      <c r="G26" s="16">
        <f>IF(D26=0,0,SUMIF(매도완료!$J:$J,Sheet2!$B26,매도완료!$S:$S))</f>
        <v>0</v>
      </c>
      <c r="H26" s="16">
        <f t="shared" si="1"/>
        <v>220699</v>
      </c>
    </row>
    <row r="27" spans="2:8" hidden="1" x14ac:dyDescent="0.4">
      <c r="B27" s="1">
        <v>42576</v>
      </c>
      <c r="C27" s="16">
        <f>SUMIF(매도완료!$G:$G,Sheet2!$B27,매도완료!$P:$P)</f>
        <v>0</v>
      </c>
      <c r="D27" s="16">
        <f>SUMIF(매도완료!$J:$J,Sheet2!$B27,매도완료!$P:$P)</f>
        <v>0</v>
      </c>
      <c r="E27" s="16">
        <f t="shared" si="0"/>
        <v>14296360</v>
      </c>
      <c r="G27" s="16">
        <f>IF(D27=0,0,SUMIF(매도완료!$J:$J,Sheet2!$B27,매도완료!$S:$S))</f>
        <v>0</v>
      </c>
      <c r="H27" s="16">
        <f t="shared" si="1"/>
        <v>220699</v>
      </c>
    </row>
    <row r="28" spans="2:8" hidden="1" x14ac:dyDescent="0.4">
      <c r="B28" s="1">
        <v>42577</v>
      </c>
      <c r="C28" s="16">
        <f>SUMIF(매도완료!$G:$G,Sheet2!$B28,매도완료!$P:$P)</f>
        <v>688500</v>
      </c>
      <c r="D28" s="16">
        <f>SUMIF(매도완료!$J:$J,Sheet2!$B28,매도완료!$P:$P)</f>
        <v>0</v>
      </c>
      <c r="E28" s="16">
        <f t="shared" si="0"/>
        <v>14984860</v>
      </c>
      <c r="G28" s="16">
        <f>IF(D28=0,0,SUMIF(매도완료!$J:$J,Sheet2!$B28,매도완료!$S:$S))</f>
        <v>0</v>
      </c>
      <c r="H28" s="16">
        <f t="shared" si="1"/>
        <v>220699</v>
      </c>
    </row>
    <row r="29" spans="2:8" hidden="1" x14ac:dyDescent="0.4">
      <c r="B29" s="1">
        <v>42578</v>
      </c>
      <c r="C29" s="16">
        <f>SUMIF(매도완료!$G:$G,Sheet2!$B29,매도완료!$P:$P)</f>
        <v>954000</v>
      </c>
      <c r="D29" s="16">
        <f>SUMIF(매도완료!$J:$J,Sheet2!$B29,매도완료!$P:$P)</f>
        <v>0</v>
      </c>
      <c r="E29" s="16">
        <f t="shared" si="0"/>
        <v>15938860</v>
      </c>
      <c r="G29" s="16">
        <f>IF(D29=0,0,SUMIF(매도완료!$J:$J,Sheet2!$B29,매도완료!$S:$S))</f>
        <v>0</v>
      </c>
      <c r="H29" s="16">
        <f t="shared" si="1"/>
        <v>220699</v>
      </c>
    </row>
    <row r="30" spans="2:8" hidden="1" x14ac:dyDescent="0.4">
      <c r="B30" s="1">
        <v>42579</v>
      </c>
      <c r="C30" s="16">
        <f>SUMIF(매도완료!$G:$G,Sheet2!$B30,매도완료!$P:$P)</f>
        <v>682000</v>
      </c>
      <c r="D30" s="16">
        <f>SUMIF(매도완료!$J:$J,Sheet2!$B30,매도완료!$P:$P)</f>
        <v>0</v>
      </c>
      <c r="E30" s="16">
        <f t="shared" si="0"/>
        <v>16620860</v>
      </c>
      <c r="G30" s="16">
        <f>IF(D30=0,0,SUMIF(매도완료!$J:$J,Sheet2!$B30,매도완료!$S:$S))</f>
        <v>0</v>
      </c>
      <c r="H30" s="16">
        <f t="shared" si="1"/>
        <v>220699</v>
      </c>
    </row>
    <row r="31" spans="2:8" hidden="1" x14ac:dyDescent="0.4">
      <c r="B31" s="1">
        <v>42580</v>
      </c>
      <c r="C31" s="16">
        <f>SUMIF(매도완료!$G:$G,Sheet2!$B31,매도완료!$P:$P)</f>
        <v>2660000</v>
      </c>
      <c r="D31" s="16">
        <f>SUMIF(매도완료!$J:$J,Sheet2!$B31,매도완료!$P:$P)</f>
        <v>0</v>
      </c>
      <c r="E31" s="16">
        <f t="shared" si="0"/>
        <v>19280860</v>
      </c>
      <c r="G31" s="16">
        <f>IF(D31=0,0,SUMIF(매도완료!$J:$J,Sheet2!$B31,매도완료!$S:$S))</f>
        <v>0</v>
      </c>
      <c r="H31" s="16">
        <f t="shared" si="1"/>
        <v>220699</v>
      </c>
    </row>
    <row r="32" spans="2:8" hidden="1" x14ac:dyDescent="0.4">
      <c r="B32" s="1">
        <v>42581</v>
      </c>
      <c r="C32" s="16">
        <f>SUMIF(매도완료!$G:$G,Sheet2!$B32,매도완료!$P:$P)</f>
        <v>0</v>
      </c>
      <c r="D32" s="16">
        <f>SUMIF(매도완료!$J:$J,Sheet2!$B32,매도완료!$P:$P)</f>
        <v>0</v>
      </c>
      <c r="E32" s="16">
        <f t="shared" si="0"/>
        <v>19280860</v>
      </c>
      <c r="G32" s="16">
        <f>IF(D32=0,0,SUMIF(매도완료!$J:$J,Sheet2!$B32,매도완료!$S:$S))</f>
        <v>0</v>
      </c>
      <c r="H32" s="16">
        <f t="shared" si="1"/>
        <v>220699</v>
      </c>
    </row>
    <row r="33" spans="2:8" hidden="1" x14ac:dyDescent="0.4">
      <c r="B33" s="1">
        <v>42582</v>
      </c>
      <c r="C33" s="16">
        <f>SUMIF(매도완료!$G:$G,Sheet2!$B33,매도완료!$P:$P)</f>
        <v>0</v>
      </c>
      <c r="D33" s="16">
        <f>SUMIF(매도완료!$J:$J,Sheet2!$B33,매도완료!$P:$P)</f>
        <v>0</v>
      </c>
      <c r="E33" s="16">
        <f t="shared" si="0"/>
        <v>19280860</v>
      </c>
      <c r="G33" s="16">
        <f>IF(D33=0,0,SUMIF(매도완료!$J:$J,Sheet2!$B33,매도완료!$S:$S))</f>
        <v>0</v>
      </c>
      <c r="H33" s="16">
        <f t="shared" si="1"/>
        <v>220699</v>
      </c>
    </row>
    <row r="34" spans="2:8" hidden="1" x14ac:dyDescent="0.4">
      <c r="B34" s="1">
        <v>42583</v>
      </c>
      <c r="C34" s="16">
        <f>SUMIF(매도완료!$G:$G,Sheet2!$B34,매도완료!$P:$P)</f>
        <v>0</v>
      </c>
      <c r="D34" s="16">
        <f>SUMIF(매도완료!$J:$J,Sheet2!$B34,매도완료!$P:$P)</f>
        <v>0</v>
      </c>
      <c r="E34" s="16">
        <f t="shared" si="0"/>
        <v>19280860</v>
      </c>
      <c r="G34" s="16">
        <f>IF(D34=0,0,SUMIF(매도완료!$J:$J,Sheet2!$B34,매도완료!$S:$S))</f>
        <v>0</v>
      </c>
      <c r="H34" s="16">
        <f t="shared" si="1"/>
        <v>220699</v>
      </c>
    </row>
    <row r="35" spans="2:8" hidden="1" x14ac:dyDescent="0.4">
      <c r="B35" s="1">
        <v>42584</v>
      </c>
      <c r="C35" s="16">
        <f>SUMIF(매도완료!$G:$G,Sheet2!$B35,매도완료!$P:$P)</f>
        <v>0</v>
      </c>
      <c r="D35" s="16">
        <f>SUMIF(매도완료!$J:$J,Sheet2!$B35,매도완료!$P:$P)</f>
        <v>0</v>
      </c>
      <c r="E35" s="16">
        <f t="shared" si="0"/>
        <v>19280860</v>
      </c>
      <c r="G35" s="16">
        <f>IF(D35=0,0,SUMIF(매도완료!$J:$J,Sheet2!$B35,매도완료!$S:$S))</f>
        <v>0</v>
      </c>
      <c r="H35" s="16">
        <f t="shared" si="1"/>
        <v>220699</v>
      </c>
    </row>
    <row r="36" spans="2:8" hidden="1" x14ac:dyDescent="0.4">
      <c r="B36" s="1">
        <v>42585</v>
      </c>
      <c r="C36" s="16">
        <f>SUMIF(매도완료!$G:$G,Sheet2!$B36,매도완료!$P:$P)</f>
        <v>2325000</v>
      </c>
      <c r="D36" s="16">
        <f>SUMIF(매도완료!$J:$J,Sheet2!$B36,매도완료!$P:$P)</f>
        <v>0</v>
      </c>
      <c r="E36" s="16">
        <f t="shared" si="0"/>
        <v>21605860</v>
      </c>
      <c r="G36" s="16">
        <f>IF(D36=0,0,SUMIF(매도완료!$J:$J,Sheet2!$B36,매도완료!$S:$S))</f>
        <v>0</v>
      </c>
      <c r="H36" s="16">
        <f t="shared" si="1"/>
        <v>220699</v>
      </c>
    </row>
    <row r="37" spans="2:8" hidden="1" x14ac:dyDescent="0.4">
      <c r="B37" s="1">
        <v>42586</v>
      </c>
      <c r="C37" s="16">
        <f>SUMIF(매도완료!$G:$G,Sheet2!$B37,매도완료!$P:$P)</f>
        <v>0</v>
      </c>
      <c r="D37" s="16">
        <f>SUMIF(매도완료!$J:$J,Sheet2!$B37,매도완료!$P:$P)</f>
        <v>682000</v>
      </c>
      <c r="E37" s="16">
        <f t="shared" si="0"/>
        <v>20923860</v>
      </c>
      <c r="G37" s="16">
        <f>IF(D37=0,0,SUMIF(매도완료!$J:$J,Sheet2!$B37,매도완료!$S:$S))</f>
        <v>147228</v>
      </c>
      <c r="H37" s="16">
        <f t="shared" si="1"/>
        <v>367927</v>
      </c>
    </row>
    <row r="38" spans="2:8" hidden="1" x14ac:dyDescent="0.4">
      <c r="B38" s="1">
        <v>42587</v>
      </c>
      <c r="C38" s="16">
        <f>SUMIF(매도완료!$G:$G,Sheet2!$B38,매도완료!$P:$P)</f>
        <v>2582500</v>
      </c>
      <c r="D38" s="16">
        <f>SUMIF(매도완료!$J:$J,Sheet2!$B38,매도완료!$P:$P)</f>
        <v>2125000</v>
      </c>
      <c r="E38" s="16">
        <f t="shared" si="0"/>
        <v>21381360</v>
      </c>
      <c r="G38" s="16">
        <f>IF(D38=0,0,SUMIF(매도완료!$J:$J,Sheet2!$B38,매도완료!$S:$S))</f>
        <v>-627929.5</v>
      </c>
      <c r="H38" s="16">
        <f t="shared" si="1"/>
        <v>-260002.5</v>
      </c>
    </row>
    <row r="39" spans="2:8" hidden="1" x14ac:dyDescent="0.4">
      <c r="B39" s="1">
        <v>42588</v>
      </c>
      <c r="C39" s="16">
        <f>SUMIF(매도완료!$G:$G,Sheet2!$B39,매도완료!$P:$P)</f>
        <v>0</v>
      </c>
      <c r="D39" s="16">
        <f>SUMIF(매도완료!$J:$J,Sheet2!$B39,매도완료!$P:$P)</f>
        <v>0</v>
      </c>
      <c r="E39" s="16">
        <f t="shared" si="0"/>
        <v>21381360</v>
      </c>
      <c r="G39" s="16">
        <f>IF(D39=0,0,SUMIF(매도완료!$J:$J,Sheet2!$B39,매도완료!$S:$S))</f>
        <v>0</v>
      </c>
      <c r="H39" s="16">
        <f t="shared" si="1"/>
        <v>-260002.5</v>
      </c>
    </row>
    <row r="40" spans="2:8" hidden="1" x14ac:dyDescent="0.4">
      <c r="B40" s="1">
        <v>42589</v>
      </c>
      <c r="C40" s="16">
        <f>SUMIF(매도완료!$G:$G,Sheet2!$B40,매도완료!$P:$P)</f>
        <v>0</v>
      </c>
      <c r="D40" s="16">
        <f>SUMIF(매도완료!$J:$J,Sheet2!$B40,매도완료!$P:$P)</f>
        <v>0</v>
      </c>
      <c r="E40" s="16">
        <f t="shared" si="0"/>
        <v>21381360</v>
      </c>
      <c r="G40" s="16">
        <f>IF(D40=0,0,SUMIF(매도완료!$J:$J,Sheet2!$B40,매도완료!$S:$S))</f>
        <v>0</v>
      </c>
      <c r="H40" s="16">
        <f t="shared" si="1"/>
        <v>-260002.5</v>
      </c>
    </row>
    <row r="41" spans="2:8" hidden="1" x14ac:dyDescent="0.4">
      <c r="B41" s="1">
        <v>42590</v>
      </c>
      <c r="C41" s="16">
        <f>SUMIF(매도완료!$G:$G,Sheet2!$B41,매도완료!$P:$P)</f>
        <v>1010000</v>
      </c>
      <c r="D41" s="16">
        <f>SUMIF(매도완료!$J:$J,Sheet2!$B41,매도완료!$P:$P)</f>
        <v>822000</v>
      </c>
      <c r="E41" s="16">
        <f t="shared" si="0"/>
        <v>21569360</v>
      </c>
      <c r="G41" s="16">
        <f>IF(D41=0,0,SUMIF(매도완료!$J:$J,Sheet2!$B41,매도완료!$S:$S))</f>
        <v>14485.5</v>
      </c>
      <c r="H41" s="16">
        <f t="shared" si="1"/>
        <v>-245517</v>
      </c>
    </row>
    <row r="42" spans="2:8" hidden="1" x14ac:dyDescent="0.4">
      <c r="B42" s="1">
        <v>42591</v>
      </c>
      <c r="C42" s="16">
        <f>SUMIF(매도완료!$G:$G,Sheet2!$B42,매도완료!$P:$P)</f>
        <v>0</v>
      </c>
      <c r="D42" s="16">
        <f>SUMIF(매도완료!$J:$J,Sheet2!$B42,매도완료!$P:$P)</f>
        <v>1315000</v>
      </c>
      <c r="E42" s="16">
        <f t="shared" si="0"/>
        <v>20254360</v>
      </c>
      <c r="G42" s="16">
        <f>IF(D42=0,0,SUMIF(매도완료!$J:$J,Sheet2!$B42,매도완료!$S:$S))</f>
        <v>26960</v>
      </c>
      <c r="H42" s="16">
        <f t="shared" si="1"/>
        <v>-218557</v>
      </c>
    </row>
    <row r="43" spans="2:8" hidden="1" x14ac:dyDescent="0.4">
      <c r="B43" s="1">
        <v>42592</v>
      </c>
      <c r="C43" s="16">
        <f>SUMIF(매도완료!$G:$G,Sheet2!$B43,매도완료!$P:$P)</f>
        <v>0</v>
      </c>
      <c r="D43" s="16">
        <f>SUMIF(매도완료!$J:$J,Sheet2!$B43,매도완료!$P:$P)</f>
        <v>601000</v>
      </c>
      <c r="E43" s="16">
        <f t="shared" si="0"/>
        <v>19653360</v>
      </c>
      <c r="G43" s="16">
        <f>IF(D43=0,0,SUMIF(매도완료!$J:$J,Sheet2!$B43,매도완료!$S:$S))</f>
        <v>385</v>
      </c>
      <c r="H43" s="16">
        <f t="shared" si="1"/>
        <v>-218172</v>
      </c>
    </row>
    <row r="44" spans="2:8" hidden="1" x14ac:dyDescent="0.4">
      <c r="B44" s="1">
        <v>42593</v>
      </c>
      <c r="C44" s="16">
        <f>SUMIF(매도완료!$G:$G,Sheet2!$B44,매도완료!$P:$P)</f>
        <v>0</v>
      </c>
      <c r="D44" s="16">
        <f>SUMIF(매도완료!$J:$J,Sheet2!$B44,매도완료!$P:$P)</f>
        <v>0</v>
      </c>
      <c r="E44" s="16">
        <f t="shared" si="0"/>
        <v>19653360</v>
      </c>
      <c r="G44" s="16">
        <f>IF(D44=0,0,SUMIF(매도완료!$J:$J,Sheet2!$B44,매도완료!$S:$S))</f>
        <v>0</v>
      </c>
      <c r="H44" s="16">
        <f t="shared" si="1"/>
        <v>-218172</v>
      </c>
    </row>
    <row r="45" spans="2:8" hidden="1" x14ac:dyDescent="0.4">
      <c r="B45" s="1">
        <v>42594</v>
      </c>
      <c r="C45" s="16">
        <f>SUMIF(매도완료!$G:$G,Sheet2!$B45,매도완료!$P:$P)</f>
        <v>0</v>
      </c>
      <c r="D45" s="16">
        <f>SUMIF(매도완료!$J:$J,Sheet2!$B45,매도완료!$P:$P)</f>
        <v>0</v>
      </c>
      <c r="E45" s="16">
        <f t="shared" si="0"/>
        <v>19653360</v>
      </c>
      <c r="G45" s="16">
        <f>IF(D45=0,0,SUMIF(매도완료!$J:$J,Sheet2!$B45,매도완료!$S:$S))</f>
        <v>0</v>
      </c>
      <c r="H45" s="16">
        <f t="shared" si="1"/>
        <v>-218172</v>
      </c>
    </row>
    <row r="46" spans="2:8" hidden="1" x14ac:dyDescent="0.4">
      <c r="B46" s="1">
        <v>42595</v>
      </c>
      <c r="C46" s="16">
        <f>SUMIF(매도완료!$G:$G,Sheet2!$B46,매도완료!$P:$P)</f>
        <v>0</v>
      </c>
      <c r="D46" s="16">
        <f>SUMIF(매도완료!$J:$J,Sheet2!$B46,매도완료!$P:$P)</f>
        <v>0</v>
      </c>
      <c r="E46" s="16">
        <f t="shared" si="0"/>
        <v>19653360</v>
      </c>
      <c r="G46" s="16">
        <f>IF(D46=0,0,SUMIF(매도완료!$J:$J,Sheet2!$B46,매도완료!$S:$S))</f>
        <v>0</v>
      </c>
      <c r="H46" s="16">
        <f t="shared" si="1"/>
        <v>-218172</v>
      </c>
    </row>
    <row r="47" spans="2:8" hidden="1" x14ac:dyDescent="0.4">
      <c r="B47" s="1">
        <v>42596</v>
      </c>
      <c r="C47" s="16">
        <f>SUMIF(매도완료!$G:$G,Sheet2!$B47,매도완료!$P:$P)</f>
        <v>0</v>
      </c>
      <c r="D47" s="16">
        <f>SUMIF(매도완료!$J:$J,Sheet2!$B47,매도완료!$P:$P)</f>
        <v>0</v>
      </c>
      <c r="E47" s="16">
        <f t="shared" si="0"/>
        <v>19653360</v>
      </c>
      <c r="G47" s="16">
        <f>IF(D47=0,0,SUMIF(매도완료!$J:$J,Sheet2!$B47,매도완료!$S:$S))</f>
        <v>0</v>
      </c>
      <c r="H47" s="16">
        <f t="shared" si="1"/>
        <v>-218172</v>
      </c>
    </row>
    <row r="48" spans="2:8" hidden="1" x14ac:dyDescent="0.4">
      <c r="B48" s="1">
        <v>42597</v>
      </c>
      <c r="C48" s="16">
        <f>SUMIF(매도완료!$G:$G,Sheet2!$B48,매도완료!$P:$P)</f>
        <v>0</v>
      </c>
      <c r="D48" s="16">
        <f>SUMIF(매도완료!$J:$J,Sheet2!$B48,매도완료!$P:$P)</f>
        <v>0</v>
      </c>
      <c r="E48" s="16">
        <f t="shared" si="0"/>
        <v>19653360</v>
      </c>
      <c r="G48" s="16">
        <f>IF(D48=0,0,SUMIF(매도완료!$J:$J,Sheet2!$B48,매도완료!$S:$S))</f>
        <v>0</v>
      </c>
      <c r="H48" s="16">
        <f t="shared" si="1"/>
        <v>-218172</v>
      </c>
    </row>
    <row r="49" spans="2:8" hidden="1" x14ac:dyDescent="0.4">
      <c r="B49" s="1">
        <v>42598</v>
      </c>
      <c r="C49" s="16">
        <f>SUMIF(매도완료!$G:$G,Sheet2!$B49,매도완료!$P:$P)</f>
        <v>0</v>
      </c>
      <c r="D49" s="16">
        <f>SUMIF(매도완료!$J:$J,Sheet2!$B49,매도완료!$P:$P)</f>
        <v>0</v>
      </c>
      <c r="E49" s="16">
        <f t="shared" si="0"/>
        <v>19653360</v>
      </c>
      <c r="G49" s="16">
        <f>IF(D49=0,0,SUMIF(매도완료!$J:$J,Sheet2!$B49,매도완료!$S:$S))</f>
        <v>0</v>
      </c>
      <c r="H49" s="16">
        <f t="shared" si="1"/>
        <v>-218172</v>
      </c>
    </row>
    <row r="50" spans="2:8" hidden="1" x14ac:dyDescent="0.4">
      <c r="B50" s="1">
        <v>42599</v>
      </c>
      <c r="C50" s="16">
        <f>SUMIF(매도완료!$G:$G,Sheet2!$B50,매도완료!$P:$P)</f>
        <v>3850000</v>
      </c>
      <c r="D50" s="16">
        <f>SUMIF(매도완료!$J:$J,Sheet2!$B50,매도완료!$P:$P)</f>
        <v>0</v>
      </c>
      <c r="E50" s="16">
        <f t="shared" si="0"/>
        <v>23503360</v>
      </c>
      <c r="G50" s="16">
        <f>IF(D50=0,0,SUMIF(매도완료!$J:$J,Sheet2!$B50,매도완료!$S:$S))</f>
        <v>0</v>
      </c>
      <c r="H50" s="16">
        <f t="shared" si="1"/>
        <v>-218172</v>
      </c>
    </row>
    <row r="51" spans="2:8" hidden="1" x14ac:dyDescent="0.4">
      <c r="B51" s="1">
        <v>42600</v>
      </c>
      <c r="C51" s="16">
        <f>SUMIF(매도완료!$G:$G,Sheet2!$B51,매도완료!$P:$P)</f>
        <v>0</v>
      </c>
      <c r="D51" s="16">
        <f>SUMIF(매도완료!$J:$J,Sheet2!$B51,매도완료!$P:$P)</f>
        <v>1812000</v>
      </c>
      <c r="E51" s="16">
        <f t="shared" si="0"/>
        <v>21691360</v>
      </c>
      <c r="G51" s="16">
        <f>IF(D51=0,0,SUMIF(매도완료!$J:$J,Sheet2!$B51,매도완료!$S:$S))</f>
        <v>-539030</v>
      </c>
      <c r="H51" s="16">
        <f t="shared" si="1"/>
        <v>-757202</v>
      </c>
    </row>
    <row r="52" spans="2:8" hidden="1" x14ac:dyDescent="0.4">
      <c r="B52" s="1">
        <v>42601</v>
      </c>
      <c r="C52" s="16">
        <f>SUMIF(매도완료!$G:$G,Sheet2!$B52,매도완료!$P:$P)</f>
        <v>4550400</v>
      </c>
      <c r="D52" s="16">
        <f>SUMIF(매도완료!$J:$J,Sheet2!$B52,매도완료!$P:$P)</f>
        <v>0</v>
      </c>
      <c r="E52" s="16">
        <f t="shared" si="0"/>
        <v>26241760</v>
      </c>
      <c r="G52" s="16">
        <f>IF(D52=0,0,SUMIF(매도완료!$J:$J,Sheet2!$B52,매도완료!$S:$S))</f>
        <v>0</v>
      </c>
      <c r="H52" s="16">
        <f t="shared" si="1"/>
        <v>-757202</v>
      </c>
    </row>
    <row r="53" spans="2:8" hidden="1" x14ac:dyDescent="0.4">
      <c r="B53" s="1">
        <v>42602</v>
      </c>
      <c r="C53" s="16">
        <f>SUMIF(매도완료!$G:$G,Sheet2!$B53,매도완료!$P:$P)</f>
        <v>0</v>
      </c>
      <c r="D53" s="16">
        <f>SUMIF(매도완료!$J:$J,Sheet2!$B53,매도완료!$P:$P)</f>
        <v>0</v>
      </c>
      <c r="E53" s="16">
        <f t="shared" si="0"/>
        <v>26241760</v>
      </c>
      <c r="G53" s="16">
        <f>IF(D53=0,0,SUMIF(매도완료!$J:$J,Sheet2!$B53,매도완료!$S:$S))</f>
        <v>0</v>
      </c>
      <c r="H53" s="16">
        <f t="shared" si="1"/>
        <v>-757202</v>
      </c>
    </row>
    <row r="54" spans="2:8" hidden="1" x14ac:dyDescent="0.4">
      <c r="B54" s="1">
        <v>42603</v>
      </c>
      <c r="C54" s="16">
        <f>SUMIF(매도완료!$G:$G,Sheet2!$B54,매도완료!$P:$P)</f>
        <v>0</v>
      </c>
      <c r="D54" s="16">
        <f>SUMIF(매도완료!$J:$J,Sheet2!$B54,매도완료!$P:$P)</f>
        <v>0</v>
      </c>
      <c r="E54" s="16">
        <f t="shared" si="0"/>
        <v>26241760</v>
      </c>
      <c r="G54" s="16">
        <f>IF(D54=0,0,SUMIF(매도완료!$J:$J,Sheet2!$B54,매도완료!$S:$S))</f>
        <v>0</v>
      </c>
      <c r="H54" s="16">
        <f t="shared" si="1"/>
        <v>-757202</v>
      </c>
    </row>
    <row r="55" spans="2:8" hidden="1" x14ac:dyDescent="0.4">
      <c r="B55" s="1">
        <v>42604</v>
      </c>
      <c r="C55" s="16">
        <f>SUMIF(매도완료!$G:$G,Sheet2!$B55,매도완료!$P:$P)</f>
        <v>0</v>
      </c>
      <c r="D55" s="16">
        <f>SUMIF(매도완료!$J:$J,Sheet2!$B55,매도완료!$P:$P)</f>
        <v>0</v>
      </c>
      <c r="E55" s="16">
        <f t="shared" si="0"/>
        <v>26241760</v>
      </c>
      <c r="G55" s="16">
        <f>IF(D55=0,0,SUMIF(매도완료!$J:$J,Sheet2!$B55,매도완료!$S:$S))</f>
        <v>0</v>
      </c>
      <c r="H55" s="16">
        <f t="shared" si="1"/>
        <v>-757202</v>
      </c>
    </row>
    <row r="56" spans="2:8" hidden="1" x14ac:dyDescent="0.4">
      <c r="B56" s="1">
        <v>42605</v>
      </c>
      <c r="C56" s="16">
        <f>SUMIF(매도완료!$G:$G,Sheet2!$B56,매도완료!$P:$P)</f>
        <v>256500</v>
      </c>
      <c r="D56" s="16">
        <f>SUMIF(매도완료!$J:$J,Sheet2!$B56,매도완료!$P:$P)</f>
        <v>1320000</v>
      </c>
      <c r="E56" s="16">
        <f t="shared" si="0"/>
        <v>25178260</v>
      </c>
      <c r="G56" s="16">
        <f>IF(D56=0,0,SUMIF(매도완료!$J:$J,Sheet2!$B56,매도완료!$S:$S))</f>
        <v>320600</v>
      </c>
      <c r="H56" s="16">
        <f t="shared" si="1"/>
        <v>-436602</v>
      </c>
    </row>
    <row r="57" spans="2:8" hidden="1" x14ac:dyDescent="0.4">
      <c r="B57" s="1">
        <v>42606</v>
      </c>
      <c r="C57" s="16">
        <f>SUMIF(매도완료!$G:$G,Sheet2!$B57,매도완료!$P:$P)</f>
        <v>0</v>
      </c>
      <c r="D57" s="16">
        <f>SUMIF(매도완료!$J:$J,Sheet2!$B57,매도완료!$P:$P)</f>
        <v>1267500</v>
      </c>
      <c r="E57" s="16">
        <f t="shared" si="0"/>
        <v>23910760</v>
      </c>
      <c r="G57" s="16">
        <f>IF(D57=0,0,SUMIF(매도완료!$J:$J,Sheet2!$B57,매도완료!$S:$S))</f>
        <v>116344</v>
      </c>
      <c r="H57" s="16">
        <f t="shared" si="1"/>
        <v>-320258</v>
      </c>
    </row>
    <row r="58" spans="2:8" hidden="1" x14ac:dyDescent="0.4">
      <c r="B58" s="1">
        <v>42607</v>
      </c>
      <c r="C58" s="16">
        <f>SUMIF(매도완료!$G:$G,Sheet2!$B58,매도완료!$P:$P)</f>
        <v>332400</v>
      </c>
      <c r="D58" s="16">
        <f>SUMIF(매도완료!$J:$J,Sheet2!$B58,매도완료!$P:$P)</f>
        <v>0</v>
      </c>
      <c r="E58" s="16">
        <f t="shared" si="0"/>
        <v>24243160</v>
      </c>
      <c r="G58" s="16">
        <f>IF(D58=0,0,SUMIF(매도완료!$J:$J,Sheet2!$B58,매도완료!$S:$S))</f>
        <v>0</v>
      </c>
      <c r="H58" s="16">
        <f t="shared" si="1"/>
        <v>-320258</v>
      </c>
    </row>
    <row r="59" spans="2:8" hidden="1" x14ac:dyDescent="0.4">
      <c r="B59" s="1">
        <v>42608</v>
      </c>
      <c r="C59" s="16">
        <f>SUMIF(매도완료!$G:$G,Sheet2!$B59,매도완료!$P:$P)</f>
        <v>1338000</v>
      </c>
      <c r="D59" s="16">
        <f>SUMIF(매도완료!$J:$J,Sheet2!$B59,매도완료!$P:$P)</f>
        <v>0</v>
      </c>
      <c r="E59" s="16">
        <f t="shared" si="0"/>
        <v>25581160</v>
      </c>
      <c r="G59" s="16">
        <f>IF(D59=0,0,SUMIF(매도완료!$J:$J,Sheet2!$B59,매도완료!$S:$S))</f>
        <v>0</v>
      </c>
      <c r="H59" s="16">
        <f t="shared" si="1"/>
        <v>-320258</v>
      </c>
    </row>
    <row r="60" spans="2:8" hidden="1" x14ac:dyDescent="0.4">
      <c r="B60" s="1">
        <v>42609</v>
      </c>
      <c r="C60" s="16">
        <f>SUMIF(매도완료!$G:$G,Sheet2!$B60,매도완료!$P:$P)</f>
        <v>0</v>
      </c>
      <c r="D60" s="16">
        <f>SUMIF(매도완료!$J:$J,Sheet2!$B60,매도완료!$P:$P)</f>
        <v>0</v>
      </c>
      <c r="E60" s="16">
        <f t="shared" si="0"/>
        <v>25581160</v>
      </c>
      <c r="G60" s="16">
        <f>IF(D60=0,0,SUMIF(매도완료!$J:$J,Sheet2!$B60,매도완료!$S:$S))</f>
        <v>0</v>
      </c>
      <c r="H60" s="16">
        <f t="shared" si="1"/>
        <v>-320258</v>
      </c>
    </row>
    <row r="61" spans="2:8" hidden="1" x14ac:dyDescent="0.4">
      <c r="B61" s="1">
        <v>42610</v>
      </c>
      <c r="C61" s="16">
        <f>SUMIF(매도완료!$G:$G,Sheet2!$B61,매도완료!$P:$P)</f>
        <v>0</v>
      </c>
      <c r="D61" s="16">
        <f>SUMIF(매도완료!$J:$J,Sheet2!$B61,매도완료!$P:$P)</f>
        <v>0</v>
      </c>
      <c r="E61" s="16">
        <f t="shared" si="0"/>
        <v>25581160</v>
      </c>
      <c r="G61" s="16">
        <f>IF(D61=0,0,SUMIF(매도완료!$J:$J,Sheet2!$B61,매도완료!$S:$S))</f>
        <v>0</v>
      </c>
      <c r="H61" s="16">
        <f t="shared" si="1"/>
        <v>-320258</v>
      </c>
    </row>
    <row r="62" spans="2:8" hidden="1" x14ac:dyDescent="0.4">
      <c r="B62" s="1">
        <v>42611</v>
      </c>
      <c r="C62" s="16">
        <f>SUMIF(매도완료!$G:$G,Sheet2!$B62,매도완료!$P:$P)</f>
        <v>409500</v>
      </c>
      <c r="D62" s="16">
        <f>SUMIF(매도완료!$J:$J,Sheet2!$B62,매도완료!$P:$P)</f>
        <v>895000</v>
      </c>
      <c r="E62" s="16">
        <f t="shared" si="0"/>
        <v>25095660</v>
      </c>
      <c r="G62" s="16">
        <f>IF(D62=0,0,SUMIF(매도완료!$J:$J,Sheet2!$B62,매도완료!$S:$S))</f>
        <v>79250</v>
      </c>
      <c r="H62" s="16">
        <f t="shared" si="1"/>
        <v>-241008</v>
      </c>
    </row>
    <row r="63" spans="2:8" hidden="1" x14ac:dyDescent="0.4">
      <c r="B63" s="1">
        <v>42612</v>
      </c>
      <c r="C63" s="16">
        <f>SUMIF(매도완료!$G:$G,Sheet2!$B63,매도완료!$P:$P)</f>
        <v>0</v>
      </c>
      <c r="D63" s="16">
        <f>SUMIF(매도완료!$J:$J,Sheet2!$B63,매도완료!$P:$P)</f>
        <v>0</v>
      </c>
      <c r="E63" s="16">
        <f t="shared" si="0"/>
        <v>25095660</v>
      </c>
      <c r="G63" s="16">
        <f>IF(D63=0,0,SUMIF(매도완료!$J:$J,Sheet2!$B63,매도완료!$S:$S))</f>
        <v>0</v>
      </c>
      <c r="H63" s="16">
        <f t="shared" si="1"/>
        <v>-241008</v>
      </c>
    </row>
    <row r="64" spans="2:8" hidden="1" x14ac:dyDescent="0.4">
      <c r="B64" s="1">
        <v>42613</v>
      </c>
      <c r="C64" s="16">
        <f>SUMIF(매도완료!$G:$G,Sheet2!$B64,매도완료!$P:$P)</f>
        <v>0</v>
      </c>
      <c r="D64" s="16">
        <f>SUMIF(매도완료!$J:$J,Sheet2!$B64,매도완료!$P:$P)</f>
        <v>2550000</v>
      </c>
      <c r="E64" s="16">
        <f t="shared" si="0"/>
        <v>22545660</v>
      </c>
      <c r="G64" s="16">
        <f>IF(D64=0,0,SUMIF(매도완료!$J:$J,Sheet2!$B64,매도완료!$S:$S))</f>
        <v>134030</v>
      </c>
      <c r="H64" s="16">
        <f t="shared" si="1"/>
        <v>-106978</v>
      </c>
    </row>
    <row r="65" spans="2:8" hidden="1" x14ac:dyDescent="0.4">
      <c r="B65" s="1">
        <v>42614</v>
      </c>
      <c r="C65" s="16">
        <f>SUMIF(매도완료!$G:$G,Sheet2!$B65,매도완료!$P:$P)</f>
        <v>1423000</v>
      </c>
      <c r="D65" s="16">
        <f>SUMIF(매도완료!$J:$J,Sheet2!$B65,매도완료!$P:$P)</f>
        <v>0</v>
      </c>
      <c r="E65" s="16">
        <f t="shared" si="0"/>
        <v>23968660</v>
      </c>
      <c r="G65" s="16">
        <f>IF(D65=0,0,SUMIF(매도완료!$J:$J,Sheet2!$B65,매도완료!$S:$S))</f>
        <v>0</v>
      </c>
      <c r="H65" s="16">
        <f t="shared" si="1"/>
        <v>-106978</v>
      </c>
    </row>
    <row r="66" spans="2:8" hidden="1" x14ac:dyDescent="0.4">
      <c r="B66" s="1">
        <v>42615</v>
      </c>
      <c r="C66" s="16">
        <f>SUMIF(매도완료!$G:$G,Sheet2!$B66,매도완료!$P:$P)</f>
        <v>919200</v>
      </c>
      <c r="D66" s="16">
        <f>SUMIF(매도완료!$J:$J,Sheet2!$B66,매도완료!$P:$P)</f>
        <v>0</v>
      </c>
      <c r="E66" s="16">
        <f t="shared" si="0"/>
        <v>24887860</v>
      </c>
      <c r="G66" s="16">
        <f>IF(D66=0,0,SUMIF(매도완료!$J:$J,Sheet2!$B66,매도완료!$S:$S))</f>
        <v>0</v>
      </c>
      <c r="H66" s="16">
        <f t="shared" si="1"/>
        <v>-106978</v>
      </c>
    </row>
    <row r="67" spans="2:8" hidden="1" x14ac:dyDescent="0.4">
      <c r="B67" s="1">
        <v>42616</v>
      </c>
      <c r="C67" s="16">
        <f>SUMIF(매도완료!$G:$G,Sheet2!$B67,매도완료!$P:$P)</f>
        <v>0</v>
      </c>
      <c r="D67" s="16">
        <f>SUMIF(매도완료!$J:$J,Sheet2!$B67,매도완료!$P:$P)</f>
        <v>0</v>
      </c>
      <c r="E67" s="16">
        <f t="shared" si="0"/>
        <v>24887860</v>
      </c>
      <c r="G67" s="16">
        <f>IF(D67=0,0,SUMIF(매도완료!$J:$J,Sheet2!$B67,매도완료!$S:$S))</f>
        <v>0</v>
      </c>
      <c r="H67" s="16">
        <f t="shared" si="1"/>
        <v>-106978</v>
      </c>
    </row>
    <row r="68" spans="2:8" hidden="1" x14ac:dyDescent="0.4">
      <c r="B68" s="1">
        <v>42617</v>
      </c>
      <c r="C68" s="16">
        <f>SUMIF(매도완료!$G:$G,Sheet2!$B68,매도완료!$P:$P)</f>
        <v>0</v>
      </c>
      <c r="D68" s="16">
        <f>SUMIF(매도완료!$J:$J,Sheet2!$B68,매도완료!$P:$P)</f>
        <v>0</v>
      </c>
      <c r="E68" s="16">
        <f t="shared" ref="E68:E131" si="2">E67+C68-D68</f>
        <v>24887860</v>
      </c>
      <c r="G68" s="16">
        <f>IF(D68=0,0,SUMIF(매도완료!$J:$J,Sheet2!$B68,매도완료!$S:$S))</f>
        <v>0</v>
      </c>
      <c r="H68" s="16">
        <f t="shared" ref="H68:H131" si="3">H67+G68</f>
        <v>-106978</v>
      </c>
    </row>
    <row r="69" spans="2:8" hidden="1" x14ac:dyDescent="0.4">
      <c r="B69" s="1">
        <v>42618</v>
      </c>
      <c r="C69" s="16">
        <f>SUMIF(매도완료!$G:$G,Sheet2!$B69,매도완료!$P:$P)</f>
        <v>0</v>
      </c>
      <c r="D69" s="16">
        <f>SUMIF(매도완료!$J:$J,Sheet2!$B69,매도완료!$P:$P)</f>
        <v>2171000</v>
      </c>
      <c r="E69" s="16">
        <f t="shared" si="2"/>
        <v>22716860</v>
      </c>
      <c r="G69" s="16">
        <f>IF(D69=0,0,SUMIF(매도완료!$J:$J,Sheet2!$B69,매도완료!$S:$S))</f>
        <v>38751</v>
      </c>
      <c r="H69" s="16">
        <f t="shared" si="3"/>
        <v>-68227</v>
      </c>
    </row>
    <row r="70" spans="2:8" hidden="1" x14ac:dyDescent="0.4">
      <c r="B70" s="1">
        <v>42619</v>
      </c>
      <c r="C70" s="16">
        <f>SUMIF(매도완료!$G:$G,Sheet2!$B70,매도완료!$P:$P)</f>
        <v>0</v>
      </c>
      <c r="D70" s="16">
        <f>SUMIF(매도완료!$J:$J,Sheet2!$B70,매도완료!$P:$P)</f>
        <v>0</v>
      </c>
      <c r="E70" s="16">
        <f t="shared" si="2"/>
        <v>22716860</v>
      </c>
      <c r="G70" s="16">
        <f>IF(D70=0,0,SUMIF(매도완료!$J:$J,Sheet2!$B70,매도완료!$S:$S))</f>
        <v>0</v>
      </c>
      <c r="H70" s="16">
        <f t="shared" si="3"/>
        <v>-68227</v>
      </c>
    </row>
    <row r="71" spans="2:8" hidden="1" x14ac:dyDescent="0.4">
      <c r="B71" s="1">
        <v>42620</v>
      </c>
      <c r="C71" s="16">
        <f>SUMIF(매도완료!$G:$G,Sheet2!$B71,매도완료!$P:$P)</f>
        <v>0</v>
      </c>
      <c r="D71" s="16">
        <f>SUMIF(매도완료!$J:$J,Sheet2!$B71,매도완료!$P:$P)</f>
        <v>0</v>
      </c>
      <c r="E71" s="16">
        <f t="shared" si="2"/>
        <v>22716860</v>
      </c>
      <c r="G71" s="16">
        <f>IF(D71=0,0,SUMIF(매도완료!$J:$J,Sheet2!$B71,매도완료!$S:$S))</f>
        <v>0</v>
      </c>
      <c r="H71" s="16">
        <f t="shared" si="3"/>
        <v>-68227</v>
      </c>
    </row>
    <row r="72" spans="2:8" hidden="1" x14ac:dyDescent="0.4">
      <c r="B72" s="1">
        <v>42621</v>
      </c>
      <c r="C72" s="16">
        <f>SUMIF(매도완료!$G:$G,Sheet2!$B72,매도완료!$P:$P)</f>
        <v>0</v>
      </c>
      <c r="D72" s="16">
        <f>SUMIF(매도완료!$J:$J,Sheet2!$B72,매도완료!$P:$P)</f>
        <v>0</v>
      </c>
      <c r="E72" s="16">
        <f t="shared" si="2"/>
        <v>22716860</v>
      </c>
      <c r="G72" s="16">
        <f>IF(D72=0,0,SUMIF(매도완료!$J:$J,Sheet2!$B72,매도완료!$S:$S))</f>
        <v>0</v>
      </c>
      <c r="H72" s="16">
        <f t="shared" si="3"/>
        <v>-68227</v>
      </c>
    </row>
    <row r="73" spans="2:8" hidden="1" x14ac:dyDescent="0.4">
      <c r="B73" s="1">
        <v>42622</v>
      </c>
      <c r="C73" s="16">
        <f>SUMIF(매도완료!$G:$G,Sheet2!$B73,매도완료!$P:$P)</f>
        <v>1320000</v>
      </c>
      <c r="D73" s="16">
        <f>SUMIF(매도완료!$J:$J,Sheet2!$B73,매도완료!$P:$P)</f>
        <v>0</v>
      </c>
      <c r="E73" s="16">
        <f t="shared" si="2"/>
        <v>24036860</v>
      </c>
      <c r="G73" s="16">
        <f>IF(D73=0,0,SUMIF(매도완료!$J:$J,Sheet2!$B73,매도완료!$S:$S))</f>
        <v>0</v>
      </c>
      <c r="H73" s="16">
        <f t="shared" si="3"/>
        <v>-68227</v>
      </c>
    </row>
    <row r="74" spans="2:8" hidden="1" x14ac:dyDescent="0.4">
      <c r="B74" s="1">
        <v>42623</v>
      </c>
      <c r="C74" s="16">
        <f>SUMIF(매도완료!$G:$G,Sheet2!$B74,매도완료!$P:$P)</f>
        <v>0</v>
      </c>
      <c r="D74" s="16">
        <f>SUMIF(매도완료!$J:$J,Sheet2!$B74,매도완료!$P:$P)</f>
        <v>0</v>
      </c>
      <c r="E74" s="16">
        <f t="shared" si="2"/>
        <v>24036860</v>
      </c>
      <c r="G74" s="16">
        <f>IF(D74=0,0,SUMIF(매도완료!$J:$J,Sheet2!$B74,매도완료!$S:$S))</f>
        <v>0</v>
      </c>
      <c r="H74" s="16">
        <f t="shared" si="3"/>
        <v>-68227</v>
      </c>
    </row>
    <row r="75" spans="2:8" hidden="1" x14ac:dyDescent="0.4">
      <c r="B75" s="1">
        <v>42624</v>
      </c>
      <c r="C75" s="16">
        <f>SUMIF(매도완료!$G:$G,Sheet2!$B75,매도완료!$P:$P)</f>
        <v>0</v>
      </c>
      <c r="D75" s="16">
        <f>SUMIF(매도완료!$J:$J,Sheet2!$B75,매도완료!$P:$P)</f>
        <v>0</v>
      </c>
      <c r="E75" s="16">
        <f t="shared" si="2"/>
        <v>24036860</v>
      </c>
      <c r="G75" s="16">
        <f>IF(D75=0,0,SUMIF(매도완료!$J:$J,Sheet2!$B75,매도완료!$S:$S))</f>
        <v>0</v>
      </c>
      <c r="H75" s="16">
        <f t="shared" si="3"/>
        <v>-68227</v>
      </c>
    </row>
    <row r="76" spans="2:8" hidden="1" x14ac:dyDescent="0.4">
      <c r="B76" s="1">
        <v>42625</v>
      </c>
      <c r="C76" s="16">
        <f>SUMIF(매도완료!$G:$G,Sheet2!$B76,매도완료!$P:$P)</f>
        <v>235500</v>
      </c>
      <c r="D76" s="16">
        <f>SUMIF(매도완료!$J:$J,Sheet2!$B76,매도완료!$P:$P)</f>
        <v>0</v>
      </c>
      <c r="E76" s="16">
        <f t="shared" si="2"/>
        <v>24272360</v>
      </c>
      <c r="G76" s="16">
        <f>IF(D76=0,0,SUMIF(매도완료!$J:$J,Sheet2!$B76,매도완료!$S:$S))</f>
        <v>0</v>
      </c>
      <c r="H76" s="16">
        <f t="shared" si="3"/>
        <v>-68227</v>
      </c>
    </row>
    <row r="77" spans="2:8" hidden="1" x14ac:dyDescent="0.4">
      <c r="B77" s="1">
        <v>42626</v>
      </c>
      <c r="C77" s="16">
        <f>SUMIF(매도완료!$G:$G,Sheet2!$B77,매도완료!$P:$P)</f>
        <v>0</v>
      </c>
      <c r="D77" s="16">
        <f>SUMIF(매도완료!$J:$J,Sheet2!$B77,매도완료!$P:$P)</f>
        <v>0</v>
      </c>
      <c r="E77" s="16">
        <f t="shared" si="2"/>
        <v>24272360</v>
      </c>
      <c r="G77" s="16">
        <f>IF(D77=0,0,SUMIF(매도완료!$J:$J,Sheet2!$B77,매도완료!$S:$S))</f>
        <v>0</v>
      </c>
      <c r="H77" s="16">
        <f t="shared" si="3"/>
        <v>-68227</v>
      </c>
    </row>
    <row r="78" spans="2:8" hidden="1" x14ac:dyDescent="0.4">
      <c r="B78" s="1">
        <v>42627</v>
      </c>
      <c r="C78" s="16">
        <f>SUMIF(매도완료!$G:$G,Sheet2!$B78,매도완료!$P:$P)</f>
        <v>0</v>
      </c>
      <c r="D78" s="16">
        <f>SUMIF(매도완료!$J:$J,Sheet2!$B78,매도완료!$P:$P)</f>
        <v>0</v>
      </c>
      <c r="E78" s="16">
        <f t="shared" si="2"/>
        <v>24272360</v>
      </c>
      <c r="G78" s="16">
        <f>IF(D78=0,0,SUMIF(매도완료!$J:$J,Sheet2!$B78,매도완료!$S:$S))</f>
        <v>0</v>
      </c>
      <c r="H78" s="16">
        <f t="shared" si="3"/>
        <v>-68227</v>
      </c>
    </row>
    <row r="79" spans="2:8" hidden="1" x14ac:dyDescent="0.4">
      <c r="B79" s="1">
        <v>42628</v>
      </c>
      <c r="C79" s="16">
        <f>SUMIF(매도완료!$G:$G,Sheet2!$B79,매도완료!$P:$P)</f>
        <v>0</v>
      </c>
      <c r="D79" s="16">
        <f>SUMIF(매도완료!$J:$J,Sheet2!$B79,매도완료!$P:$P)</f>
        <v>0</v>
      </c>
      <c r="E79" s="16">
        <f t="shared" si="2"/>
        <v>24272360</v>
      </c>
      <c r="G79" s="16">
        <f>IF(D79=0,0,SUMIF(매도완료!$J:$J,Sheet2!$B79,매도완료!$S:$S))</f>
        <v>0</v>
      </c>
      <c r="H79" s="16">
        <f t="shared" si="3"/>
        <v>-68227</v>
      </c>
    </row>
    <row r="80" spans="2:8" hidden="1" x14ac:dyDescent="0.4">
      <c r="B80" s="1">
        <v>42629</v>
      </c>
      <c r="C80" s="16">
        <f>SUMIF(매도완료!$G:$G,Sheet2!$B80,매도완료!$P:$P)</f>
        <v>0</v>
      </c>
      <c r="D80" s="16">
        <f>SUMIF(매도완료!$J:$J,Sheet2!$B80,매도완료!$P:$P)</f>
        <v>0</v>
      </c>
      <c r="E80" s="16">
        <f t="shared" si="2"/>
        <v>24272360</v>
      </c>
      <c r="G80" s="16">
        <f>IF(D80=0,0,SUMIF(매도완료!$J:$J,Sheet2!$B80,매도완료!$S:$S))</f>
        <v>0</v>
      </c>
      <c r="H80" s="16">
        <f t="shared" si="3"/>
        <v>-68227</v>
      </c>
    </row>
    <row r="81" spans="2:8" hidden="1" x14ac:dyDescent="0.4">
      <c r="B81" s="1">
        <v>42630</v>
      </c>
      <c r="C81" s="16">
        <f>SUMIF(매도완료!$G:$G,Sheet2!$B81,매도완료!$P:$P)</f>
        <v>0</v>
      </c>
      <c r="D81" s="16">
        <f>SUMIF(매도완료!$J:$J,Sheet2!$B81,매도완료!$P:$P)</f>
        <v>0</v>
      </c>
      <c r="E81" s="16">
        <f t="shared" si="2"/>
        <v>24272360</v>
      </c>
      <c r="G81" s="16">
        <f>IF(D81=0,0,SUMIF(매도완료!$J:$J,Sheet2!$B81,매도완료!$S:$S))</f>
        <v>0</v>
      </c>
      <c r="H81" s="16">
        <f t="shared" si="3"/>
        <v>-68227</v>
      </c>
    </row>
    <row r="82" spans="2:8" hidden="1" x14ac:dyDescent="0.4">
      <c r="B82" s="1">
        <v>42631</v>
      </c>
      <c r="C82" s="16">
        <f>SUMIF(매도완료!$G:$G,Sheet2!$B82,매도완료!$P:$P)</f>
        <v>0</v>
      </c>
      <c r="D82" s="16">
        <f>SUMIF(매도완료!$J:$J,Sheet2!$B82,매도완료!$P:$P)</f>
        <v>0</v>
      </c>
      <c r="E82" s="16">
        <f t="shared" si="2"/>
        <v>24272360</v>
      </c>
      <c r="G82" s="16">
        <f>IF(D82=0,0,SUMIF(매도완료!$J:$J,Sheet2!$B82,매도완료!$S:$S))</f>
        <v>0</v>
      </c>
      <c r="H82" s="16">
        <f t="shared" si="3"/>
        <v>-68227</v>
      </c>
    </row>
    <row r="83" spans="2:8" hidden="1" x14ac:dyDescent="0.4">
      <c r="B83" s="1">
        <v>42632</v>
      </c>
      <c r="C83" s="16">
        <f>SUMIF(매도완료!$G:$G,Sheet2!$B83,매도완료!$P:$P)</f>
        <v>0</v>
      </c>
      <c r="D83" s="16">
        <f>SUMIF(매도완료!$J:$J,Sheet2!$B83,매도완료!$P:$P)</f>
        <v>0</v>
      </c>
      <c r="E83" s="16">
        <f t="shared" si="2"/>
        <v>24272360</v>
      </c>
      <c r="G83" s="16">
        <f>IF(D83=0,0,SUMIF(매도완료!$J:$J,Sheet2!$B83,매도완료!$S:$S))</f>
        <v>0</v>
      </c>
      <c r="H83" s="16">
        <f t="shared" si="3"/>
        <v>-68227</v>
      </c>
    </row>
    <row r="84" spans="2:8" hidden="1" x14ac:dyDescent="0.4">
      <c r="B84" s="1">
        <v>42633</v>
      </c>
      <c r="C84" s="16">
        <f>SUMIF(매도완료!$G:$G,Sheet2!$B84,매도완료!$P:$P)</f>
        <v>0</v>
      </c>
      <c r="D84" s="16">
        <f>SUMIF(매도완료!$J:$J,Sheet2!$B84,매도완료!$P:$P)</f>
        <v>0</v>
      </c>
      <c r="E84" s="16">
        <f t="shared" si="2"/>
        <v>24272360</v>
      </c>
      <c r="G84" s="16">
        <f>IF(D84=0,0,SUMIF(매도완료!$J:$J,Sheet2!$B84,매도완료!$S:$S))</f>
        <v>0</v>
      </c>
      <c r="H84" s="16">
        <f t="shared" si="3"/>
        <v>-68227</v>
      </c>
    </row>
    <row r="85" spans="2:8" hidden="1" x14ac:dyDescent="0.4">
      <c r="B85" s="1">
        <v>42634</v>
      </c>
      <c r="C85" s="16">
        <f>SUMIF(매도완료!$G:$G,Sheet2!$B85,매도완료!$P:$P)</f>
        <v>0</v>
      </c>
      <c r="D85" s="16">
        <f>SUMIF(매도완료!$J:$J,Sheet2!$B85,매도완료!$P:$P)</f>
        <v>357000</v>
      </c>
      <c r="E85" s="16">
        <f t="shared" si="2"/>
        <v>23915360</v>
      </c>
      <c r="G85" s="16">
        <f>IF(D85=0,0,SUMIF(매도완료!$J:$J,Sheet2!$B85,매도완료!$S:$S))</f>
        <v>6832</v>
      </c>
      <c r="H85" s="16">
        <f t="shared" si="3"/>
        <v>-61395</v>
      </c>
    </row>
    <row r="86" spans="2:8" hidden="1" x14ac:dyDescent="0.4">
      <c r="B86" s="1">
        <v>42635</v>
      </c>
      <c r="C86" s="16">
        <f>SUMIF(매도완료!$G:$G,Sheet2!$B86,매도완료!$P:$P)</f>
        <v>0</v>
      </c>
      <c r="D86" s="16">
        <f>SUMIF(매도완료!$J:$J,Sheet2!$B86,매도완료!$P:$P)</f>
        <v>0</v>
      </c>
      <c r="E86" s="16">
        <f t="shared" si="2"/>
        <v>23915360</v>
      </c>
      <c r="G86" s="16">
        <f>IF(D86=0,0,SUMIF(매도완료!$J:$J,Sheet2!$B86,매도완료!$S:$S))</f>
        <v>0</v>
      </c>
      <c r="H86" s="16">
        <f t="shared" si="3"/>
        <v>-61395</v>
      </c>
    </row>
    <row r="87" spans="2:8" hidden="1" x14ac:dyDescent="0.4">
      <c r="B87" s="1">
        <v>42636</v>
      </c>
      <c r="C87" s="16">
        <f>SUMIF(매도완료!$G:$G,Sheet2!$B87,매도완료!$P:$P)</f>
        <v>2476000</v>
      </c>
      <c r="D87" s="16">
        <f>SUMIF(매도완료!$J:$J,Sheet2!$B87,매도완료!$P:$P)</f>
        <v>720000</v>
      </c>
      <c r="E87" s="16">
        <f t="shared" si="2"/>
        <v>25671360</v>
      </c>
      <c r="G87" s="16">
        <f>IF(D87=0,0,SUMIF(매도완료!$J:$J,Sheet2!$B87,매도완료!$S:$S))</f>
        <v>25550</v>
      </c>
      <c r="H87" s="16">
        <f t="shared" si="3"/>
        <v>-35845</v>
      </c>
    </row>
    <row r="88" spans="2:8" hidden="1" x14ac:dyDescent="0.4">
      <c r="B88" s="1">
        <v>42637</v>
      </c>
      <c r="C88" s="16">
        <f>SUMIF(매도완료!$G:$G,Sheet2!$B88,매도완료!$P:$P)</f>
        <v>0</v>
      </c>
      <c r="D88" s="16">
        <f>SUMIF(매도완료!$J:$J,Sheet2!$B88,매도완료!$P:$P)</f>
        <v>0</v>
      </c>
      <c r="E88" s="16">
        <f t="shared" si="2"/>
        <v>25671360</v>
      </c>
      <c r="G88" s="16">
        <f>IF(D88=0,0,SUMIF(매도완료!$J:$J,Sheet2!$B88,매도완료!$S:$S))</f>
        <v>0</v>
      </c>
      <c r="H88" s="16">
        <f t="shared" si="3"/>
        <v>-35845</v>
      </c>
    </row>
    <row r="89" spans="2:8" hidden="1" x14ac:dyDescent="0.4">
      <c r="B89" s="1">
        <v>42638</v>
      </c>
      <c r="C89" s="16">
        <f>SUMIF(매도완료!$G:$G,Sheet2!$B89,매도완료!$P:$P)</f>
        <v>0</v>
      </c>
      <c r="D89" s="16">
        <f>SUMIF(매도완료!$J:$J,Sheet2!$B89,매도완료!$P:$P)</f>
        <v>0</v>
      </c>
      <c r="E89" s="16">
        <f t="shared" si="2"/>
        <v>25671360</v>
      </c>
      <c r="G89" s="16">
        <f>IF(D89=0,0,SUMIF(매도완료!$J:$J,Sheet2!$B89,매도완료!$S:$S))</f>
        <v>0</v>
      </c>
      <c r="H89" s="16">
        <f t="shared" si="3"/>
        <v>-35845</v>
      </c>
    </row>
    <row r="90" spans="2:8" hidden="1" x14ac:dyDescent="0.4">
      <c r="B90" s="1">
        <v>42639</v>
      </c>
      <c r="C90" s="16">
        <f>SUMIF(매도완료!$G:$G,Sheet2!$B90,매도완료!$P:$P)</f>
        <v>2820000</v>
      </c>
      <c r="D90" s="16">
        <f>SUMIF(매도완료!$J:$J,Sheet2!$B90,매도완료!$P:$P)</f>
        <v>0</v>
      </c>
      <c r="E90" s="16">
        <f t="shared" si="2"/>
        <v>28491360</v>
      </c>
      <c r="G90" s="16">
        <f>IF(D90=0,0,SUMIF(매도완료!$J:$J,Sheet2!$B90,매도완료!$S:$S))</f>
        <v>0</v>
      </c>
      <c r="H90" s="16">
        <f t="shared" si="3"/>
        <v>-35845</v>
      </c>
    </row>
    <row r="91" spans="2:8" hidden="1" x14ac:dyDescent="0.4">
      <c r="B91" s="1">
        <v>42640</v>
      </c>
      <c r="C91" s="16">
        <f>SUMIF(매도완료!$G:$G,Sheet2!$B91,매도완료!$P:$P)</f>
        <v>0</v>
      </c>
      <c r="D91" s="16">
        <f>SUMIF(매도완료!$J:$J,Sheet2!$B91,매도완료!$P:$P)</f>
        <v>1486000</v>
      </c>
      <c r="E91" s="16">
        <f t="shared" si="2"/>
        <v>27005360</v>
      </c>
      <c r="G91" s="16">
        <f>IF(D91=0,0,SUMIF(매도완료!$J:$J,Sheet2!$B91,매도완료!$S:$S))</f>
        <v>-38758</v>
      </c>
      <c r="H91" s="16">
        <f t="shared" si="3"/>
        <v>-74603</v>
      </c>
    </row>
    <row r="92" spans="2:8" hidden="1" x14ac:dyDescent="0.4">
      <c r="B92" s="1">
        <v>42641</v>
      </c>
      <c r="C92" s="16">
        <f>SUMIF(매도완료!$G:$G,Sheet2!$B92,매도완료!$P:$P)</f>
        <v>0</v>
      </c>
      <c r="D92" s="16">
        <f>SUMIF(매도완료!$J:$J,Sheet2!$B92,매도완료!$P:$P)</f>
        <v>146000</v>
      </c>
      <c r="E92" s="16">
        <f t="shared" si="2"/>
        <v>26859360</v>
      </c>
      <c r="G92" s="16">
        <f>IF(D92=0,0,SUMIF(매도완료!$J:$J,Sheet2!$B92,매도완료!$S:$S))</f>
        <v>-17300</v>
      </c>
      <c r="H92" s="16">
        <f t="shared" si="3"/>
        <v>-91903</v>
      </c>
    </row>
    <row r="93" spans="2:8" hidden="1" x14ac:dyDescent="0.4">
      <c r="B93" s="1">
        <v>42642</v>
      </c>
      <c r="C93" s="16">
        <f>SUMIF(매도완료!$G:$G,Sheet2!$B93,매도완료!$P:$P)</f>
        <v>0</v>
      </c>
      <c r="D93" s="16">
        <f>SUMIF(매도완료!$J:$J,Sheet2!$B93,매도완료!$P:$P)</f>
        <v>0</v>
      </c>
      <c r="E93" s="16">
        <f t="shared" si="2"/>
        <v>26859360</v>
      </c>
      <c r="G93" s="16">
        <f>IF(D93=0,0,SUMIF(매도완료!$J:$J,Sheet2!$B93,매도완료!$S:$S))</f>
        <v>0</v>
      </c>
      <c r="H93" s="16">
        <f t="shared" si="3"/>
        <v>-91903</v>
      </c>
    </row>
    <row r="94" spans="2:8" hidden="1" x14ac:dyDescent="0.4">
      <c r="B94" s="1">
        <v>42643</v>
      </c>
      <c r="C94" s="16">
        <f>SUMIF(매도완료!$G:$G,Sheet2!$B94,매도완료!$P:$P)</f>
        <v>416000</v>
      </c>
      <c r="D94" s="16">
        <f>SUMIF(매도완료!$J:$J,Sheet2!$B94,매도완료!$P:$P)</f>
        <v>0</v>
      </c>
      <c r="E94" s="16">
        <f t="shared" si="2"/>
        <v>27275360</v>
      </c>
      <c r="G94" s="16">
        <f>IF(D94=0,0,SUMIF(매도완료!$J:$J,Sheet2!$B94,매도완료!$S:$S))</f>
        <v>0</v>
      </c>
      <c r="H94" s="16">
        <f t="shared" si="3"/>
        <v>-91903</v>
      </c>
    </row>
    <row r="95" spans="2:8" hidden="1" x14ac:dyDescent="0.4">
      <c r="B95" s="1">
        <v>42644</v>
      </c>
      <c r="C95" s="16">
        <f>SUMIF(매도완료!$G:$G,Sheet2!$B95,매도완료!$P:$P)</f>
        <v>0</v>
      </c>
      <c r="D95" s="16">
        <f>SUMIF(매도완료!$J:$J,Sheet2!$B95,매도완료!$P:$P)</f>
        <v>0</v>
      </c>
      <c r="E95" s="16">
        <f t="shared" si="2"/>
        <v>27275360</v>
      </c>
      <c r="G95" s="16">
        <f>IF(D95=0,0,SUMIF(매도완료!$J:$J,Sheet2!$B95,매도완료!$S:$S))</f>
        <v>0</v>
      </c>
      <c r="H95" s="16">
        <f t="shared" si="3"/>
        <v>-91903</v>
      </c>
    </row>
    <row r="96" spans="2:8" hidden="1" x14ac:dyDescent="0.4">
      <c r="B96" s="1">
        <v>42645</v>
      </c>
      <c r="C96" s="16">
        <f>SUMIF(매도완료!$G:$G,Sheet2!$B96,매도완료!$P:$P)</f>
        <v>0</v>
      </c>
      <c r="D96" s="16">
        <f>SUMIF(매도완료!$J:$J,Sheet2!$B96,매도완료!$P:$P)</f>
        <v>0</v>
      </c>
      <c r="E96" s="16">
        <f t="shared" si="2"/>
        <v>27275360</v>
      </c>
      <c r="G96" s="16">
        <f>IF(D96=0,0,SUMIF(매도완료!$J:$J,Sheet2!$B96,매도완료!$S:$S))</f>
        <v>0</v>
      </c>
      <c r="H96" s="16">
        <f t="shared" si="3"/>
        <v>-91903</v>
      </c>
    </row>
    <row r="97" spans="2:8" hidden="1" x14ac:dyDescent="0.4">
      <c r="B97" s="1">
        <v>42646</v>
      </c>
      <c r="C97" s="16">
        <f>SUMIF(매도완료!$G:$G,Sheet2!$B97,매도완료!$P:$P)</f>
        <v>0</v>
      </c>
      <c r="D97" s="16">
        <f>SUMIF(매도완료!$J:$J,Sheet2!$B97,매도완료!$P:$P)</f>
        <v>0</v>
      </c>
      <c r="E97" s="16">
        <f t="shared" si="2"/>
        <v>27275360</v>
      </c>
      <c r="G97" s="16">
        <f>IF(D97=0,0,SUMIF(매도완료!$J:$J,Sheet2!$B97,매도완료!$S:$S))</f>
        <v>0</v>
      </c>
      <c r="H97" s="16">
        <f t="shared" si="3"/>
        <v>-91903</v>
      </c>
    </row>
    <row r="98" spans="2:8" hidden="1" x14ac:dyDescent="0.4">
      <c r="B98" s="1">
        <v>42647</v>
      </c>
      <c r="C98" s="16">
        <f>SUMIF(매도완료!$G:$G,Sheet2!$B98,매도완료!$P:$P)</f>
        <v>1690000</v>
      </c>
      <c r="D98" s="16">
        <f>SUMIF(매도완료!$J:$J,Sheet2!$B98,매도완료!$P:$P)</f>
        <v>4833500</v>
      </c>
      <c r="E98" s="16">
        <f t="shared" si="2"/>
        <v>24131860</v>
      </c>
      <c r="G98" s="16">
        <f>IF(D98=0,0,SUMIF(매도완료!$J:$J,Sheet2!$B98,매도완료!$S:$S))</f>
        <v>-68750.5</v>
      </c>
      <c r="H98" s="16">
        <f t="shared" si="3"/>
        <v>-160653.5</v>
      </c>
    </row>
    <row r="99" spans="2:8" hidden="1" x14ac:dyDescent="0.4">
      <c r="B99" s="1">
        <v>42648</v>
      </c>
      <c r="C99" s="16">
        <f>SUMIF(매도완료!$G:$G,Sheet2!$B99,매도완료!$P:$P)</f>
        <v>0</v>
      </c>
      <c r="D99" s="16">
        <f>SUMIF(매도완료!$J:$J,Sheet2!$B99,매도완료!$P:$P)</f>
        <v>1599000</v>
      </c>
      <c r="E99" s="16">
        <f t="shared" si="2"/>
        <v>22532860</v>
      </c>
      <c r="G99" s="16">
        <f>IF(D99=0,0,SUMIF(매도완료!$J:$J,Sheet2!$B99,매도완료!$S:$S))</f>
        <v>-203702</v>
      </c>
      <c r="H99" s="16">
        <f t="shared" si="3"/>
        <v>-364355.5</v>
      </c>
    </row>
    <row r="100" spans="2:8" hidden="1" x14ac:dyDescent="0.4">
      <c r="B100" s="1">
        <v>42649</v>
      </c>
      <c r="C100" s="16">
        <f>SUMIF(매도완료!$G:$G,Sheet2!$B100,매도완료!$P:$P)</f>
        <v>0</v>
      </c>
      <c r="D100" s="16">
        <f>SUMIF(매도완료!$J:$J,Sheet2!$B100,매도완료!$P:$P)</f>
        <v>0</v>
      </c>
      <c r="E100" s="16">
        <f t="shared" si="2"/>
        <v>22532860</v>
      </c>
      <c r="G100" s="16">
        <f>IF(D100=0,0,SUMIF(매도완료!$J:$J,Sheet2!$B100,매도완료!$S:$S))</f>
        <v>0</v>
      </c>
      <c r="H100" s="16">
        <f t="shared" si="3"/>
        <v>-364355.5</v>
      </c>
    </row>
    <row r="101" spans="2:8" hidden="1" x14ac:dyDescent="0.4">
      <c r="B101" s="1">
        <v>42650</v>
      </c>
      <c r="C101" s="16">
        <f>SUMIF(매도완료!$G:$G,Sheet2!$B101,매도완료!$P:$P)</f>
        <v>1498000</v>
      </c>
      <c r="D101" s="16">
        <f>SUMIF(매도완료!$J:$J,Sheet2!$B101,매도완료!$P:$P)</f>
        <v>4070839</v>
      </c>
      <c r="E101" s="16">
        <f t="shared" si="2"/>
        <v>19960021</v>
      </c>
      <c r="G101" s="16">
        <f>IF(D101=0,0,SUMIF(매도완료!$J:$J,Sheet2!$B101,매도완료!$S:$S))</f>
        <v>-165132.82699999999</v>
      </c>
      <c r="H101" s="16">
        <f t="shared" si="3"/>
        <v>-529488.32700000005</v>
      </c>
    </row>
    <row r="102" spans="2:8" hidden="1" x14ac:dyDescent="0.4">
      <c r="B102" s="1">
        <v>42651</v>
      </c>
      <c r="C102" s="16">
        <f>SUMIF(매도완료!$G:$G,Sheet2!$B102,매도완료!$P:$P)</f>
        <v>0</v>
      </c>
      <c r="D102" s="16">
        <f>SUMIF(매도완료!$J:$J,Sheet2!$B102,매도완료!$P:$P)</f>
        <v>0</v>
      </c>
      <c r="E102" s="16">
        <f t="shared" si="2"/>
        <v>19960021</v>
      </c>
      <c r="G102" s="16">
        <f>IF(D102=0,0,SUMIF(매도완료!$J:$J,Sheet2!$B102,매도완료!$S:$S))</f>
        <v>0</v>
      </c>
      <c r="H102" s="16">
        <f t="shared" si="3"/>
        <v>-529488.32700000005</v>
      </c>
    </row>
    <row r="103" spans="2:8" hidden="1" x14ac:dyDescent="0.4">
      <c r="B103" s="1">
        <v>42652</v>
      </c>
      <c r="C103" s="16">
        <f>SUMIF(매도완료!$G:$G,Sheet2!$B103,매도완료!$P:$P)</f>
        <v>0</v>
      </c>
      <c r="D103" s="16">
        <f>SUMIF(매도완료!$J:$J,Sheet2!$B103,매도완료!$P:$P)</f>
        <v>0</v>
      </c>
      <c r="E103" s="16">
        <f t="shared" si="2"/>
        <v>19960021</v>
      </c>
      <c r="G103" s="16">
        <f>IF(D103=0,0,SUMIF(매도완료!$J:$J,Sheet2!$B103,매도완료!$S:$S))</f>
        <v>0</v>
      </c>
      <c r="H103" s="16">
        <f t="shared" si="3"/>
        <v>-529488.32700000005</v>
      </c>
    </row>
    <row r="104" spans="2:8" hidden="1" x14ac:dyDescent="0.4">
      <c r="B104" s="1">
        <v>42653</v>
      </c>
      <c r="C104" s="16">
        <f>SUMIF(매도완료!$G:$G,Sheet2!$B104,매도완료!$P:$P)</f>
        <v>0</v>
      </c>
      <c r="D104" s="16">
        <f>SUMIF(매도완료!$J:$J,Sheet2!$B104,매도완료!$P:$P)</f>
        <v>104000</v>
      </c>
      <c r="E104" s="16">
        <f t="shared" si="2"/>
        <v>19856021</v>
      </c>
      <c r="G104" s="16">
        <f>IF(D104=0,0,SUMIF(매도완료!$J:$J,Sheet2!$B104,매도완료!$S:$S))</f>
        <v>-4960</v>
      </c>
      <c r="H104" s="16">
        <f t="shared" si="3"/>
        <v>-534448.32700000005</v>
      </c>
    </row>
    <row r="105" spans="2:8" hidden="1" x14ac:dyDescent="0.4">
      <c r="B105" s="1">
        <v>42654</v>
      </c>
      <c r="C105" s="16">
        <f>SUMIF(매도완료!$G:$G,Sheet2!$B105,매도완료!$P:$P)</f>
        <v>0</v>
      </c>
      <c r="D105" s="16">
        <f>SUMIF(매도완료!$J:$J,Sheet2!$B105,매도완료!$P:$P)</f>
        <v>0</v>
      </c>
      <c r="E105" s="16">
        <f t="shared" si="2"/>
        <v>19856021</v>
      </c>
      <c r="G105" s="16">
        <f>IF(D105=0,0,SUMIF(매도완료!$J:$J,Sheet2!$B105,매도완료!$S:$S))</f>
        <v>0</v>
      </c>
      <c r="H105" s="16">
        <f t="shared" si="3"/>
        <v>-534448.32700000005</v>
      </c>
    </row>
    <row r="106" spans="2:8" hidden="1" x14ac:dyDescent="0.4">
      <c r="B106" s="1">
        <v>42655</v>
      </c>
      <c r="C106" s="16">
        <f>SUMIF(매도완료!$G:$G,Sheet2!$B106,매도완료!$P:$P)</f>
        <v>0</v>
      </c>
      <c r="D106" s="16">
        <f>SUMIF(매도완료!$J:$J,Sheet2!$B106,매도완료!$P:$P)</f>
        <v>0</v>
      </c>
      <c r="E106" s="16">
        <f t="shared" si="2"/>
        <v>19856021</v>
      </c>
      <c r="G106" s="16">
        <f>IF(D106=0,0,SUMIF(매도완료!$J:$J,Sheet2!$B106,매도완료!$S:$S))</f>
        <v>0</v>
      </c>
      <c r="H106" s="16">
        <f t="shared" si="3"/>
        <v>-534448.32700000005</v>
      </c>
    </row>
    <row r="107" spans="2:8" hidden="1" x14ac:dyDescent="0.4">
      <c r="B107" s="1">
        <v>42656</v>
      </c>
      <c r="C107" s="16">
        <f>SUMIF(매도완료!$G:$G,Sheet2!$B107,매도완료!$P:$P)</f>
        <v>0</v>
      </c>
      <c r="D107" s="16">
        <f>SUMIF(매도완료!$J:$J,Sheet2!$B107,매도완료!$P:$P)</f>
        <v>1690000</v>
      </c>
      <c r="E107" s="16">
        <f t="shared" si="2"/>
        <v>18166021</v>
      </c>
      <c r="G107" s="16">
        <f>IF(D107=0,0,SUMIF(매도완료!$J:$J,Sheet2!$B107,매도완료!$S:$S))</f>
        <v>59550</v>
      </c>
      <c r="H107" s="16">
        <f t="shared" si="3"/>
        <v>-474898.32700000005</v>
      </c>
    </row>
    <row r="108" spans="2:8" hidden="1" x14ac:dyDescent="0.4">
      <c r="B108" s="1">
        <v>42657</v>
      </c>
      <c r="C108" s="16">
        <f>SUMIF(매도완료!$G:$G,Sheet2!$B108,매도완료!$P:$P)</f>
        <v>0</v>
      </c>
      <c r="D108" s="16">
        <f>SUMIF(매도완료!$J:$J,Sheet2!$B108,매도완료!$P:$P)</f>
        <v>1410000</v>
      </c>
      <c r="E108" s="16">
        <f t="shared" si="2"/>
        <v>16756021</v>
      </c>
      <c r="G108" s="16">
        <f>IF(D108=0,0,SUMIF(매도완료!$J:$J,Sheet2!$B108,매도완료!$S:$S))</f>
        <v>51280</v>
      </c>
      <c r="H108" s="16">
        <f t="shared" si="3"/>
        <v>-423618.32700000005</v>
      </c>
    </row>
    <row r="109" spans="2:8" hidden="1" x14ac:dyDescent="0.4">
      <c r="B109" s="1">
        <v>42658</v>
      </c>
      <c r="C109" s="16">
        <f>SUMIF(매도완료!$G:$G,Sheet2!$B109,매도완료!$P:$P)</f>
        <v>0</v>
      </c>
      <c r="D109" s="16">
        <f>SUMIF(매도완료!$J:$J,Sheet2!$B109,매도완료!$P:$P)</f>
        <v>0</v>
      </c>
      <c r="E109" s="16">
        <f t="shared" si="2"/>
        <v>16756021</v>
      </c>
      <c r="G109" s="16">
        <f>IF(D109=0,0,SUMIF(매도완료!$J:$J,Sheet2!$B109,매도완료!$S:$S))</f>
        <v>0</v>
      </c>
      <c r="H109" s="16">
        <f t="shared" si="3"/>
        <v>-423618.32700000005</v>
      </c>
    </row>
    <row r="110" spans="2:8" hidden="1" x14ac:dyDescent="0.4">
      <c r="B110" s="1">
        <v>42659</v>
      </c>
      <c r="C110" s="16">
        <f>SUMIF(매도완료!$G:$G,Sheet2!$B110,매도완료!$P:$P)</f>
        <v>0</v>
      </c>
      <c r="D110" s="16">
        <f>SUMIF(매도완료!$J:$J,Sheet2!$B110,매도완료!$P:$P)</f>
        <v>0</v>
      </c>
      <c r="E110" s="16">
        <f t="shared" si="2"/>
        <v>16756021</v>
      </c>
      <c r="G110" s="16">
        <f>IF(D110=0,0,SUMIF(매도완료!$J:$J,Sheet2!$B110,매도완료!$S:$S))</f>
        <v>0</v>
      </c>
      <c r="H110" s="16">
        <f t="shared" si="3"/>
        <v>-423618.32700000005</v>
      </c>
    </row>
    <row r="111" spans="2:8" hidden="1" x14ac:dyDescent="0.4">
      <c r="B111" s="1">
        <v>42660</v>
      </c>
      <c r="C111" s="16">
        <f>SUMIF(매도완료!$G:$G,Sheet2!$B111,매도완료!$P:$P)</f>
        <v>0</v>
      </c>
      <c r="D111" s="16">
        <f>SUMIF(매도완료!$J:$J,Sheet2!$B111,매도완료!$P:$P)</f>
        <v>0</v>
      </c>
      <c r="E111" s="16">
        <f t="shared" si="2"/>
        <v>16756021</v>
      </c>
      <c r="G111" s="16">
        <f>IF(D111=0,0,SUMIF(매도완료!$J:$J,Sheet2!$B111,매도완료!$S:$S))</f>
        <v>0</v>
      </c>
      <c r="H111" s="16">
        <f t="shared" si="3"/>
        <v>-423618.32700000005</v>
      </c>
    </row>
    <row r="112" spans="2:8" hidden="1" x14ac:dyDescent="0.4">
      <c r="B112" s="1">
        <v>42661</v>
      </c>
      <c r="C112" s="16">
        <f>SUMIF(매도완료!$G:$G,Sheet2!$B112,매도완료!$P:$P)</f>
        <v>0</v>
      </c>
      <c r="D112" s="16">
        <f>SUMIF(매도완료!$J:$J,Sheet2!$B112,매도완료!$P:$P)</f>
        <v>0</v>
      </c>
      <c r="E112" s="16">
        <f t="shared" si="2"/>
        <v>16756021</v>
      </c>
      <c r="G112" s="16">
        <f>IF(D112=0,0,SUMIF(매도완료!$J:$J,Sheet2!$B112,매도완료!$S:$S))</f>
        <v>0</v>
      </c>
      <c r="H112" s="16">
        <f t="shared" si="3"/>
        <v>-423618.32700000005</v>
      </c>
    </row>
    <row r="113" spans="2:8" hidden="1" x14ac:dyDescent="0.4">
      <c r="B113" s="1">
        <v>42662</v>
      </c>
      <c r="C113" s="16">
        <f>SUMIF(매도완료!$G:$G,Sheet2!$B113,매도완료!$P:$P)</f>
        <v>0</v>
      </c>
      <c r="D113" s="16">
        <f>SUMIF(매도완료!$J:$J,Sheet2!$B113,매도완료!$P:$P)</f>
        <v>0</v>
      </c>
      <c r="E113" s="16">
        <f t="shared" si="2"/>
        <v>16756021</v>
      </c>
      <c r="G113" s="16">
        <f>IF(D113=0,0,SUMIF(매도완료!$J:$J,Sheet2!$B113,매도완료!$S:$S))</f>
        <v>0</v>
      </c>
      <c r="H113" s="16">
        <f t="shared" si="3"/>
        <v>-423618.32700000005</v>
      </c>
    </row>
    <row r="114" spans="2:8" hidden="1" x14ac:dyDescent="0.4">
      <c r="B114" s="1">
        <v>42663</v>
      </c>
      <c r="C114" s="16">
        <f>SUMIF(매도완료!$G:$G,Sheet2!$B114,매도완료!$P:$P)</f>
        <v>0</v>
      </c>
      <c r="D114" s="16">
        <f>SUMIF(매도완료!$J:$J,Sheet2!$B114,매도완료!$P:$P)</f>
        <v>0</v>
      </c>
      <c r="E114" s="16">
        <f t="shared" si="2"/>
        <v>16756021</v>
      </c>
      <c r="G114" s="16">
        <f>IF(D114=0,0,SUMIF(매도완료!$J:$J,Sheet2!$B114,매도완료!$S:$S))</f>
        <v>0</v>
      </c>
      <c r="H114" s="16">
        <f t="shared" si="3"/>
        <v>-423618.32700000005</v>
      </c>
    </row>
    <row r="115" spans="2:8" hidden="1" x14ac:dyDescent="0.4">
      <c r="B115" s="1">
        <v>42664</v>
      </c>
      <c r="C115" s="16">
        <f>SUMIF(매도완료!$G:$G,Sheet2!$B115,매도완료!$P:$P)</f>
        <v>3425000</v>
      </c>
      <c r="D115" s="16">
        <f>SUMIF(매도완료!$J:$J,Sheet2!$B115,매도완료!$P:$P)</f>
        <v>0</v>
      </c>
      <c r="E115" s="16">
        <f t="shared" si="2"/>
        <v>20181021</v>
      </c>
      <c r="G115" s="16">
        <f>IF(D115=0,0,SUMIF(매도완료!$J:$J,Sheet2!$B115,매도완료!$S:$S))</f>
        <v>0</v>
      </c>
      <c r="H115" s="16">
        <f t="shared" si="3"/>
        <v>-423618.32700000005</v>
      </c>
    </row>
    <row r="116" spans="2:8" hidden="1" x14ac:dyDescent="0.4">
      <c r="B116" s="1">
        <v>42665</v>
      </c>
      <c r="C116" s="16">
        <f>SUMIF(매도완료!$G:$G,Sheet2!$B116,매도완료!$P:$P)</f>
        <v>0</v>
      </c>
      <c r="D116" s="16">
        <f>SUMIF(매도완료!$J:$J,Sheet2!$B116,매도완료!$P:$P)</f>
        <v>0</v>
      </c>
      <c r="E116" s="16">
        <f t="shared" si="2"/>
        <v>20181021</v>
      </c>
      <c r="G116" s="16">
        <f>IF(D116=0,0,SUMIF(매도완료!$J:$J,Sheet2!$B116,매도완료!$S:$S))</f>
        <v>0</v>
      </c>
      <c r="H116" s="16">
        <f t="shared" si="3"/>
        <v>-423618.32700000005</v>
      </c>
    </row>
    <row r="117" spans="2:8" hidden="1" x14ac:dyDescent="0.4">
      <c r="B117" s="1">
        <v>42666</v>
      </c>
      <c r="C117" s="16">
        <f>SUMIF(매도완료!$G:$G,Sheet2!$B117,매도완료!$P:$P)</f>
        <v>0</v>
      </c>
      <c r="D117" s="16">
        <f>SUMIF(매도완료!$J:$J,Sheet2!$B117,매도완료!$P:$P)</f>
        <v>0</v>
      </c>
      <c r="E117" s="16">
        <f t="shared" si="2"/>
        <v>20181021</v>
      </c>
      <c r="G117" s="16">
        <f>IF(D117=0,0,SUMIF(매도완료!$J:$J,Sheet2!$B117,매도완료!$S:$S))</f>
        <v>0</v>
      </c>
      <c r="H117" s="16">
        <f t="shared" si="3"/>
        <v>-423618.32700000005</v>
      </c>
    </row>
    <row r="118" spans="2:8" hidden="1" x14ac:dyDescent="0.4">
      <c r="B118" s="1">
        <v>42667</v>
      </c>
      <c r="C118" s="16">
        <f>SUMIF(매도완료!$G:$G,Sheet2!$B118,매도완료!$P:$P)</f>
        <v>0</v>
      </c>
      <c r="D118" s="16">
        <f>SUMIF(매도완료!$J:$J,Sheet2!$B118,매도완료!$P:$P)</f>
        <v>0</v>
      </c>
      <c r="E118" s="16">
        <f t="shared" si="2"/>
        <v>20181021</v>
      </c>
      <c r="G118" s="16">
        <f>IF(D118=0,0,SUMIF(매도완료!$J:$J,Sheet2!$B118,매도완료!$S:$S))</f>
        <v>0</v>
      </c>
      <c r="H118" s="16">
        <f t="shared" si="3"/>
        <v>-423618.32700000005</v>
      </c>
    </row>
    <row r="119" spans="2:8" hidden="1" x14ac:dyDescent="0.4">
      <c r="B119" s="1">
        <v>42668</v>
      </c>
      <c r="C119" s="16">
        <f>SUMIF(매도완료!$G:$G,Sheet2!$B119,매도완료!$P:$P)</f>
        <v>495000</v>
      </c>
      <c r="D119" s="16">
        <f>SUMIF(매도완료!$J:$J,Sheet2!$B119,매도완료!$P:$P)</f>
        <v>0</v>
      </c>
      <c r="E119" s="16">
        <f t="shared" si="2"/>
        <v>20676021</v>
      </c>
      <c r="G119" s="16">
        <f>IF(D119=0,0,SUMIF(매도완료!$J:$J,Sheet2!$B119,매도완료!$S:$S))</f>
        <v>0</v>
      </c>
      <c r="H119" s="16">
        <f t="shared" si="3"/>
        <v>-423618.32700000005</v>
      </c>
    </row>
    <row r="120" spans="2:8" hidden="1" x14ac:dyDescent="0.4">
      <c r="B120" s="1">
        <v>42669</v>
      </c>
      <c r="C120" s="16">
        <f>SUMIF(매도완료!$G:$G,Sheet2!$B120,매도완료!$P:$P)</f>
        <v>0</v>
      </c>
      <c r="D120" s="16">
        <f>SUMIF(매도완료!$J:$J,Sheet2!$B120,매도완료!$P:$P)</f>
        <v>0</v>
      </c>
      <c r="E120" s="16">
        <f t="shared" si="2"/>
        <v>20676021</v>
      </c>
      <c r="G120" s="16">
        <f>IF(D120=0,0,SUMIF(매도완료!$J:$J,Sheet2!$B120,매도완료!$S:$S))</f>
        <v>0</v>
      </c>
      <c r="H120" s="16">
        <f t="shared" si="3"/>
        <v>-423618.32700000005</v>
      </c>
    </row>
    <row r="121" spans="2:8" hidden="1" x14ac:dyDescent="0.4">
      <c r="B121" s="1">
        <v>42670</v>
      </c>
      <c r="C121" s="16">
        <f>SUMIF(매도완료!$G:$G,Sheet2!$B121,매도완료!$P:$P)</f>
        <v>0</v>
      </c>
      <c r="D121" s="16">
        <f>SUMIF(매도완료!$J:$J,Sheet2!$B121,매도완료!$P:$P)</f>
        <v>0</v>
      </c>
      <c r="E121" s="16">
        <f t="shared" si="2"/>
        <v>20676021</v>
      </c>
      <c r="G121" s="16">
        <f>IF(D121=0,0,SUMIF(매도완료!$J:$J,Sheet2!$B121,매도완료!$S:$S))</f>
        <v>0</v>
      </c>
      <c r="H121" s="16">
        <f t="shared" si="3"/>
        <v>-423618.32700000005</v>
      </c>
    </row>
    <row r="122" spans="2:8" hidden="1" x14ac:dyDescent="0.4">
      <c r="B122" s="1">
        <v>42671</v>
      </c>
      <c r="C122" s="16">
        <f>SUMIF(매도완료!$G:$G,Sheet2!$B122,매도완료!$P:$P)</f>
        <v>0</v>
      </c>
      <c r="D122" s="16">
        <f>SUMIF(매도완료!$J:$J,Sheet2!$B122,매도완료!$P:$P)</f>
        <v>0</v>
      </c>
      <c r="E122" s="16">
        <f t="shared" si="2"/>
        <v>20676021</v>
      </c>
      <c r="G122" s="16">
        <f>IF(D122=0,0,SUMIF(매도완료!$J:$J,Sheet2!$B122,매도완료!$S:$S))</f>
        <v>0</v>
      </c>
      <c r="H122" s="16">
        <f t="shared" si="3"/>
        <v>-423618.32700000005</v>
      </c>
    </row>
    <row r="123" spans="2:8" hidden="1" x14ac:dyDescent="0.4">
      <c r="B123" s="1">
        <v>42672</v>
      </c>
      <c r="C123" s="16">
        <f>SUMIF(매도완료!$G:$G,Sheet2!$B123,매도완료!$P:$P)</f>
        <v>0</v>
      </c>
      <c r="D123" s="16">
        <f>SUMIF(매도완료!$J:$J,Sheet2!$B123,매도완료!$P:$P)</f>
        <v>0</v>
      </c>
      <c r="E123" s="16">
        <f t="shared" si="2"/>
        <v>20676021</v>
      </c>
      <c r="G123" s="16">
        <f>IF(D123=0,0,SUMIF(매도완료!$J:$J,Sheet2!$B123,매도완료!$S:$S))</f>
        <v>0</v>
      </c>
      <c r="H123" s="16">
        <f t="shared" si="3"/>
        <v>-423618.32700000005</v>
      </c>
    </row>
    <row r="124" spans="2:8" hidden="1" x14ac:dyDescent="0.4">
      <c r="B124" s="1">
        <v>42673</v>
      </c>
      <c r="C124" s="16">
        <f>SUMIF(매도완료!$G:$G,Sheet2!$B124,매도완료!$P:$P)</f>
        <v>0</v>
      </c>
      <c r="D124" s="16">
        <f>SUMIF(매도완료!$J:$J,Sheet2!$B124,매도완료!$P:$P)</f>
        <v>0</v>
      </c>
      <c r="E124" s="16">
        <f t="shared" si="2"/>
        <v>20676021</v>
      </c>
      <c r="G124" s="16">
        <f>IF(D124=0,0,SUMIF(매도완료!$J:$J,Sheet2!$B124,매도완료!$S:$S))</f>
        <v>0</v>
      </c>
      <c r="H124" s="16">
        <f t="shared" si="3"/>
        <v>-423618.32700000005</v>
      </c>
    </row>
    <row r="125" spans="2:8" hidden="1" x14ac:dyDescent="0.4">
      <c r="B125" s="1">
        <v>42674</v>
      </c>
      <c r="C125" s="16">
        <f>SUMIF(매도완료!$G:$G,Sheet2!$B125,매도완료!$P:$P)</f>
        <v>0</v>
      </c>
      <c r="D125" s="16">
        <f>SUMIF(매도완료!$J:$J,Sheet2!$B125,매도완료!$P:$P)</f>
        <v>0</v>
      </c>
      <c r="E125" s="16">
        <f t="shared" si="2"/>
        <v>20676021</v>
      </c>
      <c r="G125" s="16">
        <f>IF(D125=0,0,SUMIF(매도완료!$J:$J,Sheet2!$B125,매도완료!$S:$S))</f>
        <v>0</v>
      </c>
      <c r="H125" s="16">
        <f t="shared" si="3"/>
        <v>-423618.32700000005</v>
      </c>
    </row>
    <row r="126" spans="2:8" hidden="1" x14ac:dyDescent="0.4">
      <c r="B126" s="1">
        <v>42675</v>
      </c>
      <c r="C126" s="16">
        <f>SUMIF(매도완료!$G:$G,Sheet2!$B126,매도완료!$P:$P)</f>
        <v>0</v>
      </c>
      <c r="D126" s="16">
        <f>SUMIF(매도완료!$J:$J,Sheet2!$B126,매도완료!$P:$P)</f>
        <v>0</v>
      </c>
      <c r="E126" s="16">
        <f t="shared" si="2"/>
        <v>20676021</v>
      </c>
      <c r="G126" s="16">
        <f>IF(D126=0,0,SUMIF(매도완료!$J:$J,Sheet2!$B126,매도완료!$S:$S))</f>
        <v>0</v>
      </c>
      <c r="H126" s="16">
        <f t="shared" si="3"/>
        <v>-423618.32700000005</v>
      </c>
    </row>
    <row r="127" spans="2:8" hidden="1" x14ac:dyDescent="0.4">
      <c r="B127" s="1">
        <v>42676</v>
      </c>
      <c r="C127" s="16">
        <f>SUMIF(매도완료!$G:$G,Sheet2!$B127,매도완료!$P:$P)</f>
        <v>0</v>
      </c>
      <c r="D127" s="16">
        <f>SUMIF(매도완료!$J:$J,Sheet2!$B127,매도완료!$P:$P)</f>
        <v>0</v>
      </c>
      <c r="E127" s="16">
        <f t="shared" si="2"/>
        <v>20676021</v>
      </c>
      <c r="G127" s="16">
        <f>IF(D127=0,0,SUMIF(매도완료!$J:$J,Sheet2!$B127,매도완료!$S:$S))</f>
        <v>0</v>
      </c>
      <c r="H127" s="16">
        <f t="shared" si="3"/>
        <v>-423618.32700000005</v>
      </c>
    </row>
    <row r="128" spans="2:8" hidden="1" x14ac:dyDescent="0.4">
      <c r="B128" s="1">
        <v>42677</v>
      </c>
      <c r="C128" s="16">
        <f>SUMIF(매도완료!$G:$G,Sheet2!$B128,매도완료!$P:$P)</f>
        <v>0</v>
      </c>
      <c r="D128" s="16">
        <f>SUMIF(매도완료!$J:$J,Sheet2!$B128,매도완료!$P:$P)</f>
        <v>0</v>
      </c>
      <c r="E128" s="16">
        <f t="shared" si="2"/>
        <v>20676021</v>
      </c>
      <c r="G128" s="16">
        <f>IF(D128=0,0,SUMIF(매도완료!$J:$J,Sheet2!$B128,매도완료!$S:$S))</f>
        <v>0</v>
      </c>
      <c r="H128" s="16">
        <f t="shared" si="3"/>
        <v>-423618.32700000005</v>
      </c>
    </row>
    <row r="129" spans="2:8" hidden="1" x14ac:dyDescent="0.4">
      <c r="B129" s="1">
        <v>42678</v>
      </c>
      <c r="C129" s="16">
        <f>SUMIF(매도완료!$G:$G,Sheet2!$B129,매도완료!$P:$P)</f>
        <v>0</v>
      </c>
      <c r="D129" s="16">
        <f>SUMIF(매도완료!$J:$J,Sheet2!$B129,매도완료!$P:$P)</f>
        <v>0</v>
      </c>
      <c r="E129" s="16">
        <f t="shared" si="2"/>
        <v>20676021</v>
      </c>
      <c r="G129" s="16">
        <f>IF(D129=0,0,SUMIF(매도완료!$J:$J,Sheet2!$B129,매도완료!$S:$S))</f>
        <v>0</v>
      </c>
      <c r="H129" s="16">
        <f t="shared" si="3"/>
        <v>-423618.32700000005</v>
      </c>
    </row>
    <row r="130" spans="2:8" hidden="1" x14ac:dyDescent="0.4">
      <c r="B130" s="1">
        <v>42679</v>
      </c>
      <c r="C130" s="16">
        <f>SUMIF(매도완료!$G:$G,Sheet2!$B130,매도완료!$P:$P)</f>
        <v>0</v>
      </c>
      <c r="D130" s="16">
        <f>SUMIF(매도완료!$J:$J,Sheet2!$B130,매도완료!$P:$P)</f>
        <v>0</v>
      </c>
      <c r="E130" s="16">
        <f t="shared" si="2"/>
        <v>20676021</v>
      </c>
      <c r="G130" s="16">
        <f>IF(D130=0,0,SUMIF(매도완료!$J:$J,Sheet2!$B130,매도완료!$S:$S))</f>
        <v>0</v>
      </c>
      <c r="H130" s="16">
        <f t="shared" si="3"/>
        <v>-423618.32700000005</v>
      </c>
    </row>
    <row r="131" spans="2:8" hidden="1" x14ac:dyDescent="0.4">
      <c r="B131" s="1">
        <v>42680</v>
      </c>
      <c r="C131" s="16">
        <f>SUMIF(매도완료!$G:$G,Sheet2!$B131,매도완료!$P:$P)</f>
        <v>0</v>
      </c>
      <c r="D131" s="16">
        <f>SUMIF(매도완료!$J:$J,Sheet2!$B131,매도완료!$P:$P)</f>
        <v>0</v>
      </c>
      <c r="E131" s="16">
        <f t="shared" si="2"/>
        <v>20676021</v>
      </c>
      <c r="G131" s="16">
        <f>IF(D131=0,0,SUMIF(매도완료!$J:$J,Sheet2!$B131,매도완료!$S:$S))</f>
        <v>0</v>
      </c>
      <c r="H131" s="16">
        <f t="shared" si="3"/>
        <v>-423618.32700000005</v>
      </c>
    </row>
    <row r="132" spans="2:8" hidden="1" x14ac:dyDescent="0.4">
      <c r="B132" s="1">
        <v>42681</v>
      </c>
      <c r="C132" s="16">
        <f>SUMIF(매도완료!$G:$G,Sheet2!$B132,매도완료!$P:$P)</f>
        <v>0</v>
      </c>
      <c r="D132" s="16">
        <f>SUMIF(매도완료!$J:$J,Sheet2!$B132,매도완료!$P:$P)</f>
        <v>0</v>
      </c>
      <c r="E132" s="16">
        <f t="shared" ref="E132:E195" si="4">E131+C132-D132</f>
        <v>20676021</v>
      </c>
      <c r="G132" s="16">
        <f>IF(D132=0,0,SUMIF(매도완료!$J:$J,Sheet2!$B132,매도완료!$S:$S))</f>
        <v>0</v>
      </c>
      <c r="H132" s="16">
        <f t="shared" ref="H132:H195" si="5">H131+G132</f>
        <v>-423618.32700000005</v>
      </c>
    </row>
    <row r="133" spans="2:8" hidden="1" x14ac:dyDescent="0.4">
      <c r="B133" s="1">
        <v>42682</v>
      </c>
      <c r="C133" s="16">
        <f>SUMIF(매도완료!$G:$G,Sheet2!$B133,매도완료!$P:$P)</f>
        <v>0</v>
      </c>
      <c r="D133" s="16">
        <f>SUMIF(매도완료!$J:$J,Sheet2!$B133,매도완료!$P:$P)</f>
        <v>0</v>
      </c>
      <c r="E133" s="16">
        <f t="shared" si="4"/>
        <v>20676021</v>
      </c>
      <c r="G133" s="16">
        <f>IF(D133=0,0,SUMIF(매도완료!$J:$J,Sheet2!$B133,매도완료!$S:$S))</f>
        <v>0</v>
      </c>
      <c r="H133" s="16">
        <f t="shared" si="5"/>
        <v>-423618.32700000005</v>
      </c>
    </row>
    <row r="134" spans="2:8" hidden="1" x14ac:dyDescent="0.4">
      <c r="B134" s="1">
        <v>42683</v>
      </c>
      <c r="C134" s="16">
        <f>SUMIF(매도완료!$G:$G,Sheet2!$B134,매도완료!$P:$P)</f>
        <v>0</v>
      </c>
      <c r="D134" s="16">
        <f>SUMIF(매도완료!$J:$J,Sheet2!$B134,매도완료!$P:$P)</f>
        <v>0</v>
      </c>
      <c r="E134" s="16">
        <f t="shared" si="4"/>
        <v>20676021</v>
      </c>
      <c r="G134" s="16">
        <f>IF(D134=0,0,SUMIF(매도완료!$J:$J,Sheet2!$B134,매도완료!$S:$S))</f>
        <v>0</v>
      </c>
      <c r="H134" s="16">
        <f t="shared" si="5"/>
        <v>-423618.32700000005</v>
      </c>
    </row>
    <row r="135" spans="2:8" hidden="1" x14ac:dyDescent="0.4">
      <c r="B135" s="1">
        <v>42684</v>
      </c>
      <c r="C135" s="16">
        <f>SUMIF(매도완료!$G:$G,Sheet2!$B135,매도완료!$P:$P)</f>
        <v>0</v>
      </c>
      <c r="D135" s="16">
        <f>SUMIF(매도완료!$J:$J,Sheet2!$B135,매도완료!$P:$P)</f>
        <v>0</v>
      </c>
      <c r="E135" s="16">
        <f t="shared" si="4"/>
        <v>20676021</v>
      </c>
      <c r="G135" s="16">
        <f>IF(D135=0,0,SUMIF(매도완료!$J:$J,Sheet2!$B135,매도완료!$S:$S))</f>
        <v>0</v>
      </c>
      <c r="H135" s="16">
        <f t="shared" si="5"/>
        <v>-423618.32700000005</v>
      </c>
    </row>
    <row r="136" spans="2:8" hidden="1" x14ac:dyDescent="0.4">
      <c r="B136" s="1">
        <v>42685</v>
      </c>
      <c r="C136" s="16">
        <f>SUMIF(매도완료!$G:$G,Sheet2!$B136,매도완료!$P:$P)</f>
        <v>0</v>
      </c>
      <c r="D136" s="16">
        <f>SUMIF(매도완료!$J:$J,Sheet2!$B136,매도완료!$P:$P)</f>
        <v>0</v>
      </c>
      <c r="E136" s="16">
        <f t="shared" si="4"/>
        <v>20676021</v>
      </c>
      <c r="G136" s="16">
        <f>IF(D136=0,0,SUMIF(매도완료!$J:$J,Sheet2!$B136,매도완료!$S:$S))</f>
        <v>0</v>
      </c>
      <c r="H136" s="16">
        <f t="shared" si="5"/>
        <v>-423618.32700000005</v>
      </c>
    </row>
    <row r="137" spans="2:8" hidden="1" x14ac:dyDescent="0.4">
      <c r="B137" s="1">
        <v>42686</v>
      </c>
      <c r="C137" s="16">
        <f>SUMIF(매도완료!$G:$G,Sheet2!$B137,매도완료!$P:$P)</f>
        <v>0</v>
      </c>
      <c r="D137" s="16">
        <f>SUMIF(매도완료!$J:$J,Sheet2!$B137,매도완료!$P:$P)</f>
        <v>0</v>
      </c>
      <c r="E137" s="16">
        <f t="shared" si="4"/>
        <v>20676021</v>
      </c>
      <c r="G137" s="16">
        <f>IF(D137=0,0,SUMIF(매도완료!$J:$J,Sheet2!$B137,매도완료!$S:$S))</f>
        <v>0</v>
      </c>
      <c r="H137" s="16">
        <f t="shared" si="5"/>
        <v>-423618.32700000005</v>
      </c>
    </row>
    <row r="138" spans="2:8" hidden="1" x14ac:dyDescent="0.4">
      <c r="B138" s="1">
        <v>42687</v>
      </c>
      <c r="C138" s="16">
        <f>SUMIF(매도완료!$G:$G,Sheet2!$B138,매도완료!$P:$P)</f>
        <v>0</v>
      </c>
      <c r="D138" s="16">
        <f>SUMIF(매도완료!$J:$J,Sheet2!$B138,매도완료!$P:$P)</f>
        <v>0</v>
      </c>
      <c r="E138" s="16">
        <f t="shared" si="4"/>
        <v>20676021</v>
      </c>
      <c r="G138" s="16">
        <f>IF(D138=0,0,SUMIF(매도완료!$J:$J,Sheet2!$B138,매도완료!$S:$S))</f>
        <v>0</v>
      </c>
      <c r="H138" s="16">
        <f t="shared" si="5"/>
        <v>-423618.32700000005</v>
      </c>
    </row>
    <row r="139" spans="2:8" hidden="1" x14ac:dyDescent="0.4">
      <c r="B139" s="1">
        <v>42688</v>
      </c>
      <c r="C139" s="16">
        <f>SUMIF(매도완료!$G:$G,Sheet2!$B139,매도완료!$P:$P)</f>
        <v>0</v>
      </c>
      <c r="D139" s="16">
        <f>SUMIF(매도완료!$J:$J,Sheet2!$B139,매도완료!$P:$P)</f>
        <v>0</v>
      </c>
      <c r="E139" s="16">
        <f t="shared" si="4"/>
        <v>20676021</v>
      </c>
      <c r="G139" s="16">
        <f>IF(D139=0,0,SUMIF(매도완료!$J:$J,Sheet2!$B139,매도완료!$S:$S))</f>
        <v>0</v>
      </c>
      <c r="H139" s="16">
        <f t="shared" si="5"/>
        <v>-423618.32700000005</v>
      </c>
    </row>
    <row r="140" spans="2:8" hidden="1" x14ac:dyDescent="0.4">
      <c r="B140" s="1">
        <v>42689</v>
      </c>
      <c r="C140" s="16">
        <f>SUMIF(매도완료!$G:$G,Sheet2!$B140,매도완료!$P:$P)</f>
        <v>0</v>
      </c>
      <c r="D140" s="16">
        <f>SUMIF(매도완료!$J:$J,Sheet2!$B140,매도완료!$P:$P)</f>
        <v>0</v>
      </c>
      <c r="E140" s="16">
        <f t="shared" si="4"/>
        <v>20676021</v>
      </c>
      <c r="G140" s="16">
        <f>IF(D140=0,0,SUMIF(매도완료!$J:$J,Sheet2!$B140,매도완료!$S:$S))</f>
        <v>0</v>
      </c>
      <c r="H140" s="16">
        <f t="shared" si="5"/>
        <v>-423618.32700000005</v>
      </c>
    </row>
    <row r="141" spans="2:8" hidden="1" x14ac:dyDescent="0.4">
      <c r="B141" s="1">
        <v>42690</v>
      </c>
      <c r="C141" s="16">
        <f>SUMIF(매도완료!$G:$G,Sheet2!$B141,매도완료!$P:$P)</f>
        <v>0</v>
      </c>
      <c r="D141" s="16">
        <f>SUMIF(매도완료!$J:$J,Sheet2!$B141,매도완료!$P:$P)</f>
        <v>0</v>
      </c>
      <c r="E141" s="16">
        <f t="shared" si="4"/>
        <v>20676021</v>
      </c>
      <c r="G141" s="16">
        <f>IF(D141=0,0,SUMIF(매도완료!$J:$J,Sheet2!$B141,매도완료!$S:$S))</f>
        <v>0</v>
      </c>
      <c r="H141" s="16">
        <f t="shared" si="5"/>
        <v>-423618.32700000005</v>
      </c>
    </row>
    <row r="142" spans="2:8" hidden="1" x14ac:dyDescent="0.4">
      <c r="B142" s="1">
        <v>42691</v>
      </c>
      <c r="C142" s="16">
        <f>SUMIF(매도완료!$G:$G,Sheet2!$B142,매도완료!$P:$P)</f>
        <v>0</v>
      </c>
      <c r="D142" s="16">
        <f>SUMIF(매도완료!$J:$J,Sheet2!$B142,매도완료!$P:$P)</f>
        <v>0</v>
      </c>
      <c r="E142" s="16">
        <f t="shared" si="4"/>
        <v>20676021</v>
      </c>
      <c r="G142" s="16">
        <f>IF(D142=0,0,SUMIF(매도완료!$J:$J,Sheet2!$B142,매도완료!$S:$S))</f>
        <v>0</v>
      </c>
      <c r="H142" s="16">
        <f t="shared" si="5"/>
        <v>-423618.32700000005</v>
      </c>
    </row>
    <row r="143" spans="2:8" hidden="1" x14ac:dyDescent="0.4">
      <c r="B143" s="1">
        <v>42692</v>
      </c>
      <c r="C143" s="16">
        <f>SUMIF(매도완료!$G:$G,Sheet2!$B143,매도완료!$P:$P)</f>
        <v>0</v>
      </c>
      <c r="D143" s="16">
        <f>SUMIF(매도완료!$J:$J,Sheet2!$B143,매도완료!$P:$P)</f>
        <v>0</v>
      </c>
      <c r="E143" s="16">
        <f t="shared" si="4"/>
        <v>20676021</v>
      </c>
      <c r="G143" s="16">
        <f>IF(D143=0,0,SUMIF(매도완료!$J:$J,Sheet2!$B143,매도완료!$S:$S))</f>
        <v>0</v>
      </c>
      <c r="H143" s="16">
        <f t="shared" si="5"/>
        <v>-423618.32700000005</v>
      </c>
    </row>
    <row r="144" spans="2:8" hidden="1" x14ac:dyDescent="0.4">
      <c r="B144" s="1">
        <v>42693</v>
      </c>
      <c r="C144" s="16">
        <f>SUMIF(매도완료!$G:$G,Sheet2!$B144,매도완료!$P:$P)</f>
        <v>0</v>
      </c>
      <c r="D144" s="16">
        <f>SUMIF(매도완료!$J:$J,Sheet2!$B144,매도완료!$P:$P)</f>
        <v>0</v>
      </c>
      <c r="E144" s="16">
        <f t="shared" si="4"/>
        <v>20676021</v>
      </c>
      <c r="G144" s="16">
        <f>IF(D144=0,0,SUMIF(매도완료!$J:$J,Sheet2!$B144,매도완료!$S:$S))</f>
        <v>0</v>
      </c>
      <c r="H144" s="16">
        <f t="shared" si="5"/>
        <v>-423618.32700000005</v>
      </c>
    </row>
    <row r="145" spans="2:8" hidden="1" x14ac:dyDescent="0.4">
      <c r="B145" s="1">
        <v>42694</v>
      </c>
      <c r="C145" s="16">
        <f>SUMIF(매도완료!$G:$G,Sheet2!$B145,매도완료!$P:$P)</f>
        <v>0</v>
      </c>
      <c r="D145" s="16">
        <f>SUMIF(매도완료!$J:$J,Sheet2!$B145,매도완료!$P:$P)</f>
        <v>0</v>
      </c>
      <c r="E145" s="16">
        <f t="shared" si="4"/>
        <v>20676021</v>
      </c>
      <c r="G145" s="16">
        <f>IF(D145=0,0,SUMIF(매도완료!$J:$J,Sheet2!$B145,매도완료!$S:$S))</f>
        <v>0</v>
      </c>
      <c r="H145" s="16">
        <f t="shared" si="5"/>
        <v>-423618.32700000005</v>
      </c>
    </row>
    <row r="146" spans="2:8" hidden="1" x14ac:dyDescent="0.4">
      <c r="B146" s="1">
        <v>42695</v>
      </c>
      <c r="C146" s="16">
        <f>SUMIF(매도완료!$G:$G,Sheet2!$B146,매도완료!$P:$P)</f>
        <v>0</v>
      </c>
      <c r="D146" s="16">
        <f>SUMIF(매도완료!$J:$J,Sheet2!$B146,매도완료!$P:$P)</f>
        <v>0</v>
      </c>
      <c r="E146" s="16">
        <f t="shared" si="4"/>
        <v>20676021</v>
      </c>
      <c r="G146" s="16">
        <f>IF(D146=0,0,SUMIF(매도완료!$J:$J,Sheet2!$B146,매도완료!$S:$S))</f>
        <v>0</v>
      </c>
      <c r="H146" s="16">
        <f t="shared" si="5"/>
        <v>-423618.32700000005</v>
      </c>
    </row>
    <row r="147" spans="2:8" hidden="1" x14ac:dyDescent="0.4">
      <c r="B147" s="1">
        <v>42696</v>
      </c>
      <c r="C147" s="16">
        <f>SUMIF(매도완료!$G:$G,Sheet2!$B147,매도완료!$P:$P)</f>
        <v>0</v>
      </c>
      <c r="D147" s="16">
        <f>SUMIF(매도완료!$J:$J,Sheet2!$B147,매도완료!$P:$P)</f>
        <v>0</v>
      </c>
      <c r="E147" s="16">
        <f t="shared" si="4"/>
        <v>20676021</v>
      </c>
      <c r="G147" s="16">
        <f>IF(D147=0,0,SUMIF(매도완료!$J:$J,Sheet2!$B147,매도완료!$S:$S))</f>
        <v>0</v>
      </c>
      <c r="H147" s="16">
        <f t="shared" si="5"/>
        <v>-423618.32700000005</v>
      </c>
    </row>
    <row r="148" spans="2:8" hidden="1" x14ac:dyDescent="0.4">
      <c r="B148" s="1">
        <v>42697</v>
      </c>
      <c r="C148" s="16">
        <f>SUMIF(매도완료!$G:$G,Sheet2!$B148,매도완료!$P:$P)</f>
        <v>0</v>
      </c>
      <c r="D148" s="16">
        <f>SUMIF(매도완료!$J:$J,Sheet2!$B148,매도완료!$P:$P)</f>
        <v>0</v>
      </c>
      <c r="E148" s="16">
        <f t="shared" si="4"/>
        <v>20676021</v>
      </c>
      <c r="G148" s="16">
        <f>IF(D148=0,0,SUMIF(매도완료!$J:$J,Sheet2!$B148,매도완료!$S:$S))</f>
        <v>0</v>
      </c>
      <c r="H148" s="16">
        <f t="shared" si="5"/>
        <v>-423618.32700000005</v>
      </c>
    </row>
    <row r="149" spans="2:8" hidden="1" x14ac:dyDescent="0.4">
      <c r="B149" s="1">
        <v>42698</v>
      </c>
      <c r="C149" s="16">
        <f>SUMIF(매도완료!$G:$G,Sheet2!$B149,매도완료!$P:$P)</f>
        <v>0</v>
      </c>
      <c r="D149" s="16">
        <f>SUMIF(매도완료!$J:$J,Sheet2!$B149,매도완료!$P:$P)</f>
        <v>0</v>
      </c>
      <c r="E149" s="16">
        <f t="shared" si="4"/>
        <v>20676021</v>
      </c>
      <c r="G149" s="16">
        <f>IF(D149=0,0,SUMIF(매도완료!$J:$J,Sheet2!$B149,매도완료!$S:$S))</f>
        <v>0</v>
      </c>
      <c r="H149" s="16">
        <f t="shared" si="5"/>
        <v>-423618.32700000005</v>
      </c>
    </row>
    <row r="150" spans="2:8" hidden="1" x14ac:dyDescent="0.4">
      <c r="B150" s="1">
        <v>42699</v>
      </c>
      <c r="C150" s="16">
        <f>SUMIF(매도완료!$G:$G,Sheet2!$B150,매도완료!$P:$P)</f>
        <v>0</v>
      </c>
      <c r="D150" s="16">
        <f>SUMIF(매도완료!$J:$J,Sheet2!$B150,매도완료!$P:$P)</f>
        <v>0</v>
      </c>
      <c r="E150" s="16">
        <f t="shared" si="4"/>
        <v>20676021</v>
      </c>
      <c r="G150" s="16">
        <f>IF(D150=0,0,SUMIF(매도완료!$J:$J,Sheet2!$B150,매도완료!$S:$S))</f>
        <v>0</v>
      </c>
      <c r="H150" s="16">
        <f t="shared" si="5"/>
        <v>-423618.32700000005</v>
      </c>
    </row>
    <row r="151" spans="2:8" hidden="1" x14ac:dyDescent="0.4">
      <c r="B151" s="1">
        <v>42700</v>
      </c>
      <c r="C151" s="16">
        <f>SUMIF(매도완료!$G:$G,Sheet2!$B151,매도완료!$P:$P)</f>
        <v>0</v>
      </c>
      <c r="D151" s="16">
        <f>SUMIF(매도완료!$J:$J,Sheet2!$B151,매도완료!$P:$P)</f>
        <v>0</v>
      </c>
      <c r="E151" s="16">
        <f t="shared" si="4"/>
        <v>20676021</v>
      </c>
      <c r="G151" s="16">
        <f>IF(D151=0,0,SUMIF(매도완료!$J:$J,Sheet2!$B151,매도완료!$S:$S))</f>
        <v>0</v>
      </c>
      <c r="H151" s="16">
        <f t="shared" si="5"/>
        <v>-423618.32700000005</v>
      </c>
    </row>
    <row r="152" spans="2:8" hidden="1" x14ac:dyDescent="0.4">
      <c r="B152" s="1">
        <v>42701</v>
      </c>
      <c r="C152" s="16">
        <f>SUMIF(매도완료!$G:$G,Sheet2!$B152,매도완료!$P:$P)</f>
        <v>0</v>
      </c>
      <c r="D152" s="16">
        <f>SUMIF(매도완료!$J:$J,Sheet2!$B152,매도완료!$P:$P)</f>
        <v>0</v>
      </c>
      <c r="E152" s="16">
        <f t="shared" si="4"/>
        <v>20676021</v>
      </c>
      <c r="G152" s="16">
        <f>IF(D152=0,0,SUMIF(매도완료!$J:$J,Sheet2!$B152,매도완료!$S:$S))</f>
        <v>0</v>
      </c>
      <c r="H152" s="16">
        <f t="shared" si="5"/>
        <v>-423618.32700000005</v>
      </c>
    </row>
    <row r="153" spans="2:8" hidden="1" x14ac:dyDescent="0.4">
      <c r="B153" s="1">
        <v>42702</v>
      </c>
      <c r="C153" s="16">
        <f>SUMIF(매도완료!$G:$G,Sheet2!$B153,매도완료!$P:$P)</f>
        <v>0</v>
      </c>
      <c r="D153" s="16">
        <f>SUMIF(매도완료!$J:$J,Sheet2!$B153,매도완료!$P:$P)</f>
        <v>0</v>
      </c>
      <c r="E153" s="16">
        <f t="shared" si="4"/>
        <v>20676021</v>
      </c>
      <c r="G153" s="16">
        <f>IF(D153=0,0,SUMIF(매도완료!$J:$J,Sheet2!$B153,매도완료!$S:$S))</f>
        <v>0</v>
      </c>
      <c r="H153" s="16">
        <f t="shared" si="5"/>
        <v>-423618.32700000005</v>
      </c>
    </row>
    <row r="154" spans="2:8" hidden="1" x14ac:dyDescent="0.4">
      <c r="B154" s="1">
        <v>42703</v>
      </c>
      <c r="C154" s="16">
        <f>SUMIF(매도완료!$G:$G,Sheet2!$B154,매도완료!$P:$P)</f>
        <v>0</v>
      </c>
      <c r="D154" s="16">
        <f>SUMIF(매도완료!$J:$J,Sheet2!$B154,매도완료!$P:$P)</f>
        <v>0</v>
      </c>
      <c r="E154" s="16">
        <f t="shared" si="4"/>
        <v>20676021</v>
      </c>
      <c r="G154" s="16">
        <f>IF(D154=0,0,SUMIF(매도완료!$J:$J,Sheet2!$B154,매도완료!$S:$S))</f>
        <v>0</v>
      </c>
      <c r="H154" s="16">
        <f t="shared" si="5"/>
        <v>-423618.32700000005</v>
      </c>
    </row>
    <row r="155" spans="2:8" hidden="1" x14ac:dyDescent="0.4">
      <c r="B155" s="1">
        <v>42704</v>
      </c>
      <c r="C155" s="16">
        <f>SUMIF(매도완료!$G:$G,Sheet2!$B155,매도완료!$P:$P)</f>
        <v>0</v>
      </c>
      <c r="D155" s="16">
        <f>SUMIF(매도완료!$J:$J,Sheet2!$B155,매도완료!$P:$P)</f>
        <v>0</v>
      </c>
      <c r="E155" s="16">
        <f t="shared" si="4"/>
        <v>20676021</v>
      </c>
      <c r="G155" s="16">
        <f>IF(D155=0,0,SUMIF(매도완료!$J:$J,Sheet2!$B155,매도완료!$S:$S))</f>
        <v>0</v>
      </c>
      <c r="H155" s="16">
        <f t="shared" si="5"/>
        <v>-423618.32700000005</v>
      </c>
    </row>
    <row r="156" spans="2:8" hidden="1" x14ac:dyDescent="0.4">
      <c r="B156" s="1">
        <v>42705</v>
      </c>
      <c r="C156" s="16">
        <f>SUMIF(매도완료!$G:$G,Sheet2!$B156,매도완료!$P:$P)</f>
        <v>0</v>
      </c>
      <c r="D156" s="16">
        <f>SUMIF(매도완료!$J:$J,Sheet2!$B156,매도완료!$P:$P)</f>
        <v>0</v>
      </c>
      <c r="E156" s="16">
        <f t="shared" si="4"/>
        <v>20676021</v>
      </c>
      <c r="G156" s="16">
        <f>IF(D156=0,0,SUMIF(매도완료!$J:$J,Sheet2!$B156,매도완료!$S:$S))</f>
        <v>0</v>
      </c>
      <c r="H156" s="16">
        <f t="shared" si="5"/>
        <v>-423618.32700000005</v>
      </c>
    </row>
    <row r="157" spans="2:8" hidden="1" x14ac:dyDescent="0.4">
      <c r="B157" s="1">
        <v>42706</v>
      </c>
      <c r="C157" s="16">
        <f>SUMIF(매도완료!$G:$G,Sheet2!$B157,매도완료!$P:$P)</f>
        <v>0</v>
      </c>
      <c r="D157" s="16">
        <f>SUMIF(매도완료!$J:$J,Sheet2!$B157,매도완료!$P:$P)</f>
        <v>0</v>
      </c>
      <c r="E157" s="16">
        <f t="shared" si="4"/>
        <v>20676021</v>
      </c>
      <c r="G157" s="16">
        <f>IF(D157=0,0,SUMIF(매도완료!$J:$J,Sheet2!$B157,매도완료!$S:$S))</f>
        <v>0</v>
      </c>
      <c r="H157" s="16">
        <f t="shared" si="5"/>
        <v>-423618.32700000005</v>
      </c>
    </row>
    <row r="158" spans="2:8" hidden="1" x14ac:dyDescent="0.4">
      <c r="B158" s="1">
        <v>42707</v>
      </c>
      <c r="C158" s="16">
        <f>SUMIF(매도완료!$G:$G,Sheet2!$B158,매도완료!$P:$P)</f>
        <v>0</v>
      </c>
      <c r="D158" s="16">
        <f>SUMIF(매도완료!$J:$J,Sheet2!$B158,매도완료!$P:$P)</f>
        <v>0</v>
      </c>
      <c r="E158" s="16">
        <f t="shared" si="4"/>
        <v>20676021</v>
      </c>
      <c r="G158" s="16">
        <f>IF(D158=0,0,SUMIF(매도완료!$J:$J,Sheet2!$B158,매도완료!$S:$S))</f>
        <v>0</v>
      </c>
      <c r="H158" s="16">
        <f t="shared" si="5"/>
        <v>-423618.32700000005</v>
      </c>
    </row>
    <row r="159" spans="2:8" hidden="1" x14ac:dyDescent="0.4">
      <c r="B159" s="1">
        <v>42708</v>
      </c>
      <c r="C159" s="16">
        <f>SUMIF(매도완료!$G:$G,Sheet2!$B159,매도완료!$P:$P)</f>
        <v>0</v>
      </c>
      <c r="D159" s="16">
        <f>SUMIF(매도완료!$J:$J,Sheet2!$B159,매도완료!$P:$P)</f>
        <v>0</v>
      </c>
      <c r="E159" s="16">
        <f t="shared" si="4"/>
        <v>20676021</v>
      </c>
      <c r="G159" s="16">
        <f>IF(D159=0,0,SUMIF(매도완료!$J:$J,Sheet2!$B159,매도완료!$S:$S))</f>
        <v>0</v>
      </c>
      <c r="H159" s="16">
        <f t="shared" si="5"/>
        <v>-423618.32700000005</v>
      </c>
    </row>
    <row r="160" spans="2:8" hidden="1" x14ac:dyDescent="0.4">
      <c r="B160" s="1">
        <v>42709</v>
      </c>
      <c r="C160" s="16">
        <f>SUMIF(매도완료!$G:$G,Sheet2!$B160,매도완료!$P:$P)</f>
        <v>0</v>
      </c>
      <c r="D160" s="16">
        <f>SUMIF(매도완료!$J:$J,Sheet2!$B160,매도완료!$P:$P)</f>
        <v>0</v>
      </c>
      <c r="E160" s="16">
        <f t="shared" si="4"/>
        <v>20676021</v>
      </c>
      <c r="G160" s="16">
        <f>IF(D160=0,0,SUMIF(매도완료!$J:$J,Sheet2!$B160,매도완료!$S:$S))</f>
        <v>0</v>
      </c>
      <c r="H160" s="16">
        <f t="shared" si="5"/>
        <v>-423618.32700000005</v>
      </c>
    </row>
    <row r="161" spans="2:8" hidden="1" x14ac:dyDescent="0.4">
      <c r="B161" s="1">
        <v>42710</v>
      </c>
      <c r="C161" s="16">
        <f>SUMIF(매도완료!$G:$G,Sheet2!$B161,매도완료!$P:$P)</f>
        <v>0</v>
      </c>
      <c r="D161" s="16">
        <f>SUMIF(매도완료!$J:$J,Sheet2!$B161,매도완료!$P:$P)</f>
        <v>0</v>
      </c>
      <c r="E161" s="16">
        <f t="shared" si="4"/>
        <v>20676021</v>
      </c>
      <c r="G161" s="16">
        <f>IF(D161=0,0,SUMIF(매도완료!$J:$J,Sheet2!$B161,매도완료!$S:$S))</f>
        <v>0</v>
      </c>
      <c r="H161" s="16">
        <f t="shared" si="5"/>
        <v>-423618.32700000005</v>
      </c>
    </row>
    <row r="162" spans="2:8" hidden="1" x14ac:dyDescent="0.4">
      <c r="B162" s="1">
        <v>42711</v>
      </c>
      <c r="C162" s="16">
        <f>SUMIF(매도완료!$G:$G,Sheet2!$B162,매도완료!$P:$P)</f>
        <v>0</v>
      </c>
      <c r="D162" s="16">
        <f>SUMIF(매도완료!$J:$J,Sheet2!$B162,매도완료!$P:$P)</f>
        <v>0</v>
      </c>
      <c r="E162" s="16">
        <f t="shared" si="4"/>
        <v>20676021</v>
      </c>
      <c r="G162" s="16">
        <f>IF(D162=0,0,SUMIF(매도완료!$J:$J,Sheet2!$B162,매도완료!$S:$S))</f>
        <v>0</v>
      </c>
      <c r="H162" s="16">
        <f t="shared" si="5"/>
        <v>-423618.32700000005</v>
      </c>
    </row>
    <row r="163" spans="2:8" hidden="1" x14ac:dyDescent="0.4">
      <c r="B163" s="1">
        <v>42712</v>
      </c>
      <c r="C163" s="16">
        <f>SUMIF(매도완료!$G:$G,Sheet2!$B163,매도완료!$P:$P)</f>
        <v>0</v>
      </c>
      <c r="D163" s="16">
        <f>SUMIF(매도완료!$J:$J,Sheet2!$B163,매도완료!$P:$P)</f>
        <v>0</v>
      </c>
      <c r="E163" s="16">
        <f t="shared" si="4"/>
        <v>20676021</v>
      </c>
      <c r="G163" s="16">
        <f>IF(D163=0,0,SUMIF(매도완료!$J:$J,Sheet2!$B163,매도완료!$S:$S))</f>
        <v>0</v>
      </c>
      <c r="H163" s="16">
        <f t="shared" si="5"/>
        <v>-423618.32700000005</v>
      </c>
    </row>
    <row r="164" spans="2:8" hidden="1" x14ac:dyDescent="0.4">
      <c r="B164" s="1">
        <v>42713</v>
      </c>
      <c r="C164" s="16">
        <f>SUMIF(매도완료!$G:$G,Sheet2!$B164,매도완료!$P:$P)</f>
        <v>0</v>
      </c>
      <c r="D164" s="16">
        <f>SUMIF(매도완료!$J:$J,Sheet2!$B164,매도완료!$P:$P)</f>
        <v>0</v>
      </c>
      <c r="E164" s="16">
        <f t="shared" si="4"/>
        <v>20676021</v>
      </c>
      <c r="G164" s="16">
        <f>IF(D164=0,0,SUMIF(매도완료!$J:$J,Sheet2!$B164,매도완료!$S:$S))</f>
        <v>0</v>
      </c>
      <c r="H164" s="16">
        <f t="shared" si="5"/>
        <v>-423618.32700000005</v>
      </c>
    </row>
    <row r="165" spans="2:8" hidden="1" x14ac:dyDescent="0.4">
      <c r="B165" s="1">
        <v>42714</v>
      </c>
      <c r="C165" s="16">
        <f>SUMIF(매도완료!$G:$G,Sheet2!$B165,매도완료!$P:$P)</f>
        <v>0</v>
      </c>
      <c r="D165" s="16">
        <f>SUMIF(매도완료!$J:$J,Sheet2!$B165,매도완료!$P:$P)</f>
        <v>0</v>
      </c>
      <c r="E165" s="16">
        <f t="shared" si="4"/>
        <v>20676021</v>
      </c>
      <c r="G165" s="16">
        <f>IF(D165=0,0,SUMIF(매도완료!$J:$J,Sheet2!$B165,매도완료!$S:$S))</f>
        <v>0</v>
      </c>
      <c r="H165" s="16">
        <f t="shared" si="5"/>
        <v>-423618.32700000005</v>
      </c>
    </row>
    <row r="166" spans="2:8" hidden="1" x14ac:dyDescent="0.4">
      <c r="B166" s="1">
        <v>42715</v>
      </c>
      <c r="C166" s="16">
        <f>SUMIF(매도완료!$G:$G,Sheet2!$B166,매도완료!$P:$P)</f>
        <v>0</v>
      </c>
      <c r="D166" s="16">
        <f>SUMIF(매도완료!$J:$J,Sheet2!$B166,매도완료!$P:$P)</f>
        <v>0</v>
      </c>
      <c r="E166" s="16">
        <f t="shared" si="4"/>
        <v>20676021</v>
      </c>
      <c r="G166" s="16">
        <f>IF(D166=0,0,SUMIF(매도완료!$J:$J,Sheet2!$B166,매도완료!$S:$S))</f>
        <v>0</v>
      </c>
      <c r="H166" s="16">
        <f t="shared" si="5"/>
        <v>-423618.32700000005</v>
      </c>
    </row>
    <row r="167" spans="2:8" hidden="1" x14ac:dyDescent="0.4">
      <c r="B167" s="1">
        <v>42716</v>
      </c>
      <c r="C167" s="16">
        <f>SUMIF(매도완료!$G:$G,Sheet2!$B167,매도완료!$P:$P)</f>
        <v>995000</v>
      </c>
      <c r="D167" s="16">
        <f>SUMIF(매도완료!$J:$J,Sheet2!$B167,매도완료!$P:$P)</f>
        <v>0</v>
      </c>
      <c r="E167" s="16">
        <f t="shared" si="4"/>
        <v>21671021</v>
      </c>
      <c r="G167" s="16">
        <f>IF(D167=0,0,SUMIF(매도완료!$J:$J,Sheet2!$B167,매도완료!$S:$S))</f>
        <v>0</v>
      </c>
      <c r="H167" s="16">
        <f t="shared" si="5"/>
        <v>-423618.32700000005</v>
      </c>
    </row>
    <row r="168" spans="2:8" hidden="1" x14ac:dyDescent="0.4">
      <c r="B168" s="1">
        <v>42717</v>
      </c>
      <c r="C168" s="16">
        <f>SUMIF(매도완료!$G:$G,Sheet2!$B168,매도완료!$P:$P)</f>
        <v>0</v>
      </c>
      <c r="D168" s="16">
        <f>SUMIF(매도완료!$J:$J,Sheet2!$B168,매도완료!$P:$P)</f>
        <v>0</v>
      </c>
      <c r="E168" s="16">
        <f t="shared" si="4"/>
        <v>21671021</v>
      </c>
      <c r="G168" s="16">
        <f>IF(D168=0,0,SUMIF(매도완료!$J:$J,Sheet2!$B168,매도완료!$S:$S))</f>
        <v>0</v>
      </c>
      <c r="H168" s="16">
        <f t="shared" si="5"/>
        <v>-423618.32700000005</v>
      </c>
    </row>
    <row r="169" spans="2:8" hidden="1" x14ac:dyDescent="0.4">
      <c r="B169" s="1">
        <v>42718</v>
      </c>
      <c r="C169" s="16">
        <f>SUMIF(매도완료!$G:$G,Sheet2!$B169,매도완료!$P:$P)</f>
        <v>0</v>
      </c>
      <c r="D169" s="16">
        <f>SUMIF(매도완료!$J:$J,Sheet2!$B169,매도완료!$P:$P)</f>
        <v>0</v>
      </c>
      <c r="E169" s="16">
        <f t="shared" si="4"/>
        <v>21671021</v>
      </c>
      <c r="G169" s="16">
        <f>IF(D169=0,0,SUMIF(매도완료!$J:$J,Sheet2!$B169,매도완료!$S:$S))</f>
        <v>0</v>
      </c>
      <c r="H169" s="16">
        <f t="shared" si="5"/>
        <v>-423618.32700000005</v>
      </c>
    </row>
    <row r="170" spans="2:8" hidden="1" x14ac:dyDescent="0.4">
      <c r="B170" s="1">
        <v>42719</v>
      </c>
      <c r="C170" s="16">
        <f>SUMIF(매도완료!$G:$G,Sheet2!$B170,매도완료!$P:$P)</f>
        <v>0</v>
      </c>
      <c r="D170" s="16">
        <f>SUMIF(매도완료!$J:$J,Sheet2!$B170,매도완료!$P:$P)</f>
        <v>0</v>
      </c>
      <c r="E170" s="16">
        <f t="shared" si="4"/>
        <v>21671021</v>
      </c>
      <c r="G170" s="16">
        <f>IF(D170=0,0,SUMIF(매도완료!$J:$J,Sheet2!$B170,매도완료!$S:$S))</f>
        <v>0</v>
      </c>
      <c r="H170" s="16">
        <f t="shared" si="5"/>
        <v>-423618.32700000005</v>
      </c>
    </row>
    <row r="171" spans="2:8" hidden="1" x14ac:dyDescent="0.4">
      <c r="B171" s="1">
        <v>42720</v>
      </c>
      <c r="C171" s="16">
        <f>SUMIF(매도완료!$G:$G,Sheet2!$B171,매도완료!$P:$P)</f>
        <v>0</v>
      </c>
      <c r="D171" s="16">
        <f>SUMIF(매도완료!$J:$J,Sheet2!$B171,매도완료!$P:$P)</f>
        <v>0</v>
      </c>
      <c r="E171" s="16">
        <f t="shared" si="4"/>
        <v>21671021</v>
      </c>
      <c r="G171" s="16">
        <f>IF(D171=0,0,SUMIF(매도완료!$J:$J,Sheet2!$B171,매도완료!$S:$S))</f>
        <v>0</v>
      </c>
      <c r="H171" s="16">
        <f t="shared" si="5"/>
        <v>-423618.32700000005</v>
      </c>
    </row>
    <row r="172" spans="2:8" hidden="1" x14ac:dyDescent="0.4">
      <c r="B172" s="1">
        <v>42721</v>
      </c>
      <c r="C172" s="16">
        <f>SUMIF(매도완료!$G:$G,Sheet2!$B172,매도완료!$P:$P)</f>
        <v>0</v>
      </c>
      <c r="D172" s="16">
        <f>SUMIF(매도완료!$J:$J,Sheet2!$B172,매도완료!$P:$P)</f>
        <v>0</v>
      </c>
      <c r="E172" s="16">
        <f t="shared" si="4"/>
        <v>21671021</v>
      </c>
      <c r="G172" s="16">
        <f>IF(D172=0,0,SUMIF(매도완료!$J:$J,Sheet2!$B172,매도완료!$S:$S))</f>
        <v>0</v>
      </c>
      <c r="H172" s="16">
        <f t="shared" si="5"/>
        <v>-423618.32700000005</v>
      </c>
    </row>
    <row r="173" spans="2:8" hidden="1" x14ac:dyDescent="0.4">
      <c r="B173" s="1">
        <v>42722</v>
      </c>
      <c r="C173" s="16">
        <f>SUMIF(매도완료!$G:$G,Sheet2!$B173,매도완료!$P:$P)</f>
        <v>0</v>
      </c>
      <c r="D173" s="16">
        <f>SUMIF(매도완료!$J:$J,Sheet2!$B173,매도완료!$P:$P)</f>
        <v>0</v>
      </c>
      <c r="E173" s="16">
        <f t="shared" si="4"/>
        <v>21671021</v>
      </c>
      <c r="G173" s="16">
        <f>IF(D173=0,0,SUMIF(매도완료!$J:$J,Sheet2!$B173,매도완료!$S:$S))</f>
        <v>0</v>
      </c>
      <c r="H173" s="16">
        <f t="shared" si="5"/>
        <v>-423618.32700000005</v>
      </c>
    </row>
    <row r="174" spans="2:8" hidden="1" x14ac:dyDescent="0.4">
      <c r="B174" s="1">
        <v>42723</v>
      </c>
      <c r="C174" s="16">
        <f>SUMIF(매도완료!$G:$G,Sheet2!$B174,매도완료!$P:$P)</f>
        <v>0</v>
      </c>
      <c r="D174" s="16">
        <f>SUMIF(매도완료!$J:$J,Sheet2!$B174,매도완료!$P:$P)</f>
        <v>0</v>
      </c>
      <c r="E174" s="16">
        <f t="shared" si="4"/>
        <v>21671021</v>
      </c>
      <c r="G174" s="16">
        <f>IF(D174=0,0,SUMIF(매도완료!$J:$J,Sheet2!$B174,매도완료!$S:$S))</f>
        <v>0</v>
      </c>
      <c r="H174" s="16">
        <f t="shared" si="5"/>
        <v>-423618.32700000005</v>
      </c>
    </row>
    <row r="175" spans="2:8" hidden="1" x14ac:dyDescent="0.4">
      <c r="B175" s="1">
        <v>42724</v>
      </c>
      <c r="C175" s="16">
        <f>SUMIF(매도완료!$G:$G,Sheet2!$B175,매도완료!$P:$P)</f>
        <v>0</v>
      </c>
      <c r="D175" s="16">
        <f>SUMIF(매도완료!$J:$J,Sheet2!$B175,매도완료!$P:$P)</f>
        <v>0</v>
      </c>
      <c r="E175" s="16">
        <f t="shared" si="4"/>
        <v>21671021</v>
      </c>
      <c r="G175" s="16">
        <f>IF(D175=0,0,SUMIF(매도완료!$J:$J,Sheet2!$B175,매도완료!$S:$S))</f>
        <v>0</v>
      </c>
      <c r="H175" s="16">
        <f t="shared" si="5"/>
        <v>-423618.32700000005</v>
      </c>
    </row>
    <row r="176" spans="2:8" hidden="1" x14ac:dyDescent="0.4">
      <c r="B176" s="1">
        <v>42725</v>
      </c>
      <c r="C176" s="16">
        <f>SUMIF(매도완료!$G:$G,Sheet2!$B176,매도완료!$P:$P)</f>
        <v>0</v>
      </c>
      <c r="D176" s="16">
        <f>SUMIF(매도완료!$J:$J,Sheet2!$B176,매도완료!$P:$P)</f>
        <v>0</v>
      </c>
      <c r="E176" s="16">
        <f t="shared" si="4"/>
        <v>21671021</v>
      </c>
      <c r="G176" s="16">
        <f>IF(D176=0,0,SUMIF(매도완료!$J:$J,Sheet2!$B176,매도완료!$S:$S))</f>
        <v>0</v>
      </c>
      <c r="H176" s="16">
        <f t="shared" si="5"/>
        <v>-423618.32700000005</v>
      </c>
    </row>
    <row r="177" spans="2:8" hidden="1" x14ac:dyDescent="0.4">
      <c r="B177" s="1">
        <v>42726</v>
      </c>
      <c r="C177" s="16">
        <f>SUMIF(매도완료!$G:$G,Sheet2!$B177,매도완료!$P:$P)</f>
        <v>0</v>
      </c>
      <c r="D177" s="16">
        <f>SUMIF(매도완료!$J:$J,Sheet2!$B177,매도완료!$P:$P)</f>
        <v>0</v>
      </c>
      <c r="E177" s="16">
        <f t="shared" si="4"/>
        <v>21671021</v>
      </c>
      <c r="G177" s="16">
        <f>IF(D177=0,0,SUMIF(매도완료!$J:$J,Sheet2!$B177,매도완료!$S:$S))</f>
        <v>0</v>
      </c>
      <c r="H177" s="16">
        <f t="shared" si="5"/>
        <v>-423618.32700000005</v>
      </c>
    </row>
    <row r="178" spans="2:8" hidden="1" x14ac:dyDescent="0.4">
      <c r="B178" s="1">
        <v>42727</v>
      </c>
      <c r="C178" s="16">
        <f>SUMIF(매도완료!$G:$G,Sheet2!$B178,매도완료!$P:$P)</f>
        <v>0</v>
      </c>
      <c r="D178" s="16">
        <f>SUMIF(매도완료!$J:$J,Sheet2!$B178,매도완료!$P:$P)</f>
        <v>0</v>
      </c>
      <c r="E178" s="16">
        <f t="shared" si="4"/>
        <v>21671021</v>
      </c>
      <c r="G178" s="16">
        <f>IF(D178=0,0,SUMIF(매도완료!$J:$J,Sheet2!$B178,매도완료!$S:$S))</f>
        <v>0</v>
      </c>
      <c r="H178" s="16">
        <f t="shared" si="5"/>
        <v>-423618.32700000005</v>
      </c>
    </row>
    <row r="179" spans="2:8" hidden="1" x14ac:dyDescent="0.4">
      <c r="B179" s="1">
        <v>42728</v>
      </c>
      <c r="C179" s="16">
        <f>SUMIF(매도완료!$G:$G,Sheet2!$B179,매도완료!$P:$P)</f>
        <v>0</v>
      </c>
      <c r="D179" s="16">
        <f>SUMIF(매도완료!$J:$J,Sheet2!$B179,매도완료!$P:$P)</f>
        <v>0</v>
      </c>
      <c r="E179" s="16">
        <f t="shared" si="4"/>
        <v>21671021</v>
      </c>
      <c r="G179" s="16">
        <f>IF(D179=0,0,SUMIF(매도완료!$J:$J,Sheet2!$B179,매도완료!$S:$S))</f>
        <v>0</v>
      </c>
      <c r="H179" s="16">
        <f t="shared" si="5"/>
        <v>-423618.32700000005</v>
      </c>
    </row>
    <row r="180" spans="2:8" hidden="1" x14ac:dyDescent="0.4">
      <c r="B180" s="1">
        <v>42729</v>
      </c>
      <c r="C180" s="16">
        <f>SUMIF(매도완료!$G:$G,Sheet2!$B180,매도완료!$P:$P)</f>
        <v>0</v>
      </c>
      <c r="D180" s="16">
        <f>SUMIF(매도완료!$J:$J,Sheet2!$B180,매도완료!$P:$P)</f>
        <v>0</v>
      </c>
      <c r="E180" s="16">
        <f t="shared" si="4"/>
        <v>21671021</v>
      </c>
      <c r="G180" s="16">
        <f>IF(D180=0,0,SUMIF(매도완료!$J:$J,Sheet2!$B180,매도완료!$S:$S))</f>
        <v>0</v>
      </c>
      <c r="H180" s="16">
        <f t="shared" si="5"/>
        <v>-423618.32700000005</v>
      </c>
    </row>
    <row r="181" spans="2:8" hidden="1" x14ac:dyDescent="0.4">
      <c r="B181" s="1">
        <v>42730</v>
      </c>
      <c r="C181" s="16">
        <f>SUMIF(매도완료!$G:$G,Sheet2!$B181,매도완료!$P:$P)</f>
        <v>0</v>
      </c>
      <c r="D181" s="16">
        <f>SUMIF(매도완료!$J:$J,Sheet2!$B181,매도완료!$P:$P)</f>
        <v>0</v>
      </c>
      <c r="E181" s="16">
        <f t="shared" si="4"/>
        <v>21671021</v>
      </c>
      <c r="G181" s="16">
        <f>IF(D181=0,0,SUMIF(매도완료!$J:$J,Sheet2!$B181,매도완료!$S:$S))</f>
        <v>0</v>
      </c>
      <c r="H181" s="16">
        <f t="shared" si="5"/>
        <v>-423618.32700000005</v>
      </c>
    </row>
    <row r="182" spans="2:8" hidden="1" x14ac:dyDescent="0.4">
      <c r="B182" s="1">
        <v>42731</v>
      </c>
      <c r="C182" s="16">
        <f>SUMIF(매도완료!$G:$G,Sheet2!$B182,매도완료!$P:$P)</f>
        <v>0</v>
      </c>
      <c r="D182" s="16">
        <f>SUMIF(매도완료!$J:$J,Sheet2!$B182,매도완료!$P:$P)</f>
        <v>0</v>
      </c>
      <c r="E182" s="16">
        <f t="shared" si="4"/>
        <v>21671021</v>
      </c>
      <c r="G182" s="16">
        <f>IF(D182=0,0,SUMIF(매도완료!$J:$J,Sheet2!$B182,매도완료!$S:$S))</f>
        <v>0</v>
      </c>
      <c r="H182" s="16">
        <f t="shared" si="5"/>
        <v>-423618.32700000005</v>
      </c>
    </row>
    <row r="183" spans="2:8" hidden="1" x14ac:dyDescent="0.4">
      <c r="B183" s="1">
        <v>42732</v>
      </c>
      <c r="C183" s="16">
        <f>SUMIF(매도완료!$G:$G,Sheet2!$B183,매도완료!$P:$P)</f>
        <v>0</v>
      </c>
      <c r="D183" s="16">
        <f>SUMIF(매도완료!$J:$J,Sheet2!$B183,매도완료!$P:$P)</f>
        <v>0</v>
      </c>
      <c r="E183" s="16">
        <f t="shared" si="4"/>
        <v>21671021</v>
      </c>
      <c r="G183" s="16">
        <f>IF(D183=0,0,SUMIF(매도완료!$J:$J,Sheet2!$B183,매도완료!$S:$S))</f>
        <v>0</v>
      </c>
      <c r="H183" s="16">
        <f t="shared" si="5"/>
        <v>-423618.32700000005</v>
      </c>
    </row>
    <row r="184" spans="2:8" hidden="1" x14ac:dyDescent="0.4">
      <c r="B184" s="1">
        <v>42733</v>
      </c>
      <c r="C184" s="16">
        <f>SUMIF(매도완료!$G:$G,Sheet2!$B184,매도완료!$P:$P)</f>
        <v>0</v>
      </c>
      <c r="D184" s="16">
        <f>SUMIF(매도완료!$J:$J,Sheet2!$B184,매도완료!$P:$P)</f>
        <v>0</v>
      </c>
      <c r="E184" s="16">
        <f t="shared" si="4"/>
        <v>21671021</v>
      </c>
      <c r="G184" s="16">
        <f>IF(D184=0,0,SUMIF(매도완료!$J:$J,Sheet2!$B184,매도완료!$S:$S))</f>
        <v>0</v>
      </c>
      <c r="H184" s="16">
        <f t="shared" si="5"/>
        <v>-423618.32700000005</v>
      </c>
    </row>
    <row r="185" spans="2:8" hidden="1" x14ac:dyDescent="0.4">
      <c r="B185" s="1">
        <v>42734</v>
      </c>
      <c r="C185" s="16">
        <f>SUMIF(매도완료!$G:$G,Sheet2!$B185,매도완료!$P:$P)</f>
        <v>0</v>
      </c>
      <c r="D185" s="16">
        <f>SUMIF(매도완료!$J:$J,Sheet2!$B185,매도완료!$P:$P)</f>
        <v>0</v>
      </c>
      <c r="E185" s="16">
        <f t="shared" si="4"/>
        <v>21671021</v>
      </c>
      <c r="G185" s="16">
        <f>IF(D185=0,0,SUMIF(매도완료!$J:$J,Sheet2!$B185,매도완료!$S:$S))</f>
        <v>0</v>
      </c>
      <c r="H185" s="16">
        <f t="shared" si="5"/>
        <v>-423618.32700000005</v>
      </c>
    </row>
    <row r="186" spans="2:8" hidden="1" x14ac:dyDescent="0.4">
      <c r="B186" s="1">
        <v>42735</v>
      </c>
      <c r="C186" s="16">
        <f>SUMIF(매도완료!$G:$G,Sheet2!$B186,매도완료!$P:$P)</f>
        <v>0</v>
      </c>
      <c r="D186" s="16">
        <f>SUMIF(매도완료!$J:$J,Sheet2!$B186,매도완료!$P:$P)</f>
        <v>0</v>
      </c>
      <c r="E186" s="16">
        <f t="shared" si="4"/>
        <v>21671021</v>
      </c>
      <c r="G186" s="16">
        <f>IF(D186=0,0,SUMIF(매도완료!$J:$J,Sheet2!$B186,매도완료!$S:$S))</f>
        <v>0</v>
      </c>
      <c r="H186" s="16">
        <f t="shared" si="5"/>
        <v>-423618.32700000005</v>
      </c>
    </row>
    <row r="187" spans="2:8" x14ac:dyDescent="0.4">
      <c r="B187" s="1">
        <v>42736</v>
      </c>
      <c r="C187" s="16">
        <f>SUMIF(매도완료!$G:$G,Sheet2!$B187,매도완료!$P:$P)</f>
        <v>0</v>
      </c>
      <c r="D187" s="16">
        <f>SUMIF(매도완료!$J:$J,Sheet2!$B187,매도완료!$P:$P)</f>
        <v>0</v>
      </c>
      <c r="E187" s="16">
        <f t="shared" si="4"/>
        <v>21671021</v>
      </c>
      <c r="G187" s="16">
        <f>IF(D187=0,0,SUMIF(매도완료!$J:$J,Sheet2!$B187,매도완료!$S:$S))</f>
        <v>0</v>
      </c>
      <c r="H187" s="16">
        <f t="shared" si="5"/>
        <v>-423618.32700000005</v>
      </c>
    </row>
    <row r="188" spans="2:8" hidden="1" x14ac:dyDescent="0.4">
      <c r="B188" s="1">
        <v>42737</v>
      </c>
      <c r="C188" s="16">
        <f>SUMIF(매도완료!$G:$G,Sheet2!$B188,매도완료!$P:$P)</f>
        <v>0</v>
      </c>
      <c r="D188" s="16">
        <f>SUMIF(매도완료!$J:$J,Sheet2!$B188,매도완료!$P:$P)</f>
        <v>0</v>
      </c>
      <c r="E188" s="16">
        <f t="shared" si="4"/>
        <v>21671021</v>
      </c>
      <c r="G188" s="16">
        <f>IF(D188=0,0,SUMIF(매도완료!$J:$J,Sheet2!$B188,매도완료!$S:$S))</f>
        <v>0</v>
      </c>
      <c r="H188" s="16">
        <f t="shared" si="5"/>
        <v>-423618.32700000005</v>
      </c>
    </row>
    <row r="189" spans="2:8" hidden="1" x14ac:dyDescent="0.4">
      <c r="B189" s="1">
        <v>42738</v>
      </c>
      <c r="C189" s="16">
        <f>SUMIF(매도완료!$G:$G,Sheet2!$B189,매도완료!$P:$P)</f>
        <v>0</v>
      </c>
      <c r="D189" s="16">
        <f>SUMIF(매도완료!$J:$J,Sheet2!$B189,매도완료!$P:$P)</f>
        <v>0</v>
      </c>
      <c r="E189" s="16">
        <f t="shared" si="4"/>
        <v>21671021</v>
      </c>
      <c r="G189" s="16">
        <f>IF(D189=0,0,SUMIF(매도완료!$J:$J,Sheet2!$B189,매도완료!$S:$S))</f>
        <v>0</v>
      </c>
      <c r="H189" s="16">
        <f t="shared" si="5"/>
        <v>-423618.32700000005</v>
      </c>
    </row>
    <row r="190" spans="2:8" hidden="1" x14ac:dyDescent="0.4">
      <c r="B190" s="1">
        <v>42739</v>
      </c>
      <c r="C190" s="16">
        <f>SUMIF(매도완료!$G:$G,Sheet2!$B190,매도완료!$P:$P)</f>
        <v>0</v>
      </c>
      <c r="D190" s="16">
        <f>SUMIF(매도완료!$J:$J,Sheet2!$B190,매도완료!$P:$P)</f>
        <v>0</v>
      </c>
      <c r="E190" s="16">
        <f t="shared" si="4"/>
        <v>21671021</v>
      </c>
      <c r="G190" s="16">
        <f>IF(D190=0,0,SUMIF(매도완료!$J:$J,Sheet2!$B190,매도완료!$S:$S))</f>
        <v>0</v>
      </c>
      <c r="H190" s="16">
        <f t="shared" si="5"/>
        <v>-423618.32700000005</v>
      </c>
    </row>
    <row r="191" spans="2:8" hidden="1" x14ac:dyDescent="0.4">
      <c r="B191" s="1">
        <v>42740</v>
      </c>
      <c r="C191" s="16">
        <f>SUMIF(매도완료!$G:$G,Sheet2!$B191,매도완료!$P:$P)</f>
        <v>0</v>
      </c>
      <c r="D191" s="16">
        <f>SUMIF(매도완료!$J:$J,Sheet2!$B191,매도완료!$P:$P)</f>
        <v>0</v>
      </c>
      <c r="E191" s="16">
        <f t="shared" si="4"/>
        <v>21671021</v>
      </c>
      <c r="G191" s="16">
        <f>IF(D191=0,0,SUMIF(매도완료!$J:$J,Sheet2!$B191,매도완료!$S:$S))</f>
        <v>0</v>
      </c>
      <c r="H191" s="16">
        <f t="shared" si="5"/>
        <v>-423618.32700000005</v>
      </c>
    </row>
    <row r="192" spans="2:8" hidden="1" x14ac:dyDescent="0.4">
      <c r="B192" s="1">
        <v>42741</v>
      </c>
      <c r="C192" s="16">
        <f>SUMIF(매도완료!$G:$G,Sheet2!$B192,매도완료!$P:$P)</f>
        <v>0</v>
      </c>
      <c r="D192" s="16">
        <f>SUMIF(매도완료!$J:$J,Sheet2!$B192,매도완료!$P:$P)</f>
        <v>0</v>
      </c>
      <c r="E192" s="16">
        <f t="shared" si="4"/>
        <v>21671021</v>
      </c>
      <c r="G192" s="16">
        <f>IF(D192=0,0,SUMIF(매도완료!$J:$J,Sheet2!$B192,매도완료!$S:$S))</f>
        <v>0</v>
      </c>
      <c r="H192" s="16">
        <f t="shared" si="5"/>
        <v>-423618.32700000005</v>
      </c>
    </row>
    <row r="193" spans="2:8" hidden="1" x14ac:dyDescent="0.4">
      <c r="B193" s="1">
        <v>42742</v>
      </c>
      <c r="C193" s="16">
        <f>SUMIF(매도완료!$G:$G,Sheet2!$B193,매도완료!$P:$P)</f>
        <v>0</v>
      </c>
      <c r="D193" s="16">
        <f>SUMIF(매도완료!$J:$J,Sheet2!$B193,매도완료!$P:$P)</f>
        <v>0</v>
      </c>
      <c r="E193" s="16">
        <f t="shared" si="4"/>
        <v>21671021</v>
      </c>
      <c r="G193" s="16">
        <f>IF(D193=0,0,SUMIF(매도완료!$J:$J,Sheet2!$B193,매도완료!$S:$S))</f>
        <v>0</v>
      </c>
      <c r="H193" s="16">
        <f t="shared" si="5"/>
        <v>-423618.32700000005</v>
      </c>
    </row>
    <row r="194" spans="2:8" hidden="1" x14ac:dyDescent="0.4">
      <c r="B194" s="1">
        <v>42743</v>
      </c>
      <c r="C194" s="16">
        <f>SUMIF(매도완료!$G:$G,Sheet2!$B194,매도완료!$P:$P)</f>
        <v>0</v>
      </c>
      <c r="D194" s="16">
        <f>SUMIF(매도완료!$J:$J,Sheet2!$B194,매도완료!$P:$P)</f>
        <v>0</v>
      </c>
      <c r="E194" s="16">
        <f t="shared" si="4"/>
        <v>21671021</v>
      </c>
      <c r="G194" s="16">
        <f>IF(D194=0,0,SUMIF(매도완료!$J:$J,Sheet2!$B194,매도완료!$S:$S))</f>
        <v>0</v>
      </c>
      <c r="H194" s="16">
        <f t="shared" si="5"/>
        <v>-423618.32700000005</v>
      </c>
    </row>
    <row r="195" spans="2:8" hidden="1" x14ac:dyDescent="0.4">
      <c r="B195" s="1">
        <v>42744</v>
      </c>
      <c r="C195" s="16">
        <f>SUMIF(매도완료!$G:$G,Sheet2!$B195,매도완료!$P:$P)</f>
        <v>1875000</v>
      </c>
      <c r="D195" s="16">
        <f>SUMIF(매도완료!$J:$J,Sheet2!$B195,매도완료!$P:$P)</f>
        <v>0</v>
      </c>
      <c r="E195" s="16">
        <f t="shared" si="4"/>
        <v>23546021</v>
      </c>
      <c r="G195" s="16">
        <f>IF(D195=0,0,SUMIF(매도완료!$J:$J,Sheet2!$B195,매도완료!$S:$S))</f>
        <v>0</v>
      </c>
      <c r="H195" s="16">
        <f t="shared" si="5"/>
        <v>-423618.32700000005</v>
      </c>
    </row>
    <row r="196" spans="2:8" hidden="1" x14ac:dyDescent="0.4">
      <c r="B196" s="1">
        <v>42745</v>
      </c>
      <c r="C196" s="16">
        <f>SUMIF(매도완료!$G:$G,Sheet2!$B196,매도완료!$P:$P)</f>
        <v>0</v>
      </c>
      <c r="D196" s="16">
        <f>SUMIF(매도완료!$J:$J,Sheet2!$B196,매도완료!$P:$P)</f>
        <v>0</v>
      </c>
      <c r="E196" s="16">
        <f t="shared" ref="E196:E259" si="6">E195+C196-D196</f>
        <v>23546021</v>
      </c>
      <c r="G196" s="16">
        <f>IF(D196=0,0,SUMIF(매도완료!$J:$J,Sheet2!$B196,매도완료!$S:$S))</f>
        <v>0</v>
      </c>
      <c r="H196" s="16">
        <f t="shared" ref="H196:H259" si="7">H195+G196</f>
        <v>-423618.32700000005</v>
      </c>
    </row>
    <row r="197" spans="2:8" hidden="1" x14ac:dyDescent="0.4">
      <c r="B197" s="1">
        <v>42746</v>
      </c>
      <c r="C197" s="16">
        <f>SUMIF(매도완료!$G:$G,Sheet2!$B197,매도완료!$P:$P)</f>
        <v>0</v>
      </c>
      <c r="D197" s="16">
        <f>SUMIF(매도완료!$J:$J,Sheet2!$B197,매도완료!$P:$P)</f>
        <v>0</v>
      </c>
      <c r="E197" s="16">
        <f t="shared" si="6"/>
        <v>23546021</v>
      </c>
      <c r="G197" s="16">
        <f>IF(D197=0,0,SUMIF(매도완료!$J:$J,Sheet2!$B197,매도완료!$S:$S))</f>
        <v>0</v>
      </c>
      <c r="H197" s="16">
        <f t="shared" si="7"/>
        <v>-423618.32700000005</v>
      </c>
    </row>
    <row r="198" spans="2:8" hidden="1" x14ac:dyDescent="0.4">
      <c r="B198" s="1">
        <v>42747</v>
      </c>
      <c r="C198" s="16">
        <f>SUMIF(매도완료!$G:$G,Sheet2!$B198,매도완료!$P:$P)</f>
        <v>0</v>
      </c>
      <c r="D198" s="16">
        <f>SUMIF(매도완료!$J:$J,Sheet2!$B198,매도완료!$P:$P)</f>
        <v>0</v>
      </c>
      <c r="E198" s="16">
        <f t="shared" si="6"/>
        <v>23546021</v>
      </c>
      <c r="G198" s="16">
        <f>IF(D198=0,0,SUMIF(매도완료!$J:$J,Sheet2!$B198,매도완료!$S:$S))</f>
        <v>0</v>
      </c>
      <c r="H198" s="16">
        <f t="shared" si="7"/>
        <v>-423618.32700000005</v>
      </c>
    </row>
    <row r="199" spans="2:8" hidden="1" x14ac:dyDescent="0.4">
      <c r="B199" s="1">
        <v>42748</v>
      </c>
      <c r="C199" s="16">
        <f>SUMIF(매도완료!$G:$G,Sheet2!$B199,매도완료!$P:$P)</f>
        <v>0</v>
      </c>
      <c r="D199" s="16">
        <f>SUMIF(매도완료!$J:$J,Sheet2!$B199,매도완료!$P:$P)</f>
        <v>0</v>
      </c>
      <c r="E199" s="16">
        <f t="shared" si="6"/>
        <v>23546021</v>
      </c>
      <c r="G199" s="16">
        <f>IF(D199=0,0,SUMIF(매도완료!$J:$J,Sheet2!$B199,매도완료!$S:$S))</f>
        <v>0</v>
      </c>
      <c r="H199" s="16">
        <f t="shared" si="7"/>
        <v>-423618.32700000005</v>
      </c>
    </row>
    <row r="200" spans="2:8" hidden="1" x14ac:dyDescent="0.4">
      <c r="B200" s="1">
        <v>42749</v>
      </c>
      <c r="C200" s="16">
        <f>SUMIF(매도완료!$G:$G,Sheet2!$B200,매도완료!$P:$P)</f>
        <v>0</v>
      </c>
      <c r="D200" s="16">
        <f>SUMIF(매도완료!$J:$J,Sheet2!$B200,매도완료!$P:$P)</f>
        <v>0</v>
      </c>
      <c r="E200" s="16">
        <f t="shared" si="6"/>
        <v>23546021</v>
      </c>
      <c r="G200" s="16">
        <f>IF(D200=0,0,SUMIF(매도완료!$J:$J,Sheet2!$B200,매도완료!$S:$S))</f>
        <v>0</v>
      </c>
      <c r="H200" s="16">
        <f t="shared" si="7"/>
        <v>-423618.32700000005</v>
      </c>
    </row>
    <row r="201" spans="2:8" hidden="1" x14ac:dyDescent="0.4">
      <c r="B201" s="1">
        <v>42750</v>
      </c>
      <c r="C201" s="16">
        <f>SUMIF(매도완료!$G:$G,Sheet2!$B201,매도완료!$P:$P)</f>
        <v>0</v>
      </c>
      <c r="D201" s="16">
        <f>SUMIF(매도완료!$J:$J,Sheet2!$B201,매도완료!$P:$P)</f>
        <v>0</v>
      </c>
      <c r="E201" s="16">
        <f t="shared" si="6"/>
        <v>23546021</v>
      </c>
      <c r="G201" s="16">
        <f>IF(D201=0,0,SUMIF(매도완료!$J:$J,Sheet2!$B201,매도완료!$S:$S))</f>
        <v>0</v>
      </c>
      <c r="H201" s="16">
        <f t="shared" si="7"/>
        <v>-423618.32700000005</v>
      </c>
    </row>
    <row r="202" spans="2:8" hidden="1" x14ac:dyDescent="0.4">
      <c r="B202" s="1">
        <v>42751</v>
      </c>
      <c r="C202" s="16">
        <f>SUMIF(매도완료!$G:$G,Sheet2!$B202,매도완료!$P:$P)</f>
        <v>0</v>
      </c>
      <c r="D202" s="16">
        <f>SUMIF(매도완료!$J:$J,Sheet2!$B202,매도완료!$P:$P)</f>
        <v>0</v>
      </c>
      <c r="E202" s="16">
        <f t="shared" si="6"/>
        <v>23546021</v>
      </c>
      <c r="G202" s="16">
        <f>IF(D202=0,0,SUMIF(매도완료!$J:$J,Sheet2!$B202,매도완료!$S:$S))</f>
        <v>0</v>
      </c>
      <c r="H202" s="16">
        <f t="shared" si="7"/>
        <v>-423618.32700000005</v>
      </c>
    </row>
    <row r="203" spans="2:8" hidden="1" x14ac:dyDescent="0.4">
      <c r="B203" s="1">
        <v>42752</v>
      </c>
      <c r="C203" s="16">
        <f>SUMIF(매도완료!$G:$G,Sheet2!$B203,매도완료!$P:$P)</f>
        <v>0</v>
      </c>
      <c r="D203" s="16">
        <f>SUMIF(매도완료!$J:$J,Sheet2!$B203,매도완료!$P:$P)</f>
        <v>0</v>
      </c>
      <c r="E203" s="16">
        <f t="shared" si="6"/>
        <v>23546021</v>
      </c>
      <c r="G203" s="16">
        <f>IF(D203=0,0,SUMIF(매도완료!$J:$J,Sheet2!$B203,매도완료!$S:$S))</f>
        <v>0</v>
      </c>
      <c r="H203" s="16">
        <f t="shared" si="7"/>
        <v>-423618.32700000005</v>
      </c>
    </row>
    <row r="204" spans="2:8" hidden="1" x14ac:dyDescent="0.4">
      <c r="B204" s="1">
        <v>42753</v>
      </c>
      <c r="C204" s="16">
        <f>SUMIF(매도완료!$G:$G,Sheet2!$B204,매도완료!$P:$P)</f>
        <v>0</v>
      </c>
      <c r="D204" s="16">
        <f>SUMIF(매도완료!$J:$J,Sheet2!$B204,매도완료!$P:$P)</f>
        <v>0</v>
      </c>
      <c r="E204" s="16">
        <f t="shared" si="6"/>
        <v>23546021</v>
      </c>
      <c r="G204" s="16">
        <f>IF(D204=0,0,SUMIF(매도완료!$J:$J,Sheet2!$B204,매도완료!$S:$S))</f>
        <v>0</v>
      </c>
      <c r="H204" s="16">
        <f t="shared" si="7"/>
        <v>-423618.32700000005</v>
      </c>
    </row>
    <row r="205" spans="2:8" hidden="1" x14ac:dyDescent="0.4">
      <c r="B205" s="1">
        <v>42754</v>
      </c>
      <c r="C205" s="16">
        <f>SUMIF(매도완료!$G:$G,Sheet2!$B205,매도완료!$P:$P)</f>
        <v>0</v>
      </c>
      <c r="D205" s="16">
        <f>SUMIF(매도완료!$J:$J,Sheet2!$B205,매도완료!$P:$P)</f>
        <v>0</v>
      </c>
      <c r="E205" s="16">
        <f t="shared" si="6"/>
        <v>23546021</v>
      </c>
      <c r="G205" s="16">
        <f>IF(D205=0,0,SUMIF(매도완료!$J:$J,Sheet2!$B205,매도완료!$S:$S))</f>
        <v>0</v>
      </c>
      <c r="H205" s="16">
        <f t="shared" si="7"/>
        <v>-423618.32700000005</v>
      </c>
    </row>
    <row r="206" spans="2:8" hidden="1" x14ac:dyDescent="0.4">
      <c r="B206" s="1">
        <v>42755</v>
      </c>
      <c r="C206" s="16">
        <f>SUMIF(매도완료!$G:$G,Sheet2!$B206,매도완료!$P:$P)</f>
        <v>0</v>
      </c>
      <c r="D206" s="16">
        <f>SUMIF(매도완료!$J:$J,Sheet2!$B206,매도완료!$P:$P)</f>
        <v>0</v>
      </c>
      <c r="E206" s="16">
        <f t="shared" si="6"/>
        <v>23546021</v>
      </c>
      <c r="G206" s="16">
        <f>IF(D206=0,0,SUMIF(매도완료!$J:$J,Sheet2!$B206,매도완료!$S:$S))</f>
        <v>0</v>
      </c>
      <c r="H206" s="16">
        <f t="shared" si="7"/>
        <v>-423618.32700000005</v>
      </c>
    </row>
    <row r="207" spans="2:8" hidden="1" x14ac:dyDescent="0.4">
      <c r="B207" s="1">
        <v>42756</v>
      </c>
      <c r="C207" s="16">
        <f>SUMIF(매도완료!$G:$G,Sheet2!$B207,매도완료!$P:$P)</f>
        <v>0</v>
      </c>
      <c r="D207" s="16">
        <f>SUMIF(매도완료!$J:$J,Sheet2!$B207,매도완료!$P:$P)</f>
        <v>0</v>
      </c>
      <c r="E207" s="16">
        <f t="shared" si="6"/>
        <v>23546021</v>
      </c>
      <c r="G207" s="16">
        <f>IF(D207=0,0,SUMIF(매도완료!$J:$J,Sheet2!$B207,매도완료!$S:$S))</f>
        <v>0</v>
      </c>
      <c r="H207" s="16">
        <f t="shared" si="7"/>
        <v>-423618.32700000005</v>
      </c>
    </row>
    <row r="208" spans="2:8" hidden="1" x14ac:dyDescent="0.4">
      <c r="B208" s="1">
        <v>42757</v>
      </c>
      <c r="C208" s="16">
        <f>SUMIF(매도완료!$G:$G,Sheet2!$B208,매도완료!$P:$P)</f>
        <v>0</v>
      </c>
      <c r="D208" s="16">
        <f>SUMIF(매도완료!$J:$J,Sheet2!$B208,매도완료!$P:$P)</f>
        <v>0</v>
      </c>
      <c r="E208" s="16">
        <f t="shared" si="6"/>
        <v>23546021</v>
      </c>
      <c r="G208" s="16">
        <f>IF(D208=0,0,SUMIF(매도완료!$J:$J,Sheet2!$B208,매도완료!$S:$S))</f>
        <v>0</v>
      </c>
      <c r="H208" s="16">
        <f t="shared" si="7"/>
        <v>-423618.32700000005</v>
      </c>
    </row>
    <row r="209" spans="2:8" hidden="1" x14ac:dyDescent="0.4">
      <c r="B209" s="1">
        <v>42758</v>
      </c>
      <c r="C209" s="16">
        <f>SUMIF(매도완료!$G:$G,Sheet2!$B209,매도완료!$P:$P)</f>
        <v>0</v>
      </c>
      <c r="D209" s="16">
        <f>SUMIF(매도완료!$J:$J,Sheet2!$B209,매도완료!$P:$P)</f>
        <v>0</v>
      </c>
      <c r="E209" s="16">
        <f t="shared" si="6"/>
        <v>23546021</v>
      </c>
      <c r="G209" s="16">
        <f>IF(D209=0,0,SUMIF(매도완료!$J:$J,Sheet2!$B209,매도완료!$S:$S))</f>
        <v>0</v>
      </c>
      <c r="H209" s="16">
        <f t="shared" si="7"/>
        <v>-423618.32700000005</v>
      </c>
    </row>
    <row r="210" spans="2:8" hidden="1" x14ac:dyDescent="0.4">
      <c r="B210" s="1">
        <v>42759</v>
      </c>
      <c r="C210" s="16">
        <f>SUMIF(매도완료!$G:$G,Sheet2!$B210,매도완료!$P:$P)</f>
        <v>0</v>
      </c>
      <c r="D210" s="16">
        <f>SUMIF(매도완료!$J:$J,Sheet2!$B210,매도완료!$P:$P)</f>
        <v>0</v>
      </c>
      <c r="E210" s="16">
        <f t="shared" si="6"/>
        <v>23546021</v>
      </c>
      <c r="G210" s="16">
        <f>IF(D210=0,0,SUMIF(매도완료!$J:$J,Sheet2!$B210,매도완료!$S:$S))</f>
        <v>0</v>
      </c>
      <c r="H210" s="16">
        <f t="shared" si="7"/>
        <v>-423618.32700000005</v>
      </c>
    </row>
    <row r="211" spans="2:8" hidden="1" x14ac:dyDescent="0.4">
      <c r="B211" s="1">
        <v>42760</v>
      </c>
      <c r="C211" s="16">
        <f>SUMIF(매도완료!$G:$G,Sheet2!$B211,매도완료!$P:$P)</f>
        <v>0</v>
      </c>
      <c r="D211" s="16">
        <f>SUMIF(매도완료!$J:$J,Sheet2!$B211,매도완료!$P:$P)</f>
        <v>0</v>
      </c>
      <c r="E211" s="16">
        <f t="shared" si="6"/>
        <v>23546021</v>
      </c>
      <c r="G211" s="16">
        <f>IF(D211=0,0,SUMIF(매도완료!$J:$J,Sheet2!$B211,매도완료!$S:$S))</f>
        <v>0</v>
      </c>
      <c r="H211" s="16">
        <f t="shared" si="7"/>
        <v>-423618.32700000005</v>
      </c>
    </row>
    <row r="212" spans="2:8" hidden="1" x14ac:dyDescent="0.4">
      <c r="B212" s="1">
        <v>42761</v>
      </c>
      <c r="C212" s="16">
        <f>SUMIF(매도완료!$G:$G,Sheet2!$B212,매도완료!$P:$P)</f>
        <v>0</v>
      </c>
      <c r="D212" s="16">
        <f>SUMIF(매도완료!$J:$J,Sheet2!$B212,매도완료!$P:$P)</f>
        <v>1875000</v>
      </c>
      <c r="E212" s="16">
        <f t="shared" si="6"/>
        <v>21671021</v>
      </c>
      <c r="G212" s="16">
        <f>IF(D212=0,0,SUMIF(매도완료!$J:$J,Sheet2!$B212,매도완료!$S:$S))</f>
        <v>48485</v>
      </c>
      <c r="H212" s="16">
        <f t="shared" si="7"/>
        <v>-375133.32700000005</v>
      </c>
    </row>
    <row r="213" spans="2:8" hidden="1" x14ac:dyDescent="0.4">
      <c r="B213" s="1">
        <v>42762</v>
      </c>
      <c r="C213" s="16">
        <f>SUMIF(매도완료!$G:$G,Sheet2!$B213,매도완료!$P:$P)</f>
        <v>0</v>
      </c>
      <c r="D213" s="16">
        <f>SUMIF(매도완료!$J:$J,Sheet2!$B213,매도완료!$P:$P)</f>
        <v>0</v>
      </c>
      <c r="E213" s="16">
        <f t="shared" si="6"/>
        <v>21671021</v>
      </c>
      <c r="G213" s="16">
        <f>IF(D213=0,0,SUMIF(매도완료!$J:$J,Sheet2!$B213,매도완료!$S:$S))</f>
        <v>0</v>
      </c>
      <c r="H213" s="16">
        <f t="shared" si="7"/>
        <v>-375133.32700000005</v>
      </c>
    </row>
    <row r="214" spans="2:8" hidden="1" x14ac:dyDescent="0.4">
      <c r="B214" s="1">
        <v>42763</v>
      </c>
      <c r="C214" s="16">
        <f>SUMIF(매도완료!$G:$G,Sheet2!$B214,매도완료!$P:$P)</f>
        <v>0</v>
      </c>
      <c r="D214" s="16">
        <f>SUMIF(매도완료!$J:$J,Sheet2!$B214,매도완료!$P:$P)</f>
        <v>0</v>
      </c>
      <c r="E214" s="16">
        <f t="shared" si="6"/>
        <v>21671021</v>
      </c>
      <c r="G214" s="16">
        <f>IF(D214=0,0,SUMIF(매도완료!$J:$J,Sheet2!$B214,매도완료!$S:$S))</f>
        <v>0</v>
      </c>
      <c r="H214" s="16">
        <f t="shared" si="7"/>
        <v>-375133.32700000005</v>
      </c>
    </row>
    <row r="215" spans="2:8" hidden="1" x14ac:dyDescent="0.4">
      <c r="B215" s="1">
        <v>42764</v>
      </c>
      <c r="C215" s="16">
        <f>SUMIF(매도완료!$G:$G,Sheet2!$B215,매도완료!$P:$P)</f>
        <v>0</v>
      </c>
      <c r="D215" s="16">
        <f>SUMIF(매도완료!$J:$J,Sheet2!$B215,매도완료!$P:$P)</f>
        <v>0</v>
      </c>
      <c r="E215" s="16">
        <f t="shared" si="6"/>
        <v>21671021</v>
      </c>
      <c r="G215" s="16">
        <f>IF(D215=0,0,SUMIF(매도완료!$J:$J,Sheet2!$B215,매도완료!$S:$S))</f>
        <v>0</v>
      </c>
      <c r="H215" s="16">
        <f t="shared" si="7"/>
        <v>-375133.32700000005</v>
      </c>
    </row>
    <row r="216" spans="2:8" hidden="1" x14ac:dyDescent="0.4">
      <c r="B216" s="1">
        <v>42765</v>
      </c>
      <c r="C216" s="16">
        <f>SUMIF(매도완료!$G:$G,Sheet2!$B216,매도완료!$P:$P)</f>
        <v>0</v>
      </c>
      <c r="D216" s="16">
        <f>SUMIF(매도완료!$J:$J,Sheet2!$B216,매도완료!$P:$P)</f>
        <v>0</v>
      </c>
      <c r="E216" s="16">
        <f t="shared" si="6"/>
        <v>21671021</v>
      </c>
      <c r="G216" s="16">
        <f>IF(D216=0,0,SUMIF(매도완료!$J:$J,Sheet2!$B216,매도완료!$S:$S))</f>
        <v>0</v>
      </c>
      <c r="H216" s="16">
        <f t="shared" si="7"/>
        <v>-375133.32700000005</v>
      </c>
    </row>
    <row r="217" spans="2:8" hidden="1" x14ac:dyDescent="0.4">
      <c r="B217" s="1">
        <v>42766</v>
      </c>
      <c r="C217" s="16">
        <f>SUMIF(매도완료!$G:$G,Sheet2!$B217,매도완료!$P:$P)</f>
        <v>0</v>
      </c>
      <c r="D217" s="16">
        <f>SUMIF(매도완료!$J:$J,Sheet2!$B217,매도완료!$P:$P)</f>
        <v>0</v>
      </c>
      <c r="E217" s="16">
        <f t="shared" si="6"/>
        <v>21671021</v>
      </c>
      <c r="G217" s="16">
        <f>IF(D217=0,0,SUMIF(매도완료!$J:$J,Sheet2!$B217,매도완료!$S:$S))</f>
        <v>0</v>
      </c>
      <c r="H217" s="16">
        <f t="shared" si="7"/>
        <v>-375133.32700000005</v>
      </c>
    </row>
    <row r="218" spans="2:8" hidden="1" x14ac:dyDescent="0.4">
      <c r="B218" s="1">
        <v>42767</v>
      </c>
      <c r="C218" s="16">
        <f>SUMIF(매도완료!$G:$G,Sheet2!$B218,매도완료!$P:$P)</f>
        <v>0</v>
      </c>
      <c r="D218" s="16">
        <f>SUMIF(매도완료!$J:$J,Sheet2!$B218,매도완료!$P:$P)</f>
        <v>0</v>
      </c>
      <c r="E218" s="16">
        <f t="shared" si="6"/>
        <v>21671021</v>
      </c>
      <c r="G218" s="16">
        <f>IF(D218=0,0,SUMIF(매도완료!$J:$J,Sheet2!$B218,매도완료!$S:$S))</f>
        <v>0</v>
      </c>
      <c r="H218" s="16">
        <f t="shared" si="7"/>
        <v>-375133.32700000005</v>
      </c>
    </row>
    <row r="219" spans="2:8" hidden="1" x14ac:dyDescent="0.4">
      <c r="B219" s="1">
        <v>42768</v>
      </c>
      <c r="C219" s="16">
        <f>SUMIF(매도완료!$G:$G,Sheet2!$B219,매도완료!$P:$P)</f>
        <v>0</v>
      </c>
      <c r="D219" s="16">
        <f>SUMIF(매도완료!$J:$J,Sheet2!$B219,매도완료!$P:$P)</f>
        <v>0</v>
      </c>
      <c r="E219" s="16">
        <f t="shared" si="6"/>
        <v>21671021</v>
      </c>
      <c r="G219" s="16">
        <f>IF(D219=0,0,SUMIF(매도완료!$J:$J,Sheet2!$B219,매도완료!$S:$S))</f>
        <v>0</v>
      </c>
      <c r="H219" s="16">
        <f t="shared" si="7"/>
        <v>-375133.32700000005</v>
      </c>
    </row>
    <row r="220" spans="2:8" hidden="1" x14ac:dyDescent="0.4">
      <c r="B220" s="1">
        <v>42769</v>
      </c>
      <c r="C220" s="16">
        <f>SUMIF(매도완료!$G:$G,Sheet2!$B220,매도완료!$P:$P)</f>
        <v>316500</v>
      </c>
      <c r="D220" s="16">
        <f>SUMIF(매도완료!$J:$J,Sheet2!$B220,매도완료!$P:$P)</f>
        <v>0</v>
      </c>
      <c r="E220" s="16">
        <f t="shared" si="6"/>
        <v>21987521</v>
      </c>
      <c r="G220" s="16">
        <f>IF(D220=0,0,SUMIF(매도완료!$J:$J,Sheet2!$B220,매도완료!$S:$S))</f>
        <v>0</v>
      </c>
      <c r="H220" s="16">
        <f t="shared" si="7"/>
        <v>-375133.32700000005</v>
      </c>
    </row>
    <row r="221" spans="2:8" hidden="1" x14ac:dyDescent="0.4">
      <c r="B221" s="1">
        <v>42770</v>
      </c>
      <c r="C221" s="16">
        <f>SUMIF(매도완료!$G:$G,Sheet2!$B221,매도완료!$P:$P)</f>
        <v>0</v>
      </c>
      <c r="D221" s="16">
        <f>SUMIF(매도완료!$J:$J,Sheet2!$B221,매도완료!$P:$P)</f>
        <v>0</v>
      </c>
      <c r="E221" s="16">
        <f t="shared" si="6"/>
        <v>21987521</v>
      </c>
      <c r="G221" s="16">
        <f>IF(D221=0,0,SUMIF(매도완료!$J:$J,Sheet2!$B221,매도완료!$S:$S))</f>
        <v>0</v>
      </c>
      <c r="H221" s="16">
        <f t="shared" si="7"/>
        <v>-375133.32700000005</v>
      </c>
    </row>
    <row r="222" spans="2:8" hidden="1" x14ac:dyDescent="0.4">
      <c r="B222" s="1">
        <v>42771</v>
      </c>
      <c r="C222" s="16">
        <f>SUMIF(매도완료!$G:$G,Sheet2!$B222,매도완료!$P:$P)</f>
        <v>0</v>
      </c>
      <c r="D222" s="16">
        <f>SUMIF(매도완료!$J:$J,Sheet2!$B222,매도완료!$P:$P)</f>
        <v>0</v>
      </c>
      <c r="E222" s="16">
        <f t="shared" si="6"/>
        <v>21987521</v>
      </c>
      <c r="G222" s="16">
        <f>IF(D222=0,0,SUMIF(매도완료!$J:$J,Sheet2!$B222,매도완료!$S:$S))</f>
        <v>0</v>
      </c>
      <c r="H222" s="16">
        <f t="shared" si="7"/>
        <v>-375133.32700000005</v>
      </c>
    </row>
    <row r="223" spans="2:8" hidden="1" x14ac:dyDescent="0.4">
      <c r="B223" s="1">
        <v>42772</v>
      </c>
      <c r="C223" s="16">
        <f>SUMIF(매도완료!$G:$G,Sheet2!$B223,매도완료!$P:$P)</f>
        <v>0</v>
      </c>
      <c r="D223" s="16">
        <f>SUMIF(매도완료!$J:$J,Sheet2!$B223,매도완료!$P:$P)</f>
        <v>0</v>
      </c>
      <c r="E223" s="16">
        <f t="shared" si="6"/>
        <v>21987521</v>
      </c>
      <c r="G223" s="16">
        <f>IF(D223=0,0,SUMIF(매도완료!$J:$J,Sheet2!$B223,매도완료!$S:$S))</f>
        <v>0</v>
      </c>
      <c r="H223" s="16">
        <f t="shared" si="7"/>
        <v>-375133.32700000005</v>
      </c>
    </row>
    <row r="224" spans="2:8" hidden="1" x14ac:dyDescent="0.4">
      <c r="B224" s="1">
        <v>42773</v>
      </c>
      <c r="C224" s="16">
        <f>SUMIF(매도완료!$G:$G,Sheet2!$B224,매도완료!$P:$P)</f>
        <v>0</v>
      </c>
      <c r="D224" s="16">
        <f>SUMIF(매도완료!$J:$J,Sheet2!$B224,매도완료!$P:$P)</f>
        <v>0</v>
      </c>
      <c r="E224" s="16">
        <f t="shared" si="6"/>
        <v>21987521</v>
      </c>
      <c r="G224" s="16">
        <f>IF(D224=0,0,SUMIF(매도완료!$J:$J,Sheet2!$B224,매도완료!$S:$S))</f>
        <v>0</v>
      </c>
      <c r="H224" s="16">
        <f t="shared" si="7"/>
        <v>-375133.32700000005</v>
      </c>
    </row>
    <row r="225" spans="2:8" hidden="1" x14ac:dyDescent="0.4">
      <c r="B225" s="1">
        <v>42774</v>
      </c>
      <c r="C225" s="16">
        <f>SUMIF(매도완료!$G:$G,Sheet2!$B225,매도완료!$P:$P)</f>
        <v>0</v>
      </c>
      <c r="D225" s="16">
        <f>SUMIF(매도완료!$J:$J,Sheet2!$B225,매도완료!$P:$P)</f>
        <v>0</v>
      </c>
      <c r="E225" s="16">
        <f t="shared" si="6"/>
        <v>21987521</v>
      </c>
      <c r="G225" s="16">
        <f>IF(D225=0,0,SUMIF(매도완료!$J:$J,Sheet2!$B225,매도완료!$S:$S))</f>
        <v>0</v>
      </c>
      <c r="H225" s="16">
        <f t="shared" si="7"/>
        <v>-375133.32700000005</v>
      </c>
    </row>
    <row r="226" spans="2:8" hidden="1" x14ac:dyDescent="0.4">
      <c r="B226" s="1">
        <v>42775</v>
      </c>
      <c r="C226" s="16">
        <f>SUMIF(매도완료!$G:$G,Sheet2!$B226,매도완료!$P:$P)</f>
        <v>0</v>
      </c>
      <c r="D226" s="16">
        <f>SUMIF(매도완료!$J:$J,Sheet2!$B226,매도완료!$P:$P)</f>
        <v>0</v>
      </c>
      <c r="E226" s="16">
        <f t="shared" si="6"/>
        <v>21987521</v>
      </c>
      <c r="G226" s="16">
        <f>IF(D226=0,0,SUMIF(매도완료!$J:$J,Sheet2!$B226,매도완료!$S:$S))</f>
        <v>0</v>
      </c>
      <c r="H226" s="16">
        <f t="shared" si="7"/>
        <v>-375133.32700000005</v>
      </c>
    </row>
    <row r="227" spans="2:8" hidden="1" x14ac:dyDescent="0.4">
      <c r="B227" s="1">
        <v>42776</v>
      </c>
      <c r="C227" s="16">
        <f>SUMIF(매도완료!$G:$G,Sheet2!$B227,매도완료!$P:$P)</f>
        <v>1866600</v>
      </c>
      <c r="D227" s="16">
        <f>SUMIF(매도완료!$J:$J,Sheet2!$B227,매도완료!$P:$P)</f>
        <v>0</v>
      </c>
      <c r="E227" s="16">
        <f t="shared" si="6"/>
        <v>23854121</v>
      </c>
      <c r="G227" s="16">
        <f>IF(D227=0,0,SUMIF(매도완료!$J:$J,Sheet2!$B227,매도완료!$S:$S))</f>
        <v>0</v>
      </c>
      <c r="H227" s="16">
        <f t="shared" si="7"/>
        <v>-375133.32700000005</v>
      </c>
    </row>
    <row r="228" spans="2:8" hidden="1" x14ac:dyDescent="0.4">
      <c r="B228" s="1">
        <v>42777</v>
      </c>
      <c r="C228" s="16">
        <f>SUMIF(매도완료!$G:$G,Sheet2!$B228,매도완료!$P:$P)</f>
        <v>0</v>
      </c>
      <c r="D228" s="16">
        <f>SUMIF(매도완료!$J:$J,Sheet2!$B228,매도완료!$P:$P)</f>
        <v>0</v>
      </c>
      <c r="E228" s="16">
        <f t="shared" si="6"/>
        <v>23854121</v>
      </c>
      <c r="G228" s="16">
        <f>IF(D228=0,0,SUMIF(매도완료!$J:$J,Sheet2!$B228,매도완료!$S:$S))</f>
        <v>0</v>
      </c>
      <c r="H228" s="16">
        <f t="shared" si="7"/>
        <v>-375133.32700000005</v>
      </c>
    </row>
    <row r="229" spans="2:8" hidden="1" x14ac:dyDescent="0.4">
      <c r="B229" s="1">
        <v>42778</v>
      </c>
      <c r="C229" s="16">
        <f>SUMIF(매도완료!$G:$G,Sheet2!$B229,매도완료!$P:$P)</f>
        <v>0</v>
      </c>
      <c r="D229" s="16">
        <f>SUMIF(매도완료!$J:$J,Sheet2!$B229,매도완료!$P:$P)</f>
        <v>0</v>
      </c>
      <c r="E229" s="16">
        <f t="shared" si="6"/>
        <v>23854121</v>
      </c>
      <c r="G229" s="16">
        <f>IF(D229=0,0,SUMIF(매도완료!$J:$J,Sheet2!$B229,매도완료!$S:$S))</f>
        <v>0</v>
      </c>
      <c r="H229" s="16">
        <f t="shared" si="7"/>
        <v>-375133.32700000005</v>
      </c>
    </row>
    <row r="230" spans="2:8" hidden="1" x14ac:dyDescent="0.4">
      <c r="B230" s="1">
        <v>42779</v>
      </c>
      <c r="C230" s="16">
        <f>SUMIF(매도완료!$G:$G,Sheet2!$B230,매도완료!$P:$P)</f>
        <v>0</v>
      </c>
      <c r="D230" s="16">
        <f>SUMIF(매도완료!$J:$J,Sheet2!$B230,매도완료!$P:$P)</f>
        <v>519000</v>
      </c>
      <c r="E230" s="16">
        <f t="shared" si="6"/>
        <v>23335121</v>
      </c>
      <c r="G230" s="16">
        <f>IF(D230=0,0,SUMIF(매도완료!$J:$J,Sheet2!$B230,매도완료!$S:$S))</f>
        <v>52394</v>
      </c>
      <c r="H230" s="16">
        <f t="shared" si="7"/>
        <v>-322739.32700000005</v>
      </c>
    </row>
    <row r="231" spans="2:8" hidden="1" x14ac:dyDescent="0.4">
      <c r="B231" s="1">
        <v>42780</v>
      </c>
      <c r="C231" s="16">
        <f>SUMIF(매도완료!$G:$G,Sheet2!$B231,매도완료!$P:$P)</f>
        <v>1003750</v>
      </c>
      <c r="D231" s="16">
        <f>SUMIF(매도완료!$J:$J,Sheet2!$B231,매도완료!$P:$P)</f>
        <v>0</v>
      </c>
      <c r="E231" s="16">
        <f t="shared" si="6"/>
        <v>24338871</v>
      </c>
      <c r="G231" s="16">
        <f>IF(D231=0,0,SUMIF(매도완료!$J:$J,Sheet2!$B231,매도완료!$S:$S))</f>
        <v>0</v>
      </c>
      <c r="H231" s="16">
        <f t="shared" si="7"/>
        <v>-322739.32700000005</v>
      </c>
    </row>
    <row r="232" spans="2:8" hidden="1" x14ac:dyDescent="0.4">
      <c r="B232" s="1">
        <v>42781</v>
      </c>
      <c r="C232" s="16">
        <f>SUMIF(매도완료!$G:$G,Sheet2!$B232,매도완료!$P:$P)</f>
        <v>0</v>
      </c>
      <c r="D232" s="16">
        <f>SUMIF(매도완료!$J:$J,Sheet2!$B232,매도완료!$P:$P)</f>
        <v>0</v>
      </c>
      <c r="E232" s="16">
        <f t="shared" si="6"/>
        <v>24338871</v>
      </c>
      <c r="G232" s="16">
        <f>IF(D232=0,0,SUMIF(매도완료!$J:$J,Sheet2!$B232,매도완료!$S:$S))</f>
        <v>0</v>
      </c>
      <c r="H232" s="16">
        <f t="shared" si="7"/>
        <v>-322739.32700000005</v>
      </c>
    </row>
    <row r="233" spans="2:8" hidden="1" x14ac:dyDescent="0.4">
      <c r="B233" s="1">
        <v>42782</v>
      </c>
      <c r="C233" s="16">
        <f>SUMIF(매도완료!$G:$G,Sheet2!$B233,매도완료!$P:$P)</f>
        <v>0</v>
      </c>
      <c r="D233" s="16">
        <f>SUMIF(매도완료!$J:$J,Sheet2!$B233,매도완료!$P:$P)</f>
        <v>0</v>
      </c>
      <c r="E233" s="16">
        <f t="shared" si="6"/>
        <v>24338871</v>
      </c>
      <c r="G233" s="16">
        <f>IF(D233=0,0,SUMIF(매도완료!$J:$J,Sheet2!$B233,매도완료!$S:$S))</f>
        <v>0</v>
      </c>
      <c r="H233" s="16">
        <f t="shared" si="7"/>
        <v>-322739.32700000005</v>
      </c>
    </row>
    <row r="234" spans="2:8" hidden="1" x14ac:dyDescent="0.4">
      <c r="B234" s="1">
        <v>42783</v>
      </c>
      <c r="C234" s="16">
        <f>SUMIF(매도완료!$G:$G,Sheet2!$B234,매도완료!$P:$P)</f>
        <v>0</v>
      </c>
      <c r="D234" s="16">
        <f>SUMIF(매도완료!$J:$J,Sheet2!$B234,매도완료!$P:$P)</f>
        <v>0</v>
      </c>
      <c r="E234" s="16">
        <f t="shared" si="6"/>
        <v>24338871</v>
      </c>
      <c r="G234" s="16">
        <f>IF(D234=0,0,SUMIF(매도완료!$J:$J,Sheet2!$B234,매도완료!$S:$S))</f>
        <v>0</v>
      </c>
      <c r="H234" s="16">
        <f t="shared" si="7"/>
        <v>-322739.32700000005</v>
      </c>
    </row>
    <row r="235" spans="2:8" hidden="1" x14ac:dyDescent="0.4">
      <c r="B235" s="1">
        <v>42784</v>
      </c>
      <c r="C235" s="16">
        <f>SUMIF(매도완료!$G:$G,Sheet2!$B235,매도완료!$P:$P)</f>
        <v>0</v>
      </c>
      <c r="D235" s="16">
        <f>SUMIF(매도완료!$J:$J,Sheet2!$B235,매도완료!$P:$P)</f>
        <v>0</v>
      </c>
      <c r="E235" s="16">
        <f t="shared" si="6"/>
        <v>24338871</v>
      </c>
      <c r="G235" s="16">
        <f>IF(D235=0,0,SUMIF(매도완료!$J:$J,Sheet2!$B235,매도완료!$S:$S))</f>
        <v>0</v>
      </c>
      <c r="H235" s="16">
        <f t="shared" si="7"/>
        <v>-322739.32700000005</v>
      </c>
    </row>
    <row r="236" spans="2:8" hidden="1" x14ac:dyDescent="0.4">
      <c r="B236" s="1">
        <v>42785</v>
      </c>
      <c r="C236" s="16">
        <f>SUMIF(매도완료!$G:$G,Sheet2!$B236,매도완료!$P:$P)</f>
        <v>0</v>
      </c>
      <c r="D236" s="16">
        <f>SUMIF(매도완료!$J:$J,Sheet2!$B236,매도완료!$P:$P)</f>
        <v>0</v>
      </c>
      <c r="E236" s="16">
        <f t="shared" si="6"/>
        <v>24338871</v>
      </c>
      <c r="G236" s="16">
        <f>IF(D236=0,0,SUMIF(매도완료!$J:$J,Sheet2!$B236,매도완료!$S:$S))</f>
        <v>0</v>
      </c>
      <c r="H236" s="16">
        <f t="shared" si="7"/>
        <v>-322739.32700000005</v>
      </c>
    </row>
    <row r="237" spans="2:8" hidden="1" x14ac:dyDescent="0.4">
      <c r="B237" s="1">
        <v>42786</v>
      </c>
      <c r="C237" s="16">
        <f>SUMIF(매도완료!$G:$G,Sheet2!$B237,매도완료!$P:$P)</f>
        <v>0</v>
      </c>
      <c r="D237" s="16">
        <f>SUMIF(매도완료!$J:$J,Sheet2!$B237,매도완료!$P:$P)</f>
        <v>0</v>
      </c>
      <c r="E237" s="16">
        <f t="shared" si="6"/>
        <v>24338871</v>
      </c>
      <c r="G237" s="16">
        <f>IF(D237=0,0,SUMIF(매도완료!$J:$J,Sheet2!$B237,매도완료!$S:$S))</f>
        <v>0</v>
      </c>
      <c r="H237" s="16">
        <f t="shared" si="7"/>
        <v>-322739.32700000005</v>
      </c>
    </row>
    <row r="238" spans="2:8" hidden="1" x14ac:dyDescent="0.4">
      <c r="B238" s="1">
        <v>42787</v>
      </c>
      <c r="C238" s="16">
        <f>SUMIF(매도완료!$G:$G,Sheet2!$B238,매도완료!$P:$P)</f>
        <v>0</v>
      </c>
      <c r="D238" s="16">
        <f>SUMIF(매도완료!$J:$J,Sheet2!$B238,매도완료!$P:$P)</f>
        <v>0</v>
      </c>
      <c r="E238" s="16">
        <f t="shared" si="6"/>
        <v>24338871</v>
      </c>
      <c r="G238" s="16">
        <f>IF(D238=0,0,SUMIF(매도완료!$J:$J,Sheet2!$B238,매도완료!$S:$S))</f>
        <v>0</v>
      </c>
      <c r="H238" s="16">
        <f t="shared" si="7"/>
        <v>-322739.32700000005</v>
      </c>
    </row>
    <row r="239" spans="2:8" hidden="1" x14ac:dyDescent="0.4">
      <c r="B239" s="1">
        <v>42788</v>
      </c>
      <c r="C239" s="16">
        <f>SUMIF(매도완료!$G:$G,Sheet2!$B239,매도완료!$P:$P)</f>
        <v>0</v>
      </c>
      <c r="D239" s="16">
        <f>SUMIF(매도완료!$J:$J,Sheet2!$B239,매도완료!$P:$P)</f>
        <v>0</v>
      </c>
      <c r="E239" s="16">
        <f t="shared" si="6"/>
        <v>24338871</v>
      </c>
      <c r="G239" s="16">
        <f>IF(D239=0,0,SUMIF(매도완료!$J:$J,Sheet2!$B239,매도완료!$S:$S))</f>
        <v>0</v>
      </c>
      <c r="H239" s="16">
        <f t="shared" si="7"/>
        <v>-322739.32700000005</v>
      </c>
    </row>
    <row r="240" spans="2:8" hidden="1" x14ac:dyDescent="0.4">
      <c r="B240" s="1">
        <v>42789</v>
      </c>
      <c r="C240" s="16">
        <f>SUMIF(매도완료!$G:$G,Sheet2!$B240,매도완료!$P:$P)</f>
        <v>0</v>
      </c>
      <c r="D240" s="16">
        <f>SUMIF(매도완료!$J:$J,Sheet2!$B240,매도완료!$P:$P)</f>
        <v>0</v>
      </c>
      <c r="E240" s="16">
        <f t="shared" si="6"/>
        <v>24338871</v>
      </c>
      <c r="G240" s="16">
        <f>IF(D240=0,0,SUMIF(매도완료!$J:$J,Sheet2!$B240,매도완료!$S:$S))</f>
        <v>0</v>
      </c>
      <c r="H240" s="16">
        <f t="shared" si="7"/>
        <v>-322739.32700000005</v>
      </c>
    </row>
    <row r="241" spans="2:8" hidden="1" x14ac:dyDescent="0.4">
      <c r="B241" s="1">
        <v>42790</v>
      </c>
      <c r="C241" s="16">
        <f>SUMIF(매도완료!$G:$G,Sheet2!$B241,매도완료!$P:$P)</f>
        <v>0</v>
      </c>
      <c r="D241" s="16">
        <f>SUMIF(매도완료!$J:$J,Sheet2!$B241,매도완료!$P:$P)</f>
        <v>0</v>
      </c>
      <c r="E241" s="16">
        <f t="shared" si="6"/>
        <v>24338871</v>
      </c>
      <c r="G241" s="16">
        <f>IF(D241=0,0,SUMIF(매도완료!$J:$J,Sheet2!$B241,매도완료!$S:$S))</f>
        <v>0</v>
      </c>
      <c r="H241" s="16">
        <f t="shared" si="7"/>
        <v>-322739.32700000005</v>
      </c>
    </row>
    <row r="242" spans="2:8" hidden="1" x14ac:dyDescent="0.4">
      <c r="B242" s="1">
        <v>42791</v>
      </c>
      <c r="C242" s="16">
        <f>SUMIF(매도완료!$G:$G,Sheet2!$B242,매도완료!$P:$P)</f>
        <v>0</v>
      </c>
      <c r="D242" s="16">
        <f>SUMIF(매도완료!$J:$J,Sheet2!$B242,매도완료!$P:$P)</f>
        <v>0</v>
      </c>
      <c r="E242" s="16">
        <f t="shared" si="6"/>
        <v>24338871</v>
      </c>
      <c r="G242" s="16">
        <f>IF(D242=0,0,SUMIF(매도완료!$J:$J,Sheet2!$B242,매도완료!$S:$S))</f>
        <v>0</v>
      </c>
      <c r="H242" s="16">
        <f t="shared" si="7"/>
        <v>-322739.32700000005</v>
      </c>
    </row>
    <row r="243" spans="2:8" hidden="1" x14ac:dyDescent="0.4">
      <c r="B243" s="1">
        <v>42792</v>
      </c>
      <c r="C243" s="16">
        <f>SUMIF(매도완료!$G:$G,Sheet2!$B243,매도완료!$P:$P)</f>
        <v>0</v>
      </c>
      <c r="D243" s="16">
        <f>SUMIF(매도완료!$J:$J,Sheet2!$B243,매도완료!$P:$P)</f>
        <v>0</v>
      </c>
      <c r="E243" s="16">
        <f t="shared" si="6"/>
        <v>24338871</v>
      </c>
      <c r="G243" s="16">
        <f>IF(D243=0,0,SUMIF(매도완료!$J:$J,Sheet2!$B243,매도완료!$S:$S))</f>
        <v>0</v>
      </c>
      <c r="H243" s="16">
        <f t="shared" si="7"/>
        <v>-322739.32700000005</v>
      </c>
    </row>
    <row r="244" spans="2:8" hidden="1" x14ac:dyDescent="0.4">
      <c r="B244" s="1">
        <v>42793</v>
      </c>
      <c r="C244" s="16">
        <f>SUMIF(매도완료!$G:$G,Sheet2!$B244,매도완료!$P:$P)</f>
        <v>0</v>
      </c>
      <c r="D244" s="16">
        <f>SUMIF(매도완료!$J:$J,Sheet2!$B244,매도완료!$P:$P)</f>
        <v>0</v>
      </c>
      <c r="E244" s="16">
        <f t="shared" si="6"/>
        <v>24338871</v>
      </c>
      <c r="G244" s="16">
        <f>IF(D244=0,0,SUMIF(매도완료!$J:$J,Sheet2!$B244,매도완료!$S:$S))</f>
        <v>0</v>
      </c>
      <c r="H244" s="16">
        <f t="shared" si="7"/>
        <v>-322739.32700000005</v>
      </c>
    </row>
    <row r="245" spans="2:8" hidden="1" x14ac:dyDescent="0.4">
      <c r="B245" s="1">
        <v>42794</v>
      </c>
      <c r="C245" s="16">
        <f>SUMIF(매도완료!$G:$G,Sheet2!$B245,매도완료!$P:$P)</f>
        <v>699600</v>
      </c>
      <c r="D245" s="16">
        <f>SUMIF(매도완료!$J:$J,Sheet2!$B245,매도완료!$P:$P)</f>
        <v>0</v>
      </c>
      <c r="E245" s="16">
        <f t="shared" si="6"/>
        <v>25038471</v>
      </c>
      <c r="G245" s="16">
        <f>IF(D245=0,0,SUMIF(매도완료!$J:$J,Sheet2!$B245,매도완료!$S:$S))</f>
        <v>0</v>
      </c>
      <c r="H245" s="16">
        <f t="shared" si="7"/>
        <v>-322739.32700000005</v>
      </c>
    </row>
    <row r="246" spans="2:8" hidden="1" x14ac:dyDescent="0.4">
      <c r="B246" s="1">
        <v>42795</v>
      </c>
      <c r="C246" s="16">
        <f>SUMIF(매도완료!$G:$G,Sheet2!$B246,매도완료!$P:$P)</f>
        <v>0</v>
      </c>
      <c r="D246" s="16">
        <f>SUMIF(매도완료!$J:$J,Sheet2!$B246,매도완료!$P:$P)</f>
        <v>0</v>
      </c>
      <c r="E246" s="16">
        <f t="shared" si="6"/>
        <v>25038471</v>
      </c>
      <c r="G246" s="16">
        <f>IF(D246=0,0,SUMIF(매도완료!$J:$J,Sheet2!$B246,매도완료!$S:$S))</f>
        <v>0</v>
      </c>
      <c r="H246" s="16">
        <f t="shared" si="7"/>
        <v>-322739.32700000005</v>
      </c>
    </row>
    <row r="247" spans="2:8" hidden="1" x14ac:dyDescent="0.4">
      <c r="B247" s="1">
        <v>42796</v>
      </c>
      <c r="C247" s="16">
        <f>SUMIF(매도완료!$G:$G,Sheet2!$B247,매도완료!$P:$P)</f>
        <v>0</v>
      </c>
      <c r="D247" s="16">
        <f>SUMIF(매도완료!$J:$J,Sheet2!$B247,매도완료!$P:$P)</f>
        <v>0</v>
      </c>
      <c r="E247" s="16">
        <f t="shared" si="6"/>
        <v>25038471</v>
      </c>
      <c r="G247" s="16">
        <f>IF(D247=0,0,SUMIF(매도완료!$J:$J,Sheet2!$B247,매도완료!$S:$S))</f>
        <v>0</v>
      </c>
      <c r="H247" s="16">
        <f t="shared" si="7"/>
        <v>-322739.32700000005</v>
      </c>
    </row>
    <row r="248" spans="2:8" hidden="1" x14ac:dyDescent="0.4">
      <c r="B248" s="1">
        <v>42797</v>
      </c>
      <c r="C248" s="16">
        <f>SUMIF(매도완료!$G:$G,Sheet2!$B248,매도완료!$P:$P)</f>
        <v>0</v>
      </c>
      <c r="D248" s="16">
        <f>SUMIF(매도완료!$J:$J,Sheet2!$B248,매도완료!$P:$P)</f>
        <v>0</v>
      </c>
      <c r="E248" s="16">
        <f t="shared" si="6"/>
        <v>25038471</v>
      </c>
      <c r="G248" s="16">
        <f>IF(D248=0,0,SUMIF(매도완료!$J:$J,Sheet2!$B248,매도완료!$S:$S))</f>
        <v>0</v>
      </c>
      <c r="H248" s="16">
        <f t="shared" si="7"/>
        <v>-322739.32700000005</v>
      </c>
    </row>
    <row r="249" spans="2:8" hidden="1" x14ac:dyDescent="0.4">
      <c r="B249" s="1">
        <v>42798</v>
      </c>
      <c r="C249" s="16">
        <f>SUMIF(매도완료!$G:$G,Sheet2!$B249,매도완료!$P:$P)</f>
        <v>0</v>
      </c>
      <c r="D249" s="16">
        <f>SUMIF(매도완료!$J:$J,Sheet2!$B249,매도완료!$P:$P)</f>
        <v>0</v>
      </c>
      <c r="E249" s="16">
        <f t="shared" si="6"/>
        <v>25038471</v>
      </c>
      <c r="G249" s="16">
        <f>IF(D249=0,0,SUMIF(매도완료!$J:$J,Sheet2!$B249,매도완료!$S:$S))</f>
        <v>0</v>
      </c>
      <c r="H249" s="16">
        <f t="shared" si="7"/>
        <v>-322739.32700000005</v>
      </c>
    </row>
    <row r="250" spans="2:8" hidden="1" x14ac:dyDescent="0.4">
      <c r="B250" s="1">
        <v>42799</v>
      </c>
      <c r="C250" s="16">
        <f>SUMIF(매도완료!$G:$G,Sheet2!$B250,매도완료!$P:$P)</f>
        <v>0</v>
      </c>
      <c r="D250" s="16">
        <f>SUMIF(매도완료!$J:$J,Sheet2!$B250,매도완료!$P:$P)</f>
        <v>0</v>
      </c>
      <c r="E250" s="16">
        <f t="shared" si="6"/>
        <v>25038471</v>
      </c>
      <c r="G250" s="16">
        <f>IF(D250=0,0,SUMIF(매도완료!$J:$J,Sheet2!$B250,매도완료!$S:$S))</f>
        <v>0</v>
      </c>
      <c r="H250" s="16">
        <f t="shared" si="7"/>
        <v>-322739.32700000005</v>
      </c>
    </row>
    <row r="251" spans="2:8" hidden="1" x14ac:dyDescent="0.4">
      <c r="B251" s="1">
        <v>42800</v>
      </c>
      <c r="C251" s="16">
        <f>SUMIF(매도완료!$G:$G,Sheet2!$B251,매도완료!$P:$P)</f>
        <v>0</v>
      </c>
      <c r="D251" s="16">
        <f>SUMIF(매도완료!$J:$J,Sheet2!$B251,매도완료!$P:$P)</f>
        <v>0</v>
      </c>
      <c r="E251" s="16">
        <f t="shared" si="6"/>
        <v>25038471</v>
      </c>
      <c r="G251" s="16">
        <f>IF(D251=0,0,SUMIF(매도완료!$J:$J,Sheet2!$B251,매도완료!$S:$S))</f>
        <v>0</v>
      </c>
      <c r="H251" s="16">
        <f t="shared" si="7"/>
        <v>-322739.32700000005</v>
      </c>
    </row>
    <row r="252" spans="2:8" hidden="1" x14ac:dyDescent="0.4">
      <c r="B252" s="1">
        <v>42801</v>
      </c>
      <c r="C252" s="16">
        <f>SUMIF(매도완료!$G:$G,Sheet2!$B252,매도완료!$P:$P)</f>
        <v>0</v>
      </c>
      <c r="D252" s="16">
        <f>SUMIF(매도완료!$J:$J,Sheet2!$B252,매도완료!$P:$P)</f>
        <v>0</v>
      </c>
      <c r="E252" s="16">
        <f t="shared" si="6"/>
        <v>25038471</v>
      </c>
      <c r="G252" s="16">
        <f>IF(D252=0,0,SUMIF(매도완료!$J:$J,Sheet2!$B252,매도완료!$S:$S))</f>
        <v>0</v>
      </c>
      <c r="H252" s="16">
        <f t="shared" si="7"/>
        <v>-322739.32700000005</v>
      </c>
    </row>
    <row r="253" spans="2:8" hidden="1" x14ac:dyDescent="0.4">
      <c r="B253" s="1">
        <v>42802</v>
      </c>
      <c r="C253" s="16">
        <f>SUMIF(매도완료!$G:$G,Sheet2!$B253,매도완료!$P:$P)</f>
        <v>0</v>
      </c>
      <c r="D253" s="16">
        <f>SUMIF(매도완료!$J:$J,Sheet2!$B253,매도완료!$P:$P)</f>
        <v>1133761</v>
      </c>
      <c r="E253" s="16">
        <f t="shared" si="6"/>
        <v>23904710</v>
      </c>
      <c r="G253" s="16">
        <f>IF(D253=0,0,SUMIF(매도완료!$J:$J,Sheet2!$B253,매도완료!$S:$S))</f>
        <v>286340.73499999999</v>
      </c>
      <c r="H253" s="16">
        <f t="shared" si="7"/>
        <v>-36398.592000000062</v>
      </c>
    </row>
    <row r="254" spans="2:8" hidden="1" x14ac:dyDescent="0.4">
      <c r="B254" s="1">
        <v>42803</v>
      </c>
      <c r="C254" s="16">
        <f>SUMIF(매도완료!$G:$G,Sheet2!$B254,매도완료!$P:$P)</f>
        <v>0</v>
      </c>
      <c r="D254" s="16">
        <f>SUMIF(매도완료!$J:$J,Sheet2!$B254,매도완료!$P:$P)</f>
        <v>0</v>
      </c>
      <c r="E254" s="16">
        <f t="shared" si="6"/>
        <v>23904710</v>
      </c>
      <c r="G254" s="16">
        <f>IF(D254=0,0,SUMIF(매도완료!$J:$J,Sheet2!$B254,매도완료!$S:$S))</f>
        <v>0</v>
      </c>
      <c r="H254" s="16">
        <f t="shared" si="7"/>
        <v>-36398.592000000062</v>
      </c>
    </row>
    <row r="255" spans="2:8" hidden="1" x14ac:dyDescent="0.4">
      <c r="B255" s="1">
        <v>42804</v>
      </c>
      <c r="C255" s="16">
        <f>SUMIF(매도완료!$G:$G,Sheet2!$B255,매도완료!$P:$P)</f>
        <v>0</v>
      </c>
      <c r="D255" s="16">
        <f>SUMIF(매도완료!$J:$J,Sheet2!$B255,매도완료!$P:$P)</f>
        <v>0</v>
      </c>
      <c r="E255" s="16">
        <f t="shared" si="6"/>
        <v>23904710</v>
      </c>
      <c r="G255" s="16">
        <f>IF(D255=0,0,SUMIF(매도완료!$J:$J,Sheet2!$B255,매도완료!$S:$S))</f>
        <v>0</v>
      </c>
      <c r="H255" s="16">
        <f t="shared" si="7"/>
        <v>-36398.592000000062</v>
      </c>
    </row>
    <row r="256" spans="2:8" hidden="1" x14ac:dyDescent="0.4">
      <c r="B256" s="1">
        <v>42805</v>
      </c>
      <c r="C256" s="16">
        <f>SUMIF(매도완료!$G:$G,Sheet2!$B256,매도완료!$P:$P)</f>
        <v>0</v>
      </c>
      <c r="D256" s="16">
        <f>SUMIF(매도완료!$J:$J,Sheet2!$B256,매도완료!$P:$P)</f>
        <v>0</v>
      </c>
      <c r="E256" s="16">
        <f t="shared" si="6"/>
        <v>23904710</v>
      </c>
      <c r="G256" s="16">
        <f>IF(D256=0,0,SUMIF(매도완료!$J:$J,Sheet2!$B256,매도완료!$S:$S))</f>
        <v>0</v>
      </c>
      <c r="H256" s="16">
        <f t="shared" si="7"/>
        <v>-36398.592000000062</v>
      </c>
    </row>
    <row r="257" spans="2:8" hidden="1" x14ac:dyDescent="0.4">
      <c r="B257" s="1">
        <v>42806</v>
      </c>
      <c r="C257" s="16">
        <f>SUMIF(매도완료!$G:$G,Sheet2!$B257,매도완료!$P:$P)</f>
        <v>0</v>
      </c>
      <c r="D257" s="16">
        <f>SUMIF(매도완료!$J:$J,Sheet2!$B257,매도완료!$P:$P)</f>
        <v>0</v>
      </c>
      <c r="E257" s="16">
        <f t="shared" si="6"/>
        <v>23904710</v>
      </c>
      <c r="G257" s="16">
        <f>IF(D257=0,0,SUMIF(매도완료!$J:$J,Sheet2!$B257,매도완료!$S:$S))</f>
        <v>0</v>
      </c>
      <c r="H257" s="16">
        <f t="shared" si="7"/>
        <v>-36398.592000000062</v>
      </c>
    </row>
    <row r="258" spans="2:8" hidden="1" x14ac:dyDescent="0.4">
      <c r="B258" s="1">
        <v>42807</v>
      </c>
      <c r="C258" s="16">
        <f>SUMIF(매도완료!$G:$G,Sheet2!$B258,매도완료!$P:$P)</f>
        <v>0</v>
      </c>
      <c r="D258" s="16">
        <f>SUMIF(매도완료!$J:$J,Sheet2!$B258,매도완료!$P:$P)</f>
        <v>0</v>
      </c>
      <c r="E258" s="16">
        <f t="shared" si="6"/>
        <v>23904710</v>
      </c>
      <c r="G258" s="16">
        <f>IF(D258=0,0,SUMIF(매도완료!$J:$J,Sheet2!$B258,매도완료!$S:$S))</f>
        <v>0</v>
      </c>
      <c r="H258" s="16">
        <f t="shared" si="7"/>
        <v>-36398.592000000062</v>
      </c>
    </row>
    <row r="259" spans="2:8" hidden="1" x14ac:dyDescent="0.4">
      <c r="B259" s="1">
        <v>42808</v>
      </c>
      <c r="C259" s="16">
        <f>SUMIF(매도완료!$G:$G,Sheet2!$B259,매도완료!$P:$P)</f>
        <v>0</v>
      </c>
      <c r="D259" s="16">
        <f>SUMIF(매도완료!$J:$J,Sheet2!$B259,매도완료!$P:$P)</f>
        <v>0</v>
      </c>
      <c r="E259" s="16">
        <f t="shared" si="6"/>
        <v>23904710</v>
      </c>
      <c r="G259" s="16">
        <f>IF(D259=0,0,SUMIF(매도완료!$J:$J,Sheet2!$B259,매도완료!$S:$S))</f>
        <v>0</v>
      </c>
      <c r="H259" s="16">
        <f t="shared" si="7"/>
        <v>-36398.592000000062</v>
      </c>
    </row>
    <row r="260" spans="2:8" hidden="1" x14ac:dyDescent="0.4">
      <c r="B260" s="1">
        <v>42809</v>
      </c>
      <c r="C260" s="16">
        <f>SUMIF(매도완료!$G:$G,Sheet2!$B260,매도완료!$P:$P)</f>
        <v>0</v>
      </c>
      <c r="D260" s="16">
        <f>SUMIF(매도완료!$J:$J,Sheet2!$B260,매도완료!$P:$P)</f>
        <v>0</v>
      </c>
      <c r="E260" s="16">
        <f t="shared" ref="E260:E323" si="8">E259+C260-D260</f>
        <v>23904710</v>
      </c>
      <c r="G260" s="16">
        <f>IF(D260=0,0,SUMIF(매도완료!$J:$J,Sheet2!$B260,매도완료!$S:$S))</f>
        <v>0</v>
      </c>
      <c r="H260" s="16">
        <f t="shared" ref="H260:H323" si="9">H259+G260</f>
        <v>-36398.592000000062</v>
      </c>
    </row>
    <row r="261" spans="2:8" hidden="1" x14ac:dyDescent="0.4">
      <c r="B261" s="1">
        <v>42810</v>
      </c>
      <c r="C261" s="16">
        <f>SUMIF(매도완료!$G:$G,Sheet2!$B261,매도완료!$P:$P)</f>
        <v>0</v>
      </c>
      <c r="D261" s="16">
        <f>SUMIF(매도완료!$J:$J,Sheet2!$B261,매도완료!$P:$P)</f>
        <v>495000</v>
      </c>
      <c r="E261" s="16">
        <f t="shared" si="8"/>
        <v>23409710</v>
      </c>
      <c r="G261" s="16">
        <f>IF(D261=0,0,SUMIF(매도완료!$J:$J,Sheet2!$B261,매도완료!$S:$S))</f>
        <v>43406</v>
      </c>
      <c r="H261" s="16">
        <f t="shared" si="9"/>
        <v>7007.4079999999376</v>
      </c>
    </row>
    <row r="262" spans="2:8" hidden="1" x14ac:dyDescent="0.4">
      <c r="B262" s="1">
        <v>42811</v>
      </c>
      <c r="C262" s="16">
        <f>SUMIF(매도완료!$G:$G,Sheet2!$B262,매도완료!$P:$P)</f>
        <v>0</v>
      </c>
      <c r="D262" s="16">
        <f>SUMIF(매도완료!$J:$J,Sheet2!$B262,매도완료!$P:$P)</f>
        <v>0</v>
      </c>
      <c r="E262" s="16">
        <f t="shared" si="8"/>
        <v>23409710</v>
      </c>
      <c r="G262" s="16">
        <f>IF(D262=0,0,SUMIF(매도완료!$J:$J,Sheet2!$B262,매도완료!$S:$S))</f>
        <v>0</v>
      </c>
      <c r="H262" s="16">
        <f t="shared" si="9"/>
        <v>7007.4079999999376</v>
      </c>
    </row>
    <row r="263" spans="2:8" hidden="1" x14ac:dyDescent="0.4">
      <c r="B263" s="1">
        <v>42812</v>
      </c>
      <c r="C263" s="16">
        <f>SUMIF(매도완료!$G:$G,Sheet2!$B263,매도완료!$P:$P)</f>
        <v>0</v>
      </c>
      <c r="D263" s="16">
        <f>SUMIF(매도완료!$J:$J,Sheet2!$B263,매도완료!$P:$P)</f>
        <v>0</v>
      </c>
      <c r="E263" s="16">
        <f t="shared" si="8"/>
        <v>23409710</v>
      </c>
      <c r="G263" s="16">
        <f>IF(D263=0,0,SUMIF(매도완료!$J:$J,Sheet2!$B263,매도완료!$S:$S))</f>
        <v>0</v>
      </c>
      <c r="H263" s="16">
        <f t="shared" si="9"/>
        <v>7007.4079999999376</v>
      </c>
    </row>
    <row r="264" spans="2:8" hidden="1" x14ac:dyDescent="0.4">
      <c r="B264" s="1">
        <v>42813</v>
      </c>
      <c r="C264" s="16">
        <f>SUMIF(매도완료!$G:$G,Sheet2!$B264,매도완료!$P:$P)</f>
        <v>0</v>
      </c>
      <c r="D264" s="16">
        <f>SUMIF(매도완료!$J:$J,Sheet2!$B264,매도완료!$P:$P)</f>
        <v>0</v>
      </c>
      <c r="E264" s="16">
        <f t="shared" si="8"/>
        <v>23409710</v>
      </c>
      <c r="G264" s="16">
        <f>IF(D264=0,0,SUMIF(매도완료!$J:$J,Sheet2!$B264,매도완료!$S:$S))</f>
        <v>0</v>
      </c>
      <c r="H264" s="16">
        <f t="shared" si="9"/>
        <v>7007.4079999999376</v>
      </c>
    </row>
    <row r="265" spans="2:8" hidden="1" x14ac:dyDescent="0.4">
      <c r="B265" s="1">
        <v>42814</v>
      </c>
      <c r="C265" s="16">
        <f>SUMIF(매도완료!$G:$G,Sheet2!$B265,매도완료!$P:$P)</f>
        <v>0</v>
      </c>
      <c r="D265" s="16">
        <f>SUMIF(매도완료!$J:$J,Sheet2!$B265,매도완료!$P:$P)</f>
        <v>0</v>
      </c>
      <c r="E265" s="16">
        <f t="shared" si="8"/>
        <v>23409710</v>
      </c>
      <c r="G265" s="16">
        <f>IF(D265=0,0,SUMIF(매도완료!$J:$J,Sheet2!$B265,매도완료!$S:$S))</f>
        <v>0</v>
      </c>
      <c r="H265" s="16">
        <f t="shared" si="9"/>
        <v>7007.4079999999376</v>
      </c>
    </row>
    <row r="266" spans="2:8" hidden="1" x14ac:dyDescent="0.4">
      <c r="B266" s="1">
        <v>42815</v>
      </c>
      <c r="C266" s="16">
        <f>SUMIF(매도완료!$G:$G,Sheet2!$B266,매도완료!$P:$P)</f>
        <v>0</v>
      </c>
      <c r="D266" s="16">
        <f>SUMIF(매도완료!$J:$J,Sheet2!$B266,매도완료!$P:$P)</f>
        <v>0</v>
      </c>
      <c r="E266" s="16">
        <f t="shared" si="8"/>
        <v>23409710</v>
      </c>
      <c r="G266" s="16">
        <f>IF(D266=0,0,SUMIF(매도완료!$J:$J,Sheet2!$B266,매도완료!$S:$S))</f>
        <v>0</v>
      </c>
      <c r="H266" s="16">
        <f t="shared" si="9"/>
        <v>7007.4079999999376</v>
      </c>
    </row>
    <row r="267" spans="2:8" hidden="1" x14ac:dyDescent="0.4">
      <c r="B267" s="1">
        <v>42816</v>
      </c>
      <c r="C267" s="16">
        <f>SUMIF(매도완료!$G:$G,Sheet2!$B267,매도완료!$P:$P)</f>
        <v>0</v>
      </c>
      <c r="D267" s="16">
        <f>SUMIF(매도완료!$J:$J,Sheet2!$B267,매도완료!$P:$P)</f>
        <v>0</v>
      </c>
      <c r="E267" s="16">
        <f t="shared" si="8"/>
        <v>23409710</v>
      </c>
      <c r="G267" s="16">
        <f>IF(D267=0,0,SUMIF(매도완료!$J:$J,Sheet2!$B267,매도완료!$S:$S))</f>
        <v>0</v>
      </c>
      <c r="H267" s="16">
        <f t="shared" si="9"/>
        <v>7007.4079999999376</v>
      </c>
    </row>
    <row r="268" spans="2:8" hidden="1" x14ac:dyDescent="0.4">
      <c r="B268" s="1">
        <v>42817</v>
      </c>
      <c r="C268" s="16">
        <f>SUMIF(매도완료!$G:$G,Sheet2!$B268,매도완료!$P:$P)</f>
        <v>0</v>
      </c>
      <c r="D268" s="16">
        <f>SUMIF(매도완료!$J:$J,Sheet2!$B268,매도완료!$P:$P)</f>
        <v>0</v>
      </c>
      <c r="E268" s="16">
        <f t="shared" si="8"/>
        <v>23409710</v>
      </c>
      <c r="G268" s="16">
        <f>IF(D268=0,0,SUMIF(매도완료!$J:$J,Sheet2!$B268,매도완료!$S:$S))</f>
        <v>0</v>
      </c>
      <c r="H268" s="16">
        <f t="shared" si="9"/>
        <v>7007.4079999999376</v>
      </c>
    </row>
    <row r="269" spans="2:8" hidden="1" x14ac:dyDescent="0.4">
      <c r="B269" s="1">
        <v>42818</v>
      </c>
      <c r="C269" s="16">
        <f>SUMIF(매도완료!$G:$G,Sheet2!$B269,매도완료!$P:$P)</f>
        <v>0</v>
      </c>
      <c r="D269" s="16">
        <f>SUMIF(매도완료!$J:$J,Sheet2!$B269,매도완료!$P:$P)</f>
        <v>0</v>
      </c>
      <c r="E269" s="16">
        <f t="shared" si="8"/>
        <v>23409710</v>
      </c>
      <c r="G269" s="16">
        <f>IF(D269=0,0,SUMIF(매도완료!$J:$J,Sheet2!$B269,매도완료!$S:$S))</f>
        <v>0</v>
      </c>
      <c r="H269" s="16">
        <f t="shared" si="9"/>
        <v>7007.4079999999376</v>
      </c>
    </row>
    <row r="270" spans="2:8" hidden="1" x14ac:dyDescent="0.4">
      <c r="B270" s="1">
        <v>42819</v>
      </c>
      <c r="C270" s="16">
        <f>SUMIF(매도완료!$G:$G,Sheet2!$B270,매도완료!$P:$P)</f>
        <v>0</v>
      </c>
      <c r="D270" s="16">
        <f>SUMIF(매도완료!$J:$J,Sheet2!$B270,매도완료!$P:$P)</f>
        <v>0</v>
      </c>
      <c r="E270" s="16">
        <f t="shared" si="8"/>
        <v>23409710</v>
      </c>
      <c r="G270" s="16">
        <f>IF(D270=0,0,SUMIF(매도완료!$J:$J,Sheet2!$B270,매도완료!$S:$S))</f>
        <v>0</v>
      </c>
      <c r="H270" s="16">
        <f t="shared" si="9"/>
        <v>7007.4079999999376</v>
      </c>
    </row>
    <row r="271" spans="2:8" hidden="1" x14ac:dyDescent="0.4">
      <c r="B271" s="1">
        <v>42820</v>
      </c>
      <c r="C271" s="16">
        <f>SUMIF(매도완료!$G:$G,Sheet2!$B271,매도완료!$P:$P)</f>
        <v>0</v>
      </c>
      <c r="D271" s="16">
        <f>SUMIF(매도완료!$J:$J,Sheet2!$B271,매도완료!$P:$P)</f>
        <v>0</v>
      </c>
      <c r="E271" s="16">
        <f t="shared" si="8"/>
        <v>23409710</v>
      </c>
      <c r="G271" s="16">
        <f>IF(D271=0,0,SUMIF(매도완료!$J:$J,Sheet2!$B271,매도완료!$S:$S))</f>
        <v>0</v>
      </c>
      <c r="H271" s="16">
        <f t="shared" si="9"/>
        <v>7007.4079999999376</v>
      </c>
    </row>
    <row r="272" spans="2:8" hidden="1" x14ac:dyDescent="0.4">
      <c r="B272" s="1">
        <v>42821</v>
      </c>
      <c r="C272" s="16">
        <f>SUMIF(매도완료!$G:$G,Sheet2!$B272,매도완료!$P:$P)</f>
        <v>0</v>
      </c>
      <c r="D272" s="16">
        <f>SUMIF(매도완료!$J:$J,Sheet2!$B272,매도완료!$P:$P)</f>
        <v>0</v>
      </c>
      <c r="E272" s="16">
        <f t="shared" si="8"/>
        <v>23409710</v>
      </c>
      <c r="G272" s="16">
        <f>IF(D272=0,0,SUMIF(매도완료!$J:$J,Sheet2!$B272,매도완료!$S:$S))</f>
        <v>0</v>
      </c>
      <c r="H272" s="16">
        <f t="shared" si="9"/>
        <v>7007.4079999999376</v>
      </c>
    </row>
    <row r="273" spans="2:8" hidden="1" x14ac:dyDescent="0.4">
      <c r="B273" s="1">
        <v>42822</v>
      </c>
      <c r="C273" s="16">
        <f>SUMIF(매도완료!$G:$G,Sheet2!$B273,매도완료!$P:$P)</f>
        <v>0</v>
      </c>
      <c r="D273" s="16">
        <f>SUMIF(매도완료!$J:$J,Sheet2!$B273,매도완료!$P:$P)</f>
        <v>1400000</v>
      </c>
      <c r="E273" s="16">
        <f t="shared" si="8"/>
        <v>22009710</v>
      </c>
      <c r="G273" s="16">
        <f>IF(D273=0,0,SUMIF(매도완료!$J:$J,Sheet2!$B273,매도완료!$S:$S))</f>
        <v>76710</v>
      </c>
      <c r="H273" s="16">
        <f t="shared" si="9"/>
        <v>83717.407999999938</v>
      </c>
    </row>
    <row r="274" spans="2:8" hidden="1" x14ac:dyDescent="0.4">
      <c r="B274" s="1">
        <v>42823</v>
      </c>
      <c r="C274" s="16">
        <f>SUMIF(매도완료!$G:$G,Sheet2!$B274,매도완료!$P:$P)</f>
        <v>0</v>
      </c>
      <c r="D274" s="16">
        <f>SUMIF(매도완료!$J:$J,Sheet2!$B274,매도완료!$P:$P)</f>
        <v>0</v>
      </c>
      <c r="E274" s="16">
        <f t="shared" si="8"/>
        <v>22009710</v>
      </c>
      <c r="G274" s="16">
        <f>IF(D274=0,0,SUMIF(매도완료!$J:$J,Sheet2!$B274,매도완료!$S:$S))</f>
        <v>0</v>
      </c>
      <c r="H274" s="16">
        <f t="shared" si="9"/>
        <v>83717.407999999938</v>
      </c>
    </row>
    <row r="275" spans="2:8" hidden="1" x14ac:dyDescent="0.4">
      <c r="B275" s="1">
        <v>42824</v>
      </c>
      <c r="C275" s="16">
        <f>SUMIF(매도완료!$G:$G,Sheet2!$B275,매도완료!$P:$P)</f>
        <v>0</v>
      </c>
      <c r="D275" s="16">
        <f>SUMIF(매도완료!$J:$J,Sheet2!$B275,매도완료!$P:$P)</f>
        <v>0</v>
      </c>
      <c r="E275" s="16">
        <f t="shared" si="8"/>
        <v>22009710</v>
      </c>
      <c r="G275" s="16">
        <f>IF(D275=0,0,SUMIF(매도완료!$J:$J,Sheet2!$B275,매도완료!$S:$S))</f>
        <v>0</v>
      </c>
      <c r="H275" s="16">
        <f t="shared" si="9"/>
        <v>83717.407999999938</v>
      </c>
    </row>
    <row r="276" spans="2:8" hidden="1" x14ac:dyDescent="0.4">
      <c r="B276" s="1">
        <v>42825</v>
      </c>
      <c r="C276" s="16">
        <f>SUMIF(매도완료!$G:$G,Sheet2!$B276,매도완료!$P:$P)</f>
        <v>0</v>
      </c>
      <c r="D276" s="16">
        <f>SUMIF(매도완료!$J:$J,Sheet2!$B276,매도완료!$P:$P)</f>
        <v>0</v>
      </c>
      <c r="E276" s="16">
        <f t="shared" si="8"/>
        <v>22009710</v>
      </c>
      <c r="G276" s="16">
        <f>IF(D276=0,0,SUMIF(매도완료!$J:$J,Sheet2!$B276,매도완료!$S:$S))</f>
        <v>0</v>
      </c>
      <c r="H276" s="16">
        <f t="shared" si="9"/>
        <v>83717.407999999938</v>
      </c>
    </row>
    <row r="277" spans="2:8" hidden="1" x14ac:dyDescent="0.4">
      <c r="B277" s="1">
        <v>42826</v>
      </c>
      <c r="C277" s="16">
        <f>SUMIF(매도완료!$G:$G,Sheet2!$B277,매도완료!$P:$P)</f>
        <v>0</v>
      </c>
      <c r="D277" s="16">
        <f>SUMIF(매도완료!$J:$J,Sheet2!$B277,매도완료!$P:$P)</f>
        <v>0</v>
      </c>
      <c r="E277" s="16">
        <f t="shared" si="8"/>
        <v>22009710</v>
      </c>
      <c r="G277" s="16">
        <f>IF(D277=0,0,SUMIF(매도완료!$J:$J,Sheet2!$B277,매도완료!$S:$S))</f>
        <v>0</v>
      </c>
      <c r="H277" s="16">
        <f t="shared" si="9"/>
        <v>83717.407999999938</v>
      </c>
    </row>
    <row r="278" spans="2:8" hidden="1" x14ac:dyDescent="0.4">
      <c r="B278" s="1">
        <v>42827</v>
      </c>
      <c r="C278" s="16">
        <f>SUMIF(매도완료!$G:$G,Sheet2!$B278,매도완료!$P:$P)</f>
        <v>0</v>
      </c>
      <c r="D278" s="16">
        <f>SUMIF(매도완료!$J:$J,Sheet2!$B278,매도완료!$P:$P)</f>
        <v>0</v>
      </c>
      <c r="E278" s="16">
        <f t="shared" si="8"/>
        <v>22009710</v>
      </c>
      <c r="G278" s="16">
        <f>IF(D278=0,0,SUMIF(매도완료!$J:$J,Sheet2!$B278,매도완료!$S:$S))</f>
        <v>0</v>
      </c>
      <c r="H278" s="16">
        <f t="shared" si="9"/>
        <v>83717.407999999938</v>
      </c>
    </row>
    <row r="279" spans="2:8" hidden="1" x14ac:dyDescent="0.4">
      <c r="B279" s="1">
        <v>42828</v>
      </c>
      <c r="C279" s="16">
        <f>SUMIF(매도완료!$G:$G,Sheet2!$B279,매도완료!$P:$P)</f>
        <v>1700000</v>
      </c>
      <c r="D279" s="16">
        <f>SUMIF(매도완료!$J:$J,Sheet2!$B279,매도완료!$P:$P)</f>
        <v>0</v>
      </c>
      <c r="E279" s="16">
        <f t="shared" si="8"/>
        <v>23709710</v>
      </c>
      <c r="G279" s="16">
        <f>IF(D279=0,0,SUMIF(매도완료!$J:$J,Sheet2!$B279,매도완료!$S:$S))</f>
        <v>0</v>
      </c>
      <c r="H279" s="16">
        <f t="shared" si="9"/>
        <v>83717.407999999938</v>
      </c>
    </row>
    <row r="280" spans="2:8" hidden="1" x14ac:dyDescent="0.4">
      <c r="B280" s="1">
        <v>42829</v>
      </c>
      <c r="C280" s="16">
        <f>SUMIF(매도완료!$G:$G,Sheet2!$B280,매도완료!$P:$P)</f>
        <v>0</v>
      </c>
      <c r="D280" s="16">
        <f>SUMIF(매도완료!$J:$J,Sheet2!$B280,매도완료!$P:$P)</f>
        <v>0</v>
      </c>
      <c r="E280" s="16">
        <f t="shared" si="8"/>
        <v>23709710</v>
      </c>
      <c r="G280" s="16">
        <f>IF(D280=0,0,SUMIF(매도완료!$J:$J,Sheet2!$B280,매도완료!$S:$S))</f>
        <v>0</v>
      </c>
      <c r="H280" s="16">
        <f t="shared" si="9"/>
        <v>83717.407999999938</v>
      </c>
    </row>
    <row r="281" spans="2:8" hidden="1" x14ac:dyDescent="0.4">
      <c r="B281" s="1">
        <v>42830</v>
      </c>
      <c r="C281" s="16">
        <f>SUMIF(매도완료!$G:$G,Sheet2!$B281,매도완료!$P:$P)</f>
        <v>0</v>
      </c>
      <c r="D281" s="16">
        <f>SUMIF(매도완료!$J:$J,Sheet2!$B281,매도완료!$P:$P)</f>
        <v>0</v>
      </c>
      <c r="E281" s="16">
        <f t="shared" si="8"/>
        <v>23709710</v>
      </c>
      <c r="G281" s="16">
        <f>IF(D281=0,0,SUMIF(매도완료!$J:$J,Sheet2!$B281,매도완료!$S:$S))</f>
        <v>0</v>
      </c>
      <c r="H281" s="16">
        <f t="shared" si="9"/>
        <v>83717.407999999938</v>
      </c>
    </row>
    <row r="282" spans="2:8" hidden="1" x14ac:dyDescent="0.4">
      <c r="B282" s="1">
        <v>42831</v>
      </c>
      <c r="C282" s="16">
        <f>SUMIF(매도완료!$G:$G,Sheet2!$B282,매도완료!$P:$P)</f>
        <v>0</v>
      </c>
      <c r="D282" s="16">
        <f>SUMIF(매도완료!$J:$J,Sheet2!$B282,매도완료!$P:$P)</f>
        <v>0</v>
      </c>
      <c r="E282" s="16">
        <f t="shared" si="8"/>
        <v>23709710</v>
      </c>
      <c r="G282" s="16">
        <f>IF(D282=0,0,SUMIF(매도완료!$J:$J,Sheet2!$B282,매도완료!$S:$S))</f>
        <v>0</v>
      </c>
      <c r="H282" s="16">
        <f t="shared" si="9"/>
        <v>83717.407999999938</v>
      </c>
    </row>
    <row r="283" spans="2:8" hidden="1" x14ac:dyDescent="0.4">
      <c r="B283" s="1">
        <v>42832</v>
      </c>
      <c r="C283" s="16">
        <f>SUMIF(매도완료!$G:$G,Sheet2!$B283,매도완료!$P:$P)</f>
        <v>0</v>
      </c>
      <c r="D283" s="16">
        <f>SUMIF(매도완료!$J:$J,Sheet2!$B283,매도완료!$P:$P)</f>
        <v>0</v>
      </c>
      <c r="E283" s="16">
        <f t="shared" si="8"/>
        <v>23709710</v>
      </c>
      <c r="G283" s="16">
        <f>IF(D283=0,0,SUMIF(매도완료!$J:$J,Sheet2!$B283,매도완료!$S:$S))</f>
        <v>0</v>
      </c>
      <c r="H283" s="16">
        <f t="shared" si="9"/>
        <v>83717.407999999938</v>
      </c>
    </row>
    <row r="284" spans="2:8" hidden="1" x14ac:dyDescent="0.4">
      <c r="B284" s="1">
        <v>42833</v>
      </c>
      <c r="C284" s="16">
        <f>SUMIF(매도완료!$G:$G,Sheet2!$B284,매도완료!$P:$P)</f>
        <v>0</v>
      </c>
      <c r="D284" s="16">
        <f>SUMIF(매도완료!$J:$J,Sheet2!$B284,매도완료!$P:$P)</f>
        <v>0</v>
      </c>
      <c r="E284" s="16">
        <f t="shared" si="8"/>
        <v>23709710</v>
      </c>
      <c r="G284" s="16">
        <f>IF(D284=0,0,SUMIF(매도완료!$J:$J,Sheet2!$B284,매도완료!$S:$S))</f>
        <v>0</v>
      </c>
      <c r="H284" s="16">
        <f t="shared" si="9"/>
        <v>83717.407999999938</v>
      </c>
    </row>
    <row r="285" spans="2:8" hidden="1" x14ac:dyDescent="0.4">
      <c r="B285" s="1">
        <v>42834</v>
      </c>
      <c r="C285" s="16">
        <f>SUMIF(매도완료!$G:$G,Sheet2!$B285,매도완료!$P:$P)</f>
        <v>0</v>
      </c>
      <c r="D285" s="16">
        <f>SUMIF(매도완료!$J:$J,Sheet2!$B285,매도완료!$P:$P)</f>
        <v>0</v>
      </c>
      <c r="E285" s="16">
        <f t="shared" si="8"/>
        <v>23709710</v>
      </c>
      <c r="G285" s="16">
        <f>IF(D285=0,0,SUMIF(매도완료!$J:$J,Sheet2!$B285,매도완료!$S:$S))</f>
        <v>0</v>
      </c>
      <c r="H285" s="16">
        <f t="shared" si="9"/>
        <v>83717.407999999938</v>
      </c>
    </row>
    <row r="286" spans="2:8" hidden="1" x14ac:dyDescent="0.4">
      <c r="B286" s="1">
        <v>42835</v>
      </c>
      <c r="C286" s="16">
        <f>SUMIF(매도완료!$G:$G,Sheet2!$B286,매도완료!$P:$P)</f>
        <v>0</v>
      </c>
      <c r="D286" s="16">
        <f>SUMIF(매도완료!$J:$J,Sheet2!$B286,매도완료!$P:$P)</f>
        <v>0</v>
      </c>
      <c r="E286" s="16">
        <f t="shared" si="8"/>
        <v>23709710</v>
      </c>
      <c r="G286" s="16">
        <f>IF(D286=0,0,SUMIF(매도완료!$J:$J,Sheet2!$B286,매도완료!$S:$S))</f>
        <v>0</v>
      </c>
      <c r="H286" s="16">
        <f t="shared" si="9"/>
        <v>83717.407999999938</v>
      </c>
    </row>
    <row r="287" spans="2:8" hidden="1" x14ac:dyDescent="0.4">
      <c r="B287" s="1">
        <v>42836</v>
      </c>
      <c r="C287" s="16">
        <f>SUMIF(매도완료!$G:$G,Sheet2!$B287,매도완료!$P:$P)</f>
        <v>0</v>
      </c>
      <c r="D287" s="16">
        <f>SUMIF(매도완료!$J:$J,Sheet2!$B287,매도완료!$P:$P)</f>
        <v>0</v>
      </c>
      <c r="E287" s="16">
        <f t="shared" si="8"/>
        <v>23709710</v>
      </c>
      <c r="G287" s="16">
        <f>IF(D287=0,0,SUMIF(매도완료!$J:$J,Sheet2!$B287,매도완료!$S:$S))</f>
        <v>0</v>
      </c>
      <c r="H287" s="16">
        <f t="shared" si="9"/>
        <v>83717.407999999938</v>
      </c>
    </row>
    <row r="288" spans="2:8" hidden="1" x14ac:dyDescent="0.4">
      <c r="B288" s="1">
        <v>42837</v>
      </c>
      <c r="C288" s="16">
        <f>SUMIF(매도완료!$G:$G,Sheet2!$B288,매도완료!$P:$P)</f>
        <v>1162500</v>
      </c>
      <c r="D288" s="16">
        <f>SUMIF(매도완료!$J:$J,Sheet2!$B288,매도완료!$P:$P)</f>
        <v>0</v>
      </c>
      <c r="E288" s="16">
        <f t="shared" si="8"/>
        <v>24872210</v>
      </c>
      <c r="G288" s="16">
        <f>IF(D288=0,0,SUMIF(매도완료!$J:$J,Sheet2!$B288,매도완료!$S:$S))</f>
        <v>0</v>
      </c>
      <c r="H288" s="16">
        <f t="shared" si="9"/>
        <v>83717.407999999938</v>
      </c>
    </row>
    <row r="289" spans="2:8" hidden="1" x14ac:dyDescent="0.4">
      <c r="B289" s="1">
        <v>42838</v>
      </c>
      <c r="C289" s="16">
        <f>SUMIF(매도완료!$G:$G,Sheet2!$B289,매도완료!$P:$P)</f>
        <v>0</v>
      </c>
      <c r="D289" s="16">
        <f>SUMIF(매도완료!$J:$J,Sheet2!$B289,매도완료!$P:$P)</f>
        <v>1162500</v>
      </c>
      <c r="E289" s="16">
        <f t="shared" si="8"/>
        <v>23709710</v>
      </c>
      <c r="G289" s="16">
        <f>IF(D289=0,0,SUMIF(매도완료!$J:$J,Sheet2!$B289,매도완료!$S:$S))</f>
        <v>42314</v>
      </c>
      <c r="H289" s="16">
        <f t="shared" si="9"/>
        <v>126031.40799999994</v>
      </c>
    </row>
    <row r="290" spans="2:8" hidden="1" x14ac:dyDescent="0.4">
      <c r="B290" s="1">
        <v>42839</v>
      </c>
      <c r="C290" s="16">
        <f>SUMIF(매도완료!$G:$G,Sheet2!$B290,매도완료!$P:$P)</f>
        <v>0</v>
      </c>
      <c r="D290" s="16">
        <f>SUMIF(매도완료!$J:$J,Sheet2!$B290,매도완료!$P:$P)</f>
        <v>0</v>
      </c>
      <c r="E290" s="16">
        <f t="shared" si="8"/>
        <v>23709710</v>
      </c>
      <c r="G290" s="16">
        <f>IF(D290=0,0,SUMIF(매도완료!$J:$J,Sheet2!$B290,매도완료!$S:$S))</f>
        <v>0</v>
      </c>
      <c r="H290" s="16">
        <f t="shared" si="9"/>
        <v>126031.40799999994</v>
      </c>
    </row>
    <row r="291" spans="2:8" hidden="1" x14ac:dyDescent="0.4">
      <c r="B291" s="1">
        <v>42840</v>
      </c>
      <c r="C291" s="16">
        <f>SUMIF(매도완료!$G:$G,Sheet2!$B291,매도완료!$P:$P)</f>
        <v>0</v>
      </c>
      <c r="D291" s="16">
        <f>SUMIF(매도완료!$J:$J,Sheet2!$B291,매도완료!$P:$P)</f>
        <v>0</v>
      </c>
      <c r="E291" s="16">
        <f t="shared" si="8"/>
        <v>23709710</v>
      </c>
      <c r="G291" s="16">
        <f>IF(D291=0,0,SUMIF(매도완료!$J:$J,Sheet2!$B291,매도완료!$S:$S))</f>
        <v>0</v>
      </c>
      <c r="H291" s="16">
        <f t="shared" si="9"/>
        <v>126031.40799999994</v>
      </c>
    </row>
    <row r="292" spans="2:8" hidden="1" x14ac:dyDescent="0.4">
      <c r="B292" s="1">
        <v>42841</v>
      </c>
      <c r="C292" s="16">
        <f>SUMIF(매도완료!$G:$G,Sheet2!$B292,매도완료!$P:$P)</f>
        <v>0</v>
      </c>
      <c r="D292" s="16">
        <f>SUMIF(매도완료!$J:$J,Sheet2!$B292,매도완료!$P:$P)</f>
        <v>0</v>
      </c>
      <c r="E292" s="16">
        <f t="shared" si="8"/>
        <v>23709710</v>
      </c>
      <c r="G292" s="16">
        <f>IF(D292=0,0,SUMIF(매도완료!$J:$J,Sheet2!$B292,매도완료!$S:$S))</f>
        <v>0</v>
      </c>
      <c r="H292" s="16">
        <f t="shared" si="9"/>
        <v>126031.40799999994</v>
      </c>
    </row>
    <row r="293" spans="2:8" hidden="1" x14ac:dyDescent="0.4">
      <c r="B293" s="1">
        <v>42842</v>
      </c>
      <c r="C293" s="16">
        <f>SUMIF(매도완료!$G:$G,Sheet2!$B293,매도완료!$P:$P)</f>
        <v>0</v>
      </c>
      <c r="D293" s="16">
        <f>SUMIF(매도완료!$J:$J,Sheet2!$B293,매도완료!$P:$P)</f>
        <v>0</v>
      </c>
      <c r="E293" s="16">
        <f t="shared" si="8"/>
        <v>23709710</v>
      </c>
      <c r="G293" s="16">
        <f>IF(D293=0,0,SUMIF(매도완료!$J:$J,Sheet2!$B293,매도완료!$S:$S))</f>
        <v>0</v>
      </c>
      <c r="H293" s="16">
        <f t="shared" si="9"/>
        <v>126031.40799999994</v>
      </c>
    </row>
    <row r="294" spans="2:8" hidden="1" x14ac:dyDescent="0.4">
      <c r="B294" s="1">
        <v>42843</v>
      </c>
      <c r="C294" s="16">
        <f>SUMIF(매도완료!$G:$G,Sheet2!$B294,매도완료!$P:$P)</f>
        <v>0</v>
      </c>
      <c r="D294" s="16">
        <f>SUMIF(매도완료!$J:$J,Sheet2!$B294,매도완료!$P:$P)</f>
        <v>0</v>
      </c>
      <c r="E294" s="16">
        <f t="shared" si="8"/>
        <v>23709710</v>
      </c>
      <c r="G294" s="16">
        <f>IF(D294=0,0,SUMIF(매도완료!$J:$J,Sheet2!$B294,매도완료!$S:$S))</f>
        <v>0</v>
      </c>
      <c r="H294" s="16">
        <f t="shared" si="9"/>
        <v>126031.40799999994</v>
      </c>
    </row>
    <row r="295" spans="2:8" hidden="1" x14ac:dyDescent="0.4">
      <c r="B295" s="1">
        <v>42844</v>
      </c>
      <c r="C295" s="16">
        <f>SUMIF(매도완료!$G:$G,Sheet2!$B295,매도완료!$P:$P)</f>
        <v>0</v>
      </c>
      <c r="D295" s="16">
        <f>SUMIF(매도완료!$J:$J,Sheet2!$B295,매도완료!$P:$P)</f>
        <v>0</v>
      </c>
      <c r="E295" s="16">
        <f t="shared" si="8"/>
        <v>23709710</v>
      </c>
      <c r="G295" s="16">
        <f>IF(D295=0,0,SUMIF(매도완료!$J:$J,Sheet2!$B295,매도완료!$S:$S))</f>
        <v>0</v>
      </c>
      <c r="H295" s="16">
        <f t="shared" si="9"/>
        <v>126031.40799999994</v>
      </c>
    </row>
    <row r="296" spans="2:8" hidden="1" x14ac:dyDescent="0.4">
      <c r="B296" s="1">
        <v>42845</v>
      </c>
      <c r="C296" s="16">
        <f>SUMIF(매도완료!$G:$G,Sheet2!$B296,매도완료!$P:$P)</f>
        <v>477000</v>
      </c>
      <c r="D296" s="16">
        <f>SUMIF(매도완료!$J:$J,Sheet2!$B296,매도완료!$P:$P)</f>
        <v>3041100</v>
      </c>
      <c r="E296" s="16">
        <f t="shared" si="8"/>
        <v>21145610</v>
      </c>
      <c r="G296" s="16">
        <f>IF(D296=0,0,SUMIF(매도완료!$J:$J,Sheet2!$B296,매도완료!$S:$S))</f>
        <v>299240</v>
      </c>
      <c r="H296" s="16">
        <f t="shared" si="9"/>
        <v>425271.40799999994</v>
      </c>
    </row>
    <row r="297" spans="2:8" hidden="1" x14ac:dyDescent="0.4">
      <c r="B297" s="1">
        <v>42846</v>
      </c>
      <c r="C297" s="16">
        <f>SUMIF(매도완료!$G:$G,Sheet2!$B297,매도완료!$P:$P)</f>
        <v>0</v>
      </c>
      <c r="D297" s="16">
        <f>SUMIF(매도완료!$J:$J,Sheet2!$B297,매도완료!$P:$P)</f>
        <v>0</v>
      </c>
      <c r="E297" s="16">
        <f t="shared" si="8"/>
        <v>21145610</v>
      </c>
      <c r="G297" s="16">
        <f>IF(D297=0,0,SUMIF(매도완료!$J:$J,Sheet2!$B297,매도완료!$S:$S))</f>
        <v>0</v>
      </c>
      <c r="H297" s="16">
        <f t="shared" si="9"/>
        <v>425271.40799999994</v>
      </c>
    </row>
    <row r="298" spans="2:8" hidden="1" x14ac:dyDescent="0.4">
      <c r="B298" s="1">
        <v>42847</v>
      </c>
      <c r="C298" s="16">
        <f>SUMIF(매도완료!$G:$G,Sheet2!$B298,매도완료!$P:$P)</f>
        <v>0</v>
      </c>
      <c r="D298" s="16">
        <f>SUMIF(매도완료!$J:$J,Sheet2!$B298,매도완료!$P:$P)</f>
        <v>0</v>
      </c>
      <c r="E298" s="16">
        <f t="shared" si="8"/>
        <v>21145610</v>
      </c>
      <c r="G298" s="16">
        <f>IF(D298=0,0,SUMIF(매도완료!$J:$J,Sheet2!$B298,매도완료!$S:$S))</f>
        <v>0</v>
      </c>
      <c r="H298" s="16">
        <f t="shared" si="9"/>
        <v>425271.40799999994</v>
      </c>
    </row>
    <row r="299" spans="2:8" hidden="1" x14ac:dyDescent="0.4">
      <c r="B299" s="1">
        <v>42848</v>
      </c>
      <c r="C299" s="16">
        <f>SUMIF(매도완료!$G:$G,Sheet2!$B299,매도완료!$P:$P)</f>
        <v>0</v>
      </c>
      <c r="D299" s="16">
        <f>SUMIF(매도완료!$J:$J,Sheet2!$B299,매도완료!$P:$P)</f>
        <v>0</v>
      </c>
      <c r="E299" s="16">
        <f t="shared" si="8"/>
        <v>21145610</v>
      </c>
      <c r="G299" s="16">
        <f>IF(D299=0,0,SUMIF(매도완료!$J:$J,Sheet2!$B299,매도완료!$S:$S))</f>
        <v>0</v>
      </c>
      <c r="H299" s="16">
        <f t="shared" si="9"/>
        <v>425271.40799999994</v>
      </c>
    </row>
    <row r="300" spans="2:8" hidden="1" x14ac:dyDescent="0.4">
      <c r="B300" s="1">
        <v>42849</v>
      </c>
      <c r="C300" s="16">
        <f>SUMIF(매도완료!$G:$G,Sheet2!$B300,매도완료!$P:$P)</f>
        <v>0</v>
      </c>
      <c r="D300" s="16">
        <f>SUMIF(매도완료!$J:$J,Sheet2!$B300,매도완료!$P:$P)</f>
        <v>0</v>
      </c>
      <c r="E300" s="16">
        <f t="shared" si="8"/>
        <v>21145610</v>
      </c>
      <c r="G300" s="16">
        <f>IF(D300=0,0,SUMIF(매도완료!$J:$J,Sheet2!$B300,매도완료!$S:$S))</f>
        <v>0</v>
      </c>
      <c r="H300" s="16">
        <f t="shared" si="9"/>
        <v>425271.40799999994</v>
      </c>
    </row>
    <row r="301" spans="2:8" hidden="1" x14ac:dyDescent="0.4">
      <c r="B301" s="1">
        <v>42850</v>
      </c>
      <c r="C301" s="16">
        <f>SUMIF(매도완료!$G:$G,Sheet2!$B301,매도완료!$P:$P)</f>
        <v>0</v>
      </c>
      <c r="D301" s="16">
        <f>SUMIF(매도완료!$J:$J,Sheet2!$B301,매도완료!$P:$P)</f>
        <v>0</v>
      </c>
      <c r="E301" s="16">
        <f t="shared" si="8"/>
        <v>21145610</v>
      </c>
      <c r="G301" s="16">
        <f>IF(D301=0,0,SUMIF(매도완료!$J:$J,Sheet2!$B301,매도완료!$S:$S))</f>
        <v>0</v>
      </c>
      <c r="H301" s="16">
        <f t="shared" si="9"/>
        <v>425271.40799999994</v>
      </c>
    </row>
    <row r="302" spans="2:8" hidden="1" x14ac:dyDescent="0.4">
      <c r="B302" s="1">
        <v>42851</v>
      </c>
      <c r="C302" s="16">
        <f>SUMIF(매도완료!$G:$G,Sheet2!$B302,매도완료!$P:$P)</f>
        <v>1402500</v>
      </c>
      <c r="D302" s="16">
        <f>SUMIF(매도완료!$J:$J,Sheet2!$B302,매도완료!$P:$P)</f>
        <v>0</v>
      </c>
      <c r="E302" s="16">
        <f t="shared" si="8"/>
        <v>22548110</v>
      </c>
      <c r="G302" s="16">
        <f>IF(D302=0,0,SUMIF(매도완료!$J:$J,Sheet2!$B302,매도완료!$S:$S))</f>
        <v>0</v>
      </c>
      <c r="H302" s="16">
        <f t="shared" si="9"/>
        <v>425271.40799999994</v>
      </c>
    </row>
    <row r="303" spans="2:8" hidden="1" x14ac:dyDescent="0.4">
      <c r="B303" s="1">
        <v>42852</v>
      </c>
      <c r="C303" s="16">
        <f>SUMIF(매도완료!$G:$G,Sheet2!$B303,매도완료!$P:$P)</f>
        <v>0</v>
      </c>
      <c r="D303" s="16">
        <f>SUMIF(매도완료!$J:$J,Sheet2!$B303,매도완료!$P:$P)</f>
        <v>0</v>
      </c>
      <c r="E303" s="16">
        <f t="shared" si="8"/>
        <v>22548110</v>
      </c>
      <c r="G303" s="16">
        <f>IF(D303=0,0,SUMIF(매도완료!$J:$J,Sheet2!$B303,매도완료!$S:$S))</f>
        <v>0</v>
      </c>
      <c r="H303" s="16">
        <f t="shared" si="9"/>
        <v>425271.40799999994</v>
      </c>
    </row>
    <row r="304" spans="2:8" hidden="1" x14ac:dyDescent="0.4">
      <c r="B304" s="1">
        <v>42853</v>
      </c>
      <c r="C304" s="16">
        <f>SUMIF(매도완료!$G:$G,Sheet2!$B304,매도완료!$P:$P)</f>
        <v>0</v>
      </c>
      <c r="D304" s="16">
        <f>SUMIF(매도완료!$J:$J,Sheet2!$B304,매도완료!$P:$P)</f>
        <v>0</v>
      </c>
      <c r="E304" s="16">
        <f t="shared" si="8"/>
        <v>22548110</v>
      </c>
      <c r="G304" s="16">
        <f>IF(D304=0,0,SUMIF(매도완료!$J:$J,Sheet2!$B304,매도완료!$S:$S))</f>
        <v>0</v>
      </c>
      <c r="H304" s="16">
        <f t="shared" si="9"/>
        <v>425271.40799999994</v>
      </c>
    </row>
    <row r="305" spans="2:8" hidden="1" x14ac:dyDescent="0.4">
      <c r="B305" s="1">
        <v>42854</v>
      </c>
      <c r="C305" s="16">
        <f>SUMIF(매도완료!$G:$G,Sheet2!$B305,매도완료!$P:$P)</f>
        <v>0</v>
      </c>
      <c r="D305" s="16">
        <f>SUMIF(매도완료!$J:$J,Sheet2!$B305,매도완료!$P:$P)</f>
        <v>0</v>
      </c>
      <c r="E305" s="16">
        <f t="shared" si="8"/>
        <v>22548110</v>
      </c>
      <c r="G305" s="16">
        <f>IF(D305=0,0,SUMIF(매도완료!$J:$J,Sheet2!$B305,매도완료!$S:$S))</f>
        <v>0</v>
      </c>
      <c r="H305" s="16">
        <f t="shared" si="9"/>
        <v>425271.40799999994</v>
      </c>
    </row>
    <row r="306" spans="2:8" hidden="1" x14ac:dyDescent="0.4">
      <c r="B306" s="1">
        <v>42855</v>
      </c>
      <c r="C306" s="16">
        <f>SUMIF(매도완료!$G:$G,Sheet2!$B306,매도완료!$P:$P)</f>
        <v>0</v>
      </c>
      <c r="D306" s="16">
        <f>SUMIF(매도완료!$J:$J,Sheet2!$B306,매도완료!$P:$P)</f>
        <v>0</v>
      </c>
      <c r="E306" s="16">
        <f t="shared" si="8"/>
        <v>22548110</v>
      </c>
      <c r="G306" s="16">
        <f>IF(D306=0,0,SUMIF(매도완료!$J:$J,Sheet2!$B306,매도완료!$S:$S))</f>
        <v>0</v>
      </c>
      <c r="H306" s="16">
        <f t="shared" si="9"/>
        <v>425271.40799999994</v>
      </c>
    </row>
    <row r="307" spans="2:8" hidden="1" x14ac:dyDescent="0.4">
      <c r="B307" s="1">
        <v>42856</v>
      </c>
      <c r="C307" s="16">
        <f>SUMIF(매도완료!$G:$G,Sheet2!$B307,매도완료!$P:$P)</f>
        <v>0</v>
      </c>
      <c r="D307" s="16">
        <f>SUMIF(매도완료!$J:$J,Sheet2!$B307,매도완료!$P:$P)</f>
        <v>0</v>
      </c>
      <c r="E307" s="16">
        <f t="shared" si="8"/>
        <v>22548110</v>
      </c>
      <c r="G307" s="16">
        <f>IF(D307=0,0,SUMIF(매도완료!$J:$J,Sheet2!$B307,매도완료!$S:$S))</f>
        <v>0</v>
      </c>
      <c r="H307" s="16">
        <f t="shared" si="9"/>
        <v>425271.40799999994</v>
      </c>
    </row>
    <row r="308" spans="2:8" hidden="1" x14ac:dyDescent="0.4">
      <c r="B308" s="1">
        <v>42857</v>
      </c>
      <c r="C308" s="16">
        <f>SUMIF(매도완료!$G:$G,Sheet2!$B308,매도완료!$P:$P)</f>
        <v>0</v>
      </c>
      <c r="D308" s="16">
        <f>SUMIF(매도완료!$J:$J,Sheet2!$B308,매도완료!$P:$P)</f>
        <v>0</v>
      </c>
      <c r="E308" s="16">
        <f t="shared" si="8"/>
        <v>22548110</v>
      </c>
      <c r="G308" s="16">
        <f>IF(D308=0,0,SUMIF(매도완료!$J:$J,Sheet2!$B308,매도완료!$S:$S))</f>
        <v>0</v>
      </c>
      <c r="H308" s="16">
        <f t="shared" si="9"/>
        <v>425271.40799999994</v>
      </c>
    </row>
    <row r="309" spans="2:8" hidden="1" x14ac:dyDescent="0.4">
      <c r="B309" s="1">
        <v>42858</v>
      </c>
      <c r="C309" s="16">
        <f>SUMIF(매도완료!$G:$G,Sheet2!$B309,매도완료!$P:$P)</f>
        <v>0</v>
      </c>
      <c r="D309" s="16">
        <f>SUMIF(매도완료!$J:$J,Sheet2!$B309,매도완료!$P:$P)</f>
        <v>0</v>
      </c>
      <c r="E309" s="16">
        <f t="shared" si="8"/>
        <v>22548110</v>
      </c>
      <c r="G309" s="16">
        <f>IF(D309=0,0,SUMIF(매도완료!$J:$J,Sheet2!$B309,매도완료!$S:$S))</f>
        <v>0</v>
      </c>
      <c r="H309" s="16">
        <f t="shared" si="9"/>
        <v>425271.40799999994</v>
      </c>
    </row>
    <row r="310" spans="2:8" hidden="1" x14ac:dyDescent="0.4">
      <c r="B310" s="1">
        <v>42859</v>
      </c>
      <c r="C310" s="16">
        <f>SUMIF(매도완료!$G:$G,Sheet2!$B310,매도완료!$P:$P)</f>
        <v>0</v>
      </c>
      <c r="D310" s="16">
        <f>SUMIF(매도완료!$J:$J,Sheet2!$B310,매도완료!$P:$P)</f>
        <v>0</v>
      </c>
      <c r="E310" s="16">
        <f t="shared" si="8"/>
        <v>22548110</v>
      </c>
      <c r="G310" s="16">
        <f>IF(D310=0,0,SUMIF(매도완료!$J:$J,Sheet2!$B310,매도완료!$S:$S))</f>
        <v>0</v>
      </c>
      <c r="H310" s="16">
        <f t="shared" si="9"/>
        <v>425271.40799999994</v>
      </c>
    </row>
    <row r="311" spans="2:8" hidden="1" x14ac:dyDescent="0.4">
      <c r="B311" s="1">
        <v>42860</v>
      </c>
      <c r="C311" s="16">
        <f>SUMIF(매도완료!$G:$G,Sheet2!$B311,매도완료!$P:$P)</f>
        <v>0</v>
      </c>
      <c r="D311" s="16">
        <f>SUMIF(매도완료!$J:$J,Sheet2!$B311,매도완료!$P:$P)</f>
        <v>0</v>
      </c>
      <c r="E311" s="16">
        <f t="shared" si="8"/>
        <v>22548110</v>
      </c>
      <c r="G311" s="16">
        <f>IF(D311=0,0,SUMIF(매도완료!$J:$J,Sheet2!$B311,매도완료!$S:$S))</f>
        <v>0</v>
      </c>
      <c r="H311" s="16">
        <f t="shared" si="9"/>
        <v>425271.40799999994</v>
      </c>
    </row>
    <row r="312" spans="2:8" hidden="1" x14ac:dyDescent="0.4">
      <c r="B312" s="1">
        <v>42861</v>
      </c>
      <c r="C312" s="16">
        <f>SUMIF(매도완료!$G:$G,Sheet2!$B312,매도완료!$P:$P)</f>
        <v>0</v>
      </c>
      <c r="D312" s="16">
        <f>SUMIF(매도완료!$J:$J,Sheet2!$B312,매도완료!$P:$P)</f>
        <v>0</v>
      </c>
      <c r="E312" s="16">
        <f t="shared" si="8"/>
        <v>22548110</v>
      </c>
      <c r="G312" s="16">
        <f>IF(D312=0,0,SUMIF(매도완료!$J:$J,Sheet2!$B312,매도완료!$S:$S))</f>
        <v>0</v>
      </c>
      <c r="H312" s="16">
        <f t="shared" si="9"/>
        <v>425271.40799999994</v>
      </c>
    </row>
    <row r="313" spans="2:8" hidden="1" x14ac:dyDescent="0.4">
      <c r="B313" s="1">
        <v>42862</v>
      </c>
      <c r="C313" s="16">
        <f>SUMIF(매도완료!$G:$G,Sheet2!$B313,매도완료!$P:$P)</f>
        <v>0</v>
      </c>
      <c r="D313" s="16">
        <f>SUMIF(매도완료!$J:$J,Sheet2!$B313,매도완료!$P:$P)</f>
        <v>0</v>
      </c>
      <c r="E313" s="16">
        <f t="shared" si="8"/>
        <v>22548110</v>
      </c>
      <c r="G313" s="16">
        <f>IF(D313=0,0,SUMIF(매도완료!$J:$J,Sheet2!$B313,매도완료!$S:$S))</f>
        <v>0</v>
      </c>
      <c r="H313" s="16">
        <f t="shared" si="9"/>
        <v>425271.40799999994</v>
      </c>
    </row>
    <row r="314" spans="2:8" hidden="1" x14ac:dyDescent="0.4">
      <c r="B314" s="1">
        <v>42863</v>
      </c>
      <c r="C314" s="16">
        <f>SUMIF(매도완료!$G:$G,Sheet2!$B314,매도완료!$P:$P)</f>
        <v>0</v>
      </c>
      <c r="D314" s="16">
        <f>SUMIF(매도완료!$J:$J,Sheet2!$B314,매도완료!$P:$P)</f>
        <v>0</v>
      </c>
      <c r="E314" s="16">
        <f t="shared" si="8"/>
        <v>22548110</v>
      </c>
      <c r="G314" s="16">
        <f>IF(D314=0,0,SUMIF(매도완료!$J:$J,Sheet2!$B314,매도완료!$S:$S))</f>
        <v>0</v>
      </c>
      <c r="H314" s="16">
        <f t="shared" si="9"/>
        <v>425271.40799999994</v>
      </c>
    </row>
    <row r="315" spans="2:8" hidden="1" x14ac:dyDescent="0.4">
      <c r="B315" s="1">
        <v>42864</v>
      </c>
      <c r="C315" s="16">
        <f>SUMIF(매도완료!$G:$G,Sheet2!$B315,매도완료!$P:$P)</f>
        <v>0</v>
      </c>
      <c r="D315" s="16">
        <f>SUMIF(매도완료!$J:$J,Sheet2!$B315,매도완료!$P:$P)</f>
        <v>0</v>
      </c>
      <c r="E315" s="16">
        <f t="shared" si="8"/>
        <v>22548110</v>
      </c>
      <c r="G315" s="16">
        <f>IF(D315=0,0,SUMIF(매도완료!$J:$J,Sheet2!$B315,매도완료!$S:$S))</f>
        <v>0</v>
      </c>
      <c r="H315" s="16">
        <f t="shared" si="9"/>
        <v>425271.40799999994</v>
      </c>
    </row>
    <row r="316" spans="2:8" hidden="1" x14ac:dyDescent="0.4">
      <c r="B316" s="1">
        <v>42865</v>
      </c>
      <c r="C316" s="16">
        <f>SUMIF(매도완료!$G:$G,Sheet2!$B316,매도완료!$P:$P)</f>
        <v>0</v>
      </c>
      <c r="D316" s="16">
        <f>SUMIF(매도완료!$J:$J,Sheet2!$B316,매도완료!$P:$P)</f>
        <v>0</v>
      </c>
      <c r="E316" s="16">
        <f t="shared" si="8"/>
        <v>22548110</v>
      </c>
      <c r="G316" s="16">
        <f>IF(D316=0,0,SUMIF(매도완료!$J:$J,Sheet2!$B316,매도완료!$S:$S))</f>
        <v>0</v>
      </c>
      <c r="H316" s="16">
        <f t="shared" si="9"/>
        <v>425271.40799999994</v>
      </c>
    </row>
    <row r="317" spans="2:8" hidden="1" x14ac:dyDescent="0.4">
      <c r="B317" s="1">
        <v>42866</v>
      </c>
      <c r="C317" s="16">
        <f>SUMIF(매도완료!$G:$G,Sheet2!$B317,매도완료!$P:$P)</f>
        <v>0</v>
      </c>
      <c r="D317" s="16">
        <f>SUMIF(매도완료!$J:$J,Sheet2!$B317,매도완료!$P:$P)</f>
        <v>0</v>
      </c>
      <c r="E317" s="16">
        <f t="shared" si="8"/>
        <v>22548110</v>
      </c>
      <c r="G317" s="16">
        <f>IF(D317=0,0,SUMIF(매도완료!$J:$J,Sheet2!$B317,매도완료!$S:$S))</f>
        <v>0</v>
      </c>
      <c r="H317" s="16">
        <f t="shared" si="9"/>
        <v>425271.40799999994</v>
      </c>
    </row>
    <row r="318" spans="2:8" hidden="1" x14ac:dyDescent="0.4">
      <c r="B318" s="1">
        <v>42867</v>
      </c>
      <c r="C318" s="16">
        <f>SUMIF(매도완료!$G:$G,Sheet2!$B318,매도완료!$P:$P)</f>
        <v>0</v>
      </c>
      <c r="D318" s="16">
        <f>SUMIF(매도완료!$J:$J,Sheet2!$B318,매도완료!$P:$P)</f>
        <v>0</v>
      </c>
      <c r="E318" s="16">
        <f t="shared" si="8"/>
        <v>22548110</v>
      </c>
      <c r="G318" s="16">
        <f>IF(D318=0,0,SUMIF(매도완료!$J:$J,Sheet2!$B318,매도완료!$S:$S))</f>
        <v>0</v>
      </c>
      <c r="H318" s="16">
        <f t="shared" si="9"/>
        <v>425271.40799999994</v>
      </c>
    </row>
    <row r="319" spans="2:8" hidden="1" x14ac:dyDescent="0.4">
      <c r="B319" s="1">
        <v>42868</v>
      </c>
      <c r="C319" s="16">
        <f>SUMIF(매도완료!$G:$G,Sheet2!$B319,매도완료!$P:$P)</f>
        <v>0</v>
      </c>
      <c r="D319" s="16">
        <f>SUMIF(매도완료!$J:$J,Sheet2!$B319,매도완료!$P:$P)</f>
        <v>0</v>
      </c>
      <c r="E319" s="16">
        <f t="shared" si="8"/>
        <v>22548110</v>
      </c>
      <c r="G319" s="16">
        <f>IF(D319=0,0,SUMIF(매도완료!$J:$J,Sheet2!$B319,매도완료!$S:$S))</f>
        <v>0</v>
      </c>
      <c r="H319" s="16">
        <f t="shared" si="9"/>
        <v>425271.40799999994</v>
      </c>
    </row>
    <row r="320" spans="2:8" hidden="1" x14ac:dyDescent="0.4">
      <c r="B320" s="1">
        <v>42869</v>
      </c>
      <c r="C320" s="16">
        <f>SUMIF(매도완료!$G:$G,Sheet2!$B320,매도완료!$P:$P)</f>
        <v>0</v>
      </c>
      <c r="D320" s="16">
        <f>SUMIF(매도완료!$J:$J,Sheet2!$B320,매도완료!$P:$P)</f>
        <v>0</v>
      </c>
      <c r="E320" s="16">
        <f t="shared" si="8"/>
        <v>22548110</v>
      </c>
      <c r="G320" s="16">
        <f>IF(D320=0,0,SUMIF(매도완료!$J:$J,Sheet2!$B320,매도완료!$S:$S))</f>
        <v>0</v>
      </c>
      <c r="H320" s="16">
        <f t="shared" si="9"/>
        <v>425271.40799999994</v>
      </c>
    </row>
    <row r="321" spans="2:8" hidden="1" x14ac:dyDescent="0.4">
      <c r="B321" s="1">
        <v>42870</v>
      </c>
      <c r="C321" s="16">
        <f>SUMIF(매도완료!$G:$G,Sheet2!$B321,매도완료!$P:$P)</f>
        <v>0</v>
      </c>
      <c r="D321" s="16">
        <f>SUMIF(매도완료!$J:$J,Sheet2!$B321,매도완료!$P:$P)</f>
        <v>0</v>
      </c>
      <c r="E321" s="16">
        <f t="shared" si="8"/>
        <v>22548110</v>
      </c>
      <c r="G321" s="16">
        <f>IF(D321=0,0,SUMIF(매도완료!$J:$J,Sheet2!$B321,매도완료!$S:$S))</f>
        <v>0</v>
      </c>
      <c r="H321" s="16">
        <f t="shared" si="9"/>
        <v>425271.40799999994</v>
      </c>
    </row>
    <row r="322" spans="2:8" hidden="1" x14ac:dyDescent="0.4">
      <c r="B322" s="1">
        <v>42871</v>
      </c>
      <c r="C322" s="16">
        <f>SUMIF(매도완료!$G:$G,Sheet2!$B322,매도완료!$P:$P)</f>
        <v>0</v>
      </c>
      <c r="D322" s="16">
        <f>SUMIF(매도완료!$J:$J,Sheet2!$B322,매도완료!$P:$P)</f>
        <v>0</v>
      </c>
      <c r="E322" s="16">
        <f t="shared" si="8"/>
        <v>22548110</v>
      </c>
      <c r="G322" s="16">
        <f>IF(D322=0,0,SUMIF(매도완료!$J:$J,Sheet2!$B322,매도완료!$S:$S))</f>
        <v>0</v>
      </c>
      <c r="H322" s="16">
        <f t="shared" si="9"/>
        <v>425271.40799999994</v>
      </c>
    </row>
    <row r="323" spans="2:8" hidden="1" x14ac:dyDescent="0.4">
      <c r="B323" s="1">
        <v>42872</v>
      </c>
      <c r="C323" s="16">
        <f>SUMIF(매도완료!$G:$G,Sheet2!$B323,매도완료!$P:$P)</f>
        <v>0</v>
      </c>
      <c r="D323" s="16">
        <f>SUMIF(매도완료!$J:$J,Sheet2!$B323,매도완료!$P:$P)</f>
        <v>0</v>
      </c>
      <c r="E323" s="16">
        <f t="shared" si="8"/>
        <v>22548110</v>
      </c>
      <c r="G323" s="16">
        <f>IF(D323=0,0,SUMIF(매도완료!$J:$J,Sheet2!$B323,매도완료!$S:$S))</f>
        <v>0</v>
      </c>
      <c r="H323" s="16">
        <f t="shared" si="9"/>
        <v>425271.40799999994</v>
      </c>
    </row>
    <row r="324" spans="2:8" hidden="1" x14ac:dyDescent="0.4">
      <c r="B324" s="1">
        <v>42873</v>
      </c>
      <c r="C324" s="16">
        <f>SUMIF(매도완료!$G:$G,Sheet2!$B324,매도완료!$P:$P)</f>
        <v>0</v>
      </c>
      <c r="D324" s="16">
        <f>SUMIF(매도완료!$J:$J,Sheet2!$B324,매도완료!$P:$P)</f>
        <v>0</v>
      </c>
      <c r="E324" s="16">
        <f t="shared" ref="E324:E387" si="10">E323+C324-D324</f>
        <v>22548110</v>
      </c>
      <c r="G324" s="16">
        <f>IF(D324=0,0,SUMIF(매도완료!$J:$J,Sheet2!$B324,매도완료!$S:$S))</f>
        <v>0</v>
      </c>
      <c r="H324" s="16">
        <f t="shared" ref="H324:H387" si="11">H323+G324</f>
        <v>425271.40799999994</v>
      </c>
    </row>
    <row r="325" spans="2:8" hidden="1" x14ac:dyDescent="0.4">
      <c r="B325" s="1">
        <v>42874</v>
      </c>
      <c r="C325" s="16">
        <f>SUMIF(매도완료!$G:$G,Sheet2!$B325,매도완료!$P:$P)</f>
        <v>0</v>
      </c>
      <c r="D325" s="16">
        <f>SUMIF(매도완료!$J:$J,Sheet2!$B325,매도완료!$P:$P)</f>
        <v>0</v>
      </c>
      <c r="E325" s="16">
        <f t="shared" si="10"/>
        <v>22548110</v>
      </c>
      <c r="G325" s="16">
        <f>IF(D325=0,0,SUMIF(매도완료!$J:$J,Sheet2!$B325,매도완료!$S:$S))</f>
        <v>0</v>
      </c>
      <c r="H325" s="16">
        <f t="shared" si="11"/>
        <v>425271.40799999994</v>
      </c>
    </row>
    <row r="326" spans="2:8" hidden="1" x14ac:dyDescent="0.4">
      <c r="B326" s="1">
        <v>42875</v>
      </c>
      <c r="C326" s="16">
        <f>SUMIF(매도완료!$G:$G,Sheet2!$B326,매도완료!$P:$P)</f>
        <v>0</v>
      </c>
      <c r="D326" s="16">
        <f>SUMIF(매도완료!$J:$J,Sheet2!$B326,매도완료!$P:$P)</f>
        <v>0</v>
      </c>
      <c r="E326" s="16">
        <f t="shared" si="10"/>
        <v>22548110</v>
      </c>
      <c r="G326" s="16">
        <f>IF(D326=0,0,SUMIF(매도완료!$J:$J,Sheet2!$B326,매도완료!$S:$S))</f>
        <v>0</v>
      </c>
      <c r="H326" s="16">
        <f t="shared" si="11"/>
        <v>425271.40799999994</v>
      </c>
    </row>
    <row r="327" spans="2:8" hidden="1" x14ac:dyDescent="0.4">
      <c r="B327" s="1">
        <v>42876</v>
      </c>
      <c r="C327" s="16">
        <f>SUMIF(매도완료!$G:$G,Sheet2!$B327,매도완료!$P:$P)</f>
        <v>0</v>
      </c>
      <c r="D327" s="16">
        <f>SUMIF(매도완료!$J:$J,Sheet2!$B327,매도완료!$P:$P)</f>
        <v>0</v>
      </c>
      <c r="E327" s="16">
        <f t="shared" si="10"/>
        <v>22548110</v>
      </c>
      <c r="G327" s="16">
        <f>IF(D327=0,0,SUMIF(매도완료!$J:$J,Sheet2!$B327,매도완료!$S:$S))</f>
        <v>0</v>
      </c>
      <c r="H327" s="16">
        <f t="shared" si="11"/>
        <v>425271.40799999994</v>
      </c>
    </row>
    <row r="328" spans="2:8" hidden="1" x14ac:dyDescent="0.4">
      <c r="B328" s="1">
        <v>42877</v>
      </c>
      <c r="C328" s="16">
        <f>SUMIF(매도완료!$G:$G,Sheet2!$B328,매도완료!$P:$P)</f>
        <v>0</v>
      </c>
      <c r="D328" s="16">
        <f>SUMIF(매도완료!$J:$J,Sheet2!$B328,매도완료!$P:$P)</f>
        <v>0</v>
      </c>
      <c r="E328" s="16">
        <f t="shared" si="10"/>
        <v>22548110</v>
      </c>
      <c r="G328" s="16">
        <f>IF(D328=0,0,SUMIF(매도완료!$J:$J,Sheet2!$B328,매도완료!$S:$S))</f>
        <v>0</v>
      </c>
      <c r="H328" s="16">
        <f t="shared" si="11"/>
        <v>425271.40799999994</v>
      </c>
    </row>
    <row r="329" spans="2:8" hidden="1" x14ac:dyDescent="0.4">
      <c r="B329" s="1">
        <v>42878</v>
      </c>
      <c r="C329" s="16">
        <f>SUMIF(매도완료!$G:$G,Sheet2!$B329,매도완료!$P:$P)</f>
        <v>0</v>
      </c>
      <c r="D329" s="16">
        <f>SUMIF(매도완료!$J:$J,Sheet2!$B329,매도완료!$P:$P)</f>
        <v>0</v>
      </c>
      <c r="E329" s="16">
        <f t="shared" si="10"/>
        <v>22548110</v>
      </c>
      <c r="G329" s="16">
        <f>IF(D329=0,0,SUMIF(매도완료!$J:$J,Sheet2!$B329,매도완료!$S:$S))</f>
        <v>0</v>
      </c>
      <c r="H329" s="16">
        <f t="shared" si="11"/>
        <v>425271.40799999994</v>
      </c>
    </row>
    <row r="330" spans="2:8" hidden="1" x14ac:dyDescent="0.4">
      <c r="B330" s="1">
        <v>42879</v>
      </c>
      <c r="C330" s="16">
        <f>SUMIF(매도완료!$G:$G,Sheet2!$B330,매도완료!$P:$P)</f>
        <v>0</v>
      </c>
      <c r="D330" s="16">
        <f>SUMIF(매도완료!$J:$J,Sheet2!$B330,매도완료!$P:$P)</f>
        <v>0</v>
      </c>
      <c r="E330" s="16">
        <f t="shared" si="10"/>
        <v>22548110</v>
      </c>
      <c r="G330" s="16">
        <f>IF(D330=0,0,SUMIF(매도완료!$J:$J,Sheet2!$B330,매도완료!$S:$S))</f>
        <v>0</v>
      </c>
      <c r="H330" s="16">
        <f t="shared" si="11"/>
        <v>425271.40799999994</v>
      </c>
    </row>
    <row r="331" spans="2:8" hidden="1" x14ac:dyDescent="0.4">
      <c r="B331" s="1">
        <v>42880</v>
      </c>
      <c r="C331" s="16">
        <f>SUMIF(매도완료!$G:$G,Sheet2!$B331,매도완료!$P:$P)</f>
        <v>0</v>
      </c>
      <c r="D331" s="16">
        <f>SUMIF(매도완료!$J:$J,Sheet2!$B331,매도완료!$P:$P)</f>
        <v>0</v>
      </c>
      <c r="E331" s="16">
        <f t="shared" si="10"/>
        <v>22548110</v>
      </c>
      <c r="G331" s="16">
        <f>IF(D331=0,0,SUMIF(매도완료!$J:$J,Sheet2!$B331,매도완료!$S:$S))</f>
        <v>0</v>
      </c>
      <c r="H331" s="16">
        <f t="shared" si="11"/>
        <v>425271.40799999994</v>
      </c>
    </row>
    <row r="332" spans="2:8" hidden="1" x14ac:dyDescent="0.4">
      <c r="B332" s="1">
        <v>42881</v>
      </c>
      <c r="C332" s="16">
        <f>SUMIF(매도완료!$G:$G,Sheet2!$B332,매도완료!$P:$P)</f>
        <v>0</v>
      </c>
      <c r="D332" s="16">
        <f>SUMIF(매도완료!$J:$J,Sheet2!$B332,매도완료!$P:$P)</f>
        <v>0</v>
      </c>
      <c r="E332" s="16">
        <f t="shared" si="10"/>
        <v>22548110</v>
      </c>
      <c r="G332" s="16">
        <f>IF(D332=0,0,SUMIF(매도완료!$J:$J,Sheet2!$B332,매도완료!$S:$S))</f>
        <v>0</v>
      </c>
      <c r="H332" s="16">
        <f t="shared" si="11"/>
        <v>425271.40799999994</v>
      </c>
    </row>
    <row r="333" spans="2:8" hidden="1" x14ac:dyDescent="0.4">
      <c r="B333" s="1">
        <v>42882</v>
      </c>
      <c r="C333" s="16">
        <f>SUMIF(매도완료!$G:$G,Sheet2!$B333,매도완료!$P:$P)</f>
        <v>0</v>
      </c>
      <c r="D333" s="16">
        <f>SUMIF(매도완료!$J:$J,Sheet2!$B333,매도완료!$P:$P)</f>
        <v>0</v>
      </c>
      <c r="E333" s="16">
        <f t="shared" si="10"/>
        <v>22548110</v>
      </c>
      <c r="G333" s="16">
        <f>IF(D333=0,0,SUMIF(매도완료!$J:$J,Sheet2!$B333,매도완료!$S:$S))</f>
        <v>0</v>
      </c>
      <c r="H333" s="16">
        <f t="shared" si="11"/>
        <v>425271.40799999994</v>
      </c>
    </row>
    <row r="334" spans="2:8" hidden="1" x14ac:dyDescent="0.4">
      <c r="B334" s="1">
        <v>42883</v>
      </c>
      <c r="C334" s="16">
        <f>SUMIF(매도완료!$G:$G,Sheet2!$B334,매도완료!$P:$P)</f>
        <v>0</v>
      </c>
      <c r="D334" s="16">
        <f>SUMIF(매도완료!$J:$J,Sheet2!$B334,매도완료!$P:$P)</f>
        <v>0</v>
      </c>
      <c r="E334" s="16">
        <f t="shared" si="10"/>
        <v>22548110</v>
      </c>
      <c r="G334" s="16">
        <f>IF(D334=0,0,SUMIF(매도완료!$J:$J,Sheet2!$B334,매도완료!$S:$S))</f>
        <v>0</v>
      </c>
      <c r="H334" s="16">
        <f t="shared" si="11"/>
        <v>425271.40799999994</v>
      </c>
    </row>
    <row r="335" spans="2:8" hidden="1" x14ac:dyDescent="0.4">
      <c r="B335" s="1">
        <v>42884</v>
      </c>
      <c r="C335" s="16">
        <f>SUMIF(매도완료!$G:$G,Sheet2!$B335,매도완료!$P:$P)</f>
        <v>0</v>
      </c>
      <c r="D335" s="16">
        <f>SUMIF(매도완료!$J:$J,Sheet2!$B335,매도완료!$P:$P)</f>
        <v>0</v>
      </c>
      <c r="E335" s="16">
        <f t="shared" si="10"/>
        <v>22548110</v>
      </c>
      <c r="G335" s="16">
        <f>IF(D335=0,0,SUMIF(매도완료!$J:$J,Sheet2!$B335,매도완료!$S:$S))</f>
        <v>0</v>
      </c>
      <c r="H335" s="16">
        <f t="shared" si="11"/>
        <v>425271.40799999994</v>
      </c>
    </row>
    <row r="336" spans="2:8" hidden="1" x14ac:dyDescent="0.4">
      <c r="B336" s="1">
        <v>42885</v>
      </c>
      <c r="C336" s="16">
        <f>SUMIF(매도완료!$G:$G,Sheet2!$B336,매도완료!$P:$P)</f>
        <v>0</v>
      </c>
      <c r="D336" s="16">
        <f>SUMIF(매도완료!$J:$J,Sheet2!$B336,매도완료!$P:$P)</f>
        <v>0</v>
      </c>
      <c r="E336" s="16">
        <f t="shared" si="10"/>
        <v>22548110</v>
      </c>
      <c r="G336" s="16">
        <f>IF(D336=0,0,SUMIF(매도완료!$J:$J,Sheet2!$B336,매도완료!$S:$S))</f>
        <v>0</v>
      </c>
      <c r="H336" s="16">
        <f t="shared" si="11"/>
        <v>425271.40799999994</v>
      </c>
    </row>
    <row r="337" spans="2:8" hidden="1" x14ac:dyDescent="0.4">
      <c r="B337" s="1">
        <v>42886</v>
      </c>
      <c r="C337" s="16">
        <f>SUMIF(매도완료!$G:$G,Sheet2!$B337,매도완료!$P:$P)</f>
        <v>0</v>
      </c>
      <c r="D337" s="16">
        <f>SUMIF(매도완료!$J:$J,Sheet2!$B337,매도완료!$P:$P)</f>
        <v>0</v>
      </c>
      <c r="E337" s="16">
        <f t="shared" si="10"/>
        <v>22548110</v>
      </c>
      <c r="G337" s="16">
        <f>IF(D337=0,0,SUMIF(매도완료!$J:$J,Sheet2!$B337,매도완료!$S:$S))</f>
        <v>0</v>
      </c>
      <c r="H337" s="16">
        <f t="shared" si="11"/>
        <v>425271.40799999994</v>
      </c>
    </row>
    <row r="338" spans="2:8" hidden="1" x14ac:dyDescent="0.4">
      <c r="B338" s="1">
        <v>42887</v>
      </c>
      <c r="C338" s="16">
        <f>SUMIF(매도완료!$G:$G,Sheet2!$B338,매도완료!$P:$P)</f>
        <v>0</v>
      </c>
      <c r="D338" s="16">
        <f>SUMIF(매도완료!$J:$J,Sheet2!$B338,매도완료!$P:$P)</f>
        <v>0</v>
      </c>
      <c r="E338" s="16">
        <f t="shared" si="10"/>
        <v>22548110</v>
      </c>
      <c r="G338" s="16">
        <f>IF(D338=0,0,SUMIF(매도완료!$J:$J,Sheet2!$B338,매도완료!$S:$S))</f>
        <v>0</v>
      </c>
      <c r="H338" s="16">
        <f t="shared" si="11"/>
        <v>425271.40799999994</v>
      </c>
    </row>
    <row r="339" spans="2:8" hidden="1" x14ac:dyDescent="0.4">
      <c r="B339" s="1">
        <v>42888</v>
      </c>
      <c r="C339" s="16">
        <f>SUMIF(매도완료!$G:$G,Sheet2!$B339,매도완료!$P:$P)</f>
        <v>0</v>
      </c>
      <c r="D339" s="16">
        <f>SUMIF(매도완료!$J:$J,Sheet2!$B339,매도완료!$P:$P)</f>
        <v>0</v>
      </c>
      <c r="E339" s="16">
        <f t="shared" si="10"/>
        <v>22548110</v>
      </c>
      <c r="G339" s="16">
        <f>IF(D339=0,0,SUMIF(매도완료!$J:$J,Sheet2!$B339,매도완료!$S:$S))</f>
        <v>0</v>
      </c>
      <c r="H339" s="16">
        <f t="shared" si="11"/>
        <v>425271.40799999994</v>
      </c>
    </row>
    <row r="340" spans="2:8" hidden="1" x14ac:dyDescent="0.4">
      <c r="B340" s="1">
        <v>42889</v>
      </c>
      <c r="C340" s="16">
        <f>SUMIF(매도완료!$G:$G,Sheet2!$B340,매도완료!$P:$P)</f>
        <v>0</v>
      </c>
      <c r="D340" s="16">
        <f>SUMIF(매도완료!$J:$J,Sheet2!$B340,매도완료!$P:$P)</f>
        <v>0</v>
      </c>
      <c r="E340" s="16">
        <f t="shared" si="10"/>
        <v>22548110</v>
      </c>
      <c r="G340" s="16">
        <f>IF(D340=0,0,SUMIF(매도완료!$J:$J,Sheet2!$B340,매도완료!$S:$S))</f>
        <v>0</v>
      </c>
      <c r="H340" s="16">
        <f t="shared" si="11"/>
        <v>425271.40799999994</v>
      </c>
    </row>
    <row r="341" spans="2:8" hidden="1" x14ac:dyDescent="0.4">
      <c r="B341" s="1">
        <v>42890</v>
      </c>
      <c r="C341" s="16">
        <f>SUMIF(매도완료!$G:$G,Sheet2!$B341,매도완료!$P:$P)</f>
        <v>0</v>
      </c>
      <c r="D341" s="16">
        <f>SUMIF(매도완료!$J:$J,Sheet2!$B341,매도완료!$P:$P)</f>
        <v>0</v>
      </c>
      <c r="E341" s="16">
        <f t="shared" si="10"/>
        <v>22548110</v>
      </c>
      <c r="G341" s="16">
        <f>IF(D341=0,0,SUMIF(매도완료!$J:$J,Sheet2!$B341,매도완료!$S:$S))</f>
        <v>0</v>
      </c>
      <c r="H341" s="16">
        <f t="shared" si="11"/>
        <v>425271.40799999994</v>
      </c>
    </row>
    <row r="342" spans="2:8" hidden="1" x14ac:dyDescent="0.4">
      <c r="B342" s="1">
        <v>42891</v>
      </c>
      <c r="C342" s="16">
        <f>SUMIF(매도완료!$G:$G,Sheet2!$B342,매도완료!$P:$P)</f>
        <v>0</v>
      </c>
      <c r="D342" s="16">
        <f>SUMIF(매도완료!$J:$J,Sheet2!$B342,매도완료!$P:$P)</f>
        <v>0</v>
      </c>
      <c r="E342" s="16">
        <f t="shared" si="10"/>
        <v>22548110</v>
      </c>
      <c r="G342" s="16">
        <f>IF(D342=0,0,SUMIF(매도완료!$J:$J,Sheet2!$B342,매도완료!$S:$S))</f>
        <v>0</v>
      </c>
      <c r="H342" s="16">
        <f t="shared" si="11"/>
        <v>425271.40799999994</v>
      </c>
    </row>
    <row r="343" spans="2:8" hidden="1" x14ac:dyDescent="0.4">
      <c r="B343" s="1">
        <v>42892</v>
      </c>
      <c r="C343" s="16">
        <f>SUMIF(매도완료!$G:$G,Sheet2!$B343,매도완료!$P:$P)</f>
        <v>0</v>
      </c>
      <c r="D343" s="16">
        <f>SUMIF(매도완료!$J:$J,Sheet2!$B343,매도완료!$P:$P)</f>
        <v>0</v>
      </c>
      <c r="E343" s="16">
        <f t="shared" si="10"/>
        <v>22548110</v>
      </c>
      <c r="G343" s="16">
        <f>IF(D343=0,0,SUMIF(매도완료!$J:$J,Sheet2!$B343,매도완료!$S:$S))</f>
        <v>0</v>
      </c>
      <c r="H343" s="16">
        <f t="shared" si="11"/>
        <v>425271.40799999994</v>
      </c>
    </row>
    <row r="344" spans="2:8" hidden="1" x14ac:dyDescent="0.4">
      <c r="B344" s="1">
        <v>42893</v>
      </c>
      <c r="C344" s="16">
        <f>SUMIF(매도완료!$G:$G,Sheet2!$B344,매도완료!$P:$P)</f>
        <v>0</v>
      </c>
      <c r="D344" s="16">
        <f>SUMIF(매도완료!$J:$J,Sheet2!$B344,매도완료!$P:$P)</f>
        <v>0</v>
      </c>
      <c r="E344" s="16">
        <f t="shared" si="10"/>
        <v>22548110</v>
      </c>
      <c r="G344" s="16">
        <f>IF(D344=0,0,SUMIF(매도완료!$J:$J,Sheet2!$B344,매도완료!$S:$S))</f>
        <v>0</v>
      </c>
      <c r="H344" s="16">
        <f t="shared" si="11"/>
        <v>425271.40799999994</v>
      </c>
    </row>
    <row r="345" spans="2:8" hidden="1" x14ac:dyDescent="0.4">
      <c r="B345" s="1">
        <v>42894</v>
      </c>
      <c r="C345" s="16">
        <f>SUMIF(매도완료!$G:$G,Sheet2!$B345,매도완료!$P:$P)</f>
        <v>0</v>
      </c>
      <c r="D345" s="16">
        <f>SUMIF(매도완료!$J:$J,Sheet2!$B345,매도완료!$P:$P)</f>
        <v>416000</v>
      </c>
      <c r="E345" s="16">
        <f t="shared" si="10"/>
        <v>22132110</v>
      </c>
      <c r="G345" s="16">
        <f>IF(D345=0,0,SUMIF(매도완료!$J:$J,Sheet2!$B345,매도완료!$S:$S))</f>
        <v>25388</v>
      </c>
      <c r="H345" s="16">
        <f t="shared" si="11"/>
        <v>450659.40799999994</v>
      </c>
    </row>
    <row r="346" spans="2:8" hidden="1" x14ac:dyDescent="0.4">
      <c r="B346" s="1">
        <v>42895</v>
      </c>
      <c r="C346" s="16">
        <f>SUMIF(매도완료!$G:$G,Sheet2!$B346,매도완료!$P:$P)</f>
        <v>0</v>
      </c>
      <c r="D346" s="16">
        <f>SUMIF(매도완료!$J:$J,Sheet2!$B346,매도완료!$P:$P)</f>
        <v>0</v>
      </c>
      <c r="E346" s="16">
        <f t="shared" si="10"/>
        <v>22132110</v>
      </c>
      <c r="G346" s="16">
        <f>IF(D346=0,0,SUMIF(매도완료!$J:$J,Sheet2!$B346,매도완료!$S:$S))</f>
        <v>0</v>
      </c>
      <c r="H346" s="16">
        <f t="shared" si="11"/>
        <v>450659.40799999994</v>
      </c>
    </row>
    <row r="347" spans="2:8" hidden="1" x14ac:dyDescent="0.4">
      <c r="B347" s="1">
        <v>42896</v>
      </c>
      <c r="C347" s="16">
        <f>SUMIF(매도완료!$G:$G,Sheet2!$B347,매도완료!$P:$P)</f>
        <v>0</v>
      </c>
      <c r="D347" s="16">
        <f>SUMIF(매도완료!$J:$J,Sheet2!$B347,매도완료!$P:$P)</f>
        <v>0</v>
      </c>
      <c r="E347" s="16">
        <f t="shared" si="10"/>
        <v>22132110</v>
      </c>
      <c r="G347" s="16">
        <f>IF(D347=0,0,SUMIF(매도완료!$J:$J,Sheet2!$B347,매도완료!$S:$S))</f>
        <v>0</v>
      </c>
      <c r="H347" s="16">
        <f t="shared" si="11"/>
        <v>450659.40799999994</v>
      </c>
    </row>
    <row r="348" spans="2:8" hidden="1" x14ac:dyDescent="0.4">
      <c r="B348" s="1">
        <v>42897</v>
      </c>
      <c r="C348" s="16">
        <f>SUMIF(매도완료!$G:$G,Sheet2!$B348,매도완료!$P:$P)</f>
        <v>0</v>
      </c>
      <c r="D348" s="16">
        <f>SUMIF(매도완료!$J:$J,Sheet2!$B348,매도완료!$P:$P)</f>
        <v>0</v>
      </c>
      <c r="E348" s="16">
        <f t="shared" si="10"/>
        <v>22132110</v>
      </c>
      <c r="G348" s="16">
        <f>IF(D348=0,0,SUMIF(매도완료!$J:$J,Sheet2!$B348,매도완료!$S:$S))</f>
        <v>0</v>
      </c>
      <c r="H348" s="16">
        <f t="shared" si="11"/>
        <v>450659.40799999994</v>
      </c>
    </row>
    <row r="349" spans="2:8" hidden="1" x14ac:dyDescent="0.4">
      <c r="B349" s="1">
        <v>42898</v>
      </c>
      <c r="C349" s="16">
        <f>SUMIF(매도완료!$G:$G,Sheet2!$B349,매도완료!$P:$P)</f>
        <v>0</v>
      </c>
      <c r="D349" s="16">
        <f>SUMIF(매도완료!$J:$J,Sheet2!$B349,매도완료!$P:$P)</f>
        <v>0</v>
      </c>
      <c r="E349" s="16">
        <f t="shared" si="10"/>
        <v>22132110</v>
      </c>
      <c r="G349" s="16">
        <f>IF(D349=0,0,SUMIF(매도완료!$J:$J,Sheet2!$B349,매도완료!$S:$S))</f>
        <v>0</v>
      </c>
      <c r="H349" s="16">
        <f t="shared" si="11"/>
        <v>450659.40799999994</v>
      </c>
    </row>
    <row r="350" spans="2:8" hidden="1" x14ac:dyDescent="0.4">
      <c r="B350" s="1">
        <v>42899</v>
      </c>
      <c r="C350" s="16">
        <f>SUMIF(매도완료!$G:$G,Sheet2!$B350,매도완료!$P:$P)</f>
        <v>0</v>
      </c>
      <c r="D350" s="16">
        <f>SUMIF(매도완료!$J:$J,Sheet2!$B350,매도완료!$P:$P)</f>
        <v>0</v>
      </c>
      <c r="E350" s="16">
        <f t="shared" si="10"/>
        <v>22132110</v>
      </c>
      <c r="G350" s="16">
        <f>IF(D350=0,0,SUMIF(매도완료!$J:$J,Sheet2!$B350,매도완료!$S:$S))</f>
        <v>0</v>
      </c>
      <c r="H350" s="16">
        <f t="shared" si="11"/>
        <v>450659.40799999994</v>
      </c>
    </row>
    <row r="351" spans="2:8" hidden="1" x14ac:dyDescent="0.4">
      <c r="B351" s="1">
        <v>42900</v>
      </c>
      <c r="C351" s="16">
        <f>SUMIF(매도완료!$G:$G,Sheet2!$B351,매도완료!$P:$P)</f>
        <v>0</v>
      </c>
      <c r="D351" s="16">
        <f>SUMIF(매도완료!$J:$J,Sheet2!$B351,매도완료!$P:$P)</f>
        <v>0</v>
      </c>
      <c r="E351" s="16">
        <f t="shared" si="10"/>
        <v>22132110</v>
      </c>
      <c r="G351" s="16">
        <f>IF(D351=0,0,SUMIF(매도완료!$J:$J,Sheet2!$B351,매도완료!$S:$S))</f>
        <v>0</v>
      </c>
      <c r="H351" s="16">
        <f t="shared" si="11"/>
        <v>450659.40799999994</v>
      </c>
    </row>
    <row r="352" spans="2:8" hidden="1" x14ac:dyDescent="0.4">
      <c r="B352" s="1">
        <v>42901</v>
      </c>
      <c r="C352" s="16">
        <f>SUMIF(매도완료!$G:$G,Sheet2!$B352,매도완료!$P:$P)</f>
        <v>0</v>
      </c>
      <c r="D352" s="16">
        <f>SUMIF(매도완료!$J:$J,Sheet2!$B352,매도완료!$P:$P)</f>
        <v>0</v>
      </c>
      <c r="E352" s="16">
        <f t="shared" si="10"/>
        <v>22132110</v>
      </c>
      <c r="G352" s="16">
        <f>IF(D352=0,0,SUMIF(매도완료!$J:$J,Sheet2!$B352,매도완료!$S:$S))</f>
        <v>0</v>
      </c>
      <c r="H352" s="16">
        <f t="shared" si="11"/>
        <v>450659.40799999994</v>
      </c>
    </row>
    <row r="353" spans="2:8" hidden="1" x14ac:dyDescent="0.4">
      <c r="B353" s="1">
        <v>42902</v>
      </c>
      <c r="C353" s="16">
        <f>SUMIF(매도완료!$G:$G,Sheet2!$B353,매도완료!$P:$P)</f>
        <v>0</v>
      </c>
      <c r="D353" s="16">
        <f>SUMIF(매도완료!$J:$J,Sheet2!$B353,매도완료!$P:$P)</f>
        <v>0</v>
      </c>
      <c r="E353" s="16">
        <f t="shared" si="10"/>
        <v>22132110</v>
      </c>
      <c r="G353" s="16">
        <f>IF(D353=0,0,SUMIF(매도완료!$J:$J,Sheet2!$B353,매도완료!$S:$S))</f>
        <v>0</v>
      </c>
      <c r="H353" s="16">
        <f t="shared" si="11"/>
        <v>450659.40799999994</v>
      </c>
    </row>
    <row r="354" spans="2:8" hidden="1" x14ac:dyDescent="0.4">
      <c r="B354" s="1">
        <v>42903</v>
      </c>
      <c r="C354" s="16">
        <f>SUMIF(매도완료!$G:$G,Sheet2!$B354,매도완료!$P:$P)</f>
        <v>0</v>
      </c>
      <c r="D354" s="16">
        <f>SUMIF(매도완료!$J:$J,Sheet2!$B354,매도완료!$P:$P)</f>
        <v>0</v>
      </c>
      <c r="E354" s="16">
        <f t="shared" si="10"/>
        <v>22132110</v>
      </c>
      <c r="G354" s="16">
        <f>IF(D354=0,0,SUMIF(매도완료!$J:$J,Sheet2!$B354,매도완료!$S:$S))</f>
        <v>0</v>
      </c>
      <c r="H354" s="16">
        <f t="shared" si="11"/>
        <v>450659.40799999994</v>
      </c>
    </row>
    <row r="355" spans="2:8" hidden="1" x14ac:dyDescent="0.4">
      <c r="B355" s="1">
        <v>42904</v>
      </c>
      <c r="C355" s="16">
        <f>SUMIF(매도완료!$G:$G,Sheet2!$B355,매도완료!$P:$P)</f>
        <v>0</v>
      </c>
      <c r="D355" s="16">
        <f>SUMIF(매도완료!$J:$J,Sheet2!$B355,매도완료!$P:$P)</f>
        <v>0</v>
      </c>
      <c r="E355" s="16">
        <f t="shared" si="10"/>
        <v>22132110</v>
      </c>
      <c r="G355" s="16">
        <f>IF(D355=0,0,SUMIF(매도완료!$J:$J,Sheet2!$B355,매도완료!$S:$S))</f>
        <v>0</v>
      </c>
      <c r="H355" s="16">
        <f t="shared" si="11"/>
        <v>450659.40799999994</v>
      </c>
    </row>
    <row r="356" spans="2:8" hidden="1" x14ac:dyDescent="0.4">
      <c r="B356" s="1">
        <v>42905</v>
      </c>
      <c r="C356" s="16">
        <f>SUMIF(매도완료!$G:$G,Sheet2!$B356,매도완료!$P:$P)</f>
        <v>0</v>
      </c>
      <c r="D356" s="16">
        <f>SUMIF(매도완료!$J:$J,Sheet2!$B356,매도완료!$P:$P)</f>
        <v>0</v>
      </c>
      <c r="E356" s="16">
        <f t="shared" si="10"/>
        <v>22132110</v>
      </c>
      <c r="G356" s="16">
        <f>IF(D356=0,0,SUMIF(매도완료!$J:$J,Sheet2!$B356,매도완료!$S:$S))</f>
        <v>0</v>
      </c>
      <c r="H356" s="16">
        <f t="shared" si="11"/>
        <v>450659.40799999994</v>
      </c>
    </row>
    <row r="357" spans="2:8" hidden="1" x14ac:dyDescent="0.4">
      <c r="B357" s="1">
        <v>42906</v>
      </c>
      <c r="C357" s="16">
        <f>SUMIF(매도완료!$G:$G,Sheet2!$B357,매도완료!$P:$P)</f>
        <v>0</v>
      </c>
      <c r="D357" s="16">
        <f>SUMIF(매도완료!$J:$J,Sheet2!$B357,매도완료!$P:$P)</f>
        <v>0</v>
      </c>
      <c r="E357" s="16">
        <f t="shared" si="10"/>
        <v>22132110</v>
      </c>
      <c r="G357" s="16">
        <f>IF(D357=0,0,SUMIF(매도완료!$J:$J,Sheet2!$B357,매도완료!$S:$S))</f>
        <v>0</v>
      </c>
      <c r="H357" s="16">
        <f t="shared" si="11"/>
        <v>450659.40799999994</v>
      </c>
    </row>
    <row r="358" spans="2:8" hidden="1" x14ac:dyDescent="0.4">
      <c r="B358" s="1">
        <v>42907</v>
      </c>
      <c r="C358" s="16">
        <f>SUMIF(매도완료!$G:$G,Sheet2!$B358,매도완료!$P:$P)</f>
        <v>0</v>
      </c>
      <c r="D358" s="16">
        <f>SUMIF(매도완료!$J:$J,Sheet2!$B358,매도완료!$P:$P)</f>
        <v>0</v>
      </c>
      <c r="E358" s="16">
        <f t="shared" si="10"/>
        <v>22132110</v>
      </c>
      <c r="G358" s="16">
        <f>IF(D358=0,0,SUMIF(매도완료!$J:$J,Sheet2!$B358,매도완료!$S:$S))</f>
        <v>0</v>
      </c>
      <c r="H358" s="16">
        <f t="shared" si="11"/>
        <v>450659.40799999994</v>
      </c>
    </row>
    <row r="359" spans="2:8" hidden="1" x14ac:dyDescent="0.4">
      <c r="B359" s="1">
        <v>42908</v>
      </c>
      <c r="C359" s="16">
        <f>SUMIF(매도완료!$G:$G,Sheet2!$B359,매도완료!$P:$P)</f>
        <v>0</v>
      </c>
      <c r="D359" s="16">
        <f>SUMIF(매도완료!$J:$J,Sheet2!$B359,매도완료!$P:$P)</f>
        <v>0</v>
      </c>
      <c r="E359" s="16">
        <f t="shared" si="10"/>
        <v>22132110</v>
      </c>
      <c r="G359" s="16">
        <f>IF(D359=0,0,SUMIF(매도완료!$J:$J,Sheet2!$B359,매도완료!$S:$S))</f>
        <v>0</v>
      </c>
      <c r="H359" s="16">
        <f t="shared" si="11"/>
        <v>450659.40799999994</v>
      </c>
    </row>
    <row r="360" spans="2:8" hidden="1" x14ac:dyDescent="0.4">
      <c r="B360" s="1">
        <v>42909</v>
      </c>
      <c r="C360" s="16">
        <f>SUMIF(매도완료!$G:$G,Sheet2!$B360,매도완료!$P:$P)</f>
        <v>0</v>
      </c>
      <c r="D360" s="16">
        <f>SUMIF(매도완료!$J:$J,Sheet2!$B360,매도완료!$P:$P)</f>
        <v>0</v>
      </c>
      <c r="E360" s="16">
        <f t="shared" si="10"/>
        <v>22132110</v>
      </c>
      <c r="G360" s="16">
        <f>IF(D360=0,0,SUMIF(매도완료!$J:$J,Sheet2!$B360,매도완료!$S:$S))</f>
        <v>0</v>
      </c>
      <c r="H360" s="16">
        <f t="shared" si="11"/>
        <v>450659.40799999994</v>
      </c>
    </row>
    <row r="361" spans="2:8" hidden="1" x14ac:dyDescent="0.4">
      <c r="B361" s="1">
        <v>42910</v>
      </c>
      <c r="C361" s="16">
        <f>SUMIF(매도완료!$G:$G,Sheet2!$B361,매도완료!$P:$P)</f>
        <v>0</v>
      </c>
      <c r="D361" s="16">
        <f>SUMIF(매도완료!$J:$J,Sheet2!$B361,매도완료!$P:$P)</f>
        <v>0</v>
      </c>
      <c r="E361" s="16">
        <f t="shared" si="10"/>
        <v>22132110</v>
      </c>
      <c r="G361" s="16">
        <f>IF(D361=0,0,SUMIF(매도완료!$J:$J,Sheet2!$B361,매도완료!$S:$S))</f>
        <v>0</v>
      </c>
      <c r="H361" s="16">
        <f t="shared" si="11"/>
        <v>450659.40799999994</v>
      </c>
    </row>
    <row r="362" spans="2:8" hidden="1" x14ac:dyDescent="0.4">
      <c r="B362" s="1">
        <v>42911</v>
      </c>
      <c r="C362" s="16">
        <f>SUMIF(매도완료!$G:$G,Sheet2!$B362,매도완료!$P:$P)</f>
        <v>0</v>
      </c>
      <c r="D362" s="16">
        <f>SUMIF(매도완료!$J:$J,Sheet2!$B362,매도완료!$P:$P)</f>
        <v>0</v>
      </c>
      <c r="E362" s="16">
        <f t="shared" si="10"/>
        <v>22132110</v>
      </c>
      <c r="G362" s="16">
        <f>IF(D362=0,0,SUMIF(매도완료!$J:$J,Sheet2!$B362,매도완료!$S:$S))</f>
        <v>0</v>
      </c>
      <c r="H362" s="16">
        <f t="shared" si="11"/>
        <v>450659.40799999994</v>
      </c>
    </row>
    <row r="363" spans="2:8" hidden="1" x14ac:dyDescent="0.4">
      <c r="B363" s="1">
        <v>42912</v>
      </c>
      <c r="C363" s="16">
        <f>SUMIF(매도완료!$G:$G,Sheet2!$B363,매도완료!$P:$P)</f>
        <v>0</v>
      </c>
      <c r="D363" s="16">
        <f>SUMIF(매도완료!$J:$J,Sheet2!$B363,매도완료!$P:$P)</f>
        <v>0</v>
      </c>
      <c r="E363" s="16">
        <f t="shared" si="10"/>
        <v>22132110</v>
      </c>
      <c r="G363" s="16">
        <f>IF(D363=0,0,SUMIF(매도완료!$J:$J,Sheet2!$B363,매도완료!$S:$S))</f>
        <v>0</v>
      </c>
      <c r="H363" s="16">
        <f t="shared" si="11"/>
        <v>450659.40799999994</v>
      </c>
    </row>
    <row r="364" spans="2:8" hidden="1" x14ac:dyDescent="0.4">
      <c r="B364" s="1">
        <v>42913</v>
      </c>
      <c r="C364" s="16">
        <f>SUMIF(매도완료!$G:$G,Sheet2!$B364,매도완료!$P:$P)</f>
        <v>0</v>
      </c>
      <c r="D364" s="16">
        <f>SUMIF(매도완료!$J:$J,Sheet2!$B364,매도완료!$P:$P)</f>
        <v>0</v>
      </c>
      <c r="E364" s="16">
        <f t="shared" si="10"/>
        <v>22132110</v>
      </c>
      <c r="G364" s="16">
        <f>IF(D364=0,0,SUMIF(매도완료!$J:$J,Sheet2!$B364,매도완료!$S:$S))</f>
        <v>0</v>
      </c>
      <c r="H364" s="16">
        <f t="shared" si="11"/>
        <v>450659.40799999994</v>
      </c>
    </row>
    <row r="365" spans="2:8" hidden="1" x14ac:dyDescent="0.4">
      <c r="B365" s="1">
        <v>42914</v>
      </c>
      <c r="C365" s="16">
        <f>SUMIF(매도완료!$G:$G,Sheet2!$B365,매도완료!$P:$P)</f>
        <v>0</v>
      </c>
      <c r="D365" s="16">
        <f>SUMIF(매도완료!$J:$J,Sheet2!$B365,매도완료!$P:$P)</f>
        <v>0</v>
      </c>
      <c r="E365" s="16">
        <f t="shared" si="10"/>
        <v>22132110</v>
      </c>
      <c r="G365" s="16">
        <f>IF(D365=0,0,SUMIF(매도완료!$J:$J,Sheet2!$B365,매도완료!$S:$S))</f>
        <v>0</v>
      </c>
      <c r="H365" s="16">
        <f t="shared" si="11"/>
        <v>450659.40799999994</v>
      </c>
    </row>
    <row r="366" spans="2:8" hidden="1" x14ac:dyDescent="0.4">
      <c r="B366" s="1">
        <v>42915</v>
      </c>
      <c r="C366" s="16">
        <f>SUMIF(매도완료!$G:$G,Sheet2!$B366,매도완료!$P:$P)</f>
        <v>0</v>
      </c>
      <c r="D366" s="16">
        <f>SUMIF(매도완료!$J:$J,Sheet2!$B366,매도완료!$P:$P)</f>
        <v>0</v>
      </c>
      <c r="E366" s="16">
        <f t="shared" si="10"/>
        <v>22132110</v>
      </c>
      <c r="G366" s="16">
        <f>IF(D366=0,0,SUMIF(매도완료!$J:$J,Sheet2!$B366,매도완료!$S:$S))</f>
        <v>0</v>
      </c>
      <c r="H366" s="16">
        <f t="shared" si="11"/>
        <v>450659.40799999994</v>
      </c>
    </row>
    <row r="367" spans="2:8" hidden="1" x14ac:dyDescent="0.4">
      <c r="B367" s="1">
        <v>42916</v>
      </c>
      <c r="C367" s="16">
        <f>SUMIF(매도완료!$G:$G,Sheet2!$B367,매도완료!$P:$P)</f>
        <v>0</v>
      </c>
      <c r="D367" s="16">
        <f>SUMIF(매도완료!$J:$J,Sheet2!$B367,매도완료!$P:$P)</f>
        <v>0</v>
      </c>
      <c r="E367" s="16">
        <f t="shared" si="10"/>
        <v>22132110</v>
      </c>
      <c r="G367" s="16">
        <f>IF(D367=0,0,SUMIF(매도완료!$J:$J,Sheet2!$B367,매도완료!$S:$S))</f>
        <v>0</v>
      </c>
      <c r="H367" s="16">
        <f t="shared" si="11"/>
        <v>450659.40799999994</v>
      </c>
    </row>
    <row r="368" spans="2:8" hidden="1" x14ac:dyDescent="0.4">
      <c r="B368" s="1">
        <v>42917</v>
      </c>
      <c r="C368" s="16">
        <f>SUMIF(매도완료!$G:$G,Sheet2!$B368,매도완료!$P:$P)</f>
        <v>0</v>
      </c>
      <c r="D368" s="16">
        <f>SUMIF(매도완료!$J:$J,Sheet2!$B368,매도완료!$P:$P)</f>
        <v>0</v>
      </c>
      <c r="E368" s="16">
        <f t="shared" si="10"/>
        <v>22132110</v>
      </c>
      <c r="G368" s="16">
        <f>IF(D368=0,0,SUMIF(매도완료!$J:$J,Sheet2!$B368,매도완료!$S:$S))</f>
        <v>0</v>
      </c>
      <c r="H368" s="16">
        <f t="shared" si="11"/>
        <v>450659.40799999994</v>
      </c>
    </row>
    <row r="369" spans="2:8" hidden="1" x14ac:dyDescent="0.4">
      <c r="B369" s="1">
        <v>42918</v>
      </c>
      <c r="C369" s="16">
        <f>SUMIF(매도완료!$G:$G,Sheet2!$B369,매도완료!$P:$P)</f>
        <v>0</v>
      </c>
      <c r="D369" s="16">
        <f>SUMIF(매도완료!$J:$J,Sheet2!$B369,매도완료!$P:$P)</f>
        <v>0</v>
      </c>
      <c r="E369" s="16">
        <f t="shared" si="10"/>
        <v>22132110</v>
      </c>
      <c r="G369" s="16">
        <f>IF(D369=0,0,SUMIF(매도완료!$J:$J,Sheet2!$B369,매도완료!$S:$S))</f>
        <v>0</v>
      </c>
      <c r="H369" s="16">
        <f t="shared" si="11"/>
        <v>450659.40799999994</v>
      </c>
    </row>
    <row r="370" spans="2:8" hidden="1" x14ac:dyDescent="0.4">
      <c r="B370" s="1">
        <v>42919</v>
      </c>
      <c r="C370" s="16">
        <f>SUMIF(매도완료!$G:$G,Sheet2!$B370,매도완료!$P:$P)</f>
        <v>0</v>
      </c>
      <c r="D370" s="16">
        <f>SUMIF(매도완료!$J:$J,Sheet2!$B370,매도완료!$P:$P)</f>
        <v>0</v>
      </c>
      <c r="E370" s="16">
        <f t="shared" si="10"/>
        <v>22132110</v>
      </c>
      <c r="G370" s="16">
        <f>IF(D370=0,0,SUMIF(매도완료!$J:$J,Sheet2!$B370,매도완료!$S:$S))</f>
        <v>0</v>
      </c>
      <c r="H370" s="16">
        <f t="shared" si="11"/>
        <v>450659.40799999994</v>
      </c>
    </row>
    <row r="371" spans="2:8" hidden="1" x14ac:dyDescent="0.4">
      <c r="B371" s="1">
        <v>42920</v>
      </c>
      <c r="C371" s="16">
        <f>SUMIF(매도완료!$G:$G,Sheet2!$B371,매도완료!$P:$P)</f>
        <v>0</v>
      </c>
      <c r="D371" s="16">
        <f>SUMIF(매도완료!$J:$J,Sheet2!$B371,매도완료!$P:$P)</f>
        <v>870000</v>
      </c>
      <c r="E371" s="16">
        <f t="shared" si="10"/>
        <v>21262110</v>
      </c>
      <c r="G371" s="16">
        <f>IF(D371=0,0,SUMIF(매도완료!$J:$J,Sheet2!$B371,매도완료!$S:$S))</f>
        <v>59790</v>
      </c>
      <c r="H371" s="16">
        <f t="shared" si="11"/>
        <v>510449.40799999994</v>
      </c>
    </row>
    <row r="372" spans="2:8" hidden="1" x14ac:dyDescent="0.4">
      <c r="B372" s="1">
        <v>42921</v>
      </c>
      <c r="C372" s="16">
        <f>SUMIF(매도완료!$G:$G,Sheet2!$B372,매도완료!$P:$P)</f>
        <v>0</v>
      </c>
      <c r="D372" s="16">
        <f>SUMIF(매도완료!$J:$J,Sheet2!$B372,매도완료!$P:$P)</f>
        <v>0</v>
      </c>
      <c r="E372" s="16">
        <f t="shared" si="10"/>
        <v>21262110</v>
      </c>
      <c r="G372" s="16">
        <f>IF(D372=0,0,SUMIF(매도완료!$J:$J,Sheet2!$B372,매도완료!$S:$S))</f>
        <v>0</v>
      </c>
      <c r="H372" s="16">
        <f t="shared" si="11"/>
        <v>510449.40799999994</v>
      </c>
    </row>
    <row r="373" spans="2:8" hidden="1" x14ac:dyDescent="0.4">
      <c r="B373" s="1">
        <v>42922</v>
      </c>
      <c r="C373" s="16">
        <f>SUMIF(매도완료!$G:$G,Sheet2!$B373,매도완료!$P:$P)</f>
        <v>0</v>
      </c>
      <c r="D373" s="16">
        <f>SUMIF(매도완료!$J:$J,Sheet2!$B373,매도완료!$P:$P)</f>
        <v>0</v>
      </c>
      <c r="E373" s="16">
        <f t="shared" si="10"/>
        <v>21262110</v>
      </c>
      <c r="G373" s="16">
        <f>IF(D373=0,0,SUMIF(매도완료!$J:$J,Sheet2!$B373,매도완료!$S:$S))</f>
        <v>0</v>
      </c>
      <c r="H373" s="16">
        <f t="shared" si="11"/>
        <v>510449.40799999994</v>
      </c>
    </row>
    <row r="374" spans="2:8" hidden="1" x14ac:dyDescent="0.4">
      <c r="B374" s="1">
        <v>42923</v>
      </c>
      <c r="C374" s="16">
        <f>SUMIF(매도완료!$G:$G,Sheet2!$B374,매도완료!$P:$P)</f>
        <v>0</v>
      </c>
      <c r="D374" s="16">
        <f>SUMIF(매도완료!$J:$J,Sheet2!$B374,매도완료!$P:$P)</f>
        <v>0</v>
      </c>
      <c r="E374" s="16">
        <f t="shared" si="10"/>
        <v>21262110</v>
      </c>
      <c r="G374" s="16">
        <f>IF(D374=0,0,SUMIF(매도완료!$J:$J,Sheet2!$B374,매도완료!$S:$S))</f>
        <v>0</v>
      </c>
      <c r="H374" s="16">
        <f t="shared" si="11"/>
        <v>510449.40799999994</v>
      </c>
    </row>
    <row r="375" spans="2:8" hidden="1" x14ac:dyDescent="0.4">
      <c r="B375" s="1">
        <v>42924</v>
      </c>
      <c r="C375" s="16">
        <f>SUMIF(매도완료!$G:$G,Sheet2!$B375,매도완료!$P:$P)</f>
        <v>0</v>
      </c>
      <c r="D375" s="16">
        <f>SUMIF(매도완료!$J:$J,Sheet2!$B375,매도완료!$P:$P)</f>
        <v>0</v>
      </c>
      <c r="E375" s="16">
        <f t="shared" si="10"/>
        <v>21262110</v>
      </c>
      <c r="G375" s="16">
        <f>IF(D375=0,0,SUMIF(매도완료!$J:$J,Sheet2!$B375,매도완료!$S:$S))</f>
        <v>0</v>
      </c>
      <c r="H375" s="16">
        <f t="shared" si="11"/>
        <v>510449.40799999994</v>
      </c>
    </row>
    <row r="376" spans="2:8" hidden="1" x14ac:dyDescent="0.4">
      <c r="B376" s="1">
        <v>42925</v>
      </c>
      <c r="C376" s="16">
        <f>SUMIF(매도완료!$G:$G,Sheet2!$B376,매도완료!$P:$P)</f>
        <v>0</v>
      </c>
      <c r="D376" s="16">
        <f>SUMIF(매도완료!$J:$J,Sheet2!$B376,매도완료!$P:$P)</f>
        <v>0</v>
      </c>
      <c r="E376" s="16">
        <f t="shared" si="10"/>
        <v>21262110</v>
      </c>
      <c r="G376" s="16">
        <f>IF(D376=0,0,SUMIF(매도완료!$J:$J,Sheet2!$B376,매도완료!$S:$S))</f>
        <v>0</v>
      </c>
      <c r="H376" s="16">
        <f t="shared" si="11"/>
        <v>510449.40799999994</v>
      </c>
    </row>
    <row r="377" spans="2:8" hidden="1" x14ac:dyDescent="0.4">
      <c r="B377" s="1">
        <v>42926</v>
      </c>
      <c r="C377" s="16">
        <f>SUMIF(매도완료!$G:$G,Sheet2!$B377,매도완료!$P:$P)</f>
        <v>0</v>
      </c>
      <c r="D377" s="16">
        <f>SUMIF(매도완료!$J:$J,Sheet2!$B377,매도완료!$P:$P)</f>
        <v>0</v>
      </c>
      <c r="E377" s="16">
        <f t="shared" si="10"/>
        <v>21262110</v>
      </c>
      <c r="G377" s="16">
        <f>IF(D377=0,0,SUMIF(매도완료!$J:$J,Sheet2!$B377,매도완료!$S:$S))</f>
        <v>0</v>
      </c>
      <c r="H377" s="16">
        <f t="shared" si="11"/>
        <v>510449.40799999994</v>
      </c>
    </row>
    <row r="378" spans="2:8" hidden="1" x14ac:dyDescent="0.4">
      <c r="B378" s="1">
        <v>42927</v>
      </c>
      <c r="C378" s="16">
        <f>SUMIF(매도완료!$G:$G,Sheet2!$B378,매도완료!$P:$P)</f>
        <v>0</v>
      </c>
      <c r="D378" s="16">
        <f>SUMIF(매도완료!$J:$J,Sheet2!$B378,매도완료!$P:$P)</f>
        <v>0</v>
      </c>
      <c r="E378" s="16">
        <f t="shared" si="10"/>
        <v>21262110</v>
      </c>
      <c r="G378" s="16">
        <f>IF(D378=0,0,SUMIF(매도완료!$J:$J,Sheet2!$B378,매도완료!$S:$S))</f>
        <v>0</v>
      </c>
      <c r="H378" s="16">
        <f t="shared" si="11"/>
        <v>510449.40799999994</v>
      </c>
    </row>
    <row r="379" spans="2:8" hidden="1" x14ac:dyDescent="0.4">
      <c r="B379" s="1">
        <v>42928</v>
      </c>
      <c r="C379" s="16">
        <f>SUMIF(매도완료!$G:$G,Sheet2!$B379,매도완료!$P:$P)</f>
        <v>0</v>
      </c>
      <c r="D379" s="16">
        <f>SUMIF(매도완료!$J:$J,Sheet2!$B379,매도완료!$P:$P)</f>
        <v>477000</v>
      </c>
      <c r="E379" s="16">
        <f t="shared" si="10"/>
        <v>20785110</v>
      </c>
      <c r="G379" s="16">
        <f>IF(D379=0,0,SUMIF(매도완료!$J:$J,Sheet2!$B379,매도완료!$S:$S))</f>
        <v>63699.75</v>
      </c>
      <c r="H379" s="16">
        <f t="shared" si="11"/>
        <v>574149.15799999994</v>
      </c>
    </row>
    <row r="380" spans="2:8" hidden="1" x14ac:dyDescent="0.4">
      <c r="B380" s="1">
        <v>42929</v>
      </c>
      <c r="C380" s="16">
        <f>SUMIF(매도완료!$G:$G,Sheet2!$B380,매도완료!$P:$P)</f>
        <v>609000</v>
      </c>
      <c r="D380" s="16">
        <f>SUMIF(매도완료!$J:$J,Sheet2!$B380,매도완료!$P:$P)</f>
        <v>0</v>
      </c>
      <c r="E380" s="16">
        <f t="shared" si="10"/>
        <v>21394110</v>
      </c>
      <c r="G380" s="16">
        <f>IF(D380=0,0,SUMIF(매도완료!$J:$J,Sheet2!$B380,매도완료!$S:$S))</f>
        <v>0</v>
      </c>
      <c r="H380" s="16">
        <f t="shared" si="11"/>
        <v>574149.15799999994</v>
      </c>
    </row>
    <row r="381" spans="2:8" hidden="1" x14ac:dyDescent="0.4">
      <c r="B381" s="1">
        <v>42930</v>
      </c>
      <c r="C381" s="16">
        <f>SUMIF(매도완료!$G:$G,Sheet2!$B381,매도완료!$P:$P)</f>
        <v>296500</v>
      </c>
      <c r="D381" s="16">
        <f>SUMIF(매도완료!$J:$J,Sheet2!$B381,매도완료!$P:$P)</f>
        <v>0</v>
      </c>
      <c r="E381" s="16">
        <f t="shared" si="10"/>
        <v>21690610</v>
      </c>
      <c r="G381" s="16">
        <f>IF(D381=0,0,SUMIF(매도완료!$J:$J,Sheet2!$B381,매도완료!$S:$S))</f>
        <v>0</v>
      </c>
      <c r="H381" s="16">
        <f t="shared" si="11"/>
        <v>574149.15799999994</v>
      </c>
    </row>
    <row r="382" spans="2:8" hidden="1" x14ac:dyDescent="0.4">
      <c r="B382" s="1">
        <v>42931</v>
      </c>
      <c r="C382" s="16">
        <f>SUMIF(매도완료!$G:$G,Sheet2!$B382,매도완료!$P:$P)</f>
        <v>0</v>
      </c>
      <c r="D382" s="16">
        <f>SUMIF(매도완료!$J:$J,Sheet2!$B382,매도완료!$P:$P)</f>
        <v>0</v>
      </c>
      <c r="E382" s="16">
        <f t="shared" si="10"/>
        <v>21690610</v>
      </c>
      <c r="G382" s="16">
        <f>IF(D382=0,0,SUMIF(매도완료!$J:$J,Sheet2!$B382,매도완료!$S:$S))</f>
        <v>0</v>
      </c>
      <c r="H382" s="16">
        <f t="shared" si="11"/>
        <v>574149.15799999994</v>
      </c>
    </row>
    <row r="383" spans="2:8" hidden="1" x14ac:dyDescent="0.4">
      <c r="B383" s="1">
        <v>42932</v>
      </c>
      <c r="C383" s="16">
        <f>SUMIF(매도완료!$G:$G,Sheet2!$B383,매도완료!$P:$P)</f>
        <v>0</v>
      </c>
      <c r="D383" s="16">
        <f>SUMIF(매도완료!$J:$J,Sheet2!$B383,매도완료!$P:$P)</f>
        <v>0</v>
      </c>
      <c r="E383" s="16">
        <f t="shared" si="10"/>
        <v>21690610</v>
      </c>
      <c r="G383" s="16">
        <f>IF(D383=0,0,SUMIF(매도완료!$J:$J,Sheet2!$B383,매도완료!$S:$S))</f>
        <v>0</v>
      </c>
      <c r="H383" s="16">
        <f t="shared" si="11"/>
        <v>574149.15799999994</v>
      </c>
    </row>
    <row r="384" spans="2:8" hidden="1" x14ac:dyDescent="0.4">
      <c r="B384" s="1">
        <v>42933</v>
      </c>
      <c r="C384" s="16">
        <f>SUMIF(매도완료!$G:$G,Sheet2!$B384,매도완료!$P:$P)</f>
        <v>690000</v>
      </c>
      <c r="D384" s="16">
        <f>SUMIF(매도완료!$J:$J,Sheet2!$B384,매도완료!$P:$P)</f>
        <v>0</v>
      </c>
      <c r="E384" s="16">
        <f t="shared" si="10"/>
        <v>22380610</v>
      </c>
      <c r="G384" s="16">
        <f>IF(D384=0,0,SUMIF(매도완료!$J:$J,Sheet2!$B384,매도완료!$S:$S))</f>
        <v>0</v>
      </c>
      <c r="H384" s="16">
        <f t="shared" si="11"/>
        <v>574149.15799999994</v>
      </c>
    </row>
    <row r="385" spans="2:8" hidden="1" x14ac:dyDescent="0.4">
      <c r="B385" s="1">
        <v>42934</v>
      </c>
      <c r="C385" s="16">
        <f>SUMIF(매도완료!$G:$G,Sheet2!$B385,매도완료!$P:$P)</f>
        <v>0</v>
      </c>
      <c r="D385" s="16">
        <f>SUMIF(매도완료!$J:$J,Sheet2!$B385,매도완료!$P:$P)</f>
        <v>0</v>
      </c>
      <c r="E385" s="16">
        <f t="shared" si="10"/>
        <v>22380610</v>
      </c>
      <c r="G385" s="16">
        <f>IF(D385=0,0,SUMIF(매도완료!$J:$J,Sheet2!$B385,매도완료!$S:$S))</f>
        <v>0</v>
      </c>
      <c r="H385" s="16">
        <f t="shared" si="11"/>
        <v>574149.15799999994</v>
      </c>
    </row>
    <row r="386" spans="2:8" hidden="1" x14ac:dyDescent="0.4">
      <c r="B386" s="1">
        <v>42935</v>
      </c>
      <c r="C386" s="16">
        <f>SUMIF(매도완료!$G:$G,Sheet2!$B386,매도완료!$P:$P)</f>
        <v>0</v>
      </c>
      <c r="D386" s="16">
        <f>SUMIF(매도완료!$J:$J,Sheet2!$B386,매도완료!$P:$P)</f>
        <v>0</v>
      </c>
      <c r="E386" s="16">
        <f t="shared" si="10"/>
        <v>22380610</v>
      </c>
      <c r="G386" s="16">
        <f>IF(D386=0,0,SUMIF(매도완료!$J:$J,Sheet2!$B386,매도완료!$S:$S))</f>
        <v>0</v>
      </c>
      <c r="H386" s="16">
        <f t="shared" si="11"/>
        <v>574149.15799999994</v>
      </c>
    </row>
    <row r="387" spans="2:8" hidden="1" x14ac:dyDescent="0.4">
      <c r="B387" s="1">
        <v>42936</v>
      </c>
      <c r="C387" s="16">
        <f>SUMIF(매도완료!$G:$G,Sheet2!$B387,매도완료!$P:$P)</f>
        <v>0</v>
      </c>
      <c r="D387" s="16">
        <f>SUMIF(매도완료!$J:$J,Sheet2!$B387,매도완료!$P:$P)</f>
        <v>0</v>
      </c>
      <c r="E387" s="16">
        <f t="shared" si="10"/>
        <v>22380610</v>
      </c>
      <c r="G387" s="16">
        <f>IF(D387=0,0,SUMIF(매도완료!$J:$J,Sheet2!$B387,매도완료!$S:$S))</f>
        <v>0</v>
      </c>
      <c r="H387" s="16">
        <f t="shared" si="11"/>
        <v>574149.15799999994</v>
      </c>
    </row>
    <row r="388" spans="2:8" hidden="1" x14ac:dyDescent="0.4">
      <c r="B388" s="1">
        <v>42937</v>
      </c>
      <c r="C388" s="16">
        <f>SUMIF(매도완료!$G:$G,Sheet2!$B388,매도완료!$P:$P)</f>
        <v>0</v>
      </c>
      <c r="D388" s="16">
        <f>SUMIF(매도완료!$J:$J,Sheet2!$B388,매도완료!$P:$P)</f>
        <v>0</v>
      </c>
      <c r="E388" s="16">
        <f t="shared" ref="E388:E451" si="12">E387+C388-D388</f>
        <v>22380610</v>
      </c>
      <c r="G388" s="16">
        <f>IF(D388=0,0,SUMIF(매도완료!$J:$J,Sheet2!$B388,매도완료!$S:$S))</f>
        <v>0</v>
      </c>
      <c r="H388" s="16">
        <f t="shared" ref="H388:H451" si="13">H387+G388</f>
        <v>574149.15799999994</v>
      </c>
    </row>
    <row r="389" spans="2:8" hidden="1" x14ac:dyDescent="0.4">
      <c r="B389" s="1">
        <v>42938</v>
      </c>
      <c r="C389" s="16">
        <f>SUMIF(매도완료!$G:$G,Sheet2!$B389,매도완료!$P:$P)</f>
        <v>0</v>
      </c>
      <c r="D389" s="16">
        <f>SUMIF(매도완료!$J:$J,Sheet2!$B389,매도완료!$P:$P)</f>
        <v>0</v>
      </c>
      <c r="E389" s="16">
        <f t="shared" si="12"/>
        <v>22380610</v>
      </c>
      <c r="G389" s="16">
        <f>IF(D389=0,0,SUMIF(매도완료!$J:$J,Sheet2!$B389,매도완료!$S:$S))</f>
        <v>0</v>
      </c>
      <c r="H389" s="16">
        <f t="shared" si="13"/>
        <v>574149.15799999994</v>
      </c>
    </row>
    <row r="390" spans="2:8" hidden="1" x14ac:dyDescent="0.4">
      <c r="B390" s="1">
        <v>42939</v>
      </c>
      <c r="C390" s="16">
        <f>SUMIF(매도완료!$G:$G,Sheet2!$B390,매도완료!$P:$P)</f>
        <v>0</v>
      </c>
      <c r="D390" s="16">
        <f>SUMIF(매도완료!$J:$J,Sheet2!$B390,매도완료!$P:$P)</f>
        <v>0</v>
      </c>
      <c r="E390" s="16">
        <f t="shared" si="12"/>
        <v>22380610</v>
      </c>
      <c r="G390" s="16">
        <f>IF(D390=0,0,SUMIF(매도완료!$J:$J,Sheet2!$B390,매도완료!$S:$S))</f>
        <v>0</v>
      </c>
      <c r="H390" s="16">
        <f t="shared" si="13"/>
        <v>574149.15799999994</v>
      </c>
    </row>
    <row r="391" spans="2:8" hidden="1" x14ac:dyDescent="0.4">
      <c r="B391" s="1">
        <v>42940</v>
      </c>
      <c r="C391" s="16">
        <f>SUMIF(매도완료!$G:$G,Sheet2!$B391,매도완료!$P:$P)</f>
        <v>0</v>
      </c>
      <c r="D391" s="16">
        <f>SUMIF(매도완료!$J:$J,Sheet2!$B391,매도완료!$P:$P)</f>
        <v>0</v>
      </c>
      <c r="E391" s="16">
        <f t="shared" si="12"/>
        <v>22380610</v>
      </c>
      <c r="G391" s="16">
        <f>IF(D391=0,0,SUMIF(매도완료!$J:$J,Sheet2!$B391,매도완료!$S:$S))</f>
        <v>0</v>
      </c>
      <c r="H391" s="16">
        <f t="shared" si="13"/>
        <v>574149.15799999994</v>
      </c>
    </row>
    <row r="392" spans="2:8" hidden="1" x14ac:dyDescent="0.4">
      <c r="B392" s="1">
        <v>42941</v>
      </c>
      <c r="C392" s="16">
        <f>SUMIF(매도완료!$G:$G,Sheet2!$B392,매도완료!$P:$P)</f>
        <v>0</v>
      </c>
      <c r="D392" s="16">
        <f>SUMIF(매도완료!$J:$J,Sheet2!$B392,매도완료!$P:$P)</f>
        <v>0</v>
      </c>
      <c r="E392" s="16">
        <f t="shared" si="12"/>
        <v>22380610</v>
      </c>
      <c r="G392" s="16">
        <f>IF(D392=0,0,SUMIF(매도완료!$J:$J,Sheet2!$B392,매도완료!$S:$S))</f>
        <v>0</v>
      </c>
      <c r="H392" s="16">
        <f t="shared" si="13"/>
        <v>574149.15799999994</v>
      </c>
    </row>
    <row r="393" spans="2:8" hidden="1" x14ac:dyDescent="0.4">
      <c r="B393" s="1">
        <v>42942</v>
      </c>
      <c r="C393" s="16">
        <f>SUMIF(매도완료!$G:$G,Sheet2!$B393,매도완료!$P:$P)</f>
        <v>0</v>
      </c>
      <c r="D393" s="16">
        <f>SUMIF(매도완료!$J:$J,Sheet2!$B393,매도완료!$P:$P)</f>
        <v>0</v>
      </c>
      <c r="E393" s="16">
        <f t="shared" si="12"/>
        <v>22380610</v>
      </c>
      <c r="G393" s="16">
        <f>IF(D393=0,0,SUMIF(매도완료!$J:$J,Sheet2!$B393,매도완료!$S:$S))</f>
        <v>0</v>
      </c>
      <c r="H393" s="16">
        <f t="shared" si="13"/>
        <v>574149.15799999994</v>
      </c>
    </row>
    <row r="394" spans="2:8" hidden="1" x14ac:dyDescent="0.4">
      <c r="B394" s="1">
        <v>42943</v>
      </c>
      <c r="C394" s="16">
        <f>SUMIF(매도완료!$G:$G,Sheet2!$B394,매도완료!$P:$P)</f>
        <v>0</v>
      </c>
      <c r="D394" s="16">
        <f>SUMIF(매도완료!$J:$J,Sheet2!$B394,매도완료!$P:$P)</f>
        <v>0</v>
      </c>
      <c r="E394" s="16">
        <f t="shared" si="12"/>
        <v>22380610</v>
      </c>
      <c r="G394" s="16">
        <f>IF(D394=0,0,SUMIF(매도완료!$J:$J,Sheet2!$B394,매도완료!$S:$S))</f>
        <v>0</v>
      </c>
      <c r="H394" s="16">
        <f t="shared" si="13"/>
        <v>574149.15799999994</v>
      </c>
    </row>
    <row r="395" spans="2:8" hidden="1" x14ac:dyDescent="0.4">
      <c r="B395" s="1">
        <v>42944</v>
      </c>
      <c r="C395" s="16">
        <f>SUMIF(매도완료!$G:$G,Sheet2!$B395,매도완료!$P:$P)</f>
        <v>0</v>
      </c>
      <c r="D395" s="16">
        <f>SUMIF(매도완료!$J:$J,Sheet2!$B395,매도완료!$P:$P)</f>
        <v>0</v>
      </c>
      <c r="E395" s="16">
        <f t="shared" si="12"/>
        <v>22380610</v>
      </c>
      <c r="G395" s="16">
        <f>IF(D395=0,0,SUMIF(매도완료!$J:$J,Sheet2!$B395,매도완료!$S:$S))</f>
        <v>0</v>
      </c>
      <c r="H395" s="16">
        <f t="shared" si="13"/>
        <v>574149.15799999994</v>
      </c>
    </row>
    <row r="396" spans="2:8" hidden="1" x14ac:dyDescent="0.4">
      <c r="B396" s="1">
        <v>42945</v>
      </c>
      <c r="C396" s="16">
        <f>SUMIF(매도완료!$G:$G,Sheet2!$B396,매도완료!$P:$P)</f>
        <v>0</v>
      </c>
      <c r="D396" s="16">
        <f>SUMIF(매도완료!$J:$J,Sheet2!$B396,매도완료!$P:$P)</f>
        <v>0</v>
      </c>
      <c r="E396" s="16">
        <f t="shared" si="12"/>
        <v>22380610</v>
      </c>
      <c r="G396" s="16">
        <f>IF(D396=0,0,SUMIF(매도완료!$J:$J,Sheet2!$B396,매도완료!$S:$S))</f>
        <v>0</v>
      </c>
      <c r="H396" s="16">
        <f t="shared" si="13"/>
        <v>574149.15799999994</v>
      </c>
    </row>
    <row r="397" spans="2:8" hidden="1" x14ac:dyDescent="0.4">
      <c r="B397" s="1">
        <v>42946</v>
      </c>
      <c r="C397" s="16">
        <f>SUMIF(매도완료!$G:$G,Sheet2!$B397,매도완료!$P:$P)</f>
        <v>0</v>
      </c>
      <c r="D397" s="16">
        <f>SUMIF(매도완료!$J:$J,Sheet2!$B397,매도완료!$P:$P)</f>
        <v>0</v>
      </c>
      <c r="E397" s="16">
        <f t="shared" si="12"/>
        <v>22380610</v>
      </c>
      <c r="G397" s="16">
        <f>IF(D397=0,0,SUMIF(매도완료!$J:$J,Sheet2!$B397,매도완료!$S:$S))</f>
        <v>0</v>
      </c>
      <c r="H397" s="16">
        <f t="shared" si="13"/>
        <v>574149.15799999994</v>
      </c>
    </row>
    <row r="398" spans="2:8" hidden="1" x14ac:dyDescent="0.4">
      <c r="B398" s="1">
        <v>42947</v>
      </c>
      <c r="C398" s="16">
        <f>SUMIF(매도완료!$G:$G,Sheet2!$B398,매도완료!$P:$P)</f>
        <v>0</v>
      </c>
      <c r="D398" s="16">
        <f>SUMIF(매도완료!$J:$J,Sheet2!$B398,매도완료!$P:$P)</f>
        <v>0</v>
      </c>
      <c r="E398" s="16">
        <f t="shared" si="12"/>
        <v>22380610</v>
      </c>
      <c r="G398" s="16">
        <f>IF(D398=0,0,SUMIF(매도완료!$J:$J,Sheet2!$B398,매도완료!$S:$S))</f>
        <v>0</v>
      </c>
      <c r="H398" s="16">
        <f t="shared" si="13"/>
        <v>574149.15799999994</v>
      </c>
    </row>
    <row r="399" spans="2:8" hidden="1" x14ac:dyDescent="0.4">
      <c r="B399" s="1">
        <v>42948</v>
      </c>
      <c r="C399" s="16">
        <f>SUMIF(매도완료!$G:$G,Sheet2!$B399,매도완료!$P:$P)</f>
        <v>0</v>
      </c>
      <c r="D399" s="16">
        <f>SUMIF(매도완료!$J:$J,Sheet2!$B399,매도완료!$P:$P)</f>
        <v>0</v>
      </c>
      <c r="E399" s="16">
        <f t="shared" si="12"/>
        <v>22380610</v>
      </c>
      <c r="G399" s="16">
        <f>IF(D399=0,0,SUMIF(매도완료!$J:$J,Sheet2!$B399,매도완료!$S:$S))</f>
        <v>0</v>
      </c>
      <c r="H399" s="16">
        <f t="shared" si="13"/>
        <v>574149.15799999994</v>
      </c>
    </row>
    <row r="400" spans="2:8" hidden="1" x14ac:dyDescent="0.4">
      <c r="B400" s="1">
        <v>42949</v>
      </c>
      <c r="C400" s="16">
        <f>SUMIF(매도완료!$G:$G,Sheet2!$B400,매도완료!$P:$P)</f>
        <v>0</v>
      </c>
      <c r="D400" s="16">
        <f>SUMIF(매도완료!$J:$J,Sheet2!$B400,매도완료!$P:$P)</f>
        <v>0</v>
      </c>
      <c r="E400" s="16">
        <f t="shared" si="12"/>
        <v>22380610</v>
      </c>
      <c r="G400" s="16">
        <f>IF(D400=0,0,SUMIF(매도완료!$J:$J,Sheet2!$B400,매도완료!$S:$S))</f>
        <v>0</v>
      </c>
      <c r="H400" s="16">
        <f t="shared" si="13"/>
        <v>574149.15799999994</v>
      </c>
    </row>
    <row r="401" spans="2:8" hidden="1" x14ac:dyDescent="0.4">
      <c r="B401" s="1">
        <v>42950</v>
      </c>
      <c r="C401" s="16">
        <f>SUMIF(매도완료!$G:$G,Sheet2!$B401,매도완료!$P:$P)</f>
        <v>10304000</v>
      </c>
      <c r="D401" s="16">
        <f>SUMIF(매도완료!$J:$J,Sheet2!$B401,매도완료!$P:$P)</f>
        <v>0</v>
      </c>
      <c r="E401" s="16">
        <f t="shared" si="12"/>
        <v>32684610</v>
      </c>
      <c r="G401" s="16">
        <f>IF(D401=0,0,SUMIF(매도완료!$J:$J,Sheet2!$B401,매도완료!$S:$S))</f>
        <v>0</v>
      </c>
      <c r="H401" s="16">
        <f t="shared" si="13"/>
        <v>574149.15799999994</v>
      </c>
    </row>
    <row r="402" spans="2:8" hidden="1" x14ac:dyDescent="0.4">
      <c r="B402" s="1">
        <v>42951</v>
      </c>
      <c r="C402" s="16">
        <f>SUMIF(매도완료!$G:$G,Sheet2!$B402,매도완료!$P:$P)</f>
        <v>7500000</v>
      </c>
      <c r="D402" s="16">
        <f>SUMIF(매도완료!$J:$J,Sheet2!$B402,매도완료!$P:$P)</f>
        <v>0</v>
      </c>
      <c r="E402" s="16">
        <f t="shared" si="12"/>
        <v>40184610</v>
      </c>
      <c r="G402" s="16">
        <f>IF(D402=0,0,SUMIF(매도완료!$J:$J,Sheet2!$B402,매도완료!$S:$S))</f>
        <v>0</v>
      </c>
      <c r="H402" s="16">
        <f t="shared" si="13"/>
        <v>574149.15799999994</v>
      </c>
    </row>
    <row r="403" spans="2:8" hidden="1" x14ac:dyDescent="0.4">
      <c r="B403" s="1">
        <v>42952</v>
      </c>
      <c r="C403" s="16">
        <f>SUMIF(매도완료!$G:$G,Sheet2!$B403,매도완료!$P:$P)</f>
        <v>0</v>
      </c>
      <c r="D403" s="16">
        <f>SUMIF(매도완료!$J:$J,Sheet2!$B403,매도완료!$P:$P)</f>
        <v>0</v>
      </c>
      <c r="E403" s="16">
        <f t="shared" si="12"/>
        <v>40184610</v>
      </c>
      <c r="G403" s="16">
        <f>IF(D403=0,0,SUMIF(매도완료!$J:$J,Sheet2!$B403,매도완료!$S:$S))</f>
        <v>0</v>
      </c>
      <c r="H403" s="16">
        <f t="shared" si="13"/>
        <v>574149.15799999994</v>
      </c>
    </row>
    <row r="404" spans="2:8" hidden="1" x14ac:dyDescent="0.4">
      <c r="B404" s="1">
        <v>42953</v>
      </c>
      <c r="C404" s="16">
        <f>SUMIF(매도완료!$G:$G,Sheet2!$B404,매도완료!$P:$P)</f>
        <v>0</v>
      </c>
      <c r="D404" s="16">
        <f>SUMIF(매도완료!$J:$J,Sheet2!$B404,매도완료!$P:$P)</f>
        <v>0</v>
      </c>
      <c r="E404" s="16">
        <f t="shared" si="12"/>
        <v>40184610</v>
      </c>
      <c r="G404" s="16">
        <f>IF(D404=0,0,SUMIF(매도완료!$J:$J,Sheet2!$B404,매도완료!$S:$S))</f>
        <v>0</v>
      </c>
      <c r="H404" s="16">
        <f t="shared" si="13"/>
        <v>574149.15799999994</v>
      </c>
    </row>
    <row r="405" spans="2:8" hidden="1" x14ac:dyDescent="0.4">
      <c r="B405" s="1">
        <v>42954</v>
      </c>
      <c r="C405" s="16">
        <f>SUMIF(매도완료!$G:$G,Sheet2!$B405,매도완료!$P:$P)</f>
        <v>23188000</v>
      </c>
      <c r="D405" s="16">
        <f>SUMIF(매도완료!$J:$J,Sheet2!$B405,매도완료!$P:$P)</f>
        <v>0</v>
      </c>
      <c r="E405" s="16">
        <f t="shared" si="12"/>
        <v>63372610</v>
      </c>
      <c r="G405" s="16">
        <f>IF(D405=0,0,SUMIF(매도완료!$J:$J,Sheet2!$B405,매도완료!$S:$S))</f>
        <v>0</v>
      </c>
      <c r="H405" s="16">
        <f t="shared" si="13"/>
        <v>574149.15799999994</v>
      </c>
    </row>
    <row r="406" spans="2:8" hidden="1" x14ac:dyDescent="0.4">
      <c r="B406" s="1">
        <v>42955</v>
      </c>
      <c r="C406" s="16">
        <f>SUMIF(매도완료!$G:$G,Sheet2!$B406,매도완료!$P:$P)</f>
        <v>0</v>
      </c>
      <c r="D406" s="16">
        <f>SUMIF(매도완료!$J:$J,Sheet2!$B406,매도완료!$P:$P)</f>
        <v>0</v>
      </c>
      <c r="E406" s="16">
        <f t="shared" si="12"/>
        <v>63372610</v>
      </c>
      <c r="G406" s="16">
        <f>IF(D406=0,0,SUMIF(매도완료!$J:$J,Sheet2!$B406,매도완료!$S:$S))</f>
        <v>0</v>
      </c>
      <c r="H406" s="16">
        <f t="shared" si="13"/>
        <v>574149.15799999994</v>
      </c>
    </row>
    <row r="407" spans="2:8" hidden="1" x14ac:dyDescent="0.4">
      <c r="B407" s="1">
        <v>42956</v>
      </c>
      <c r="C407" s="16">
        <f>SUMIF(매도완료!$G:$G,Sheet2!$B407,매도완료!$P:$P)</f>
        <v>0</v>
      </c>
      <c r="D407" s="16">
        <f>SUMIF(매도완료!$J:$J,Sheet2!$B407,매도완료!$P:$P)</f>
        <v>0</v>
      </c>
      <c r="E407" s="16">
        <f t="shared" si="12"/>
        <v>63372610</v>
      </c>
      <c r="G407" s="16">
        <f>IF(D407=0,0,SUMIF(매도완료!$J:$J,Sheet2!$B407,매도완료!$S:$S))</f>
        <v>0</v>
      </c>
      <c r="H407" s="16">
        <f t="shared" si="13"/>
        <v>574149.15799999994</v>
      </c>
    </row>
    <row r="408" spans="2:8" hidden="1" x14ac:dyDescent="0.4">
      <c r="B408" s="1">
        <v>42957</v>
      </c>
      <c r="C408" s="16">
        <f>SUMIF(매도완료!$G:$G,Sheet2!$B408,매도완료!$P:$P)</f>
        <v>0</v>
      </c>
      <c r="D408" s="16">
        <f>SUMIF(매도완료!$J:$J,Sheet2!$B408,매도완료!$P:$P)</f>
        <v>0</v>
      </c>
      <c r="E408" s="16">
        <f t="shared" si="12"/>
        <v>63372610</v>
      </c>
      <c r="G408" s="16">
        <f>IF(D408=0,0,SUMIF(매도완료!$J:$J,Sheet2!$B408,매도완료!$S:$S))</f>
        <v>0</v>
      </c>
      <c r="H408" s="16">
        <f t="shared" si="13"/>
        <v>574149.15799999994</v>
      </c>
    </row>
    <row r="409" spans="2:8" hidden="1" x14ac:dyDescent="0.4">
      <c r="B409" s="1">
        <v>42958</v>
      </c>
      <c r="C409" s="16">
        <f>SUMIF(매도완료!$G:$G,Sheet2!$B409,매도완료!$P:$P)</f>
        <v>0</v>
      </c>
      <c r="D409" s="16">
        <f>SUMIF(매도완료!$J:$J,Sheet2!$B409,매도완료!$P:$P)</f>
        <v>0</v>
      </c>
      <c r="E409" s="16">
        <f t="shared" si="12"/>
        <v>63372610</v>
      </c>
      <c r="G409" s="16">
        <f>IF(D409=0,0,SUMIF(매도완료!$J:$J,Sheet2!$B409,매도완료!$S:$S))</f>
        <v>0</v>
      </c>
      <c r="H409" s="16">
        <f t="shared" si="13"/>
        <v>574149.15799999994</v>
      </c>
    </row>
    <row r="410" spans="2:8" hidden="1" x14ac:dyDescent="0.4">
      <c r="B410" s="1">
        <v>42959</v>
      </c>
      <c r="C410" s="16">
        <f>SUMIF(매도완료!$G:$G,Sheet2!$B410,매도완료!$P:$P)</f>
        <v>0</v>
      </c>
      <c r="D410" s="16">
        <f>SUMIF(매도완료!$J:$J,Sheet2!$B410,매도완료!$P:$P)</f>
        <v>0</v>
      </c>
      <c r="E410" s="16">
        <f t="shared" si="12"/>
        <v>63372610</v>
      </c>
      <c r="G410" s="16">
        <f>IF(D410=0,0,SUMIF(매도완료!$J:$J,Sheet2!$B410,매도완료!$S:$S))</f>
        <v>0</v>
      </c>
      <c r="H410" s="16">
        <f t="shared" si="13"/>
        <v>574149.15799999994</v>
      </c>
    </row>
    <row r="411" spans="2:8" hidden="1" x14ac:dyDescent="0.4">
      <c r="B411" s="1">
        <v>42960</v>
      </c>
      <c r="C411" s="16">
        <f>SUMIF(매도완료!$G:$G,Sheet2!$B411,매도완료!$P:$P)</f>
        <v>0</v>
      </c>
      <c r="D411" s="16">
        <f>SUMIF(매도완료!$J:$J,Sheet2!$B411,매도완료!$P:$P)</f>
        <v>0</v>
      </c>
      <c r="E411" s="16">
        <f t="shared" si="12"/>
        <v>63372610</v>
      </c>
      <c r="G411" s="16">
        <f>IF(D411=0,0,SUMIF(매도완료!$J:$J,Sheet2!$B411,매도완료!$S:$S))</f>
        <v>0</v>
      </c>
      <c r="H411" s="16">
        <f t="shared" si="13"/>
        <v>574149.15799999994</v>
      </c>
    </row>
    <row r="412" spans="2:8" hidden="1" x14ac:dyDescent="0.4">
      <c r="B412" s="1">
        <v>42961</v>
      </c>
      <c r="C412" s="16">
        <f>SUMIF(매도완료!$G:$G,Sheet2!$B412,매도완료!$P:$P)</f>
        <v>0</v>
      </c>
      <c r="D412" s="16">
        <f>SUMIF(매도완료!$J:$J,Sheet2!$B412,매도완료!$P:$P)</f>
        <v>0</v>
      </c>
      <c r="E412" s="16">
        <f t="shared" si="12"/>
        <v>63372610</v>
      </c>
      <c r="G412" s="16">
        <f>IF(D412=0,0,SUMIF(매도완료!$J:$J,Sheet2!$B412,매도완료!$S:$S))</f>
        <v>0</v>
      </c>
      <c r="H412" s="16">
        <f t="shared" si="13"/>
        <v>574149.15799999994</v>
      </c>
    </row>
    <row r="413" spans="2:8" hidden="1" x14ac:dyDescent="0.4">
      <c r="B413" s="1">
        <v>42962</v>
      </c>
      <c r="C413" s="16">
        <f>SUMIF(매도완료!$G:$G,Sheet2!$B413,매도완료!$P:$P)</f>
        <v>0</v>
      </c>
      <c r="D413" s="16">
        <f>SUMIF(매도완료!$J:$J,Sheet2!$B413,매도완료!$P:$P)</f>
        <v>0</v>
      </c>
      <c r="E413" s="16">
        <f t="shared" si="12"/>
        <v>63372610</v>
      </c>
      <c r="G413" s="16">
        <f>IF(D413=0,0,SUMIF(매도완료!$J:$J,Sheet2!$B413,매도완료!$S:$S))</f>
        <v>0</v>
      </c>
      <c r="H413" s="16">
        <f t="shared" si="13"/>
        <v>574149.15799999994</v>
      </c>
    </row>
    <row r="414" spans="2:8" hidden="1" x14ac:dyDescent="0.4">
      <c r="B414" s="1">
        <v>42963</v>
      </c>
      <c r="C414" s="16">
        <f>SUMIF(매도완료!$G:$G,Sheet2!$B414,매도완료!$P:$P)</f>
        <v>0</v>
      </c>
      <c r="D414" s="16">
        <f>SUMIF(매도완료!$J:$J,Sheet2!$B414,매도완료!$P:$P)</f>
        <v>0</v>
      </c>
      <c r="E414" s="16">
        <f t="shared" si="12"/>
        <v>63372610</v>
      </c>
      <c r="G414" s="16">
        <f>IF(D414=0,0,SUMIF(매도완료!$J:$J,Sheet2!$B414,매도완료!$S:$S))</f>
        <v>0</v>
      </c>
      <c r="H414" s="16">
        <f t="shared" si="13"/>
        <v>574149.15799999994</v>
      </c>
    </row>
    <row r="415" spans="2:8" hidden="1" x14ac:dyDescent="0.4">
      <c r="B415" s="1">
        <v>42964</v>
      </c>
      <c r="C415" s="16">
        <f>SUMIF(매도완료!$G:$G,Sheet2!$B415,매도완료!$P:$P)</f>
        <v>0</v>
      </c>
      <c r="D415" s="16">
        <f>SUMIF(매도완료!$J:$J,Sheet2!$B415,매도완료!$P:$P)</f>
        <v>0</v>
      </c>
      <c r="E415" s="16">
        <f t="shared" si="12"/>
        <v>63372610</v>
      </c>
      <c r="G415" s="16">
        <f>IF(D415=0,0,SUMIF(매도완료!$J:$J,Sheet2!$B415,매도완료!$S:$S))</f>
        <v>0</v>
      </c>
      <c r="H415" s="16">
        <f t="shared" si="13"/>
        <v>574149.15799999994</v>
      </c>
    </row>
    <row r="416" spans="2:8" hidden="1" x14ac:dyDescent="0.4">
      <c r="B416" s="1">
        <v>42965</v>
      </c>
      <c r="C416" s="16">
        <f>SUMIF(매도완료!$G:$G,Sheet2!$B416,매도완료!$P:$P)</f>
        <v>0</v>
      </c>
      <c r="D416" s="16">
        <f>SUMIF(매도완료!$J:$J,Sheet2!$B416,매도완료!$P:$P)</f>
        <v>0</v>
      </c>
      <c r="E416" s="16">
        <f t="shared" si="12"/>
        <v>63372610</v>
      </c>
      <c r="G416" s="16">
        <f>IF(D416=0,0,SUMIF(매도완료!$J:$J,Sheet2!$B416,매도완료!$S:$S))</f>
        <v>0</v>
      </c>
      <c r="H416" s="16">
        <f t="shared" si="13"/>
        <v>574149.15799999994</v>
      </c>
    </row>
    <row r="417" spans="2:8" hidden="1" x14ac:dyDescent="0.4">
      <c r="B417" s="1">
        <v>42966</v>
      </c>
      <c r="C417" s="16">
        <f>SUMIF(매도완료!$G:$G,Sheet2!$B417,매도완료!$P:$P)</f>
        <v>0</v>
      </c>
      <c r="D417" s="16">
        <f>SUMIF(매도완료!$J:$J,Sheet2!$B417,매도완료!$P:$P)</f>
        <v>0</v>
      </c>
      <c r="E417" s="16">
        <f t="shared" si="12"/>
        <v>63372610</v>
      </c>
      <c r="G417" s="16">
        <f>IF(D417=0,0,SUMIF(매도완료!$J:$J,Sheet2!$B417,매도완료!$S:$S))</f>
        <v>0</v>
      </c>
      <c r="H417" s="16">
        <f t="shared" si="13"/>
        <v>574149.15799999994</v>
      </c>
    </row>
    <row r="418" spans="2:8" hidden="1" x14ac:dyDescent="0.4">
      <c r="B418" s="1">
        <v>42967</v>
      </c>
      <c r="C418" s="16">
        <f>SUMIF(매도완료!$G:$G,Sheet2!$B418,매도완료!$P:$P)</f>
        <v>0</v>
      </c>
      <c r="D418" s="16">
        <f>SUMIF(매도완료!$J:$J,Sheet2!$B418,매도완료!$P:$P)</f>
        <v>0</v>
      </c>
      <c r="E418" s="16">
        <f t="shared" si="12"/>
        <v>63372610</v>
      </c>
      <c r="G418" s="16">
        <f>IF(D418=0,0,SUMIF(매도완료!$J:$J,Sheet2!$B418,매도완료!$S:$S))</f>
        <v>0</v>
      </c>
      <c r="H418" s="16">
        <f t="shared" si="13"/>
        <v>574149.15799999994</v>
      </c>
    </row>
    <row r="419" spans="2:8" hidden="1" x14ac:dyDescent="0.4">
      <c r="B419" s="1">
        <v>42968</v>
      </c>
      <c r="C419" s="16">
        <f>SUMIF(매도완료!$G:$G,Sheet2!$B419,매도완료!$P:$P)</f>
        <v>0</v>
      </c>
      <c r="D419" s="16">
        <f>SUMIF(매도완료!$J:$J,Sheet2!$B419,매도완료!$P:$P)</f>
        <v>0</v>
      </c>
      <c r="E419" s="16">
        <f t="shared" si="12"/>
        <v>63372610</v>
      </c>
      <c r="G419" s="16">
        <f>IF(D419=0,0,SUMIF(매도완료!$J:$J,Sheet2!$B419,매도완료!$S:$S))</f>
        <v>0</v>
      </c>
      <c r="H419" s="16">
        <f t="shared" si="13"/>
        <v>574149.15799999994</v>
      </c>
    </row>
    <row r="420" spans="2:8" hidden="1" x14ac:dyDescent="0.4">
      <c r="B420" s="1">
        <v>42969</v>
      </c>
      <c r="C420" s="16">
        <f>SUMIF(매도완료!$G:$G,Sheet2!$B420,매도완료!$P:$P)</f>
        <v>0</v>
      </c>
      <c r="D420" s="16">
        <f>SUMIF(매도완료!$J:$J,Sheet2!$B420,매도완료!$P:$P)</f>
        <v>0</v>
      </c>
      <c r="E420" s="16">
        <f t="shared" si="12"/>
        <v>63372610</v>
      </c>
      <c r="G420" s="16">
        <f>IF(D420=0,0,SUMIF(매도완료!$J:$J,Sheet2!$B420,매도완료!$S:$S))</f>
        <v>0</v>
      </c>
      <c r="H420" s="16">
        <f t="shared" si="13"/>
        <v>574149.15799999994</v>
      </c>
    </row>
    <row r="421" spans="2:8" hidden="1" x14ac:dyDescent="0.4">
      <c r="B421" s="1">
        <v>42970</v>
      </c>
      <c r="C421" s="16">
        <f>SUMIF(매도완료!$G:$G,Sheet2!$B421,매도완료!$P:$P)</f>
        <v>0</v>
      </c>
      <c r="D421" s="16">
        <f>SUMIF(매도완료!$J:$J,Sheet2!$B421,매도완료!$P:$P)</f>
        <v>9280000</v>
      </c>
      <c r="E421" s="16">
        <f t="shared" si="12"/>
        <v>54092610</v>
      </c>
      <c r="G421" s="16">
        <f>IF(D421=0,0,SUMIF(매도완료!$J:$J,Sheet2!$B421,매도완료!$S:$S))</f>
        <v>491850</v>
      </c>
      <c r="H421" s="16">
        <f t="shared" si="13"/>
        <v>1065999.1579999998</v>
      </c>
    </row>
    <row r="422" spans="2:8" hidden="1" x14ac:dyDescent="0.4">
      <c r="B422" s="1">
        <v>42971</v>
      </c>
      <c r="C422" s="16">
        <f>SUMIF(매도완료!$G:$G,Sheet2!$B422,매도완료!$P:$P)</f>
        <v>0</v>
      </c>
      <c r="D422" s="16">
        <f>SUMIF(매도완료!$J:$J,Sheet2!$B422,매도완료!$P:$P)</f>
        <v>0</v>
      </c>
      <c r="E422" s="16">
        <f t="shared" si="12"/>
        <v>54092610</v>
      </c>
      <c r="G422" s="16">
        <f>IF(D422=0,0,SUMIF(매도완료!$J:$J,Sheet2!$B422,매도완료!$S:$S))</f>
        <v>0</v>
      </c>
      <c r="H422" s="16">
        <f t="shared" si="13"/>
        <v>1065999.1579999998</v>
      </c>
    </row>
    <row r="423" spans="2:8" hidden="1" x14ac:dyDescent="0.4">
      <c r="B423" s="1">
        <v>42972</v>
      </c>
      <c r="C423" s="16">
        <f>SUMIF(매도완료!$G:$G,Sheet2!$B423,매도완료!$P:$P)</f>
        <v>7170000</v>
      </c>
      <c r="D423" s="16">
        <f>SUMIF(매도완료!$J:$J,Sheet2!$B423,매도완료!$P:$P)</f>
        <v>0</v>
      </c>
      <c r="E423" s="16">
        <f t="shared" si="12"/>
        <v>61262610</v>
      </c>
      <c r="G423" s="16">
        <f>IF(D423=0,0,SUMIF(매도완료!$J:$J,Sheet2!$B423,매도완료!$S:$S))</f>
        <v>0</v>
      </c>
      <c r="H423" s="16">
        <f t="shared" si="13"/>
        <v>1065999.1579999998</v>
      </c>
    </row>
    <row r="424" spans="2:8" hidden="1" x14ac:dyDescent="0.4">
      <c r="B424" s="1">
        <v>42973</v>
      </c>
      <c r="C424" s="16">
        <f>SUMIF(매도완료!$G:$G,Sheet2!$B424,매도완료!$P:$P)</f>
        <v>0</v>
      </c>
      <c r="D424" s="16">
        <f>SUMIF(매도완료!$J:$J,Sheet2!$B424,매도완료!$P:$P)</f>
        <v>0</v>
      </c>
      <c r="E424" s="16">
        <f t="shared" si="12"/>
        <v>61262610</v>
      </c>
      <c r="G424" s="16">
        <f>IF(D424=0,0,SUMIF(매도완료!$J:$J,Sheet2!$B424,매도완료!$S:$S))</f>
        <v>0</v>
      </c>
      <c r="H424" s="16">
        <f t="shared" si="13"/>
        <v>1065999.1579999998</v>
      </c>
    </row>
    <row r="425" spans="2:8" hidden="1" x14ac:dyDescent="0.4">
      <c r="B425" s="1">
        <v>42974</v>
      </c>
      <c r="C425" s="16">
        <f>SUMIF(매도완료!$G:$G,Sheet2!$B425,매도완료!$P:$P)</f>
        <v>0</v>
      </c>
      <c r="D425" s="16">
        <f>SUMIF(매도완료!$J:$J,Sheet2!$B425,매도완료!$P:$P)</f>
        <v>0</v>
      </c>
      <c r="E425" s="16">
        <f t="shared" si="12"/>
        <v>61262610</v>
      </c>
      <c r="G425" s="16">
        <f>IF(D425=0,0,SUMIF(매도완료!$J:$J,Sheet2!$B425,매도완료!$S:$S))</f>
        <v>0</v>
      </c>
      <c r="H425" s="16">
        <f t="shared" si="13"/>
        <v>1065999.1579999998</v>
      </c>
    </row>
    <row r="426" spans="2:8" hidden="1" x14ac:dyDescent="0.4">
      <c r="B426" s="1">
        <v>42975</v>
      </c>
      <c r="C426" s="16">
        <f>SUMIF(매도완료!$G:$G,Sheet2!$B426,매도완료!$P:$P)</f>
        <v>0</v>
      </c>
      <c r="D426" s="16">
        <f>SUMIF(매도완료!$J:$J,Sheet2!$B426,매도완료!$P:$P)</f>
        <v>0</v>
      </c>
      <c r="E426" s="16">
        <f t="shared" si="12"/>
        <v>61262610</v>
      </c>
      <c r="G426" s="16">
        <f>IF(D426=0,0,SUMIF(매도완료!$J:$J,Sheet2!$B426,매도완료!$S:$S))</f>
        <v>0</v>
      </c>
      <c r="H426" s="16">
        <f t="shared" si="13"/>
        <v>1065999.1579999998</v>
      </c>
    </row>
    <row r="427" spans="2:8" hidden="1" x14ac:dyDescent="0.4">
      <c r="B427" s="1">
        <v>42976</v>
      </c>
      <c r="C427" s="16">
        <f>SUMIF(매도완료!$G:$G,Sheet2!$B427,매도완료!$P:$P)</f>
        <v>0</v>
      </c>
      <c r="D427" s="16">
        <f>SUMIF(매도완료!$J:$J,Sheet2!$B427,매도완료!$P:$P)</f>
        <v>19200000</v>
      </c>
      <c r="E427" s="16">
        <f t="shared" si="12"/>
        <v>42062610</v>
      </c>
      <c r="G427" s="16">
        <f>IF(D427=0,0,SUMIF(매도완료!$J:$J,Sheet2!$B427,매도완료!$S:$S))</f>
        <v>1069450</v>
      </c>
      <c r="H427" s="16">
        <f t="shared" si="13"/>
        <v>2135449.1579999998</v>
      </c>
    </row>
    <row r="428" spans="2:8" hidden="1" x14ac:dyDescent="0.4">
      <c r="B428" s="1">
        <v>42977</v>
      </c>
      <c r="C428" s="16">
        <f>SUMIF(매도완료!$G:$G,Sheet2!$B428,매도완료!$P:$P)</f>
        <v>4425000</v>
      </c>
      <c r="D428" s="16">
        <f>SUMIF(매도완료!$J:$J,Sheet2!$B428,매도완료!$P:$P)</f>
        <v>0</v>
      </c>
      <c r="E428" s="16">
        <f t="shared" si="12"/>
        <v>46487610</v>
      </c>
      <c r="G428" s="16">
        <f>IF(D428=0,0,SUMIF(매도완료!$J:$J,Sheet2!$B428,매도완료!$S:$S))</f>
        <v>0</v>
      </c>
      <c r="H428" s="16">
        <f t="shared" si="13"/>
        <v>2135449.1579999998</v>
      </c>
    </row>
    <row r="429" spans="2:8" hidden="1" x14ac:dyDescent="0.4">
      <c r="B429" s="1">
        <v>42978</v>
      </c>
      <c r="C429" s="16">
        <f>SUMIF(매도완료!$G:$G,Sheet2!$B429,매도완료!$P:$P)</f>
        <v>0</v>
      </c>
      <c r="D429" s="16">
        <f>SUMIF(매도완료!$J:$J,Sheet2!$B429,매도완료!$P:$P)</f>
        <v>0</v>
      </c>
      <c r="E429" s="16">
        <f t="shared" si="12"/>
        <v>46487610</v>
      </c>
      <c r="G429" s="16">
        <f>IF(D429=0,0,SUMIF(매도완료!$J:$J,Sheet2!$B429,매도완료!$S:$S))</f>
        <v>0</v>
      </c>
      <c r="H429" s="16">
        <f t="shared" si="13"/>
        <v>2135449.1579999998</v>
      </c>
    </row>
    <row r="430" spans="2:8" hidden="1" x14ac:dyDescent="0.4">
      <c r="B430" s="1">
        <v>42979</v>
      </c>
      <c r="C430" s="16">
        <f>SUMIF(매도완료!$G:$G,Sheet2!$B430,매도완료!$P:$P)</f>
        <v>0</v>
      </c>
      <c r="D430" s="16">
        <f>SUMIF(매도완료!$J:$J,Sheet2!$B430,매도완료!$P:$P)</f>
        <v>0</v>
      </c>
      <c r="E430" s="16">
        <f t="shared" si="12"/>
        <v>46487610</v>
      </c>
      <c r="G430" s="16">
        <f>IF(D430=0,0,SUMIF(매도완료!$J:$J,Sheet2!$B430,매도완료!$S:$S))</f>
        <v>0</v>
      </c>
      <c r="H430" s="16">
        <f t="shared" si="13"/>
        <v>2135449.1579999998</v>
      </c>
    </row>
    <row r="431" spans="2:8" hidden="1" x14ac:dyDescent="0.4">
      <c r="B431" s="1">
        <v>42980</v>
      </c>
      <c r="C431" s="16">
        <f>SUMIF(매도완료!$G:$G,Sheet2!$B431,매도완료!$P:$P)</f>
        <v>0</v>
      </c>
      <c r="D431" s="16">
        <f>SUMIF(매도완료!$J:$J,Sheet2!$B431,매도완료!$P:$P)</f>
        <v>0</v>
      </c>
      <c r="E431" s="16">
        <f t="shared" si="12"/>
        <v>46487610</v>
      </c>
      <c r="G431" s="16">
        <f>IF(D431=0,0,SUMIF(매도완료!$J:$J,Sheet2!$B431,매도완료!$S:$S))</f>
        <v>0</v>
      </c>
      <c r="H431" s="16">
        <f t="shared" si="13"/>
        <v>2135449.1579999998</v>
      </c>
    </row>
    <row r="432" spans="2:8" hidden="1" x14ac:dyDescent="0.4">
      <c r="B432" s="1">
        <v>42981</v>
      </c>
      <c r="C432" s="16">
        <f>SUMIF(매도완료!$G:$G,Sheet2!$B432,매도완료!$P:$P)</f>
        <v>0</v>
      </c>
      <c r="D432" s="16">
        <f>SUMIF(매도완료!$J:$J,Sheet2!$B432,매도완료!$P:$P)</f>
        <v>0</v>
      </c>
      <c r="E432" s="16">
        <f t="shared" si="12"/>
        <v>46487610</v>
      </c>
      <c r="G432" s="16">
        <f>IF(D432=0,0,SUMIF(매도완료!$J:$J,Sheet2!$B432,매도완료!$S:$S))</f>
        <v>0</v>
      </c>
      <c r="H432" s="16">
        <f t="shared" si="13"/>
        <v>2135449.1579999998</v>
      </c>
    </row>
    <row r="433" spans="2:8" hidden="1" x14ac:dyDescent="0.4">
      <c r="B433" s="1">
        <v>42982</v>
      </c>
      <c r="C433" s="16">
        <f>SUMIF(매도완료!$G:$G,Sheet2!$B433,매도완료!$P:$P)</f>
        <v>0</v>
      </c>
      <c r="D433" s="16">
        <f>SUMIF(매도완료!$J:$J,Sheet2!$B433,매도완료!$P:$P)</f>
        <v>0</v>
      </c>
      <c r="E433" s="16">
        <f t="shared" si="12"/>
        <v>46487610</v>
      </c>
      <c r="G433" s="16">
        <f>IF(D433=0,0,SUMIF(매도완료!$J:$J,Sheet2!$B433,매도완료!$S:$S))</f>
        <v>0</v>
      </c>
      <c r="H433" s="16">
        <f t="shared" si="13"/>
        <v>2135449.1579999998</v>
      </c>
    </row>
    <row r="434" spans="2:8" hidden="1" x14ac:dyDescent="0.4">
      <c r="B434" s="1">
        <v>42983</v>
      </c>
      <c r="C434" s="16">
        <f>SUMIF(매도완료!$G:$G,Sheet2!$B434,매도완료!$P:$P)</f>
        <v>0</v>
      </c>
      <c r="D434" s="16">
        <f>SUMIF(매도완료!$J:$J,Sheet2!$B434,매도완료!$P:$P)</f>
        <v>0</v>
      </c>
      <c r="E434" s="16">
        <f t="shared" si="12"/>
        <v>46487610</v>
      </c>
      <c r="G434" s="16">
        <f>IF(D434=0,0,SUMIF(매도완료!$J:$J,Sheet2!$B434,매도완료!$S:$S))</f>
        <v>0</v>
      </c>
      <c r="H434" s="16">
        <f t="shared" si="13"/>
        <v>2135449.1579999998</v>
      </c>
    </row>
    <row r="435" spans="2:8" hidden="1" x14ac:dyDescent="0.4">
      <c r="B435" s="1">
        <v>42984</v>
      </c>
      <c r="C435" s="16">
        <f>SUMIF(매도완료!$G:$G,Sheet2!$B435,매도완료!$P:$P)</f>
        <v>0</v>
      </c>
      <c r="D435" s="16">
        <f>SUMIF(매도완료!$J:$J,Sheet2!$B435,매도완료!$P:$P)</f>
        <v>0</v>
      </c>
      <c r="E435" s="16">
        <f t="shared" si="12"/>
        <v>46487610</v>
      </c>
      <c r="G435" s="16">
        <f>IF(D435=0,0,SUMIF(매도완료!$J:$J,Sheet2!$B435,매도완료!$S:$S))</f>
        <v>0</v>
      </c>
      <c r="H435" s="16">
        <f t="shared" si="13"/>
        <v>2135449.1579999998</v>
      </c>
    </row>
    <row r="436" spans="2:8" hidden="1" x14ac:dyDescent="0.4">
      <c r="B436" s="1">
        <v>42985</v>
      </c>
      <c r="C436" s="16">
        <f>SUMIF(매도완료!$G:$G,Sheet2!$B436,매도완료!$P:$P)</f>
        <v>0</v>
      </c>
      <c r="D436" s="16">
        <f>SUMIF(매도완료!$J:$J,Sheet2!$B436,매도완료!$P:$P)</f>
        <v>0</v>
      </c>
      <c r="E436" s="16">
        <f t="shared" si="12"/>
        <v>46487610</v>
      </c>
      <c r="G436" s="16">
        <f>IF(D436=0,0,SUMIF(매도완료!$J:$J,Sheet2!$B436,매도완료!$S:$S))</f>
        <v>0</v>
      </c>
      <c r="H436" s="16">
        <f t="shared" si="13"/>
        <v>2135449.1579999998</v>
      </c>
    </row>
    <row r="437" spans="2:8" hidden="1" x14ac:dyDescent="0.4">
      <c r="B437" s="1">
        <v>42986</v>
      </c>
      <c r="C437" s="16">
        <f>SUMIF(매도완료!$G:$G,Sheet2!$B437,매도완료!$P:$P)</f>
        <v>0</v>
      </c>
      <c r="D437" s="16">
        <f>SUMIF(매도완료!$J:$J,Sheet2!$B437,매도완료!$P:$P)</f>
        <v>0</v>
      </c>
      <c r="E437" s="16">
        <f t="shared" si="12"/>
        <v>46487610</v>
      </c>
      <c r="G437" s="16">
        <f>IF(D437=0,0,SUMIF(매도완료!$J:$J,Sheet2!$B437,매도완료!$S:$S))</f>
        <v>0</v>
      </c>
      <c r="H437" s="16">
        <f t="shared" si="13"/>
        <v>2135449.1579999998</v>
      </c>
    </row>
    <row r="438" spans="2:8" hidden="1" x14ac:dyDescent="0.4">
      <c r="B438" s="1">
        <v>42987</v>
      </c>
      <c r="C438" s="16">
        <f>SUMIF(매도완료!$G:$G,Sheet2!$B438,매도완료!$P:$P)</f>
        <v>0</v>
      </c>
      <c r="D438" s="16">
        <f>SUMIF(매도완료!$J:$J,Sheet2!$B438,매도완료!$P:$P)</f>
        <v>0</v>
      </c>
      <c r="E438" s="16">
        <f t="shared" si="12"/>
        <v>46487610</v>
      </c>
      <c r="G438" s="16">
        <f>IF(D438=0,0,SUMIF(매도완료!$J:$J,Sheet2!$B438,매도완료!$S:$S))</f>
        <v>0</v>
      </c>
      <c r="H438" s="16">
        <f t="shared" si="13"/>
        <v>2135449.1579999998</v>
      </c>
    </row>
    <row r="439" spans="2:8" hidden="1" x14ac:dyDescent="0.4">
      <c r="B439" s="1">
        <v>42988</v>
      </c>
      <c r="C439" s="16">
        <f>SUMIF(매도완료!$G:$G,Sheet2!$B439,매도완료!$P:$P)</f>
        <v>0</v>
      </c>
      <c r="D439" s="16">
        <f>SUMIF(매도완료!$J:$J,Sheet2!$B439,매도완료!$P:$P)</f>
        <v>0</v>
      </c>
      <c r="E439" s="16">
        <f t="shared" si="12"/>
        <v>46487610</v>
      </c>
      <c r="G439" s="16">
        <f>IF(D439=0,0,SUMIF(매도완료!$J:$J,Sheet2!$B439,매도완료!$S:$S))</f>
        <v>0</v>
      </c>
      <c r="H439" s="16">
        <f t="shared" si="13"/>
        <v>2135449.1579999998</v>
      </c>
    </row>
    <row r="440" spans="2:8" hidden="1" x14ac:dyDescent="0.4">
      <c r="B440" s="1">
        <v>42989</v>
      </c>
      <c r="C440" s="16">
        <f>SUMIF(매도완료!$G:$G,Sheet2!$B440,매도완료!$P:$P)</f>
        <v>3837500</v>
      </c>
      <c r="D440" s="16">
        <f>SUMIF(매도완료!$J:$J,Sheet2!$B440,매도완료!$P:$P)</f>
        <v>0</v>
      </c>
      <c r="E440" s="16">
        <f t="shared" si="12"/>
        <v>50325110</v>
      </c>
      <c r="G440" s="16">
        <f>IF(D440=0,0,SUMIF(매도완료!$J:$J,Sheet2!$B440,매도완료!$S:$S))</f>
        <v>0</v>
      </c>
      <c r="H440" s="16">
        <f t="shared" si="13"/>
        <v>2135449.1579999998</v>
      </c>
    </row>
    <row r="441" spans="2:8" hidden="1" x14ac:dyDescent="0.4">
      <c r="B441" s="1">
        <v>42990</v>
      </c>
      <c r="C441" s="16">
        <f>SUMIF(매도완료!$G:$G,Sheet2!$B441,매도완료!$P:$P)</f>
        <v>0</v>
      </c>
      <c r="D441" s="16">
        <f>SUMIF(매도완료!$J:$J,Sheet2!$B441,매도완료!$P:$P)</f>
        <v>0</v>
      </c>
      <c r="E441" s="16">
        <f t="shared" si="12"/>
        <v>50325110</v>
      </c>
      <c r="G441" s="16">
        <f>IF(D441=0,0,SUMIF(매도완료!$J:$J,Sheet2!$B441,매도완료!$S:$S))</f>
        <v>0</v>
      </c>
      <c r="H441" s="16">
        <f t="shared" si="13"/>
        <v>2135449.1579999998</v>
      </c>
    </row>
    <row r="442" spans="2:8" hidden="1" x14ac:dyDescent="0.4">
      <c r="B442" s="1">
        <v>42991</v>
      </c>
      <c r="C442" s="16">
        <f>SUMIF(매도완료!$G:$G,Sheet2!$B442,매도완료!$P:$P)</f>
        <v>0</v>
      </c>
      <c r="D442" s="16">
        <f>SUMIF(매도완료!$J:$J,Sheet2!$B442,매도완료!$P:$P)</f>
        <v>0</v>
      </c>
      <c r="E442" s="16">
        <f t="shared" si="12"/>
        <v>50325110</v>
      </c>
      <c r="G442" s="16">
        <f>IF(D442=0,0,SUMIF(매도완료!$J:$J,Sheet2!$B442,매도완료!$S:$S))</f>
        <v>0</v>
      </c>
      <c r="H442" s="16">
        <f t="shared" si="13"/>
        <v>2135449.1579999998</v>
      </c>
    </row>
    <row r="443" spans="2:8" hidden="1" x14ac:dyDescent="0.4">
      <c r="B443" s="1">
        <v>42992</v>
      </c>
      <c r="C443" s="16">
        <f>SUMIF(매도완료!$G:$G,Sheet2!$B443,매도완료!$P:$P)</f>
        <v>0</v>
      </c>
      <c r="D443" s="16">
        <f>SUMIF(매도완료!$J:$J,Sheet2!$B443,매도완료!$P:$P)</f>
        <v>0</v>
      </c>
      <c r="E443" s="16">
        <f t="shared" si="12"/>
        <v>50325110</v>
      </c>
      <c r="G443" s="16">
        <f>IF(D443=0,0,SUMIF(매도완료!$J:$J,Sheet2!$B443,매도완료!$S:$S))</f>
        <v>0</v>
      </c>
      <c r="H443" s="16">
        <f t="shared" si="13"/>
        <v>2135449.1579999998</v>
      </c>
    </row>
    <row r="444" spans="2:8" hidden="1" x14ac:dyDescent="0.4">
      <c r="B444" s="1">
        <v>42993</v>
      </c>
      <c r="C444" s="16">
        <f>SUMIF(매도완료!$G:$G,Sheet2!$B444,매도완료!$P:$P)</f>
        <v>0</v>
      </c>
      <c r="D444" s="16">
        <f>SUMIF(매도완료!$J:$J,Sheet2!$B444,매도완료!$P:$P)</f>
        <v>0</v>
      </c>
      <c r="E444" s="16">
        <f t="shared" si="12"/>
        <v>50325110</v>
      </c>
      <c r="G444" s="16">
        <f>IF(D444=0,0,SUMIF(매도완료!$J:$J,Sheet2!$B444,매도완료!$S:$S))</f>
        <v>0</v>
      </c>
      <c r="H444" s="16">
        <f t="shared" si="13"/>
        <v>2135449.1579999998</v>
      </c>
    </row>
    <row r="445" spans="2:8" hidden="1" x14ac:dyDescent="0.4">
      <c r="B445" s="1">
        <v>42994</v>
      </c>
      <c r="C445" s="16">
        <f>SUMIF(매도완료!$G:$G,Sheet2!$B445,매도완료!$P:$P)</f>
        <v>0</v>
      </c>
      <c r="D445" s="16">
        <f>SUMIF(매도완료!$J:$J,Sheet2!$B445,매도완료!$P:$P)</f>
        <v>0</v>
      </c>
      <c r="E445" s="16">
        <f t="shared" si="12"/>
        <v>50325110</v>
      </c>
      <c r="G445" s="16">
        <f>IF(D445=0,0,SUMIF(매도완료!$J:$J,Sheet2!$B445,매도완료!$S:$S))</f>
        <v>0</v>
      </c>
      <c r="H445" s="16">
        <f t="shared" si="13"/>
        <v>2135449.1579999998</v>
      </c>
    </row>
    <row r="446" spans="2:8" hidden="1" x14ac:dyDescent="0.4">
      <c r="B446" s="1">
        <v>42995</v>
      </c>
      <c r="C446" s="16">
        <f>SUMIF(매도완료!$G:$G,Sheet2!$B446,매도완료!$P:$P)</f>
        <v>0</v>
      </c>
      <c r="D446" s="16">
        <f>SUMIF(매도완료!$J:$J,Sheet2!$B446,매도완료!$P:$P)</f>
        <v>0</v>
      </c>
      <c r="E446" s="16">
        <f t="shared" si="12"/>
        <v>50325110</v>
      </c>
      <c r="G446" s="16">
        <f>IF(D446=0,0,SUMIF(매도완료!$J:$J,Sheet2!$B446,매도완료!$S:$S))</f>
        <v>0</v>
      </c>
      <c r="H446" s="16">
        <f t="shared" si="13"/>
        <v>2135449.1579999998</v>
      </c>
    </row>
    <row r="447" spans="2:8" hidden="1" x14ac:dyDescent="0.4">
      <c r="B447" s="1">
        <v>42996</v>
      </c>
      <c r="C447" s="16">
        <f>SUMIF(매도완료!$G:$G,Sheet2!$B447,매도완료!$P:$P)</f>
        <v>0</v>
      </c>
      <c r="D447" s="16">
        <f>SUMIF(매도완료!$J:$J,Sheet2!$B447,매도완료!$P:$P)</f>
        <v>0</v>
      </c>
      <c r="E447" s="16">
        <f t="shared" si="12"/>
        <v>50325110</v>
      </c>
      <c r="G447" s="16">
        <f>IF(D447=0,0,SUMIF(매도완료!$J:$J,Sheet2!$B447,매도완료!$S:$S))</f>
        <v>0</v>
      </c>
      <c r="H447" s="16">
        <f t="shared" si="13"/>
        <v>2135449.1579999998</v>
      </c>
    </row>
    <row r="448" spans="2:8" hidden="1" x14ac:dyDescent="0.4">
      <c r="B448" s="1">
        <v>42997</v>
      </c>
      <c r="C448" s="16">
        <f>SUMIF(매도완료!$G:$G,Sheet2!$B448,매도완료!$P:$P)</f>
        <v>0</v>
      </c>
      <c r="D448" s="16">
        <f>SUMIF(매도완료!$J:$J,Sheet2!$B448,매도완료!$P:$P)</f>
        <v>0</v>
      </c>
      <c r="E448" s="16">
        <f t="shared" si="12"/>
        <v>50325110</v>
      </c>
      <c r="G448" s="16">
        <f>IF(D448=0,0,SUMIF(매도완료!$J:$J,Sheet2!$B448,매도완료!$S:$S))</f>
        <v>0</v>
      </c>
      <c r="H448" s="16">
        <f t="shared" si="13"/>
        <v>2135449.1579999998</v>
      </c>
    </row>
    <row r="449" spans="2:8" hidden="1" x14ac:dyDescent="0.4">
      <c r="B449" s="1">
        <v>42998</v>
      </c>
      <c r="C449" s="16">
        <f>SUMIF(매도완료!$G:$G,Sheet2!$B449,매도완료!$P:$P)</f>
        <v>0</v>
      </c>
      <c r="D449" s="16">
        <f>SUMIF(매도완료!$J:$J,Sheet2!$B449,매도완료!$P:$P)</f>
        <v>0</v>
      </c>
      <c r="E449" s="16">
        <f t="shared" si="12"/>
        <v>50325110</v>
      </c>
      <c r="G449" s="16">
        <f>IF(D449=0,0,SUMIF(매도완료!$J:$J,Sheet2!$B449,매도완료!$S:$S))</f>
        <v>0</v>
      </c>
      <c r="H449" s="16">
        <f t="shared" si="13"/>
        <v>2135449.1579999998</v>
      </c>
    </row>
    <row r="450" spans="2:8" hidden="1" x14ac:dyDescent="0.4">
      <c r="B450" s="1">
        <v>42999</v>
      </c>
      <c r="C450" s="16">
        <f>SUMIF(매도완료!$G:$G,Sheet2!$B450,매도완료!$P:$P)</f>
        <v>0</v>
      </c>
      <c r="D450" s="16">
        <f>SUMIF(매도완료!$J:$J,Sheet2!$B450,매도완료!$P:$P)</f>
        <v>0</v>
      </c>
      <c r="E450" s="16">
        <f t="shared" si="12"/>
        <v>50325110</v>
      </c>
      <c r="G450" s="16">
        <f>IF(D450=0,0,SUMIF(매도완료!$J:$J,Sheet2!$B450,매도완료!$S:$S))</f>
        <v>0</v>
      </c>
      <c r="H450" s="16">
        <f t="shared" si="13"/>
        <v>2135449.1579999998</v>
      </c>
    </row>
    <row r="451" spans="2:8" hidden="1" x14ac:dyDescent="0.4">
      <c r="B451" s="1">
        <v>43000</v>
      </c>
      <c r="C451" s="16">
        <f>SUMIF(매도완료!$G:$G,Sheet2!$B451,매도완료!$P:$P)</f>
        <v>0</v>
      </c>
      <c r="D451" s="16">
        <f>SUMIF(매도완료!$J:$J,Sheet2!$B451,매도완료!$P:$P)</f>
        <v>0</v>
      </c>
      <c r="E451" s="16">
        <f t="shared" si="12"/>
        <v>50325110</v>
      </c>
      <c r="G451" s="16">
        <f>IF(D451=0,0,SUMIF(매도완료!$J:$J,Sheet2!$B451,매도완료!$S:$S))</f>
        <v>0</v>
      </c>
      <c r="H451" s="16">
        <f t="shared" si="13"/>
        <v>2135449.1579999998</v>
      </c>
    </row>
    <row r="452" spans="2:8" hidden="1" x14ac:dyDescent="0.4">
      <c r="B452" s="1">
        <v>43001</v>
      </c>
      <c r="C452" s="16">
        <f>SUMIF(매도완료!$G:$G,Sheet2!$B452,매도완료!$P:$P)</f>
        <v>0</v>
      </c>
      <c r="D452" s="16">
        <f>SUMIF(매도완료!$J:$J,Sheet2!$B452,매도완료!$P:$P)</f>
        <v>0</v>
      </c>
      <c r="E452" s="16">
        <f t="shared" ref="E452:E515" si="14">E451+C452-D452</f>
        <v>50325110</v>
      </c>
      <c r="G452" s="16">
        <f>IF(D452=0,0,SUMIF(매도완료!$J:$J,Sheet2!$B452,매도완료!$S:$S))</f>
        <v>0</v>
      </c>
      <c r="H452" s="16">
        <f t="shared" ref="H452:H515" si="15">H451+G452</f>
        <v>2135449.1579999998</v>
      </c>
    </row>
    <row r="453" spans="2:8" hidden="1" x14ac:dyDescent="0.4">
      <c r="B453" s="1">
        <v>43002</v>
      </c>
      <c r="C453" s="16">
        <f>SUMIF(매도완료!$G:$G,Sheet2!$B453,매도완료!$P:$P)</f>
        <v>0</v>
      </c>
      <c r="D453" s="16">
        <f>SUMIF(매도완료!$J:$J,Sheet2!$B453,매도완료!$P:$P)</f>
        <v>0</v>
      </c>
      <c r="E453" s="16">
        <f t="shared" si="14"/>
        <v>50325110</v>
      </c>
      <c r="G453" s="16">
        <f>IF(D453=0,0,SUMIF(매도완료!$J:$J,Sheet2!$B453,매도완료!$S:$S))</f>
        <v>0</v>
      </c>
      <c r="H453" s="16">
        <f t="shared" si="15"/>
        <v>2135449.1579999998</v>
      </c>
    </row>
    <row r="454" spans="2:8" hidden="1" x14ac:dyDescent="0.4">
      <c r="B454" s="1">
        <v>43003</v>
      </c>
      <c r="C454" s="16">
        <f>SUMIF(매도완료!$G:$G,Sheet2!$B454,매도완료!$P:$P)</f>
        <v>0</v>
      </c>
      <c r="D454" s="16">
        <f>SUMIF(매도완료!$J:$J,Sheet2!$B454,매도완료!$P:$P)</f>
        <v>0</v>
      </c>
      <c r="E454" s="16">
        <f t="shared" si="14"/>
        <v>50325110</v>
      </c>
      <c r="G454" s="16">
        <f>IF(D454=0,0,SUMIF(매도완료!$J:$J,Sheet2!$B454,매도완료!$S:$S))</f>
        <v>0</v>
      </c>
      <c r="H454" s="16">
        <f t="shared" si="15"/>
        <v>2135449.1579999998</v>
      </c>
    </row>
    <row r="455" spans="2:8" hidden="1" x14ac:dyDescent="0.4">
      <c r="B455" s="1">
        <v>43004</v>
      </c>
      <c r="C455" s="16">
        <f>SUMIF(매도완료!$G:$G,Sheet2!$B455,매도완료!$P:$P)</f>
        <v>538000</v>
      </c>
      <c r="D455" s="16">
        <f>SUMIF(매도완료!$J:$J,Sheet2!$B455,매도완료!$P:$P)</f>
        <v>0</v>
      </c>
      <c r="E455" s="16">
        <f t="shared" si="14"/>
        <v>50863110</v>
      </c>
      <c r="G455" s="16">
        <f>IF(D455=0,0,SUMIF(매도완료!$J:$J,Sheet2!$B455,매도완료!$S:$S))</f>
        <v>0</v>
      </c>
      <c r="H455" s="16">
        <f t="shared" si="15"/>
        <v>2135449.1579999998</v>
      </c>
    </row>
    <row r="456" spans="2:8" hidden="1" x14ac:dyDescent="0.4">
      <c r="B456" s="1">
        <v>43005</v>
      </c>
      <c r="C456" s="16">
        <f>SUMIF(매도완료!$G:$G,Sheet2!$B456,매도완료!$P:$P)</f>
        <v>0</v>
      </c>
      <c r="D456" s="16">
        <f>SUMIF(매도완료!$J:$J,Sheet2!$B456,매도완료!$P:$P)</f>
        <v>0</v>
      </c>
      <c r="E456" s="16">
        <f t="shared" si="14"/>
        <v>50863110</v>
      </c>
      <c r="G456" s="16">
        <f>IF(D456=0,0,SUMIF(매도완료!$J:$J,Sheet2!$B456,매도완료!$S:$S))</f>
        <v>0</v>
      </c>
      <c r="H456" s="16">
        <f t="shared" si="15"/>
        <v>2135449.1579999998</v>
      </c>
    </row>
    <row r="457" spans="2:8" hidden="1" x14ac:dyDescent="0.4">
      <c r="B457" s="1">
        <v>43006</v>
      </c>
      <c r="C457" s="16">
        <f>SUMIF(매도완료!$G:$G,Sheet2!$B457,매도완료!$P:$P)</f>
        <v>0</v>
      </c>
      <c r="D457" s="16">
        <f>SUMIF(매도완료!$J:$J,Sheet2!$B457,매도완료!$P:$P)</f>
        <v>0</v>
      </c>
      <c r="E457" s="16">
        <f t="shared" si="14"/>
        <v>50863110</v>
      </c>
      <c r="G457" s="16">
        <f>IF(D457=0,0,SUMIF(매도완료!$J:$J,Sheet2!$B457,매도완료!$S:$S))</f>
        <v>0</v>
      </c>
      <c r="H457" s="16">
        <f t="shared" si="15"/>
        <v>2135449.1579999998</v>
      </c>
    </row>
    <row r="458" spans="2:8" hidden="1" x14ac:dyDescent="0.4">
      <c r="B458" s="1">
        <v>43007</v>
      </c>
      <c r="C458" s="16">
        <f>SUMIF(매도완료!$G:$G,Sheet2!$B458,매도완료!$P:$P)</f>
        <v>0</v>
      </c>
      <c r="D458" s="16">
        <f>SUMIF(매도완료!$J:$J,Sheet2!$B458,매도완료!$P:$P)</f>
        <v>0</v>
      </c>
      <c r="E458" s="16">
        <f t="shared" si="14"/>
        <v>50863110</v>
      </c>
      <c r="G458" s="16">
        <f>IF(D458=0,0,SUMIF(매도완료!$J:$J,Sheet2!$B458,매도완료!$S:$S))</f>
        <v>0</v>
      </c>
      <c r="H458" s="16">
        <f t="shared" si="15"/>
        <v>2135449.1579999998</v>
      </c>
    </row>
    <row r="459" spans="2:8" hidden="1" x14ac:dyDescent="0.4">
      <c r="B459" s="1">
        <v>43008</v>
      </c>
      <c r="C459" s="16">
        <f>SUMIF(매도완료!$G:$G,Sheet2!$B459,매도완료!$P:$P)</f>
        <v>0</v>
      </c>
      <c r="D459" s="16">
        <f>SUMIF(매도완료!$J:$J,Sheet2!$B459,매도완료!$P:$P)</f>
        <v>0</v>
      </c>
      <c r="E459" s="16">
        <f t="shared" si="14"/>
        <v>50863110</v>
      </c>
      <c r="G459" s="16">
        <f>IF(D459=0,0,SUMIF(매도완료!$J:$J,Sheet2!$B459,매도완료!$S:$S))</f>
        <v>0</v>
      </c>
      <c r="H459" s="16">
        <f t="shared" si="15"/>
        <v>2135449.1579999998</v>
      </c>
    </row>
    <row r="460" spans="2:8" hidden="1" x14ac:dyDescent="0.4">
      <c r="B460" s="1">
        <v>43009</v>
      </c>
      <c r="C460" s="16">
        <f>SUMIF(매도완료!$G:$G,Sheet2!$B460,매도완료!$P:$P)</f>
        <v>0</v>
      </c>
      <c r="D460" s="16">
        <f>SUMIF(매도완료!$J:$J,Sheet2!$B460,매도완료!$P:$P)</f>
        <v>0</v>
      </c>
      <c r="E460" s="16">
        <f t="shared" si="14"/>
        <v>50863110</v>
      </c>
      <c r="G460" s="16">
        <f>IF(D460=0,0,SUMIF(매도완료!$J:$J,Sheet2!$B460,매도완료!$S:$S))</f>
        <v>0</v>
      </c>
      <c r="H460" s="16">
        <f t="shared" si="15"/>
        <v>2135449.1579999998</v>
      </c>
    </row>
    <row r="461" spans="2:8" hidden="1" x14ac:dyDescent="0.4">
      <c r="B461" s="1">
        <v>43010</v>
      </c>
      <c r="C461" s="16">
        <f>SUMIF(매도완료!$G:$G,Sheet2!$B461,매도완료!$P:$P)</f>
        <v>0</v>
      </c>
      <c r="D461" s="16">
        <f>SUMIF(매도완료!$J:$J,Sheet2!$B461,매도완료!$P:$P)</f>
        <v>0</v>
      </c>
      <c r="E461" s="16">
        <f t="shared" si="14"/>
        <v>50863110</v>
      </c>
      <c r="G461" s="16">
        <f>IF(D461=0,0,SUMIF(매도완료!$J:$J,Sheet2!$B461,매도완료!$S:$S))</f>
        <v>0</v>
      </c>
      <c r="H461" s="16">
        <f t="shared" si="15"/>
        <v>2135449.1579999998</v>
      </c>
    </row>
    <row r="462" spans="2:8" hidden="1" x14ac:dyDescent="0.4">
      <c r="B462" s="1">
        <v>43011</v>
      </c>
      <c r="C462" s="16">
        <f>SUMIF(매도완료!$G:$G,Sheet2!$B462,매도완료!$P:$P)</f>
        <v>0</v>
      </c>
      <c r="D462" s="16">
        <f>SUMIF(매도완료!$J:$J,Sheet2!$B462,매도완료!$P:$P)</f>
        <v>0</v>
      </c>
      <c r="E462" s="16">
        <f t="shared" si="14"/>
        <v>50863110</v>
      </c>
      <c r="G462" s="16">
        <f>IF(D462=0,0,SUMIF(매도완료!$J:$J,Sheet2!$B462,매도완료!$S:$S))</f>
        <v>0</v>
      </c>
      <c r="H462" s="16">
        <f t="shared" si="15"/>
        <v>2135449.1579999998</v>
      </c>
    </row>
    <row r="463" spans="2:8" hidden="1" x14ac:dyDescent="0.4">
      <c r="B463" s="1">
        <v>43012</v>
      </c>
      <c r="C463" s="16">
        <f>SUMIF(매도완료!$G:$G,Sheet2!$B463,매도완료!$P:$P)</f>
        <v>0</v>
      </c>
      <c r="D463" s="16">
        <f>SUMIF(매도완료!$J:$J,Sheet2!$B463,매도완료!$P:$P)</f>
        <v>0</v>
      </c>
      <c r="E463" s="16">
        <f t="shared" si="14"/>
        <v>50863110</v>
      </c>
      <c r="G463" s="16">
        <f>IF(D463=0,0,SUMIF(매도완료!$J:$J,Sheet2!$B463,매도완료!$S:$S))</f>
        <v>0</v>
      </c>
      <c r="H463" s="16">
        <f t="shared" si="15"/>
        <v>2135449.1579999998</v>
      </c>
    </row>
    <row r="464" spans="2:8" hidden="1" x14ac:dyDescent="0.4">
      <c r="B464" s="1">
        <v>43013</v>
      </c>
      <c r="C464" s="16">
        <f>SUMIF(매도완료!$G:$G,Sheet2!$B464,매도완료!$P:$P)</f>
        <v>0</v>
      </c>
      <c r="D464" s="16">
        <f>SUMIF(매도완료!$J:$J,Sheet2!$B464,매도완료!$P:$P)</f>
        <v>0</v>
      </c>
      <c r="E464" s="16">
        <f t="shared" si="14"/>
        <v>50863110</v>
      </c>
      <c r="G464" s="16">
        <f>IF(D464=0,0,SUMIF(매도완료!$J:$J,Sheet2!$B464,매도완료!$S:$S))</f>
        <v>0</v>
      </c>
      <c r="H464" s="16">
        <f t="shared" si="15"/>
        <v>2135449.1579999998</v>
      </c>
    </row>
    <row r="465" spans="2:8" hidden="1" x14ac:dyDescent="0.4">
      <c r="B465" s="1">
        <v>43014</v>
      </c>
      <c r="C465" s="16">
        <f>SUMIF(매도완료!$G:$G,Sheet2!$B465,매도완료!$P:$P)</f>
        <v>0</v>
      </c>
      <c r="D465" s="16">
        <f>SUMIF(매도완료!$J:$J,Sheet2!$B465,매도완료!$P:$P)</f>
        <v>0</v>
      </c>
      <c r="E465" s="16">
        <f t="shared" si="14"/>
        <v>50863110</v>
      </c>
      <c r="G465" s="16">
        <f>IF(D465=0,0,SUMIF(매도완료!$J:$J,Sheet2!$B465,매도완료!$S:$S))</f>
        <v>0</v>
      </c>
      <c r="H465" s="16">
        <f t="shared" si="15"/>
        <v>2135449.1579999998</v>
      </c>
    </row>
    <row r="466" spans="2:8" hidden="1" x14ac:dyDescent="0.4">
      <c r="B466" s="1">
        <v>43015</v>
      </c>
      <c r="C466" s="16">
        <f>SUMIF(매도완료!$G:$G,Sheet2!$B466,매도완료!$P:$P)</f>
        <v>0</v>
      </c>
      <c r="D466" s="16">
        <f>SUMIF(매도완료!$J:$J,Sheet2!$B466,매도완료!$P:$P)</f>
        <v>0</v>
      </c>
      <c r="E466" s="16">
        <f t="shared" si="14"/>
        <v>50863110</v>
      </c>
      <c r="G466" s="16">
        <f>IF(D466=0,0,SUMIF(매도완료!$J:$J,Sheet2!$B466,매도완료!$S:$S))</f>
        <v>0</v>
      </c>
      <c r="H466" s="16">
        <f t="shared" si="15"/>
        <v>2135449.1579999998</v>
      </c>
    </row>
    <row r="467" spans="2:8" hidden="1" x14ac:dyDescent="0.4">
      <c r="B467" s="1">
        <v>43016</v>
      </c>
      <c r="C467" s="16">
        <f>SUMIF(매도완료!$G:$G,Sheet2!$B467,매도완료!$P:$P)</f>
        <v>0</v>
      </c>
      <c r="D467" s="16">
        <f>SUMIF(매도완료!$J:$J,Sheet2!$B467,매도완료!$P:$P)</f>
        <v>0</v>
      </c>
      <c r="E467" s="16">
        <f t="shared" si="14"/>
        <v>50863110</v>
      </c>
      <c r="G467" s="16">
        <f>IF(D467=0,0,SUMIF(매도완료!$J:$J,Sheet2!$B467,매도완료!$S:$S))</f>
        <v>0</v>
      </c>
      <c r="H467" s="16">
        <f t="shared" si="15"/>
        <v>2135449.1579999998</v>
      </c>
    </row>
    <row r="468" spans="2:8" hidden="1" x14ac:dyDescent="0.4">
      <c r="B468" s="1">
        <v>43017</v>
      </c>
      <c r="C468" s="16">
        <f>SUMIF(매도완료!$G:$G,Sheet2!$B468,매도완료!$P:$P)</f>
        <v>0</v>
      </c>
      <c r="D468" s="16">
        <f>SUMIF(매도완료!$J:$J,Sheet2!$B468,매도완료!$P:$P)</f>
        <v>0</v>
      </c>
      <c r="E468" s="16">
        <f t="shared" si="14"/>
        <v>50863110</v>
      </c>
      <c r="G468" s="16">
        <f>IF(D468=0,0,SUMIF(매도완료!$J:$J,Sheet2!$B468,매도완료!$S:$S))</f>
        <v>0</v>
      </c>
      <c r="H468" s="16">
        <f t="shared" si="15"/>
        <v>2135449.1579999998</v>
      </c>
    </row>
    <row r="469" spans="2:8" hidden="1" x14ac:dyDescent="0.4">
      <c r="B469" s="1">
        <v>43018</v>
      </c>
      <c r="C469" s="16">
        <f>SUMIF(매도완료!$G:$G,Sheet2!$B469,매도완료!$P:$P)</f>
        <v>0</v>
      </c>
      <c r="D469" s="16">
        <f>SUMIF(매도완료!$J:$J,Sheet2!$B469,매도완료!$P:$P)</f>
        <v>0</v>
      </c>
      <c r="E469" s="16">
        <f t="shared" si="14"/>
        <v>50863110</v>
      </c>
      <c r="G469" s="16">
        <f>IF(D469=0,0,SUMIF(매도완료!$J:$J,Sheet2!$B469,매도완료!$S:$S))</f>
        <v>0</v>
      </c>
      <c r="H469" s="16">
        <f t="shared" si="15"/>
        <v>2135449.1579999998</v>
      </c>
    </row>
    <row r="470" spans="2:8" hidden="1" x14ac:dyDescent="0.4">
      <c r="B470" s="1">
        <v>43019</v>
      </c>
      <c r="C470" s="16">
        <f>SUMIF(매도완료!$G:$G,Sheet2!$B470,매도완료!$P:$P)</f>
        <v>0</v>
      </c>
      <c r="D470" s="16">
        <f>SUMIF(매도완료!$J:$J,Sheet2!$B470,매도완료!$P:$P)</f>
        <v>0</v>
      </c>
      <c r="E470" s="16">
        <f t="shared" si="14"/>
        <v>50863110</v>
      </c>
      <c r="G470" s="16">
        <f>IF(D470=0,0,SUMIF(매도완료!$J:$J,Sheet2!$B470,매도완료!$S:$S))</f>
        <v>0</v>
      </c>
      <c r="H470" s="16">
        <f t="shared" si="15"/>
        <v>2135449.1579999998</v>
      </c>
    </row>
    <row r="471" spans="2:8" hidden="1" x14ac:dyDescent="0.4">
      <c r="B471" s="1">
        <v>43020</v>
      </c>
      <c r="C471" s="16">
        <f>SUMIF(매도완료!$G:$G,Sheet2!$B471,매도완료!$P:$P)</f>
        <v>0</v>
      </c>
      <c r="D471" s="16">
        <f>SUMIF(매도완료!$J:$J,Sheet2!$B471,매도완료!$P:$P)</f>
        <v>0</v>
      </c>
      <c r="E471" s="16">
        <f t="shared" si="14"/>
        <v>50863110</v>
      </c>
      <c r="G471" s="16">
        <f>IF(D471=0,0,SUMIF(매도완료!$J:$J,Sheet2!$B471,매도완료!$S:$S))</f>
        <v>0</v>
      </c>
      <c r="H471" s="16">
        <f t="shared" si="15"/>
        <v>2135449.1579999998</v>
      </c>
    </row>
    <row r="472" spans="2:8" hidden="1" x14ac:dyDescent="0.4">
      <c r="B472" s="1">
        <v>43021</v>
      </c>
      <c r="C472" s="16">
        <f>SUMIF(매도완료!$G:$G,Sheet2!$B472,매도완료!$P:$P)</f>
        <v>0</v>
      </c>
      <c r="D472" s="16">
        <f>SUMIF(매도완료!$J:$J,Sheet2!$B472,매도완료!$P:$P)</f>
        <v>0</v>
      </c>
      <c r="E472" s="16">
        <f t="shared" si="14"/>
        <v>50863110</v>
      </c>
      <c r="G472" s="16">
        <f>IF(D472=0,0,SUMIF(매도완료!$J:$J,Sheet2!$B472,매도완료!$S:$S))</f>
        <v>0</v>
      </c>
      <c r="H472" s="16">
        <f t="shared" si="15"/>
        <v>2135449.1579999998</v>
      </c>
    </row>
    <row r="473" spans="2:8" hidden="1" x14ac:dyDescent="0.4">
      <c r="B473" s="1">
        <v>43022</v>
      </c>
      <c r="C473" s="16">
        <f>SUMIF(매도완료!$G:$G,Sheet2!$B473,매도완료!$P:$P)</f>
        <v>0</v>
      </c>
      <c r="D473" s="16">
        <f>SUMIF(매도완료!$J:$J,Sheet2!$B473,매도완료!$P:$P)</f>
        <v>0</v>
      </c>
      <c r="E473" s="16">
        <f t="shared" si="14"/>
        <v>50863110</v>
      </c>
      <c r="G473" s="16">
        <f>IF(D473=0,0,SUMIF(매도완료!$J:$J,Sheet2!$B473,매도완료!$S:$S))</f>
        <v>0</v>
      </c>
      <c r="H473" s="16">
        <f t="shared" si="15"/>
        <v>2135449.1579999998</v>
      </c>
    </row>
    <row r="474" spans="2:8" hidden="1" x14ac:dyDescent="0.4">
      <c r="B474" s="1">
        <v>43023</v>
      </c>
      <c r="C474" s="16">
        <f>SUMIF(매도완료!$G:$G,Sheet2!$B474,매도완료!$P:$P)</f>
        <v>0</v>
      </c>
      <c r="D474" s="16">
        <f>SUMIF(매도완료!$J:$J,Sheet2!$B474,매도완료!$P:$P)</f>
        <v>0</v>
      </c>
      <c r="E474" s="16">
        <f t="shared" si="14"/>
        <v>50863110</v>
      </c>
      <c r="G474" s="16">
        <f>IF(D474=0,0,SUMIF(매도완료!$J:$J,Sheet2!$B474,매도완료!$S:$S))</f>
        <v>0</v>
      </c>
      <c r="H474" s="16">
        <f t="shared" si="15"/>
        <v>2135449.1579999998</v>
      </c>
    </row>
    <row r="475" spans="2:8" hidden="1" x14ac:dyDescent="0.4">
      <c r="B475" s="1">
        <v>43024</v>
      </c>
      <c r="C475" s="16">
        <f>SUMIF(매도완료!$G:$G,Sheet2!$B475,매도완료!$P:$P)</f>
        <v>0</v>
      </c>
      <c r="D475" s="16">
        <f>SUMIF(매도완료!$J:$J,Sheet2!$B475,매도완료!$P:$P)</f>
        <v>0</v>
      </c>
      <c r="E475" s="16">
        <f t="shared" si="14"/>
        <v>50863110</v>
      </c>
      <c r="G475" s="16">
        <f>IF(D475=0,0,SUMIF(매도완료!$J:$J,Sheet2!$B475,매도완료!$S:$S))</f>
        <v>0</v>
      </c>
      <c r="H475" s="16">
        <f t="shared" si="15"/>
        <v>2135449.1579999998</v>
      </c>
    </row>
    <row r="476" spans="2:8" hidden="1" x14ac:dyDescent="0.4">
      <c r="B476" s="1">
        <v>43025</v>
      </c>
      <c r="C476" s="16">
        <f>SUMIF(매도완료!$G:$G,Sheet2!$B476,매도완료!$P:$P)</f>
        <v>0</v>
      </c>
      <c r="D476" s="16">
        <f>SUMIF(매도완료!$J:$J,Sheet2!$B476,매도완료!$P:$P)</f>
        <v>0</v>
      </c>
      <c r="E476" s="16">
        <f t="shared" si="14"/>
        <v>50863110</v>
      </c>
      <c r="G476" s="16">
        <f>IF(D476=0,0,SUMIF(매도완료!$J:$J,Sheet2!$B476,매도완료!$S:$S))</f>
        <v>0</v>
      </c>
      <c r="H476" s="16">
        <f t="shared" si="15"/>
        <v>2135449.1579999998</v>
      </c>
    </row>
    <row r="477" spans="2:8" hidden="1" x14ac:dyDescent="0.4">
      <c r="B477" s="1">
        <v>43026</v>
      </c>
      <c r="C477" s="16">
        <f>SUMIF(매도완료!$G:$G,Sheet2!$B477,매도완료!$P:$P)</f>
        <v>0</v>
      </c>
      <c r="D477" s="16">
        <f>SUMIF(매도완료!$J:$J,Sheet2!$B477,매도완료!$P:$P)</f>
        <v>0</v>
      </c>
      <c r="E477" s="16">
        <f t="shared" si="14"/>
        <v>50863110</v>
      </c>
      <c r="G477" s="16">
        <f>IF(D477=0,0,SUMIF(매도완료!$J:$J,Sheet2!$B477,매도완료!$S:$S))</f>
        <v>0</v>
      </c>
      <c r="H477" s="16">
        <f t="shared" si="15"/>
        <v>2135449.1579999998</v>
      </c>
    </row>
    <row r="478" spans="2:8" hidden="1" x14ac:dyDescent="0.4">
      <c r="B478" s="1">
        <v>43027</v>
      </c>
      <c r="C478" s="16">
        <f>SUMIF(매도완료!$G:$G,Sheet2!$B478,매도완료!$P:$P)</f>
        <v>0</v>
      </c>
      <c r="D478" s="16">
        <f>SUMIF(매도완료!$J:$J,Sheet2!$B478,매도완료!$P:$P)</f>
        <v>0</v>
      </c>
      <c r="E478" s="16">
        <f t="shared" si="14"/>
        <v>50863110</v>
      </c>
      <c r="G478" s="16">
        <f>IF(D478=0,0,SUMIF(매도완료!$J:$J,Sheet2!$B478,매도완료!$S:$S))</f>
        <v>0</v>
      </c>
      <c r="H478" s="16">
        <f t="shared" si="15"/>
        <v>2135449.1579999998</v>
      </c>
    </row>
    <row r="479" spans="2:8" hidden="1" x14ac:dyDescent="0.4">
      <c r="B479" s="1">
        <v>43028</v>
      </c>
      <c r="C479" s="16">
        <f>SUMIF(매도완료!$G:$G,Sheet2!$B479,매도완료!$P:$P)</f>
        <v>9242000</v>
      </c>
      <c r="D479" s="16">
        <f>SUMIF(매도완료!$J:$J,Sheet2!$B479,매도완료!$P:$P)</f>
        <v>0</v>
      </c>
      <c r="E479" s="16">
        <f t="shared" si="14"/>
        <v>60105110</v>
      </c>
      <c r="G479" s="16">
        <f>IF(D479=0,0,SUMIF(매도완료!$J:$J,Sheet2!$B479,매도완료!$S:$S))</f>
        <v>0</v>
      </c>
      <c r="H479" s="16">
        <f t="shared" si="15"/>
        <v>2135449.1579999998</v>
      </c>
    </row>
    <row r="480" spans="2:8" hidden="1" x14ac:dyDescent="0.4">
      <c r="B480" s="1">
        <v>43029</v>
      </c>
      <c r="C480" s="16">
        <f>SUMIF(매도완료!$G:$G,Sheet2!$B480,매도완료!$P:$P)</f>
        <v>0</v>
      </c>
      <c r="D480" s="16">
        <f>SUMIF(매도완료!$J:$J,Sheet2!$B480,매도완료!$P:$P)</f>
        <v>0</v>
      </c>
      <c r="E480" s="16">
        <f t="shared" si="14"/>
        <v>60105110</v>
      </c>
      <c r="G480" s="16">
        <f>IF(D480=0,0,SUMIF(매도완료!$J:$J,Sheet2!$B480,매도완료!$S:$S))</f>
        <v>0</v>
      </c>
      <c r="H480" s="16">
        <f t="shared" si="15"/>
        <v>2135449.1579999998</v>
      </c>
    </row>
    <row r="481" spans="2:8" hidden="1" x14ac:dyDescent="0.4">
      <c r="B481" s="1">
        <v>43030</v>
      </c>
      <c r="C481" s="16">
        <f>SUMIF(매도완료!$G:$G,Sheet2!$B481,매도완료!$P:$P)</f>
        <v>0</v>
      </c>
      <c r="D481" s="16">
        <f>SUMIF(매도완료!$J:$J,Sheet2!$B481,매도완료!$P:$P)</f>
        <v>0</v>
      </c>
      <c r="E481" s="16">
        <f t="shared" si="14"/>
        <v>60105110</v>
      </c>
      <c r="G481" s="16">
        <f>IF(D481=0,0,SUMIF(매도완료!$J:$J,Sheet2!$B481,매도완료!$S:$S))</f>
        <v>0</v>
      </c>
      <c r="H481" s="16">
        <f t="shared" si="15"/>
        <v>2135449.1579999998</v>
      </c>
    </row>
    <row r="482" spans="2:8" hidden="1" x14ac:dyDescent="0.4">
      <c r="B482" s="1">
        <v>43031</v>
      </c>
      <c r="C482" s="16">
        <f>SUMIF(매도완료!$G:$G,Sheet2!$B482,매도완료!$P:$P)</f>
        <v>0</v>
      </c>
      <c r="D482" s="16">
        <f>SUMIF(매도완료!$J:$J,Sheet2!$B482,매도완료!$P:$P)</f>
        <v>0</v>
      </c>
      <c r="E482" s="16">
        <f t="shared" si="14"/>
        <v>60105110</v>
      </c>
      <c r="G482" s="16">
        <f>IF(D482=0,0,SUMIF(매도완료!$J:$J,Sheet2!$B482,매도완료!$S:$S))</f>
        <v>0</v>
      </c>
      <c r="H482" s="16">
        <f t="shared" si="15"/>
        <v>2135449.1579999998</v>
      </c>
    </row>
    <row r="483" spans="2:8" hidden="1" x14ac:dyDescent="0.4">
      <c r="B483" s="1">
        <v>43032</v>
      </c>
      <c r="C483" s="16">
        <f>SUMIF(매도완료!$G:$G,Sheet2!$B483,매도완료!$P:$P)</f>
        <v>0</v>
      </c>
      <c r="D483" s="16">
        <f>SUMIF(매도완료!$J:$J,Sheet2!$B483,매도완료!$P:$P)</f>
        <v>0</v>
      </c>
      <c r="E483" s="16">
        <f t="shared" si="14"/>
        <v>60105110</v>
      </c>
      <c r="G483" s="16">
        <f>IF(D483=0,0,SUMIF(매도완료!$J:$J,Sheet2!$B483,매도완료!$S:$S))</f>
        <v>0</v>
      </c>
      <c r="H483" s="16">
        <f t="shared" si="15"/>
        <v>2135449.1579999998</v>
      </c>
    </row>
    <row r="484" spans="2:8" hidden="1" x14ac:dyDescent="0.4">
      <c r="B484" s="1">
        <v>43033</v>
      </c>
      <c r="C484" s="16">
        <f>SUMIF(매도완료!$G:$G,Sheet2!$B484,매도완료!$P:$P)</f>
        <v>921000</v>
      </c>
      <c r="D484" s="16">
        <f>SUMIF(매도완료!$J:$J,Sheet2!$B484,매도완료!$P:$P)</f>
        <v>0</v>
      </c>
      <c r="E484" s="16">
        <f t="shared" si="14"/>
        <v>61026110</v>
      </c>
      <c r="G484" s="16">
        <f>IF(D484=0,0,SUMIF(매도완료!$J:$J,Sheet2!$B484,매도완료!$S:$S))</f>
        <v>0</v>
      </c>
      <c r="H484" s="16">
        <f t="shared" si="15"/>
        <v>2135449.1579999998</v>
      </c>
    </row>
    <row r="485" spans="2:8" hidden="1" x14ac:dyDescent="0.4">
      <c r="B485" s="1">
        <v>43034</v>
      </c>
      <c r="C485" s="16">
        <f>SUMIF(매도완료!$G:$G,Sheet2!$B485,매도완료!$P:$P)</f>
        <v>952000</v>
      </c>
      <c r="D485" s="16">
        <f>SUMIF(매도완료!$J:$J,Sheet2!$B485,매도완료!$P:$P)</f>
        <v>0</v>
      </c>
      <c r="E485" s="16">
        <f t="shared" si="14"/>
        <v>61978110</v>
      </c>
      <c r="G485" s="16">
        <f>IF(D485=0,0,SUMIF(매도완료!$J:$J,Sheet2!$B485,매도완료!$S:$S))</f>
        <v>0</v>
      </c>
      <c r="H485" s="16">
        <f t="shared" si="15"/>
        <v>2135449.1579999998</v>
      </c>
    </row>
    <row r="486" spans="2:8" hidden="1" x14ac:dyDescent="0.4">
      <c r="B486" s="1">
        <v>43035</v>
      </c>
      <c r="C486" s="16">
        <f>SUMIF(매도완료!$G:$G,Sheet2!$B486,매도완료!$P:$P)</f>
        <v>0</v>
      </c>
      <c r="D486" s="16">
        <f>SUMIF(매도완료!$J:$J,Sheet2!$B486,매도완료!$P:$P)</f>
        <v>0</v>
      </c>
      <c r="E486" s="16">
        <f t="shared" si="14"/>
        <v>61978110</v>
      </c>
      <c r="G486" s="16">
        <f>IF(D486=0,0,SUMIF(매도완료!$J:$J,Sheet2!$B486,매도완료!$S:$S))</f>
        <v>0</v>
      </c>
      <c r="H486" s="16">
        <f t="shared" si="15"/>
        <v>2135449.1579999998</v>
      </c>
    </row>
    <row r="487" spans="2:8" hidden="1" x14ac:dyDescent="0.4">
      <c r="B487" s="1">
        <v>43036</v>
      </c>
      <c r="C487" s="16">
        <f>SUMIF(매도완료!$G:$G,Sheet2!$B487,매도완료!$P:$P)</f>
        <v>0</v>
      </c>
      <c r="D487" s="16">
        <f>SUMIF(매도완료!$J:$J,Sheet2!$B487,매도완료!$P:$P)</f>
        <v>0</v>
      </c>
      <c r="E487" s="16">
        <f t="shared" si="14"/>
        <v>61978110</v>
      </c>
      <c r="G487" s="16">
        <f>IF(D487=0,0,SUMIF(매도완료!$J:$J,Sheet2!$B487,매도완료!$S:$S))</f>
        <v>0</v>
      </c>
      <c r="H487" s="16">
        <f t="shared" si="15"/>
        <v>2135449.1579999998</v>
      </c>
    </row>
    <row r="488" spans="2:8" hidden="1" x14ac:dyDescent="0.4">
      <c r="B488" s="1">
        <v>43037</v>
      </c>
      <c r="C488" s="16">
        <f>SUMIF(매도완료!$G:$G,Sheet2!$B488,매도완료!$P:$P)</f>
        <v>0</v>
      </c>
      <c r="D488" s="16">
        <f>SUMIF(매도완료!$J:$J,Sheet2!$B488,매도완료!$P:$P)</f>
        <v>0</v>
      </c>
      <c r="E488" s="16">
        <f t="shared" si="14"/>
        <v>61978110</v>
      </c>
      <c r="G488" s="16">
        <f>IF(D488=0,0,SUMIF(매도완료!$J:$J,Sheet2!$B488,매도완료!$S:$S))</f>
        <v>0</v>
      </c>
      <c r="H488" s="16">
        <f t="shared" si="15"/>
        <v>2135449.1579999998</v>
      </c>
    </row>
    <row r="489" spans="2:8" hidden="1" x14ac:dyDescent="0.4">
      <c r="B489" s="1">
        <v>43038</v>
      </c>
      <c r="C489" s="16">
        <f>SUMIF(매도완료!$G:$G,Sheet2!$B489,매도완료!$P:$P)</f>
        <v>924000</v>
      </c>
      <c r="D489" s="16">
        <f>SUMIF(매도완료!$J:$J,Sheet2!$B489,매도완료!$P:$P)</f>
        <v>3402500</v>
      </c>
      <c r="E489" s="16">
        <f t="shared" si="14"/>
        <v>59499610</v>
      </c>
      <c r="G489" s="16">
        <f>IF(D489=0,0,SUMIF(매도완료!$J:$J,Sheet2!$B489,매도완료!$S:$S))</f>
        <v>136390</v>
      </c>
      <c r="H489" s="16">
        <f t="shared" si="15"/>
        <v>2271839.1579999998</v>
      </c>
    </row>
    <row r="490" spans="2:8" hidden="1" x14ac:dyDescent="0.4">
      <c r="B490" s="1">
        <v>43039</v>
      </c>
      <c r="C490" s="16">
        <f>SUMIF(매도완료!$G:$G,Sheet2!$B490,매도완료!$P:$P)</f>
        <v>0</v>
      </c>
      <c r="D490" s="16">
        <f>SUMIF(매도완료!$J:$J,Sheet2!$B490,매도완료!$P:$P)</f>
        <v>0</v>
      </c>
      <c r="E490" s="16">
        <f t="shared" si="14"/>
        <v>59499610</v>
      </c>
      <c r="G490" s="16">
        <f>IF(D490=0,0,SUMIF(매도완료!$J:$J,Sheet2!$B490,매도완료!$S:$S))</f>
        <v>0</v>
      </c>
      <c r="H490" s="16">
        <f t="shared" si="15"/>
        <v>2271839.1579999998</v>
      </c>
    </row>
    <row r="491" spans="2:8" hidden="1" x14ac:dyDescent="0.4">
      <c r="B491" s="1">
        <v>43040</v>
      </c>
      <c r="C491" s="16">
        <f>SUMIF(매도완료!$G:$G,Sheet2!$B491,매도완료!$P:$P)</f>
        <v>632000</v>
      </c>
      <c r="D491" s="16">
        <f>SUMIF(매도완료!$J:$J,Sheet2!$B491,매도완료!$P:$P)</f>
        <v>4180000</v>
      </c>
      <c r="E491" s="16">
        <f t="shared" si="14"/>
        <v>55951610</v>
      </c>
      <c r="G491" s="16">
        <f>IF(D491=0,0,SUMIF(매도완료!$J:$J,Sheet2!$B491,매도완료!$S:$S))</f>
        <v>457755</v>
      </c>
      <c r="H491" s="16">
        <f t="shared" si="15"/>
        <v>2729594.1579999998</v>
      </c>
    </row>
    <row r="492" spans="2:8" hidden="1" x14ac:dyDescent="0.4">
      <c r="B492" s="1">
        <v>43041</v>
      </c>
      <c r="C492" s="16">
        <f>SUMIF(매도완료!$G:$G,Sheet2!$B492,매도완료!$P:$P)</f>
        <v>0</v>
      </c>
      <c r="D492" s="16">
        <f>SUMIF(매도완료!$J:$J,Sheet2!$B492,매도완료!$P:$P)</f>
        <v>538000</v>
      </c>
      <c r="E492" s="16">
        <f t="shared" si="14"/>
        <v>55413610</v>
      </c>
      <c r="G492" s="16">
        <f>IF(D492=0,0,SUMIF(매도완료!$J:$J,Sheet2!$B492,매도완료!$S:$S))</f>
        <v>63485</v>
      </c>
      <c r="H492" s="16">
        <f t="shared" si="15"/>
        <v>2793079.1579999998</v>
      </c>
    </row>
    <row r="493" spans="2:8" hidden="1" x14ac:dyDescent="0.4">
      <c r="B493" s="1">
        <v>43042</v>
      </c>
      <c r="C493" s="16">
        <f>SUMIF(매도완료!$G:$G,Sheet2!$B493,매도완료!$P:$P)</f>
        <v>3796500</v>
      </c>
      <c r="D493" s="16">
        <f>SUMIF(매도완료!$J:$J,Sheet2!$B493,매도완료!$P:$P)</f>
        <v>5600750</v>
      </c>
      <c r="E493" s="16">
        <f t="shared" si="14"/>
        <v>53609360</v>
      </c>
      <c r="G493" s="16">
        <f>IF(D493=0,0,SUMIF(매도완료!$J:$J,Sheet2!$B493,매도완료!$S:$S))</f>
        <v>222269.75</v>
      </c>
      <c r="H493" s="16">
        <f t="shared" si="15"/>
        <v>3015348.9079999998</v>
      </c>
    </row>
    <row r="494" spans="2:8" hidden="1" x14ac:dyDescent="0.4">
      <c r="B494" s="1">
        <v>43043</v>
      </c>
      <c r="C494" s="16">
        <f>SUMIF(매도완료!$G:$G,Sheet2!$B494,매도완료!$P:$P)</f>
        <v>0</v>
      </c>
      <c r="D494" s="16">
        <f>SUMIF(매도완료!$J:$J,Sheet2!$B494,매도완료!$P:$P)</f>
        <v>0</v>
      </c>
      <c r="E494" s="16">
        <f t="shared" si="14"/>
        <v>53609360</v>
      </c>
      <c r="G494" s="16">
        <f>IF(D494=0,0,SUMIF(매도완료!$J:$J,Sheet2!$B494,매도완료!$S:$S))</f>
        <v>0</v>
      </c>
      <c r="H494" s="16">
        <f t="shared" si="15"/>
        <v>3015348.9079999998</v>
      </c>
    </row>
    <row r="495" spans="2:8" hidden="1" x14ac:dyDescent="0.4">
      <c r="B495" s="1">
        <v>43044</v>
      </c>
      <c r="C495" s="16">
        <f>SUMIF(매도완료!$G:$G,Sheet2!$B495,매도완료!$P:$P)</f>
        <v>0</v>
      </c>
      <c r="D495" s="16">
        <f>SUMIF(매도완료!$J:$J,Sheet2!$B495,매도완료!$P:$P)</f>
        <v>0</v>
      </c>
      <c r="E495" s="16">
        <f t="shared" si="14"/>
        <v>53609360</v>
      </c>
      <c r="G495" s="16">
        <f>IF(D495=0,0,SUMIF(매도완료!$J:$J,Sheet2!$B495,매도완료!$S:$S))</f>
        <v>0</v>
      </c>
      <c r="H495" s="16">
        <f t="shared" si="15"/>
        <v>3015348.9079999998</v>
      </c>
    </row>
    <row r="496" spans="2:8" hidden="1" x14ac:dyDescent="0.4">
      <c r="B496" s="1">
        <v>43045</v>
      </c>
      <c r="C496" s="16">
        <f>SUMIF(매도완료!$G:$G,Sheet2!$B496,매도완료!$P:$P)</f>
        <v>946000</v>
      </c>
      <c r="D496" s="16">
        <f>SUMIF(매도완료!$J:$J,Sheet2!$B496,매도완료!$P:$P)</f>
        <v>0</v>
      </c>
      <c r="E496" s="16">
        <f t="shared" si="14"/>
        <v>54555360</v>
      </c>
      <c r="G496" s="16">
        <f>IF(D496=0,0,SUMIF(매도완료!$J:$J,Sheet2!$B496,매도완료!$S:$S))</f>
        <v>0</v>
      </c>
      <c r="H496" s="16">
        <f t="shared" si="15"/>
        <v>3015348.9079999998</v>
      </c>
    </row>
    <row r="497" spans="2:8" hidden="1" x14ac:dyDescent="0.4">
      <c r="B497" s="1">
        <v>43046</v>
      </c>
      <c r="C497" s="16">
        <f>SUMIF(매도완료!$G:$G,Sheet2!$B497,매도완료!$P:$P)</f>
        <v>0</v>
      </c>
      <c r="D497" s="16">
        <f>SUMIF(매도완료!$J:$J,Sheet2!$B497,매도완료!$P:$P)</f>
        <v>0</v>
      </c>
      <c r="E497" s="16">
        <f t="shared" si="14"/>
        <v>54555360</v>
      </c>
      <c r="G497" s="16">
        <f>IF(D497=0,0,SUMIF(매도완료!$J:$J,Sheet2!$B497,매도완료!$S:$S))</f>
        <v>0</v>
      </c>
      <c r="H497" s="16">
        <f t="shared" si="15"/>
        <v>3015348.9079999998</v>
      </c>
    </row>
    <row r="498" spans="2:8" hidden="1" x14ac:dyDescent="0.4">
      <c r="B498" s="1">
        <v>43047</v>
      </c>
      <c r="C498" s="16">
        <f>SUMIF(매도완료!$G:$G,Sheet2!$B498,매도완료!$P:$P)</f>
        <v>0</v>
      </c>
      <c r="D498" s="16">
        <f>SUMIF(매도완료!$J:$J,Sheet2!$B498,매도완료!$P:$P)</f>
        <v>0</v>
      </c>
      <c r="E498" s="16">
        <f t="shared" si="14"/>
        <v>54555360</v>
      </c>
      <c r="G498" s="16">
        <f>IF(D498=0,0,SUMIF(매도완료!$J:$J,Sheet2!$B498,매도완료!$S:$S))</f>
        <v>0</v>
      </c>
      <c r="H498" s="16">
        <f t="shared" si="15"/>
        <v>3015348.9079999998</v>
      </c>
    </row>
    <row r="499" spans="2:8" hidden="1" x14ac:dyDescent="0.4">
      <c r="B499" s="1">
        <v>43048</v>
      </c>
      <c r="C499" s="16">
        <f>SUMIF(매도완료!$G:$G,Sheet2!$B499,매도완료!$P:$P)</f>
        <v>1234000</v>
      </c>
      <c r="D499" s="16">
        <f>SUMIF(매도완료!$J:$J,Sheet2!$B499,매도완료!$P:$P)</f>
        <v>0</v>
      </c>
      <c r="E499" s="16">
        <f t="shared" si="14"/>
        <v>55789360</v>
      </c>
      <c r="G499" s="16">
        <f>IF(D499=0,0,SUMIF(매도완료!$J:$J,Sheet2!$B499,매도완료!$S:$S))</f>
        <v>0</v>
      </c>
      <c r="H499" s="16">
        <f t="shared" si="15"/>
        <v>3015348.9079999998</v>
      </c>
    </row>
    <row r="500" spans="2:8" hidden="1" x14ac:dyDescent="0.4">
      <c r="B500" s="1">
        <v>43049</v>
      </c>
      <c r="C500" s="16">
        <f>SUMIF(매도완료!$G:$G,Sheet2!$B500,매도완료!$P:$P)</f>
        <v>0</v>
      </c>
      <c r="D500" s="16">
        <f>SUMIF(매도완료!$J:$J,Sheet2!$B500,매도완료!$P:$P)</f>
        <v>0</v>
      </c>
      <c r="E500" s="16">
        <f t="shared" si="14"/>
        <v>55789360</v>
      </c>
      <c r="G500" s="16">
        <f>IF(D500=0,0,SUMIF(매도완료!$J:$J,Sheet2!$B500,매도완료!$S:$S))</f>
        <v>0</v>
      </c>
      <c r="H500" s="16">
        <f t="shared" si="15"/>
        <v>3015348.9079999998</v>
      </c>
    </row>
    <row r="501" spans="2:8" hidden="1" x14ac:dyDescent="0.4">
      <c r="B501" s="1">
        <v>43050</v>
      </c>
      <c r="C501" s="16">
        <f>SUMIF(매도완료!$G:$G,Sheet2!$B501,매도완료!$P:$P)</f>
        <v>0</v>
      </c>
      <c r="D501" s="16">
        <f>SUMIF(매도완료!$J:$J,Sheet2!$B501,매도완료!$P:$P)</f>
        <v>0</v>
      </c>
      <c r="E501" s="16">
        <f t="shared" si="14"/>
        <v>55789360</v>
      </c>
      <c r="G501" s="16">
        <f>IF(D501=0,0,SUMIF(매도완료!$J:$J,Sheet2!$B501,매도완료!$S:$S))</f>
        <v>0</v>
      </c>
      <c r="H501" s="16">
        <f t="shared" si="15"/>
        <v>3015348.9079999998</v>
      </c>
    </row>
    <row r="502" spans="2:8" hidden="1" x14ac:dyDescent="0.4">
      <c r="B502" s="1">
        <v>43051</v>
      </c>
      <c r="C502" s="16">
        <f>SUMIF(매도완료!$G:$G,Sheet2!$B502,매도완료!$P:$P)</f>
        <v>0</v>
      </c>
      <c r="D502" s="16">
        <f>SUMIF(매도완료!$J:$J,Sheet2!$B502,매도완료!$P:$P)</f>
        <v>0</v>
      </c>
      <c r="E502" s="16">
        <f t="shared" si="14"/>
        <v>55789360</v>
      </c>
      <c r="G502" s="16">
        <f>IF(D502=0,0,SUMIF(매도완료!$J:$J,Sheet2!$B502,매도완료!$S:$S))</f>
        <v>0</v>
      </c>
      <c r="H502" s="16">
        <f t="shared" si="15"/>
        <v>3015348.9079999998</v>
      </c>
    </row>
    <row r="503" spans="2:8" hidden="1" x14ac:dyDescent="0.4">
      <c r="B503" s="1">
        <v>43052</v>
      </c>
      <c r="C503" s="16">
        <f>SUMIF(매도완료!$G:$G,Sheet2!$B503,매도완료!$P:$P)</f>
        <v>0</v>
      </c>
      <c r="D503" s="16">
        <f>SUMIF(매도완료!$J:$J,Sheet2!$B503,매도완료!$P:$P)</f>
        <v>0</v>
      </c>
      <c r="E503" s="16">
        <f t="shared" si="14"/>
        <v>55789360</v>
      </c>
      <c r="G503" s="16">
        <f>IF(D503=0,0,SUMIF(매도완료!$J:$J,Sheet2!$B503,매도완료!$S:$S))</f>
        <v>0</v>
      </c>
      <c r="H503" s="16">
        <f t="shared" si="15"/>
        <v>3015348.9079999998</v>
      </c>
    </row>
    <row r="504" spans="2:8" hidden="1" x14ac:dyDescent="0.4">
      <c r="B504" s="1">
        <v>43053</v>
      </c>
      <c r="C504" s="16">
        <f>SUMIF(매도완료!$G:$G,Sheet2!$B504,매도완료!$P:$P)</f>
        <v>0</v>
      </c>
      <c r="D504" s="16">
        <f>SUMIF(매도완료!$J:$J,Sheet2!$B504,매도완료!$P:$P)</f>
        <v>0</v>
      </c>
      <c r="E504" s="16">
        <f t="shared" si="14"/>
        <v>55789360</v>
      </c>
      <c r="G504" s="16">
        <f>IF(D504=0,0,SUMIF(매도완료!$J:$J,Sheet2!$B504,매도완료!$S:$S))</f>
        <v>0</v>
      </c>
      <c r="H504" s="16">
        <f t="shared" si="15"/>
        <v>3015348.9079999998</v>
      </c>
    </row>
    <row r="505" spans="2:8" hidden="1" x14ac:dyDescent="0.4">
      <c r="B505" s="1">
        <v>43054</v>
      </c>
      <c r="C505" s="16">
        <f>SUMIF(매도완료!$G:$G,Sheet2!$B505,매도완료!$P:$P)</f>
        <v>0</v>
      </c>
      <c r="D505" s="16">
        <f>SUMIF(매도완료!$J:$J,Sheet2!$B505,매도완료!$P:$P)</f>
        <v>0</v>
      </c>
      <c r="E505" s="16">
        <f t="shared" si="14"/>
        <v>55789360</v>
      </c>
      <c r="G505" s="16">
        <f>IF(D505=0,0,SUMIF(매도완료!$J:$J,Sheet2!$B505,매도완료!$S:$S))</f>
        <v>0</v>
      </c>
      <c r="H505" s="16">
        <f t="shared" si="15"/>
        <v>3015348.9079999998</v>
      </c>
    </row>
    <row r="506" spans="2:8" hidden="1" x14ac:dyDescent="0.4">
      <c r="B506" s="1">
        <v>43055</v>
      </c>
      <c r="C506" s="16">
        <f>SUMIF(매도완료!$G:$G,Sheet2!$B506,매도완료!$P:$P)</f>
        <v>0</v>
      </c>
      <c r="D506" s="16">
        <f>SUMIF(매도완료!$J:$J,Sheet2!$B506,매도완료!$P:$P)</f>
        <v>0</v>
      </c>
      <c r="E506" s="16">
        <f t="shared" si="14"/>
        <v>55789360</v>
      </c>
      <c r="G506" s="16">
        <f>IF(D506=0,0,SUMIF(매도완료!$J:$J,Sheet2!$B506,매도완료!$S:$S))</f>
        <v>0</v>
      </c>
      <c r="H506" s="16">
        <f t="shared" si="15"/>
        <v>3015348.9079999998</v>
      </c>
    </row>
    <row r="507" spans="2:8" hidden="1" x14ac:dyDescent="0.4">
      <c r="B507" s="1">
        <v>43056</v>
      </c>
      <c r="C507" s="16">
        <f>SUMIF(매도완료!$G:$G,Sheet2!$B507,매도완료!$P:$P)</f>
        <v>0</v>
      </c>
      <c r="D507" s="16">
        <f>SUMIF(매도완료!$J:$J,Sheet2!$B507,매도완료!$P:$P)</f>
        <v>0</v>
      </c>
      <c r="E507" s="16">
        <f t="shared" si="14"/>
        <v>55789360</v>
      </c>
      <c r="G507" s="16">
        <f>IF(D507=0,0,SUMIF(매도완료!$J:$J,Sheet2!$B507,매도완료!$S:$S))</f>
        <v>0</v>
      </c>
      <c r="H507" s="16">
        <f t="shared" si="15"/>
        <v>3015348.9079999998</v>
      </c>
    </row>
    <row r="508" spans="2:8" hidden="1" x14ac:dyDescent="0.4">
      <c r="B508" s="1">
        <v>43057</v>
      </c>
      <c r="C508" s="16">
        <f>SUMIF(매도완료!$G:$G,Sheet2!$B508,매도완료!$P:$P)</f>
        <v>0</v>
      </c>
      <c r="D508" s="16">
        <f>SUMIF(매도완료!$J:$J,Sheet2!$B508,매도완료!$P:$P)</f>
        <v>0</v>
      </c>
      <c r="E508" s="16">
        <f t="shared" si="14"/>
        <v>55789360</v>
      </c>
      <c r="G508" s="16">
        <f>IF(D508=0,0,SUMIF(매도완료!$J:$J,Sheet2!$B508,매도완료!$S:$S))</f>
        <v>0</v>
      </c>
      <c r="H508" s="16">
        <f t="shared" si="15"/>
        <v>3015348.9079999998</v>
      </c>
    </row>
    <row r="509" spans="2:8" hidden="1" x14ac:dyDescent="0.4">
      <c r="B509" s="1">
        <v>43058</v>
      </c>
      <c r="C509" s="16">
        <f>SUMIF(매도완료!$G:$G,Sheet2!$B509,매도완료!$P:$P)</f>
        <v>0</v>
      </c>
      <c r="D509" s="16">
        <f>SUMIF(매도완료!$J:$J,Sheet2!$B509,매도완료!$P:$P)</f>
        <v>0</v>
      </c>
      <c r="E509" s="16">
        <f t="shared" si="14"/>
        <v>55789360</v>
      </c>
      <c r="G509" s="16">
        <f>IF(D509=0,0,SUMIF(매도완료!$J:$J,Sheet2!$B509,매도완료!$S:$S))</f>
        <v>0</v>
      </c>
      <c r="H509" s="16">
        <f t="shared" si="15"/>
        <v>3015348.9079999998</v>
      </c>
    </row>
    <row r="510" spans="2:8" hidden="1" x14ac:dyDescent="0.4">
      <c r="B510" s="1">
        <v>43059</v>
      </c>
      <c r="C510" s="16">
        <f>SUMIF(매도완료!$G:$G,Sheet2!$B510,매도완료!$P:$P)</f>
        <v>0</v>
      </c>
      <c r="D510" s="16">
        <f>SUMIF(매도완료!$J:$J,Sheet2!$B510,매도완료!$P:$P)</f>
        <v>0</v>
      </c>
      <c r="E510" s="16">
        <f t="shared" si="14"/>
        <v>55789360</v>
      </c>
      <c r="G510" s="16">
        <f>IF(D510=0,0,SUMIF(매도완료!$J:$J,Sheet2!$B510,매도완료!$S:$S))</f>
        <v>0</v>
      </c>
      <c r="H510" s="16">
        <f t="shared" si="15"/>
        <v>3015348.9079999998</v>
      </c>
    </row>
    <row r="511" spans="2:8" hidden="1" x14ac:dyDescent="0.4">
      <c r="B511" s="1">
        <v>43060</v>
      </c>
      <c r="C511" s="16">
        <f>SUMIF(매도완료!$G:$G,Sheet2!$B511,매도완료!$P:$P)</f>
        <v>0</v>
      </c>
      <c r="D511" s="16">
        <f>SUMIF(매도완료!$J:$J,Sheet2!$B511,매도완료!$P:$P)</f>
        <v>0</v>
      </c>
      <c r="E511" s="16">
        <f t="shared" si="14"/>
        <v>55789360</v>
      </c>
      <c r="G511" s="16">
        <f>IF(D511=0,0,SUMIF(매도완료!$J:$J,Sheet2!$B511,매도완료!$S:$S))</f>
        <v>0</v>
      </c>
      <c r="H511" s="16">
        <f t="shared" si="15"/>
        <v>3015348.9079999998</v>
      </c>
    </row>
    <row r="512" spans="2:8" hidden="1" x14ac:dyDescent="0.4">
      <c r="B512" s="1">
        <v>43061</v>
      </c>
      <c r="C512" s="16">
        <f>SUMIF(매도완료!$G:$G,Sheet2!$B512,매도완료!$P:$P)</f>
        <v>0</v>
      </c>
      <c r="D512" s="16">
        <f>SUMIF(매도완료!$J:$J,Sheet2!$B512,매도완료!$P:$P)</f>
        <v>0</v>
      </c>
      <c r="E512" s="16">
        <f t="shared" si="14"/>
        <v>55789360</v>
      </c>
      <c r="G512" s="16">
        <f>IF(D512=0,0,SUMIF(매도완료!$J:$J,Sheet2!$B512,매도완료!$S:$S))</f>
        <v>0</v>
      </c>
      <c r="H512" s="16">
        <f t="shared" si="15"/>
        <v>3015348.9079999998</v>
      </c>
    </row>
    <row r="513" spans="2:8" hidden="1" x14ac:dyDescent="0.4">
      <c r="B513" s="1">
        <v>43062</v>
      </c>
      <c r="C513" s="16">
        <f>SUMIF(매도완료!$G:$G,Sheet2!$B513,매도완료!$P:$P)</f>
        <v>0</v>
      </c>
      <c r="D513" s="16">
        <f>SUMIF(매도완료!$J:$J,Sheet2!$B513,매도완료!$P:$P)</f>
        <v>0</v>
      </c>
      <c r="E513" s="16">
        <f t="shared" si="14"/>
        <v>55789360</v>
      </c>
      <c r="G513" s="16">
        <f>IF(D513=0,0,SUMIF(매도완료!$J:$J,Sheet2!$B513,매도완료!$S:$S))</f>
        <v>0</v>
      </c>
      <c r="H513" s="16">
        <f t="shared" si="15"/>
        <v>3015348.9079999998</v>
      </c>
    </row>
    <row r="514" spans="2:8" hidden="1" x14ac:dyDescent="0.4">
      <c r="B514" s="1">
        <v>43063</v>
      </c>
      <c r="C514" s="16">
        <f>SUMIF(매도완료!$G:$G,Sheet2!$B514,매도완료!$P:$P)</f>
        <v>0</v>
      </c>
      <c r="D514" s="16">
        <f>SUMIF(매도완료!$J:$J,Sheet2!$B514,매도완료!$P:$P)</f>
        <v>0</v>
      </c>
      <c r="E514" s="16">
        <f t="shared" si="14"/>
        <v>55789360</v>
      </c>
      <c r="G514" s="16">
        <f>IF(D514=0,0,SUMIF(매도완료!$J:$J,Sheet2!$B514,매도완료!$S:$S))</f>
        <v>0</v>
      </c>
      <c r="H514" s="16">
        <f t="shared" si="15"/>
        <v>3015348.9079999998</v>
      </c>
    </row>
    <row r="515" spans="2:8" hidden="1" x14ac:dyDescent="0.4">
      <c r="B515" s="1">
        <v>43064</v>
      </c>
      <c r="C515" s="16">
        <f>SUMIF(매도완료!$G:$G,Sheet2!$B515,매도완료!$P:$P)</f>
        <v>0</v>
      </c>
      <c r="D515" s="16">
        <f>SUMIF(매도완료!$J:$J,Sheet2!$B515,매도완료!$P:$P)</f>
        <v>0</v>
      </c>
      <c r="E515" s="16">
        <f t="shared" si="14"/>
        <v>55789360</v>
      </c>
      <c r="G515" s="16">
        <f>IF(D515=0,0,SUMIF(매도완료!$J:$J,Sheet2!$B515,매도완료!$S:$S))</f>
        <v>0</v>
      </c>
      <c r="H515" s="16">
        <f t="shared" si="15"/>
        <v>3015348.9079999998</v>
      </c>
    </row>
    <row r="516" spans="2:8" hidden="1" x14ac:dyDescent="0.4">
      <c r="B516" s="1">
        <v>43065</v>
      </c>
      <c r="C516" s="16">
        <f>SUMIF(매도완료!$G:$G,Sheet2!$B516,매도완료!$P:$P)</f>
        <v>0</v>
      </c>
      <c r="D516" s="16">
        <f>SUMIF(매도완료!$J:$J,Sheet2!$B516,매도완료!$P:$P)</f>
        <v>0</v>
      </c>
      <c r="E516" s="16">
        <f t="shared" ref="E516:E579" si="16">E515+C516-D516</f>
        <v>55789360</v>
      </c>
      <c r="G516" s="16">
        <f>IF(D516=0,0,SUMIF(매도완료!$J:$J,Sheet2!$B516,매도완료!$S:$S))</f>
        <v>0</v>
      </c>
      <c r="H516" s="16">
        <f t="shared" ref="H516:H579" si="17">H515+G516</f>
        <v>3015348.9079999998</v>
      </c>
    </row>
    <row r="517" spans="2:8" hidden="1" x14ac:dyDescent="0.4">
      <c r="B517" s="1">
        <v>43066</v>
      </c>
      <c r="C517" s="16">
        <f>SUMIF(매도완료!$G:$G,Sheet2!$B517,매도완료!$P:$P)</f>
        <v>0</v>
      </c>
      <c r="D517" s="16">
        <f>SUMIF(매도완료!$J:$J,Sheet2!$B517,매도완료!$P:$P)</f>
        <v>0</v>
      </c>
      <c r="E517" s="16">
        <f t="shared" si="16"/>
        <v>55789360</v>
      </c>
      <c r="G517" s="16">
        <f>IF(D517=0,0,SUMIF(매도완료!$J:$J,Sheet2!$B517,매도완료!$S:$S))</f>
        <v>0</v>
      </c>
      <c r="H517" s="16">
        <f t="shared" si="17"/>
        <v>3015348.9079999998</v>
      </c>
    </row>
    <row r="518" spans="2:8" hidden="1" x14ac:dyDescent="0.4">
      <c r="B518" s="1">
        <v>43067</v>
      </c>
      <c r="C518" s="16">
        <f>SUMIF(매도완료!$G:$G,Sheet2!$B518,매도완료!$P:$P)</f>
        <v>6855000</v>
      </c>
      <c r="D518" s="16">
        <f>SUMIF(매도완료!$J:$J,Sheet2!$B518,매도완료!$P:$P)</f>
        <v>2208000</v>
      </c>
      <c r="E518" s="16">
        <f t="shared" si="16"/>
        <v>60436360</v>
      </c>
      <c r="G518" s="16">
        <f>IF(D518=0,0,SUMIF(매도완료!$J:$J,Sheet2!$B518,매도완료!$S:$S))</f>
        <v>289394</v>
      </c>
      <c r="H518" s="16">
        <f t="shared" si="17"/>
        <v>3304742.9079999998</v>
      </c>
    </row>
    <row r="519" spans="2:8" hidden="1" x14ac:dyDescent="0.4">
      <c r="B519" s="1">
        <v>43068</v>
      </c>
      <c r="C519" s="16">
        <f>SUMIF(매도완료!$G:$G,Sheet2!$B519,매도완료!$P:$P)</f>
        <v>0</v>
      </c>
      <c r="D519" s="16">
        <f>SUMIF(매도완료!$J:$J,Sheet2!$B519,매도완료!$P:$P)</f>
        <v>0</v>
      </c>
      <c r="E519" s="16">
        <f t="shared" si="16"/>
        <v>60436360</v>
      </c>
      <c r="G519" s="16">
        <f>IF(D519=0,0,SUMIF(매도완료!$J:$J,Sheet2!$B519,매도완료!$S:$S))</f>
        <v>0</v>
      </c>
      <c r="H519" s="16">
        <f t="shared" si="17"/>
        <v>3304742.9079999998</v>
      </c>
    </row>
    <row r="520" spans="2:8" hidden="1" x14ac:dyDescent="0.4">
      <c r="B520" s="1">
        <v>43069</v>
      </c>
      <c r="C520" s="16">
        <f>SUMIF(매도완료!$G:$G,Sheet2!$B520,매도완료!$P:$P)</f>
        <v>0</v>
      </c>
      <c r="D520" s="16">
        <f>SUMIF(매도완료!$J:$J,Sheet2!$B520,매도완료!$P:$P)</f>
        <v>0</v>
      </c>
      <c r="E520" s="16">
        <f t="shared" si="16"/>
        <v>60436360</v>
      </c>
      <c r="G520" s="16">
        <f>IF(D520=0,0,SUMIF(매도완료!$J:$J,Sheet2!$B520,매도완료!$S:$S))</f>
        <v>0</v>
      </c>
      <c r="H520" s="16">
        <f t="shared" si="17"/>
        <v>3304742.9079999998</v>
      </c>
    </row>
    <row r="521" spans="2:8" hidden="1" x14ac:dyDescent="0.4">
      <c r="B521" s="1">
        <v>43070</v>
      </c>
      <c r="C521" s="16">
        <f>SUMIF(매도완료!$G:$G,Sheet2!$B521,매도완료!$P:$P)</f>
        <v>2337500</v>
      </c>
      <c r="D521" s="16">
        <f>SUMIF(매도완료!$J:$J,Sheet2!$B521,매도완료!$P:$P)</f>
        <v>0</v>
      </c>
      <c r="E521" s="16">
        <f t="shared" si="16"/>
        <v>62773860</v>
      </c>
      <c r="G521" s="16">
        <f>IF(D521=0,0,SUMIF(매도완료!$J:$J,Sheet2!$B521,매도완료!$S:$S))</f>
        <v>0</v>
      </c>
      <c r="H521" s="16">
        <f t="shared" si="17"/>
        <v>3304742.9079999998</v>
      </c>
    </row>
    <row r="522" spans="2:8" hidden="1" x14ac:dyDescent="0.4">
      <c r="B522" s="1">
        <v>43071</v>
      </c>
      <c r="C522" s="16">
        <f>SUMIF(매도완료!$G:$G,Sheet2!$B522,매도완료!$P:$P)</f>
        <v>0</v>
      </c>
      <c r="D522" s="16">
        <f>SUMIF(매도완료!$J:$J,Sheet2!$B522,매도완료!$P:$P)</f>
        <v>0</v>
      </c>
      <c r="E522" s="16">
        <f t="shared" si="16"/>
        <v>62773860</v>
      </c>
      <c r="G522" s="16">
        <f>IF(D522=0,0,SUMIF(매도완료!$J:$J,Sheet2!$B522,매도완료!$S:$S))</f>
        <v>0</v>
      </c>
      <c r="H522" s="16">
        <f t="shared" si="17"/>
        <v>3304742.9079999998</v>
      </c>
    </row>
    <row r="523" spans="2:8" hidden="1" x14ac:dyDescent="0.4">
      <c r="B523" s="1">
        <v>43072</v>
      </c>
      <c r="C523" s="16">
        <f>SUMIF(매도완료!$G:$G,Sheet2!$B523,매도완료!$P:$P)</f>
        <v>0</v>
      </c>
      <c r="D523" s="16">
        <f>SUMIF(매도완료!$J:$J,Sheet2!$B523,매도완료!$P:$P)</f>
        <v>0</v>
      </c>
      <c r="E523" s="16">
        <f t="shared" si="16"/>
        <v>62773860</v>
      </c>
      <c r="G523" s="16">
        <f>IF(D523=0,0,SUMIF(매도완료!$J:$J,Sheet2!$B523,매도완료!$S:$S))</f>
        <v>0</v>
      </c>
      <c r="H523" s="16">
        <f t="shared" si="17"/>
        <v>3304742.9079999998</v>
      </c>
    </row>
    <row r="524" spans="2:8" hidden="1" x14ac:dyDescent="0.4">
      <c r="B524" s="1">
        <v>43073</v>
      </c>
      <c r="C524" s="16">
        <f>SUMIF(매도완료!$G:$G,Sheet2!$B524,매도완료!$P:$P)</f>
        <v>0</v>
      </c>
      <c r="D524" s="16">
        <f>SUMIF(매도완료!$J:$J,Sheet2!$B524,매도완료!$P:$P)</f>
        <v>0</v>
      </c>
      <c r="E524" s="16">
        <f t="shared" si="16"/>
        <v>62773860</v>
      </c>
      <c r="G524" s="16">
        <f>IF(D524=0,0,SUMIF(매도완료!$J:$J,Sheet2!$B524,매도완료!$S:$S))</f>
        <v>0</v>
      </c>
      <c r="H524" s="16">
        <f t="shared" si="17"/>
        <v>3304742.9079999998</v>
      </c>
    </row>
    <row r="525" spans="2:8" hidden="1" x14ac:dyDescent="0.4">
      <c r="B525" s="1">
        <v>43074</v>
      </c>
      <c r="C525" s="16">
        <f>SUMIF(매도완료!$G:$G,Sheet2!$B525,매도완료!$P:$P)</f>
        <v>0</v>
      </c>
      <c r="D525" s="16">
        <f>SUMIF(매도완료!$J:$J,Sheet2!$B525,매도완료!$P:$P)</f>
        <v>0</v>
      </c>
      <c r="E525" s="16">
        <f t="shared" si="16"/>
        <v>62773860</v>
      </c>
      <c r="G525" s="16">
        <f>IF(D525=0,0,SUMIF(매도완료!$J:$J,Sheet2!$B525,매도완료!$S:$S))</f>
        <v>0</v>
      </c>
      <c r="H525" s="16">
        <f t="shared" si="17"/>
        <v>3304742.9079999998</v>
      </c>
    </row>
    <row r="526" spans="2:8" hidden="1" x14ac:dyDescent="0.4">
      <c r="B526" s="1">
        <v>43075</v>
      </c>
      <c r="C526" s="16">
        <f>SUMIF(매도완료!$G:$G,Sheet2!$B526,매도완료!$P:$P)</f>
        <v>825000</v>
      </c>
      <c r="D526" s="16">
        <f>SUMIF(매도완료!$J:$J,Sheet2!$B526,매도완료!$P:$P)</f>
        <v>0</v>
      </c>
      <c r="E526" s="16">
        <f t="shared" si="16"/>
        <v>63598860</v>
      </c>
      <c r="G526" s="16">
        <f>IF(D526=0,0,SUMIF(매도완료!$J:$J,Sheet2!$B526,매도완료!$S:$S))</f>
        <v>0</v>
      </c>
      <c r="H526" s="16">
        <f t="shared" si="17"/>
        <v>3304742.9079999998</v>
      </c>
    </row>
    <row r="527" spans="2:8" hidden="1" x14ac:dyDescent="0.4">
      <c r="B527" s="1">
        <v>43076</v>
      </c>
      <c r="C527" s="16">
        <f>SUMIF(매도완료!$G:$G,Sheet2!$B527,매도완료!$P:$P)</f>
        <v>0</v>
      </c>
      <c r="D527" s="16">
        <f>SUMIF(매도완료!$J:$J,Sheet2!$B527,매도완료!$P:$P)</f>
        <v>0</v>
      </c>
      <c r="E527" s="16">
        <f t="shared" si="16"/>
        <v>63598860</v>
      </c>
      <c r="G527" s="16">
        <f>IF(D527=0,0,SUMIF(매도완료!$J:$J,Sheet2!$B527,매도완료!$S:$S))</f>
        <v>0</v>
      </c>
      <c r="H527" s="16">
        <f t="shared" si="17"/>
        <v>3304742.9079999998</v>
      </c>
    </row>
    <row r="528" spans="2:8" hidden="1" x14ac:dyDescent="0.4">
      <c r="B528" s="1">
        <v>43077</v>
      </c>
      <c r="C528" s="16">
        <f>SUMIF(매도완료!$G:$G,Sheet2!$B528,매도완료!$P:$P)</f>
        <v>1805000</v>
      </c>
      <c r="D528" s="16">
        <f>SUMIF(매도완료!$J:$J,Sheet2!$B528,매도완료!$P:$P)</f>
        <v>2049000</v>
      </c>
      <c r="E528" s="16">
        <f t="shared" si="16"/>
        <v>63354860</v>
      </c>
      <c r="G528" s="16">
        <f>IF(D528=0,0,SUMIF(매도완료!$J:$J,Sheet2!$B528,매도완료!$S:$S))</f>
        <v>222665</v>
      </c>
      <c r="H528" s="16">
        <f t="shared" si="17"/>
        <v>3527407.9079999998</v>
      </c>
    </row>
    <row r="529" spans="2:8" hidden="1" x14ac:dyDescent="0.4">
      <c r="B529" s="1">
        <v>43078</v>
      </c>
      <c r="C529" s="16">
        <f>SUMIF(매도완료!$G:$G,Sheet2!$B529,매도완료!$P:$P)</f>
        <v>0</v>
      </c>
      <c r="D529" s="16">
        <f>SUMIF(매도완료!$J:$J,Sheet2!$B529,매도완료!$P:$P)</f>
        <v>0</v>
      </c>
      <c r="E529" s="16">
        <f t="shared" si="16"/>
        <v>63354860</v>
      </c>
      <c r="G529" s="16">
        <f>IF(D529=0,0,SUMIF(매도완료!$J:$J,Sheet2!$B529,매도완료!$S:$S))</f>
        <v>0</v>
      </c>
      <c r="H529" s="16">
        <f t="shared" si="17"/>
        <v>3527407.9079999998</v>
      </c>
    </row>
    <row r="530" spans="2:8" hidden="1" x14ac:dyDescent="0.4">
      <c r="B530" s="1">
        <v>43079</v>
      </c>
      <c r="C530" s="16">
        <f>SUMIF(매도완료!$G:$G,Sheet2!$B530,매도완료!$P:$P)</f>
        <v>0</v>
      </c>
      <c r="D530" s="16">
        <f>SUMIF(매도완료!$J:$J,Sheet2!$B530,매도완료!$P:$P)</f>
        <v>0</v>
      </c>
      <c r="E530" s="16">
        <f t="shared" si="16"/>
        <v>63354860</v>
      </c>
      <c r="G530" s="16">
        <f>IF(D530=0,0,SUMIF(매도완료!$J:$J,Sheet2!$B530,매도완료!$S:$S))</f>
        <v>0</v>
      </c>
      <c r="H530" s="16">
        <f t="shared" si="17"/>
        <v>3527407.9079999998</v>
      </c>
    </row>
    <row r="531" spans="2:8" hidden="1" x14ac:dyDescent="0.4">
      <c r="B531" s="1">
        <v>43080</v>
      </c>
      <c r="C531" s="16">
        <f>SUMIF(매도완료!$G:$G,Sheet2!$B531,매도완료!$P:$P)</f>
        <v>0</v>
      </c>
      <c r="D531" s="16">
        <f>SUMIF(매도완료!$J:$J,Sheet2!$B531,매도완료!$P:$P)</f>
        <v>0</v>
      </c>
      <c r="E531" s="16">
        <f t="shared" si="16"/>
        <v>63354860</v>
      </c>
      <c r="G531" s="16">
        <f>IF(D531=0,0,SUMIF(매도완료!$J:$J,Sheet2!$B531,매도완료!$S:$S))</f>
        <v>0</v>
      </c>
      <c r="H531" s="16">
        <f t="shared" si="17"/>
        <v>3527407.9079999998</v>
      </c>
    </row>
    <row r="532" spans="2:8" hidden="1" x14ac:dyDescent="0.4">
      <c r="B532" s="1">
        <v>43081</v>
      </c>
      <c r="C532" s="16">
        <f>SUMIF(매도완료!$G:$G,Sheet2!$B532,매도완료!$P:$P)</f>
        <v>231000</v>
      </c>
      <c r="D532" s="16">
        <f>SUMIF(매도완료!$J:$J,Sheet2!$B532,매도완료!$P:$P)</f>
        <v>0</v>
      </c>
      <c r="E532" s="16">
        <f t="shared" si="16"/>
        <v>63585860</v>
      </c>
      <c r="G532" s="16">
        <f>IF(D532=0,0,SUMIF(매도완료!$J:$J,Sheet2!$B532,매도완료!$S:$S))</f>
        <v>0</v>
      </c>
      <c r="H532" s="16">
        <f t="shared" si="17"/>
        <v>3527407.9079999998</v>
      </c>
    </row>
    <row r="533" spans="2:8" hidden="1" x14ac:dyDescent="0.4">
      <c r="B533" s="1">
        <v>43082</v>
      </c>
      <c r="C533" s="16">
        <f>SUMIF(매도완료!$G:$G,Sheet2!$B533,매도완료!$P:$P)</f>
        <v>0</v>
      </c>
      <c r="D533" s="16">
        <f>SUMIF(매도완료!$J:$J,Sheet2!$B533,매도완료!$P:$P)</f>
        <v>0</v>
      </c>
      <c r="E533" s="16">
        <f t="shared" si="16"/>
        <v>63585860</v>
      </c>
      <c r="G533" s="16">
        <f>IF(D533=0,0,SUMIF(매도완료!$J:$J,Sheet2!$B533,매도완료!$S:$S))</f>
        <v>0</v>
      </c>
      <c r="H533" s="16">
        <f t="shared" si="17"/>
        <v>3527407.9079999998</v>
      </c>
    </row>
    <row r="534" spans="2:8" hidden="1" x14ac:dyDescent="0.4">
      <c r="B534" s="1">
        <v>43083</v>
      </c>
      <c r="C534" s="16">
        <f>SUMIF(매도완료!$G:$G,Sheet2!$B534,매도완료!$P:$P)</f>
        <v>546000</v>
      </c>
      <c r="D534" s="16">
        <f>SUMIF(매도완료!$J:$J,Sheet2!$B534,매도완료!$P:$P)</f>
        <v>0</v>
      </c>
      <c r="E534" s="16">
        <f t="shared" si="16"/>
        <v>64131860</v>
      </c>
      <c r="G534" s="16">
        <f>IF(D534=0,0,SUMIF(매도완료!$J:$J,Sheet2!$B534,매도완료!$S:$S))</f>
        <v>0</v>
      </c>
      <c r="H534" s="16">
        <f t="shared" si="17"/>
        <v>3527407.9079999998</v>
      </c>
    </row>
    <row r="535" spans="2:8" hidden="1" x14ac:dyDescent="0.4">
      <c r="B535" s="1">
        <v>43084</v>
      </c>
      <c r="C535" s="16">
        <f>SUMIF(매도완료!$G:$G,Sheet2!$B535,매도완료!$P:$P)</f>
        <v>0</v>
      </c>
      <c r="D535" s="16">
        <f>SUMIF(매도완료!$J:$J,Sheet2!$B535,매도완료!$P:$P)</f>
        <v>0</v>
      </c>
      <c r="E535" s="16">
        <f t="shared" si="16"/>
        <v>64131860</v>
      </c>
      <c r="G535" s="16">
        <f>IF(D535=0,0,SUMIF(매도완료!$J:$J,Sheet2!$B535,매도완료!$S:$S))</f>
        <v>0</v>
      </c>
      <c r="H535" s="16">
        <f t="shared" si="17"/>
        <v>3527407.9079999998</v>
      </c>
    </row>
    <row r="536" spans="2:8" hidden="1" x14ac:dyDescent="0.4">
      <c r="B536" s="1">
        <v>43085</v>
      </c>
      <c r="C536" s="16">
        <f>SUMIF(매도완료!$G:$G,Sheet2!$B536,매도완료!$P:$P)</f>
        <v>0</v>
      </c>
      <c r="D536" s="16">
        <f>SUMIF(매도완료!$J:$J,Sheet2!$B536,매도완료!$P:$P)</f>
        <v>0</v>
      </c>
      <c r="E536" s="16">
        <f t="shared" si="16"/>
        <v>64131860</v>
      </c>
      <c r="G536" s="16">
        <f>IF(D536=0,0,SUMIF(매도완료!$J:$J,Sheet2!$B536,매도완료!$S:$S))</f>
        <v>0</v>
      </c>
      <c r="H536" s="16">
        <f t="shared" si="17"/>
        <v>3527407.9079999998</v>
      </c>
    </row>
    <row r="537" spans="2:8" hidden="1" x14ac:dyDescent="0.4">
      <c r="B537" s="1">
        <v>43086</v>
      </c>
      <c r="C537" s="16">
        <f>SUMIF(매도완료!$G:$G,Sheet2!$B537,매도완료!$P:$P)</f>
        <v>0</v>
      </c>
      <c r="D537" s="16">
        <f>SUMIF(매도완료!$J:$J,Sheet2!$B537,매도완료!$P:$P)</f>
        <v>0</v>
      </c>
      <c r="E537" s="16">
        <f t="shared" si="16"/>
        <v>64131860</v>
      </c>
      <c r="G537" s="16">
        <f>IF(D537=0,0,SUMIF(매도완료!$J:$J,Sheet2!$B537,매도완료!$S:$S))</f>
        <v>0</v>
      </c>
      <c r="H537" s="16">
        <f t="shared" si="17"/>
        <v>3527407.9079999998</v>
      </c>
    </row>
    <row r="538" spans="2:8" hidden="1" x14ac:dyDescent="0.4">
      <c r="B538" s="1">
        <v>43087</v>
      </c>
      <c r="C538" s="16">
        <f>SUMIF(매도완료!$G:$G,Sheet2!$B538,매도완료!$P:$P)</f>
        <v>0</v>
      </c>
      <c r="D538" s="16">
        <f>SUMIF(매도완료!$J:$J,Sheet2!$B538,매도완료!$P:$P)</f>
        <v>0</v>
      </c>
      <c r="E538" s="16">
        <f t="shared" si="16"/>
        <v>64131860</v>
      </c>
      <c r="G538" s="16">
        <f>IF(D538=0,0,SUMIF(매도완료!$J:$J,Sheet2!$B538,매도완료!$S:$S))</f>
        <v>0</v>
      </c>
      <c r="H538" s="16">
        <f t="shared" si="17"/>
        <v>3527407.9079999998</v>
      </c>
    </row>
    <row r="539" spans="2:8" hidden="1" x14ac:dyDescent="0.4">
      <c r="B539" s="1">
        <v>43088</v>
      </c>
      <c r="C539" s="16">
        <f>SUMIF(매도완료!$G:$G,Sheet2!$B539,매도완료!$P:$P)</f>
        <v>0</v>
      </c>
      <c r="D539" s="16">
        <f>SUMIF(매도완료!$J:$J,Sheet2!$B539,매도완료!$P:$P)</f>
        <v>0</v>
      </c>
      <c r="E539" s="16">
        <f t="shared" si="16"/>
        <v>64131860</v>
      </c>
      <c r="G539" s="16">
        <f>IF(D539=0,0,SUMIF(매도완료!$J:$J,Sheet2!$B539,매도완료!$S:$S))</f>
        <v>0</v>
      </c>
      <c r="H539" s="16">
        <f t="shared" si="17"/>
        <v>3527407.9079999998</v>
      </c>
    </row>
    <row r="540" spans="2:8" hidden="1" x14ac:dyDescent="0.4">
      <c r="B540" s="1">
        <v>43089</v>
      </c>
      <c r="C540" s="16">
        <f>SUMIF(매도완료!$G:$G,Sheet2!$B540,매도완료!$P:$P)</f>
        <v>0</v>
      </c>
      <c r="D540" s="16">
        <f>SUMIF(매도완료!$J:$J,Sheet2!$B540,매도완료!$P:$P)</f>
        <v>0</v>
      </c>
      <c r="E540" s="16">
        <f t="shared" si="16"/>
        <v>64131860</v>
      </c>
      <c r="G540" s="16">
        <f>IF(D540=0,0,SUMIF(매도완료!$J:$J,Sheet2!$B540,매도완료!$S:$S))</f>
        <v>0</v>
      </c>
      <c r="H540" s="16">
        <f t="shared" si="17"/>
        <v>3527407.9079999998</v>
      </c>
    </row>
    <row r="541" spans="2:8" hidden="1" x14ac:dyDescent="0.4">
      <c r="B541" s="1">
        <v>43090</v>
      </c>
      <c r="C541" s="16">
        <f>SUMIF(매도완료!$G:$G,Sheet2!$B541,매도완료!$P:$P)</f>
        <v>0</v>
      </c>
      <c r="D541" s="16">
        <f>SUMIF(매도완료!$J:$J,Sheet2!$B541,매도완료!$P:$P)</f>
        <v>0</v>
      </c>
      <c r="E541" s="16">
        <f t="shared" si="16"/>
        <v>64131860</v>
      </c>
      <c r="G541" s="16">
        <f>IF(D541=0,0,SUMIF(매도완료!$J:$J,Sheet2!$B541,매도완료!$S:$S))</f>
        <v>0</v>
      </c>
      <c r="H541" s="16">
        <f t="shared" si="17"/>
        <v>3527407.9079999998</v>
      </c>
    </row>
    <row r="542" spans="2:8" hidden="1" x14ac:dyDescent="0.4">
      <c r="B542" s="1">
        <v>43091</v>
      </c>
      <c r="C542" s="16">
        <f>SUMIF(매도완료!$G:$G,Sheet2!$B542,매도완료!$P:$P)</f>
        <v>2825000</v>
      </c>
      <c r="D542" s="16">
        <f>SUMIF(매도완료!$J:$J,Sheet2!$B542,매도완료!$P:$P)</f>
        <v>0</v>
      </c>
      <c r="E542" s="16">
        <f t="shared" si="16"/>
        <v>66956860</v>
      </c>
      <c r="G542" s="16">
        <f>IF(D542=0,0,SUMIF(매도완료!$J:$J,Sheet2!$B542,매도완료!$S:$S))</f>
        <v>0</v>
      </c>
      <c r="H542" s="16">
        <f t="shared" si="17"/>
        <v>3527407.9079999998</v>
      </c>
    </row>
    <row r="543" spans="2:8" hidden="1" x14ac:dyDescent="0.4">
      <c r="B543" s="1">
        <v>43092</v>
      </c>
      <c r="C543" s="16">
        <f>SUMIF(매도완료!$G:$G,Sheet2!$B543,매도완료!$P:$P)</f>
        <v>0</v>
      </c>
      <c r="D543" s="16">
        <f>SUMIF(매도완료!$J:$J,Sheet2!$B543,매도완료!$P:$P)</f>
        <v>0</v>
      </c>
      <c r="E543" s="16">
        <f t="shared" si="16"/>
        <v>66956860</v>
      </c>
      <c r="G543" s="16">
        <f>IF(D543=0,0,SUMIF(매도완료!$J:$J,Sheet2!$B543,매도완료!$S:$S))</f>
        <v>0</v>
      </c>
      <c r="H543" s="16">
        <f t="shared" si="17"/>
        <v>3527407.9079999998</v>
      </c>
    </row>
    <row r="544" spans="2:8" hidden="1" x14ac:dyDescent="0.4">
      <c r="B544" s="1">
        <v>43093</v>
      </c>
      <c r="C544" s="16">
        <f>SUMIF(매도완료!$G:$G,Sheet2!$B544,매도완료!$P:$P)</f>
        <v>0</v>
      </c>
      <c r="D544" s="16">
        <f>SUMIF(매도완료!$J:$J,Sheet2!$B544,매도완료!$P:$P)</f>
        <v>0</v>
      </c>
      <c r="E544" s="16">
        <f t="shared" si="16"/>
        <v>66956860</v>
      </c>
      <c r="G544" s="16">
        <f>IF(D544=0,0,SUMIF(매도완료!$J:$J,Sheet2!$B544,매도완료!$S:$S))</f>
        <v>0</v>
      </c>
      <c r="H544" s="16">
        <f t="shared" si="17"/>
        <v>3527407.9079999998</v>
      </c>
    </row>
    <row r="545" spans="2:8" hidden="1" x14ac:dyDescent="0.4">
      <c r="B545" s="1">
        <v>43094</v>
      </c>
      <c r="C545" s="16">
        <f>SUMIF(매도완료!$G:$G,Sheet2!$B545,매도완료!$P:$P)</f>
        <v>0</v>
      </c>
      <c r="D545" s="16">
        <f>SUMIF(매도완료!$J:$J,Sheet2!$B545,매도완료!$P:$P)</f>
        <v>0</v>
      </c>
      <c r="E545" s="16">
        <f t="shared" si="16"/>
        <v>66956860</v>
      </c>
      <c r="G545" s="16">
        <f>IF(D545=0,0,SUMIF(매도완료!$J:$J,Sheet2!$B545,매도완료!$S:$S))</f>
        <v>0</v>
      </c>
      <c r="H545" s="16">
        <f t="shared" si="17"/>
        <v>3527407.9079999998</v>
      </c>
    </row>
    <row r="546" spans="2:8" hidden="1" x14ac:dyDescent="0.4">
      <c r="B546" s="1">
        <v>43095</v>
      </c>
      <c r="C546" s="16">
        <f>SUMIF(매도완료!$G:$G,Sheet2!$B546,매도완료!$P:$P)</f>
        <v>0</v>
      </c>
      <c r="D546" s="16">
        <f>SUMIF(매도완료!$J:$J,Sheet2!$B546,매도완료!$P:$P)</f>
        <v>0</v>
      </c>
      <c r="E546" s="16">
        <f t="shared" si="16"/>
        <v>66956860</v>
      </c>
      <c r="G546" s="16">
        <f>IF(D546=0,0,SUMIF(매도완료!$J:$J,Sheet2!$B546,매도완료!$S:$S))</f>
        <v>0</v>
      </c>
      <c r="H546" s="16">
        <f t="shared" si="17"/>
        <v>3527407.9079999998</v>
      </c>
    </row>
    <row r="547" spans="2:8" hidden="1" x14ac:dyDescent="0.4">
      <c r="B547" s="1">
        <v>43096</v>
      </c>
      <c r="C547" s="16">
        <f>SUMIF(매도완료!$G:$G,Sheet2!$B547,매도완료!$P:$P)</f>
        <v>0</v>
      </c>
      <c r="D547" s="16">
        <f>SUMIF(매도완료!$J:$J,Sheet2!$B547,매도완료!$P:$P)</f>
        <v>0</v>
      </c>
      <c r="E547" s="16">
        <f t="shared" si="16"/>
        <v>66956860</v>
      </c>
      <c r="G547" s="16">
        <f>IF(D547=0,0,SUMIF(매도완료!$J:$J,Sheet2!$B547,매도완료!$S:$S))</f>
        <v>0</v>
      </c>
      <c r="H547" s="16">
        <f t="shared" si="17"/>
        <v>3527407.9079999998</v>
      </c>
    </row>
    <row r="548" spans="2:8" hidden="1" x14ac:dyDescent="0.4">
      <c r="B548" s="1">
        <v>43097</v>
      </c>
      <c r="C548" s="16">
        <f>SUMIF(매도완료!$G:$G,Sheet2!$B548,매도완료!$P:$P)</f>
        <v>1254000</v>
      </c>
      <c r="D548" s="16">
        <f>SUMIF(매도완료!$J:$J,Sheet2!$B548,매도완료!$P:$P)</f>
        <v>0</v>
      </c>
      <c r="E548" s="16">
        <f t="shared" si="16"/>
        <v>68210860</v>
      </c>
      <c r="G548" s="16">
        <f>IF(D548=0,0,SUMIF(매도완료!$J:$J,Sheet2!$B548,매도완료!$S:$S))</f>
        <v>0</v>
      </c>
      <c r="H548" s="16">
        <f t="shared" si="17"/>
        <v>3527407.9079999998</v>
      </c>
    </row>
    <row r="549" spans="2:8" hidden="1" x14ac:dyDescent="0.4">
      <c r="B549" s="1">
        <v>43098</v>
      </c>
      <c r="C549" s="16">
        <f>SUMIF(매도완료!$G:$G,Sheet2!$B549,매도완료!$P:$P)</f>
        <v>0</v>
      </c>
      <c r="D549" s="16">
        <f>SUMIF(매도완료!$J:$J,Sheet2!$B549,매도완료!$P:$P)</f>
        <v>0</v>
      </c>
      <c r="E549" s="16">
        <f t="shared" si="16"/>
        <v>68210860</v>
      </c>
      <c r="G549" s="16">
        <f>IF(D549=0,0,SUMIF(매도완료!$J:$J,Sheet2!$B549,매도완료!$S:$S))</f>
        <v>0</v>
      </c>
      <c r="H549" s="16">
        <f t="shared" si="17"/>
        <v>3527407.9079999998</v>
      </c>
    </row>
    <row r="550" spans="2:8" hidden="1" x14ac:dyDescent="0.4">
      <c r="B550" s="1">
        <v>43099</v>
      </c>
      <c r="C550" s="16">
        <f>SUMIF(매도완료!$G:$G,Sheet2!$B550,매도완료!$P:$P)</f>
        <v>0</v>
      </c>
      <c r="D550" s="16">
        <f>SUMIF(매도완료!$J:$J,Sheet2!$B550,매도완료!$P:$P)</f>
        <v>0</v>
      </c>
      <c r="E550" s="16">
        <f t="shared" si="16"/>
        <v>68210860</v>
      </c>
      <c r="G550" s="16">
        <f>IF(D550=0,0,SUMIF(매도완료!$J:$J,Sheet2!$B550,매도완료!$S:$S))</f>
        <v>0</v>
      </c>
      <c r="H550" s="16">
        <f t="shared" si="17"/>
        <v>3527407.9079999998</v>
      </c>
    </row>
    <row r="551" spans="2:8" hidden="1" x14ac:dyDescent="0.4">
      <c r="B551" s="1">
        <v>43100</v>
      </c>
      <c r="C551" s="16">
        <f>SUMIF(매도완료!$G:$G,Sheet2!$B551,매도완료!$P:$P)</f>
        <v>0</v>
      </c>
      <c r="D551" s="16">
        <f>SUMIF(매도완료!$J:$J,Sheet2!$B551,매도완료!$P:$P)</f>
        <v>0</v>
      </c>
      <c r="E551" s="16">
        <f t="shared" si="16"/>
        <v>68210860</v>
      </c>
      <c r="G551" s="16">
        <f>IF(D551=0,0,SUMIF(매도완료!$J:$J,Sheet2!$B551,매도완료!$S:$S))</f>
        <v>0</v>
      </c>
      <c r="H551" s="16">
        <f t="shared" si="17"/>
        <v>3527407.9079999998</v>
      </c>
    </row>
    <row r="552" spans="2:8" x14ac:dyDescent="0.4">
      <c r="B552" s="1">
        <v>43101</v>
      </c>
      <c r="C552" s="16">
        <f>SUMIF(매도완료!$G:$G,Sheet2!$B552,매도완료!$P:$P)</f>
        <v>0</v>
      </c>
      <c r="D552" s="16">
        <f>SUMIF(매도완료!$J:$J,Sheet2!$B552,매도완료!$P:$P)</f>
        <v>0</v>
      </c>
      <c r="E552" s="16">
        <f t="shared" si="16"/>
        <v>68210860</v>
      </c>
      <c r="G552" s="16">
        <f>IF(D552=0,0,SUMIF(매도완료!$J:$J,Sheet2!$B552,매도완료!$S:$S))</f>
        <v>0</v>
      </c>
      <c r="H552" s="16">
        <f t="shared" si="17"/>
        <v>3527407.9079999998</v>
      </c>
    </row>
    <row r="553" spans="2:8" hidden="1" x14ac:dyDescent="0.4">
      <c r="B553" s="1">
        <v>43102</v>
      </c>
      <c r="C553" s="16">
        <f>SUMIF(매도완료!$G:$G,Sheet2!$B553,매도완료!$P:$P)</f>
        <v>274650</v>
      </c>
      <c r="D553" s="16">
        <f>SUMIF(매도완료!$J:$J,Sheet2!$B553,매도완료!$P:$P)</f>
        <v>1919500</v>
      </c>
      <c r="E553" s="16">
        <f t="shared" si="16"/>
        <v>66566010</v>
      </c>
      <c r="G553" s="16">
        <f>IF(D553=0,0,SUMIF(매도완료!$J:$J,Sheet2!$B553,매도완료!$S:$S))</f>
        <v>148270</v>
      </c>
      <c r="H553" s="16">
        <f t="shared" si="17"/>
        <v>3675677.9079999998</v>
      </c>
    </row>
    <row r="554" spans="2:8" hidden="1" x14ac:dyDescent="0.4">
      <c r="B554" s="1">
        <v>43103</v>
      </c>
      <c r="C554" s="16">
        <f>SUMIF(매도완료!$G:$G,Sheet2!$B554,매도완료!$P:$P)</f>
        <v>1260000</v>
      </c>
      <c r="D554" s="16">
        <f>SUMIF(매도완료!$J:$J,Sheet2!$B554,매도완료!$P:$P)</f>
        <v>0</v>
      </c>
      <c r="E554" s="16">
        <f t="shared" si="16"/>
        <v>67826010</v>
      </c>
      <c r="G554" s="16">
        <f>IF(D554=0,0,SUMIF(매도완료!$J:$J,Sheet2!$B554,매도완료!$S:$S))</f>
        <v>0</v>
      </c>
      <c r="H554" s="16">
        <f t="shared" si="17"/>
        <v>3675677.9079999998</v>
      </c>
    </row>
    <row r="555" spans="2:8" hidden="1" x14ac:dyDescent="0.4">
      <c r="B555" s="1">
        <v>43104</v>
      </c>
      <c r="C555" s="16">
        <f>SUMIF(매도완료!$G:$G,Sheet2!$B555,매도완료!$P:$P)</f>
        <v>0</v>
      </c>
      <c r="D555" s="16">
        <f>SUMIF(매도완료!$J:$J,Sheet2!$B555,매도완료!$P:$P)</f>
        <v>0</v>
      </c>
      <c r="E555" s="16">
        <f t="shared" si="16"/>
        <v>67826010</v>
      </c>
      <c r="G555" s="16">
        <f>IF(D555=0,0,SUMIF(매도완료!$J:$J,Sheet2!$B555,매도완료!$S:$S))</f>
        <v>0</v>
      </c>
      <c r="H555" s="16">
        <f t="shared" si="17"/>
        <v>3675677.9079999998</v>
      </c>
    </row>
    <row r="556" spans="2:8" hidden="1" x14ac:dyDescent="0.4">
      <c r="B556" s="1">
        <v>43105</v>
      </c>
      <c r="C556" s="16">
        <f>SUMIF(매도완료!$G:$G,Sheet2!$B556,매도완료!$P:$P)</f>
        <v>0</v>
      </c>
      <c r="D556" s="16">
        <f>SUMIF(매도완료!$J:$J,Sheet2!$B556,매도완료!$P:$P)</f>
        <v>1760000</v>
      </c>
      <c r="E556" s="16">
        <f t="shared" si="16"/>
        <v>66066010</v>
      </c>
      <c r="G556" s="16">
        <f>IF(D556=0,0,SUMIF(매도완료!$J:$J,Sheet2!$B556,매도완료!$S:$S))</f>
        <v>152205</v>
      </c>
      <c r="H556" s="16">
        <f t="shared" si="17"/>
        <v>3827882.9079999998</v>
      </c>
    </row>
    <row r="557" spans="2:8" hidden="1" x14ac:dyDescent="0.4">
      <c r="B557" s="1">
        <v>43106</v>
      </c>
      <c r="C557" s="16">
        <f>SUMIF(매도완료!$G:$G,Sheet2!$B557,매도완료!$P:$P)</f>
        <v>0</v>
      </c>
      <c r="D557" s="16">
        <f>SUMIF(매도완료!$J:$J,Sheet2!$B557,매도완료!$P:$P)</f>
        <v>0</v>
      </c>
      <c r="E557" s="16">
        <f t="shared" si="16"/>
        <v>66066010</v>
      </c>
      <c r="G557" s="16">
        <f>IF(D557=0,0,SUMIF(매도완료!$J:$J,Sheet2!$B557,매도완료!$S:$S))</f>
        <v>0</v>
      </c>
      <c r="H557" s="16">
        <f t="shared" si="17"/>
        <v>3827882.9079999998</v>
      </c>
    </row>
    <row r="558" spans="2:8" hidden="1" x14ac:dyDescent="0.4">
      <c r="B558" s="1">
        <v>43107</v>
      </c>
      <c r="C558" s="16">
        <f>SUMIF(매도완료!$G:$G,Sheet2!$B558,매도완료!$P:$P)</f>
        <v>0</v>
      </c>
      <c r="D558" s="16">
        <f>SUMIF(매도완료!$J:$J,Sheet2!$B558,매도완료!$P:$P)</f>
        <v>0</v>
      </c>
      <c r="E558" s="16">
        <f t="shared" si="16"/>
        <v>66066010</v>
      </c>
      <c r="G558" s="16">
        <f>IF(D558=0,0,SUMIF(매도완료!$J:$J,Sheet2!$B558,매도완료!$S:$S))</f>
        <v>0</v>
      </c>
      <c r="H558" s="16">
        <f t="shared" si="17"/>
        <v>3827882.9079999998</v>
      </c>
    </row>
    <row r="559" spans="2:8" hidden="1" x14ac:dyDescent="0.4">
      <c r="B559" s="1">
        <v>43108</v>
      </c>
      <c r="C559" s="16">
        <f>SUMIF(매도완료!$G:$G,Sheet2!$B559,매도완료!$P:$P)</f>
        <v>2131000</v>
      </c>
      <c r="D559" s="16">
        <f>SUMIF(매도완료!$J:$J,Sheet2!$B559,매도완료!$P:$P)</f>
        <v>0</v>
      </c>
      <c r="E559" s="16">
        <f t="shared" si="16"/>
        <v>68197010</v>
      </c>
      <c r="G559" s="16">
        <f>IF(D559=0,0,SUMIF(매도완료!$J:$J,Sheet2!$B559,매도완료!$S:$S))</f>
        <v>0</v>
      </c>
      <c r="H559" s="16">
        <f t="shared" si="17"/>
        <v>3827882.9079999998</v>
      </c>
    </row>
    <row r="560" spans="2:8" hidden="1" x14ac:dyDescent="0.4">
      <c r="B560" s="1">
        <v>43109</v>
      </c>
      <c r="C560" s="16">
        <f>SUMIF(매도완료!$G:$G,Sheet2!$B560,매도완료!$P:$P)</f>
        <v>2374000</v>
      </c>
      <c r="D560" s="16">
        <f>SUMIF(매도완료!$J:$J,Sheet2!$B560,매도완료!$P:$P)</f>
        <v>0</v>
      </c>
      <c r="E560" s="16">
        <f t="shared" si="16"/>
        <v>70571010</v>
      </c>
      <c r="G560" s="16">
        <f>IF(D560=0,0,SUMIF(매도완료!$J:$J,Sheet2!$B560,매도완료!$S:$S))</f>
        <v>0</v>
      </c>
      <c r="H560" s="16">
        <f t="shared" si="17"/>
        <v>3827882.9079999998</v>
      </c>
    </row>
    <row r="561" spans="2:8" hidden="1" x14ac:dyDescent="0.4">
      <c r="B561" s="1">
        <v>43110</v>
      </c>
      <c r="C561" s="16">
        <f>SUMIF(매도완료!$G:$G,Sheet2!$B561,매도완료!$P:$P)</f>
        <v>644000</v>
      </c>
      <c r="D561" s="16">
        <f>SUMIF(매도완료!$J:$J,Sheet2!$B561,매도완료!$P:$P)</f>
        <v>0</v>
      </c>
      <c r="E561" s="16">
        <f t="shared" si="16"/>
        <v>71215010</v>
      </c>
      <c r="G561" s="16">
        <f>IF(D561=0,0,SUMIF(매도완료!$J:$J,Sheet2!$B561,매도완료!$S:$S))</f>
        <v>0</v>
      </c>
      <c r="H561" s="16">
        <f t="shared" si="17"/>
        <v>3827882.9079999998</v>
      </c>
    </row>
    <row r="562" spans="2:8" hidden="1" x14ac:dyDescent="0.4">
      <c r="B562" s="1">
        <v>43111</v>
      </c>
      <c r="C562" s="16">
        <f>SUMIF(매도완료!$G:$G,Sheet2!$B562,매도완료!$P:$P)</f>
        <v>0</v>
      </c>
      <c r="D562" s="16">
        <f>SUMIF(매도완료!$J:$J,Sheet2!$B562,매도완료!$P:$P)</f>
        <v>0</v>
      </c>
      <c r="E562" s="16">
        <f t="shared" si="16"/>
        <v>71215010</v>
      </c>
      <c r="G562" s="16">
        <f>IF(D562=0,0,SUMIF(매도완료!$J:$J,Sheet2!$B562,매도완료!$S:$S))</f>
        <v>0</v>
      </c>
      <c r="H562" s="16">
        <f t="shared" si="17"/>
        <v>3827882.9079999998</v>
      </c>
    </row>
    <row r="563" spans="2:8" hidden="1" x14ac:dyDescent="0.4">
      <c r="B563" s="1">
        <v>43112</v>
      </c>
      <c r="C563" s="16">
        <f>SUMIF(매도완료!$G:$G,Sheet2!$B563,매도완료!$P:$P)</f>
        <v>0</v>
      </c>
      <c r="D563" s="16">
        <f>SUMIF(매도완료!$J:$J,Sheet2!$B563,매도완료!$P:$P)</f>
        <v>0</v>
      </c>
      <c r="E563" s="16">
        <f t="shared" si="16"/>
        <v>71215010</v>
      </c>
      <c r="G563" s="16">
        <f>IF(D563=0,0,SUMIF(매도완료!$J:$J,Sheet2!$B563,매도완료!$S:$S))</f>
        <v>0</v>
      </c>
      <c r="H563" s="16">
        <f t="shared" si="17"/>
        <v>3827882.9079999998</v>
      </c>
    </row>
    <row r="564" spans="2:8" hidden="1" x14ac:dyDescent="0.4">
      <c r="B564" s="1">
        <v>43113</v>
      </c>
      <c r="C564" s="16">
        <f>SUMIF(매도완료!$G:$G,Sheet2!$B564,매도완료!$P:$P)</f>
        <v>0</v>
      </c>
      <c r="D564" s="16">
        <f>SUMIF(매도완료!$J:$J,Sheet2!$B564,매도완료!$P:$P)</f>
        <v>0</v>
      </c>
      <c r="E564" s="16">
        <f t="shared" si="16"/>
        <v>71215010</v>
      </c>
      <c r="G564" s="16">
        <f>IF(D564=0,0,SUMIF(매도완료!$J:$J,Sheet2!$B564,매도완료!$S:$S))</f>
        <v>0</v>
      </c>
      <c r="H564" s="16">
        <f t="shared" si="17"/>
        <v>3827882.9079999998</v>
      </c>
    </row>
    <row r="565" spans="2:8" hidden="1" x14ac:dyDescent="0.4">
      <c r="B565" s="1">
        <v>43114</v>
      </c>
      <c r="C565" s="16">
        <f>SUMIF(매도완료!$G:$G,Sheet2!$B565,매도완료!$P:$P)</f>
        <v>0</v>
      </c>
      <c r="D565" s="16">
        <f>SUMIF(매도완료!$J:$J,Sheet2!$B565,매도완료!$P:$P)</f>
        <v>0</v>
      </c>
      <c r="E565" s="16">
        <f t="shared" si="16"/>
        <v>71215010</v>
      </c>
      <c r="G565" s="16">
        <f>IF(D565=0,0,SUMIF(매도완료!$J:$J,Sheet2!$B565,매도완료!$S:$S))</f>
        <v>0</v>
      </c>
      <c r="H565" s="16">
        <f t="shared" si="17"/>
        <v>3827882.9079999998</v>
      </c>
    </row>
    <row r="566" spans="2:8" hidden="1" x14ac:dyDescent="0.4">
      <c r="B566" s="1">
        <v>43115</v>
      </c>
      <c r="C566" s="16">
        <f>SUMIF(매도완료!$G:$G,Sheet2!$B566,매도완료!$P:$P)</f>
        <v>0</v>
      </c>
      <c r="D566" s="16">
        <f>SUMIF(매도완료!$J:$J,Sheet2!$B566,매도완료!$P:$P)</f>
        <v>1600000</v>
      </c>
      <c r="E566" s="16">
        <f t="shared" si="16"/>
        <v>69615010</v>
      </c>
      <c r="G566" s="16">
        <f>IF(D566=0,0,SUMIF(매도완료!$J:$J,Sheet2!$B566,매도완료!$S:$S))</f>
        <v>174585</v>
      </c>
      <c r="H566" s="16">
        <f t="shared" si="17"/>
        <v>4002467.9079999998</v>
      </c>
    </row>
    <row r="567" spans="2:8" hidden="1" x14ac:dyDescent="0.4">
      <c r="B567" s="1">
        <v>43116</v>
      </c>
      <c r="C567" s="16">
        <f>SUMIF(매도완료!$G:$G,Sheet2!$B567,매도완료!$P:$P)</f>
        <v>1496000</v>
      </c>
      <c r="D567" s="16">
        <f>SUMIF(매도완료!$J:$J,Sheet2!$B567,매도완료!$P:$P)</f>
        <v>0</v>
      </c>
      <c r="E567" s="16">
        <f t="shared" si="16"/>
        <v>71111010</v>
      </c>
      <c r="G567" s="16">
        <f>IF(D567=0,0,SUMIF(매도완료!$J:$J,Sheet2!$B567,매도완료!$S:$S))</f>
        <v>0</v>
      </c>
      <c r="H567" s="16">
        <f t="shared" si="17"/>
        <v>4002467.9079999998</v>
      </c>
    </row>
    <row r="568" spans="2:8" hidden="1" x14ac:dyDescent="0.4">
      <c r="B568" s="1">
        <v>43117</v>
      </c>
      <c r="C568" s="16">
        <f>SUMIF(매도완료!$G:$G,Sheet2!$B568,매도완료!$P:$P)</f>
        <v>1573500</v>
      </c>
      <c r="D568" s="16">
        <f>SUMIF(매도완료!$J:$J,Sheet2!$B568,매도완료!$P:$P)</f>
        <v>1945000</v>
      </c>
      <c r="E568" s="16">
        <f t="shared" si="16"/>
        <v>70739510</v>
      </c>
      <c r="G568" s="16">
        <f>IF(D568=0,0,SUMIF(매도완료!$J:$J,Sheet2!$B568,매도완료!$S:$S))</f>
        <v>156085</v>
      </c>
      <c r="H568" s="16">
        <f t="shared" si="17"/>
        <v>4158552.9079999998</v>
      </c>
    </row>
    <row r="569" spans="2:8" hidden="1" x14ac:dyDescent="0.4">
      <c r="B569" s="1">
        <v>43118</v>
      </c>
      <c r="C569" s="16">
        <f>SUMIF(매도완료!$G:$G,Sheet2!$B569,매도완료!$P:$P)</f>
        <v>0</v>
      </c>
      <c r="D569" s="16">
        <f>SUMIF(매도완료!$J:$J,Sheet2!$B569,매도완료!$P:$P)</f>
        <v>0</v>
      </c>
      <c r="E569" s="16">
        <f t="shared" si="16"/>
        <v>70739510</v>
      </c>
      <c r="G569" s="16">
        <f>IF(D569=0,0,SUMIF(매도완료!$J:$J,Sheet2!$B569,매도완료!$S:$S))</f>
        <v>0</v>
      </c>
      <c r="H569" s="16">
        <f t="shared" si="17"/>
        <v>4158552.9079999998</v>
      </c>
    </row>
    <row r="570" spans="2:8" hidden="1" x14ac:dyDescent="0.4">
      <c r="B570" s="1">
        <v>43119</v>
      </c>
      <c r="C570" s="16">
        <f>SUMIF(매도완료!$G:$G,Sheet2!$B570,매도완료!$P:$P)</f>
        <v>927000</v>
      </c>
      <c r="D570" s="16">
        <f>SUMIF(매도완료!$J:$J,Sheet2!$B570,매도완료!$P:$P)</f>
        <v>0</v>
      </c>
      <c r="E570" s="16">
        <f t="shared" si="16"/>
        <v>71666510</v>
      </c>
      <c r="G570" s="16">
        <f>IF(D570=0,0,SUMIF(매도완료!$J:$J,Sheet2!$B570,매도완료!$S:$S))</f>
        <v>0</v>
      </c>
      <c r="H570" s="16">
        <f t="shared" si="17"/>
        <v>4158552.9079999998</v>
      </c>
    </row>
    <row r="571" spans="2:8" hidden="1" x14ac:dyDescent="0.4">
      <c r="B571" s="1">
        <v>43120</v>
      </c>
      <c r="C571" s="16">
        <f>SUMIF(매도완료!$G:$G,Sheet2!$B571,매도완료!$P:$P)</f>
        <v>0</v>
      </c>
      <c r="D571" s="16">
        <f>SUMIF(매도완료!$J:$J,Sheet2!$B571,매도완료!$P:$P)</f>
        <v>0</v>
      </c>
      <c r="E571" s="16">
        <f t="shared" si="16"/>
        <v>71666510</v>
      </c>
      <c r="G571" s="16">
        <f>IF(D571=0,0,SUMIF(매도완료!$J:$J,Sheet2!$B571,매도완료!$S:$S))</f>
        <v>0</v>
      </c>
      <c r="H571" s="16">
        <f t="shared" si="17"/>
        <v>4158552.9079999998</v>
      </c>
    </row>
    <row r="572" spans="2:8" hidden="1" x14ac:dyDescent="0.4">
      <c r="B572" s="1">
        <v>43121</v>
      </c>
      <c r="C572" s="16">
        <f>SUMIF(매도완료!$G:$G,Sheet2!$B572,매도완료!$P:$P)</f>
        <v>0</v>
      </c>
      <c r="D572" s="16">
        <f>SUMIF(매도완료!$J:$J,Sheet2!$B572,매도완료!$P:$P)</f>
        <v>0</v>
      </c>
      <c r="E572" s="16">
        <f t="shared" si="16"/>
        <v>71666510</v>
      </c>
      <c r="G572" s="16">
        <f>IF(D572=0,0,SUMIF(매도완료!$J:$J,Sheet2!$B572,매도완료!$S:$S))</f>
        <v>0</v>
      </c>
      <c r="H572" s="16">
        <f t="shared" si="17"/>
        <v>4158552.9079999998</v>
      </c>
    </row>
    <row r="573" spans="2:8" hidden="1" x14ac:dyDescent="0.4">
      <c r="B573" s="1">
        <v>43122</v>
      </c>
      <c r="C573" s="16">
        <f>SUMIF(매도완료!$G:$G,Sheet2!$B573,매도완료!$P:$P)</f>
        <v>0</v>
      </c>
      <c r="D573" s="16">
        <f>SUMIF(매도완료!$J:$J,Sheet2!$B573,매도완료!$P:$P)</f>
        <v>264000</v>
      </c>
      <c r="E573" s="16">
        <f t="shared" si="16"/>
        <v>71402510</v>
      </c>
      <c r="G573" s="16">
        <f>IF(D573=0,0,SUMIF(매도완료!$J:$J,Sheet2!$B573,매도완료!$S:$S))</f>
        <v>50590.8</v>
      </c>
      <c r="H573" s="16">
        <f t="shared" si="17"/>
        <v>4209143.7079999996</v>
      </c>
    </row>
    <row r="574" spans="2:8" hidden="1" x14ac:dyDescent="0.4">
      <c r="B574" s="1">
        <v>43123</v>
      </c>
      <c r="C574" s="16">
        <f>SUMIF(매도완료!$G:$G,Sheet2!$B574,매도완료!$P:$P)</f>
        <v>0</v>
      </c>
      <c r="D574" s="16">
        <f>SUMIF(매도완료!$J:$J,Sheet2!$B574,매도완료!$P:$P)</f>
        <v>1700000</v>
      </c>
      <c r="E574" s="16">
        <f t="shared" si="16"/>
        <v>69702510</v>
      </c>
      <c r="G574" s="16">
        <f>IF(D574=0,0,SUMIF(매도완료!$J:$J,Sheet2!$B574,매도완료!$S:$S))</f>
        <v>67950</v>
      </c>
      <c r="H574" s="16">
        <f t="shared" si="17"/>
        <v>4277093.7079999996</v>
      </c>
    </row>
    <row r="575" spans="2:8" hidden="1" x14ac:dyDescent="0.4">
      <c r="B575" s="1">
        <v>43124</v>
      </c>
      <c r="C575" s="16">
        <f>SUMIF(매도완료!$G:$G,Sheet2!$B575,매도완료!$P:$P)</f>
        <v>3547900</v>
      </c>
      <c r="D575" s="16">
        <f>SUMIF(매도완료!$J:$J,Sheet2!$B575,매도완료!$P:$P)</f>
        <v>0</v>
      </c>
      <c r="E575" s="16">
        <f t="shared" si="16"/>
        <v>73250410</v>
      </c>
      <c r="G575" s="16">
        <f>IF(D575=0,0,SUMIF(매도완료!$J:$J,Sheet2!$B575,매도완료!$S:$S))</f>
        <v>0</v>
      </c>
      <c r="H575" s="16">
        <f t="shared" si="17"/>
        <v>4277093.7079999996</v>
      </c>
    </row>
    <row r="576" spans="2:8" hidden="1" x14ac:dyDescent="0.4">
      <c r="B576" s="1">
        <v>43125</v>
      </c>
      <c r="C576" s="16">
        <f>SUMIF(매도완료!$G:$G,Sheet2!$B576,매도완료!$P:$P)</f>
        <v>0</v>
      </c>
      <c r="D576" s="16">
        <f>SUMIF(매도완료!$J:$J,Sheet2!$B576,매도완료!$P:$P)</f>
        <v>0</v>
      </c>
      <c r="E576" s="16">
        <f t="shared" si="16"/>
        <v>73250410</v>
      </c>
      <c r="G576" s="16">
        <f>IF(D576=0,0,SUMIF(매도완료!$J:$J,Sheet2!$B576,매도완료!$S:$S))</f>
        <v>0</v>
      </c>
      <c r="H576" s="16">
        <f t="shared" si="17"/>
        <v>4277093.7079999996</v>
      </c>
    </row>
    <row r="577" spans="2:8" hidden="1" x14ac:dyDescent="0.4">
      <c r="B577" s="1">
        <v>43126</v>
      </c>
      <c r="C577" s="16">
        <f>SUMIF(매도완료!$G:$G,Sheet2!$B577,매도완료!$P:$P)</f>
        <v>3460000</v>
      </c>
      <c r="D577" s="16">
        <f>SUMIF(매도완료!$J:$J,Sheet2!$B577,매도완료!$P:$P)</f>
        <v>1904000</v>
      </c>
      <c r="E577" s="16">
        <f t="shared" si="16"/>
        <v>74806410</v>
      </c>
      <c r="G577" s="16">
        <f>IF(D577=0,0,SUMIF(매도완료!$J:$J,Sheet2!$B577,매도완료!$S:$S))</f>
        <v>434715</v>
      </c>
      <c r="H577" s="16">
        <f t="shared" si="17"/>
        <v>4711808.7079999996</v>
      </c>
    </row>
    <row r="578" spans="2:8" hidden="1" x14ac:dyDescent="0.4">
      <c r="B578" s="1">
        <v>43127</v>
      </c>
      <c r="C578" s="16">
        <f>SUMIF(매도완료!$G:$G,Sheet2!$B578,매도완료!$P:$P)</f>
        <v>0</v>
      </c>
      <c r="D578" s="16">
        <f>SUMIF(매도완료!$J:$J,Sheet2!$B578,매도완료!$P:$P)</f>
        <v>0</v>
      </c>
      <c r="E578" s="16">
        <f t="shared" si="16"/>
        <v>74806410</v>
      </c>
      <c r="G578" s="16">
        <f>IF(D578=0,0,SUMIF(매도완료!$J:$J,Sheet2!$B578,매도완료!$S:$S))</f>
        <v>0</v>
      </c>
      <c r="H578" s="16">
        <f t="shared" si="17"/>
        <v>4711808.7079999996</v>
      </c>
    </row>
    <row r="579" spans="2:8" hidden="1" x14ac:dyDescent="0.4">
      <c r="B579" s="1">
        <v>43128</v>
      </c>
      <c r="C579" s="16">
        <f>SUMIF(매도완료!$G:$G,Sheet2!$B579,매도완료!$P:$P)</f>
        <v>0</v>
      </c>
      <c r="D579" s="16">
        <f>SUMIF(매도완료!$J:$J,Sheet2!$B579,매도완료!$P:$P)</f>
        <v>0</v>
      </c>
      <c r="E579" s="16">
        <f t="shared" si="16"/>
        <v>74806410</v>
      </c>
      <c r="G579" s="16">
        <f>IF(D579=0,0,SUMIF(매도완료!$J:$J,Sheet2!$B579,매도완료!$S:$S))</f>
        <v>0</v>
      </c>
      <c r="H579" s="16">
        <f t="shared" si="17"/>
        <v>4711808.7079999996</v>
      </c>
    </row>
    <row r="580" spans="2:8" hidden="1" x14ac:dyDescent="0.4">
      <c r="B580" s="1">
        <v>43129</v>
      </c>
      <c r="C580" s="16">
        <f>SUMIF(매도완료!$G:$G,Sheet2!$B580,매도완료!$P:$P)</f>
        <v>0</v>
      </c>
      <c r="D580" s="16">
        <f>SUMIF(매도완료!$J:$J,Sheet2!$B580,매도완료!$P:$P)</f>
        <v>2717500</v>
      </c>
      <c r="E580" s="16">
        <f t="shared" ref="E580:E643" si="18">E579+C580-D580</f>
        <v>72088910</v>
      </c>
      <c r="G580" s="16">
        <f>IF(D580=0,0,SUMIF(매도완료!$J:$J,Sheet2!$B580,매도완료!$S:$S))</f>
        <v>477001</v>
      </c>
      <c r="H580" s="16">
        <f t="shared" ref="H580:H643" si="19">H579+G580</f>
        <v>5188809.7079999996</v>
      </c>
    </row>
    <row r="581" spans="2:8" hidden="1" x14ac:dyDescent="0.4">
      <c r="B581" s="1">
        <v>43130</v>
      </c>
      <c r="C581" s="16">
        <f>SUMIF(매도완료!$G:$G,Sheet2!$B581,매도완료!$P:$P)</f>
        <v>0</v>
      </c>
      <c r="D581" s="16">
        <f>SUMIF(매도완료!$J:$J,Sheet2!$B581,매도완료!$P:$P)</f>
        <v>0</v>
      </c>
      <c r="E581" s="16">
        <f t="shared" si="18"/>
        <v>72088910</v>
      </c>
      <c r="G581" s="16">
        <f>IF(D581=0,0,SUMIF(매도완료!$J:$J,Sheet2!$B581,매도완료!$S:$S))</f>
        <v>0</v>
      </c>
      <c r="H581" s="16">
        <f t="shared" si="19"/>
        <v>5188809.7079999996</v>
      </c>
    </row>
    <row r="582" spans="2:8" hidden="1" x14ac:dyDescent="0.4">
      <c r="B582" s="1">
        <v>43131</v>
      </c>
      <c r="C582" s="16">
        <f>SUMIF(매도완료!$G:$G,Sheet2!$B582,매도완료!$P:$P)</f>
        <v>0</v>
      </c>
      <c r="D582" s="16">
        <f>SUMIF(매도완료!$J:$J,Sheet2!$B582,매도완료!$P:$P)</f>
        <v>0</v>
      </c>
      <c r="E582" s="16">
        <f t="shared" si="18"/>
        <v>72088910</v>
      </c>
      <c r="G582" s="16">
        <f>IF(D582=0,0,SUMIF(매도완료!$J:$J,Sheet2!$B582,매도완료!$S:$S))</f>
        <v>0</v>
      </c>
      <c r="H582" s="16">
        <f t="shared" si="19"/>
        <v>5188809.7079999996</v>
      </c>
    </row>
    <row r="583" spans="2:8" hidden="1" x14ac:dyDescent="0.4">
      <c r="B583" s="1">
        <v>43132</v>
      </c>
      <c r="C583" s="16">
        <f>SUMIF(매도완료!$G:$G,Sheet2!$B583,매도완료!$P:$P)</f>
        <v>1101100</v>
      </c>
      <c r="D583" s="16">
        <f>SUMIF(매도완료!$J:$J,Sheet2!$B583,매도완료!$P:$P)</f>
        <v>0</v>
      </c>
      <c r="E583" s="16">
        <f t="shared" si="18"/>
        <v>73190010</v>
      </c>
      <c r="G583" s="16">
        <f>IF(D583=0,0,SUMIF(매도완료!$J:$J,Sheet2!$B583,매도완료!$S:$S))</f>
        <v>0</v>
      </c>
      <c r="H583" s="16">
        <f t="shared" si="19"/>
        <v>5188809.7079999996</v>
      </c>
    </row>
    <row r="584" spans="2:8" hidden="1" x14ac:dyDescent="0.4">
      <c r="B584" s="1">
        <v>43133</v>
      </c>
      <c r="C584" s="16">
        <f>SUMIF(매도완료!$G:$G,Sheet2!$B584,매도완료!$P:$P)</f>
        <v>26025000</v>
      </c>
      <c r="D584" s="16">
        <f>SUMIF(매도완료!$J:$J,Sheet2!$B584,매도완료!$P:$P)</f>
        <v>35859250</v>
      </c>
      <c r="E584" s="16">
        <f t="shared" si="18"/>
        <v>63355760</v>
      </c>
      <c r="G584" s="16">
        <f>IF(D584=0,0,SUMIF(매도완료!$J:$J,Sheet2!$B584,매도완료!$S:$S))</f>
        <v>-13785045</v>
      </c>
      <c r="H584" s="16">
        <f t="shared" si="19"/>
        <v>-8596235.2919999994</v>
      </c>
    </row>
    <row r="585" spans="2:8" hidden="1" x14ac:dyDescent="0.4">
      <c r="B585" s="1">
        <v>43134</v>
      </c>
      <c r="C585" s="16">
        <f>SUMIF(매도완료!$G:$G,Sheet2!$B585,매도완료!$P:$P)</f>
        <v>0</v>
      </c>
      <c r="D585" s="16">
        <f>SUMIF(매도완료!$J:$J,Sheet2!$B585,매도완료!$P:$P)</f>
        <v>0</v>
      </c>
      <c r="E585" s="16">
        <f t="shared" si="18"/>
        <v>63355760</v>
      </c>
      <c r="G585" s="16">
        <f>IF(D585=0,0,SUMIF(매도완료!$J:$J,Sheet2!$B585,매도완료!$S:$S))</f>
        <v>0</v>
      </c>
      <c r="H585" s="16">
        <f t="shared" si="19"/>
        <v>-8596235.2919999994</v>
      </c>
    </row>
    <row r="586" spans="2:8" hidden="1" x14ac:dyDescent="0.4">
      <c r="B586" s="1">
        <v>43135</v>
      </c>
      <c r="C586" s="16">
        <f>SUMIF(매도완료!$G:$G,Sheet2!$B586,매도완료!$P:$P)</f>
        <v>0</v>
      </c>
      <c r="D586" s="16">
        <f>SUMIF(매도완료!$J:$J,Sheet2!$B586,매도완료!$P:$P)</f>
        <v>0</v>
      </c>
      <c r="E586" s="16">
        <f t="shared" si="18"/>
        <v>63355760</v>
      </c>
      <c r="G586" s="16">
        <f>IF(D586=0,0,SUMIF(매도완료!$J:$J,Sheet2!$B586,매도완료!$S:$S))</f>
        <v>0</v>
      </c>
      <c r="H586" s="16">
        <f t="shared" si="19"/>
        <v>-8596235.2919999994</v>
      </c>
    </row>
    <row r="587" spans="2:8" hidden="1" x14ac:dyDescent="0.4">
      <c r="B587" s="1">
        <v>43136</v>
      </c>
      <c r="C587" s="16">
        <f>SUMIF(매도완료!$G:$G,Sheet2!$B587,매도완료!$P:$P)</f>
        <v>0</v>
      </c>
      <c r="D587" s="16">
        <f>SUMIF(매도완료!$J:$J,Sheet2!$B587,매도완료!$P:$P)</f>
        <v>0</v>
      </c>
      <c r="E587" s="16">
        <f t="shared" si="18"/>
        <v>63355760</v>
      </c>
      <c r="G587" s="16">
        <f>IF(D587=0,0,SUMIF(매도완료!$J:$J,Sheet2!$B587,매도완료!$S:$S))</f>
        <v>0</v>
      </c>
      <c r="H587" s="16">
        <f t="shared" si="19"/>
        <v>-8596235.2919999994</v>
      </c>
    </row>
    <row r="588" spans="2:8" hidden="1" x14ac:dyDescent="0.4">
      <c r="B588" s="1">
        <v>43137</v>
      </c>
      <c r="C588" s="16">
        <f>SUMIF(매도완료!$G:$G,Sheet2!$B588,매도완료!$P:$P)</f>
        <v>0</v>
      </c>
      <c r="D588" s="16">
        <f>SUMIF(매도완료!$J:$J,Sheet2!$B588,매도완료!$P:$P)</f>
        <v>0</v>
      </c>
      <c r="E588" s="16">
        <f t="shared" si="18"/>
        <v>63355760</v>
      </c>
      <c r="G588" s="16">
        <f>IF(D588=0,0,SUMIF(매도완료!$J:$J,Sheet2!$B588,매도완료!$S:$S))</f>
        <v>0</v>
      </c>
      <c r="H588" s="16">
        <f t="shared" si="19"/>
        <v>-8596235.2919999994</v>
      </c>
    </row>
    <row r="589" spans="2:8" hidden="1" x14ac:dyDescent="0.4">
      <c r="B589" s="1">
        <v>43138</v>
      </c>
      <c r="C589" s="16">
        <f>SUMIF(매도완료!$G:$G,Sheet2!$B589,매도완료!$P:$P)</f>
        <v>0</v>
      </c>
      <c r="D589" s="16">
        <f>SUMIF(매도완료!$J:$J,Sheet2!$B589,매도완료!$P:$P)</f>
        <v>0</v>
      </c>
      <c r="E589" s="16">
        <f t="shared" si="18"/>
        <v>63355760</v>
      </c>
      <c r="G589" s="16">
        <f>IF(D589=0,0,SUMIF(매도완료!$J:$J,Sheet2!$B589,매도완료!$S:$S))</f>
        <v>0</v>
      </c>
      <c r="H589" s="16">
        <f t="shared" si="19"/>
        <v>-8596235.2919999994</v>
      </c>
    </row>
    <row r="590" spans="2:8" hidden="1" x14ac:dyDescent="0.4">
      <c r="B590" s="1">
        <v>43139</v>
      </c>
      <c r="C590" s="16">
        <f>SUMIF(매도완료!$G:$G,Sheet2!$B590,매도완료!$P:$P)</f>
        <v>0</v>
      </c>
      <c r="D590" s="16">
        <f>SUMIF(매도완료!$J:$J,Sheet2!$B590,매도완료!$P:$P)</f>
        <v>0</v>
      </c>
      <c r="E590" s="16">
        <f t="shared" si="18"/>
        <v>63355760</v>
      </c>
      <c r="G590" s="16">
        <f>IF(D590=0,0,SUMIF(매도완료!$J:$J,Sheet2!$B590,매도완료!$S:$S))</f>
        <v>0</v>
      </c>
      <c r="H590" s="16">
        <f t="shared" si="19"/>
        <v>-8596235.2919999994</v>
      </c>
    </row>
    <row r="591" spans="2:8" hidden="1" x14ac:dyDescent="0.4">
      <c r="B591" s="1">
        <v>43140</v>
      </c>
      <c r="C591" s="16">
        <f>SUMIF(매도완료!$G:$G,Sheet2!$B591,매도완료!$P:$P)</f>
        <v>0</v>
      </c>
      <c r="D591" s="16">
        <f>SUMIF(매도완료!$J:$J,Sheet2!$B591,매도완료!$P:$P)</f>
        <v>0</v>
      </c>
      <c r="E591" s="16">
        <f t="shared" si="18"/>
        <v>63355760</v>
      </c>
      <c r="G591" s="16">
        <f>IF(D591=0,0,SUMIF(매도완료!$J:$J,Sheet2!$B591,매도완료!$S:$S))</f>
        <v>0</v>
      </c>
      <c r="H591" s="16">
        <f t="shared" si="19"/>
        <v>-8596235.2919999994</v>
      </c>
    </row>
    <row r="592" spans="2:8" hidden="1" x14ac:dyDescent="0.4">
      <c r="B592" s="1">
        <v>43141</v>
      </c>
      <c r="C592" s="16">
        <f>SUMIF(매도완료!$G:$G,Sheet2!$B592,매도완료!$P:$P)</f>
        <v>0</v>
      </c>
      <c r="D592" s="16">
        <f>SUMIF(매도완료!$J:$J,Sheet2!$B592,매도완료!$P:$P)</f>
        <v>0</v>
      </c>
      <c r="E592" s="16">
        <f t="shared" si="18"/>
        <v>63355760</v>
      </c>
      <c r="G592" s="16">
        <f>IF(D592=0,0,SUMIF(매도완료!$J:$J,Sheet2!$B592,매도완료!$S:$S))</f>
        <v>0</v>
      </c>
      <c r="H592" s="16">
        <f t="shared" si="19"/>
        <v>-8596235.2919999994</v>
      </c>
    </row>
    <row r="593" spans="2:8" hidden="1" x14ac:dyDescent="0.4">
      <c r="B593" s="1">
        <v>43142</v>
      </c>
      <c r="C593" s="16">
        <f>SUMIF(매도완료!$G:$G,Sheet2!$B593,매도완료!$P:$P)</f>
        <v>0</v>
      </c>
      <c r="D593" s="16">
        <f>SUMIF(매도완료!$J:$J,Sheet2!$B593,매도완료!$P:$P)</f>
        <v>0</v>
      </c>
      <c r="E593" s="16">
        <f t="shared" si="18"/>
        <v>63355760</v>
      </c>
      <c r="G593" s="16">
        <f>IF(D593=0,0,SUMIF(매도완료!$J:$J,Sheet2!$B593,매도완료!$S:$S))</f>
        <v>0</v>
      </c>
      <c r="H593" s="16">
        <f t="shared" si="19"/>
        <v>-8596235.2919999994</v>
      </c>
    </row>
    <row r="594" spans="2:8" hidden="1" x14ac:dyDescent="0.4">
      <c r="B594" s="1">
        <v>43143</v>
      </c>
      <c r="C594" s="16">
        <f>SUMIF(매도완료!$G:$G,Sheet2!$B594,매도완료!$P:$P)</f>
        <v>0</v>
      </c>
      <c r="D594" s="16">
        <f>SUMIF(매도완료!$J:$J,Sheet2!$B594,매도완료!$P:$P)</f>
        <v>0</v>
      </c>
      <c r="E594" s="16">
        <f t="shared" si="18"/>
        <v>63355760</v>
      </c>
      <c r="G594" s="16">
        <f>IF(D594=0,0,SUMIF(매도완료!$J:$J,Sheet2!$B594,매도완료!$S:$S))</f>
        <v>0</v>
      </c>
      <c r="H594" s="16">
        <f t="shared" si="19"/>
        <v>-8596235.2919999994</v>
      </c>
    </row>
    <row r="595" spans="2:8" hidden="1" x14ac:dyDescent="0.4">
      <c r="B595" s="1">
        <v>43144</v>
      </c>
      <c r="C595" s="16">
        <f>SUMIF(매도완료!$G:$G,Sheet2!$B595,매도완료!$P:$P)</f>
        <v>0</v>
      </c>
      <c r="D595" s="16">
        <f>SUMIF(매도완료!$J:$J,Sheet2!$B595,매도완료!$P:$P)</f>
        <v>0</v>
      </c>
      <c r="E595" s="16">
        <f t="shared" si="18"/>
        <v>63355760</v>
      </c>
      <c r="G595" s="16">
        <f>IF(D595=0,0,SUMIF(매도완료!$J:$J,Sheet2!$B595,매도완료!$S:$S))</f>
        <v>0</v>
      </c>
      <c r="H595" s="16">
        <f t="shared" si="19"/>
        <v>-8596235.2919999994</v>
      </c>
    </row>
    <row r="596" spans="2:8" hidden="1" x14ac:dyDescent="0.4">
      <c r="B596" s="1">
        <v>43145</v>
      </c>
      <c r="C596" s="16">
        <f>SUMIF(매도완료!$G:$G,Sheet2!$B596,매도완료!$P:$P)</f>
        <v>0</v>
      </c>
      <c r="D596" s="16">
        <f>SUMIF(매도완료!$J:$J,Sheet2!$B596,매도완료!$P:$P)</f>
        <v>0</v>
      </c>
      <c r="E596" s="16">
        <f t="shared" si="18"/>
        <v>63355760</v>
      </c>
      <c r="G596" s="16">
        <f>IF(D596=0,0,SUMIF(매도완료!$J:$J,Sheet2!$B596,매도완료!$S:$S))</f>
        <v>0</v>
      </c>
      <c r="H596" s="16">
        <f t="shared" si="19"/>
        <v>-8596235.2919999994</v>
      </c>
    </row>
    <row r="597" spans="2:8" hidden="1" x14ac:dyDescent="0.4">
      <c r="B597" s="1">
        <v>43146</v>
      </c>
      <c r="C597" s="16">
        <f>SUMIF(매도완료!$G:$G,Sheet2!$B597,매도완료!$P:$P)</f>
        <v>0</v>
      </c>
      <c r="D597" s="16">
        <f>SUMIF(매도완료!$J:$J,Sheet2!$B597,매도완료!$P:$P)</f>
        <v>0</v>
      </c>
      <c r="E597" s="16">
        <f t="shared" si="18"/>
        <v>63355760</v>
      </c>
      <c r="G597" s="16">
        <f>IF(D597=0,0,SUMIF(매도완료!$J:$J,Sheet2!$B597,매도완료!$S:$S))</f>
        <v>0</v>
      </c>
      <c r="H597" s="16">
        <f t="shared" si="19"/>
        <v>-8596235.2919999994</v>
      </c>
    </row>
    <row r="598" spans="2:8" hidden="1" x14ac:dyDescent="0.4">
      <c r="B598" s="1">
        <v>43147</v>
      </c>
      <c r="C598" s="16">
        <f>SUMIF(매도완료!$G:$G,Sheet2!$B598,매도완료!$P:$P)</f>
        <v>0</v>
      </c>
      <c r="D598" s="16">
        <f>SUMIF(매도완료!$J:$J,Sheet2!$B598,매도완료!$P:$P)</f>
        <v>0</v>
      </c>
      <c r="E598" s="16">
        <f t="shared" si="18"/>
        <v>63355760</v>
      </c>
      <c r="G598" s="16">
        <f>IF(D598=0,0,SUMIF(매도완료!$J:$J,Sheet2!$B598,매도완료!$S:$S))</f>
        <v>0</v>
      </c>
      <c r="H598" s="16">
        <f t="shared" si="19"/>
        <v>-8596235.2919999994</v>
      </c>
    </row>
    <row r="599" spans="2:8" hidden="1" x14ac:dyDescent="0.4">
      <c r="B599" s="1">
        <v>43148</v>
      </c>
      <c r="C599" s="16">
        <f>SUMIF(매도완료!$G:$G,Sheet2!$B599,매도완료!$P:$P)</f>
        <v>0</v>
      </c>
      <c r="D599" s="16">
        <f>SUMIF(매도완료!$J:$J,Sheet2!$B599,매도완료!$P:$P)</f>
        <v>0</v>
      </c>
      <c r="E599" s="16">
        <f t="shared" si="18"/>
        <v>63355760</v>
      </c>
      <c r="G599" s="16">
        <f>IF(D599=0,0,SUMIF(매도완료!$J:$J,Sheet2!$B599,매도완료!$S:$S))</f>
        <v>0</v>
      </c>
      <c r="H599" s="16">
        <f t="shared" si="19"/>
        <v>-8596235.2919999994</v>
      </c>
    </row>
    <row r="600" spans="2:8" hidden="1" x14ac:dyDescent="0.4">
      <c r="B600" s="1">
        <v>43149</v>
      </c>
      <c r="C600" s="16">
        <f>SUMIF(매도완료!$G:$G,Sheet2!$B600,매도완료!$P:$P)</f>
        <v>0</v>
      </c>
      <c r="D600" s="16">
        <f>SUMIF(매도완료!$J:$J,Sheet2!$B600,매도완료!$P:$P)</f>
        <v>0</v>
      </c>
      <c r="E600" s="16">
        <f t="shared" si="18"/>
        <v>63355760</v>
      </c>
      <c r="G600" s="16">
        <f>IF(D600=0,0,SUMIF(매도완료!$J:$J,Sheet2!$B600,매도완료!$S:$S))</f>
        <v>0</v>
      </c>
      <c r="H600" s="16">
        <f t="shared" si="19"/>
        <v>-8596235.2919999994</v>
      </c>
    </row>
    <row r="601" spans="2:8" hidden="1" x14ac:dyDescent="0.4">
      <c r="B601" s="1">
        <v>43150</v>
      </c>
      <c r="C601" s="16">
        <f>SUMIF(매도완료!$G:$G,Sheet2!$B601,매도완료!$P:$P)</f>
        <v>3088000</v>
      </c>
      <c r="D601" s="16">
        <f>SUMIF(매도완료!$J:$J,Sheet2!$B601,매도완료!$P:$P)</f>
        <v>501900</v>
      </c>
      <c r="E601" s="16">
        <f t="shared" si="18"/>
        <v>65941860</v>
      </c>
      <c r="G601" s="16">
        <f>IF(D601=0,0,SUMIF(매도완료!$J:$J,Sheet2!$B601,매도완료!$S:$S))</f>
        <v>36016.699999999997</v>
      </c>
      <c r="H601" s="16">
        <f t="shared" si="19"/>
        <v>-8560218.5920000002</v>
      </c>
    </row>
    <row r="602" spans="2:8" hidden="1" x14ac:dyDescent="0.4">
      <c r="B602" s="1">
        <v>43151</v>
      </c>
      <c r="C602" s="16">
        <f>SUMIF(매도완료!$G:$G,Sheet2!$B602,매도완료!$P:$P)</f>
        <v>0</v>
      </c>
      <c r="D602" s="16">
        <f>SUMIF(매도완료!$J:$J,Sheet2!$B602,매도완료!$P:$P)</f>
        <v>0</v>
      </c>
      <c r="E602" s="16">
        <f t="shared" si="18"/>
        <v>65941860</v>
      </c>
      <c r="G602" s="16">
        <f>IF(D602=0,0,SUMIF(매도완료!$J:$J,Sheet2!$B602,매도완료!$S:$S))</f>
        <v>0</v>
      </c>
      <c r="H602" s="16">
        <f t="shared" si="19"/>
        <v>-8560218.5920000002</v>
      </c>
    </row>
    <row r="603" spans="2:8" hidden="1" x14ac:dyDescent="0.4">
      <c r="B603" s="1">
        <v>43152</v>
      </c>
      <c r="C603" s="16">
        <f>SUMIF(매도완료!$G:$G,Sheet2!$B603,매도완료!$P:$P)</f>
        <v>0</v>
      </c>
      <c r="D603" s="16">
        <f>SUMIF(매도완료!$J:$J,Sheet2!$B603,매도완료!$P:$P)</f>
        <v>937000</v>
      </c>
      <c r="E603" s="16">
        <f t="shared" si="18"/>
        <v>65004860</v>
      </c>
      <c r="G603" s="16">
        <f>IF(D603=0,0,SUMIF(매도완료!$J:$J,Sheet2!$B603,매도완료!$S:$S))</f>
        <v>55116</v>
      </c>
      <c r="H603" s="16">
        <f t="shared" si="19"/>
        <v>-8505102.5920000002</v>
      </c>
    </row>
    <row r="604" spans="2:8" hidden="1" x14ac:dyDescent="0.4">
      <c r="B604" s="1">
        <v>43153</v>
      </c>
      <c r="C604" s="16">
        <f>SUMIF(매도완료!$G:$G,Sheet2!$B604,매도완료!$P:$P)</f>
        <v>0</v>
      </c>
      <c r="D604" s="16">
        <f>SUMIF(매도완료!$J:$J,Sheet2!$B604,매도완료!$P:$P)</f>
        <v>0</v>
      </c>
      <c r="E604" s="16">
        <f t="shared" si="18"/>
        <v>65004860</v>
      </c>
      <c r="G604" s="16">
        <f>IF(D604=0,0,SUMIF(매도완료!$J:$J,Sheet2!$B604,매도완료!$S:$S))</f>
        <v>0</v>
      </c>
      <c r="H604" s="16">
        <f t="shared" si="19"/>
        <v>-8505102.5920000002</v>
      </c>
    </row>
    <row r="605" spans="2:8" hidden="1" x14ac:dyDescent="0.4">
      <c r="B605" s="1">
        <v>43154</v>
      </c>
      <c r="C605" s="16">
        <f>SUMIF(매도완료!$G:$G,Sheet2!$B605,매도완료!$P:$P)</f>
        <v>0</v>
      </c>
      <c r="D605" s="16">
        <f>SUMIF(매도완료!$J:$J,Sheet2!$B605,매도완료!$P:$P)</f>
        <v>0</v>
      </c>
      <c r="E605" s="16">
        <f t="shared" si="18"/>
        <v>65004860</v>
      </c>
      <c r="G605" s="16">
        <f>IF(D605=0,0,SUMIF(매도완료!$J:$J,Sheet2!$B605,매도완료!$S:$S))</f>
        <v>0</v>
      </c>
      <c r="H605" s="16">
        <f t="shared" si="19"/>
        <v>-8505102.5920000002</v>
      </c>
    </row>
    <row r="606" spans="2:8" hidden="1" x14ac:dyDescent="0.4">
      <c r="B606" s="1">
        <v>43155</v>
      </c>
      <c r="C606" s="16">
        <f>SUMIF(매도완료!$G:$G,Sheet2!$B606,매도완료!$P:$P)</f>
        <v>0</v>
      </c>
      <c r="D606" s="16">
        <f>SUMIF(매도완료!$J:$J,Sheet2!$B606,매도완료!$P:$P)</f>
        <v>0</v>
      </c>
      <c r="E606" s="16">
        <f t="shared" si="18"/>
        <v>65004860</v>
      </c>
      <c r="G606" s="16">
        <f>IF(D606=0,0,SUMIF(매도완료!$J:$J,Sheet2!$B606,매도완료!$S:$S))</f>
        <v>0</v>
      </c>
      <c r="H606" s="16">
        <f t="shared" si="19"/>
        <v>-8505102.5920000002</v>
      </c>
    </row>
    <row r="607" spans="2:8" hidden="1" x14ac:dyDescent="0.4">
      <c r="B607" s="1">
        <v>43156</v>
      </c>
      <c r="C607" s="16">
        <f>SUMIF(매도완료!$G:$G,Sheet2!$B607,매도완료!$P:$P)</f>
        <v>0</v>
      </c>
      <c r="D607" s="16">
        <f>SUMIF(매도완료!$J:$J,Sheet2!$B607,매도완료!$P:$P)</f>
        <v>0</v>
      </c>
      <c r="E607" s="16">
        <f t="shared" si="18"/>
        <v>65004860</v>
      </c>
      <c r="G607" s="16">
        <f>IF(D607=0,0,SUMIF(매도완료!$J:$J,Sheet2!$B607,매도완료!$S:$S))</f>
        <v>0</v>
      </c>
      <c r="H607" s="16">
        <f t="shared" si="19"/>
        <v>-8505102.5920000002</v>
      </c>
    </row>
    <row r="608" spans="2:8" hidden="1" x14ac:dyDescent="0.4">
      <c r="B608" s="1">
        <v>43157</v>
      </c>
      <c r="C608" s="16">
        <f>SUMIF(매도완료!$G:$G,Sheet2!$B608,매도완료!$P:$P)</f>
        <v>0</v>
      </c>
      <c r="D608" s="16">
        <f>SUMIF(매도완료!$J:$J,Sheet2!$B608,매도완료!$P:$P)</f>
        <v>0</v>
      </c>
      <c r="E608" s="16">
        <f t="shared" si="18"/>
        <v>65004860</v>
      </c>
      <c r="G608" s="16">
        <f>IF(D608=0,0,SUMIF(매도완료!$J:$J,Sheet2!$B608,매도완료!$S:$S))</f>
        <v>0</v>
      </c>
      <c r="H608" s="16">
        <f t="shared" si="19"/>
        <v>-8505102.5920000002</v>
      </c>
    </row>
    <row r="609" spans="2:8" hidden="1" x14ac:dyDescent="0.4">
      <c r="B609" s="1">
        <v>43158</v>
      </c>
      <c r="C609" s="16">
        <f>SUMIF(매도완료!$G:$G,Sheet2!$B609,매도완료!$P:$P)</f>
        <v>0</v>
      </c>
      <c r="D609" s="16">
        <f>SUMIF(매도완료!$J:$J,Sheet2!$B609,매도완료!$P:$P)</f>
        <v>0</v>
      </c>
      <c r="E609" s="16">
        <f t="shared" si="18"/>
        <v>65004860</v>
      </c>
      <c r="G609" s="16">
        <f>IF(D609=0,0,SUMIF(매도완료!$J:$J,Sheet2!$B609,매도완료!$S:$S))</f>
        <v>0</v>
      </c>
      <c r="H609" s="16">
        <f t="shared" si="19"/>
        <v>-8505102.5920000002</v>
      </c>
    </row>
    <row r="610" spans="2:8" hidden="1" x14ac:dyDescent="0.4">
      <c r="B610" s="1">
        <v>43159</v>
      </c>
      <c r="C610" s="16">
        <f>SUMIF(매도완료!$G:$G,Sheet2!$B610,매도완료!$P:$P)</f>
        <v>0</v>
      </c>
      <c r="D610" s="16">
        <f>SUMIF(매도완료!$J:$J,Sheet2!$B610,매도완료!$P:$P)</f>
        <v>0</v>
      </c>
      <c r="E610" s="16">
        <f t="shared" si="18"/>
        <v>65004860</v>
      </c>
      <c r="G610" s="16">
        <f>IF(D610=0,0,SUMIF(매도완료!$J:$J,Sheet2!$B610,매도완료!$S:$S))</f>
        <v>0</v>
      </c>
      <c r="H610" s="16">
        <f t="shared" si="19"/>
        <v>-8505102.5920000002</v>
      </c>
    </row>
    <row r="611" spans="2:8" hidden="1" x14ac:dyDescent="0.4">
      <c r="B611" s="1">
        <v>43160</v>
      </c>
      <c r="C611" s="16">
        <f>SUMIF(매도완료!$G:$G,Sheet2!$B611,매도완료!$P:$P)</f>
        <v>0</v>
      </c>
      <c r="D611" s="16">
        <f>SUMIF(매도완료!$J:$J,Sheet2!$B611,매도완료!$P:$P)</f>
        <v>0</v>
      </c>
      <c r="E611" s="16">
        <f t="shared" si="18"/>
        <v>65004860</v>
      </c>
      <c r="G611" s="16">
        <f>IF(D611=0,0,SUMIF(매도완료!$J:$J,Sheet2!$B611,매도완료!$S:$S))</f>
        <v>0</v>
      </c>
      <c r="H611" s="16">
        <f t="shared" si="19"/>
        <v>-8505102.5920000002</v>
      </c>
    </row>
    <row r="612" spans="2:8" hidden="1" x14ac:dyDescent="0.4">
      <c r="B612" s="1">
        <v>43161</v>
      </c>
      <c r="C612" s="16">
        <f>SUMIF(매도완료!$G:$G,Sheet2!$B612,매도완료!$P:$P)</f>
        <v>0</v>
      </c>
      <c r="D612" s="16">
        <f>SUMIF(매도완료!$J:$J,Sheet2!$B612,매도완료!$P:$P)</f>
        <v>0</v>
      </c>
      <c r="E612" s="16">
        <f t="shared" si="18"/>
        <v>65004860</v>
      </c>
      <c r="G612" s="16">
        <f>IF(D612=0,0,SUMIF(매도완료!$J:$J,Sheet2!$B612,매도완료!$S:$S))</f>
        <v>0</v>
      </c>
      <c r="H612" s="16">
        <f t="shared" si="19"/>
        <v>-8505102.5920000002</v>
      </c>
    </row>
    <row r="613" spans="2:8" hidden="1" x14ac:dyDescent="0.4">
      <c r="B613" s="1">
        <v>43162</v>
      </c>
      <c r="C613" s="16">
        <f>SUMIF(매도완료!$G:$G,Sheet2!$B613,매도완료!$P:$P)</f>
        <v>0</v>
      </c>
      <c r="D613" s="16">
        <f>SUMIF(매도완료!$J:$J,Sheet2!$B613,매도완료!$P:$P)</f>
        <v>0</v>
      </c>
      <c r="E613" s="16">
        <f t="shared" si="18"/>
        <v>65004860</v>
      </c>
      <c r="G613" s="16">
        <f>IF(D613=0,0,SUMIF(매도완료!$J:$J,Sheet2!$B613,매도완료!$S:$S))</f>
        <v>0</v>
      </c>
      <c r="H613" s="16">
        <f t="shared" si="19"/>
        <v>-8505102.5920000002</v>
      </c>
    </row>
    <row r="614" spans="2:8" hidden="1" x14ac:dyDescent="0.4">
      <c r="B614" s="1">
        <v>43163</v>
      </c>
      <c r="C614" s="16">
        <f>SUMIF(매도완료!$G:$G,Sheet2!$B614,매도완료!$P:$P)</f>
        <v>0</v>
      </c>
      <c r="D614" s="16">
        <f>SUMIF(매도완료!$J:$J,Sheet2!$B614,매도완료!$P:$P)</f>
        <v>0</v>
      </c>
      <c r="E614" s="16">
        <f t="shared" si="18"/>
        <v>65004860</v>
      </c>
      <c r="G614" s="16">
        <f>IF(D614=0,0,SUMIF(매도완료!$J:$J,Sheet2!$B614,매도완료!$S:$S))</f>
        <v>0</v>
      </c>
      <c r="H614" s="16">
        <f t="shared" si="19"/>
        <v>-8505102.5920000002</v>
      </c>
    </row>
    <row r="615" spans="2:8" hidden="1" x14ac:dyDescent="0.4">
      <c r="B615" s="1">
        <v>43164</v>
      </c>
      <c r="C615" s="16">
        <f>SUMIF(매도완료!$G:$G,Sheet2!$B615,매도완료!$P:$P)</f>
        <v>6335000</v>
      </c>
      <c r="D615" s="16">
        <f>SUMIF(매도완료!$J:$J,Sheet2!$B615,매도완료!$P:$P)</f>
        <v>6569900</v>
      </c>
      <c r="E615" s="16">
        <f t="shared" si="18"/>
        <v>64769960</v>
      </c>
      <c r="G615" s="16">
        <f>IF(D615=0,0,SUMIF(매도완료!$J:$J,Sheet2!$B615,매도완료!$S:$S))</f>
        <v>-1628636.6</v>
      </c>
      <c r="H615" s="16">
        <f t="shared" si="19"/>
        <v>-10133739.192</v>
      </c>
    </row>
    <row r="616" spans="2:8" hidden="1" x14ac:dyDescent="0.4">
      <c r="B616" s="1">
        <v>43165</v>
      </c>
      <c r="C616" s="16">
        <f>SUMIF(매도완료!$G:$G,Sheet2!$B616,매도완료!$P:$P)</f>
        <v>0</v>
      </c>
      <c r="D616" s="16">
        <f>SUMIF(매도완료!$J:$J,Sheet2!$B616,매도완료!$P:$P)</f>
        <v>14245350</v>
      </c>
      <c r="E616" s="16">
        <f t="shared" si="18"/>
        <v>50524610</v>
      </c>
      <c r="G616" s="16">
        <f>IF(D616=0,0,SUMIF(매도완료!$J:$J,Sheet2!$B616,매도완료!$S:$S))</f>
        <v>2559603.1</v>
      </c>
      <c r="H616" s="16">
        <f t="shared" si="19"/>
        <v>-7574136.0920000002</v>
      </c>
    </row>
    <row r="617" spans="2:8" hidden="1" x14ac:dyDescent="0.4">
      <c r="B617" s="1">
        <v>43166</v>
      </c>
      <c r="C617" s="16">
        <f>SUMIF(매도완료!$G:$G,Sheet2!$B617,매도완료!$P:$P)</f>
        <v>11967500</v>
      </c>
      <c r="D617" s="16">
        <f>SUMIF(매도완료!$J:$J,Sheet2!$B617,매도완료!$P:$P)</f>
        <v>0</v>
      </c>
      <c r="E617" s="16">
        <f t="shared" si="18"/>
        <v>62492110</v>
      </c>
      <c r="G617" s="16">
        <f>IF(D617=0,0,SUMIF(매도완료!$J:$J,Sheet2!$B617,매도완료!$S:$S))</f>
        <v>0</v>
      </c>
      <c r="H617" s="16">
        <f t="shared" si="19"/>
        <v>-7574136.0920000002</v>
      </c>
    </row>
    <row r="618" spans="2:8" hidden="1" x14ac:dyDescent="0.4">
      <c r="B618" s="1">
        <v>43167</v>
      </c>
      <c r="C618" s="16">
        <f>SUMIF(매도완료!$G:$G,Sheet2!$B618,매도완료!$P:$P)</f>
        <v>7650000</v>
      </c>
      <c r="D618" s="16">
        <f>SUMIF(매도완료!$J:$J,Sheet2!$B618,매도완료!$P:$P)</f>
        <v>0</v>
      </c>
      <c r="E618" s="16">
        <f t="shared" si="18"/>
        <v>70142110</v>
      </c>
      <c r="G618" s="16">
        <f>IF(D618=0,0,SUMIF(매도완료!$J:$J,Sheet2!$B618,매도완료!$S:$S))</f>
        <v>0</v>
      </c>
      <c r="H618" s="16">
        <f t="shared" si="19"/>
        <v>-7574136.0920000002</v>
      </c>
    </row>
    <row r="619" spans="2:8" hidden="1" x14ac:dyDescent="0.4">
      <c r="B619" s="1">
        <v>43168</v>
      </c>
      <c r="C619" s="16">
        <f>SUMIF(매도완료!$G:$G,Sheet2!$B619,매도완료!$P:$P)</f>
        <v>0</v>
      </c>
      <c r="D619" s="16">
        <f>SUMIF(매도완료!$J:$J,Sheet2!$B619,매도완료!$P:$P)</f>
        <v>0</v>
      </c>
      <c r="E619" s="16">
        <f t="shared" si="18"/>
        <v>70142110</v>
      </c>
      <c r="G619" s="16">
        <f>IF(D619=0,0,SUMIF(매도완료!$J:$J,Sheet2!$B619,매도완료!$S:$S))</f>
        <v>0</v>
      </c>
      <c r="H619" s="16">
        <f t="shared" si="19"/>
        <v>-7574136.0920000002</v>
      </c>
    </row>
    <row r="620" spans="2:8" hidden="1" x14ac:dyDescent="0.4">
      <c r="B620" s="1">
        <v>43169</v>
      </c>
      <c r="C620" s="16">
        <f>SUMIF(매도완료!$G:$G,Sheet2!$B620,매도완료!$P:$P)</f>
        <v>0</v>
      </c>
      <c r="D620" s="16">
        <f>SUMIF(매도완료!$J:$J,Sheet2!$B620,매도완료!$P:$P)</f>
        <v>0</v>
      </c>
      <c r="E620" s="16">
        <f t="shared" si="18"/>
        <v>70142110</v>
      </c>
      <c r="G620" s="16">
        <f>IF(D620=0,0,SUMIF(매도완료!$J:$J,Sheet2!$B620,매도완료!$S:$S))</f>
        <v>0</v>
      </c>
      <c r="H620" s="16">
        <f t="shared" si="19"/>
        <v>-7574136.0920000002</v>
      </c>
    </row>
    <row r="621" spans="2:8" hidden="1" x14ac:dyDescent="0.4">
      <c r="B621" s="1">
        <v>43170</v>
      </c>
      <c r="C621" s="16">
        <f>SUMIF(매도완료!$G:$G,Sheet2!$B621,매도완료!$P:$P)</f>
        <v>0</v>
      </c>
      <c r="D621" s="16">
        <f>SUMIF(매도완료!$J:$J,Sheet2!$B621,매도완료!$P:$P)</f>
        <v>0</v>
      </c>
      <c r="E621" s="16">
        <f t="shared" si="18"/>
        <v>70142110</v>
      </c>
      <c r="G621" s="16">
        <f>IF(D621=0,0,SUMIF(매도완료!$J:$J,Sheet2!$B621,매도완료!$S:$S))</f>
        <v>0</v>
      </c>
      <c r="H621" s="16">
        <f t="shared" si="19"/>
        <v>-7574136.0920000002</v>
      </c>
    </row>
    <row r="622" spans="2:8" hidden="1" x14ac:dyDescent="0.4">
      <c r="B622" s="1">
        <v>43171</v>
      </c>
      <c r="C622" s="16">
        <f>SUMIF(매도완료!$G:$G,Sheet2!$B622,매도완료!$P:$P)</f>
        <v>0</v>
      </c>
      <c r="D622" s="16">
        <f>SUMIF(매도완료!$J:$J,Sheet2!$B622,매도완료!$P:$P)</f>
        <v>7650000</v>
      </c>
      <c r="E622" s="16">
        <f t="shared" si="18"/>
        <v>62492110</v>
      </c>
      <c r="G622" s="16">
        <f>IF(D622=0,0,SUMIF(매도완료!$J:$J,Sheet2!$B622,매도완료!$S:$S))</f>
        <v>551410</v>
      </c>
      <c r="H622" s="16">
        <f t="shared" si="19"/>
        <v>-7022726.0920000002</v>
      </c>
    </row>
    <row r="623" spans="2:8" hidden="1" x14ac:dyDescent="0.4">
      <c r="B623" s="1">
        <v>43172</v>
      </c>
      <c r="C623" s="16">
        <f>SUMIF(매도완료!$G:$G,Sheet2!$B623,매도완료!$P:$P)</f>
        <v>0</v>
      </c>
      <c r="D623" s="16">
        <f>SUMIF(매도완료!$J:$J,Sheet2!$B623,매도완료!$P:$P)</f>
        <v>0</v>
      </c>
      <c r="E623" s="16">
        <f t="shared" si="18"/>
        <v>62492110</v>
      </c>
      <c r="G623" s="16">
        <f>IF(D623=0,0,SUMIF(매도완료!$J:$J,Sheet2!$B623,매도완료!$S:$S))</f>
        <v>0</v>
      </c>
      <c r="H623" s="16">
        <f t="shared" si="19"/>
        <v>-7022726.0920000002</v>
      </c>
    </row>
    <row r="624" spans="2:8" hidden="1" x14ac:dyDescent="0.4">
      <c r="B624" s="1">
        <v>43173</v>
      </c>
      <c r="C624" s="16">
        <f>SUMIF(매도완료!$G:$G,Sheet2!$B624,매도완료!$P:$P)</f>
        <v>8000000</v>
      </c>
      <c r="D624" s="16">
        <f>SUMIF(매도완료!$J:$J,Sheet2!$B624,매도완료!$P:$P)</f>
        <v>0</v>
      </c>
      <c r="E624" s="16">
        <f t="shared" si="18"/>
        <v>70492110</v>
      </c>
      <c r="G624" s="16">
        <f>IF(D624=0,0,SUMIF(매도완료!$J:$J,Sheet2!$B624,매도완료!$S:$S))</f>
        <v>0</v>
      </c>
      <c r="H624" s="16">
        <f t="shared" si="19"/>
        <v>-7022726.0920000002</v>
      </c>
    </row>
    <row r="625" spans="2:8" hidden="1" x14ac:dyDescent="0.4">
      <c r="B625" s="1">
        <v>43174</v>
      </c>
      <c r="C625" s="16">
        <f>SUMIF(매도완료!$G:$G,Sheet2!$B625,매도완료!$P:$P)</f>
        <v>0</v>
      </c>
      <c r="D625" s="16">
        <f>SUMIF(매도완료!$J:$J,Sheet2!$B625,매도완료!$P:$P)</f>
        <v>0</v>
      </c>
      <c r="E625" s="16">
        <f t="shared" si="18"/>
        <v>70492110</v>
      </c>
      <c r="G625" s="16">
        <f>IF(D625=0,0,SUMIF(매도완료!$J:$J,Sheet2!$B625,매도완료!$S:$S))</f>
        <v>0</v>
      </c>
      <c r="H625" s="16">
        <f t="shared" si="19"/>
        <v>-7022726.0920000002</v>
      </c>
    </row>
    <row r="626" spans="2:8" hidden="1" x14ac:dyDescent="0.4">
      <c r="B626" s="1">
        <v>43175</v>
      </c>
      <c r="C626" s="16">
        <f>SUMIF(매도완료!$G:$G,Sheet2!$B626,매도완료!$P:$P)</f>
        <v>0</v>
      </c>
      <c r="D626" s="16">
        <f>SUMIF(매도완료!$J:$J,Sheet2!$B626,매도완료!$P:$P)</f>
        <v>5167500</v>
      </c>
      <c r="E626" s="16">
        <f t="shared" si="18"/>
        <v>65324610</v>
      </c>
      <c r="G626" s="16">
        <f>IF(D626=0,0,SUMIF(매도완료!$J:$J,Sheet2!$B626,매도완료!$S:$S))</f>
        <v>439370</v>
      </c>
      <c r="H626" s="16">
        <f t="shared" si="19"/>
        <v>-6583356.0920000002</v>
      </c>
    </row>
    <row r="627" spans="2:8" hidden="1" x14ac:dyDescent="0.4">
      <c r="B627" s="1">
        <v>43176</v>
      </c>
      <c r="C627" s="16">
        <f>SUMIF(매도완료!$G:$G,Sheet2!$B627,매도완료!$P:$P)</f>
        <v>0</v>
      </c>
      <c r="D627" s="16">
        <f>SUMIF(매도완료!$J:$J,Sheet2!$B627,매도완료!$P:$P)</f>
        <v>0</v>
      </c>
      <c r="E627" s="16">
        <f t="shared" si="18"/>
        <v>65324610</v>
      </c>
      <c r="G627" s="16">
        <f>IF(D627=0,0,SUMIF(매도완료!$J:$J,Sheet2!$B627,매도완료!$S:$S))</f>
        <v>0</v>
      </c>
      <c r="H627" s="16">
        <f t="shared" si="19"/>
        <v>-6583356.0920000002</v>
      </c>
    </row>
    <row r="628" spans="2:8" hidden="1" x14ac:dyDescent="0.4">
      <c r="B628" s="1">
        <v>43177</v>
      </c>
      <c r="C628" s="16">
        <f>SUMIF(매도완료!$G:$G,Sheet2!$B628,매도완료!$P:$P)</f>
        <v>0</v>
      </c>
      <c r="D628" s="16">
        <f>SUMIF(매도완료!$J:$J,Sheet2!$B628,매도완료!$P:$P)</f>
        <v>0</v>
      </c>
      <c r="E628" s="16">
        <f t="shared" si="18"/>
        <v>65324610</v>
      </c>
      <c r="G628" s="16">
        <f>IF(D628=0,0,SUMIF(매도완료!$J:$J,Sheet2!$B628,매도완료!$S:$S))</f>
        <v>0</v>
      </c>
      <c r="H628" s="16">
        <f t="shared" si="19"/>
        <v>-6583356.0920000002</v>
      </c>
    </row>
    <row r="629" spans="2:8" hidden="1" x14ac:dyDescent="0.4">
      <c r="B629" s="1">
        <v>43178</v>
      </c>
      <c r="C629" s="16">
        <f>SUMIF(매도완료!$G:$G,Sheet2!$B629,매도완료!$P:$P)</f>
        <v>2920000</v>
      </c>
      <c r="D629" s="16">
        <f>SUMIF(매도완료!$J:$J,Sheet2!$B629,매도완료!$P:$P)</f>
        <v>0</v>
      </c>
      <c r="E629" s="16">
        <f t="shared" si="18"/>
        <v>68244610</v>
      </c>
      <c r="G629" s="16">
        <f>IF(D629=0,0,SUMIF(매도완료!$J:$J,Sheet2!$B629,매도완료!$S:$S))</f>
        <v>0</v>
      </c>
      <c r="H629" s="16">
        <f t="shared" si="19"/>
        <v>-6583356.0920000002</v>
      </c>
    </row>
    <row r="630" spans="2:8" hidden="1" x14ac:dyDescent="0.4">
      <c r="B630" s="1">
        <v>43179</v>
      </c>
      <c r="C630" s="16">
        <f>SUMIF(매도완료!$G:$G,Sheet2!$B630,매도완료!$P:$P)</f>
        <v>0</v>
      </c>
      <c r="D630" s="16">
        <f>SUMIF(매도완료!$J:$J,Sheet2!$B630,매도완료!$P:$P)</f>
        <v>0</v>
      </c>
      <c r="E630" s="16">
        <f t="shared" si="18"/>
        <v>68244610</v>
      </c>
      <c r="G630" s="16">
        <f>IF(D630=0,0,SUMIF(매도완료!$J:$J,Sheet2!$B630,매도완료!$S:$S))</f>
        <v>0</v>
      </c>
      <c r="H630" s="16">
        <f t="shared" si="19"/>
        <v>-6583356.0920000002</v>
      </c>
    </row>
    <row r="631" spans="2:8" hidden="1" x14ac:dyDescent="0.4">
      <c r="B631" s="1">
        <v>43180</v>
      </c>
      <c r="C631" s="16">
        <f>SUMIF(매도완료!$G:$G,Sheet2!$B631,매도완료!$P:$P)</f>
        <v>0</v>
      </c>
      <c r="D631" s="16">
        <f>SUMIF(매도완료!$J:$J,Sheet2!$B631,매도완료!$P:$P)</f>
        <v>0</v>
      </c>
      <c r="E631" s="16">
        <f t="shared" si="18"/>
        <v>68244610</v>
      </c>
      <c r="G631" s="16">
        <f>IF(D631=0,0,SUMIF(매도완료!$J:$J,Sheet2!$B631,매도완료!$S:$S))</f>
        <v>0</v>
      </c>
      <c r="H631" s="16">
        <f t="shared" si="19"/>
        <v>-6583356.0920000002</v>
      </c>
    </row>
    <row r="632" spans="2:8" hidden="1" x14ac:dyDescent="0.4">
      <c r="B632" s="1">
        <v>43181</v>
      </c>
      <c r="C632" s="16">
        <f>SUMIF(매도완료!$G:$G,Sheet2!$B632,매도완료!$P:$P)</f>
        <v>0</v>
      </c>
      <c r="D632" s="16">
        <f>SUMIF(매도완료!$J:$J,Sheet2!$B632,매도완료!$P:$P)</f>
        <v>0</v>
      </c>
      <c r="E632" s="16">
        <f t="shared" si="18"/>
        <v>68244610</v>
      </c>
      <c r="G632" s="16">
        <f>IF(D632=0,0,SUMIF(매도완료!$J:$J,Sheet2!$B632,매도완료!$S:$S))</f>
        <v>0</v>
      </c>
      <c r="H632" s="16">
        <f t="shared" si="19"/>
        <v>-6583356.0920000002</v>
      </c>
    </row>
    <row r="633" spans="2:8" hidden="1" x14ac:dyDescent="0.4">
      <c r="B633" s="1">
        <v>43182</v>
      </c>
      <c r="C633" s="16">
        <f>SUMIF(매도완료!$G:$G,Sheet2!$B633,매도완료!$P:$P)</f>
        <v>0</v>
      </c>
      <c r="D633" s="16">
        <f>SUMIF(매도완료!$J:$J,Sheet2!$B633,매도완료!$P:$P)</f>
        <v>0</v>
      </c>
      <c r="E633" s="16">
        <f t="shared" si="18"/>
        <v>68244610</v>
      </c>
      <c r="G633" s="16">
        <f>IF(D633=0,0,SUMIF(매도완료!$J:$J,Sheet2!$B633,매도완료!$S:$S))</f>
        <v>0</v>
      </c>
      <c r="H633" s="16">
        <f t="shared" si="19"/>
        <v>-6583356.0920000002</v>
      </c>
    </row>
    <row r="634" spans="2:8" hidden="1" x14ac:dyDescent="0.4">
      <c r="B634" s="1">
        <v>43183</v>
      </c>
      <c r="C634" s="16">
        <f>SUMIF(매도완료!$G:$G,Sheet2!$B634,매도완료!$P:$P)</f>
        <v>0</v>
      </c>
      <c r="D634" s="16">
        <f>SUMIF(매도완료!$J:$J,Sheet2!$B634,매도완료!$P:$P)</f>
        <v>0</v>
      </c>
      <c r="E634" s="16">
        <f t="shared" si="18"/>
        <v>68244610</v>
      </c>
      <c r="G634" s="16">
        <f>IF(D634=0,0,SUMIF(매도완료!$J:$J,Sheet2!$B634,매도완료!$S:$S))</f>
        <v>0</v>
      </c>
      <c r="H634" s="16">
        <f t="shared" si="19"/>
        <v>-6583356.0920000002</v>
      </c>
    </row>
    <row r="635" spans="2:8" hidden="1" x14ac:dyDescent="0.4">
      <c r="B635" s="1">
        <v>43184</v>
      </c>
      <c r="C635" s="16">
        <f>SUMIF(매도완료!$G:$G,Sheet2!$B635,매도완료!$P:$P)</f>
        <v>0</v>
      </c>
      <c r="D635" s="16">
        <f>SUMIF(매도완료!$J:$J,Sheet2!$B635,매도완료!$P:$P)</f>
        <v>0</v>
      </c>
      <c r="E635" s="16">
        <f t="shared" si="18"/>
        <v>68244610</v>
      </c>
      <c r="G635" s="16">
        <f>IF(D635=0,0,SUMIF(매도완료!$J:$J,Sheet2!$B635,매도완료!$S:$S))</f>
        <v>0</v>
      </c>
      <c r="H635" s="16">
        <f t="shared" si="19"/>
        <v>-6583356.0920000002</v>
      </c>
    </row>
    <row r="636" spans="2:8" hidden="1" x14ac:dyDescent="0.4">
      <c r="B636" s="1">
        <v>43185</v>
      </c>
      <c r="C636" s="16">
        <f>SUMIF(매도완료!$G:$G,Sheet2!$B636,매도완료!$P:$P)</f>
        <v>0</v>
      </c>
      <c r="D636" s="16">
        <f>SUMIF(매도완료!$J:$J,Sheet2!$B636,매도완료!$P:$P)</f>
        <v>0</v>
      </c>
      <c r="E636" s="16">
        <f t="shared" si="18"/>
        <v>68244610</v>
      </c>
      <c r="G636" s="16">
        <f>IF(D636=0,0,SUMIF(매도완료!$J:$J,Sheet2!$B636,매도완료!$S:$S))</f>
        <v>0</v>
      </c>
      <c r="H636" s="16">
        <f t="shared" si="19"/>
        <v>-6583356.0920000002</v>
      </c>
    </row>
    <row r="637" spans="2:8" hidden="1" x14ac:dyDescent="0.4">
      <c r="B637" s="1">
        <v>43186</v>
      </c>
      <c r="C637" s="16">
        <f>SUMIF(매도완료!$G:$G,Sheet2!$B637,매도완료!$P:$P)</f>
        <v>0</v>
      </c>
      <c r="D637" s="16">
        <f>SUMIF(매도완료!$J:$J,Sheet2!$B637,매도완료!$P:$P)</f>
        <v>0</v>
      </c>
      <c r="E637" s="16">
        <f t="shared" si="18"/>
        <v>68244610</v>
      </c>
      <c r="G637" s="16">
        <f>IF(D637=0,0,SUMIF(매도완료!$J:$J,Sheet2!$B637,매도완료!$S:$S))</f>
        <v>0</v>
      </c>
      <c r="H637" s="16">
        <f t="shared" si="19"/>
        <v>-6583356.0920000002</v>
      </c>
    </row>
    <row r="638" spans="2:8" hidden="1" x14ac:dyDescent="0.4">
      <c r="B638" s="1">
        <v>43187</v>
      </c>
      <c r="C638" s="16">
        <f>SUMIF(매도완료!$G:$G,Sheet2!$B638,매도완료!$P:$P)</f>
        <v>0</v>
      </c>
      <c r="D638" s="16">
        <f>SUMIF(매도완료!$J:$J,Sheet2!$B638,매도완료!$P:$P)</f>
        <v>0</v>
      </c>
      <c r="E638" s="16">
        <f t="shared" si="18"/>
        <v>68244610</v>
      </c>
      <c r="G638" s="16">
        <f>IF(D638=0,0,SUMIF(매도완료!$J:$J,Sheet2!$B638,매도완료!$S:$S))</f>
        <v>0</v>
      </c>
      <c r="H638" s="16">
        <f t="shared" si="19"/>
        <v>-6583356.0920000002</v>
      </c>
    </row>
    <row r="639" spans="2:8" hidden="1" x14ac:dyDescent="0.4">
      <c r="B639" s="1">
        <v>43188</v>
      </c>
      <c r="C639" s="16">
        <f>SUMIF(매도완료!$G:$G,Sheet2!$B639,매도완료!$P:$P)</f>
        <v>0</v>
      </c>
      <c r="D639" s="16">
        <f>SUMIF(매도완료!$J:$J,Sheet2!$B639,매도완료!$P:$P)</f>
        <v>0</v>
      </c>
      <c r="E639" s="16">
        <f t="shared" si="18"/>
        <v>68244610</v>
      </c>
      <c r="G639" s="16">
        <f>IF(D639=0,0,SUMIF(매도완료!$J:$J,Sheet2!$B639,매도완료!$S:$S))</f>
        <v>0</v>
      </c>
      <c r="H639" s="16">
        <f t="shared" si="19"/>
        <v>-6583356.0920000002</v>
      </c>
    </row>
    <row r="640" spans="2:8" hidden="1" x14ac:dyDescent="0.4">
      <c r="B640" s="1">
        <v>43189</v>
      </c>
      <c r="C640" s="16">
        <f>SUMIF(매도완료!$G:$G,Sheet2!$B640,매도완료!$P:$P)</f>
        <v>0</v>
      </c>
      <c r="D640" s="16">
        <f>SUMIF(매도완료!$J:$J,Sheet2!$B640,매도완료!$P:$P)</f>
        <v>0</v>
      </c>
      <c r="E640" s="16">
        <f t="shared" si="18"/>
        <v>68244610</v>
      </c>
      <c r="G640" s="16">
        <f>IF(D640=0,0,SUMIF(매도완료!$J:$J,Sheet2!$B640,매도완료!$S:$S))</f>
        <v>0</v>
      </c>
      <c r="H640" s="16">
        <f t="shared" si="19"/>
        <v>-6583356.0920000002</v>
      </c>
    </row>
    <row r="641" spans="2:8" hidden="1" x14ac:dyDescent="0.4">
      <c r="B641" s="1">
        <v>43190</v>
      </c>
      <c r="C641" s="16">
        <f>SUMIF(매도완료!$G:$G,Sheet2!$B641,매도완료!$P:$P)</f>
        <v>0</v>
      </c>
      <c r="D641" s="16">
        <f>SUMIF(매도완료!$J:$J,Sheet2!$B641,매도완료!$P:$P)</f>
        <v>0</v>
      </c>
      <c r="E641" s="16">
        <f t="shared" si="18"/>
        <v>68244610</v>
      </c>
      <c r="G641" s="16">
        <f>IF(D641=0,0,SUMIF(매도완료!$J:$J,Sheet2!$B641,매도완료!$S:$S))</f>
        <v>0</v>
      </c>
      <c r="H641" s="16">
        <f t="shared" si="19"/>
        <v>-6583356.0920000002</v>
      </c>
    </row>
    <row r="642" spans="2:8" hidden="1" x14ac:dyDescent="0.4">
      <c r="B642" s="1">
        <v>43191</v>
      </c>
      <c r="C642" s="16">
        <f>SUMIF(매도완료!$G:$G,Sheet2!$B642,매도완료!$P:$P)</f>
        <v>0</v>
      </c>
      <c r="D642" s="16">
        <f>SUMIF(매도완료!$J:$J,Sheet2!$B642,매도완료!$P:$P)</f>
        <v>0</v>
      </c>
      <c r="E642" s="16">
        <f t="shared" si="18"/>
        <v>68244610</v>
      </c>
      <c r="G642" s="16">
        <f>IF(D642=0,0,SUMIF(매도완료!$J:$J,Sheet2!$B642,매도완료!$S:$S))</f>
        <v>0</v>
      </c>
      <c r="H642" s="16">
        <f t="shared" si="19"/>
        <v>-6583356.0920000002</v>
      </c>
    </row>
    <row r="643" spans="2:8" hidden="1" x14ac:dyDescent="0.4">
      <c r="B643" s="1">
        <v>43192</v>
      </c>
      <c r="C643" s="16">
        <f>SUMIF(매도완료!$G:$G,Sheet2!$B643,매도완료!$P:$P)</f>
        <v>0</v>
      </c>
      <c r="D643" s="16">
        <f>SUMIF(매도완료!$J:$J,Sheet2!$B643,매도완료!$P:$P)</f>
        <v>0</v>
      </c>
      <c r="E643" s="16">
        <f t="shared" si="18"/>
        <v>68244610</v>
      </c>
      <c r="G643" s="16">
        <f>IF(D643=0,0,SUMIF(매도완료!$J:$J,Sheet2!$B643,매도완료!$S:$S))</f>
        <v>0</v>
      </c>
      <c r="H643" s="16">
        <f t="shared" si="19"/>
        <v>-6583356.0920000002</v>
      </c>
    </row>
    <row r="644" spans="2:8" hidden="1" x14ac:dyDescent="0.4">
      <c r="B644" s="1">
        <v>43193</v>
      </c>
      <c r="C644" s="16">
        <f>SUMIF(매도완료!$G:$G,Sheet2!$B644,매도완료!$P:$P)</f>
        <v>0</v>
      </c>
      <c r="D644" s="16">
        <f>SUMIF(매도완료!$J:$J,Sheet2!$B644,매도완료!$P:$P)</f>
        <v>0</v>
      </c>
      <c r="E644" s="16">
        <f t="shared" ref="E644:E707" si="20">E643+C644-D644</f>
        <v>68244610</v>
      </c>
      <c r="G644" s="16">
        <f>IF(D644=0,0,SUMIF(매도완료!$J:$J,Sheet2!$B644,매도완료!$S:$S))</f>
        <v>0</v>
      </c>
      <c r="H644" s="16">
        <f t="shared" ref="H644:H707" si="21">H643+G644</f>
        <v>-6583356.0920000002</v>
      </c>
    </row>
    <row r="645" spans="2:8" hidden="1" x14ac:dyDescent="0.4">
      <c r="B645" s="1">
        <v>43194</v>
      </c>
      <c r="C645" s="16">
        <f>SUMIF(매도완료!$G:$G,Sheet2!$B645,매도완료!$P:$P)</f>
        <v>2058000</v>
      </c>
      <c r="D645" s="16">
        <f>SUMIF(매도완료!$J:$J,Sheet2!$B645,매도완료!$P:$P)</f>
        <v>0</v>
      </c>
      <c r="E645" s="16">
        <f t="shared" si="20"/>
        <v>70302610</v>
      </c>
      <c r="G645" s="16">
        <f>IF(D645=0,0,SUMIF(매도완료!$J:$J,Sheet2!$B645,매도완료!$S:$S))</f>
        <v>0</v>
      </c>
      <c r="H645" s="16">
        <f t="shared" si="21"/>
        <v>-6583356.0920000002</v>
      </c>
    </row>
    <row r="646" spans="2:8" hidden="1" x14ac:dyDescent="0.4">
      <c r="B646" s="1">
        <v>43195</v>
      </c>
      <c r="C646" s="16">
        <f>SUMIF(매도완료!$G:$G,Sheet2!$B646,매도완료!$P:$P)</f>
        <v>0</v>
      </c>
      <c r="D646" s="16">
        <f>SUMIF(매도완료!$J:$J,Sheet2!$B646,매도완료!$P:$P)</f>
        <v>0</v>
      </c>
      <c r="E646" s="16">
        <f t="shared" si="20"/>
        <v>70302610</v>
      </c>
      <c r="G646" s="16">
        <f>IF(D646=0,0,SUMIF(매도완료!$J:$J,Sheet2!$B646,매도완료!$S:$S))</f>
        <v>0</v>
      </c>
      <c r="H646" s="16">
        <f t="shared" si="21"/>
        <v>-6583356.0920000002</v>
      </c>
    </row>
    <row r="647" spans="2:8" hidden="1" x14ac:dyDescent="0.4">
      <c r="B647" s="1">
        <v>43196</v>
      </c>
      <c r="C647" s="16">
        <f>SUMIF(매도완료!$G:$G,Sheet2!$B647,매도완료!$P:$P)</f>
        <v>0</v>
      </c>
      <c r="D647" s="16">
        <f>SUMIF(매도완료!$J:$J,Sheet2!$B647,매도완료!$P:$P)</f>
        <v>0</v>
      </c>
      <c r="E647" s="16">
        <f t="shared" si="20"/>
        <v>70302610</v>
      </c>
      <c r="G647" s="16">
        <f>IF(D647=0,0,SUMIF(매도완료!$J:$J,Sheet2!$B647,매도완료!$S:$S))</f>
        <v>0</v>
      </c>
      <c r="H647" s="16">
        <f t="shared" si="21"/>
        <v>-6583356.0920000002</v>
      </c>
    </row>
    <row r="648" spans="2:8" hidden="1" x14ac:dyDescent="0.4">
      <c r="B648" s="1">
        <v>43197</v>
      </c>
      <c r="C648" s="16">
        <f>SUMIF(매도완료!$G:$G,Sheet2!$B648,매도완료!$P:$P)</f>
        <v>0</v>
      </c>
      <c r="D648" s="16">
        <f>SUMIF(매도완료!$J:$J,Sheet2!$B648,매도완료!$P:$P)</f>
        <v>0</v>
      </c>
      <c r="E648" s="16">
        <f t="shared" si="20"/>
        <v>70302610</v>
      </c>
      <c r="G648" s="16">
        <f>IF(D648=0,0,SUMIF(매도완료!$J:$J,Sheet2!$B648,매도완료!$S:$S))</f>
        <v>0</v>
      </c>
      <c r="H648" s="16">
        <f t="shared" si="21"/>
        <v>-6583356.0920000002</v>
      </c>
    </row>
    <row r="649" spans="2:8" hidden="1" x14ac:dyDescent="0.4">
      <c r="B649" s="1">
        <v>43198</v>
      </c>
      <c r="C649" s="16">
        <f>SUMIF(매도완료!$G:$G,Sheet2!$B649,매도완료!$P:$P)</f>
        <v>0</v>
      </c>
      <c r="D649" s="16">
        <f>SUMIF(매도완료!$J:$J,Sheet2!$B649,매도완료!$P:$P)</f>
        <v>0</v>
      </c>
      <c r="E649" s="16">
        <f t="shared" si="20"/>
        <v>70302610</v>
      </c>
      <c r="G649" s="16">
        <f>IF(D649=0,0,SUMIF(매도완료!$J:$J,Sheet2!$B649,매도완료!$S:$S))</f>
        <v>0</v>
      </c>
      <c r="H649" s="16">
        <f t="shared" si="21"/>
        <v>-6583356.0920000002</v>
      </c>
    </row>
    <row r="650" spans="2:8" hidden="1" x14ac:dyDescent="0.4">
      <c r="B650" s="1">
        <v>43199</v>
      </c>
      <c r="C650" s="16">
        <f>SUMIF(매도완료!$G:$G,Sheet2!$B650,매도완료!$P:$P)</f>
        <v>4674000</v>
      </c>
      <c r="D650" s="16">
        <f>SUMIF(매도완료!$J:$J,Sheet2!$B650,매도완료!$P:$P)</f>
        <v>8858000</v>
      </c>
      <c r="E650" s="16">
        <f t="shared" si="20"/>
        <v>66118610</v>
      </c>
      <c r="G650" s="16">
        <f>IF(D650=0,0,SUMIF(매도완료!$J:$J,Sheet2!$B650,매도완료!$S:$S))</f>
        <v>339094</v>
      </c>
      <c r="H650" s="16">
        <f t="shared" si="21"/>
        <v>-6244262.0920000002</v>
      </c>
    </row>
    <row r="651" spans="2:8" hidden="1" x14ac:dyDescent="0.4">
      <c r="B651" s="1">
        <v>43200</v>
      </c>
      <c r="C651" s="16">
        <f>SUMIF(매도완료!$G:$G,Sheet2!$B651,매도완료!$P:$P)</f>
        <v>0</v>
      </c>
      <c r="D651" s="16">
        <f>SUMIF(매도완료!$J:$J,Sheet2!$B651,매도완료!$P:$P)</f>
        <v>0</v>
      </c>
      <c r="E651" s="16">
        <f t="shared" si="20"/>
        <v>66118610</v>
      </c>
      <c r="G651" s="16">
        <f>IF(D651=0,0,SUMIF(매도완료!$J:$J,Sheet2!$B651,매도완료!$S:$S))</f>
        <v>0</v>
      </c>
      <c r="H651" s="16">
        <f t="shared" si="21"/>
        <v>-6244262.0920000002</v>
      </c>
    </row>
    <row r="652" spans="2:8" hidden="1" x14ac:dyDescent="0.4">
      <c r="B652" s="1">
        <v>43201</v>
      </c>
      <c r="C652" s="16">
        <f>SUMIF(매도완료!$G:$G,Sheet2!$B652,매도완료!$P:$P)</f>
        <v>0</v>
      </c>
      <c r="D652" s="16">
        <f>SUMIF(매도완료!$J:$J,Sheet2!$B652,매도완료!$P:$P)</f>
        <v>0</v>
      </c>
      <c r="E652" s="16">
        <f t="shared" si="20"/>
        <v>66118610</v>
      </c>
      <c r="G652" s="16">
        <f>IF(D652=0,0,SUMIF(매도완료!$J:$J,Sheet2!$B652,매도완료!$S:$S))</f>
        <v>0</v>
      </c>
      <c r="H652" s="16">
        <f t="shared" si="21"/>
        <v>-6244262.0920000002</v>
      </c>
    </row>
    <row r="653" spans="2:8" hidden="1" x14ac:dyDescent="0.4">
      <c r="B653" s="1">
        <v>43202</v>
      </c>
      <c r="C653" s="16">
        <f>SUMIF(매도완료!$G:$G,Sheet2!$B653,매도완료!$P:$P)</f>
        <v>0</v>
      </c>
      <c r="D653" s="16">
        <f>SUMIF(매도완료!$J:$J,Sheet2!$B653,매도완료!$P:$P)</f>
        <v>0</v>
      </c>
      <c r="E653" s="16">
        <f t="shared" si="20"/>
        <v>66118610</v>
      </c>
      <c r="G653" s="16">
        <f>IF(D653=0,0,SUMIF(매도완료!$J:$J,Sheet2!$B653,매도완료!$S:$S))</f>
        <v>0</v>
      </c>
      <c r="H653" s="16">
        <f t="shared" si="21"/>
        <v>-6244262.0920000002</v>
      </c>
    </row>
    <row r="654" spans="2:8" hidden="1" x14ac:dyDescent="0.4">
      <c r="B654" s="1">
        <v>43203</v>
      </c>
      <c r="C654" s="16">
        <f>SUMIF(매도완료!$G:$G,Sheet2!$B654,매도완료!$P:$P)</f>
        <v>4095000</v>
      </c>
      <c r="D654" s="16">
        <f>SUMIF(매도완료!$J:$J,Sheet2!$B654,매도완료!$P:$P)</f>
        <v>0</v>
      </c>
      <c r="E654" s="16">
        <f t="shared" si="20"/>
        <v>70213610</v>
      </c>
      <c r="G654" s="16">
        <f>IF(D654=0,0,SUMIF(매도완료!$J:$J,Sheet2!$B654,매도완료!$S:$S))</f>
        <v>0</v>
      </c>
      <c r="H654" s="16">
        <f t="shared" si="21"/>
        <v>-6244262.0920000002</v>
      </c>
    </row>
    <row r="655" spans="2:8" hidden="1" x14ac:dyDescent="0.4">
      <c r="B655" s="1">
        <v>43204</v>
      </c>
      <c r="C655" s="16">
        <f>SUMIF(매도완료!$G:$G,Sheet2!$B655,매도완료!$P:$P)</f>
        <v>0</v>
      </c>
      <c r="D655" s="16">
        <f>SUMIF(매도완료!$J:$J,Sheet2!$B655,매도완료!$P:$P)</f>
        <v>0</v>
      </c>
      <c r="E655" s="16">
        <f t="shared" si="20"/>
        <v>70213610</v>
      </c>
      <c r="G655" s="16">
        <f>IF(D655=0,0,SUMIF(매도완료!$J:$J,Sheet2!$B655,매도완료!$S:$S))</f>
        <v>0</v>
      </c>
      <c r="H655" s="16">
        <f t="shared" si="21"/>
        <v>-6244262.0920000002</v>
      </c>
    </row>
    <row r="656" spans="2:8" hidden="1" x14ac:dyDescent="0.4">
      <c r="B656" s="1">
        <v>43205</v>
      </c>
      <c r="C656" s="16">
        <f>SUMIF(매도완료!$G:$G,Sheet2!$B656,매도완료!$P:$P)</f>
        <v>0</v>
      </c>
      <c r="D656" s="16">
        <f>SUMIF(매도완료!$J:$J,Sheet2!$B656,매도완료!$P:$P)</f>
        <v>0</v>
      </c>
      <c r="E656" s="16">
        <f t="shared" si="20"/>
        <v>70213610</v>
      </c>
      <c r="G656" s="16">
        <f>IF(D656=0,0,SUMIF(매도완료!$J:$J,Sheet2!$B656,매도완료!$S:$S))</f>
        <v>0</v>
      </c>
      <c r="H656" s="16">
        <f t="shared" si="21"/>
        <v>-6244262.0920000002</v>
      </c>
    </row>
    <row r="657" spans="2:8" hidden="1" x14ac:dyDescent="0.4">
      <c r="B657" s="1">
        <v>43206</v>
      </c>
      <c r="C657" s="16">
        <f>SUMIF(매도완료!$G:$G,Sheet2!$B657,매도완료!$P:$P)</f>
        <v>0</v>
      </c>
      <c r="D657" s="16">
        <f>SUMIF(매도완료!$J:$J,Sheet2!$B657,매도완료!$P:$P)</f>
        <v>0</v>
      </c>
      <c r="E657" s="16">
        <f t="shared" si="20"/>
        <v>70213610</v>
      </c>
      <c r="G657" s="16">
        <f>IF(D657=0,0,SUMIF(매도완료!$J:$J,Sheet2!$B657,매도완료!$S:$S))</f>
        <v>0</v>
      </c>
      <c r="H657" s="16">
        <f t="shared" si="21"/>
        <v>-6244262.0920000002</v>
      </c>
    </row>
    <row r="658" spans="2:8" hidden="1" x14ac:dyDescent="0.4">
      <c r="B658" s="1">
        <v>43207</v>
      </c>
      <c r="C658" s="16">
        <f>SUMIF(매도완료!$G:$G,Sheet2!$B658,매도완료!$P:$P)</f>
        <v>0</v>
      </c>
      <c r="D658" s="16">
        <f>SUMIF(매도완료!$J:$J,Sheet2!$B658,매도완료!$P:$P)</f>
        <v>0</v>
      </c>
      <c r="E658" s="16">
        <f t="shared" si="20"/>
        <v>70213610</v>
      </c>
      <c r="G658" s="16">
        <f>IF(D658=0,0,SUMIF(매도완료!$J:$J,Sheet2!$B658,매도완료!$S:$S))</f>
        <v>0</v>
      </c>
      <c r="H658" s="16">
        <f t="shared" si="21"/>
        <v>-6244262.0920000002</v>
      </c>
    </row>
    <row r="659" spans="2:8" hidden="1" x14ac:dyDescent="0.4">
      <c r="B659" s="1">
        <v>43208</v>
      </c>
      <c r="C659" s="16">
        <f>SUMIF(매도완료!$G:$G,Sheet2!$B659,매도완료!$P:$P)</f>
        <v>0</v>
      </c>
      <c r="D659" s="16">
        <f>SUMIF(매도완료!$J:$J,Sheet2!$B659,매도완료!$P:$P)</f>
        <v>0</v>
      </c>
      <c r="E659" s="16">
        <f t="shared" si="20"/>
        <v>70213610</v>
      </c>
      <c r="G659" s="16">
        <f>IF(D659=0,0,SUMIF(매도완료!$J:$J,Sheet2!$B659,매도완료!$S:$S))</f>
        <v>0</v>
      </c>
      <c r="H659" s="16">
        <f t="shared" si="21"/>
        <v>-6244262.0920000002</v>
      </c>
    </row>
    <row r="660" spans="2:8" hidden="1" x14ac:dyDescent="0.4">
      <c r="B660" s="1">
        <v>43209</v>
      </c>
      <c r="C660" s="16">
        <f>SUMIF(매도완료!$G:$G,Sheet2!$B660,매도완료!$P:$P)</f>
        <v>0</v>
      </c>
      <c r="D660" s="16">
        <f>SUMIF(매도완료!$J:$J,Sheet2!$B660,매도완료!$P:$P)</f>
        <v>0</v>
      </c>
      <c r="E660" s="16">
        <f t="shared" si="20"/>
        <v>70213610</v>
      </c>
      <c r="G660" s="16">
        <f>IF(D660=0,0,SUMIF(매도완료!$J:$J,Sheet2!$B660,매도완료!$S:$S))</f>
        <v>0</v>
      </c>
      <c r="H660" s="16">
        <f t="shared" si="21"/>
        <v>-6244262.0920000002</v>
      </c>
    </row>
    <row r="661" spans="2:8" hidden="1" x14ac:dyDescent="0.4">
      <c r="B661" s="1">
        <v>43210</v>
      </c>
      <c r="C661" s="16">
        <f>SUMIF(매도완료!$G:$G,Sheet2!$B661,매도완료!$P:$P)</f>
        <v>0</v>
      </c>
      <c r="D661" s="16">
        <f>SUMIF(매도완료!$J:$J,Sheet2!$B661,매도완료!$P:$P)</f>
        <v>0</v>
      </c>
      <c r="E661" s="16">
        <f t="shared" si="20"/>
        <v>70213610</v>
      </c>
      <c r="G661" s="16">
        <f>IF(D661=0,0,SUMIF(매도완료!$J:$J,Sheet2!$B661,매도완료!$S:$S))</f>
        <v>0</v>
      </c>
      <c r="H661" s="16">
        <f t="shared" si="21"/>
        <v>-6244262.0920000002</v>
      </c>
    </row>
    <row r="662" spans="2:8" hidden="1" x14ac:dyDescent="0.4">
      <c r="B662" s="1">
        <v>43211</v>
      </c>
      <c r="C662" s="16">
        <f>SUMIF(매도완료!$G:$G,Sheet2!$B662,매도완료!$P:$P)</f>
        <v>3334000</v>
      </c>
      <c r="D662" s="16">
        <f>SUMIF(매도완료!$J:$J,Sheet2!$B662,매도완료!$P:$P)</f>
        <v>4674000</v>
      </c>
      <c r="E662" s="16">
        <f t="shared" si="20"/>
        <v>68873610</v>
      </c>
      <c r="G662" s="16">
        <f>IF(D662=0,0,SUMIF(매도완료!$J:$J,Sheet2!$B662,매도완료!$S:$S))</f>
        <v>157120</v>
      </c>
      <c r="H662" s="16">
        <f t="shared" si="21"/>
        <v>-6087142.0920000002</v>
      </c>
    </row>
    <row r="663" spans="2:8" hidden="1" x14ac:dyDescent="0.4">
      <c r="B663" s="1">
        <v>43212</v>
      </c>
      <c r="C663" s="16">
        <f>SUMIF(매도완료!$G:$G,Sheet2!$B663,매도완료!$P:$P)</f>
        <v>0</v>
      </c>
      <c r="D663" s="16">
        <f>SUMIF(매도완료!$J:$J,Sheet2!$B663,매도완료!$P:$P)</f>
        <v>0</v>
      </c>
      <c r="E663" s="16">
        <f t="shared" si="20"/>
        <v>68873610</v>
      </c>
      <c r="G663" s="16">
        <f>IF(D663=0,0,SUMIF(매도완료!$J:$J,Sheet2!$B663,매도완료!$S:$S))</f>
        <v>0</v>
      </c>
      <c r="H663" s="16">
        <f t="shared" si="21"/>
        <v>-6087142.0920000002</v>
      </c>
    </row>
    <row r="664" spans="2:8" hidden="1" x14ac:dyDescent="0.4">
      <c r="B664" s="1">
        <v>43213</v>
      </c>
      <c r="C664" s="16">
        <f>SUMIF(매도완료!$G:$G,Sheet2!$B664,매도완료!$P:$P)</f>
        <v>0</v>
      </c>
      <c r="D664" s="16">
        <f>SUMIF(매도완료!$J:$J,Sheet2!$B664,매도완료!$P:$P)</f>
        <v>0</v>
      </c>
      <c r="E664" s="16">
        <f t="shared" si="20"/>
        <v>68873610</v>
      </c>
      <c r="G664" s="16">
        <f>IF(D664=0,0,SUMIF(매도완료!$J:$J,Sheet2!$B664,매도완료!$S:$S))</f>
        <v>0</v>
      </c>
      <c r="H664" s="16">
        <f t="shared" si="21"/>
        <v>-6087142.0920000002</v>
      </c>
    </row>
    <row r="665" spans="2:8" hidden="1" x14ac:dyDescent="0.4">
      <c r="B665" s="1">
        <v>43214</v>
      </c>
      <c r="C665" s="16">
        <f>SUMIF(매도완료!$G:$G,Sheet2!$B665,매도완료!$P:$P)</f>
        <v>0</v>
      </c>
      <c r="D665" s="16">
        <f>SUMIF(매도완료!$J:$J,Sheet2!$B665,매도완료!$P:$P)</f>
        <v>0</v>
      </c>
      <c r="E665" s="16">
        <f t="shared" si="20"/>
        <v>68873610</v>
      </c>
      <c r="G665" s="16">
        <f>IF(D665=0,0,SUMIF(매도완료!$J:$J,Sheet2!$B665,매도완료!$S:$S))</f>
        <v>0</v>
      </c>
      <c r="H665" s="16">
        <f t="shared" si="21"/>
        <v>-6087142.0920000002</v>
      </c>
    </row>
    <row r="666" spans="2:8" hidden="1" x14ac:dyDescent="0.4">
      <c r="B666" s="1">
        <v>43215</v>
      </c>
      <c r="C666" s="16">
        <f>SUMIF(매도완료!$G:$G,Sheet2!$B666,매도완료!$P:$P)</f>
        <v>0</v>
      </c>
      <c r="D666" s="16">
        <f>SUMIF(매도완료!$J:$J,Sheet2!$B666,매도완료!$P:$P)</f>
        <v>1097500</v>
      </c>
      <c r="E666" s="16">
        <f t="shared" si="20"/>
        <v>67776110</v>
      </c>
      <c r="G666" s="16">
        <f>IF(D666=0,0,SUMIF(매도완료!$J:$J,Sheet2!$B666,매도완료!$S:$S))</f>
        <v>30755</v>
      </c>
      <c r="H666" s="16">
        <f t="shared" si="21"/>
        <v>-6056387.0920000002</v>
      </c>
    </row>
    <row r="667" spans="2:8" hidden="1" x14ac:dyDescent="0.4">
      <c r="B667" s="1">
        <v>43216</v>
      </c>
      <c r="C667" s="16">
        <f>SUMIF(매도완료!$G:$G,Sheet2!$B667,매도완료!$P:$P)</f>
        <v>0</v>
      </c>
      <c r="D667" s="16">
        <f>SUMIF(매도완료!$J:$J,Sheet2!$B667,매도완료!$P:$P)</f>
        <v>0</v>
      </c>
      <c r="E667" s="16">
        <f t="shared" si="20"/>
        <v>67776110</v>
      </c>
      <c r="G667" s="16">
        <f>IF(D667=0,0,SUMIF(매도완료!$J:$J,Sheet2!$B667,매도완료!$S:$S))</f>
        <v>0</v>
      </c>
      <c r="H667" s="16">
        <f t="shared" si="21"/>
        <v>-6056387.0920000002</v>
      </c>
    </row>
    <row r="668" spans="2:8" hidden="1" x14ac:dyDescent="0.4">
      <c r="B668" s="1">
        <v>43217</v>
      </c>
      <c r="C668" s="16">
        <f>SUMIF(매도완료!$G:$G,Sheet2!$B668,매도완료!$P:$P)</f>
        <v>0</v>
      </c>
      <c r="D668" s="16">
        <f>SUMIF(매도완료!$J:$J,Sheet2!$B668,매도완료!$P:$P)</f>
        <v>0</v>
      </c>
      <c r="E668" s="16">
        <f t="shared" si="20"/>
        <v>67776110</v>
      </c>
      <c r="G668" s="16">
        <f>IF(D668=0,0,SUMIF(매도완료!$J:$J,Sheet2!$B668,매도완료!$S:$S))</f>
        <v>0</v>
      </c>
      <c r="H668" s="16">
        <f t="shared" si="21"/>
        <v>-6056387.0920000002</v>
      </c>
    </row>
    <row r="669" spans="2:8" hidden="1" x14ac:dyDescent="0.4">
      <c r="B669" s="1">
        <v>43218</v>
      </c>
      <c r="C669" s="16">
        <f>SUMIF(매도완료!$G:$G,Sheet2!$B669,매도완료!$P:$P)</f>
        <v>0</v>
      </c>
      <c r="D669" s="16">
        <f>SUMIF(매도완료!$J:$J,Sheet2!$B669,매도완료!$P:$P)</f>
        <v>0</v>
      </c>
      <c r="E669" s="16">
        <f t="shared" si="20"/>
        <v>67776110</v>
      </c>
      <c r="G669" s="16">
        <f>IF(D669=0,0,SUMIF(매도완료!$J:$J,Sheet2!$B669,매도완료!$S:$S))</f>
        <v>0</v>
      </c>
      <c r="H669" s="16">
        <f t="shared" si="21"/>
        <v>-6056387.0920000002</v>
      </c>
    </row>
    <row r="670" spans="2:8" hidden="1" x14ac:dyDescent="0.4">
      <c r="B670" s="1">
        <v>43219</v>
      </c>
      <c r="C670" s="16">
        <f>SUMIF(매도완료!$G:$G,Sheet2!$B670,매도완료!$P:$P)</f>
        <v>0</v>
      </c>
      <c r="D670" s="16">
        <f>SUMIF(매도완료!$J:$J,Sheet2!$B670,매도완료!$P:$P)</f>
        <v>0</v>
      </c>
      <c r="E670" s="16">
        <f t="shared" si="20"/>
        <v>67776110</v>
      </c>
      <c r="G670" s="16">
        <f>IF(D670=0,0,SUMIF(매도완료!$J:$J,Sheet2!$B670,매도완료!$S:$S))</f>
        <v>0</v>
      </c>
      <c r="H670" s="16">
        <f t="shared" si="21"/>
        <v>-6056387.0920000002</v>
      </c>
    </row>
    <row r="671" spans="2:8" hidden="1" x14ac:dyDescent="0.4">
      <c r="B671" s="1">
        <v>43220</v>
      </c>
      <c r="C671" s="16">
        <f>SUMIF(매도완료!$G:$G,Sheet2!$B671,매도완료!$P:$P)</f>
        <v>0</v>
      </c>
      <c r="D671" s="16">
        <f>SUMIF(매도완료!$J:$J,Sheet2!$B671,매도완료!$P:$P)</f>
        <v>14257500</v>
      </c>
      <c r="E671" s="16">
        <f t="shared" si="20"/>
        <v>53518610</v>
      </c>
      <c r="G671" s="16">
        <f>IF(D671=0,0,SUMIF(매도완료!$J:$J,Sheet2!$B671,매도완료!$S:$S))</f>
        <v>7592210.3000000007</v>
      </c>
      <c r="H671" s="16">
        <f t="shared" si="21"/>
        <v>1535823.2080000006</v>
      </c>
    </row>
    <row r="672" spans="2:8" hidden="1" x14ac:dyDescent="0.4">
      <c r="B672" s="1">
        <v>43221</v>
      </c>
      <c r="C672" s="16">
        <f>SUMIF(매도완료!$G:$G,Sheet2!$B672,매도완료!$P:$P)</f>
        <v>0</v>
      </c>
      <c r="D672" s="16">
        <f>SUMIF(매도완료!$J:$J,Sheet2!$B672,매도완료!$P:$P)</f>
        <v>0</v>
      </c>
      <c r="E672" s="16">
        <f t="shared" si="20"/>
        <v>53518610</v>
      </c>
      <c r="G672" s="16">
        <f>IF(D672=0,0,SUMIF(매도완료!$J:$J,Sheet2!$B672,매도완료!$S:$S))</f>
        <v>0</v>
      </c>
      <c r="H672" s="16">
        <f t="shared" si="21"/>
        <v>1535823.2080000006</v>
      </c>
    </row>
    <row r="673" spans="2:8" hidden="1" x14ac:dyDescent="0.4">
      <c r="B673" s="1">
        <v>43222</v>
      </c>
      <c r="C673" s="16">
        <f>SUMIF(매도완료!$G:$G,Sheet2!$B673,매도완료!$P:$P)</f>
        <v>867000</v>
      </c>
      <c r="D673" s="16">
        <f>SUMIF(매도완료!$J:$J,Sheet2!$B673,매도완료!$P:$P)</f>
        <v>1110000</v>
      </c>
      <c r="E673" s="16">
        <f t="shared" si="20"/>
        <v>53275610</v>
      </c>
      <c r="G673" s="16">
        <f>IF(D673=0,0,SUMIF(매도완료!$J:$J,Sheet2!$B673,매도완료!$S:$S))</f>
        <v>202400</v>
      </c>
      <c r="H673" s="16">
        <f t="shared" si="21"/>
        <v>1738223.2080000006</v>
      </c>
    </row>
    <row r="674" spans="2:8" hidden="1" x14ac:dyDescent="0.4">
      <c r="B674" s="1">
        <v>43223</v>
      </c>
      <c r="C674" s="16">
        <f>SUMIF(매도완료!$G:$G,Sheet2!$B674,매도완료!$P:$P)</f>
        <v>0</v>
      </c>
      <c r="D674" s="16">
        <f>SUMIF(매도완료!$J:$J,Sheet2!$B674,매도완료!$P:$P)</f>
        <v>0</v>
      </c>
      <c r="E674" s="16">
        <f t="shared" si="20"/>
        <v>53275610</v>
      </c>
      <c r="G674" s="16">
        <f>IF(D674=0,0,SUMIF(매도완료!$J:$J,Sheet2!$B674,매도완료!$S:$S))</f>
        <v>0</v>
      </c>
      <c r="H674" s="16">
        <f t="shared" si="21"/>
        <v>1738223.2080000006</v>
      </c>
    </row>
    <row r="675" spans="2:8" hidden="1" x14ac:dyDescent="0.4">
      <c r="B675" s="1">
        <v>43224</v>
      </c>
      <c r="C675" s="16">
        <f>SUMIF(매도완료!$G:$G,Sheet2!$B675,매도완료!$P:$P)</f>
        <v>0</v>
      </c>
      <c r="D675" s="16">
        <f>SUMIF(매도완료!$J:$J,Sheet2!$B675,매도완료!$P:$P)</f>
        <v>0</v>
      </c>
      <c r="E675" s="16">
        <f t="shared" si="20"/>
        <v>53275610</v>
      </c>
      <c r="G675" s="16">
        <f>IF(D675=0,0,SUMIF(매도완료!$J:$J,Sheet2!$B675,매도완료!$S:$S))</f>
        <v>0</v>
      </c>
      <c r="H675" s="16">
        <f t="shared" si="21"/>
        <v>1738223.2080000006</v>
      </c>
    </row>
    <row r="676" spans="2:8" hidden="1" x14ac:dyDescent="0.4">
      <c r="B676" s="1">
        <v>43225</v>
      </c>
      <c r="C676" s="16">
        <f>SUMIF(매도완료!$G:$G,Sheet2!$B676,매도완료!$P:$P)</f>
        <v>0</v>
      </c>
      <c r="D676" s="16">
        <f>SUMIF(매도완료!$J:$J,Sheet2!$B676,매도완료!$P:$P)</f>
        <v>0</v>
      </c>
      <c r="E676" s="16">
        <f t="shared" si="20"/>
        <v>53275610</v>
      </c>
      <c r="G676" s="16">
        <f>IF(D676=0,0,SUMIF(매도완료!$J:$J,Sheet2!$B676,매도완료!$S:$S))</f>
        <v>0</v>
      </c>
      <c r="H676" s="16">
        <f t="shared" si="21"/>
        <v>1738223.2080000006</v>
      </c>
    </row>
    <row r="677" spans="2:8" hidden="1" x14ac:dyDescent="0.4">
      <c r="B677" s="1">
        <v>43226</v>
      </c>
      <c r="C677" s="16">
        <f>SUMIF(매도완료!$G:$G,Sheet2!$B677,매도완료!$P:$P)</f>
        <v>0</v>
      </c>
      <c r="D677" s="16">
        <f>SUMIF(매도완료!$J:$J,Sheet2!$B677,매도완료!$P:$P)</f>
        <v>0</v>
      </c>
      <c r="E677" s="16">
        <f t="shared" si="20"/>
        <v>53275610</v>
      </c>
      <c r="G677" s="16">
        <f>IF(D677=0,0,SUMIF(매도완료!$J:$J,Sheet2!$B677,매도완료!$S:$S))</f>
        <v>0</v>
      </c>
      <c r="H677" s="16">
        <f t="shared" si="21"/>
        <v>1738223.2080000006</v>
      </c>
    </row>
    <row r="678" spans="2:8" hidden="1" x14ac:dyDescent="0.4">
      <c r="B678" s="1">
        <v>43227</v>
      </c>
      <c r="C678" s="16">
        <f>SUMIF(매도완료!$G:$G,Sheet2!$B678,매도완료!$P:$P)</f>
        <v>0</v>
      </c>
      <c r="D678" s="16">
        <f>SUMIF(매도완료!$J:$J,Sheet2!$B678,매도완료!$P:$P)</f>
        <v>0</v>
      </c>
      <c r="E678" s="16">
        <f t="shared" si="20"/>
        <v>53275610</v>
      </c>
      <c r="G678" s="16">
        <f>IF(D678=0,0,SUMIF(매도완료!$J:$J,Sheet2!$B678,매도완료!$S:$S))</f>
        <v>0</v>
      </c>
      <c r="H678" s="16">
        <f t="shared" si="21"/>
        <v>1738223.2080000006</v>
      </c>
    </row>
    <row r="679" spans="2:8" hidden="1" x14ac:dyDescent="0.4">
      <c r="B679" s="1">
        <v>43228</v>
      </c>
      <c r="C679" s="16">
        <f>SUMIF(매도완료!$G:$G,Sheet2!$B679,매도완료!$P:$P)</f>
        <v>15619000</v>
      </c>
      <c r="D679" s="16">
        <f>SUMIF(매도완료!$J:$J,Sheet2!$B679,매도완료!$P:$P)</f>
        <v>0</v>
      </c>
      <c r="E679" s="16">
        <f t="shared" si="20"/>
        <v>68894610</v>
      </c>
      <c r="G679" s="16">
        <f>IF(D679=0,0,SUMIF(매도완료!$J:$J,Sheet2!$B679,매도완료!$S:$S))</f>
        <v>0</v>
      </c>
      <c r="H679" s="16">
        <f t="shared" si="21"/>
        <v>1738223.2080000006</v>
      </c>
    </row>
    <row r="680" spans="2:8" hidden="1" x14ac:dyDescent="0.4">
      <c r="B680" s="1">
        <v>43229</v>
      </c>
      <c r="C680" s="16">
        <f>SUMIF(매도완료!$G:$G,Sheet2!$B680,매도완료!$P:$P)</f>
        <v>0</v>
      </c>
      <c r="D680" s="16">
        <f>SUMIF(매도완료!$J:$J,Sheet2!$B680,매도완료!$P:$P)</f>
        <v>0</v>
      </c>
      <c r="E680" s="16">
        <f t="shared" si="20"/>
        <v>68894610</v>
      </c>
      <c r="G680" s="16">
        <f>IF(D680=0,0,SUMIF(매도완료!$J:$J,Sheet2!$B680,매도완료!$S:$S))</f>
        <v>0</v>
      </c>
      <c r="H680" s="16">
        <f t="shared" si="21"/>
        <v>1738223.2080000006</v>
      </c>
    </row>
    <row r="681" spans="2:8" hidden="1" x14ac:dyDescent="0.4">
      <c r="B681" s="1">
        <v>43230</v>
      </c>
      <c r="C681" s="16">
        <f>SUMIF(매도완료!$G:$G,Sheet2!$B681,매도완료!$P:$P)</f>
        <v>674000</v>
      </c>
      <c r="D681" s="16">
        <f>SUMIF(매도완료!$J:$J,Sheet2!$B681,매도완료!$P:$P)</f>
        <v>0</v>
      </c>
      <c r="E681" s="16">
        <f t="shared" si="20"/>
        <v>69568610</v>
      </c>
      <c r="G681" s="16">
        <f>IF(D681=0,0,SUMIF(매도완료!$J:$J,Sheet2!$B681,매도완료!$S:$S))</f>
        <v>0</v>
      </c>
      <c r="H681" s="16">
        <f t="shared" si="21"/>
        <v>1738223.2080000006</v>
      </c>
    </row>
    <row r="682" spans="2:8" hidden="1" x14ac:dyDescent="0.4">
      <c r="B682" s="1">
        <v>43231</v>
      </c>
      <c r="C682" s="16">
        <f>SUMIF(매도완료!$G:$G,Sheet2!$B682,매도완료!$P:$P)</f>
        <v>2480000</v>
      </c>
      <c r="D682" s="16">
        <f>SUMIF(매도완료!$J:$J,Sheet2!$B682,매도완료!$P:$P)</f>
        <v>0</v>
      </c>
      <c r="E682" s="16">
        <f t="shared" si="20"/>
        <v>72048610</v>
      </c>
      <c r="G682" s="16">
        <f>IF(D682=0,0,SUMIF(매도완료!$J:$J,Sheet2!$B682,매도완료!$S:$S))</f>
        <v>0</v>
      </c>
      <c r="H682" s="16">
        <f t="shared" si="21"/>
        <v>1738223.2080000006</v>
      </c>
    </row>
    <row r="683" spans="2:8" hidden="1" x14ac:dyDescent="0.4">
      <c r="B683" s="1">
        <v>43232</v>
      </c>
      <c r="C683" s="16">
        <f>SUMIF(매도완료!$G:$G,Sheet2!$B683,매도완료!$P:$P)</f>
        <v>0</v>
      </c>
      <c r="D683" s="16">
        <f>SUMIF(매도완료!$J:$J,Sheet2!$B683,매도완료!$P:$P)</f>
        <v>0</v>
      </c>
      <c r="E683" s="16">
        <f t="shared" si="20"/>
        <v>72048610</v>
      </c>
      <c r="G683" s="16">
        <f>IF(D683=0,0,SUMIF(매도완료!$J:$J,Sheet2!$B683,매도완료!$S:$S))</f>
        <v>0</v>
      </c>
      <c r="H683" s="16">
        <f t="shared" si="21"/>
        <v>1738223.2080000006</v>
      </c>
    </row>
    <row r="684" spans="2:8" hidden="1" x14ac:dyDescent="0.4">
      <c r="B684" s="1">
        <v>43233</v>
      </c>
      <c r="C684" s="16">
        <f>SUMIF(매도완료!$G:$G,Sheet2!$B684,매도완료!$P:$P)</f>
        <v>0</v>
      </c>
      <c r="D684" s="16">
        <f>SUMIF(매도완료!$J:$J,Sheet2!$B684,매도완료!$P:$P)</f>
        <v>0</v>
      </c>
      <c r="E684" s="16">
        <f t="shared" si="20"/>
        <v>72048610</v>
      </c>
      <c r="G684" s="16">
        <f>IF(D684=0,0,SUMIF(매도완료!$J:$J,Sheet2!$B684,매도완료!$S:$S))</f>
        <v>0</v>
      </c>
      <c r="H684" s="16">
        <f t="shared" si="21"/>
        <v>1738223.2080000006</v>
      </c>
    </row>
    <row r="685" spans="2:8" hidden="1" x14ac:dyDescent="0.4">
      <c r="B685" s="1">
        <v>43234</v>
      </c>
      <c r="C685" s="16">
        <f>SUMIF(매도완료!$G:$G,Sheet2!$B685,매도완료!$P:$P)</f>
        <v>650000</v>
      </c>
      <c r="D685" s="16">
        <f>SUMIF(매도완료!$J:$J,Sheet2!$B685,매도완료!$P:$P)</f>
        <v>15619000</v>
      </c>
      <c r="E685" s="16">
        <f t="shared" si="20"/>
        <v>57079610</v>
      </c>
      <c r="G685" s="16">
        <f>IF(D685=0,0,SUMIF(매도완료!$J:$J,Sheet2!$B685,매도완료!$S:$S))</f>
        <v>1106875</v>
      </c>
      <c r="H685" s="16">
        <f t="shared" si="21"/>
        <v>2845098.2080000006</v>
      </c>
    </row>
    <row r="686" spans="2:8" hidden="1" x14ac:dyDescent="0.4">
      <c r="B686" s="1">
        <v>43235</v>
      </c>
      <c r="C686" s="16">
        <f>SUMIF(매도완료!$G:$G,Sheet2!$B686,매도완료!$P:$P)</f>
        <v>7466000</v>
      </c>
      <c r="D686" s="16">
        <f>SUMIF(매도완료!$J:$J,Sheet2!$B686,매도완료!$P:$P)</f>
        <v>0</v>
      </c>
      <c r="E686" s="16">
        <f t="shared" si="20"/>
        <v>64545610</v>
      </c>
      <c r="G686" s="16">
        <f>IF(D686=0,0,SUMIF(매도완료!$J:$J,Sheet2!$B686,매도완료!$S:$S))</f>
        <v>0</v>
      </c>
      <c r="H686" s="16">
        <f t="shared" si="21"/>
        <v>2845098.2080000006</v>
      </c>
    </row>
    <row r="687" spans="2:8" hidden="1" x14ac:dyDescent="0.4">
      <c r="B687" s="1">
        <v>43236</v>
      </c>
      <c r="C687" s="16">
        <f>SUMIF(매도완료!$G:$G,Sheet2!$B687,매도완료!$P:$P)</f>
        <v>5427500</v>
      </c>
      <c r="D687" s="16">
        <f>SUMIF(매도완료!$J:$J,Sheet2!$B687,매도완료!$P:$P)</f>
        <v>0</v>
      </c>
      <c r="E687" s="16">
        <f t="shared" si="20"/>
        <v>69973110</v>
      </c>
      <c r="G687" s="16">
        <f>IF(D687=0,0,SUMIF(매도완료!$J:$J,Sheet2!$B687,매도완료!$S:$S))</f>
        <v>0</v>
      </c>
      <c r="H687" s="16">
        <f t="shared" si="21"/>
        <v>2845098.2080000006</v>
      </c>
    </row>
    <row r="688" spans="2:8" hidden="1" x14ac:dyDescent="0.4">
      <c r="B688" s="1">
        <v>43237</v>
      </c>
      <c r="C688" s="16">
        <f>SUMIF(매도완료!$G:$G,Sheet2!$B688,매도완료!$P:$P)</f>
        <v>1350000</v>
      </c>
      <c r="D688" s="16">
        <f>SUMIF(매도완료!$J:$J,Sheet2!$B688,매도완료!$P:$P)</f>
        <v>0</v>
      </c>
      <c r="E688" s="16">
        <f t="shared" si="20"/>
        <v>71323110</v>
      </c>
      <c r="G688" s="16">
        <f>IF(D688=0,0,SUMIF(매도완료!$J:$J,Sheet2!$B688,매도완료!$S:$S))</f>
        <v>0</v>
      </c>
      <c r="H688" s="16">
        <f t="shared" si="21"/>
        <v>2845098.2080000006</v>
      </c>
    </row>
    <row r="689" spans="2:8" hidden="1" x14ac:dyDescent="0.4">
      <c r="B689" s="1">
        <v>43238</v>
      </c>
      <c r="C689" s="16">
        <f>SUMIF(매도완료!$G:$G,Sheet2!$B689,매도완료!$P:$P)</f>
        <v>0</v>
      </c>
      <c r="D689" s="16">
        <f>SUMIF(매도완료!$J:$J,Sheet2!$B689,매도완료!$P:$P)</f>
        <v>2088000</v>
      </c>
      <c r="E689" s="16">
        <f t="shared" si="20"/>
        <v>69235110</v>
      </c>
      <c r="G689" s="16">
        <f>IF(D689=0,0,SUMIF(매도완료!$J:$J,Sheet2!$B689,매도완료!$S:$S))</f>
        <v>148750</v>
      </c>
      <c r="H689" s="16">
        <f t="shared" si="21"/>
        <v>2993848.2080000006</v>
      </c>
    </row>
    <row r="690" spans="2:8" hidden="1" x14ac:dyDescent="0.4">
      <c r="B690" s="1">
        <v>43239</v>
      </c>
      <c r="C690" s="16">
        <f>SUMIF(매도완료!$G:$G,Sheet2!$B690,매도완료!$P:$P)</f>
        <v>0</v>
      </c>
      <c r="D690" s="16">
        <f>SUMIF(매도완료!$J:$J,Sheet2!$B690,매도완료!$P:$P)</f>
        <v>0</v>
      </c>
      <c r="E690" s="16">
        <f t="shared" si="20"/>
        <v>69235110</v>
      </c>
      <c r="G690" s="16">
        <f>IF(D690=0,0,SUMIF(매도완료!$J:$J,Sheet2!$B690,매도완료!$S:$S))</f>
        <v>0</v>
      </c>
      <c r="H690" s="16">
        <f t="shared" si="21"/>
        <v>2993848.2080000006</v>
      </c>
    </row>
    <row r="691" spans="2:8" hidden="1" x14ac:dyDescent="0.4">
      <c r="B691" s="1">
        <v>43240</v>
      </c>
      <c r="C691" s="16">
        <f>SUMIF(매도완료!$G:$G,Sheet2!$B691,매도완료!$P:$P)</f>
        <v>0</v>
      </c>
      <c r="D691" s="16">
        <f>SUMIF(매도완료!$J:$J,Sheet2!$B691,매도완료!$P:$P)</f>
        <v>0</v>
      </c>
      <c r="E691" s="16">
        <f t="shared" si="20"/>
        <v>69235110</v>
      </c>
      <c r="G691" s="16">
        <f>IF(D691=0,0,SUMIF(매도완료!$J:$J,Sheet2!$B691,매도완료!$S:$S))</f>
        <v>0</v>
      </c>
      <c r="H691" s="16">
        <f t="shared" si="21"/>
        <v>2993848.2080000006</v>
      </c>
    </row>
    <row r="692" spans="2:8" hidden="1" x14ac:dyDescent="0.4">
      <c r="B692" s="1">
        <v>43241</v>
      </c>
      <c r="C692" s="16">
        <f>SUMIF(매도완료!$G:$G,Sheet2!$B692,매도완료!$P:$P)</f>
        <v>0</v>
      </c>
      <c r="D692" s="16">
        <f>SUMIF(매도완료!$J:$J,Sheet2!$B692,매도완료!$P:$P)</f>
        <v>1500000</v>
      </c>
      <c r="E692" s="16">
        <f t="shared" si="20"/>
        <v>67735110</v>
      </c>
      <c r="G692" s="16">
        <f>IF(D692=0,0,SUMIF(매도완료!$J:$J,Sheet2!$B692,매도완료!$S:$S))</f>
        <v>289650</v>
      </c>
      <c r="H692" s="16">
        <f t="shared" si="21"/>
        <v>3283498.2080000006</v>
      </c>
    </row>
    <row r="693" spans="2:8" hidden="1" x14ac:dyDescent="0.4">
      <c r="B693" s="1">
        <v>43242</v>
      </c>
      <c r="C693" s="16">
        <f>SUMIF(매도완료!$G:$G,Sheet2!$B693,매도완료!$P:$P)</f>
        <v>0</v>
      </c>
      <c r="D693" s="16">
        <f>SUMIF(매도완료!$J:$J,Sheet2!$B693,매도완료!$P:$P)</f>
        <v>0</v>
      </c>
      <c r="E693" s="16">
        <f t="shared" si="20"/>
        <v>67735110</v>
      </c>
      <c r="G693" s="16">
        <f>IF(D693=0,0,SUMIF(매도완료!$J:$J,Sheet2!$B693,매도완료!$S:$S))</f>
        <v>0</v>
      </c>
      <c r="H693" s="16">
        <f t="shared" si="21"/>
        <v>3283498.2080000006</v>
      </c>
    </row>
    <row r="694" spans="2:8" hidden="1" x14ac:dyDescent="0.4">
      <c r="B694" s="1">
        <v>43243</v>
      </c>
      <c r="C694" s="16">
        <f>SUMIF(매도완료!$G:$G,Sheet2!$B694,매도완료!$P:$P)</f>
        <v>1340000</v>
      </c>
      <c r="D694" s="16">
        <f>SUMIF(매도완료!$J:$J,Sheet2!$B694,매도완료!$P:$P)</f>
        <v>0</v>
      </c>
      <c r="E694" s="16">
        <f t="shared" si="20"/>
        <v>69075110</v>
      </c>
      <c r="G694" s="16">
        <f>IF(D694=0,0,SUMIF(매도완료!$J:$J,Sheet2!$B694,매도완료!$S:$S))</f>
        <v>0</v>
      </c>
      <c r="H694" s="16">
        <f t="shared" si="21"/>
        <v>3283498.2080000006</v>
      </c>
    </row>
    <row r="695" spans="2:8" hidden="1" x14ac:dyDescent="0.4">
      <c r="B695" s="1">
        <v>43244</v>
      </c>
      <c r="C695" s="16">
        <f>SUMIF(매도완료!$G:$G,Sheet2!$B695,매도완료!$P:$P)</f>
        <v>0</v>
      </c>
      <c r="D695" s="16">
        <f>SUMIF(매도완료!$J:$J,Sheet2!$B695,매도완료!$P:$P)</f>
        <v>1324000</v>
      </c>
      <c r="E695" s="16">
        <f t="shared" si="20"/>
        <v>67751110</v>
      </c>
      <c r="G695" s="16">
        <f>IF(D695=0,0,SUMIF(매도완료!$J:$J,Sheet2!$B695,매도완료!$S:$S))</f>
        <v>406200</v>
      </c>
      <c r="H695" s="16">
        <f t="shared" si="21"/>
        <v>3689698.2080000006</v>
      </c>
    </row>
    <row r="696" spans="2:8" hidden="1" x14ac:dyDescent="0.4">
      <c r="B696" s="1">
        <v>43245</v>
      </c>
      <c r="C696" s="16">
        <f>SUMIF(매도완료!$G:$G,Sheet2!$B696,매도완료!$P:$P)</f>
        <v>0</v>
      </c>
      <c r="D696" s="16">
        <f>SUMIF(매도완료!$J:$J,Sheet2!$B696,매도완료!$P:$P)</f>
        <v>0</v>
      </c>
      <c r="E696" s="16">
        <f t="shared" si="20"/>
        <v>67751110</v>
      </c>
      <c r="G696" s="16">
        <f>IF(D696=0,0,SUMIF(매도완료!$J:$J,Sheet2!$B696,매도완료!$S:$S))</f>
        <v>0</v>
      </c>
      <c r="H696" s="16">
        <f t="shared" si="21"/>
        <v>3689698.2080000006</v>
      </c>
    </row>
    <row r="697" spans="2:8" hidden="1" x14ac:dyDescent="0.4">
      <c r="B697" s="1">
        <v>43246</v>
      </c>
      <c r="C697" s="16">
        <f>SUMIF(매도완료!$G:$G,Sheet2!$B697,매도완료!$P:$P)</f>
        <v>0</v>
      </c>
      <c r="D697" s="16">
        <f>SUMIF(매도완료!$J:$J,Sheet2!$B697,매도완료!$P:$P)</f>
        <v>0</v>
      </c>
      <c r="E697" s="16">
        <f t="shared" si="20"/>
        <v>67751110</v>
      </c>
      <c r="G697" s="16">
        <f>IF(D697=0,0,SUMIF(매도완료!$J:$J,Sheet2!$B697,매도완료!$S:$S))</f>
        <v>0</v>
      </c>
      <c r="H697" s="16">
        <f t="shared" si="21"/>
        <v>3689698.2080000006</v>
      </c>
    </row>
    <row r="698" spans="2:8" hidden="1" x14ac:dyDescent="0.4">
      <c r="B698" s="1">
        <v>43247</v>
      </c>
      <c r="C698" s="16">
        <f>SUMIF(매도완료!$G:$G,Sheet2!$B698,매도완료!$P:$P)</f>
        <v>0</v>
      </c>
      <c r="D698" s="16">
        <f>SUMIF(매도완료!$J:$J,Sheet2!$B698,매도완료!$P:$P)</f>
        <v>0</v>
      </c>
      <c r="E698" s="16">
        <f t="shared" si="20"/>
        <v>67751110</v>
      </c>
      <c r="G698" s="16">
        <f>IF(D698=0,0,SUMIF(매도완료!$J:$J,Sheet2!$B698,매도완료!$S:$S))</f>
        <v>0</v>
      </c>
      <c r="H698" s="16">
        <f t="shared" si="21"/>
        <v>3689698.2080000006</v>
      </c>
    </row>
    <row r="699" spans="2:8" hidden="1" x14ac:dyDescent="0.4">
      <c r="B699" s="1">
        <v>43248</v>
      </c>
      <c r="C699" s="16">
        <f>SUMIF(매도완료!$G:$G,Sheet2!$B699,매도완료!$P:$P)</f>
        <v>0</v>
      </c>
      <c r="D699" s="16">
        <f>SUMIF(매도완료!$J:$J,Sheet2!$B699,매도완료!$P:$P)</f>
        <v>0</v>
      </c>
      <c r="E699" s="16">
        <f t="shared" si="20"/>
        <v>67751110</v>
      </c>
      <c r="G699" s="16">
        <f>IF(D699=0,0,SUMIF(매도완료!$J:$J,Sheet2!$B699,매도완료!$S:$S))</f>
        <v>0</v>
      </c>
      <c r="H699" s="16">
        <f t="shared" si="21"/>
        <v>3689698.2080000006</v>
      </c>
    </row>
    <row r="700" spans="2:8" hidden="1" x14ac:dyDescent="0.4">
      <c r="B700" s="1">
        <v>43249</v>
      </c>
      <c r="C700" s="16">
        <f>SUMIF(매도완료!$G:$G,Sheet2!$B700,매도완료!$P:$P)</f>
        <v>0</v>
      </c>
      <c r="D700" s="16">
        <f>SUMIF(매도완료!$J:$J,Sheet2!$B700,매도완료!$P:$P)</f>
        <v>0</v>
      </c>
      <c r="E700" s="16">
        <f t="shared" si="20"/>
        <v>67751110</v>
      </c>
      <c r="G700" s="16">
        <f>IF(D700=0,0,SUMIF(매도완료!$J:$J,Sheet2!$B700,매도완료!$S:$S))</f>
        <v>0</v>
      </c>
      <c r="H700" s="16">
        <f t="shared" si="21"/>
        <v>3689698.2080000006</v>
      </c>
    </row>
    <row r="701" spans="2:8" hidden="1" x14ac:dyDescent="0.4">
      <c r="B701" s="1">
        <v>43250</v>
      </c>
      <c r="C701" s="16">
        <f>SUMIF(매도완료!$G:$G,Sheet2!$B701,매도완료!$P:$P)</f>
        <v>1462750</v>
      </c>
      <c r="D701" s="16">
        <f>SUMIF(매도완료!$J:$J,Sheet2!$B701,매도완료!$P:$P)</f>
        <v>0</v>
      </c>
      <c r="E701" s="16">
        <f t="shared" si="20"/>
        <v>69213860</v>
      </c>
      <c r="G701" s="16">
        <f>IF(D701=0,0,SUMIF(매도완료!$J:$J,Sheet2!$B701,매도완료!$S:$S))</f>
        <v>0</v>
      </c>
      <c r="H701" s="16">
        <f t="shared" si="21"/>
        <v>3689698.2080000006</v>
      </c>
    </row>
    <row r="702" spans="2:8" hidden="1" x14ac:dyDescent="0.4">
      <c r="B702" s="1">
        <v>43251</v>
      </c>
      <c r="C702" s="16">
        <f>SUMIF(매도완료!$G:$G,Sheet2!$B702,매도완료!$P:$P)</f>
        <v>0</v>
      </c>
      <c r="D702" s="16">
        <f>SUMIF(매도완료!$J:$J,Sheet2!$B702,매도완료!$P:$P)</f>
        <v>0</v>
      </c>
      <c r="E702" s="16">
        <f t="shared" si="20"/>
        <v>69213860</v>
      </c>
      <c r="G702" s="16">
        <f>IF(D702=0,0,SUMIF(매도완료!$J:$J,Sheet2!$B702,매도완료!$S:$S))</f>
        <v>0</v>
      </c>
      <c r="H702" s="16">
        <f t="shared" si="21"/>
        <v>3689698.2080000006</v>
      </c>
    </row>
    <row r="703" spans="2:8" hidden="1" x14ac:dyDescent="0.4">
      <c r="B703" s="1">
        <v>43252</v>
      </c>
      <c r="C703" s="16">
        <f>SUMIF(매도완료!$G:$G,Sheet2!$B703,매도완료!$P:$P)</f>
        <v>0</v>
      </c>
      <c r="D703" s="16">
        <f>SUMIF(매도완료!$J:$J,Sheet2!$B703,매도완료!$P:$P)</f>
        <v>0</v>
      </c>
      <c r="E703" s="16">
        <f t="shared" si="20"/>
        <v>69213860</v>
      </c>
      <c r="G703" s="16">
        <f>IF(D703=0,0,SUMIF(매도완료!$J:$J,Sheet2!$B703,매도완료!$S:$S))</f>
        <v>0</v>
      </c>
      <c r="H703" s="16">
        <f t="shared" si="21"/>
        <v>3689698.2080000006</v>
      </c>
    </row>
    <row r="704" spans="2:8" hidden="1" x14ac:dyDescent="0.4">
      <c r="B704" s="1">
        <v>43253</v>
      </c>
      <c r="C704" s="16">
        <f>SUMIF(매도완료!$G:$G,Sheet2!$B704,매도완료!$P:$P)</f>
        <v>0</v>
      </c>
      <c r="D704" s="16">
        <f>SUMIF(매도완료!$J:$J,Sheet2!$B704,매도완료!$P:$P)</f>
        <v>0</v>
      </c>
      <c r="E704" s="16">
        <f t="shared" si="20"/>
        <v>69213860</v>
      </c>
      <c r="G704" s="16">
        <f>IF(D704=0,0,SUMIF(매도완료!$J:$J,Sheet2!$B704,매도완료!$S:$S))</f>
        <v>0</v>
      </c>
      <c r="H704" s="16">
        <f t="shared" si="21"/>
        <v>3689698.2080000006</v>
      </c>
    </row>
    <row r="705" spans="2:8" hidden="1" x14ac:dyDescent="0.4">
      <c r="B705" s="1">
        <v>43254</v>
      </c>
      <c r="C705" s="16">
        <f>SUMIF(매도완료!$G:$G,Sheet2!$B705,매도완료!$P:$P)</f>
        <v>0</v>
      </c>
      <c r="D705" s="16">
        <f>SUMIF(매도완료!$J:$J,Sheet2!$B705,매도완료!$P:$P)</f>
        <v>0</v>
      </c>
      <c r="E705" s="16">
        <f t="shared" si="20"/>
        <v>69213860</v>
      </c>
      <c r="G705" s="16">
        <f>IF(D705=0,0,SUMIF(매도완료!$J:$J,Sheet2!$B705,매도완료!$S:$S))</f>
        <v>0</v>
      </c>
      <c r="H705" s="16">
        <f t="shared" si="21"/>
        <v>3689698.2080000006</v>
      </c>
    </row>
    <row r="706" spans="2:8" hidden="1" x14ac:dyDescent="0.4">
      <c r="B706" s="1">
        <v>43255</v>
      </c>
      <c r="C706" s="16">
        <f>SUMIF(매도완료!$G:$G,Sheet2!$B706,매도완료!$P:$P)</f>
        <v>0</v>
      </c>
      <c r="D706" s="16">
        <f>SUMIF(매도완료!$J:$J,Sheet2!$B706,매도완료!$P:$P)</f>
        <v>649750</v>
      </c>
      <c r="E706" s="16">
        <f t="shared" si="20"/>
        <v>68564110</v>
      </c>
      <c r="G706" s="16">
        <f>IF(D706=0,0,SUMIF(매도완료!$J:$J,Sheet2!$B706,매도완료!$S:$S))</f>
        <v>13777.5</v>
      </c>
      <c r="H706" s="16">
        <f t="shared" si="21"/>
        <v>3703475.7080000006</v>
      </c>
    </row>
    <row r="707" spans="2:8" hidden="1" x14ac:dyDescent="0.4">
      <c r="B707" s="1">
        <v>43256</v>
      </c>
      <c r="C707" s="16">
        <f>SUMIF(매도완료!$G:$G,Sheet2!$B707,매도완료!$P:$P)</f>
        <v>0</v>
      </c>
      <c r="D707" s="16">
        <f>SUMIF(매도완료!$J:$J,Sheet2!$B707,매도완료!$P:$P)</f>
        <v>4148000</v>
      </c>
      <c r="E707" s="16">
        <f t="shared" si="20"/>
        <v>64416110</v>
      </c>
      <c r="G707" s="16">
        <f>IF(D707=0,0,SUMIF(매도완료!$J:$J,Sheet2!$B707,매도완료!$S:$S))</f>
        <v>385260</v>
      </c>
      <c r="H707" s="16">
        <f t="shared" si="21"/>
        <v>4088735.7080000006</v>
      </c>
    </row>
    <row r="708" spans="2:8" hidden="1" x14ac:dyDescent="0.4">
      <c r="B708" s="1">
        <v>43257</v>
      </c>
      <c r="C708" s="16">
        <f>SUMIF(매도완료!$G:$G,Sheet2!$B708,매도완료!$P:$P)</f>
        <v>0</v>
      </c>
      <c r="D708" s="16">
        <f>SUMIF(매도완료!$J:$J,Sheet2!$B708,매도완료!$P:$P)</f>
        <v>0</v>
      </c>
      <c r="E708" s="16">
        <f t="shared" ref="E708:E771" si="22">E707+C708-D708</f>
        <v>64416110</v>
      </c>
      <c r="G708" s="16">
        <f>IF(D708=0,0,SUMIF(매도완료!$J:$J,Sheet2!$B708,매도완료!$S:$S))</f>
        <v>0</v>
      </c>
      <c r="H708" s="16">
        <f t="shared" ref="H708:H771" si="23">H707+G708</f>
        <v>4088735.7080000006</v>
      </c>
    </row>
    <row r="709" spans="2:8" hidden="1" x14ac:dyDescent="0.4">
      <c r="B709" s="1">
        <v>43258</v>
      </c>
      <c r="C709" s="16">
        <f>SUMIF(매도완료!$G:$G,Sheet2!$B709,매도완료!$P:$P)</f>
        <v>19756000</v>
      </c>
      <c r="D709" s="16">
        <f>SUMIF(매도완료!$J:$J,Sheet2!$B709,매도완료!$P:$P)</f>
        <v>0</v>
      </c>
      <c r="E709" s="16">
        <f t="shared" si="22"/>
        <v>84172110</v>
      </c>
      <c r="G709" s="16">
        <f>IF(D709=0,0,SUMIF(매도완료!$J:$J,Sheet2!$B709,매도완료!$S:$S))</f>
        <v>0</v>
      </c>
      <c r="H709" s="16">
        <f t="shared" si="23"/>
        <v>4088735.7080000006</v>
      </c>
    </row>
    <row r="710" spans="2:8" hidden="1" x14ac:dyDescent="0.4">
      <c r="B710" s="1">
        <v>43259</v>
      </c>
      <c r="C710" s="16">
        <f>SUMIF(매도완료!$G:$G,Sheet2!$B710,매도완료!$P:$P)</f>
        <v>0</v>
      </c>
      <c r="D710" s="16">
        <f>SUMIF(매도완료!$J:$J,Sheet2!$B710,매도완료!$P:$P)</f>
        <v>0</v>
      </c>
      <c r="E710" s="16">
        <f t="shared" si="22"/>
        <v>84172110</v>
      </c>
      <c r="G710" s="16">
        <f>IF(D710=0,0,SUMIF(매도완료!$J:$J,Sheet2!$B710,매도완료!$S:$S))</f>
        <v>0</v>
      </c>
      <c r="H710" s="16">
        <f t="shared" si="23"/>
        <v>4088735.7080000006</v>
      </c>
    </row>
    <row r="711" spans="2:8" hidden="1" x14ac:dyDescent="0.4">
      <c r="B711" s="1">
        <v>43260</v>
      </c>
      <c r="C711" s="16">
        <f>SUMIF(매도완료!$G:$G,Sheet2!$B711,매도완료!$P:$P)</f>
        <v>0</v>
      </c>
      <c r="D711" s="16">
        <f>SUMIF(매도완료!$J:$J,Sheet2!$B711,매도완료!$P:$P)</f>
        <v>0</v>
      </c>
      <c r="E711" s="16">
        <f t="shared" si="22"/>
        <v>84172110</v>
      </c>
      <c r="G711" s="16">
        <f>IF(D711=0,0,SUMIF(매도완료!$J:$J,Sheet2!$B711,매도완료!$S:$S))</f>
        <v>0</v>
      </c>
      <c r="H711" s="16">
        <f t="shared" si="23"/>
        <v>4088735.7080000006</v>
      </c>
    </row>
    <row r="712" spans="2:8" hidden="1" x14ac:dyDescent="0.4">
      <c r="B712" s="1">
        <v>43261</v>
      </c>
      <c r="C712" s="16">
        <f>SUMIF(매도완료!$G:$G,Sheet2!$B712,매도완료!$P:$P)</f>
        <v>0</v>
      </c>
      <c r="D712" s="16">
        <f>SUMIF(매도완료!$J:$J,Sheet2!$B712,매도완료!$P:$P)</f>
        <v>0</v>
      </c>
      <c r="E712" s="16">
        <f t="shared" si="22"/>
        <v>84172110</v>
      </c>
      <c r="G712" s="16">
        <f>IF(D712=0,0,SUMIF(매도완료!$J:$J,Sheet2!$B712,매도완료!$S:$S))</f>
        <v>0</v>
      </c>
      <c r="H712" s="16">
        <f t="shared" si="23"/>
        <v>4088735.7080000006</v>
      </c>
    </row>
    <row r="713" spans="2:8" hidden="1" x14ac:dyDescent="0.4">
      <c r="B713" s="1">
        <v>43262</v>
      </c>
      <c r="C713" s="16">
        <f>SUMIF(매도완료!$G:$G,Sheet2!$B713,매도완료!$P:$P)</f>
        <v>0</v>
      </c>
      <c r="D713" s="16">
        <f>SUMIF(매도완료!$J:$J,Sheet2!$B713,매도완료!$P:$P)</f>
        <v>0</v>
      </c>
      <c r="E713" s="16">
        <f t="shared" si="22"/>
        <v>84172110</v>
      </c>
      <c r="G713" s="16">
        <f>IF(D713=0,0,SUMIF(매도완료!$J:$J,Sheet2!$B713,매도완료!$S:$S))</f>
        <v>0</v>
      </c>
      <c r="H713" s="16">
        <f t="shared" si="23"/>
        <v>4088735.7080000006</v>
      </c>
    </row>
    <row r="714" spans="2:8" hidden="1" x14ac:dyDescent="0.4">
      <c r="B714" s="1">
        <v>43263</v>
      </c>
      <c r="C714" s="16">
        <f>SUMIF(매도완료!$G:$G,Sheet2!$B714,매도완료!$P:$P)</f>
        <v>0</v>
      </c>
      <c r="D714" s="16">
        <f>SUMIF(매도완료!$J:$J,Sheet2!$B714,매도완료!$P:$P)</f>
        <v>0</v>
      </c>
      <c r="E714" s="16">
        <f t="shared" si="22"/>
        <v>84172110</v>
      </c>
      <c r="G714" s="16">
        <f>IF(D714=0,0,SUMIF(매도완료!$J:$J,Sheet2!$B714,매도완료!$S:$S))</f>
        <v>0</v>
      </c>
      <c r="H714" s="16">
        <f t="shared" si="23"/>
        <v>4088735.7080000006</v>
      </c>
    </row>
    <row r="715" spans="2:8" hidden="1" x14ac:dyDescent="0.4">
      <c r="B715" s="1">
        <v>43264</v>
      </c>
      <c r="C715" s="16">
        <f>SUMIF(매도완료!$G:$G,Sheet2!$B715,매도완료!$P:$P)</f>
        <v>0</v>
      </c>
      <c r="D715" s="16">
        <f>SUMIF(매도완료!$J:$J,Sheet2!$B715,매도완료!$P:$P)</f>
        <v>0</v>
      </c>
      <c r="E715" s="16">
        <f t="shared" si="22"/>
        <v>84172110</v>
      </c>
      <c r="G715" s="16">
        <f>IF(D715=0,0,SUMIF(매도완료!$J:$J,Sheet2!$B715,매도완료!$S:$S))</f>
        <v>0</v>
      </c>
      <c r="H715" s="16">
        <f t="shared" si="23"/>
        <v>4088735.7080000006</v>
      </c>
    </row>
    <row r="716" spans="2:8" hidden="1" x14ac:dyDescent="0.4">
      <c r="B716" s="1">
        <v>43265</v>
      </c>
      <c r="C716" s="16">
        <f>SUMIF(매도완료!$G:$G,Sheet2!$B716,매도완료!$P:$P)</f>
        <v>0</v>
      </c>
      <c r="D716" s="16">
        <f>SUMIF(매도완료!$J:$J,Sheet2!$B716,매도완료!$P:$P)</f>
        <v>0</v>
      </c>
      <c r="E716" s="16">
        <f t="shared" si="22"/>
        <v>84172110</v>
      </c>
      <c r="G716" s="16">
        <f>IF(D716=0,0,SUMIF(매도완료!$J:$J,Sheet2!$B716,매도완료!$S:$S))</f>
        <v>0</v>
      </c>
      <c r="H716" s="16">
        <f t="shared" si="23"/>
        <v>4088735.7080000006</v>
      </c>
    </row>
    <row r="717" spans="2:8" hidden="1" x14ac:dyDescent="0.4">
      <c r="B717" s="1">
        <v>43266</v>
      </c>
      <c r="C717" s="16">
        <f>SUMIF(매도완료!$G:$G,Sheet2!$B717,매도완료!$P:$P)</f>
        <v>0</v>
      </c>
      <c r="D717" s="16">
        <f>SUMIF(매도완료!$J:$J,Sheet2!$B717,매도완료!$P:$P)</f>
        <v>0</v>
      </c>
      <c r="E717" s="16">
        <f t="shared" si="22"/>
        <v>84172110</v>
      </c>
      <c r="G717" s="16">
        <f>IF(D717=0,0,SUMIF(매도완료!$J:$J,Sheet2!$B717,매도완료!$S:$S))</f>
        <v>0</v>
      </c>
      <c r="H717" s="16">
        <f t="shared" si="23"/>
        <v>4088735.7080000006</v>
      </c>
    </row>
    <row r="718" spans="2:8" hidden="1" x14ac:dyDescent="0.4">
      <c r="B718" s="1">
        <v>43267</v>
      </c>
      <c r="C718" s="16">
        <f>SUMIF(매도완료!$G:$G,Sheet2!$B718,매도완료!$P:$P)</f>
        <v>0</v>
      </c>
      <c r="D718" s="16">
        <f>SUMIF(매도완료!$J:$J,Sheet2!$B718,매도완료!$P:$P)</f>
        <v>0</v>
      </c>
      <c r="E718" s="16">
        <f t="shared" si="22"/>
        <v>84172110</v>
      </c>
      <c r="G718" s="16">
        <f>IF(D718=0,0,SUMIF(매도완료!$J:$J,Sheet2!$B718,매도완료!$S:$S))</f>
        <v>0</v>
      </c>
      <c r="H718" s="16">
        <f t="shared" si="23"/>
        <v>4088735.7080000006</v>
      </c>
    </row>
    <row r="719" spans="2:8" hidden="1" x14ac:dyDescent="0.4">
      <c r="B719" s="1">
        <v>43268</v>
      </c>
      <c r="C719" s="16">
        <f>SUMIF(매도완료!$G:$G,Sheet2!$B719,매도완료!$P:$P)</f>
        <v>0</v>
      </c>
      <c r="D719" s="16">
        <f>SUMIF(매도완료!$J:$J,Sheet2!$B719,매도완료!$P:$P)</f>
        <v>0</v>
      </c>
      <c r="E719" s="16">
        <f t="shared" si="22"/>
        <v>84172110</v>
      </c>
      <c r="G719" s="16">
        <f>IF(D719=0,0,SUMIF(매도완료!$J:$J,Sheet2!$B719,매도완료!$S:$S))</f>
        <v>0</v>
      </c>
      <c r="H719" s="16">
        <f t="shared" si="23"/>
        <v>4088735.7080000006</v>
      </c>
    </row>
    <row r="720" spans="2:8" hidden="1" x14ac:dyDescent="0.4">
      <c r="B720" s="1">
        <v>43269</v>
      </c>
      <c r="C720" s="16">
        <f>SUMIF(매도완료!$G:$G,Sheet2!$B720,매도완료!$P:$P)</f>
        <v>0</v>
      </c>
      <c r="D720" s="16">
        <f>SUMIF(매도완료!$J:$J,Sheet2!$B720,매도완료!$P:$P)</f>
        <v>0</v>
      </c>
      <c r="E720" s="16">
        <f t="shared" si="22"/>
        <v>84172110</v>
      </c>
      <c r="G720" s="16">
        <f>IF(D720=0,0,SUMIF(매도완료!$J:$J,Sheet2!$B720,매도완료!$S:$S))</f>
        <v>0</v>
      </c>
      <c r="H720" s="16">
        <f t="shared" si="23"/>
        <v>4088735.7080000006</v>
      </c>
    </row>
    <row r="721" spans="2:8" hidden="1" x14ac:dyDescent="0.4">
      <c r="B721" s="1">
        <v>43270</v>
      </c>
      <c r="C721" s="16">
        <f>SUMIF(매도완료!$G:$G,Sheet2!$B721,매도완료!$P:$P)</f>
        <v>0</v>
      </c>
      <c r="D721" s="16">
        <f>SUMIF(매도완료!$J:$J,Sheet2!$B721,매도완료!$P:$P)</f>
        <v>0</v>
      </c>
      <c r="E721" s="16">
        <f t="shared" si="22"/>
        <v>84172110</v>
      </c>
      <c r="G721" s="16">
        <f>IF(D721=0,0,SUMIF(매도완료!$J:$J,Sheet2!$B721,매도완료!$S:$S))</f>
        <v>0</v>
      </c>
      <c r="H721" s="16">
        <f t="shared" si="23"/>
        <v>4088735.7080000006</v>
      </c>
    </row>
    <row r="722" spans="2:8" hidden="1" x14ac:dyDescent="0.4">
      <c r="B722" s="1">
        <v>43271</v>
      </c>
      <c r="C722" s="16">
        <f>SUMIF(매도완료!$G:$G,Sheet2!$B722,매도완료!$P:$P)</f>
        <v>0</v>
      </c>
      <c r="D722" s="16">
        <f>SUMIF(매도완료!$J:$J,Sheet2!$B722,매도완료!$P:$P)</f>
        <v>0</v>
      </c>
      <c r="E722" s="16">
        <f t="shared" si="22"/>
        <v>84172110</v>
      </c>
      <c r="G722" s="16">
        <f>IF(D722=0,0,SUMIF(매도완료!$J:$J,Sheet2!$B722,매도완료!$S:$S))</f>
        <v>0</v>
      </c>
      <c r="H722" s="16">
        <f t="shared" si="23"/>
        <v>4088735.7080000006</v>
      </c>
    </row>
    <row r="723" spans="2:8" hidden="1" x14ac:dyDescent="0.4">
      <c r="B723" s="1">
        <v>43272</v>
      </c>
      <c r="C723" s="16">
        <f>SUMIF(매도완료!$G:$G,Sheet2!$B723,매도완료!$P:$P)</f>
        <v>0</v>
      </c>
      <c r="D723" s="16">
        <f>SUMIF(매도완료!$J:$J,Sheet2!$B723,매도완료!$P:$P)</f>
        <v>0</v>
      </c>
      <c r="E723" s="16">
        <f t="shared" si="22"/>
        <v>84172110</v>
      </c>
      <c r="G723" s="16">
        <f>IF(D723=0,0,SUMIF(매도완료!$J:$J,Sheet2!$B723,매도완료!$S:$S))</f>
        <v>0</v>
      </c>
      <c r="H723" s="16">
        <f t="shared" si="23"/>
        <v>4088735.7080000006</v>
      </c>
    </row>
    <row r="724" spans="2:8" hidden="1" x14ac:dyDescent="0.4">
      <c r="B724" s="1">
        <v>43273</v>
      </c>
      <c r="C724" s="16">
        <f>SUMIF(매도완료!$G:$G,Sheet2!$B724,매도완료!$P:$P)</f>
        <v>0</v>
      </c>
      <c r="D724" s="16">
        <f>SUMIF(매도완료!$J:$J,Sheet2!$B724,매도완료!$P:$P)</f>
        <v>5700000</v>
      </c>
      <c r="E724" s="16">
        <f t="shared" si="22"/>
        <v>78472110</v>
      </c>
      <c r="G724" s="16">
        <f>IF(D724=0,0,SUMIF(매도완료!$J:$J,Sheet2!$B724,매도완료!$S:$S))</f>
        <v>762200</v>
      </c>
      <c r="H724" s="16">
        <f t="shared" si="23"/>
        <v>4850935.7080000006</v>
      </c>
    </row>
    <row r="725" spans="2:8" hidden="1" x14ac:dyDescent="0.4">
      <c r="B725" s="1">
        <v>43274</v>
      </c>
      <c r="C725" s="16">
        <f>SUMIF(매도완료!$G:$G,Sheet2!$B725,매도완료!$P:$P)</f>
        <v>0</v>
      </c>
      <c r="D725" s="16">
        <f>SUMIF(매도완료!$J:$J,Sheet2!$B725,매도완료!$P:$P)</f>
        <v>0</v>
      </c>
      <c r="E725" s="16">
        <f t="shared" si="22"/>
        <v>78472110</v>
      </c>
      <c r="G725" s="16">
        <f>IF(D725=0,0,SUMIF(매도완료!$J:$J,Sheet2!$B725,매도완료!$S:$S))</f>
        <v>0</v>
      </c>
      <c r="H725" s="16">
        <f t="shared" si="23"/>
        <v>4850935.7080000006</v>
      </c>
    </row>
    <row r="726" spans="2:8" hidden="1" x14ac:dyDescent="0.4">
      <c r="B726" s="1">
        <v>43275</v>
      </c>
      <c r="C726" s="16">
        <f>SUMIF(매도완료!$G:$G,Sheet2!$B726,매도완료!$P:$P)</f>
        <v>0</v>
      </c>
      <c r="D726" s="16">
        <f>SUMIF(매도완료!$J:$J,Sheet2!$B726,매도완료!$P:$P)</f>
        <v>0</v>
      </c>
      <c r="E726" s="16">
        <f t="shared" si="22"/>
        <v>78472110</v>
      </c>
      <c r="G726" s="16">
        <f>IF(D726=0,0,SUMIF(매도완료!$J:$J,Sheet2!$B726,매도완료!$S:$S))</f>
        <v>0</v>
      </c>
      <c r="H726" s="16">
        <f t="shared" si="23"/>
        <v>4850935.7080000006</v>
      </c>
    </row>
    <row r="727" spans="2:8" hidden="1" x14ac:dyDescent="0.4">
      <c r="B727" s="1">
        <v>43276</v>
      </c>
      <c r="C727" s="16">
        <f>SUMIF(매도완료!$G:$G,Sheet2!$B727,매도완료!$P:$P)</f>
        <v>0</v>
      </c>
      <c r="D727" s="16">
        <f>SUMIF(매도완료!$J:$J,Sheet2!$B727,매도완료!$P:$P)</f>
        <v>0</v>
      </c>
      <c r="E727" s="16">
        <f t="shared" si="22"/>
        <v>78472110</v>
      </c>
      <c r="G727" s="16">
        <f>IF(D727=0,0,SUMIF(매도완료!$J:$J,Sheet2!$B727,매도완료!$S:$S))</f>
        <v>0</v>
      </c>
      <c r="H727" s="16">
        <f t="shared" si="23"/>
        <v>4850935.7080000006</v>
      </c>
    </row>
    <row r="728" spans="2:8" hidden="1" x14ac:dyDescent="0.4">
      <c r="B728" s="1">
        <v>43277</v>
      </c>
      <c r="C728" s="16">
        <f>SUMIF(매도완료!$G:$G,Sheet2!$B728,매도완료!$P:$P)</f>
        <v>1408000</v>
      </c>
      <c r="D728" s="16">
        <f>SUMIF(매도완료!$J:$J,Sheet2!$B728,매도완료!$P:$P)</f>
        <v>0</v>
      </c>
      <c r="E728" s="16">
        <f t="shared" si="22"/>
        <v>79880110</v>
      </c>
      <c r="G728" s="16">
        <f>IF(D728=0,0,SUMIF(매도완료!$J:$J,Sheet2!$B728,매도완료!$S:$S))</f>
        <v>0</v>
      </c>
      <c r="H728" s="16">
        <f t="shared" si="23"/>
        <v>4850935.7080000006</v>
      </c>
    </row>
    <row r="729" spans="2:8" hidden="1" x14ac:dyDescent="0.4">
      <c r="B729" s="1">
        <v>43278</v>
      </c>
      <c r="C729" s="16">
        <f>SUMIF(매도완료!$G:$G,Sheet2!$B729,매도완료!$P:$P)</f>
        <v>0</v>
      </c>
      <c r="D729" s="16">
        <f>SUMIF(매도완료!$J:$J,Sheet2!$B729,매도완료!$P:$P)</f>
        <v>0</v>
      </c>
      <c r="E729" s="16">
        <f t="shared" si="22"/>
        <v>79880110</v>
      </c>
      <c r="G729" s="16">
        <f>IF(D729=0,0,SUMIF(매도완료!$J:$J,Sheet2!$B729,매도완료!$S:$S))</f>
        <v>0</v>
      </c>
      <c r="H729" s="16">
        <f t="shared" si="23"/>
        <v>4850935.7080000006</v>
      </c>
    </row>
    <row r="730" spans="2:8" hidden="1" x14ac:dyDescent="0.4">
      <c r="B730" s="1">
        <v>43279</v>
      </c>
      <c r="C730" s="16">
        <f>SUMIF(매도완료!$G:$G,Sheet2!$B730,매도완료!$P:$P)</f>
        <v>945500</v>
      </c>
      <c r="D730" s="16">
        <f>SUMIF(매도완료!$J:$J,Sheet2!$B730,매도완료!$P:$P)</f>
        <v>0</v>
      </c>
      <c r="E730" s="16">
        <f t="shared" si="22"/>
        <v>80825610</v>
      </c>
      <c r="G730" s="16">
        <f>IF(D730=0,0,SUMIF(매도완료!$J:$J,Sheet2!$B730,매도완료!$S:$S))</f>
        <v>0</v>
      </c>
      <c r="H730" s="16">
        <f t="shared" si="23"/>
        <v>4850935.7080000006</v>
      </c>
    </row>
    <row r="731" spans="2:8" hidden="1" x14ac:dyDescent="0.4">
      <c r="B731" s="1">
        <v>43280</v>
      </c>
      <c r="C731" s="16">
        <f>SUMIF(매도완료!$G:$G,Sheet2!$B731,매도완료!$P:$P)</f>
        <v>0</v>
      </c>
      <c r="D731" s="16">
        <f>SUMIF(매도완료!$J:$J,Sheet2!$B731,매도완료!$P:$P)</f>
        <v>0</v>
      </c>
      <c r="E731" s="16">
        <f t="shared" si="22"/>
        <v>80825610</v>
      </c>
      <c r="G731" s="16">
        <f>IF(D731=0,0,SUMIF(매도완료!$J:$J,Sheet2!$B731,매도완료!$S:$S))</f>
        <v>0</v>
      </c>
      <c r="H731" s="16">
        <f t="shared" si="23"/>
        <v>4850935.7080000006</v>
      </c>
    </row>
    <row r="732" spans="2:8" hidden="1" x14ac:dyDescent="0.4">
      <c r="B732" s="1">
        <v>43281</v>
      </c>
      <c r="C732" s="16">
        <f>SUMIF(매도완료!$G:$G,Sheet2!$B732,매도완료!$P:$P)</f>
        <v>0</v>
      </c>
      <c r="D732" s="16">
        <f>SUMIF(매도완료!$J:$J,Sheet2!$B732,매도완료!$P:$P)</f>
        <v>0</v>
      </c>
      <c r="E732" s="16">
        <f t="shared" si="22"/>
        <v>80825610</v>
      </c>
      <c r="G732" s="16">
        <f>IF(D732=0,0,SUMIF(매도완료!$J:$J,Sheet2!$B732,매도완료!$S:$S))</f>
        <v>0</v>
      </c>
      <c r="H732" s="16">
        <f t="shared" si="23"/>
        <v>4850935.7080000006</v>
      </c>
    </row>
    <row r="733" spans="2:8" hidden="1" x14ac:dyDescent="0.4">
      <c r="B733" s="1">
        <v>43282</v>
      </c>
      <c r="C733" s="16">
        <f>SUMIF(매도완료!$G:$G,Sheet2!$B733,매도완료!$P:$P)</f>
        <v>0</v>
      </c>
      <c r="D733" s="16">
        <f>SUMIF(매도완료!$J:$J,Sheet2!$B733,매도완료!$P:$P)</f>
        <v>0</v>
      </c>
      <c r="E733" s="16">
        <f t="shared" si="22"/>
        <v>80825610</v>
      </c>
      <c r="G733" s="16">
        <f>IF(D733=0,0,SUMIF(매도완료!$J:$J,Sheet2!$B733,매도완료!$S:$S))</f>
        <v>0</v>
      </c>
      <c r="H733" s="16">
        <f t="shared" si="23"/>
        <v>4850935.7080000006</v>
      </c>
    </row>
    <row r="734" spans="2:8" hidden="1" x14ac:dyDescent="0.4">
      <c r="B734" s="1">
        <v>43283</v>
      </c>
      <c r="C734" s="16">
        <f>SUMIF(매도완료!$G:$G,Sheet2!$B734,매도완료!$P:$P)</f>
        <v>0</v>
      </c>
      <c r="D734" s="16">
        <f>SUMIF(매도완료!$J:$J,Sheet2!$B734,매도완료!$P:$P)</f>
        <v>0</v>
      </c>
      <c r="E734" s="16">
        <f t="shared" si="22"/>
        <v>80825610</v>
      </c>
      <c r="G734" s="16">
        <f>IF(D734=0,0,SUMIF(매도완료!$J:$J,Sheet2!$B734,매도완료!$S:$S))</f>
        <v>0</v>
      </c>
      <c r="H734" s="16">
        <f t="shared" si="23"/>
        <v>4850935.7080000006</v>
      </c>
    </row>
    <row r="735" spans="2:8" hidden="1" x14ac:dyDescent="0.4">
      <c r="B735" s="1">
        <v>43284</v>
      </c>
      <c r="C735" s="16">
        <f>SUMIF(매도완료!$G:$G,Sheet2!$B735,매도완료!$P:$P)</f>
        <v>0</v>
      </c>
      <c r="D735" s="16">
        <f>SUMIF(매도완료!$J:$J,Sheet2!$B735,매도완료!$P:$P)</f>
        <v>0</v>
      </c>
      <c r="E735" s="16">
        <f t="shared" si="22"/>
        <v>80825610</v>
      </c>
      <c r="G735" s="16">
        <f>IF(D735=0,0,SUMIF(매도완료!$J:$J,Sheet2!$B735,매도완료!$S:$S))</f>
        <v>0</v>
      </c>
      <c r="H735" s="16">
        <f t="shared" si="23"/>
        <v>4850935.7080000006</v>
      </c>
    </row>
    <row r="736" spans="2:8" hidden="1" x14ac:dyDescent="0.4">
      <c r="B736" s="1">
        <v>43285</v>
      </c>
      <c r="C736" s="16">
        <f>SUMIF(매도완료!$G:$G,Sheet2!$B736,매도완료!$P:$P)</f>
        <v>0</v>
      </c>
      <c r="D736" s="16">
        <f>SUMIF(매도완료!$J:$J,Sheet2!$B736,매도완료!$P:$P)</f>
        <v>0</v>
      </c>
      <c r="E736" s="16">
        <f t="shared" si="22"/>
        <v>80825610</v>
      </c>
      <c r="G736" s="16">
        <f>IF(D736=0,0,SUMIF(매도완료!$J:$J,Sheet2!$B736,매도완료!$S:$S))</f>
        <v>0</v>
      </c>
      <c r="H736" s="16">
        <f t="shared" si="23"/>
        <v>4850935.7080000006</v>
      </c>
    </row>
    <row r="737" spans="2:8" hidden="1" x14ac:dyDescent="0.4">
      <c r="B737" s="1">
        <v>43286</v>
      </c>
      <c r="C737" s="16">
        <f>SUMIF(매도완료!$G:$G,Sheet2!$B737,매도완료!$P:$P)</f>
        <v>0</v>
      </c>
      <c r="D737" s="16">
        <f>SUMIF(매도완료!$J:$J,Sheet2!$B737,매도완료!$P:$P)</f>
        <v>0</v>
      </c>
      <c r="E737" s="16">
        <f t="shared" si="22"/>
        <v>80825610</v>
      </c>
      <c r="G737" s="16">
        <f>IF(D737=0,0,SUMIF(매도완료!$J:$J,Sheet2!$B737,매도완료!$S:$S))</f>
        <v>0</v>
      </c>
      <c r="H737" s="16">
        <f t="shared" si="23"/>
        <v>4850935.7080000006</v>
      </c>
    </row>
    <row r="738" spans="2:8" hidden="1" x14ac:dyDescent="0.4">
      <c r="B738" s="1">
        <v>43287</v>
      </c>
      <c r="C738" s="16">
        <f>SUMIF(매도완료!$G:$G,Sheet2!$B738,매도완료!$P:$P)</f>
        <v>0</v>
      </c>
      <c r="D738" s="16">
        <f>SUMIF(매도완료!$J:$J,Sheet2!$B738,매도완료!$P:$P)</f>
        <v>0</v>
      </c>
      <c r="E738" s="16">
        <f t="shared" si="22"/>
        <v>80825610</v>
      </c>
      <c r="G738" s="16">
        <f>IF(D738=0,0,SUMIF(매도완료!$J:$J,Sheet2!$B738,매도완료!$S:$S))</f>
        <v>0</v>
      </c>
      <c r="H738" s="16">
        <f t="shared" si="23"/>
        <v>4850935.7080000006</v>
      </c>
    </row>
    <row r="739" spans="2:8" hidden="1" x14ac:dyDescent="0.4">
      <c r="B739" s="1">
        <v>43288</v>
      </c>
      <c r="C739" s="16">
        <f>SUMIF(매도완료!$G:$G,Sheet2!$B739,매도완료!$P:$P)</f>
        <v>0</v>
      </c>
      <c r="D739" s="16">
        <f>SUMIF(매도완료!$J:$J,Sheet2!$B739,매도완료!$P:$P)</f>
        <v>0</v>
      </c>
      <c r="E739" s="16">
        <f t="shared" si="22"/>
        <v>80825610</v>
      </c>
      <c r="G739" s="16">
        <f>IF(D739=0,0,SUMIF(매도완료!$J:$J,Sheet2!$B739,매도완료!$S:$S))</f>
        <v>0</v>
      </c>
      <c r="H739" s="16">
        <f t="shared" si="23"/>
        <v>4850935.7080000006</v>
      </c>
    </row>
    <row r="740" spans="2:8" hidden="1" x14ac:dyDescent="0.4">
      <c r="B740" s="1">
        <v>43289</v>
      </c>
      <c r="C740" s="16">
        <f>SUMIF(매도완료!$G:$G,Sheet2!$B740,매도완료!$P:$P)</f>
        <v>0</v>
      </c>
      <c r="D740" s="16">
        <f>SUMIF(매도완료!$J:$J,Sheet2!$B740,매도완료!$P:$P)</f>
        <v>0</v>
      </c>
      <c r="E740" s="16">
        <f t="shared" si="22"/>
        <v>80825610</v>
      </c>
      <c r="G740" s="16">
        <f>IF(D740=0,0,SUMIF(매도완료!$J:$J,Sheet2!$B740,매도완료!$S:$S))</f>
        <v>0</v>
      </c>
      <c r="H740" s="16">
        <f t="shared" si="23"/>
        <v>4850935.7080000006</v>
      </c>
    </row>
    <row r="741" spans="2:8" hidden="1" x14ac:dyDescent="0.4">
      <c r="B741" s="1">
        <v>43290</v>
      </c>
      <c r="C741" s="16">
        <f>SUMIF(매도완료!$G:$G,Sheet2!$B741,매도완료!$P:$P)</f>
        <v>0</v>
      </c>
      <c r="D741" s="16">
        <f>SUMIF(매도완료!$J:$J,Sheet2!$B741,매도완료!$P:$P)</f>
        <v>0</v>
      </c>
      <c r="E741" s="16">
        <f t="shared" si="22"/>
        <v>80825610</v>
      </c>
      <c r="G741" s="16">
        <f>IF(D741=0,0,SUMIF(매도완료!$J:$J,Sheet2!$B741,매도완료!$S:$S))</f>
        <v>0</v>
      </c>
      <c r="H741" s="16">
        <f t="shared" si="23"/>
        <v>4850935.7080000006</v>
      </c>
    </row>
    <row r="742" spans="2:8" hidden="1" x14ac:dyDescent="0.4">
      <c r="B742" s="1">
        <v>43291</v>
      </c>
      <c r="C742" s="16">
        <f>SUMIF(매도완료!$G:$G,Sheet2!$B742,매도완료!$P:$P)</f>
        <v>0</v>
      </c>
      <c r="D742" s="16">
        <f>SUMIF(매도완료!$J:$J,Sheet2!$B742,매도완료!$P:$P)</f>
        <v>0</v>
      </c>
      <c r="E742" s="16">
        <f t="shared" si="22"/>
        <v>80825610</v>
      </c>
      <c r="G742" s="16">
        <f>IF(D742=0,0,SUMIF(매도완료!$J:$J,Sheet2!$B742,매도완료!$S:$S))</f>
        <v>0</v>
      </c>
      <c r="H742" s="16">
        <f t="shared" si="23"/>
        <v>4850935.7080000006</v>
      </c>
    </row>
    <row r="743" spans="2:8" hidden="1" x14ac:dyDescent="0.4">
      <c r="B743" s="1">
        <v>43292</v>
      </c>
      <c r="C743" s="16">
        <f>SUMIF(매도완료!$G:$G,Sheet2!$B743,매도완료!$P:$P)</f>
        <v>0</v>
      </c>
      <c r="D743" s="16">
        <f>SUMIF(매도완료!$J:$J,Sheet2!$B743,매도완료!$P:$P)</f>
        <v>0</v>
      </c>
      <c r="E743" s="16">
        <f t="shared" si="22"/>
        <v>80825610</v>
      </c>
      <c r="G743" s="16">
        <f>IF(D743=0,0,SUMIF(매도완료!$J:$J,Sheet2!$B743,매도완료!$S:$S))</f>
        <v>0</v>
      </c>
      <c r="H743" s="16">
        <f t="shared" si="23"/>
        <v>4850935.7080000006</v>
      </c>
    </row>
    <row r="744" spans="2:8" hidden="1" x14ac:dyDescent="0.4">
      <c r="B744" s="1">
        <v>43293</v>
      </c>
      <c r="C744" s="16">
        <f>SUMIF(매도완료!$G:$G,Sheet2!$B744,매도완료!$P:$P)</f>
        <v>1050000</v>
      </c>
      <c r="D744" s="16">
        <f>SUMIF(매도완료!$J:$J,Sheet2!$B744,매도완료!$P:$P)</f>
        <v>0</v>
      </c>
      <c r="E744" s="16">
        <f t="shared" si="22"/>
        <v>81875610</v>
      </c>
      <c r="G744" s="16">
        <f>IF(D744=0,0,SUMIF(매도완료!$J:$J,Sheet2!$B744,매도완료!$S:$S))</f>
        <v>0</v>
      </c>
      <c r="H744" s="16">
        <f t="shared" si="23"/>
        <v>4850935.7080000006</v>
      </c>
    </row>
    <row r="745" spans="2:8" hidden="1" x14ac:dyDescent="0.4">
      <c r="B745" s="1">
        <v>43294</v>
      </c>
      <c r="C745" s="16">
        <f>SUMIF(매도완료!$G:$G,Sheet2!$B745,매도완료!$P:$P)</f>
        <v>0</v>
      </c>
      <c r="D745" s="16">
        <f>SUMIF(매도완료!$J:$J,Sheet2!$B745,매도완료!$P:$P)</f>
        <v>0</v>
      </c>
      <c r="E745" s="16">
        <f t="shared" si="22"/>
        <v>81875610</v>
      </c>
      <c r="G745" s="16">
        <f>IF(D745=0,0,SUMIF(매도완료!$J:$J,Sheet2!$B745,매도완료!$S:$S))</f>
        <v>0</v>
      </c>
      <c r="H745" s="16">
        <f t="shared" si="23"/>
        <v>4850935.7080000006</v>
      </c>
    </row>
    <row r="746" spans="2:8" hidden="1" x14ac:dyDescent="0.4">
      <c r="B746" s="1">
        <v>43295</v>
      </c>
      <c r="C746" s="16">
        <f>SUMIF(매도완료!$G:$G,Sheet2!$B746,매도완료!$P:$P)</f>
        <v>0</v>
      </c>
      <c r="D746" s="16">
        <f>SUMIF(매도완료!$J:$J,Sheet2!$B746,매도완료!$P:$P)</f>
        <v>0</v>
      </c>
      <c r="E746" s="16">
        <f t="shared" si="22"/>
        <v>81875610</v>
      </c>
      <c r="G746" s="16">
        <f>IF(D746=0,0,SUMIF(매도완료!$J:$J,Sheet2!$B746,매도완료!$S:$S))</f>
        <v>0</v>
      </c>
      <c r="H746" s="16">
        <f t="shared" si="23"/>
        <v>4850935.7080000006</v>
      </c>
    </row>
    <row r="747" spans="2:8" hidden="1" x14ac:dyDescent="0.4">
      <c r="B747" s="1">
        <v>43296</v>
      </c>
      <c r="C747" s="16">
        <f>SUMIF(매도완료!$G:$G,Sheet2!$B747,매도완료!$P:$P)</f>
        <v>0</v>
      </c>
      <c r="D747" s="16">
        <f>SUMIF(매도완료!$J:$J,Sheet2!$B747,매도완료!$P:$P)</f>
        <v>0</v>
      </c>
      <c r="E747" s="16">
        <f t="shared" si="22"/>
        <v>81875610</v>
      </c>
      <c r="G747" s="16">
        <f>IF(D747=0,0,SUMIF(매도완료!$J:$J,Sheet2!$B747,매도완료!$S:$S))</f>
        <v>0</v>
      </c>
      <c r="H747" s="16">
        <f t="shared" si="23"/>
        <v>4850935.7080000006</v>
      </c>
    </row>
    <row r="748" spans="2:8" hidden="1" x14ac:dyDescent="0.4">
      <c r="B748" s="1">
        <v>43297</v>
      </c>
      <c r="C748" s="16">
        <f>SUMIF(매도완료!$G:$G,Sheet2!$B748,매도완료!$P:$P)</f>
        <v>0</v>
      </c>
      <c r="D748" s="16">
        <f>SUMIF(매도완료!$J:$J,Sheet2!$B748,매도완료!$P:$P)</f>
        <v>0</v>
      </c>
      <c r="E748" s="16">
        <f t="shared" si="22"/>
        <v>81875610</v>
      </c>
      <c r="G748" s="16">
        <f>IF(D748=0,0,SUMIF(매도완료!$J:$J,Sheet2!$B748,매도완료!$S:$S))</f>
        <v>0</v>
      </c>
      <c r="H748" s="16">
        <f t="shared" si="23"/>
        <v>4850935.7080000006</v>
      </c>
    </row>
    <row r="749" spans="2:8" hidden="1" x14ac:dyDescent="0.4">
      <c r="B749" s="1">
        <v>43298</v>
      </c>
      <c r="C749" s="16">
        <f>SUMIF(매도완료!$G:$G,Sheet2!$B749,매도완료!$P:$P)</f>
        <v>0</v>
      </c>
      <c r="D749" s="16">
        <f>SUMIF(매도완료!$J:$J,Sheet2!$B749,매도완료!$P:$P)</f>
        <v>0</v>
      </c>
      <c r="E749" s="16">
        <f t="shared" si="22"/>
        <v>81875610</v>
      </c>
      <c r="G749" s="16">
        <f>IF(D749=0,0,SUMIF(매도완료!$J:$J,Sheet2!$B749,매도완료!$S:$S))</f>
        <v>0</v>
      </c>
      <c r="H749" s="16">
        <f t="shared" si="23"/>
        <v>4850935.7080000006</v>
      </c>
    </row>
    <row r="750" spans="2:8" hidden="1" x14ac:dyDescent="0.4">
      <c r="B750" s="1">
        <v>43299</v>
      </c>
      <c r="C750" s="16">
        <f>SUMIF(매도완료!$G:$G,Sheet2!$B750,매도완료!$P:$P)</f>
        <v>1010100</v>
      </c>
      <c r="D750" s="16">
        <f>SUMIF(매도완료!$J:$J,Sheet2!$B750,매도완료!$P:$P)</f>
        <v>1050000</v>
      </c>
      <c r="E750" s="16">
        <f t="shared" si="22"/>
        <v>81835710</v>
      </c>
      <c r="G750" s="16">
        <f>IF(D750=0,0,SUMIF(매도완료!$J:$J,Sheet2!$B750,매도완료!$S:$S))</f>
        <v>63390</v>
      </c>
      <c r="H750" s="16">
        <f t="shared" si="23"/>
        <v>4914325.7080000006</v>
      </c>
    </row>
    <row r="751" spans="2:8" hidden="1" x14ac:dyDescent="0.4">
      <c r="B751" s="1">
        <v>43300</v>
      </c>
      <c r="C751" s="16">
        <f>SUMIF(매도완료!$G:$G,Sheet2!$B751,매도완료!$P:$P)</f>
        <v>3074600</v>
      </c>
      <c r="D751" s="16">
        <f>SUMIF(매도완료!$J:$J,Sheet2!$B751,매도완료!$P:$P)</f>
        <v>5049000</v>
      </c>
      <c r="E751" s="16">
        <f t="shared" si="22"/>
        <v>79861310</v>
      </c>
      <c r="G751" s="16">
        <f>IF(D751=0,0,SUMIF(매도완료!$J:$J,Sheet2!$B751,매도완료!$S:$S))</f>
        <v>-1534454</v>
      </c>
      <c r="H751" s="16">
        <f t="shared" si="23"/>
        <v>3379871.7080000006</v>
      </c>
    </row>
    <row r="752" spans="2:8" hidden="1" x14ac:dyDescent="0.4">
      <c r="B752" s="1">
        <v>43301</v>
      </c>
      <c r="C752" s="16">
        <f>SUMIF(매도완료!$G:$G,Sheet2!$B752,매도완료!$P:$P)</f>
        <v>0</v>
      </c>
      <c r="D752" s="16">
        <f>SUMIF(매도완료!$J:$J,Sheet2!$B752,매도완료!$P:$P)</f>
        <v>0</v>
      </c>
      <c r="E752" s="16">
        <f t="shared" si="22"/>
        <v>79861310</v>
      </c>
      <c r="G752" s="16">
        <f>IF(D752=0,0,SUMIF(매도완료!$J:$J,Sheet2!$B752,매도완료!$S:$S))</f>
        <v>0</v>
      </c>
      <c r="H752" s="16">
        <f t="shared" si="23"/>
        <v>3379871.7080000006</v>
      </c>
    </row>
    <row r="753" spans="2:8" hidden="1" x14ac:dyDescent="0.4">
      <c r="B753" s="1">
        <v>43302</v>
      </c>
      <c r="C753" s="16">
        <f>SUMIF(매도완료!$G:$G,Sheet2!$B753,매도완료!$P:$P)</f>
        <v>0</v>
      </c>
      <c r="D753" s="16">
        <f>SUMIF(매도완료!$J:$J,Sheet2!$B753,매도완료!$P:$P)</f>
        <v>0</v>
      </c>
      <c r="E753" s="16">
        <f t="shared" si="22"/>
        <v>79861310</v>
      </c>
      <c r="G753" s="16">
        <f>IF(D753=0,0,SUMIF(매도완료!$J:$J,Sheet2!$B753,매도완료!$S:$S))</f>
        <v>0</v>
      </c>
      <c r="H753" s="16">
        <f t="shared" si="23"/>
        <v>3379871.7080000006</v>
      </c>
    </row>
    <row r="754" spans="2:8" hidden="1" x14ac:dyDescent="0.4">
      <c r="B754" s="1">
        <v>43303</v>
      </c>
      <c r="C754" s="16">
        <f>SUMIF(매도완료!$G:$G,Sheet2!$B754,매도완료!$P:$P)</f>
        <v>0</v>
      </c>
      <c r="D754" s="16">
        <f>SUMIF(매도완료!$J:$J,Sheet2!$B754,매도완료!$P:$P)</f>
        <v>0</v>
      </c>
      <c r="E754" s="16">
        <f t="shared" si="22"/>
        <v>79861310</v>
      </c>
      <c r="G754" s="16">
        <f>IF(D754=0,0,SUMIF(매도완료!$J:$J,Sheet2!$B754,매도완료!$S:$S))</f>
        <v>0</v>
      </c>
      <c r="H754" s="16">
        <f t="shared" si="23"/>
        <v>3379871.7080000006</v>
      </c>
    </row>
    <row r="755" spans="2:8" hidden="1" x14ac:dyDescent="0.4">
      <c r="B755" s="1">
        <v>43304</v>
      </c>
      <c r="C755" s="16">
        <f>SUMIF(매도완료!$G:$G,Sheet2!$B755,매도완료!$P:$P)</f>
        <v>0</v>
      </c>
      <c r="D755" s="16">
        <f>SUMIF(매도완료!$J:$J,Sheet2!$B755,매도완료!$P:$P)</f>
        <v>0</v>
      </c>
      <c r="E755" s="16">
        <f t="shared" si="22"/>
        <v>79861310</v>
      </c>
      <c r="G755" s="16">
        <f>IF(D755=0,0,SUMIF(매도완료!$J:$J,Sheet2!$B755,매도완료!$S:$S))</f>
        <v>0</v>
      </c>
      <c r="H755" s="16">
        <f t="shared" si="23"/>
        <v>3379871.7080000006</v>
      </c>
    </row>
    <row r="756" spans="2:8" hidden="1" x14ac:dyDescent="0.4">
      <c r="B756" s="1">
        <v>43305</v>
      </c>
      <c r="C756" s="16">
        <f>SUMIF(매도완료!$G:$G,Sheet2!$B756,매도완료!$P:$P)</f>
        <v>0</v>
      </c>
      <c r="D756" s="16">
        <f>SUMIF(매도완료!$J:$J,Sheet2!$B756,매도완료!$P:$P)</f>
        <v>0</v>
      </c>
      <c r="E756" s="16">
        <f t="shared" si="22"/>
        <v>79861310</v>
      </c>
      <c r="G756" s="16">
        <f>IF(D756=0,0,SUMIF(매도완료!$J:$J,Sheet2!$B756,매도완료!$S:$S))</f>
        <v>0</v>
      </c>
      <c r="H756" s="16">
        <f t="shared" si="23"/>
        <v>3379871.7080000006</v>
      </c>
    </row>
    <row r="757" spans="2:8" hidden="1" x14ac:dyDescent="0.4">
      <c r="B757" s="1">
        <v>43306</v>
      </c>
      <c r="C757" s="16">
        <f>SUMIF(매도완료!$G:$G,Sheet2!$B757,매도완료!$P:$P)</f>
        <v>0</v>
      </c>
      <c r="D757" s="16">
        <f>SUMIF(매도완료!$J:$J,Sheet2!$B757,매도완료!$P:$P)</f>
        <v>0</v>
      </c>
      <c r="E757" s="16">
        <f t="shared" si="22"/>
        <v>79861310</v>
      </c>
      <c r="G757" s="16">
        <f>IF(D757=0,0,SUMIF(매도완료!$J:$J,Sheet2!$B757,매도완료!$S:$S))</f>
        <v>0</v>
      </c>
      <c r="H757" s="16">
        <f t="shared" si="23"/>
        <v>3379871.7080000006</v>
      </c>
    </row>
    <row r="758" spans="2:8" hidden="1" x14ac:dyDescent="0.4">
      <c r="B758" s="1">
        <v>43307</v>
      </c>
      <c r="C758" s="16">
        <f>SUMIF(매도완료!$G:$G,Sheet2!$B758,매도완료!$P:$P)</f>
        <v>0</v>
      </c>
      <c r="D758" s="16">
        <f>SUMIF(매도완료!$J:$J,Sheet2!$B758,매도완료!$P:$P)</f>
        <v>0</v>
      </c>
      <c r="E758" s="16">
        <f t="shared" si="22"/>
        <v>79861310</v>
      </c>
      <c r="G758" s="16">
        <f>IF(D758=0,0,SUMIF(매도완료!$J:$J,Sheet2!$B758,매도완료!$S:$S))</f>
        <v>0</v>
      </c>
      <c r="H758" s="16">
        <f t="shared" si="23"/>
        <v>3379871.7080000006</v>
      </c>
    </row>
    <row r="759" spans="2:8" hidden="1" x14ac:dyDescent="0.4">
      <c r="B759" s="1">
        <v>43308</v>
      </c>
      <c r="C759" s="16">
        <f>SUMIF(매도완료!$G:$G,Sheet2!$B759,매도완료!$P:$P)</f>
        <v>0</v>
      </c>
      <c r="D759" s="16">
        <f>SUMIF(매도완료!$J:$J,Sheet2!$B759,매도완료!$P:$P)</f>
        <v>0</v>
      </c>
      <c r="E759" s="16">
        <f t="shared" si="22"/>
        <v>79861310</v>
      </c>
      <c r="G759" s="16">
        <f>IF(D759=0,0,SUMIF(매도완료!$J:$J,Sheet2!$B759,매도완료!$S:$S))</f>
        <v>0</v>
      </c>
      <c r="H759" s="16">
        <f t="shared" si="23"/>
        <v>3379871.7080000006</v>
      </c>
    </row>
    <row r="760" spans="2:8" hidden="1" x14ac:dyDescent="0.4">
      <c r="B760" s="1">
        <v>43309</v>
      </c>
      <c r="C760" s="16">
        <f>SUMIF(매도완료!$G:$G,Sheet2!$B760,매도완료!$P:$P)</f>
        <v>0</v>
      </c>
      <c r="D760" s="16">
        <f>SUMIF(매도완료!$J:$J,Sheet2!$B760,매도완료!$P:$P)</f>
        <v>0</v>
      </c>
      <c r="E760" s="16">
        <f t="shared" si="22"/>
        <v>79861310</v>
      </c>
      <c r="G760" s="16">
        <f>IF(D760=0,0,SUMIF(매도완료!$J:$J,Sheet2!$B760,매도완료!$S:$S))</f>
        <v>0</v>
      </c>
      <c r="H760" s="16">
        <f t="shared" si="23"/>
        <v>3379871.7080000006</v>
      </c>
    </row>
    <row r="761" spans="2:8" hidden="1" x14ac:dyDescent="0.4">
      <c r="B761" s="1">
        <v>43310</v>
      </c>
      <c r="C761" s="16">
        <f>SUMIF(매도완료!$G:$G,Sheet2!$B761,매도완료!$P:$P)</f>
        <v>0</v>
      </c>
      <c r="D761" s="16">
        <f>SUMIF(매도완료!$J:$J,Sheet2!$B761,매도완료!$P:$P)</f>
        <v>0</v>
      </c>
      <c r="E761" s="16">
        <f t="shared" si="22"/>
        <v>79861310</v>
      </c>
      <c r="G761" s="16">
        <f>IF(D761=0,0,SUMIF(매도완료!$J:$J,Sheet2!$B761,매도완료!$S:$S))</f>
        <v>0</v>
      </c>
      <c r="H761" s="16">
        <f t="shared" si="23"/>
        <v>3379871.7080000006</v>
      </c>
    </row>
    <row r="762" spans="2:8" hidden="1" x14ac:dyDescent="0.4">
      <c r="B762" s="1">
        <v>43311</v>
      </c>
      <c r="C762" s="16">
        <f>SUMIF(매도완료!$G:$G,Sheet2!$B762,매도완료!$P:$P)</f>
        <v>0</v>
      </c>
      <c r="D762" s="16">
        <f>SUMIF(매도완료!$J:$J,Sheet2!$B762,매도완료!$P:$P)</f>
        <v>0</v>
      </c>
      <c r="E762" s="16">
        <f t="shared" si="22"/>
        <v>79861310</v>
      </c>
      <c r="G762" s="16">
        <f>IF(D762=0,0,SUMIF(매도완료!$J:$J,Sheet2!$B762,매도완료!$S:$S))</f>
        <v>0</v>
      </c>
      <c r="H762" s="16">
        <f t="shared" si="23"/>
        <v>3379871.7080000006</v>
      </c>
    </row>
    <row r="763" spans="2:8" hidden="1" x14ac:dyDescent="0.4">
      <c r="B763" s="1">
        <v>43312</v>
      </c>
      <c r="C763" s="16">
        <f>SUMIF(매도완료!$G:$G,Sheet2!$B763,매도완료!$P:$P)</f>
        <v>0</v>
      </c>
      <c r="D763" s="16">
        <f>SUMIF(매도완료!$J:$J,Sheet2!$B763,매도완료!$P:$P)</f>
        <v>0</v>
      </c>
      <c r="E763" s="16">
        <f t="shared" si="22"/>
        <v>79861310</v>
      </c>
      <c r="G763" s="16">
        <f>IF(D763=0,0,SUMIF(매도완료!$J:$J,Sheet2!$B763,매도완료!$S:$S))</f>
        <v>0</v>
      </c>
      <c r="H763" s="16">
        <f t="shared" si="23"/>
        <v>3379871.7080000006</v>
      </c>
    </row>
    <row r="764" spans="2:8" hidden="1" x14ac:dyDescent="0.4">
      <c r="B764" s="1">
        <v>43313</v>
      </c>
      <c r="C764" s="16">
        <f>SUMIF(매도완료!$G:$G,Sheet2!$B764,매도완료!$P:$P)</f>
        <v>0</v>
      </c>
      <c r="D764" s="16">
        <f>SUMIF(매도완료!$J:$J,Sheet2!$B764,매도완료!$P:$P)</f>
        <v>997600</v>
      </c>
      <c r="E764" s="16">
        <f t="shared" si="22"/>
        <v>78863710</v>
      </c>
      <c r="G764" s="16">
        <f>IF(D764=0,0,SUMIF(매도완료!$J:$J,Sheet2!$B764,매도완료!$S:$S))</f>
        <v>40218</v>
      </c>
      <c r="H764" s="16">
        <f t="shared" si="23"/>
        <v>3420089.7080000006</v>
      </c>
    </row>
    <row r="765" spans="2:8" hidden="1" x14ac:dyDescent="0.4">
      <c r="B765" s="1">
        <v>43314</v>
      </c>
      <c r="C765" s="16">
        <f>SUMIF(매도완료!$G:$G,Sheet2!$B765,매도완료!$P:$P)</f>
        <v>0</v>
      </c>
      <c r="D765" s="16">
        <f>SUMIF(매도완료!$J:$J,Sheet2!$B765,매도완료!$P:$P)</f>
        <v>0</v>
      </c>
      <c r="E765" s="16">
        <f t="shared" si="22"/>
        <v>78863710</v>
      </c>
      <c r="G765" s="16">
        <f>IF(D765=0,0,SUMIF(매도완료!$J:$J,Sheet2!$B765,매도완료!$S:$S))</f>
        <v>0</v>
      </c>
      <c r="H765" s="16">
        <f t="shared" si="23"/>
        <v>3420089.7080000006</v>
      </c>
    </row>
    <row r="766" spans="2:8" hidden="1" x14ac:dyDescent="0.4">
      <c r="B766" s="1">
        <v>43315</v>
      </c>
      <c r="C766" s="16">
        <f>SUMIF(매도완료!$G:$G,Sheet2!$B766,매도완료!$P:$P)</f>
        <v>0</v>
      </c>
      <c r="D766" s="16">
        <f>SUMIF(매도완료!$J:$J,Sheet2!$B766,매도완료!$P:$P)</f>
        <v>0</v>
      </c>
      <c r="E766" s="16">
        <f t="shared" si="22"/>
        <v>78863710</v>
      </c>
      <c r="G766" s="16">
        <f>IF(D766=0,0,SUMIF(매도완료!$J:$J,Sheet2!$B766,매도완료!$S:$S))</f>
        <v>0</v>
      </c>
      <c r="H766" s="16">
        <f t="shared" si="23"/>
        <v>3420089.7080000006</v>
      </c>
    </row>
    <row r="767" spans="2:8" hidden="1" x14ac:dyDescent="0.4">
      <c r="B767" s="1">
        <v>43316</v>
      </c>
      <c r="C767" s="16">
        <f>SUMIF(매도완료!$G:$G,Sheet2!$B767,매도완료!$P:$P)</f>
        <v>0</v>
      </c>
      <c r="D767" s="16">
        <f>SUMIF(매도완료!$J:$J,Sheet2!$B767,매도완료!$P:$P)</f>
        <v>0</v>
      </c>
      <c r="E767" s="16">
        <f t="shared" si="22"/>
        <v>78863710</v>
      </c>
      <c r="G767" s="16">
        <f>IF(D767=0,0,SUMIF(매도완료!$J:$J,Sheet2!$B767,매도완료!$S:$S))</f>
        <v>0</v>
      </c>
      <c r="H767" s="16">
        <f t="shared" si="23"/>
        <v>3420089.7080000006</v>
      </c>
    </row>
    <row r="768" spans="2:8" hidden="1" x14ac:dyDescent="0.4">
      <c r="B768" s="1">
        <v>43317</v>
      </c>
      <c r="C768" s="16">
        <f>SUMIF(매도완료!$G:$G,Sheet2!$B768,매도완료!$P:$P)</f>
        <v>0</v>
      </c>
      <c r="D768" s="16">
        <f>SUMIF(매도완료!$J:$J,Sheet2!$B768,매도완료!$P:$P)</f>
        <v>0</v>
      </c>
      <c r="E768" s="16">
        <f t="shared" si="22"/>
        <v>78863710</v>
      </c>
      <c r="G768" s="16">
        <f>IF(D768=0,0,SUMIF(매도완료!$J:$J,Sheet2!$B768,매도완료!$S:$S))</f>
        <v>0</v>
      </c>
      <c r="H768" s="16">
        <f t="shared" si="23"/>
        <v>3420089.7080000006</v>
      </c>
    </row>
    <row r="769" spans="2:8" hidden="1" x14ac:dyDescent="0.4">
      <c r="B769" s="1">
        <v>43318</v>
      </c>
      <c r="C769" s="16">
        <f>SUMIF(매도완료!$G:$G,Sheet2!$B769,매도완료!$P:$P)</f>
        <v>0</v>
      </c>
      <c r="D769" s="16">
        <f>SUMIF(매도완료!$J:$J,Sheet2!$B769,매도완료!$P:$P)</f>
        <v>0</v>
      </c>
      <c r="E769" s="16">
        <f t="shared" si="22"/>
        <v>78863710</v>
      </c>
      <c r="G769" s="16">
        <f>IF(D769=0,0,SUMIF(매도완료!$J:$J,Sheet2!$B769,매도완료!$S:$S))</f>
        <v>0</v>
      </c>
      <c r="H769" s="16">
        <f t="shared" si="23"/>
        <v>3420089.7080000006</v>
      </c>
    </row>
    <row r="770" spans="2:8" hidden="1" x14ac:dyDescent="0.4">
      <c r="B770" s="1">
        <v>43319</v>
      </c>
      <c r="C770" s="16">
        <f>SUMIF(매도완료!$G:$G,Sheet2!$B770,매도완료!$P:$P)</f>
        <v>0</v>
      </c>
      <c r="D770" s="16">
        <f>SUMIF(매도완료!$J:$J,Sheet2!$B770,매도완료!$P:$P)</f>
        <v>0</v>
      </c>
      <c r="E770" s="16">
        <f t="shared" si="22"/>
        <v>78863710</v>
      </c>
      <c r="G770" s="16">
        <f>IF(D770=0,0,SUMIF(매도완료!$J:$J,Sheet2!$B770,매도완료!$S:$S))</f>
        <v>0</v>
      </c>
      <c r="H770" s="16">
        <f t="shared" si="23"/>
        <v>3420089.7080000006</v>
      </c>
    </row>
    <row r="771" spans="2:8" hidden="1" x14ac:dyDescent="0.4">
      <c r="B771" s="1">
        <v>43320</v>
      </c>
      <c r="C771" s="16">
        <f>SUMIF(매도완료!$G:$G,Sheet2!$B771,매도완료!$P:$P)</f>
        <v>0</v>
      </c>
      <c r="D771" s="16">
        <f>SUMIF(매도완료!$J:$J,Sheet2!$B771,매도완료!$P:$P)</f>
        <v>0</v>
      </c>
      <c r="E771" s="16">
        <f t="shared" si="22"/>
        <v>78863710</v>
      </c>
      <c r="G771" s="16">
        <f>IF(D771=0,0,SUMIF(매도완료!$J:$J,Sheet2!$B771,매도완료!$S:$S))</f>
        <v>0</v>
      </c>
      <c r="H771" s="16">
        <f t="shared" si="23"/>
        <v>3420089.7080000006</v>
      </c>
    </row>
    <row r="772" spans="2:8" hidden="1" x14ac:dyDescent="0.4">
      <c r="B772" s="1">
        <v>43321</v>
      </c>
      <c r="C772" s="16">
        <f>SUMIF(매도완료!$G:$G,Sheet2!$B772,매도완료!$P:$P)</f>
        <v>0</v>
      </c>
      <c r="D772" s="16">
        <f>SUMIF(매도완료!$J:$J,Sheet2!$B772,매도완료!$P:$P)</f>
        <v>0</v>
      </c>
      <c r="E772" s="16">
        <f t="shared" ref="E772:E835" si="24">E771+C772-D772</f>
        <v>78863710</v>
      </c>
      <c r="G772" s="16">
        <f>IF(D772=0,0,SUMIF(매도완료!$J:$J,Sheet2!$B772,매도완료!$S:$S))</f>
        <v>0</v>
      </c>
      <c r="H772" s="16">
        <f t="shared" ref="H772:H835" si="25">H771+G772</f>
        <v>3420089.7080000006</v>
      </c>
    </row>
    <row r="773" spans="2:8" hidden="1" x14ac:dyDescent="0.4">
      <c r="B773" s="1">
        <v>43322</v>
      </c>
      <c r="C773" s="16">
        <f>SUMIF(매도완료!$G:$G,Sheet2!$B773,매도완료!$P:$P)</f>
        <v>0</v>
      </c>
      <c r="D773" s="16">
        <f>SUMIF(매도완료!$J:$J,Sheet2!$B773,매도완료!$P:$P)</f>
        <v>0</v>
      </c>
      <c r="E773" s="16">
        <f t="shared" si="24"/>
        <v>78863710</v>
      </c>
      <c r="G773" s="16">
        <f>IF(D773=0,0,SUMIF(매도완료!$J:$J,Sheet2!$B773,매도완료!$S:$S))</f>
        <v>0</v>
      </c>
      <c r="H773" s="16">
        <f t="shared" si="25"/>
        <v>3420089.7080000006</v>
      </c>
    </row>
    <row r="774" spans="2:8" hidden="1" x14ac:dyDescent="0.4">
      <c r="B774" s="1">
        <v>43323</v>
      </c>
      <c r="C774" s="16">
        <f>SUMIF(매도완료!$G:$G,Sheet2!$B774,매도완료!$P:$P)</f>
        <v>0</v>
      </c>
      <c r="D774" s="16">
        <f>SUMIF(매도완료!$J:$J,Sheet2!$B774,매도완료!$P:$P)</f>
        <v>0</v>
      </c>
      <c r="E774" s="16">
        <f t="shared" si="24"/>
        <v>78863710</v>
      </c>
      <c r="G774" s="16">
        <f>IF(D774=0,0,SUMIF(매도완료!$J:$J,Sheet2!$B774,매도완료!$S:$S))</f>
        <v>0</v>
      </c>
      <c r="H774" s="16">
        <f t="shared" si="25"/>
        <v>3420089.7080000006</v>
      </c>
    </row>
    <row r="775" spans="2:8" hidden="1" x14ac:dyDescent="0.4">
      <c r="B775" s="1">
        <v>43324</v>
      </c>
      <c r="C775" s="16">
        <f>SUMIF(매도완료!$G:$G,Sheet2!$B775,매도완료!$P:$P)</f>
        <v>0</v>
      </c>
      <c r="D775" s="16">
        <f>SUMIF(매도완료!$J:$J,Sheet2!$B775,매도완료!$P:$P)</f>
        <v>0</v>
      </c>
      <c r="E775" s="16">
        <f t="shared" si="24"/>
        <v>78863710</v>
      </c>
      <c r="G775" s="16">
        <f>IF(D775=0,0,SUMIF(매도완료!$J:$J,Sheet2!$B775,매도완료!$S:$S))</f>
        <v>0</v>
      </c>
      <c r="H775" s="16">
        <f t="shared" si="25"/>
        <v>3420089.7080000006</v>
      </c>
    </row>
    <row r="776" spans="2:8" hidden="1" x14ac:dyDescent="0.4">
      <c r="B776" s="1">
        <v>43325</v>
      </c>
      <c r="C776" s="16">
        <f>SUMIF(매도완료!$G:$G,Sheet2!$B776,매도완료!$P:$P)</f>
        <v>0</v>
      </c>
      <c r="D776" s="16">
        <f>SUMIF(매도완료!$J:$J,Sheet2!$B776,매도완료!$P:$P)</f>
        <v>0</v>
      </c>
      <c r="E776" s="16">
        <f t="shared" si="24"/>
        <v>78863710</v>
      </c>
      <c r="G776" s="16">
        <f>IF(D776=0,0,SUMIF(매도완료!$J:$J,Sheet2!$B776,매도완료!$S:$S))</f>
        <v>0</v>
      </c>
      <c r="H776" s="16">
        <f t="shared" si="25"/>
        <v>3420089.7080000006</v>
      </c>
    </row>
    <row r="777" spans="2:8" hidden="1" x14ac:dyDescent="0.4">
      <c r="B777" s="1">
        <v>43326</v>
      </c>
      <c r="C777" s="16">
        <f>SUMIF(매도완료!$G:$G,Sheet2!$B777,매도완료!$P:$P)</f>
        <v>0</v>
      </c>
      <c r="D777" s="16">
        <f>SUMIF(매도완료!$J:$J,Sheet2!$B777,매도완료!$P:$P)</f>
        <v>0</v>
      </c>
      <c r="E777" s="16">
        <f t="shared" si="24"/>
        <v>78863710</v>
      </c>
      <c r="G777" s="16">
        <f>IF(D777=0,0,SUMIF(매도완료!$J:$J,Sheet2!$B777,매도완료!$S:$S))</f>
        <v>0</v>
      </c>
      <c r="H777" s="16">
        <f t="shared" si="25"/>
        <v>3420089.7080000006</v>
      </c>
    </row>
    <row r="778" spans="2:8" hidden="1" x14ac:dyDescent="0.4">
      <c r="B778" s="1">
        <v>43327</v>
      </c>
      <c r="C778" s="16">
        <f>SUMIF(매도완료!$G:$G,Sheet2!$B778,매도완료!$P:$P)</f>
        <v>0</v>
      </c>
      <c r="D778" s="16">
        <f>SUMIF(매도완료!$J:$J,Sheet2!$B778,매도완료!$P:$P)</f>
        <v>0</v>
      </c>
      <c r="E778" s="16">
        <f t="shared" si="24"/>
        <v>78863710</v>
      </c>
      <c r="G778" s="16">
        <f>IF(D778=0,0,SUMIF(매도완료!$J:$J,Sheet2!$B778,매도완료!$S:$S))</f>
        <v>0</v>
      </c>
      <c r="H778" s="16">
        <f t="shared" si="25"/>
        <v>3420089.7080000006</v>
      </c>
    </row>
    <row r="779" spans="2:8" hidden="1" x14ac:dyDescent="0.4">
      <c r="B779" s="1">
        <v>43328</v>
      </c>
      <c r="C779" s="16">
        <f>SUMIF(매도완료!$G:$G,Sheet2!$B779,매도완료!$P:$P)</f>
        <v>0</v>
      </c>
      <c r="D779" s="16">
        <f>SUMIF(매도완료!$J:$J,Sheet2!$B779,매도완료!$P:$P)</f>
        <v>0</v>
      </c>
      <c r="E779" s="16">
        <f t="shared" si="24"/>
        <v>78863710</v>
      </c>
      <c r="G779" s="16">
        <f>IF(D779=0,0,SUMIF(매도완료!$J:$J,Sheet2!$B779,매도완료!$S:$S))</f>
        <v>0</v>
      </c>
      <c r="H779" s="16">
        <f t="shared" si="25"/>
        <v>3420089.7080000006</v>
      </c>
    </row>
    <row r="780" spans="2:8" hidden="1" x14ac:dyDescent="0.4">
      <c r="B780" s="1">
        <v>43329</v>
      </c>
      <c r="C780" s="16">
        <f>SUMIF(매도완료!$G:$G,Sheet2!$B780,매도완료!$P:$P)</f>
        <v>3780000</v>
      </c>
      <c r="D780" s="16">
        <f>SUMIF(매도완료!$J:$J,Sheet2!$B780,매도완료!$P:$P)</f>
        <v>0</v>
      </c>
      <c r="E780" s="16">
        <f t="shared" si="24"/>
        <v>82643710</v>
      </c>
      <c r="G780" s="16">
        <f>IF(D780=0,0,SUMIF(매도완료!$J:$J,Sheet2!$B780,매도완료!$S:$S))</f>
        <v>0</v>
      </c>
      <c r="H780" s="16">
        <f t="shared" si="25"/>
        <v>3420089.7080000006</v>
      </c>
    </row>
    <row r="781" spans="2:8" hidden="1" x14ac:dyDescent="0.4">
      <c r="B781" s="1">
        <v>43330</v>
      </c>
      <c r="C781" s="16">
        <f>SUMIF(매도완료!$G:$G,Sheet2!$B781,매도완료!$P:$P)</f>
        <v>0</v>
      </c>
      <c r="D781" s="16">
        <f>SUMIF(매도완료!$J:$J,Sheet2!$B781,매도완료!$P:$P)</f>
        <v>0</v>
      </c>
      <c r="E781" s="16">
        <f t="shared" si="24"/>
        <v>82643710</v>
      </c>
      <c r="G781" s="16">
        <f>IF(D781=0,0,SUMIF(매도완료!$J:$J,Sheet2!$B781,매도완료!$S:$S))</f>
        <v>0</v>
      </c>
      <c r="H781" s="16">
        <f t="shared" si="25"/>
        <v>3420089.7080000006</v>
      </c>
    </row>
    <row r="782" spans="2:8" hidden="1" x14ac:dyDescent="0.4">
      <c r="B782" s="1">
        <v>43331</v>
      </c>
      <c r="C782" s="16">
        <f>SUMIF(매도완료!$G:$G,Sheet2!$B782,매도완료!$P:$P)</f>
        <v>0</v>
      </c>
      <c r="D782" s="16">
        <f>SUMIF(매도완료!$J:$J,Sheet2!$B782,매도완료!$P:$P)</f>
        <v>0</v>
      </c>
      <c r="E782" s="16">
        <f t="shared" si="24"/>
        <v>82643710</v>
      </c>
      <c r="G782" s="16">
        <f>IF(D782=0,0,SUMIF(매도완료!$J:$J,Sheet2!$B782,매도완료!$S:$S))</f>
        <v>0</v>
      </c>
      <c r="H782" s="16">
        <f t="shared" si="25"/>
        <v>3420089.7080000006</v>
      </c>
    </row>
    <row r="783" spans="2:8" hidden="1" x14ac:dyDescent="0.4">
      <c r="B783" s="1">
        <v>43332</v>
      </c>
      <c r="C783" s="16">
        <f>SUMIF(매도완료!$G:$G,Sheet2!$B783,매도완료!$P:$P)</f>
        <v>0</v>
      </c>
      <c r="D783" s="16">
        <f>SUMIF(매도완료!$J:$J,Sheet2!$B783,매도완료!$P:$P)</f>
        <v>0</v>
      </c>
      <c r="E783" s="16">
        <f t="shared" si="24"/>
        <v>82643710</v>
      </c>
      <c r="G783" s="16">
        <f>IF(D783=0,0,SUMIF(매도완료!$J:$J,Sheet2!$B783,매도완료!$S:$S))</f>
        <v>0</v>
      </c>
      <c r="H783" s="16">
        <f t="shared" si="25"/>
        <v>3420089.7080000006</v>
      </c>
    </row>
    <row r="784" spans="2:8" hidden="1" x14ac:dyDescent="0.4">
      <c r="B784" s="1">
        <v>43333</v>
      </c>
      <c r="C784" s="16">
        <f>SUMIF(매도완료!$G:$G,Sheet2!$B784,매도완료!$P:$P)</f>
        <v>0</v>
      </c>
      <c r="D784" s="16">
        <f>SUMIF(매도완료!$J:$J,Sheet2!$B784,매도완료!$P:$P)</f>
        <v>0</v>
      </c>
      <c r="E784" s="16">
        <f t="shared" si="24"/>
        <v>82643710</v>
      </c>
      <c r="G784" s="16">
        <f>IF(D784=0,0,SUMIF(매도완료!$J:$J,Sheet2!$B784,매도완료!$S:$S))</f>
        <v>0</v>
      </c>
      <c r="H784" s="16">
        <f t="shared" si="25"/>
        <v>3420089.7080000006</v>
      </c>
    </row>
    <row r="785" spans="2:8" hidden="1" x14ac:dyDescent="0.4">
      <c r="B785" s="1">
        <v>43334</v>
      </c>
      <c r="C785" s="16">
        <f>SUMIF(매도완료!$G:$G,Sheet2!$B785,매도완료!$P:$P)</f>
        <v>0</v>
      </c>
      <c r="D785" s="16">
        <f>SUMIF(매도완료!$J:$J,Sheet2!$B785,매도완료!$P:$P)</f>
        <v>0</v>
      </c>
      <c r="E785" s="16">
        <f t="shared" si="24"/>
        <v>82643710</v>
      </c>
      <c r="G785" s="16">
        <f>IF(D785=0,0,SUMIF(매도완료!$J:$J,Sheet2!$B785,매도완료!$S:$S))</f>
        <v>0</v>
      </c>
      <c r="H785" s="16">
        <f t="shared" si="25"/>
        <v>3420089.7080000006</v>
      </c>
    </row>
    <row r="786" spans="2:8" hidden="1" x14ac:dyDescent="0.4">
      <c r="B786" s="1">
        <v>43335</v>
      </c>
      <c r="C786" s="16">
        <f>SUMIF(매도완료!$G:$G,Sheet2!$B786,매도완료!$P:$P)</f>
        <v>0</v>
      </c>
      <c r="D786" s="16">
        <f>SUMIF(매도완료!$J:$J,Sheet2!$B786,매도완료!$P:$P)</f>
        <v>0</v>
      </c>
      <c r="E786" s="16">
        <f t="shared" si="24"/>
        <v>82643710</v>
      </c>
      <c r="G786" s="16">
        <f>IF(D786=0,0,SUMIF(매도완료!$J:$J,Sheet2!$B786,매도완료!$S:$S))</f>
        <v>0</v>
      </c>
      <c r="H786" s="16">
        <f t="shared" si="25"/>
        <v>3420089.7080000006</v>
      </c>
    </row>
    <row r="787" spans="2:8" hidden="1" x14ac:dyDescent="0.4">
      <c r="B787" s="1">
        <v>43336</v>
      </c>
      <c r="C787" s="16">
        <f>SUMIF(매도완료!$G:$G,Sheet2!$B787,매도완료!$P:$P)</f>
        <v>0</v>
      </c>
      <c r="D787" s="16">
        <f>SUMIF(매도완료!$J:$J,Sheet2!$B787,매도완료!$P:$P)</f>
        <v>0</v>
      </c>
      <c r="E787" s="16">
        <f t="shared" si="24"/>
        <v>82643710</v>
      </c>
      <c r="G787" s="16">
        <f>IF(D787=0,0,SUMIF(매도완료!$J:$J,Sheet2!$B787,매도완료!$S:$S))</f>
        <v>0</v>
      </c>
      <c r="H787" s="16">
        <f t="shared" si="25"/>
        <v>3420089.7080000006</v>
      </c>
    </row>
    <row r="788" spans="2:8" hidden="1" x14ac:dyDescent="0.4">
      <c r="B788" s="1">
        <v>43337</v>
      </c>
      <c r="C788" s="16">
        <f>SUMIF(매도완료!$G:$G,Sheet2!$B788,매도완료!$P:$P)</f>
        <v>0</v>
      </c>
      <c r="D788" s="16">
        <f>SUMIF(매도완료!$J:$J,Sheet2!$B788,매도완료!$P:$P)</f>
        <v>0</v>
      </c>
      <c r="E788" s="16">
        <f t="shared" si="24"/>
        <v>82643710</v>
      </c>
      <c r="G788" s="16">
        <f>IF(D788=0,0,SUMIF(매도완료!$J:$J,Sheet2!$B788,매도완료!$S:$S))</f>
        <v>0</v>
      </c>
      <c r="H788" s="16">
        <f t="shared" si="25"/>
        <v>3420089.7080000006</v>
      </c>
    </row>
    <row r="789" spans="2:8" hidden="1" x14ac:dyDescent="0.4">
      <c r="B789" s="1">
        <v>43338</v>
      </c>
      <c r="C789" s="16">
        <f>SUMIF(매도완료!$G:$G,Sheet2!$B789,매도완료!$P:$P)</f>
        <v>0</v>
      </c>
      <c r="D789" s="16">
        <f>SUMIF(매도완료!$J:$J,Sheet2!$B789,매도완료!$P:$P)</f>
        <v>0</v>
      </c>
      <c r="E789" s="16">
        <f t="shared" si="24"/>
        <v>82643710</v>
      </c>
      <c r="G789" s="16">
        <f>IF(D789=0,0,SUMIF(매도완료!$J:$J,Sheet2!$B789,매도완료!$S:$S))</f>
        <v>0</v>
      </c>
      <c r="H789" s="16">
        <f t="shared" si="25"/>
        <v>3420089.7080000006</v>
      </c>
    </row>
    <row r="790" spans="2:8" hidden="1" x14ac:dyDescent="0.4">
      <c r="B790" s="1">
        <v>43339</v>
      </c>
      <c r="C790" s="16">
        <f>SUMIF(매도완료!$G:$G,Sheet2!$B790,매도완료!$P:$P)</f>
        <v>0</v>
      </c>
      <c r="D790" s="16">
        <f>SUMIF(매도완료!$J:$J,Sheet2!$B790,매도완료!$P:$P)</f>
        <v>0</v>
      </c>
      <c r="E790" s="16">
        <f t="shared" si="24"/>
        <v>82643710</v>
      </c>
      <c r="G790" s="16">
        <f>IF(D790=0,0,SUMIF(매도완료!$J:$J,Sheet2!$B790,매도완료!$S:$S))</f>
        <v>0</v>
      </c>
      <c r="H790" s="16">
        <f t="shared" si="25"/>
        <v>3420089.7080000006</v>
      </c>
    </row>
    <row r="791" spans="2:8" hidden="1" x14ac:dyDescent="0.4">
      <c r="B791" s="1">
        <v>43340</v>
      </c>
      <c r="C791" s="16">
        <f>SUMIF(매도완료!$G:$G,Sheet2!$B791,매도완료!$P:$P)</f>
        <v>0</v>
      </c>
      <c r="D791" s="16">
        <f>SUMIF(매도완료!$J:$J,Sheet2!$B791,매도완료!$P:$P)</f>
        <v>0</v>
      </c>
      <c r="E791" s="16">
        <f t="shared" si="24"/>
        <v>82643710</v>
      </c>
      <c r="G791" s="16">
        <f>IF(D791=0,0,SUMIF(매도완료!$J:$J,Sheet2!$B791,매도완료!$S:$S))</f>
        <v>0</v>
      </c>
      <c r="H791" s="16">
        <f t="shared" si="25"/>
        <v>3420089.7080000006</v>
      </c>
    </row>
    <row r="792" spans="2:8" hidden="1" x14ac:dyDescent="0.4">
      <c r="B792" s="1">
        <v>43341</v>
      </c>
      <c r="C792" s="16">
        <f>SUMIF(매도완료!$G:$G,Sheet2!$B792,매도완료!$P:$P)</f>
        <v>0</v>
      </c>
      <c r="D792" s="16">
        <f>SUMIF(매도완료!$J:$J,Sheet2!$B792,매도완료!$P:$P)</f>
        <v>2330000</v>
      </c>
      <c r="E792" s="16">
        <f t="shared" si="24"/>
        <v>80313710</v>
      </c>
      <c r="G792" s="16">
        <f>IF(D792=0,0,SUMIF(매도완료!$J:$J,Sheet2!$B792,매도완료!$S:$S))</f>
        <v>75620</v>
      </c>
      <c r="H792" s="16">
        <f t="shared" si="25"/>
        <v>3495709.7080000006</v>
      </c>
    </row>
    <row r="793" spans="2:8" hidden="1" x14ac:dyDescent="0.4">
      <c r="B793" s="1">
        <v>43342</v>
      </c>
      <c r="C793" s="16">
        <f>SUMIF(매도완료!$G:$G,Sheet2!$B793,매도완료!$P:$P)</f>
        <v>0</v>
      </c>
      <c r="D793" s="16">
        <f>SUMIF(매도완료!$J:$J,Sheet2!$B793,매도완료!$P:$P)</f>
        <v>0</v>
      </c>
      <c r="E793" s="16">
        <f t="shared" si="24"/>
        <v>80313710</v>
      </c>
      <c r="G793" s="16">
        <f>IF(D793=0,0,SUMIF(매도완료!$J:$J,Sheet2!$B793,매도완료!$S:$S))</f>
        <v>0</v>
      </c>
      <c r="H793" s="16">
        <f t="shared" si="25"/>
        <v>3495709.7080000006</v>
      </c>
    </row>
    <row r="794" spans="2:8" hidden="1" x14ac:dyDescent="0.4">
      <c r="B794" s="1">
        <v>43343</v>
      </c>
      <c r="C794" s="16">
        <f>SUMIF(매도완료!$G:$G,Sheet2!$B794,매도완료!$P:$P)</f>
        <v>0</v>
      </c>
      <c r="D794" s="16">
        <f>SUMIF(매도완료!$J:$J,Sheet2!$B794,매도완료!$P:$P)</f>
        <v>0</v>
      </c>
      <c r="E794" s="16">
        <f t="shared" si="24"/>
        <v>80313710</v>
      </c>
      <c r="G794" s="16">
        <f>IF(D794=0,0,SUMIF(매도완료!$J:$J,Sheet2!$B794,매도완료!$S:$S))</f>
        <v>0</v>
      </c>
      <c r="H794" s="16">
        <f t="shared" si="25"/>
        <v>3495709.7080000006</v>
      </c>
    </row>
    <row r="795" spans="2:8" hidden="1" x14ac:dyDescent="0.4">
      <c r="B795" s="1">
        <v>43344</v>
      </c>
      <c r="C795" s="16">
        <f>SUMIF(매도완료!$G:$G,Sheet2!$B795,매도완료!$P:$P)</f>
        <v>0</v>
      </c>
      <c r="D795" s="16">
        <f>SUMIF(매도완료!$J:$J,Sheet2!$B795,매도완료!$P:$P)</f>
        <v>0</v>
      </c>
      <c r="E795" s="16">
        <f t="shared" si="24"/>
        <v>80313710</v>
      </c>
      <c r="G795" s="16">
        <f>IF(D795=0,0,SUMIF(매도완료!$J:$J,Sheet2!$B795,매도완료!$S:$S))</f>
        <v>0</v>
      </c>
      <c r="H795" s="16">
        <f t="shared" si="25"/>
        <v>3495709.7080000006</v>
      </c>
    </row>
    <row r="796" spans="2:8" hidden="1" x14ac:dyDescent="0.4">
      <c r="B796" s="1">
        <v>43345</v>
      </c>
      <c r="C796" s="16">
        <f>SUMIF(매도완료!$G:$G,Sheet2!$B796,매도완료!$P:$P)</f>
        <v>0</v>
      </c>
      <c r="D796" s="16">
        <f>SUMIF(매도완료!$J:$J,Sheet2!$B796,매도완료!$P:$P)</f>
        <v>0</v>
      </c>
      <c r="E796" s="16">
        <f t="shared" si="24"/>
        <v>80313710</v>
      </c>
      <c r="G796" s="16">
        <f>IF(D796=0,0,SUMIF(매도완료!$J:$J,Sheet2!$B796,매도완료!$S:$S))</f>
        <v>0</v>
      </c>
      <c r="H796" s="16">
        <f t="shared" si="25"/>
        <v>3495709.7080000006</v>
      </c>
    </row>
    <row r="797" spans="2:8" hidden="1" x14ac:dyDescent="0.4">
      <c r="B797" s="1">
        <v>43346</v>
      </c>
      <c r="C797" s="16">
        <f>SUMIF(매도완료!$G:$G,Sheet2!$B797,매도완료!$P:$P)</f>
        <v>0</v>
      </c>
      <c r="D797" s="16">
        <f>SUMIF(매도완료!$J:$J,Sheet2!$B797,매도완료!$P:$P)</f>
        <v>0</v>
      </c>
      <c r="E797" s="16">
        <f t="shared" si="24"/>
        <v>80313710</v>
      </c>
      <c r="G797" s="16">
        <f>IF(D797=0,0,SUMIF(매도완료!$J:$J,Sheet2!$B797,매도완료!$S:$S))</f>
        <v>0</v>
      </c>
      <c r="H797" s="16">
        <f t="shared" si="25"/>
        <v>3495709.7080000006</v>
      </c>
    </row>
    <row r="798" spans="2:8" hidden="1" x14ac:dyDescent="0.4">
      <c r="B798" s="1">
        <v>43347</v>
      </c>
      <c r="C798" s="16">
        <f>SUMIF(매도완료!$G:$G,Sheet2!$B798,매도완료!$P:$P)</f>
        <v>0</v>
      </c>
      <c r="D798" s="16">
        <f>SUMIF(매도완료!$J:$J,Sheet2!$B798,매도완료!$P:$P)</f>
        <v>0</v>
      </c>
      <c r="E798" s="16">
        <f t="shared" si="24"/>
        <v>80313710</v>
      </c>
      <c r="G798" s="16">
        <f>IF(D798=0,0,SUMIF(매도완료!$J:$J,Sheet2!$B798,매도완료!$S:$S))</f>
        <v>0</v>
      </c>
      <c r="H798" s="16">
        <f t="shared" si="25"/>
        <v>3495709.7080000006</v>
      </c>
    </row>
    <row r="799" spans="2:8" hidden="1" x14ac:dyDescent="0.4">
      <c r="B799" s="1">
        <v>43348</v>
      </c>
      <c r="C799" s="16">
        <f>SUMIF(매도완료!$G:$G,Sheet2!$B799,매도완료!$P:$P)</f>
        <v>2866500</v>
      </c>
      <c r="D799" s="16">
        <f>SUMIF(매도완료!$J:$J,Sheet2!$B799,매도완료!$P:$P)</f>
        <v>0</v>
      </c>
      <c r="E799" s="16">
        <f t="shared" si="24"/>
        <v>83180210</v>
      </c>
      <c r="G799" s="16">
        <f>IF(D799=0,0,SUMIF(매도완료!$J:$J,Sheet2!$B799,매도완료!$S:$S))</f>
        <v>0</v>
      </c>
      <c r="H799" s="16">
        <f t="shared" si="25"/>
        <v>3495709.7080000006</v>
      </c>
    </row>
    <row r="800" spans="2:8" hidden="1" x14ac:dyDescent="0.4">
      <c r="B800" s="1">
        <v>43349</v>
      </c>
      <c r="C800" s="16">
        <f>SUMIF(매도완료!$G:$G,Sheet2!$B800,매도완료!$P:$P)</f>
        <v>0</v>
      </c>
      <c r="D800" s="16">
        <f>SUMIF(매도완료!$J:$J,Sheet2!$B800,매도완료!$P:$P)</f>
        <v>0</v>
      </c>
      <c r="E800" s="16">
        <f t="shared" si="24"/>
        <v>83180210</v>
      </c>
      <c r="G800" s="16">
        <f>IF(D800=0,0,SUMIF(매도완료!$J:$J,Sheet2!$B800,매도완료!$S:$S))</f>
        <v>0</v>
      </c>
      <c r="H800" s="16">
        <f t="shared" si="25"/>
        <v>3495709.7080000006</v>
      </c>
    </row>
    <row r="801" spans="2:8" hidden="1" x14ac:dyDescent="0.4">
      <c r="B801" s="1">
        <v>43350</v>
      </c>
      <c r="C801" s="16">
        <f>SUMIF(매도완료!$G:$G,Sheet2!$B801,매도완료!$P:$P)</f>
        <v>0</v>
      </c>
      <c r="D801" s="16">
        <f>SUMIF(매도완료!$J:$J,Sheet2!$B801,매도완료!$P:$P)</f>
        <v>0</v>
      </c>
      <c r="E801" s="16">
        <f t="shared" si="24"/>
        <v>83180210</v>
      </c>
      <c r="G801" s="16">
        <f>IF(D801=0,0,SUMIF(매도완료!$J:$J,Sheet2!$B801,매도완료!$S:$S))</f>
        <v>0</v>
      </c>
      <c r="H801" s="16">
        <f t="shared" si="25"/>
        <v>3495709.7080000006</v>
      </c>
    </row>
    <row r="802" spans="2:8" hidden="1" x14ac:dyDescent="0.4">
      <c r="B802" s="1">
        <v>43351</v>
      </c>
      <c r="C802" s="16">
        <f>SUMIF(매도완료!$G:$G,Sheet2!$B802,매도완료!$P:$P)</f>
        <v>0</v>
      </c>
      <c r="D802" s="16">
        <f>SUMIF(매도완료!$J:$J,Sheet2!$B802,매도완료!$P:$P)</f>
        <v>0</v>
      </c>
      <c r="E802" s="16">
        <f t="shared" si="24"/>
        <v>83180210</v>
      </c>
      <c r="G802" s="16">
        <f>IF(D802=0,0,SUMIF(매도완료!$J:$J,Sheet2!$B802,매도완료!$S:$S))</f>
        <v>0</v>
      </c>
      <c r="H802" s="16">
        <f t="shared" si="25"/>
        <v>3495709.7080000006</v>
      </c>
    </row>
    <row r="803" spans="2:8" hidden="1" x14ac:dyDescent="0.4">
      <c r="B803" s="1">
        <v>43352</v>
      </c>
      <c r="C803" s="16">
        <f>SUMIF(매도완료!$G:$G,Sheet2!$B803,매도완료!$P:$P)</f>
        <v>0</v>
      </c>
      <c r="D803" s="16">
        <f>SUMIF(매도완료!$J:$J,Sheet2!$B803,매도완료!$P:$P)</f>
        <v>0</v>
      </c>
      <c r="E803" s="16">
        <f t="shared" si="24"/>
        <v>83180210</v>
      </c>
      <c r="G803" s="16">
        <f>IF(D803=0,0,SUMIF(매도완료!$J:$J,Sheet2!$B803,매도완료!$S:$S))</f>
        <v>0</v>
      </c>
      <c r="H803" s="16">
        <f t="shared" si="25"/>
        <v>3495709.7080000006</v>
      </c>
    </row>
    <row r="804" spans="2:8" hidden="1" x14ac:dyDescent="0.4">
      <c r="B804" s="1">
        <v>43353</v>
      </c>
      <c r="C804" s="16">
        <f>SUMIF(매도완료!$G:$G,Sheet2!$B804,매도완료!$P:$P)</f>
        <v>0</v>
      </c>
      <c r="D804" s="16">
        <f>SUMIF(매도완료!$J:$J,Sheet2!$B804,매도완료!$P:$P)</f>
        <v>0</v>
      </c>
      <c r="E804" s="16">
        <f t="shared" si="24"/>
        <v>83180210</v>
      </c>
      <c r="G804" s="16">
        <f>IF(D804=0,0,SUMIF(매도완료!$J:$J,Sheet2!$B804,매도완료!$S:$S))</f>
        <v>0</v>
      </c>
      <c r="H804" s="16">
        <f t="shared" si="25"/>
        <v>3495709.7080000006</v>
      </c>
    </row>
    <row r="805" spans="2:8" hidden="1" x14ac:dyDescent="0.4">
      <c r="B805" s="1">
        <v>43354</v>
      </c>
      <c r="C805" s="16">
        <f>SUMIF(매도완료!$G:$G,Sheet2!$B805,매도완료!$P:$P)</f>
        <v>0</v>
      </c>
      <c r="D805" s="16">
        <f>SUMIF(매도완료!$J:$J,Sheet2!$B805,매도완료!$P:$P)</f>
        <v>0</v>
      </c>
      <c r="E805" s="16">
        <f t="shared" si="24"/>
        <v>83180210</v>
      </c>
      <c r="G805" s="16">
        <f>IF(D805=0,0,SUMIF(매도완료!$J:$J,Sheet2!$B805,매도완료!$S:$S))</f>
        <v>0</v>
      </c>
      <c r="H805" s="16">
        <f t="shared" si="25"/>
        <v>3495709.7080000006</v>
      </c>
    </row>
    <row r="806" spans="2:8" hidden="1" x14ac:dyDescent="0.4">
      <c r="B806" s="1">
        <v>43355</v>
      </c>
      <c r="C806" s="16">
        <f>SUMIF(매도완료!$G:$G,Sheet2!$B806,매도완료!$P:$P)</f>
        <v>0</v>
      </c>
      <c r="D806" s="16">
        <f>SUMIF(매도완료!$J:$J,Sheet2!$B806,매도완료!$P:$P)</f>
        <v>0</v>
      </c>
      <c r="E806" s="16">
        <f t="shared" si="24"/>
        <v>83180210</v>
      </c>
      <c r="G806" s="16">
        <f>IF(D806=0,0,SUMIF(매도완료!$J:$J,Sheet2!$B806,매도완료!$S:$S))</f>
        <v>0</v>
      </c>
      <c r="H806" s="16">
        <f t="shared" si="25"/>
        <v>3495709.7080000006</v>
      </c>
    </row>
    <row r="807" spans="2:8" hidden="1" x14ac:dyDescent="0.4">
      <c r="B807" s="1">
        <v>43356</v>
      </c>
      <c r="C807" s="16">
        <f>SUMIF(매도완료!$G:$G,Sheet2!$B807,매도완료!$P:$P)</f>
        <v>0</v>
      </c>
      <c r="D807" s="16">
        <f>SUMIF(매도완료!$J:$J,Sheet2!$B807,매도완료!$P:$P)</f>
        <v>1037000</v>
      </c>
      <c r="E807" s="16">
        <f t="shared" si="24"/>
        <v>82143210</v>
      </c>
      <c r="G807" s="16">
        <f>IF(D807=0,0,SUMIF(매도완료!$J:$J,Sheet2!$B807,매도완료!$S:$S))</f>
        <v>81793.8</v>
      </c>
      <c r="H807" s="16">
        <f t="shared" si="25"/>
        <v>3577503.5080000004</v>
      </c>
    </row>
    <row r="808" spans="2:8" hidden="1" x14ac:dyDescent="0.4">
      <c r="B808" s="1">
        <v>43357</v>
      </c>
      <c r="C808" s="16">
        <f>SUMIF(매도완료!$G:$G,Sheet2!$B808,매도완료!$P:$P)</f>
        <v>0</v>
      </c>
      <c r="D808" s="16">
        <f>SUMIF(매도완료!$J:$J,Sheet2!$B808,매도완료!$P:$P)</f>
        <v>0</v>
      </c>
      <c r="E808" s="16">
        <f t="shared" si="24"/>
        <v>82143210</v>
      </c>
      <c r="G808" s="16">
        <f>IF(D808=0,0,SUMIF(매도완료!$J:$J,Sheet2!$B808,매도완료!$S:$S))</f>
        <v>0</v>
      </c>
      <c r="H808" s="16">
        <f t="shared" si="25"/>
        <v>3577503.5080000004</v>
      </c>
    </row>
    <row r="809" spans="2:8" hidden="1" x14ac:dyDescent="0.4">
      <c r="B809" s="1">
        <v>43358</v>
      </c>
      <c r="C809" s="16">
        <f>SUMIF(매도완료!$G:$G,Sheet2!$B809,매도완료!$P:$P)</f>
        <v>0</v>
      </c>
      <c r="D809" s="16">
        <f>SUMIF(매도완료!$J:$J,Sheet2!$B809,매도완료!$P:$P)</f>
        <v>0</v>
      </c>
      <c r="E809" s="16">
        <f t="shared" si="24"/>
        <v>82143210</v>
      </c>
      <c r="G809" s="16">
        <f>IF(D809=0,0,SUMIF(매도완료!$J:$J,Sheet2!$B809,매도완료!$S:$S))</f>
        <v>0</v>
      </c>
      <c r="H809" s="16">
        <f t="shared" si="25"/>
        <v>3577503.5080000004</v>
      </c>
    </row>
    <row r="810" spans="2:8" hidden="1" x14ac:dyDescent="0.4">
      <c r="B810" s="1">
        <v>43359</v>
      </c>
      <c r="C810" s="16">
        <f>SUMIF(매도완료!$G:$G,Sheet2!$B810,매도완료!$P:$P)</f>
        <v>0</v>
      </c>
      <c r="D810" s="16">
        <f>SUMIF(매도완료!$J:$J,Sheet2!$B810,매도완료!$P:$P)</f>
        <v>0</v>
      </c>
      <c r="E810" s="16">
        <f t="shared" si="24"/>
        <v>82143210</v>
      </c>
      <c r="G810" s="16">
        <f>IF(D810=0,0,SUMIF(매도완료!$J:$J,Sheet2!$B810,매도완료!$S:$S))</f>
        <v>0</v>
      </c>
      <c r="H810" s="16">
        <f t="shared" si="25"/>
        <v>3577503.5080000004</v>
      </c>
    </row>
    <row r="811" spans="2:8" hidden="1" x14ac:dyDescent="0.4">
      <c r="B811" s="1">
        <v>43360</v>
      </c>
      <c r="C811" s="16">
        <f>SUMIF(매도완료!$G:$G,Sheet2!$B811,매도완료!$P:$P)</f>
        <v>0</v>
      </c>
      <c r="D811" s="16">
        <f>SUMIF(매도완료!$J:$J,Sheet2!$B811,매도완료!$P:$P)</f>
        <v>0</v>
      </c>
      <c r="E811" s="16">
        <f t="shared" si="24"/>
        <v>82143210</v>
      </c>
      <c r="G811" s="16">
        <f>IF(D811=0,0,SUMIF(매도완료!$J:$J,Sheet2!$B811,매도완료!$S:$S))</f>
        <v>0</v>
      </c>
      <c r="H811" s="16">
        <f t="shared" si="25"/>
        <v>3577503.5080000004</v>
      </c>
    </row>
    <row r="812" spans="2:8" hidden="1" x14ac:dyDescent="0.4">
      <c r="B812" s="1">
        <v>43361</v>
      </c>
      <c r="C812" s="16">
        <f>SUMIF(매도완료!$G:$G,Sheet2!$B812,매도완료!$P:$P)</f>
        <v>1346000</v>
      </c>
      <c r="D812" s="16">
        <f>SUMIF(매도완료!$J:$J,Sheet2!$B812,매도완료!$P:$P)</f>
        <v>0</v>
      </c>
      <c r="E812" s="16">
        <f t="shared" si="24"/>
        <v>83489210</v>
      </c>
      <c r="G812" s="16">
        <f>IF(D812=0,0,SUMIF(매도완료!$J:$J,Sheet2!$B812,매도완료!$S:$S))</f>
        <v>0</v>
      </c>
      <c r="H812" s="16">
        <f t="shared" si="25"/>
        <v>3577503.5080000004</v>
      </c>
    </row>
    <row r="813" spans="2:8" hidden="1" x14ac:dyDescent="0.4">
      <c r="B813" s="1">
        <v>43362</v>
      </c>
      <c r="C813" s="16">
        <f>SUMIF(매도완료!$G:$G,Sheet2!$B813,매도완료!$P:$P)</f>
        <v>995000</v>
      </c>
      <c r="D813" s="16">
        <f>SUMIF(매도완료!$J:$J,Sheet2!$B813,매도완료!$P:$P)</f>
        <v>1089000</v>
      </c>
      <c r="E813" s="16">
        <f t="shared" si="24"/>
        <v>83395210</v>
      </c>
      <c r="G813" s="16">
        <f>IF(D813=0,0,SUMIF(매도완료!$J:$J,Sheet2!$B813,매도완료!$S:$S))</f>
        <v>-98091</v>
      </c>
      <c r="H813" s="16">
        <f t="shared" si="25"/>
        <v>3479412.5080000004</v>
      </c>
    </row>
    <row r="814" spans="2:8" hidden="1" x14ac:dyDescent="0.4">
      <c r="B814" s="1">
        <v>43363</v>
      </c>
      <c r="C814" s="16">
        <f>SUMIF(매도완료!$G:$G,Sheet2!$B814,매도완료!$P:$P)</f>
        <v>0</v>
      </c>
      <c r="D814" s="16">
        <f>SUMIF(매도완료!$J:$J,Sheet2!$B814,매도완료!$P:$P)</f>
        <v>1522500</v>
      </c>
      <c r="E814" s="16">
        <f t="shared" si="24"/>
        <v>81872710</v>
      </c>
      <c r="G814" s="16">
        <f>IF(D814=0,0,SUMIF(매도완료!$J:$J,Sheet2!$B814,매도완료!$S:$S))</f>
        <v>67033</v>
      </c>
      <c r="H814" s="16">
        <f t="shared" si="25"/>
        <v>3546445.5080000004</v>
      </c>
    </row>
    <row r="815" spans="2:8" hidden="1" x14ac:dyDescent="0.4">
      <c r="B815" s="1">
        <v>43364</v>
      </c>
      <c r="C815" s="16">
        <f>SUMIF(매도완료!$G:$G,Sheet2!$B815,매도완료!$P:$P)</f>
        <v>0</v>
      </c>
      <c r="D815" s="16">
        <f>SUMIF(매도완료!$J:$J,Sheet2!$B815,매도완료!$P:$P)</f>
        <v>28320000</v>
      </c>
      <c r="E815" s="16">
        <f t="shared" si="24"/>
        <v>53552710</v>
      </c>
      <c r="G815" s="16">
        <f>IF(D815=0,0,SUMIF(매도완료!$J:$J,Sheet2!$B815,매도완료!$S:$S))</f>
        <v>20168160</v>
      </c>
      <c r="H815" s="16">
        <f t="shared" si="25"/>
        <v>23714605.508000001</v>
      </c>
    </row>
    <row r="816" spans="2:8" hidden="1" x14ac:dyDescent="0.4">
      <c r="B816" s="1">
        <v>43365</v>
      </c>
      <c r="C816" s="16">
        <f>SUMIF(매도완료!$G:$G,Sheet2!$B816,매도완료!$P:$P)</f>
        <v>0</v>
      </c>
      <c r="D816" s="16">
        <f>SUMIF(매도완료!$J:$J,Sheet2!$B816,매도완료!$P:$P)</f>
        <v>0</v>
      </c>
      <c r="E816" s="16">
        <f t="shared" si="24"/>
        <v>53552710</v>
      </c>
      <c r="G816" s="16">
        <f>IF(D816=0,0,SUMIF(매도완료!$J:$J,Sheet2!$B816,매도완료!$S:$S))</f>
        <v>0</v>
      </c>
      <c r="H816" s="16">
        <f t="shared" si="25"/>
        <v>23714605.508000001</v>
      </c>
    </row>
    <row r="817" spans="2:8" hidden="1" x14ac:dyDescent="0.4">
      <c r="B817" s="1">
        <v>43366</v>
      </c>
      <c r="C817" s="16">
        <f>SUMIF(매도완료!$G:$G,Sheet2!$B817,매도완료!$P:$P)</f>
        <v>0</v>
      </c>
      <c r="D817" s="16">
        <f>SUMIF(매도완료!$J:$J,Sheet2!$B817,매도완료!$P:$P)</f>
        <v>0</v>
      </c>
      <c r="E817" s="16">
        <f t="shared" si="24"/>
        <v>53552710</v>
      </c>
      <c r="G817" s="16">
        <f>IF(D817=0,0,SUMIF(매도완료!$J:$J,Sheet2!$B817,매도완료!$S:$S))</f>
        <v>0</v>
      </c>
      <c r="H817" s="16">
        <f t="shared" si="25"/>
        <v>23714605.508000001</v>
      </c>
    </row>
    <row r="818" spans="2:8" hidden="1" x14ac:dyDescent="0.4">
      <c r="B818" s="1">
        <v>43367</v>
      </c>
      <c r="C818" s="16">
        <f>SUMIF(매도완료!$G:$G,Sheet2!$B818,매도완료!$P:$P)</f>
        <v>0</v>
      </c>
      <c r="D818" s="16">
        <f>SUMIF(매도완료!$J:$J,Sheet2!$B818,매도완료!$P:$P)</f>
        <v>0</v>
      </c>
      <c r="E818" s="16">
        <f t="shared" si="24"/>
        <v>53552710</v>
      </c>
      <c r="G818" s="16">
        <f>IF(D818=0,0,SUMIF(매도완료!$J:$J,Sheet2!$B818,매도완료!$S:$S))</f>
        <v>0</v>
      </c>
      <c r="H818" s="16">
        <f t="shared" si="25"/>
        <v>23714605.508000001</v>
      </c>
    </row>
    <row r="819" spans="2:8" hidden="1" x14ac:dyDescent="0.4">
      <c r="B819" s="1">
        <v>43368</v>
      </c>
      <c r="C819" s="16">
        <f>SUMIF(매도완료!$G:$G,Sheet2!$B819,매도완료!$P:$P)</f>
        <v>0</v>
      </c>
      <c r="D819" s="16">
        <f>SUMIF(매도완료!$J:$J,Sheet2!$B819,매도완료!$P:$P)</f>
        <v>0</v>
      </c>
      <c r="E819" s="16">
        <f t="shared" si="24"/>
        <v>53552710</v>
      </c>
      <c r="G819" s="16">
        <f>IF(D819=0,0,SUMIF(매도완료!$J:$J,Sheet2!$B819,매도완료!$S:$S))</f>
        <v>0</v>
      </c>
      <c r="H819" s="16">
        <f t="shared" si="25"/>
        <v>23714605.508000001</v>
      </c>
    </row>
    <row r="820" spans="2:8" hidden="1" x14ac:dyDescent="0.4">
      <c r="B820" s="1">
        <v>43369</v>
      </c>
      <c r="C820" s="16">
        <f>SUMIF(매도완료!$G:$G,Sheet2!$B820,매도완료!$P:$P)</f>
        <v>0</v>
      </c>
      <c r="D820" s="16">
        <f>SUMIF(매도완료!$J:$J,Sheet2!$B820,매도완료!$P:$P)</f>
        <v>0</v>
      </c>
      <c r="E820" s="16">
        <f t="shared" si="24"/>
        <v>53552710</v>
      </c>
      <c r="G820" s="16">
        <f>IF(D820=0,0,SUMIF(매도완료!$J:$J,Sheet2!$B820,매도완료!$S:$S))</f>
        <v>0</v>
      </c>
      <c r="H820" s="16">
        <f t="shared" si="25"/>
        <v>23714605.508000001</v>
      </c>
    </row>
    <row r="821" spans="2:8" hidden="1" x14ac:dyDescent="0.4">
      <c r="B821" s="1">
        <v>43370</v>
      </c>
      <c r="C821" s="16">
        <f>SUMIF(매도완료!$G:$G,Sheet2!$B821,매도완료!$P:$P)</f>
        <v>0</v>
      </c>
      <c r="D821" s="16">
        <f>SUMIF(매도완료!$J:$J,Sheet2!$B821,매도완료!$P:$P)</f>
        <v>0</v>
      </c>
      <c r="E821" s="16">
        <f t="shared" si="24"/>
        <v>53552710</v>
      </c>
      <c r="G821" s="16">
        <f>IF(D821=0,0,SUMIF(매도완료!$J:$J,Sheet2!$B821,매도완료!$S:$S))</f>
        <v>0</v>
      </c>
      <c r="H821" s="16">
        <f t="shared" si="25"/>
        <v>23714605.508000001</v>
      </c>
    </row>
    <row r="822" spans="2:8" hidden="1" x14ac:dyDescent="0.4">
      <c r="B822" s="1">
        <v>43371</v>
      </c>
      <c r="C822" s="16">
        <f>SUMIF(매도완료!$G:$G,Sheet2!$B822,매도완료!$P:$P)</f>
        <v>0</v>
      </c>
      <c r="D822" s="16">
        <f>SUMIF(매도완료!$J:$J,Sheet2!$B822,매도완료!$P:$P)</f>
        <v>0</v>
      </c>
      <c r="E822" s="16">
        <f t="shared" si="24"/>
        <v>53552710</v>
      </c>
      <c r="G822" s="16">
        <f>IF(D822=0,0,SUMIF(매도완료!$J:$J,Sheet2!$B822,매도완료!$S:$S))</f>
        <v>0</v>
      </c>
      <c r="H822" s="16">
        <f t="shared" si="25"/>
        <v>23714605.508000001</v>
      </c>
    </row>
    <row r="823" spans="2:8" hidden="1" x14ac:dyDescent="0.4">
      <c r="B823" s="1">
        <v>43372</v>
      </c>
      <c r="C823" s="16">
        <f>SUMIF(매도완료!$G:$G,Sheet2!$B823,매도완료!$P:$P)</f>
        <v>0</v>
      </c>
      <c r="D823" s="16">
        <f>SUMIF(매도완료!$J:$J,Sheet2!$B823,매도완료!$P:$P)</f>
        <v>0</v>
      </c>
      <c r="E823" s="16">
        <f t="shared" si="24"/>
        <v>53552710</v>
      </c>
      <c r="G823" s="16">
        <f>IF(D823=0,0,SUMIF(매도완료!$J:$J,Sheet2!$B823,매도완료!$S:$S))</f>
        <v>0</v>
      </c>
      <c r="H823" s="16">
        <f t="shared" si="25"/>
        <v>23714605.508000001</v>
      </c>
    </row>
    <row r="824" spans="2:8" hidden="1" x14ac:dyDescent="0.4">
      <c r="B824" s="1">
        <v>43373</v>
      </c>
      <c r="C824" s="16">
        <f>SUMIF(매도완료!$G:$G,Sheet2!$B824,매도완료!$P:$P)</f>
        <v>0</v>
      </c>
      <c r="D824" s="16">
        <f>SUMIF(매도완료!$J:$J,Sheet2!$B824,매도완료!$P:$P)</f>
        <v>0</v>
      </c>
      <c r="E824" s="16">
        <f t="shared" si="24"/>
        <v>53552710</v>
      </c>
      <c r="G824" s="16">
        <f>IF(D824=0,0,SUMIF(매도완료!$J:$J,Sheet2!$B824,매도완료!$S:$S))</f>
        <v>0</v>
      </c>
      <c r="H824" s="16">
        <f t="shared" si="25"/>
        <v>23714605.508000001</v>
      </c>
    </row>
    <row r="825" spans="2:8" hidden="1" x14ac:dyDescent="0.4">
      <c r="B825" s="1">
        <v>43374</v>
      </c>
      <c r="C825" s="16">
        <f>SUMIF(매도완료!$G:$G,Sheet2!$B825,매도완료!$P:$P)</f>
        <v>15250000</v>
      </c>
      <c r="D825" s="16">
        <f>SUMIF(매도완료!$J:$J,Sheet2!$B825,매도완료!$P:$P)</f>
        <v>0</v>
      </c>
      <c r="E825" s="16">
        <f t="shared" si="24"/>
        <v>68802710</v>
      </c>
      <c r="G825" s="16">
        <f>IF(D825=0,0,SUMIF(매도완료!$J:$J,Sheet2!$B825,매도완료!$S:$S))</f>
        <v>0</v>
      </c>
      <c r="H825" s="16">
        <f t="shared" si="25"/>
        <v>23714605.508000001</v>
      </c>
    </row>
    <row r="826" spans="2:8" hidden="1" x14ac:dyDescent="0.4">
      <c r="B826" s="1">
        <v>43375</v>
      </c>
      <c r="C826" s="16">
        <f>SUMIF(매도완료!$G:$G,Sheet2!$B826,매도완료!$P:$P)</f>
        <v>11276000</v>
      </c>
      <c r="D826" s="16">
        <f>SUMIF(매도완료!$J:$J,Sheet2!$B826,매도완료!$P:$P)</f>
        <v>1657000</v>
      </c>
      <c r="E826" s="16">
        <f t="shared" si="24"/>
        <v>78421710</v>
      </c>
      <c r="G826" s="16">
        <f>IF(D826=0,0,SUMIF(매도완료!$J:$J,Sheet2!$B826,매도완료!$S:$S))</f>
        <v>-248850.91</v>
      </c>
      <c r="H826" s="16">
        <f t="shared" si="25"/>
        <v>23465754.598000001</v>
      </c>
    </row>
    <row r="827" spans="2:8" hidden="1" x14ac:dyDescent="0.4">
      <c r="B827" s="1">
        <v>43376</v>
      </c>
      <c r="C827" s="16">
        <f>SUMIF(매도완료!$G:$G,Sheet2!$B827,매도완료!$P:$P)</f>
        <v>0</v>
      </c>
      <c r="D827" s="16">
        <f>SUMIF(매도완료!$J:$J,Sheet2!$B827,매도완료!$P:$P)</f>
        <v>0</v>
      </c>
      <c r="E827" s="16">
        <f t="shared" si="24"/>
        <v>78421710</v>
      </c>
      <c r="G827" s="16">
        <f>IF(D827=0,0,SUMIF(매도완료!$J:$J,Sheet2!$B827,매도완료!$S:$S))</f>
        <v>0</v>
      </c>
      <c r="H827" s="16">
        <f t="shared" si="25"/>
        <v>23465754.598000001</v>
      </c>
    </row>
    <row r="828" spans="2:8" hidden="1" x14ac:dyDescent="0.4">
      <c r="B828" s="1">
        <v>43377</v>
      </c>
      <c r="C828" s="16">
        <f>SUMIF(매도완료!$G:$G,Sheet2!$B828,매도완료!$P:$P)</f>
        <v>0</v>
      </c>
      <c r="D828" s="16">
        <f>SUMIF(매도완료!$J:$J,Sheet2!$B828,매도완료!$P:$P)</f>
        <v>0</v>
      </c>
      <c r="E828" s="16">
        <f t="shared" si="24"/>
        <v>78421710</v>
      </c>
      <c r="G828" s="16">
        <f>IF(D828=0,0,SUMIF(매도완료!$J:$J,Sheet2!$B828,매도완료!$S:$S))</f>
        <v>0</v>
      </c>
      <c r="H828" s="16">
        <f t="shared" si="25"/>
        <v>23465754.598000001</v>
      </c>
    </row>
    <row r="829" spans="2:8" hidden="1" x14ac:dyDescent="0.4">
      <c r="B829" s="1">
        <v>43378</v>
      </c>
      <c r="C829" s="16">
        <f>SUMIF(매도완료!$G:$G,Sheet2!$B829,매도완료!$P:$P)</f>
        <v>1960000</v>
      </c>
      <c r="D829" s="16">
        <f>SUMIF(매도완료!$J:$J,Sheet2!$B829,매도완료!$P:$P)</f>
        <v>0</v>
      </c>
      <c r="E829" s="16">
        <f t="shared" si="24"/>
        <v>80381710</v>
      </c>
      <c r="G829" s="16">
        <f>IF(D829=0,0,SUMIF(매도완료!$J:$J,Sheet2!$B829,매도완료!$S:$S))</f>
        <v>0</v>
      </c>
      <c r="H829" s="16">
        <f t="shared" si="25"/>
        <v>23465754.598000001</v>
      </c>
    </row>
    <row r="830" spans="2:8" hidden="1" x14ac:dyDescent="0.4">
      <c r="B830" s="1">
        <v>43379</v>
      </c>
      <c r="C830" s="16">
        <f>SUMIF(매도완료!$G:$G,Sheet2!$B830,매도완료!$P:$P)</f>
        <v>0</v>
      </c>
      <c r="D830" s="16">
        <f>SUMIF(매도완료!$J:$J,Sheet2!$B830,매도완료!$P:$P)</f>
        <v>0</v>
      </c>
      <c r="E830" s="16">
        <f t="shared" si="24"/>
        <v>80381710</v>
      </c>
      <c r="G830" s="16">
        <f>IF(D830=0,0,SUMIF(매도완료!$J:$J,Sheet2!$B830,매도완료!$S:$S))</f>
        <v>0</v>
      </c>
      <c r="H830" s="16">
        <f t="shared" si="25"/>
        <v>23465754.598000001</v>
      </c>
    </row>
    <row r="831" spans="2:8" hidden="1" x14ac:dyDescent="0.4">
      <c r="B831" s="1">
        <v>43380</v>
      </c>
      <c r="C831" s="16">
        <f>SUMIF(매도완료!$G:$G,Sheet2!$B831,매도완료!$P:$P)</f>
        <v>0</v>
      </c>
      <c r="D831" s="16">
        <f>SUMIF(매도완료!$J:$J,Sheet2!$B831,매도완료!$P:$P)</f>
        <v>0</v>
      </c>
      <c r="E831" s="16">
        <f t="shared" si="24"/>
        <v>80381710</v>
      </c>
      <c r="G831" s="16">
        <f>IF(D831=0,0,SUMIF(매도완료!$J:$J,Sheet2!$B831,매도완료!$S:$S))</f>
        <v>0</v>
      </c>
      <c r="H831" s="16">
        <f t="shared" si="25"/>
        <v>23465754.598000001</v>
      </c>
    </row>
    <row r="832" spans="2:8" hidden="1" x14ac:dyDescent="0.4">
      <c r="B832" s="1">
        <v>43381</v>
      </c>
      <c r="C832" s="16">
        <f>SUMIF(매도완료!$G:$G,Sheet2!$B832,매도완료!$P:$P)</f>
        <v>1189000</v>
      </c>
      <c r="D832" s="16">
        <f>SUMIF(매도완료!$J:$J,Sheet2!$B832,매도완료!$P:$P)</f>
        <v>0</v>
      </c>
      <c r="E832" s="16">
        <f t="shared" si="24"/>
        <v>81570710</v>
      </c>
      <c r="G832" s="16">
        <f>IF(D832=0,0,SUMIF(매도완료!$J:$J,Sheet2!$B832,매도완료!$S:$S))</f>
        <v>0</v>
      </c>
      <c r="H832" s="16">
        <f t="shared" si="25"/>
        <v>23465754.598000001</v>
      </c>
    </row>
    <row r="833" spans="2:8" hidden="1" x14ac:dyDescent="0.4">
      <c r="B833" s="1">
        <v>43382</v>
      </c>
      <c r="C833" s="16">
        <f>SUMIF(매도완료!$G:$G,Sheet2!$B833,매도완료!$P:$P)</f>
        <v>0</v>
      </c>
      <c r="D833" s="16">
        <f>SUMIF(매도완료!$J:$J,Sheet2!$B833,매도완료!$P:$P)</f>
        <v>0</v>
      </c>
      <c r="E833" s="16">
        <f t="shared" si="24"/>
        <v>81570710</v>
      </c>
      <c r="G833" s="16">
        <f>IF(D833=0,0,SUMIF(매도완료!$J:$J,Sheet2!$B833,매도완료!$S:$S))</f>
        <v>0</v>
      </c>
      <c r="H833" s="16">
        <f t="shared" si="25"/>
        <v>23465754.598000001</v>
      </c>
    </row>
    <row r="834" spans="2:8" hidden="1" x14ac:dyDescent="0.4">
      <c r="B834" s="1">
        <v>43383</v>
      </c>
      <c r="C834" s="16">
        <f>SUMIF(매도완료!$G:$G,Sheet2!$B834,매도완료!$P:$P)</f>
        <v>0</v>
      </c>
      <c r="D834" s="16">
        <f>SUMIF(매도완료!$J:$J,Sheet2!$B834,매도완료!$P:$P)</f>
        <v>0</v>
      </c>
      <c r="E834" s="16">
        <f t="shared" si="24"/>
        <v>81570710</v>
      </c>
      <c r="G834" s="16">
        <f>IF(D834=0,0,SUMIF(매도완료!$J:$J,Sheet2!$B834,매도완료!$S:$S))</f>
        <v>0</v>
      </c>
      <c r="H834" s="16">
        <f t="shared" si="25"/>
        <v>23465754.598000001</v>
      </c>
    </row>
    <row r="835" spans="2:8" hidden="1" x14ac:dyDescent="0.4">
      <c r="B835" s="1">
        <v>43384</v>
      </c>
      <c r="C835" s="16">
        <f>SUMIF(매도완료!$G:$G,Sheet2!$B835,매도완료!$P:$P)</f>
        <v>1165000</v>
      </c>
      <c r="D835" s="16">
        <f>SUMIF(매도완료!$J:$J,Sheet2!$B835,매도완료!$P:$P)</f>
        <v>0</v>
      </c>
      <c r="E835" s="16">
        <f t="shared" si="24"/>
        <v>82735710</v>
      </c>
      <c r="G835" s="16">
        <f>IF(D835=0,0,SUMIF(매도완료!$J:$J,Sheet2!$B835,매도완료!$S:$S))</f>
        <v>0</v>
      </c>
      <c r="H835" s="16">
        <f t="shared" si="25"/>
        <v>23465754.598000001</v>
      </c>
    </row>
    <row r="836" spans="2:8" hidden="1" x14ac:dyDescent="0.4">
      <c r="B836" s="1">
        <v>43385</v>
      </c>
      <c r="C836" s="16">
        <f>SUMIF(매도완료!$G:$G,Sheet2!$B836,매도완료!$P:$P)</f>
        <v>0</v>
      </c>
      <c r="D836" s="16">
        <f>SUMIF(매도완료!$J:$J,Sheet2!$B836,매도완료!$P:$P)</f>
        <v>0</v>
      </c>
      <c r="E836" s="16">
        <f t="shared" ref="E836:E899" si="26">E835+C836-D836</f>
        <v>82735710</v>
      </c>
      <c r="G836" s="16">
        <f>IF(D836=0,0,SUMIF(매도완료!$J:$J,Sheet2!$B836,매도완료!$S:$S))</f>
        <v>0</v>
      </c>
      <c r="H836" s="16">
        <f t="shared" ref="H836:H899" si="27">H835+G836</f>
        <v>23465754.598000001</v>
      </c>
    </row>
    <row r="837" spans="2:8" hidden="1" x14ac:dyDescent="0.4">
      <c r="B837" s="1">
        <v>43386</v>
      </c>
      <c r="C837" s="16">
        <f>SUMIF(매도완료!$G:$G,Sheet2!$B837,매도완료!$P:$P)</f>
        <v>0</v>
      </c>
      <c r="D837" s="16">
        <f>SUMIF(매도완료!$J:$J,Sheet2!$B837,매도완료!$P:$P)</f>
        <v>0</v>
      </c>
      <c r="E837" s="16">
        <f t="shared" si="26"/>
        <v>82735710</v>
      </c>
      <c r="G837" s="16">
        <f>IF(D837=0,0,SUMIF(매도완료!$J:$J,Sheet2!$B837,매도완료!$S:$S))</f>
        <v>0</v>
      </c>
      <c r="H837" s="16">
        <f t="shared" si="27"/>
        <v>23465754.598000001</v>
      </c>
    </row>
    <row r="838" spans="2:8" hidden="1" x14ac:dyDescent="0.4">
      <c r="B838" s="1">
        <v>43387</v>
      </c>
      <c r="C838" s="16">
        <f>SUMIF(매도완료!$G:$G,Sheet2!$B838,매도완료!$P:$P)</f>
        <v>0</v>
      </c>
      <c r="D838" s="16">
        <f>SUMIF(매도완료!$J:$J,Sheet2!$B838,매도완료!$P:$P)</f>
        <v>0</v>
      </c>
      <c r="E838" s="16">
        <f t="shared" si="26"/>
        <v>82735710</v>
      </c>
      <c r="G838" s="16">
        <f>IF(D838=0,0,SUMIF(매도완료!$J:$J,Sheet2!$B838,매도완료!$S:$S))</f>
        <v>0</v>
      </c>
      <c r="H838" s="16">
        <f t="shared" si="27"/>
        <v>23465754.598000001</v>
      </c>
    </row>
    <row r="839" spans="2:8" hidden="1" x14ac:dyDescent="0.4">
      <c r="B839" s="1">
        <v>43388</v>
      </c>
      <c r="C839" s="16">
        <f>SUMIF(매도완료!$G:$G,Sheet2!$B839,매도완료!$P:$P)</f>
        <v>0</v>
      </c>
      <c r="D839" s="16">
        <f>SUMIF(매도완료!$J:$J,Sheet2!$B839,매도완료!$P:$P)</f>
        <v>0</v>
      </c>
      <c r="E839" s="16">
        <f t="shared" si="26"/>
        <v>82735710</v>
      </c>
      <c r="G839" s="16">
        <f>IF(D839=0,0,SUMIF(매도완료!$J:$J,Sheet2!$B839,매도완료!$S:$S))</f>
        <v>0</v>
      </c>
      <c r="H839" s="16">
        <f t="shared" si="27"/>
        <v>23465754.598000001</v>
      </c>
    </row>
    <row r="840" spans="2:8" hidden="1" x14ac:dyDescent="0.4">
      <c r="B840" s="1">
        <v>43389</v>
      </c>
      <c r="C840" s="16">
        <f>SUMIF(매도완료!$G:$G,Sheet2!$B840,매도완료!$P:$P)</f>
        <v>0</v>
      </c>
      <c r="D840" s="16">
        <f>SUMIF(매도완료!$J:$J,Sheet2!$B840,매도완료!$P:$P)</f>
        <v>0</v>
      </c>
      <c r="E840" s="16">
        <f t="shared" si="26"/>
        <v>82735710</v>
      </c>
      <c r="G840" s="16">
        <f>IF(D840=0,0,SUMIF(매도완료!$J:$J,Sheet2!$B840,매도완료!$S:$S))</f>
        <v>0</v>
      </c>
      <c r="H840" s="16">
        <f t="shared" si="27"/>
        <v>23465754.598000001</v>
      </c>
    </row>
    <row r="841" spans="2:8" hidden="1" x14ac:dyDescent="0.4">
      <c r="B841" s="1">
        <v>43390</v>
      </c>
      <c r="C841" s="16">
        <f>SUMIF(매도완료!$G:$G,Sheet2!$B841,매도완료!$P:$P)</f>
        <v>0</v>
      </c>
      <c r="D841" s="16">
        <f>SUMIF(매도완료!$J:$J,Sheet2!$B841,매도완료!$P:$P)</f>
        <v>2354000</v>
      </c>
      <c r="E841" s="16">
        <f t="shared" si="26"/>
        <v>80381710</v>
      </c>
      <c r="G841" s="16">
        <f>IF(D841=0,0,SUMIF(매도완료!$J:$J,Sheet2!$B841,매도완료!$S:$S))</f>
        <v>31680</v>
      </c>
      <c r="H841" s="16">
        <f t="shared" si="27"/>
        <v>23497434.598000001</v>
      </c>
    </row>
    <row r="842" spans="2:8" hidden="1" x14ac:dyDescent="0.4">
      <c r="B842" s="1">
        <v>43391</v>
      </c>
      <c r="C842" s="16">
        <f>SUMIF(매도완료!$G:$G,Sheet2!$B842,매도완료!$P:$P)</f>
        <v>0</v>
      </c>
      <c r="D842" s="16">
        <f>SUMIF(매도완료!$J:$J,Sheet2!$B842,매도완료!$P:$P)</f>
        <v>0</v>
      </c>
      <c r="E842" s="16">
        <f t="shared" si="26"/>
        <v>80381710</v>
      </c>
      <c r="G842" s="16">
        <f>IF(D842=0,0,SUMIF(매도완료!$J:$J,Sheet2!$B842,매도완료!$S:$S))</f>
        <v>0</v>
      </c>
      <c r="H842" s="16">
        <f t="shared" si="27"/>
        <v>23497434.598000001</v>
      </c>
    </row>
    <row r="843" spans="2:8" hidden="1" x14ac:dyDescent="0.4">
      <c r="B843" s="1">
        <v>43392</v>
      </c>
      <c r="C843" s="16">
        <f>SUMIF(매도완료!$G:$G,Sheet2!$B843,매도완료!$P:$P)</f>
        <v>0</v>
      </c>
      <c r="D843" s="16">
        <f>SUMIF(매도완료!$J:$J,Sheet2!$B843,매도완료!$P:$P)</f>
        <v>0</v>
      </c>
      <c r="E843" s="16">
        <f t="shared" si="26"/>
        <v>80381710</v>
      </c>
      <c r="G843" s="16">
        <f>IF(D843=0,0,SUMIF(매도완료!$J:$J,Sheet2!$B843,매도완료!$S:$S))</f>
        <v>0</v>
      </c>
      <c r="H843" s="16">
        <f t="shared" si="27"/>
        <v>23497434.598000001</v>
      </c>
    </row>
    <row r="844" spans="2:8" hidden="1" x14ac:dyDescent="0.4">
      <c r="B844" s="1">
        <v>43393</v>
      </c>
      <c r="C844" s="16">
        <f>SUMIF(매도완료!$G:$G,Sheet2!$B844,매도완료!$P:$P)</f>
        <v>0</v>
      </c>
      <c r="D844" s="16">
        <f>SUMIF(매도완료!$J:$J,Sheet2!$B844,매도완료!$P:$P)</f>
        <v>0</v>
      </c>
      <c r="E844" s="16">
        <f t="shared" si="26"/>
        <v>80381710</v>
      </c>
      <c r="G844" s="16">
        <f>IF(D844=0,0,SUMIF(매도완료!$J:$J,Sheet2!$B844,매도완료!$S:$S))</f>
        <v>0</v>
      </c>
      <c r="H844" s="16">
        <f t="shared" si="27"/>
        <v>23497434.598000001</v>
      </c>
    </row>
    <row r="845" spans="2:8" hidden="1" x14ac:dyDescent="0.4">
      <c r="B845" s="1">
        <v>43394</v>
      </c>
      <c r="C845" s="16">
        <f>SUMIF(매도완료!$G:$G,Sheet2!$B845,매도완료!$P:$P)</f>
        <v>0</v>
      </c>
      <c r="D845" s="16">
        <f>SUMIF(매도완료!$J:$J,Sheet2!$B845,매도완료!$P:$P)</f>
        <v>0</v>
      </c>
      <c r="E845" s="16">
        <f t="shared" si="26"/>
        <v>80381710</v>
      </c>
      <c r="G845" s="16">
        <f>IF(D845=0,0,SUMIF(매도완료!$J:$J,Sheet2!$B845,매도완료!$S:$S))</f>
        <v>0</v>
      </c>
      <c r="H845" s="16">
        <f t="shared" si="27"/>
        <v>23497434.598000001</v>
      </c>
    </row>
    <row r="846" spans="2:8" hidden="1" x14ac:dyDescent="0.4">
      <c r="B846" s="1">
        <v>43395</v>
      </c>
      <c r="C846" s="16">
        <f>SUMIF(매도완료!$G:$G,Sheet2!$B846,매도완료!$P:$P)</f>
        <v>0</v>
      </c>
      <c r="D846" s="16">
        <f>SUMIF(매도완료!$J:$J,Sheet2!$B846,매도완료!$P:$P)</f>
        <v>0</v>
      </c>
      <c r="E846" s="16">
        <f t="shared" si="26"/>
        <v>80381710</v>
      </c>
      <c r="G846" s="16">
        <f>IF(D846=0,0,SUMIF(매도완료!$J:$J,Sheet2!$B846,매도완료!$S:$S))</f>
        <v>0</v>
      </c>
      <c r="H846" s="16">
        <f t="shared" si="27"/>
        <v>23497434.598000001</v>
      </c>
    </row>
    <row r="847" spans="2:8" hidden="1" x14ac:dyDescent="0.4">
      <c r="B847" s="1">
        <v>43396</v>
      </c>
      <c r="C847" s="16">
        <f>SUMIF(매도완료!$G:$G,Sheet2!$B847,매도완료!$P:$P)</f>
        <v>0</v>
      </c>
      <c r="D847" s="16">
        <f>SUMIF(매도완료!$J:$J,Sheet2!$B847,매도완료!$P:$P)</f>
        <v>0</v>
      </c>
      <c r="E847" s="16">
        <f t="shared" si="26"/>
        <v>80381710</v>
      </c>
      <c r="G847" s="16">
        <f>IF(D847=0,0,SUMIF(매도완료!$J:$J,Sheet2!$B847,매도완료!$S:$S))</f>
        <v>0</v>
      </c>
      <c r="H847" s="16">
        <f t="shared" si="27"/>
        <v>23497434.598000001</v>
      </c>
    </row>
    <row r="848" spans="2:8" hidden="1" x14ac:dyDescent="0.4">
      <c r="B848" s="1">
        <v>43397</v>
      </c>
      <c r="C848" s="16">
        <f>SUMIF(매도완료!$G:$G,Sheet2!$B848,매도완료!$P:$P)</f>
        <v>0</v>
      </c>
      <c r="D848" s="16">
        <f>SUMIF(매도완료!$J:$J,Sheet2!$B848,매도완료!$P:$P)</f>
        <v>0</v>
      </c>
      <c r="E848" s="16">
        <f t="shared" si="26"/>
        <v>80381710</v>
      </c>
      <c r="G848" s="16">
        <f>IF(D848=0,0,SUMIF(매도완료!$J:$J,Sheet2!$B848,매도완료!$S:$S))</f>
        <v>0</v>
      </c>
      <c r="H848" s="16">
        <f t="shared" si="27"/>
        <v>23497434.598000001</v>
      </c>
    </row>
    <row r="849" spans="2:8" hidden="1" x14ac:dyDescent="0.4">
      <c r="B849" s="1">
        <v>43398</v>
      </c>
      <c r="C849" s="16">
        <f>SUMIF(매도완료!$G:$G,Sheet2!$B849,매도완료!$P:$P)</f>
        <v>0</v>
      </c>
      <c r="D849" s="16">
        <f>SUMIF(매도완료!$J:$J,Sheet2!$B849,매도완료!$P:$P)</f>
        <v>0</v>
      </c>
      <c r="E849" s="16">
        <f t="shared" si="26"/>
        <v>80381710</v>
      </c>
      <c r="G849" s="16">
        <f>IF(D849=0,0,SUMIF(매도완료!$J:$J,Sheet2!$B849,매도완료!$S:$S))</f>
        <v>0</v>
      </c>
      <c r="H849" s="16">
        <f t="shared" si="27"/>
        <v>23497434.598000001</v>
      </c>
    </row>
    <row r="850" spans="2:8" hidden="1" x14ac:dyDescent="0.4">
      <c r="B850" s="1">
        <v>43399</v>
      </c>
      <c r="C850" s="16">
        <f>SUMIF(매도완료!$G:$G,Sheet2!$B850,매도완료!$P:$P)</f>
        <v>0</v>
      </c>
      <c r="D850" s="16">
        <f>SUMIF(매도완료!$J:$J,Sheet2!$B850,매도완료!$P:$P)</f>
        <v>0</v>
      </c>
      <c r="E850" s="16">
        <f t="shared" si="26"/>
        <v>80381710</v>
      </c>
      <c r="G850" s="16">
        <f>IF(D850=0,0,SUMIF(매도완료!$J:$J,Sheet2!$B850,매도완료!$S:$S))</f>
        <v>0</v>
      </c>
      <c r="H850" s="16">
        <f t="shared" si="27"/>
        <v>23497434.598000001</v>
      </c>
    </row>
    <row r="851" spans="2:8" hidden="1" x14ac:dyDescent="0.4">
      <c r="B851" s="1">
        <v>43400</v>
      </c>
      <c r="C851" s="16">
        <f>SUMIF(매도완료!$G:$G,Sheet2!$B851,매도완료!$P:$P)</f>
        <v>0</v>
      </c>
      <c r="D851" s="16">
        <f>SUMIF(매도완료!$J:$J,Sheet2!$B851,매도완료!$P:$P)</f>
        <v>0</v>
      </c>
      <c r="E851" s="16">
        <f t="shared" si="26"/>
        <v>80381710</v>
      </c>
      <c r="G851" s="16">
        <f>IF(D851=0,0,SUMIF(매도완료!$J:$J,Sheet2!$B851,매도완료!$S:$S))</f>
        <v>0</v>
      </c>
      <c r="H851" s="16">
        <f t="shared" si="27"/>
        <v>23497434.598000001</v>
      </c>
    </row>
    <row r="852" spans="2:8" hidden="1" x14ac:dyDescent="0.4">
      <c r="B852" s="1">
        <v>43401</v>
      </c>
      <c r="C852" s="16">
        <f>SUMIF(매도완료!$G:$G,Sheet2!$B852,매도완료!$P:$P)</f>
        <v>0</v>
      </c>
      <c r="D852" s="16">
        <f>SUMIF(매도완료!$J:$J,Sheet2!$B852,매도완료!$P:$P)</f>
        <v>0</v>
      </c>
      <c r="E852" s="16">
        <f t="shared" si="26"/>
        <v>80381710</v>
      </c>
      <c r="G852" s="16">
        <f>IF(D852=0,0,SUMIF(매도완료!$J:$J,Sheet2!$B852,매도완료!$S:$S))</f>
        <v>0</v>
      </c>
      <c r="H852" s="16">
        <f t="shared" si="27"/>
        <v>23497434.598000001</v>
      </c>
    </row>
    <row r="853" spans="2:8" hidden="1" x14ac:dyDescent="0.4">
      <c r="B853" s="1">
        <v>43402</v>
      </c>
      <c r="C853" s="16">
        <f>SUMIF(매도완료!$G:$G,Sheet2!$B853,매도완료!$P:$P)</f>
        <v>0</v>
      </c>
      <c r="D853" s="16">
        <f>SUMIF(매도완료!$J:$J,Sheet2!$B853,매도완료!$P:$P)</f>
        <v>0</v>
      </c>
      <c r="E853" s="16">
        <f t="shared" si="26"/>
        <v>80381710</v>
      </c>
      <c r="G853" s="16">
        <f>IF(D853=0,0,SUMIF(매도완료!$J:$J,Sheet2!$B853,매도완료!$S:$S))</f>
        <v>0</v>
      </c>
      <c r="H853" s="16">
        <f t="shared" si="27"/>
        <v>23497434.598000001</v>
      </c>
    </row>
    <row r="854" spans="2:8" hidden="1" x14ac:dyDescent="0.4">
      <c r="B854" s="1">
        <v>43403</v>
      </c>
      <c r="C854" s="16">
        <f>SUMIF(매도완료!$G:$G,Sheet2!$B854,매도완료!$P:$P)</f>
        <v>0</v>
      </c>
      <c r="D854" s="16">
        <f>SUMIF(매도완료!$J:$J,Sheet2!$B854,매도완료!$P:$P)</f>
        <v>0</v>
      </c>
      <c r="E854" s="16">
        <f t="shared" si="26"/>
        <v>80381710</v>
      </c>
      <c r="G854" s="16">
        <f>IF(D854=0,0,SUMIF(매도완료!$J:$J,Sheet2!$B854,매도완료!$S:$S))</f>
        <v>0</v>
      </c>
      <c r="H854" s="16">
        <f t="shared" si="27"/>
        <v>23497434.598000001</v>
      </c>
    </row>
    <row r="855" spans="2:8" hidden="1" x14ac:dyDescent="0.4">
      <c r="B855" s="1">
        <v>43404</v>
      </c>
      <c r="C855" s="16">
        <f>SUMIF(매도완료!$G:$G,Sheet2!$B855,매도완료!$P:$P)</f>
        <v>0</v>
      </c>
      <c r="D855" s="16">
        <f>SUMIF(매도완료!$J:$J,Sheet2!$B855,매도완료!$P:$P)</f>
        <v>0</v>
      </c>
      <c r="E855" s="16">
        <f t="shared" si="26"/>
        <v>80381710</v>
      </c>
      <c r="G855" s="16">
        <f>IF(D855=0,0,SUMIF(매도완료!$J:$J,Sheet2!$B855,매도완료!$S:$S))</f>
        <v>0</v>
      </c>
      <c r="H855" s="16">
        <f t="shared" si="27"/>
        <v>23497434.598000001</v>
      </c>
    </row>
    <row r="856" spans="2:8" hidden="1" x14ac:dyDescent="0.4">
      <c r="B856" s="1">
        <v>43405</v>
      </c>
      <c r="C856" s="16">
        <f>SUMIF(매도완료!$G:$G,Sheet2!$B856,매도완료!$P:$P)</f>
        <v>0</v>
      </c>
      <c r="D856" s="16">
        <f>SUMIF(매도완료!$J:$J,Sheet2!$B856,매도완료!$P:$P)</f>
        <v>0</v>
      </c>
      <c r="E856" s="16">
        <f t="shared" si="26"/>
        <v>80381710</v>
      </c>
      <c r="G856" s="16">
        <f>IF(D856=0,0,SUMIF(매도완료!$J:$J,Sheet2!$B856,매도완료!$S:$S))</f>
        <v>0</v>
      </c>
      <c r="H856" s="16">
        <f t="shared" si="27"/>
        <v>23497434.598000001</v>
      </c>
    </row>
    <row r="857" spans="2:8" hidden="1" x14ac:dyDescent="0.4">
      <c r="B857" s="1">
        <v>43406</v>
      </c>
      <c r="C857" s="16">
        <f>SUMIF(매도완료!$G:$G,Sheet2!$B857,매도완료!$P:$P)</f>
        <v>0</v>
      </c>
      <c r="D857" s="16">
        <f>SUMIF(매도완료!$J:$J,Sheet2!$B857,매도완료!$P:$P)</f>
        <v>0</v>
      </c>
      <c r="E857" s="16">
        <f t="shared" si="26"/>
        <v>80381710</v>
      </c>
      <c r="G857" s="16">
        <f>IF(D857=0,0,SUMIF(매도완료!$J:$J,Sheet2!$B857,매도완료!$S:$S))</f>
        <v>0</v>
      </c>
      <c r="H857" s="16">
        <f t="shared" si="27"/>
        <v>23497434.598000001</v>
      </c>
    </row>
    <row r="858" spans="2:8" hidden="1" x14ac:dyDescent="0.4">
      <c r="B858" s="1">
        <v>43407</v>
      </c>
      <c r="C858" s="16">
        <f>SUMIF(매도완료!$G:$G,Sheet2!$B858,매도완료!$P:$P)</f>
        <v>0</v>
      </c>
      <c r="D858" s="16">
        <f>SUMIF(매도완료!$J:$J,Sheet2!$B858,매도완료!$P:$P)</f>
        <v>0</v>
      </c>
      <c r="E858" s="16">
        <f t="shared" si="26"/>
        <v>80381710</v>
      </c>
      <c r="G858" s="16">
        <f>IF(D858=0,0,SUMIF(매도완료!$J:$J,Sheet2!$B858,매도완료!$S:$S))</f>
        <v>0</v>
      </c>
      <c r="H858" s="16">
        <f t="shared" si="27"/>
        <v>23497434.598000001</v>
      </c>
    </row>
    <row r="859" spans="2:8" hidden="1" x14ac:dyDescent="0.4">
      <c r="B859" s="1">
        <v>43408</v>
      </c>
      <c r="C859" s="16">
        <f>SUMIF(매도완료!$G:$G,Sheet2!$B859,매도완료!$P:$P)</f>
        <v>0</v>
      </c>
      <c r="D859" s="16">
        <f>SUMIF(매도완료!$J:$J,Sheet2!$B859,매도완료!$P:$P)</f>
        <v>0</v>
      </c>
      <c r="E859" s="16">
        <f t="shared" si="26"/>
        <v>80381710</v>
      </c>
      <c r="G859" s="16">
        <f>IF(D859=0,0,SUMIF(매도완료!$J:$J,Sheet2!$B859,매도완료!$S:$S))</f>
        <v>0</v>
      </c>
      <c r="H859" s="16">
        <f t="shared" si="27"/>
        <v>23497434.598000001</v>
      </c>
    </row>
    <row r="860" spans="2:8" hidden="1" x14ac:dyDescent="0.4">
      <c r="B860" s="1">
        <v>43409</v>
      </c>
      <c r="C860" s="16">
        <f>SUMIF(매도완료!$G:$G,Sheet2!$B860,매도완료!$P:$P)</f>
        <v>0</v>
      </c>
      <c r="D860" s="16">
        <f>SUMIF(매도완료!$J:$J,Sheet2!$B860,매도완료!$P:$P)</f>
        <v>0</v>
      </c>
      <c r="E860" s="16">
        <f t="shared" si="26"/>
        <v>80381710</v>
      </c>
      <c r="G860" s="16">
        <f>IF(D860=0,0,SUMIF(매도완료!$J:$J,Sheet2!$B860,매도완료!$S:$S))</f>
        <v>0</v>
      </c>
      <c r="H860" s="16">
        <f t="shared" si="27"/>
        <v>23497434.598000001</v>
      </c>
    </row>
    <row r="861" spans="2:8" hidden="1" x14ac:dyDescent="0.4">
      <c r="B861" s="1">
        <v>43410</v>
      </c>
      <c r="C861" s="16">
        <f>SUMIF(매도완료!$G:$G,Sheet2!$B861,매도완료!$P:$P)</f>
        <v>0</v>
      </c>
      <c r="D861" s="16">
        <f>SUMIF(매도완료!$J:$J,Sheet2!$B861,매도완료!$P:$P)</f>
        <v>0</v>
      </c>
      <c r="E861" s="16">
        <f t="shared" si="26"/>
        <v>80381710</v>
      </c>
      <c r="G861" s="16">
        <f>IF(D861=0,0,SUMIF(매도완료!$J:$J,Sheet2!$B861,매도완료!$S:$S))</f>
        <v>0</v>
      </c>
      <c r="H861" s="16">
        <f t="shared" si="27"/>
        <v>23497434.598000001</v>
      </c>
    </row>
    <row r="862" spans="2:8" hidden="1" x14ac:dyDescent="0.4">
      <c r="B862" s="1">
        <v>43411</v>
      </c>
      <c r="C862" s="16">
        <f>SUMIF(매도완료!$G:$G,Sheet2!$B862,매도완료!$P:$P)</f>
        <v>0</v>
      </c>
      <c r="D862" s="16">
        <f>SUMIF(매도완료!$J:$J,Sheet2!$B862,매도완료!$P:$P)</f>
        <v>0</v>
      </c>
      <c r="E862" s="16">
        <f t="shared" si="26"/>
        <v>80381710</v>
      </c>
      <c r="G862" s="16">
        <f>IF(D862=0,0,SUMIF(매도완료!$J:$J,Sheet2!$B862,매도완료!$S:$S))</f>
        <v>0</v>
      </c>
      <c r="H862" s="16">
        <f t="shared" si="27"/>
        <v>23497434.598000001</v>
      </c>
    </row>
    <row r="863" spans="2:8" hidden="1" x14ac:dyDescent="0.4">
      <c r="B863" s="1">
        <v>43412</v>
      </c>
      <c r="C863" s="16">
        <f>SUMIF(매도완료!$G:$G,Sheet2!$B863,매도완료!$P:$P)</f>
        <v>0</v>
      </c>
      <c r="D863" s="16">
        <f>SUMIF(매도완료!$J:$J,Sheet2!$B863,매도완료!$P:$P)</f>
        <v>684000</v>
      </c>
      <c r="E863" s="16">
        <f t="shared" si="26"/>
        <v>79697710</v>
      </c>
      <c r="G863" s="16">
        <f>IF(D863=0,0,SUMIF(매도완료!$J:$J,Sheet2!$B863,매도완료!$S:$S))</f>
        <v>34731</v>
      </c>
      <c r="H863" s="16">
        <f t="shared" si="27"/>
        <v>23532165.598000001</v>
      </c>
    </row>
    <row r="864" spans="2:8" hidden="1" x14ac:dyDescent="0.4">
      <c r="B864" s="1">
        <v>43413</v>
      </c>
      <c r="C864" s="16">
        <f>SUMIF(매도완료!$G:$G,Sheet2!$B864,매도완료!$P:$P)</f>
        <v>0</v>
      </c>
      <c r="D864" s="16">
        <f>SUMIF(매도완료!$J:$J,Sheet2!$B864,매도완료!$P:$P)</f>
        <v>0</v>
      </c>
      <c r="E864" s="16">
        <f t="shared" si="26"/>
        <v>79697710</v>
      </c>
      <c r="G864" s="16">
        <f>IF(D864=0,0,SUMIF(매도완료!$J:$J,Sheet2!$B864,매도완료!$S:$S))</f>
        <v>0</v>
      </c>
      <c r="H864" s="16">
        <f t="shared" si="27"/>
        <v>23532165.598000001</v>
      </c>
    </row>
    <row r="865" spans="2:8" hidden="1" x14ac:dyDescent="0.4">
      <c r="B865" s="1">
        <v>43414</v>
      </c>
      <c r="C865" s="16">
        <f>SUMIF(매도완료!$G:$G,Sheet2!$B865,매도완료!$P:$P)</f>
        <v>0</v>
      </c>
      <c r="D865" s="16">
        <f>SUMIF(매도완료!$J:$J,Sheet2!$B865,매도완료!$P:$P)</f>
        <v>0</v>
      </c>
      <c r="E865" s="16">
        <f t="shared" si="26"/>
        <v>79697710</v>
      </c>
      <c r="G865" s="16">
        <f>IF(D865=0,0,SUMIF(매도완료!$J:$J,Sheet2!$B865,매도완료!$S:$S))</f>
        <v>0</v>
      </c>
      <c r="H865" s="16">
        <f t="shared" si="27"/>
        <v>23532165.598000001</v>
      </c>
    </row>
    <row r="866" spans="2:8" hidden="1" x14ac:dyDescent="0.4">
      <c r="B866" s="1">
        <v>43415</v>
      </c>
      <c r="C866" s="16">
        <f>SUMIF(매도완료!$G:$G,Sheet2!$B866,매도완료!$P:$P)</f>
        <v>0</v>
      </c>
      <c r="D866" s="16">
        <f>SUMIF(매도완료!$J:$J,Sheet2!$B866,매도완료!$P:$P)</f>
        <v>0</v>
      </c>
      <c r="E866" s="16">
        <f t="shared" si="26"/>
        <v>79697710</v>
      </c>
      <c r="G866" s="16">
        <f>IF(D866=0,0,SUMIF(매도완료!$J:$J,Sheet2!$B866,매도완료!$S:$S))</f>
        <v>0</v>
      </c>
      <c r="H866" s="16">
        <f t="shared" si="27"/>
        <v>23532165.598000001</v>
      </c>
    </row>
    <row r="867" spans="2:8" hidden="1" x14ac:dyDescent="0.4">
      <c r="B867" s="1">
        <v>43416</v>
      </c>
      <c r="C867" s="16">
        <f>SUMIF(매도완료!$G:$G,Sheet2!$B867,매도완료!$P:$P)</f>
        <v>0</v>
      </c>
      <c r="D867" s="16">
        <f>SUMIF(매도완료!$J:$J,Sheet2!$B867,매도완료!$P:$P)</f>
        <v>0</v>
      </c>
      <c r="E867" s="16">
        <f t="shared" si="26"/>
        <v>79697710</v>
      </c>
      <c r="G867" s="16">
        <f>IF(D867=0,0,SUMIF(매도완료!$J:$J,Sheet2!$B867,매도완료!$S:$S))</f>
        <v>0</v>
      </c>
      <c r="H867" s="16">
        <f t="shared" si="27"/>
        <v>23532165.598000001</v>
      </c>
    </row>
    <row r="868" spans="2:8" hidden="1" x14ac:dyDescent="0.4">
      <c r="B868" s="1">
        <v>43417</v>
      </c>
      <c r="C868" s="16">
        <f>SUMIF(매도완료!$G:$G,Sheet2!$B868,매도완료!$P:$P)</f>
        <v>0</v>
      </c>
      <c r="D868" s="16">
        <f>SUMIF(매도완료!$J:$J,Sheet2!$B868,매도완료!$P:$P)</f>
        <v>0</v>
      </c>
      <c r="E868" s="16">
        <f t="shared" si="26"/>
        <v>79697710</v>
      </c>
      <c r="G868" s="16">
        <f>IF(D868=0,0,SUMIF(매도완료!$J:$J,Sheet2!$B868,매도완료!$S:$S))</f>
        <v>0</v>
      </c>
      <c r="H868" s="16">
        <f t="shared" si="27"/>
        <v>23532165.598000001</v>
      </c>
    </row>
    <row r="869" spans="2:8" hidden="1" x14ac:dyDescent="0.4">
      <c r="B869" s="1">
        <v>43418</v>
      </c>
      <c r="C869" s="16">
        <f>SUMIF(매도완료!$G:$G,Sheet2!$B869,매도완료!$P:$P)</f>
        <v>0</v>
      </c>
      <c r="D869" s="16">
        <f>SUMIF(매도완료!$J:$J,Sheet2!$B869,매도완료!$P:$P)</f>
        <v>0</v>
      </c>
      <c r="E869" s="16">
        <f t="shared" si="26"/>
        <v>79697710</v>
      </c>
      <c r="G869" s="16">
        <f>IF(D869=0,0,SUMIF(매도완료!$J:$J,Sheet2!$B869,매도완료!$S:$S))</f>
        <v>0</v>
      </c>
      <c r="H869" s="16">
        <f t="shared" si="27"/>
        <v>23532165.598000001</v>
      </c>
    </row>
    <row r="870" spans="2:8" hidden="1" x14ac:dyDescent="0.4">
      <c r="B870" s="1">
        <v>43419</v>
      </c>
      <c r="C870" s="16">
        <f>SUMIF(매도완료!$G:$G,Sheet2!$B870,매도완료!$P:$P)</f>
        <v>0</v>
      </c>
      <c r="D870" s="16">
        <f>SUMIF(매도완료!$J:$J,Sheet2!$B870,매도완료!$P:$P)</f>
        <v>0</v>
      </c>
      <c r="E870" s="16">
        <f t="shared" si="26"/>
        <v>79697710</v>
      </c>
      <c r="G870" s="16">
        <f>IF(D870=0,0,SUMIF(매도완료!$J:$J,Sheet2!$B870,매도완료!$S:$S))</f>
        <v>0</v>
      </c>
      <c r="H870" s="16">
        <f t="shared" si="27"/>
        <v>23532165.598000001</v>
      </c>
    </row>
    <row r="871" spans="2:8" hidden="1" x14ac:dyDescent="0.4">
      <c r="B871" s="1">
        <v>43420</v>
      </c>
      <c r="C871" s="16">
        <f>SUMIF(매도완료!$G:$G,Sheet2!$B871,매도완료!$P:$P)</f>
        <v>0</v>
      </c>
      <c r="D871" s="16">
        <f>SUMIF(매도완료!$J:$J,Sheet2!$B871,매도완료!$P:$P)</f>
        <v>0</v>
      </c>
      <c r="E871" s="16">
        <f t="shared" si="26"/>
        <v>79697710</v>
      </c>
      <c r="G871" s="16">
        <f>IF(D871=0,0,SUMIF(매도완료!$J:$J,Sheet2!$B871,매도완료!$S:$S))</f>
        <v>0</v>
      </c>
      <c r="H871" s="16">
        <f t="shared" si="27"/>
        <v>23532165.598000001</v>
      </c>
    </row>
    <row r="872" spans="2:8" hidden="1" x14ac:dyDescent="0.4">
      <c r="B872" s="1">
        <v>43421</v>
      </c>
      <c r="C872" s="16">
        <f>SUMIF(매도완료!$G:$G,Sheet2!$B872,매도완료!$P:$P)</f>
        <v>0</v>
      </c>
      <c r="D872" s="16">
        <f>SUMIF(매도완료!$J:$J,Sheet2!$B872,매도완료!$P:$P)</f>
        <v>0</v>
      </c>
      <c r="E872" s="16">
        <f t="shared" si="26"/>
        <v>79697710</v>
      </c>
      <c r="G872" s="16">
        <f>IF(D872=0,0,SUMIF(매도완료!$J:$J,Sheet2!$B872,매도완료!$S:$S))</f>
        <v>0</v>
      </c>
      <c r="H872" s="16">
        <f t="shared" si="27"/>
        <v>23532165.598000001</v>
      </c>
    </row>
    <row r="873" spans="2:8" hidden="1" x14ac:dyDescent="0.4">
      <c r="B873" s="1">
        <v>43422</v>
      </c>
      <c r="C873" s="16">
        <f>SUMIF(매도완료!$G:$G,Sheet2!$B873,매도완료!$P:$P)</f>
        <v>0</v>
      </c>
      <c r="D873" s="16">
        <f>SUMIF(매도완료!$J:$J,Sheet2!$B873,매도완료!$P:$P)</f>
        <v>0</v>
      </c>
      <c r="E873" s="16">
        <f t="shared" si="26"/>
        <v>79697710</v>
      </c>
      <c r="G873" s="16">
        <f>IF(D873=0,0,SUMIF(매도완료!$J:$J,Sheet2!$B873,매도완료!$S:$S))</f>
        <v>0</v>
      </c>
      <c r="H873" s="16">
        <f t="shared" si="27"/>
        <v>23532165.598000001</v>
      </c>
    </row>
    <row r="874" spans="2:8" hidden="1" x14ac:dyDescent="0.4">
      <c r="B874" s="1">
        <v>43423</v>
      </c>
      <c r="C874" s="16">
        <f>SUMIF(매도완료!$G:$G,Sheet2!$B874,매도완료!$P:$P)</f>
        <v>0</v>
      </c>
      <c r="D874" s="16">
        <f>SUMIF(매도완료!$J:$J,Sheet2!$B874,매도완료!$P:$P)</f>
        <v>0</v>
      </c>
      <c r="E874" s="16">
        <f t="shared" si="26"/>
        <v>79697710</v>
      </c>
      <c r="G874" s="16">
        <f>IF(D874=0,0,SUMIF(매도완료!$J:$J,Sheet2!$B874,매도완료!$S:$S))</f>
        <v>0</v>
      </c>
      <c r="H874" s="16">
        <f t="shared" si="27"/>
        <v>23532165.598000001</v>
      </c>
    </row>
    <row r="875" spans="2:8" hidden="1" x14ac:dyDescent="0.4">
      <c r="B875" s="1">
        <v>43424</v>
      </c>
      <c r="C875" s="16">
        <f>SUMIF(매도완료!$G:$G,Sheet2!$B875,매도완료!$P:$P)</f>
        <v>0</v>
      </c>
      <c r="D875" s="16">
        <f>SUMIF(매도완료!$J:$J,Sheet2!$B875,매도완료!$P:$P)</f>
        <v>0</v>
      </c>
      <c r="E875" s="16">
        <f t="shared" si="26"/>
        <v>79697710</v>
      </c>
      <c r="G875" s="16">
        <f>IF(D875=0,0,SUMIF(매도완료!$J:$J,Sheet2!$B875,매도완료!$S:$S))</f>
        <v>0</v>
      </c>
      <c r="H875" s="16">
        <f t="shared" si="27"/>
        <v>23532165.598000001</v>
      </c>
    </row>
    <row r="876" spans="2:8" hidden="1" x14ac:dyDescent="0.4">
      <c r="B876" s="1">
        <v>43425</v>
      </c>
      <c r="C876" s="16">
        <f>SUMIF(매도완료!$G:$G,Sheet2!$B876,매도완료!$P:$P)</f>
        <v>0</v>
      </c>
      <c r="D876" s="16">
        <f>SUMIF(매도완료!$J:$J,Sheet2!$B876,매도완료!$P:$P)</f>
        <v>0</v>
      </c>
      <c r="E876" s="16">
        <f t="shared" si="26"/>
        <v>79697710</v>
      </c>
      <c r="G876" s="16">
        <f>IF(D876=0,0,SUMIF(매도완료!$J:$J,Sheet2!$B876,매도완료!$S:$S))</f>
        <v>0</v>
      </c>
      <c r="H876" s="16">
        <f t="shared" si="27"/>
        <v>23532165.598000001</v>
      </c>
    </row>
    <row r="877" spans="2:8" hidden="1" x14ac:dyDescent="0.4">
      <c r="B877" s="1">
        <v>43426</v>
      </c>
      <c r="C877" s="16">
        <f>SUMIF(매도완료!$G:$G,Sheet2!$B877,매도완료!$P:$P)</f>
        <v>0</v>
      </c>
      <c r="D877" s="16">
        <f>SUMIF(매도완료!$J:$J,Sheet2!$B877,매도완료!$P:$P)</f>
        <v>0</v>
      </c>
      <c r="E877" s="16">
        <f t="shared" si="26"/>
        <v>79697710</v>
      </c>
      <c r="G877" s="16">
        <f>IF(D877=0,0,SUMIF(매도완료!$J:$J,Sheet2!$B877,매도완료!$S:$S))</f>
        <v>0</v>
      </c>
      <c r="H877" s="16">
        <f t="shared" si="27"/>
        <v>23532165.598000001</v>
      </c>
    </row>
    <row r="878" spans="2:8" hidden="1" x14ac:dyDescent="0.4">
      <c r="B878" s="1">
        <v>43427</v>
      </c>
      <c r="C878" s="16">
        <f>SUMIF(매도완료!$G:$G,Sheet2!$B878,매도완료!$P:$P)</f>
        <v>0</v>
      </c>
      <c r="D878" s="16">
        <f>SUMIF(매도완료!$J:$J,Sheet2!$B878,매도완료!$P:$P)</f>
        <v>0</v>
      </c>
      <c r="E878" s="16">
        <f t="shared" si="26"/>
        <v>79697710</v>
      </c>
      <c r="G878" s="16">
        <f>IF(D878=0,0,SUMIF(매도완료!$J:$J,Sheet2!$B878,매도완료!$S:$S))</f>
        <v>0</v>
      </c>
      <c r="H878" s="16">
        <f t="shared" si="27"/>
        <v>23532165.598000001</v>
      </c>
    </row>
    <row r="879" spans="2:8" hidden="1" x14ac:dyDescent="0.4">
      <c r="B879" s="1">
        <v>43428</v>
      </c>
      <c r="C879" s="16">
        <f>SUMIF(매도완료!$G:$G,Sheet2!$B879,매도완료!$P:$P)</f>
        <v>0</v>
      </c>
      <c r="D879" s="16">
        <f>SUMIF(매도완료!$J:$J,Sheet2!$B879,매도완료!$P:$P)</f>
        <v>0</v>
      </c>
      <c r="E879" s="16">
        <f t="shared" si="26"/>
        <v>79697710</v>
      </c>
      <c r="G879" s="16">
        <f>IF(D879=0,0,SUMIF(매도완료!$J:$J,Sheet2!$B879,매도완료!$S:$S))</f>
        <v>0</v>
      </c>
      <c r="H879" s="16">
        <f t="shared" si="27"/>
        <v>23532165.598000001</v>
      </c>
    </row>
    <row r="880" spans="2:8" hidden="1" x14ac:dyDescent="0.4">
      <c r="B880" s="1">
        <v>43429</v>
      </c>
      <c r="C880" s="16">
        <f>SUMIF(매도완료!$G:$G,Sheet2!$B880,매도완료!$P:$P)</f>
        <v>0</v>
      </c>
      <c r="D880" s="16">
        <f>SUMIF(매도완료!$J:$J,Sheet2!$B880,매도완료!$P:$P)</f>
        <v>0</v>
      </c>
      <c r="E880" s="16">
        <f t="shared" si="26"/>
        <v>79697710</v>
      </c>
      <c r="G880" s="16">
        <f>IF(D880=0,0,SUMIF(매도완료!$J:$J,Sheet2!$B880,매도완료!$S:$S))</f>
        <v>0</v>
      </c>
      <c r="H880" s="16">
        <f t="shared" si="27"/>
        <v>23532165.598000001</v>
      </c>
    </row>
    <row r="881" spans="2:8" hidden="1" x14ac:dyDescent="0.4">
      <c r="B881" s="1">
        <v>43430</v>
      </c>
      <c r="C881" s="16">
        <f>SUMIF(매도완료!$G:$G,Sheet2!$B881,매도완료!$P:$P)</f>
        <v>3255000</v>
      </c>
      <c r="D881" s="16">
        <f>SUMIF(매도완료!$J:$J,Sheet2!$B881,매도완료!$P:$P)</f>
        <v>5700000</v>
      </c>
      <c r="E881" s="16">
        <f t="shared" si="26"/>
        <v>77252710</v>
      </c>
      <c r="G881" s="16">
        <f>IF(D881=0,0,SUMIF(매도완료!$J:$J,Sheet2!$B881,매도완료!$S:$S))</f>
        <v>174860</v>
      </c>
      <c r="H881" s="16">
        <f t="shared" si="27"/>
        <v>23707025.598000001</v>
      </c>
    </row>
    <row r="882" spans="2:8" hidden="1" x14ac:dyDescent="0.4">
      <c r="B882" s="1">
        <v>43431</v>
      </c>
      <c r="C882" s="16">
        <f>SUMIF(매도완료!$G:$G,Sheet2!$B882,매도완료!$P:$P)</f>
        <v>0</v>
      </c>
      <c r="D882" s="16">
        <f>SUMIF(매도완료!$J:$J,Sheet2!$B882,매도완료!$P:$P)</f>
        <v>0</v>
      </c>
      <c r="E882" s="16">
        <f t="shared" si="26"/>
        <v>77252710</v>
      </c>
      <c r="G882" s="16">
        <f>IF(D882=0,0,SUMIF(매도완료!$J:$J,Sheet2!$B882,매도완료!$S:$S))</f>
        <v>0</v>
      </c>
      <c r="H882" s="16">
        <f t="shared" si="27"/>
        <v>23707025.598000001</v>
      </c>
    </row>
    <row r="883" spans="2:8" hidden="1" x14ac:dyDescent="0.4">
      <c r="B883" s="1">
        <v>43432</v>
      </c>
      <c r="C883" s="16">
        <f>SUMIF(매도완료!$G:$G,Sheet2!$B883,매도완료!$P:$P)</f>
        <v>483750</v>
      </c>
      <c r="D883" s="16">
        <f>SUMIF(매도완료!$J:$J,Sheet2!$B883,매도완료!$P:$P)</f>
        <v>0</v>
      </c>
      <c r="E883" s="16">
        <f t="shared" si="26"/>
        <v>77736460</v>
      </c>
      <c r="G883" s="16">
        <f>IF(D883=0,0,SUMIF(매도완료!$J:$J,Sheet2!$B883,매도완료!$S:$S))</f>
        <v>0</v>
      </c>
      <c r="H883" s="16">
        <f t="shared" si="27"/>
        <v>23707025.598000001</v>
      </c>
    </row>
    <row r="884" spans="2:8" hidden="1" x14ac:dyDescent="0.4">
      <c r="B884" s="1">
        <v>43433</v>
      </c>
      <c r="C884" s="16">
        <f>SUMIF(매도완료!$G:$G,Sheet2!$B884,매도완료!$P:$P)</f>
        <v>0</v>
      </c>
      <c r="D884" s="16">
        <f>SUMIF(매도완료!$J:$J,Sheet2!$B884,매도완료!$P:$P)</f>
        <v>0</v>
      </c>
      <c r="E884" s="16">
        <f t="shared" si="26"/>
        <v>77736460</v>
      </c>
      <c r="G884" s="16">
        <f>IF(D884=0,0,SUMIF(매도완료!$J:$J,Sheet2!$B884,매도완료!$S:$S))</f>
        <v>0</v>
      </c>
      <c r="H884" s="16">
        <f t="shared" si="27"/>
        <v>23707025.598000001</v>
      </c>
    </row>
    <row r="885" spans="2:8" hidden="1" x14ac:dyDescent="0.4">
      <c r="B885" s="1">
        <v>43434</v>
      </c>
      <c r="C885" s="16">
        <f>SUMIF(매도완료!$G:$G,Sheet2!$B885,매도완료!$P:$P)</f>
        <v>0</v>
      </c>
      <c r="D885" s="16">
        <f>SUMIF(매도완료!$J:$J,Sheet2!$B885,매도완료!$P:$P)</f>
        <v>0</v>
      </c>
      <c r="E885" s="16">
        <f t="shared" si="26"/>
        <v>77736460</v>
      </c>
      <c r="G885" s="16">
        <f>IF(D885=0,0,SUMIF(매도완료!$J:$J,Sheet2!$B885,매도완료!$S:$S))</f>
        <v>0</v>
      </c>
      <c r="H885" s="16">
        <f t="shared" si="27"/>
        <v>23707025.598000001</v>
      </c>
    </row>
    <row r="886" spans="2:8" hidden="1" x14ac:dyDescent="0.4">
      <c r="B886" s="1">
        <v>43435</v>
      </c>
      <c r="C886" s="16">
        <f>SUMIF(매도완료!$G:$G,Sheet2!$B886,매도완료!$P:$P)</f>
        <v>0</v>
      </c>
      <c r="D886" s="16">
        <f>SUMIF(매도완료!$J:$J,Sheet2!$B886,매도완료!$P:$P)</f>
        <v>0</v>
      </c>
      <c r="E886" s="16">
        <f t="shared" si="26"/>
        <v>77736460</v>
      </c>
      <c r="G886" s="16">
        <f>IF(D886=0,0,SUMIF(매도완료!$J:$J,Sheet2!$B886,매도완료!$S:$S))</f>
        <v>0</v>
      </c>
      <c r="H886" s="16">
        <f t="shared" si="27"/>
        <v>23707025.598000001</v>
      </c>
    </row>
    <row r="887" spans="2:8" hidden="1" x14ac:dyDescent="0.4">
      <c r="B887" s="1">
        <v>43436</v>
      </c>
      <c r="C887" s="16">
        <f>SUMIF(매도완료!$G:$G,Sheet2!$B887,매도완료!$P:$P)</f>
        <v>0</v>
      </c>
      <c r="D887" s="16">
        <f>SUMIF(매도완료!$J:$J,Sheet2!$B887,매도완료!$P:$P)</f>
        <v>0</v>
      </c>
      <c r="E887" s="16">
        <f t="shared" si="26"/>
        <v>77736460</v>
      </c>
      <c r="G887" s="16">
        <f>IF(D887=0,0,SUMIF(매도완료!$J:$J,Sheet2!$B887,매도완료!$S:$S))</f>
        <v>0</v>
      </c>
      <c r="H887" s="16">
        <f t="shared" si="27"/>
        <v>23707025.598000001</v>
      </c>
    </row>
    <row r="888" spans="2:8" hidden="1" x14ac:dyDescent="0.4">
      <c r="B888" s="1">
        <v>43437</v>
      </c>
      <c r="C888" s="16">
        <f>SUMIF(매도완료!$G:$G,Sheet2!$B888,매도완료!$P:$P)</f>
        <v>0</v>
      </c>
      <c r="D888" s="16">
        <f>SUMIF(매도완료!$J:$J,Sheet2!$B888,매도완료!$P:$P)</f>
        <v>0</v>
      </c>
      <c r="E888" s="16">
        <f t="shared" si="26"/>
        <v>77736460</v>
      </c>
      <c r="G888" s="16">
        <f>IF(D888=0,0,SUMIF(매도완료!$J:$J,Sheet2!$B888,매도완료!$S:$S))</f>
        <v>0</v>
      </c>
      <c r="H888" s="16">
        <f t="shared" si="27"/>
        <v>23707025.598000001</v>
      </c>
    </row>
    <row r="889" spans="2:8" hidden="1" x14ac:dyDescent="0.4">
      <c r="B889" s="1">
        <v>43438</v>
      </c>
      <c r="C889" s="16">
        <f>SUMIF(매도완료!$G:$G,Sheet2!$B889,매도완료!$P:$P)</f>
        <v>0</v>
      </c>
      <c r="D889" s="16">
        <f>SUMIF(매도완료!$J:$J,Sheet2!$B889,매도완료!$P:$P)</f>
        <v>0</v>
      </c>
      <c r="E889" s="16">
        <f t="shared" si="26"/>
        <v>77736460</v>
      </c>
      <c r="G889" s="16">
        <f>IF(D889=0,0,SUMIF(매도완료!$J:$J,Sheet2!$B889,매도완료!$S:$S))</f>
        <v>0</v>
      </c>
      <c r="H889" s="16">
        <f t="shared" si="27"/>
        <v>23707025.598000001</v>
      </c>
    </row>
    <row r="890" spans="2:8" hidden="1" x14ac:dyDescent="0.4">
      <c r="B890" s="1">
        <v>43439</v>
      </c>
      <c r="C890" s="16">
        <f>SUMIF(매도완료!$G:$G,Sheet2!$B890,매도완료!$P:$P)</f>
        <v>0</v>
      </c>
      <c r="D890" s="16">
        <f>SUMIF(매도완료!$J:$J,Sheet2!$B890,매도완료!$P:$P)</f>
        <v>0</v>
      </c>
      <c r="E890" s="16">
        <f t="shared" si="26"/>
        <v>77736460</v>
      </c>
      <c r="G890" s="16">
        <f>IF(D890=0,0,SUMIF(매도완료!$J:$J,Sheet2!$B890,매도완료!$S:$S))</f>
        <v>0</v>
      </c>
      <c r="H890" s="16">
        <f t="shared" si="27"/>
        <v>23707025.598000001</v>
      </c>
    </row>
    <row r="891" spans="2:8" hidden="1" x14ac:dyDescent="0.4">
      <c r="B891" s="1">
        <v>43440</v>
      </c>
      <c r="C891" s="16">
        <f>SUMIF(매도완료!$G:$G,Sheet2!$B891,매도완료!$P:$P)</f>
        <v>1029500</v>
      </c>
      <c r="D891" s="16">
        <f>SUMIF(매도완료!$J:$J,Sheet2!$B891,매도완료!$P:$P)</f>
        <v>0</v>
      </c>
      <c r="E891" s="16">
        <f t="shared" si="26"/>
        <v>78765960</v>
      </c>
      <c r="G891" s="16">
        <f>IF(D891=0,0,SUMIF(매도완료!$J:$J,Sheet2!$B891,매도완료!$S:$S))</f>
        <v>0</v>
      </c>
      <c r="H891" s="16">
        <f t="shared" si="27"/>
        <v>23707025.598000001</v>
      </c>
    </row>
    <row r="892" spans="2:8" hidden="1" x14ac:dyDescent="0.4">
      <c r="B892" s="1">
        <v>43441</v>
      </c>
      <c r="C892" s="16">
        <f>SUMIF(매도완료!$G:$G,Sheet2!$B892,매도완료!$P:$P)</f>
        <v>0</v>
      </c>
      <c r="D892" s="16">
        <f>SUMIF(매도완료!$J:$J,Sheet2!$B892,매도완료!$P:$P)</f>
        <v>0</v>
      </c>
      <c r="E892" s="16">
        <f t="shared" si="26"/>
        <v>78765960</v>
      </c>
      <c r="G892" s="16">
        <f>IF(D892=0,0,SUMIF(매도완료!$J:$J,Sheet2!$B892,매도완료!$S:$S))</f>
        <v>0</v>
      </c>
      <c r="H892" s="16">
        <f t="shared" si="27"/>
        <v>23707025.598000001</v>
      </c>
    </row>
    <row r="893" spans="2:8" hidden="1" x14ac:dyDescent="0.4">
      <c r="B893" s="1">
        <v>43442</v>
      </c>
      <c r="C893" s="16">
        <f>SUMIF(매도완료!$G:$G,Sheet2!$B893,매도완료!$P:$P)</f>
        <v>0</v>
      </c>
      <c r="D893" s="16">
        <f>SUMIF(매도완료!$J:$J,Sheet2!$B893,매도완료!$P:$P)</f>
        <v>0</v>
      </c>
      <c r="E893" s="16">
        <f t="shared" si="26"/>
        <v>78765960</v>
      </c>
      <c r="G893" s="16">
        <f>IF(D893=0,0,SUMIF(매도완료!$J:$J,Sheet2!$B893,매도완료!$S:$S))</f>
        <v>0</v>
      </c>
      <c r="H893" s="16">
        <f t="shared" si="27"/>
        <v>23707025.598000001</v>
      </c>
    </row>
    <row r="894" spans="2:8" hidden="1" x14ac:dyDescent="0.4">
      <c r="B894" s="1">
        <v>43443</v>
      </c>
      <c r="C894" s="16">
        <f>SUMIF(매도완료!$G:$G,Sheet2!$B894,매도완료!$P:$P)</f>
        <v>0</v>
      </c>
      <c r="D894" s="16">
        <f>SUMIF(매도완료!$J:$J,Sheet2!$B894,매도완료!$P:$P)</f>
        <v>0</v>
      </c>
      <c r="E894" s="16">
        <f t="shared" si="26"/>
        <v>78765960</v>
      </c>
      <c r="G894" s="16">
        <f>IF(D894=0,0,SUMIF(매도완료!$J:$J,Sheet2!$B894,매도완료!$S:$S))</f>
        <v>0</v>
      </c>
      <c r="H894" s="16">
        <f t="shared" si="27"/>
        <v>23707025.598000001</v>
      </c>
    </row>
    <row r="895" spans="2:8" hidden="1" x14ac:dyDescent="0.4">
      <c r="B895" s="1">
        <v>43444</v>
      </c>
      <c r="C895" s="16">
        <f>SUMIF(매도완료!$G:$G,Sheet2!$B895,매도완료!$P:$P)</f>
        <v>1162000</v>
      </c>
      <c r="D895" s="16">
        <f>SUMIF(매도완료!$J:$J,Sheet2!$B895,매도완료!$P:$P)</f>
        <v>0</v>
      </c>
      <c r="E895" s="16">
        <f t="shared" si="26"/>
        <v>79927960</v>
      </c>
      <c r="G895" s="16">
        <f>IF(D895=0,0,SUMIF(매도완료!$J:$J,Sheet2!$B895,매도완료!$S:$S))</f>
        <v>0</v>
      </c>
      <c r="H895" s="16">
        <f t="shared" si="27"/>
        <v>23707025.598000001</v>
      </c>
    </row>
    <row r="896" spans="2:8" hidden="1" x14ac:dyDescent="0.4">
      <c r="B896" s="1">
        <v>43445</v>
      </c>
      <c r="C896" s="16">
        <f>SUMIF(매도완료!$G:$G,Sheet2!$B896,매도완료!$P:$P)</f>
        <v>0</v>
      </c>
      <c r="D896" s="16">
        <f>SUMIF(매도완료!$J:$J,Sheet2!$B896,매도완료!$P:$P)</f>
        <v>0</v>
      </c>
      <c r="E896" s="16">
        <f t="shared" si="26"/>
        <v>79927960</v>
      </c>
      <c r="G896" s="16">
        <f>IF(D896=0,0,SUMIF(매도완료!$J:$J,Sheet2!$B896,매도완료!$S:$S))</f>
        <v>0</v>
      </c>
      <c r="H896" s="16">
        <f t="shared" si="27"/>
        <v>23707025.598000001</v>
      </c>
    </row>
    <row r="897" spans="2:8" hidden="1" x14ac:dyDescent="0.4">
      <c r="B897" s="1">
        <v>43446</v>
      </c>
      <c r="C897" s="16">
        <f>SUMIF(매도완료!$G:$G,Sheet2!$B897,매도완료!$P:$P)</f>
        <v>0</v>
      </c>
      <c r="D897" s="16">
        <f>SUMIF(매도완료!$J:$J,Sheet2!$B897,매도완료!$P:$P)</f>
        <v>0</v>
      </c>
      <c r="E897" s="16">
        <f t="shared" si="26"/>
        <v>79927960</v>
      </c>
      <c r="G897" s="16">
        <f>IF(D897=0,0,SUMIF(매도완료!$J:$J,Sheet2!$B897,매도완료!$S:$S))</f>
        <v>0</v>
      </c>
      <c r="H897" s="16">
        <f t="shared" si="27"/>
        <v>23707025.598000001</v>
      </c>
    </row>
    <row r="898" spans="2:8" hidden="1" x14ac:dyDescent="0.4">
      <c r="B898" s="1">
        <v>43447</v>
      </c>
      <c r="C898" s="16">
        <f>SUMIF(매도완료!$G:$G,Sheet2!$B898,매도완료!$P:$P)</f>
        <v>0</v>
      </c>
      <c r="D898" s="16">
        <f>SUMIF(매도완료!$J:$J,Sheet2!$B898,매도완료!$P:$P)</f>
        <v>0</v>
      </c>
      <c r="E898" s="16">
        <f t="shared" si="26"/>
        <v>79927960</v>
      </c>
      <c r="G898" s="16">
        <f>IF(D898=0,0,SUMIF(매도완료!$J:$J,Sheet2!$B898,매도완료!$S:$S))</f>
        <v>0</v>
      </c>
      <c r="H898" s="16">
        <f t="shared" si="27"/>
        <v>23707025.598000001</v>
      </c>
    </row>
    <row r="899" spans="2:8" hidden="1" x14ac:dyDescent="0.4">
      <c r="B899" s="1">
        <v>43448</v>
      </c>
      <c r="C899" s="16">
        <f>SUMIF(매도완료!$G:$G,Sheet2!$B899,매도완료!$P:$P)</f>
        <v>0</v>
      </c>
      <c r="D899" s="16">
        <f>SUMIF(매도완료!$J:$J,Sheet2!$B899,매도완료!$P:$P)</f>
        <v>0</v>
      </c>
      <c r="E899" s="16">
        <f t="shared" si="26"/>
        <v>79927960</v>
      </c>
      <c r="G899" s="16">
        <f>IF(D899=0,0,SUMIF(매도완료!$J:$J,Sheet2!$B899,매도완료!$S:$S))</f>
        <v>0</v>
      </c>
      <c r="H899" s="16">
        <f t="shared" si="27"/>
        <v>23707025.598000001</v>
      </c>
    </row>
    <row r="900" spans="2:8" hidden="1" x14ac:dyDescent="0.4">
      <c r="B900" s="1">
        <v>43449</v>
      </c>
      <c r="C900" s="16">
        <f>SUMIF(매도완료!$G:$G,Sheet2!$B900,매도완료!$P:$P)</f>
        <v>0</v>
      </c>
      <c r="D900" s="16">
        <f>SUMIF(매도완료!$J:$J,Sheet2!$B900,매도완료!$P:$P)</f>
        <v>0</v>
      </c>
      <c r="E900" s="16">
        <f t="shared" ref="E900:E963" si="28">E899+C900-D900</f>
        <v>79927960</v>
      </c>
      <c r="G900" s="16">
        <f>IF(D900=0,0,SUMIF(매도완료!$J:$J,Sheet2!$B900,매도완료!$S:$S))</f>
        <v>0</v>
      </c>
      <c r="H900" s="16">
        <f t="shared" ref="H900:H963" si="29">H899+G900</f>
        <v>23707025.598000001</v>
      </c>
    </row>
    <row r="901" spans="2:8" hidden="1" x14ac:dyDescent="0.4">
      <c r="B901" s="1">
        <v>43450</v>
      </c>
      <c r="C901" s="16">
        <f>SUMIF(매도완료!$G:$G,Sheet2!$B901,매도완료!$P:$P)</f>
        <v>0</v>
      </c>
      <c r="D901" s="16">
        <f>SUMIF(매도완료!$J:$J,Sheet2!$B901,매도완료!$P:$P)</f>
        <v>0</v>
      </c>
      <c r="E901" s="16">
        <f t="shared" si="28"/>
        <v>79927960</v>
      </c>
      <c r="G901" s="16">
        <f>IF(D901=0,0,SUMIF(매도완료!$J:$J,Sheet2!$B901,매도완료!$S:$S))</f>
        <v>0</v>
      </c>
      <c r="H901" s="16">
        <f t="shared" si="29"/>
        <v>23707025.598000001</v>
      </c>
    </row>
    <row r="902" spans="2:8" hidden="1" x14ac:dyDescent="0.4">
      <c r="B902" s="1">
        <v>43451</v>
      </c>
      <c r="C902" s="16">
        <f>SUMIF(매도완료!$G:$G,Sheet2!$B902,매도완료!$P:$P)</f>
        <v>0</v>
      </c>
      <c r="D902" s="16">
        <f>SUMIF(매도완료!$J:$J,Sheet2!$B902,매도완료!$P:$P)</f>
        <v>0</v>
      </c>
      <c r="E902" s="16">
        <f t="shared" si="28"/>
        <v>79927960</v>
      </c>
      <c r="G902" s="16">
        <f>IF(D902=0,0,SUMIF(매도완료!$J:$J,Sheet2!$B902,매도완료!$S:$S))</f>
        <v>0</v>
      </c>
      <c r="H902" s="16">
        <f t="shared" si="29"/>
        <v>23707025.598000001</v>
      </c>
    </row>
    <row r="903" spans="2:8" hidden="1" x14ac:dyDescent="0.4">
      <c r="B903" s="1">
        <v>43452</v>
      </c>
      <c r="C903" s="16">
        <f>SUMIF(매도완료!$G:$G,Sheet2!$B903,매도완료!$P:$P)</f>
        <v>0</v>
      </c>
      <c r="D903" s="16">
        <f>SUMIF(매도완료!$J:$J,Sheet2!$B903,매도완료!$P:$P)</f>
        <v>0</v>
      </c>
      <c r="E903" s="16">
        <f t="shared" si="28"/>
        <v>79927960</v>
      </c>
      <c r="G903" s="16">
        <f>IF(D903=0,0,SUMIF(매도완료!$J:$J,Sheet2!$B903,매도완료!$S:$S))</f>
        <v>0</v>
      </c>
      <c r="H903" s="16">
        <f t="shared" si="29"/>
        <v>23707025.598000001</v>
      </c>
    </row>
    <row r="904" spans="2:8" hidden="1" x14ac:dyDescent="0.4">
      <c r="B904" s="1">
        <v>43453</v>
      </c>
      <c r="C904" s="16">
        <f>SUMIF(매도완료!$G:$G,Sheet2!$B904,매도완료!$P:$P)</f>
        <v>865700</v>
      </c>
      <c r="D904" s="16">
        <f>SUMIF(매도완료!$J:$J,Sheet2!$B904,매도완료!$P:$P)</f>
        <v>0</v>
      </c>
      <c r="E904" s="16">
        <f t="shared" si="28"/>
        <v>80793660</v>
      </c>
      <c r="G904" s="16">
        <f>IF(D904=0,0,SUMIF(매도완료!$J:$J,Sheet2!$B904,매도완료!$S:$S))</f>
        <v>0</v>
      </c>
      <c r="H904" s="16">
        <f t="shared" si="29"/>
        <v>23707025.598000001</v>
      </c>
    </row>
    <row r="905" spans="2:8" hidden="1" x14ac:dyDescent="0.4">
      <c r="B905" s="1">
        <v>43454</v>
      </c>
      <c r="C905" s="16">
        <f>SUMIF(매도완료!$G:$G,Sheet2!$B905,매도완료!$P:$P)</f>
        <v>0</v>
      </c>
      <c r="D905" s="16">
        <f>SUMIF(매도완료!$J:$J,Sheet2!$B905,매도완료!$P:$P)</f>
        <v>0</v>
      </c>
      <c r="E905" s="16">
        <f t="shared" si="28"/>
        <v>80793660</v>
      </c>
      <c r="G905" s="16">
        <f>IF(D905=0,0,SUMIF(매도완료!$J:$J,Sheet2!$B905,매도완료!$S:$S))</f>
        <v>0</v>
      </c>
      <c r="H905" s="16">
        <f t="shared" si="29"/>
        <v>23707025.598000001</v>
      </c>
    </row>
    <row r="906" spans="2:8" hidden="1" x14ac:dyDescent="0.4">
      <c r="B906" s="1">
        <v>43455</v>
      </c>
      <c r="C906" s="16">
        <f>SUMIF(매도완료!$G:$G,Sheet2!$B906,매도완료!$P:$P)</f>
        <v>0</v>
      </c>
      <c r="D906" s="16">
        <f>SUMIF(매도완료!$J:$J,Sheet2!$B906,매도완료!$P:$P)</f>
        <v>0</v>
      </c>
      <c r="E906" s="16">
        <f t="shared" si="28"/>
        <v>80793660</v>
      </c>
      <c r="G906" s="16">
        <f>IF(D906=0,0,SUMIF(매도완료!$J:$J,Sheet2!$B906,매도완료!$S:$S))</f>
        <v>0</v>
      </c>
      <c r="H906" s="16">
        <f t="shared" si="29"/>
        <v>23707025.598000001</v>
      </c>
    </row>
    <row r="907" spans="2:8" hidden="1" x14ac:dyDescent="0.4">
      <c r="B907" s="1">
        <v>43456</v>
      </c>
      <c r="C907" s="16">
        <f>SUMIF(매도완료!$G:$G,Sheet2!$B907,매도완료!$P:$P)</f>
        <v>0</v>
      </c>
      <c r="D907" s="16">
        <f>SUMIF(매도완료!$J:$J,Sheet2!$B907,매도완료!$P:$P)</f>
        <v>0</v>
      </c>
      <c r="E907" s="16">
        <f t="shared" si="28"/>
        <v>80793660</v>
      </c>
      <c r="G907" s="16">
        <f>IF(D907=0,0,SUMIF(매도완료!$J:$J,Sheet2!$B907,매도완료!$S:$S))</f>
        <v>0</v>
      </c>
      <c r="H907" s="16">
        <f t="shared" si="29"/>
        <v>23707025.598000001</v>
      </c>
    </row>
    <row r="908" spans="2:8" hidden="1" x14ac:dyDescent="0.4">
      <c r="B908" s="1">
        <v>43457</v>
      </c>
      <c r="C908" s="16">
        <f>SUMIF(매도완료!$G:$G,Sheet2!$B908,매도완료!$P:$P)</f>
        <v>0</v>
      </c>
      <c r="D908" s="16">
        <f>SUMIF(매도완료!$J:$J,Sheet2!$B908,매도완료!$P:$P)</f>
        <v>0</v>
      </c>
      <c r="E908" s="16">
        <f t="shared" si="28"/>
        <v>80793660</v>
      </c>
      <c r="G908" s="16">
        <f>IF(D908=0,0,SUMIF(매도완료!$J:$J,Sheet2!$B908,매도완료!$S:$S))</f>
        <v>0</v>
      </c>
      <c r="H908" s="16">
        <f t="shared" si="29"/>
        <v>23707025.598000001</v>
      </c>
    </row>
    <row r="909" spans="2:8" hidden="1" x14ac:dyDescent="0.4">
      <c r="B909" s="1">
        <v>43458</v>
      </c>
      <c r="C909" s="16">
        <f>SUMIF(매도완료!$G:$G,Sheet2!$B909,매도완료!$P:$P)</f>
        <v>0</v>
      </c>
      <c r="D909" s="16">
        <f>SUMIF(매도완료!$J:$J,Sheet2!$B909,매도완료!$P:$P)</f>
        <v>0</v>
      </c>
      <c r="E909" s="16">
        <f t="shared" si="28"/>
        <v>80793660</v>
      </c>
      <c r="G909" s="16">
        <f>IF(D909=0,0,SUMIF(매도완료!$J:$J,Sheet2!$B909,매도완료!$S:$S))</f>
        <v>0</v>
      </c>
      <c r="H909" s="16">
        <f t="shared" si="29"/>
        <v>23707025.598000001</v>
      </c>
    </row>
    <row r="910" spans="2:8" hidden="1" x14ac:dyDescent="0.4">
      <c r="B910" s="1">
        <v>43459</v>
      </c>
      <c r="C910" s="16">
        <f>SUMIF(매도완료!$G:$G,Sheet2!$B910,매도완료!$P:$P)</f>
        <v>0</v>
      </c>
      <c r="D910" s="16">
        <f>SUMIF(매도완료!$J:$J,Sheet2!$B910,매도완료!$P:$P)</f>
        <v>0</v>
      </c>
      <c r="E910" s="16">
        <f t="shared" si="28"/>
        <v>80793660</v>
      </c>
      <c r="G910" s="16">
        <f>IF(D910=0,0,SUMIF(매도완료!$J:$J,Sheet2!$B910,매도완료!$S:$S))</f>
        <v>0</v>
      </c>
      <c r="H910" s="16">
        <f t="shared" si="29"/>
        <v>23707025.598000001</v>
      </c>
    </row>
    <row r="911" spans="2:8" hidden="1" x14ac:dyDescent="0.4">
      <c r="B911" s="1">
        <v>43460</v>
      </c>
      <c r="C911" s="16">
        <f>SUMIF(매도완료!$G:$G,Sheet2!$B911,매도완료!$P:$P)</f>
        <v>0</v>
      </c>
      <c r="D911" s="16">
        <f>SUMIF(매도완료!$J:$J,Sheet2!$B911,매도완료!$P:$P)</f>
        <v>0</v>
      </c>
      <c r="E911" s="16">
        <f t="shared" si="28"/>
        <v>80793660</v>
      </c>
      <c r="G911" s="16">
        <f>IF(D911=0,0,SUMIF(매도완료!$J:$J,Sheet2!$B911,매도완료!$S:$S))</f>
        <v>0</v>
      </c>
      <c r="H911" s="16">
        <f t="shared" si="29"/>
        <v>23707025.598000001</v>
      </c>
    </row>
    <row r="912" spans="2:8" hidden="1" x14ac:dyDescent="0.4">
      <c r="B912" s="1">
        <v>43461</v>
      </c>
      <c r="C912" s="16">
        <f>SUMIF(매도완료!$G:$G,Sheet2!$B912,매도완료!$P:$P)</f>
        <v>0</v>
      </c>
      <c r="D912" s="16">
        <f>SUMIF(매도완료!$J:$J,Sheet2!$B912,매도완료!$P:$P)</f>
        <v>0</v>
      </c>
      <c r="E912" s="16">
        <f t="shared" si="28"/>
        <v>80793660</v>
      </c>
      <c r="G912" s="16">
        <f>IF(D912=0,0,SUMIF(매도완료!$J:$J,Sheet2!$B912,매도완료!$S:$S))</f>
        <v>0</v>
      </c>
      <c r="H912" s="16">
        <f t="shared" si="29"/>
        <v>23707025.598000001</v>
      </c>
    </row>
    <row r="913" spans="2:8" hidden="1" x14ac:dyDescent="0.4">
      <c r="B913" s="1">
        <v>43462</v>
      </c>
      <c r="C913" s="16">
        <f>SUMIF(매도완료!$G:$G,Sheet2!$B913,매도완료!$P:$P)</f>
        <v>0</v>
      </c>
      <c r="D913" s="16">
        <f>SUMIF(매도완료!$J:$J,Sheet2!$B913,매도완료!$P:$P)</f>
        <v>0</v>
      </c>
      <c r="E913" s="16">
        <f t="shared" si="28"/>
        <v>80793660</v>
      </c>
      <c r="G913" s="16">
        <f>IF(D913=0,0,SUMIF(매도완료!$J:$J,Sheet2!$B913,매도완료!$S:$S))</f>
        <v>0</v>
      </c>
      <c r="H913" s="16">
        <f t="shared" si="29"/>
        <v>23707025.598000001</v>
      </c>
    </row>
    <row r="914" spans="2:8" hidden="1" x14ac:dyDescent="0.4">
      <c r="B914" s="1">
        <v>43463</v>
      </c>
      <c r="C914" s="16">
        <f>SUMIF(매도완료!$G:$G,Sheet2!$B914,매도완료!$P:$P)</f>
        <v>0</v>
      </c>
      <c r="D914" s="16">
        <f>SUMIF(매도완료!$J:$J,Sheet2!$B914,매도완료!$P:$P)</f>
        <v>0</v>
      </c>
      <c r="E914" s="16">
        <f t="shared" si="28"/>
        <v>80793660</v>
      </c>
      <c r="G914" s="16">
        <f>IF(D914=0,0,SUMIF(매도완료!$J:$J,Sheet2!$B914,매도완료!$S:$S))</f>
        <v>0</v>
      </c>
      <c r="H914" s="16">
        <f t="shared" si="29"/>
        <v>23707025.598000001</v>
      </c>
    </row>
    <row r="915" spans="2:8" hidden="1" x14ac:dyDescent="0.4">
      <c r="B915" s="1">
        <v>43464</v>
      </c>
      <c r="C915" s="16">
        <f>SUMIF(매도완료!$G:$G,Sheet2!$B915,매도완료!$P:$P)</f>
        <v>0</v>
      </c>
      <c r="D915" s="16">
        <f>SUMIF(매도완료!$J:$J,Sheet2!$B915,매도완료!$P:$P)</f>
        <v>0</v>
      </c>
      <c r="E915" s="16">
        <f t="shared" si="28"/>
        <v>80793660</v>
      </c>
      <c r="G915" s="16">
        <f>IF(D915=0,0,SUMIF(매도완료!$J:$J,Sheet2!$B915,매도완료!$S:$S))</f>
        <v>0</v>
      </c>
      <c r="H915" s="16">
        <f t="shared" si="29"/>
        <v>23707025.598000001</v>
      </c>
    </row>
    <row r="916" spans="2:8" hidden="1" x14ac:dyDescent="0.4">
      <c r="B916" s="1">
        <v>43465</v>
      </c>
      <c r="C916" s="16">
        <f>SUMIF(매도완료!$G:$G,Sheet2!$B916,매도완료!$P:$P)</f>
        <v>0</v>
      </c>
      <c r="D916" s="16">
        <f>SUMIF(매도완료!$J:$J,Sheet2!$B916,매도완료!$P:$P)</f>
        <v>0</v>
      </c>
      <c r="E916" s="16">
        <f t="shared" si="28"/>
        <v>80793660</v>
      </c>
      <c r="G916" s="16">
        <f>IF(D916=0,0,SUMIF(매도완료!$J:$J,Sheet2!$B916,매도완료!$S:$S))</f>
        <v>0</v>
      </c>
      <c r="H916" s="16">
        <f t="shared" si="29"/>
        <v>23707025.598000001</v>
      </c>
    </row>
    <row r="917" spans="2:8" x14ac:dyDescent="0.4">
      <c r="B917" s="1">
        <v>43466</v>
      </c>
      <c r="C917" s="16">
        <f>SUMIF(매도완료!$G:$G,Sheet2!$B917,매도완료!$P:$P)</f>
        <v>0</v>
      </c>
      <c r="D917" s="16">
        <f>SUMIF(매도완료!$J:$J,Sheet2!$B917,매도완료!$P:$P)</f>
        <v>0</v>
      </c>
      <c r="E917" s="16">
        <f t="shared" si="28"/>
        <v>80793660</v>
      </c>
      <c r="G917" s="16">
        <f>IF(D917=0,0,SUMIF(매도완료!$J:$J,Sheet2!$B917,매도완료!$S:$S))</f>
        <v>0</v>
      </c>
      <c r="H917" s="16">
        <f t="shared" si="29"/>
        <v>23707025.598000001</v>
      </c>
    </row>
    <row r="918" spans="2:8" hidden="1" x14ac:dyDescent="0.4">
      <c r="B918" s="1">
        <v>43467</v>
      </c>
      <c r="C918" s="16">
        <f>SUMIF(매도완료!$G:$G,Sheet2!$B918,매도완료!$P:$P)</f>
        <v>0</v>
      </c>
      <c r="D918" s="16">
        <f>SUMIF(매도완료!$J:$J,Sheet2!$B918,매도완료!$P:$P)</f>
        <v>0</v>
      </c>
      <c r="E918" s="16">
        <f t="shared" si="28"/>
        <v>80793660</v>
      </c>
      <c r="G918" s="16">
        <f>IF(D918=0,0,SUMIF(매도완료!$J:$J,Sheet2!$B918,매도완료!$S:$S))</f>
        <v>0</v>
      </c>
      <c r="H918" s="16">
        <f t="shared" si="29"/>
        <v>23707025.598000001</v>
      </c>
    </row>
    <row r="919" spans="2:8" hidden="1" x14ac:dyDescent="0.4">
      <c r="B919" s="1">
        <v>43468</v>
      </c>
      <c r="C919" s="16">
        <f>SUMIF(매도완료!$G:$G,Sheet2!$B919,매도완료!$P:$P)</f>
        <v>666000</v>
      </c>
      <c r="D919" s="16">
        <f>SUMIF(매도완료!$J:$J,Sheet2!$B919,매도완료!$P:$P)</f>
        <v>0</v>
      </c>
      <c r="E919" s="16">
        <f t="shared" si="28"/>
        <v>81459660</v>
      </c>
      <c r="G919" s="16">
        <f>IF(D919=0,0,SUMIF(매도완료!$J:$J,Sheet2!$B919,매도완료!$S:$S))</f>
        <v>0</v>
      </c>
      <c r="H919" s="16">
        <f t="shared" si="29"/>
        <v>23707025.598000001</v>
      </c>
    </row>
    <row r="920" spans="2:8" hidden="1" x14ac:dyDescent="0.4">
      <c r="B920" s="1">
        <v>43469</v>
      </c>
      <c r="C920" s="16">
        <f>SUMIF(매도완료!$G:$G,Sheet2!$B920,매도완료!$P:$P)</f>
        <v>0</v>
      </c>
      <c r="D920" s="16">
        <f>SUMIF(매도완료!$J:$J,Sheet2!$B920,매도완료!$P:$P)</f>
        <v>0</v>
      </c>
      <c r="E920" s="16">
        <f t="shared" si="28"/>
        <v>81459660</v>
      </c>
      <c r="G920" s="16">
        <f>IF(D920=0,0,SUMIF(매도완료!$J:$J,Sheet2!$B920,매도완료!$S:$S))</f>
        <v>0</v>
      </c>
      <c r="H920" s="16">
        <f t="shared" si="29"/>
        <v>23707025.598000001</v>
      </c>
    </row>
    <row r="921" spans="2:8" hidden="1" x14ac:dyDescent="0.4">
      <c r="B921" s="1">
        <v>43470</v>
      </c>
      <c r="C921" s="16">
        <f>SUMIF(매도완료!$G:$G,Sheet2!$B921,매도완료!$P:$P)</f>
        <v>0</v>
      </c>
      <c r="D921" s="16">
        <f>SUMIF(매도완료!$J:$J,Sheet2!$B921,매도완료!$P:$P)</f>
        <v>0</v>
      </c>
      <c r="E921" s="16">
        <f t="shared" si="28"/>
        <v>81459660</v>
      </c>
      <c r="G921" s="16">
        <f>IF(D921=0,0,SUMIF(매도완료!$J:$J,Sheet2!$B921,매도완료!$S:$S))</f>
        <v>0</v>
      </c>
      <c r="H921" s="16">
        <f t="shared" si="29"/>
        <v>23707025.598000001</v>
      </c>
    </row>
    <row r="922" spans="2:8" hidden="1" x14ac:dyDescent="0.4">
      <c r="B922" s="1">
        <v>43471</v>
      </c>
      <c r="C922" s="16">
        <f>SUMIF(매도완료!$G:$G,Sheet2!$B922,매도완료!$P:$P)</f>
        <v>0</v>
      </c>
      <c r="D922" s="16">
        <f>SUMIF(매도완료!$J:$J,Sheet2!$B922,매도완료!$P:$P)</f>
        <v>0</v>
      </c>
      <c r="E922" s="16">
        <f t="shared" si="28"/>
        <v>81459660</v>
      </c>
      <c r="G922" s="16">
        <f>IF(D922=0,0,SUMIF(매도완료!$J:$J,Sheet2!$B922,매도완료!$S:$S))</f>
        <v>0</v>
      </c>
      <c r="H922" s="16">
        <f t="shared" si="29"/>
        <v>23707025.598000001</v>
      </c>
    </row>
    <row r="923" spans="2:8" hidden="1" x14ac:dyDescent="0.4">
      <c r="B923" s="1">
        <v>43472</v>
      </c>
      <c r="C923" s="16">
        <f>SUMIF(매도완료!$G:$G,Sheet2!$B923,매도완료!$P:$P)</f>
        <v>272536</v>
      </c>
      <c r="D923" s="16">
        <f>SUMIF(매도완료!$J:$J,Sheet2!$B923,매도완료!$P:$P)</f>
        <v>0</v>
      </c>
      <c r="E923" s="16">
        <f t="shared" si="28"/>
        <v>81732196</v>
      </c>
      <c r="G923" s="16">
        <f>IF(D923=0,0,SUMIF(매도완료!$J:$J,Sheet2!$B923,매도완료!$S:$S))</f>
        <v>0</v>
      </c>
      <c r="H923" s="16">
        <f t="shared" si="29"/>
        <v>23707025.598000001</v>
      </c>
    </row>
    <row r="924" spans="2:8" hidden="1" x14ac:dyDescent="0.4">
      <c r="B924" s="1">
        <v>43473</v>
      </c>
      <c r="C924" s="16">
        <f>SUMIF(매도완료!$G:$G,Sheet2!$B924,매도완료!$P:$P)</f>
        <v>0</v>
      </c>
      <c r="D924" s="16">
        <f>SUMIF(매도완료!$J:$J,Sheet2!$B924,매도완료!$P:$P)</f>
        <v>0</v>
      </c>
      <c r="E924" s="16">
        <f t="shared" si="28"/>
        <v>81732196</v>
      </c>
      <c r="G924" s="16">
        <f>IF(D924=0,0,SUMIF(매도완료!$J:$J,Sheet2!$B924,매도완료!$S:$S))</f>
        <v>0</v>
      </c>
      <c r="H924" s="16">
        <f t="shared" si="29"/>
        <v>23707025.598000001</v>
      </c>
    </row>
    <row r="925" spans="2:8" hidden="1" x14ac:dyDescent="0.4">
      <c r="B925" s="1">
        <v>43474</v>
      </c>
      <c r="C925" s="16">
        <f>SUMIF(매도완료!$G:$G,Sheet2!$B925,매도완료!$P:$P)</f>
        <v>0</v>
      </c>
      <c r="D925" s="16">
        <f>SUMIF(매도완료!$J:$J,Sheet2!$B925,매도완료!$P:$P)</f>
        <v>0</v>
      </c>
      <c r="E925" s="16">
        <f t="shared" si="28"/>
        <v>81732196</v>
      </c>
      <c r="G925" s="16">
        <f>IF(D925=0,0,SUMIF(매도완료!$J:$J,Sheet2!$B925,매도완료!$S:$S))</f>
        <v>0</v>
      </c>
      <c r="H925" s="16">
        <f t="shared" si="29"/>
        <v>23707025.598000001</v>
      </c>
    </row>
    <row r="926" spans="2:8" hidden="1" x14ac:dyDescent="0.4">
      <c r="B926" s="1">
        <v>43475</v>
      </c>
      <c r="C926" s="16">
        <f>SUMIF(매도완료!$G:$G,Sheet2!$B926,매도완료!$P:$P)</f>
        <v>1635000</v>
      </c>
      <c r="D926" s="16">
        <f>SUMIF(매도완료!$J:$J,Sheet2!$B926,매도완료!$P:$P)</f>
        <v>0</v>
      </c>
      <c r="E926" s="16">
        <f t="shared" si="28"/>
        <v>83367196</v>
      </c>
      <c r="G926" s="16">
        <f>IF(D926=0,0,SUMIF(매도완료!$J:$J,Sheet2!$B926,매도완료!$S:$S))</f>
        <v>0</v>
      </c>
      <c r="H926" s="16">
        <f t="shared" si="29"/>
        <v>23707025.598000001</v>
      </c>
    </row>
    <row r="927" spans="2:8" hidden="1" x14ac:dyDescent="0.4">
      <c r="B927" s="1">
        <v>43476</v>
      </c>
      <c r="C927" s="16">
        <f>SUMIF(매도완료!$G:$G,Sheet2!$B927,매도완료!$P:$P)</f>
        <v>0</v>
      </c>
      <c r="D927" s="16">
        <f>SUMIF(매도완료!$J:$J,Sheet2!$B927,매도완료!$P:$P)</f>
        <v>0</v>
      </c>
      <c r="E927" s="16">
        <f t="shared" si="28"/>
        <v>83367196</v>
      </c>
      <c r="G927" s="16">
        <f>IF(D927=0,0,SUMIF(매도완료!$J:$J,Sheet2!$B927,매도완료!$S:$S))</f>
        <v>0</v>
      </c>
      <c r="H927" s="16">
        <f t="shared" si="29"/>
        <v>23707025.598000001</v>
      </c>
    </row>
    <row r="928" spans="2:8" hidden="1" x14ac:dyDescent="0.4">
      <c r="B928" s="1">
        <v>43477</v>
      </c>
      <c r="C928" s="16">
        <f>SUMIF(매도완료!$G:$G,Sheet2!$B928,매도완료!$P:$P)</f>
        <v>0</v>
      </c>
      <c r="D928" s="16">
        <f>SUMIF(매도완료!$J:$J,Sheet2!$B928,매도완료!$P:$P)</f>
        <v>0</v>
      </c>
      <c r="E928" s="16">
        <f t="shared" si="28"/>
        <v>83367196</v>
      </c>
      <c r="G928" s="16">
        <f>IF(D928=0,0,SUMIF(매도완료!$J:$J,Sheet2!$B928,매도완료!$S:$S))</f>
        <v>0</v>
      </c>
      <c r="H928" s="16">
        <f t="shared" si="29"/>
        <v>23707025.598000001</v>
      </c>
    </row>
    <row r="929" spans="2:8" hidden="1" x14ac:dyDescent="0.4">
      <c r="B929" s="1">
        <v>43478</v>
      </c>
      <c r="C929" s="16">
        <f>SUMIF(매도완료!$G:$G,Sheet2!$B929,매도완료!$P:$P)</f>
        <v>0</v>
      </c>
      <c r="D929" s="16">
        <f>SUMIF(매도완료!$J:$J,Sheet2!$B929,매도완료!$P:$P)</f>
        <v>0</v>
      </c>
      <c r="E929" s="16">
        <f t="shared" si="28"/>
        <v>83367196</v>
      </c>
      <c r="G929" s="16">
        <f>IF(D929=0,0,SUMIF(매도완료!$J:$J,Sheet2!$B929,매도완료!$S:$S))</f>
        <v>0</v>
      </c>
      <c r="H929" s="16">
        <f t="shared" si="29"/>
        <v>23707025.598000001</v>
      </c>
    </row>
    <row r="930" spans="2:8" hidden="1" x14ac:dyDescent="0.4">
      <c r="B930" s="1">
        <v>43479</v>
      </c>
      <c r="C930" s="16">
        <f>SUMIF(매도완료!$G:$G,Sheet2!$B930,매도완료!$P:$P)</f>
        <v>0</v>
      </c>
      <c r="D930" s="16">
        <f>SUMIF(매도완료!$J:$J,Sheet2!$B930,매도완료!$P:$P)</f>
        <v>0</v>
      </c>
      <c r="E930" s="16">
        <f t="shared" si="28"/>
        <v>83367196</v>
      </c>
      <c r="G930" s="16">
        <f>IF(D930=0,0,SUMIF(매도완료!$J:$J,Sheet2!$B930,매도완료!$S:$S))</f>
        <v>0</v>
      </c>
      <c r="H930" s="16">
        <f t="shared" si="29"/>
        <v>23707025.598000001</v>
      </c>
    </row>
    <row r="931" spans="2:8" hidden="1" x14ac:dyDescent="0.4">
      <c r="B931" s="1">
        <v>43480</v>
      </c>
      <c r="C931" s="16">
        <f>SUMIF(매도완료!$G:$G,Sheet2!$B931,매도완료!$P:$P)</f>
        <v>0</v>
      </c>
      <c r="D931" s="16">
        <f>SUMIF(매도완료!$J:$J,Sheet2!$B931,매도완료!$P:$P)</f>
        <v>0</v>
      </c>
      <c r="E931" s="16">
        <f t="shared" si="28"/>
        <v>83367196</v>
      </c>
      <c r="G931" s="16">
        <f>IF(D931=0,0,SUMIF(매도완료!$J:$J,Sheet2!$B931,매도완료!$S:$S))</f>
        <v>0</v>
      </c>
      <c r="H931" s="16">
        <f t="shared" si="29"/>
        <v>23707025.598000001</v>
      </c>
    </row>
    <row r="932" spans="2:8" hidden="1" x14ac:dyDescent="0.4">
      <c r="B932" s="1">
        <v>43481</v>
      </c>
      <c r="C932" s="16">
        <f>SUMIF(매도완료!$G:$G,Sheet2!$B932,매도완료!$P:$P)</f>
        <v>0</v>
      </c>
      <c r="D932" s="16">
        <f>SUMIF(매도완료!$J:$J,Sheet2!$B932,매도완료!$P:$P)</f>
        <v>0</v>
      </c>
      <c r="E932" s="16">
        <f t="shared" si="28"/>
        <v>83367196</v>
      </c>
      <c r="G932" s="16">
        <f>IF(D932=0,0,SUMIF(매도완료!$J:$J,Sheet2!$B932,매도완료!$S:$S))</f>
        <v>0</v>
      </c>
      <c r="H932" s="16">
        <f t="shared" si="29"/>
        <v>23707025.598000001</v>
      </c>
    </row>
    <row r="933" spans="2:8" hidden="1" x14ac:dyDescent="0.4">
      <c r="B933" s="1">
        <v>43482</v>
      </c>
      <c r="C933" s="16">
        <f>SUMIF(매도완료!$G:$G,Sheet2!$B933,매도완료!$P:$P)</f>
        <v>0</v>
      </c>
      <c r="D933" s="16">
        <f>SUMIF(매도완료!$J:$J,Sheet2!$B933,매도완료!$P:$P)</f>
        <v>0</v>
      </c>
      <c r="E933" s="16">
        <f t="shared" si="28"/>
        <v>83367196</v>
      </c>
      <c r="G933" s="16">
        <f>IF(D933=0,0,SUMIF(매도완료!$J:$J,Sheet2!$B933,매도완료!$S:$S))</f>
        <v>0</v>
      </c>
      <c r="H933" s="16">
        <f t="shared" si="29"/>
        <v>23707025.598000001</v>
      </c>
    </row>
    <row r="934" spans="2:8" hidden="1" x14ac:dyDescent="0.4">
      <c r="B934" s="1">
        <v>43483</v>
      </c>
      <c r="C934" s="16">
        <f>SUMIF(매도완료!$G:$G,Sheet2!$B934,매도완료!$P:$P)</f>
        <v>0</v>
      </c>
      <c r="D934" s="16">
        <f>SUMIF(매도완료!$J:$J,Sheet2!$B934,매도완료!$P:$P)</f>
        <v>1635000</v>
      </c>
      <c r="E934" s="16">
        <f t="shared" si="28"/>
        <v>81732196</v>
      </c>
      <c r="G934" s="16">
        <f>IF(D934=0,0,SUMIF(매도완료!$J:$J,Sheet2!$B934,매도완료!$S:$S))</f>
        <v>154450</v>
      </c>
      <c r="H934" s="16">
        <f t="shared" si="29"/>
        <v>23861475.598000001</v>
      </c>
    </row>
    <row r="935" spans="2:8" hidden="1" x14ac:dyDescent="0.4">
      <c r="B935" s="1">
        <v>43484</v>
      </c>
      <c r="C935" s="16">
        <f>SUMIF(매도완료!$G:$G,Sheet2!$B935,매도완료!$P:$P)</f>
        <v>0</v>
      </c>
      <c r="D935" s="16">
        <f>SUMIF(매도완료!$J:$J,Sheet2!$B935,매도완료!$P:$P)</f>
        <v>0</v>
      </c>
      <c r="E935" s="16">
        <f t="shared" si="28"/>
        <v>81732196</v>
      </c>
      <c r="G935" s="16">
        <f>IF(D935=0,0,SUMIF(매도완료!$J:$J,Sheet2!$B935,매도완료!$S:$S))</f>
        <v>0</v>
      </c>
      <c r="H935" s="16">
        <f t="shared" si="29"/>
        <v>23861475.598000001</v>
      </c>
    </row>
    <row r="936" spans="2:8" hidden="1" x14ac:dyDescent="0.4">
      <c r="B936" s="1">
        <v>43485</v>
      </c>
      <c r="C936" s="16">
        <f>SUMIF(매도완료!$G:$G,Sheet2!$B936,매도완료!$P:$P)</f>
        <v>0</v>
      </c>
      <c r="D936" s="16">
        <f>SUMIF(매도완료!$J:$J,Sheet2!$B936,매도완료!$P:$P)</f>
        <v>0</v>
      </c>
      <c r="E936" s="16">
        <f t="shared" si="28"/>
        <v>81732196</v>
      </c>
      <c r="G936" s="16">
        <f>IF(D936=0,0,SUMIF(매도완료!$J:$J,Sheet2!$B936,매도완료!$S:$S))</f>
        <v>0</v>
      </c>
      <c r="H936" s="16">
        <f t="shared" si="29"/>
        <v>23861475.598000001</v>
      </c>
    </row>
    <row r="937" spans="2:8" hidden="1" x14ac:dyDescent="0.4">
      <c r="B937" s="1">
        <v>43486</v>
      </c>
      <c r="C937" s="16">
        <f>SUMIF(매도완료!$G:$G,Sheet2!$B937,매도완료!$P:$P)</f>
        <v>0</v>
      </c>
      <c r="D937" s="16">
        <f>SUMIF(매도완료!$J:$J,Sheet2!$B937,매도완료!$P:$P)</f>
        <v>0</v>
      </c>
      <c r="E937" s="16">
        <f t="shared" si="28"/>
        <v>81732196</v>
      </c>
      <c r="G937" s="16">
        <f>IF(D937=0,0,SUMIF(매도완료!$J:$J,Sheet2!$B937,매도완료!$S:$S))</f>
        <v>0</v>
      </c>
      <c r="H937" s="16">
        <f t="shared" si="29"/>
        <v>23861475.598000001</v>
      </c>
    </row>
    <row r="938" spans="2:8" hidden="1" x14ac:dyDescent="0.4">
      <c r="B938" s="1">
        <v>43487</v>
      </c>
      <c r="C938" s="16">
        <f>SUMIF(매도완료!$G:$G,Sheet2!$B938,매도완료!$P:$P)</f>
        <v>0</v>
      </c>
      <c r="D938" s="16">
        <f>SUMIF(매도완료!$J:$J,Sheet2!$B938,매도완료!$P:$P)</f>
        <v>0</v>
      </c>
      <c r="E938" s="16">
        <f t="shared" si="28"/>
        <v>81732196</v>
      </c>
      <c r="G938" s="16">
        <f>IF(D938=0,0,SUMIF(매도완료!$J:$J,Sheet2!$B938,매도완료!$S:$S))</f>
        <v>0</v>
      </c>
      <c r="H938" s="16">
        <f t="shared" si="29"/>
        <v>23861475.598000001</v>
      </c>
    </row>
    <row r="939" spans="2:8" hidden="1" x14ac:dyDescent="0.4">
      <c r="B939" s="1">
        <v>43488</v>
      </c>
      <c r="C939" s="16">
        <f>SUMIF(매도완료!$G:$G,Sheet2!$B939,매도완료!$P:$P)</f>
        <v>0</v>
      </c>
      <c r="D939" s="16">
        <f>SUMIF(매도완료!$J:$J,Sheet2!$B939,매도완료!$P:$P)</f>
        <v>0</v>
      </c>
      <c r="E939" s="16">
        <f t="shared" si="28"/>
        <v>81732196</v>
      </c>
      <c r="G939" s="16">
        <f>IF(D939=0,0,SUMIF(매도완료!$J:$J,Sheet2!$B939,매도완료!$S:$S))</f>
        <v>0</v>
      </c>
      <c r="H939" s="16">
        <f t="shared" si="29"/>
        <v>23861475.598000001</v>
      </c>
    </row>
    <row r="940" spans="2:8" hidden="1" x14ac:dyDescent="0.4">
      <c r="B940" s="1">
        <v>43489</v>
      </c>
      <c r="C940" s="16">
        <f>SUMIF(매도완료!$G:$G,Sheet2!$B940,매도완료!$P:$P)</f>
        <v>0</v>
      </c>
      <c r="D940" s="16">
        <f>SUMIF(매도완료!$J:$J,Sheet2!$B940,매도완료!$P:$P)</f>
        <v>0</v>
      </c>
      <c r="E940" s="16">
        <f t="shared" si="28"/>
        <v>81732196</v>
      </c>
      <c r="G940" s="16">
        <f>IF(D940=0,0,SUMIF(매도완료!$J:$J,Sheet2!$B940,매도완료!$S:$S))</f>
        <v>0</v>
      </c>
      <c r="H940" s="16">
        <f t="shared" si="29"/>
        <v>23861475.598000001</v>
      </c>
    </row>
    <row r="941" spans="2:8" hidden="1" x14ac:dyDescent="0.4">
      <c r="B941" s="1">
        <v>43490</v>
      </c>
      <c r="C941" s="16">
        <f>SUMIF(매도완료!$G:$G,Sheet2!$B941,매도완료!$P:$P)</f>
        <v>0</v>
      </c>
      <c r="D941" s="16">
        <f>SUMIF(매도완료!$J:$J,Sheet2!$B941,매도완료!$P:$P)</f>
        <v>0</v>
      </c>
      <c r="E941" s="16">
        <f t="shared" si="28"/>
        <v>81732196</v>
      </c>
      <c r="G941" s="16">
        <f>IF(D941=0,0,SUMIF(매도완료!$J:$J,Sheet2!$B941,매도완료!$S:$S))</f>
        <v>0</v>
      </c>
      <c r="H941" s="16">
        <f t="shared" si="29"/>
        <v>23861475.598000001</v>
      </c>
    </row>
    <row r="942" spans="2:8" hidden="1" x14ac:dyDescent="0.4">
      <c r="B942" s="1">
        <v>43491</v>
      </c>
      <c r="C942" s="16">
        <f>SUMIF(매도완료!$G:$G,Sheet2!$B942,매도완료!$P:$P)</f>
        <v>0</v>
      </c>
      <c r="D942" s="16">
        <f>SUMIF(매도완료!$J:$J,Sheet2!$B942,매도완료!$P:$P)</f>
        <v>0</v>
      </c>
      <c r="E942" s="16">
        <f t="shared" si="28"/>
        <v>81732196</v>
      </c>
      <c r="G942" s="16">
        <f>IF(D942=0,0,SUMIF(매도완료!$J:$J,Sheet2!$B942,매도완료!$S:$S))</f>
        <v>0</v>
      </c>
      <c r="H942" s="16">
        <f t="shared" si="29"/>
        <v>23861475.598000001</v>
      </c>
    </row>
    <row r="943" spans="2:8" hidden="1" x14ac:dyDescent="0.4">
      <c r="B943" s="1">
        <v>43492</v>
      </c>
      <c r="C943" s="16">
        <f>SUMIF(매도완료!$G:$G,Sheet2!$B943,매도완료!$P:$P)</f>
        <v>0</v>
      </c>
      <c r="D943" s="16">
        <f>SUMIF(매도완료!$J:$J,Sheet2!$B943,매도완료!$P:$P)</f>
        <v>0</v>
      </c>
      <c r="E943" s="16">
        <f t="shared" si="28"/>
        <v>81732196</v>
      </c>
      <c r="G943" s="16">
        <f>IF(D943=0,0,SUMIF(매도완료!$J:$J,Sheet2!$B943,매도완료!$S:$S))</f>
        <v>0</v>
      </c>
      <c r="H943" s="16">
        <f t="shared" si="29"/>
        <v>23861475.598000001</v>
      </c>
    </row>
    <row r="944" spans="2:8" hidden="1" x14ac:dyDescent="0.4">
      <c r="B944" s="1">
        <v>43493</v>
      </c>
      <c r="C944" s="16">
        <f>SUMIF(매도완료!$G:$G,Sheet2!$B944,매도완료!$P:$P)</f>
        <v>0</v>
      </c>
      <c r="D944" s="16">
        <f>SUMIF(매도완료!$J:$J,Sheet2!$B944,매도완료!$P:$P)</f>
        <v>0</v>
      </c>
      <c r="E944" s="16">
        <f t="shared" si="28"/>
        <v>81732196</v>
      </c>
      <c r="G944" s="16">
        <f>IF(D944=0,0,SUMIF(매도완료!$J:$J,Sheet2!$B944,매도완료!$S:$S))</f>
        <v>0</v>
      </c>
      <c r="H944" s="16">
        <f t="shared" si="29"/>
        <v>23861475.598000001</v>
      </c>
    </row>
    <row r="945" spans="2:8" hidden="1" x14ac:dyDescent="0.4">
      <c r="B945" s="1">
        <v>43494</v>
      </c>
      <c r="C945" s="16">
        <f>SUMIF(매도완료!$G:$G,Sheet2!$B945,매도완료!$P:$P)</f>
        <v>0</v>
      </c>
      <c r="D945" s="16">
        <f>SUMIF(매도완료!$J:$J,Sheet2!$B945,매도완료!$P:$P)</f>
        <v>0</v>
      </c>
      <c r="E945" s="16">
        <f t="shared" si="28"/>
        <v>81732196</v>
      </c>
      <c r="G945" s="16">
        <f>IF(D945=0,0,SUMIF(매도완료!$J:$J,Sheet2!$B945,매도완료!$S:$S))</f>
        <v>0</v>
      </c>
      <c r="H945" s="16">
        <f t="shared" si="29"/>
        <v>23861475.598000001</v>
      </c>
    </row>
    <row r="946" spans="2:8" hidden="1" x14ac:dyDescent="0.4">
      <c r="B946" s="1">
        <v>43495</v>
      </c>
      <c r="C946" s="16">
        <f>SUMIF(매도완료!$G:$G,Sheet2!$B946,매도완료!$P:$P)</f>
        <v>0</v>
      </c>
      <c r="D946" s="16">
        <f>SUMIF(매도완료!$J:$J,Sheet2!$B946,매도완료!$P:$P)</f>
        <v>0</v>
      </c>
      <c r="E946" s="16">
        <f t="shared" si="28"/>
        <v>81732196</v>
      </c>
      <c r="G946" s="16">
        <f>IF(D946=0,0,SUMIF(매도완료!$J:$J,Sheet2!$B946,매도완료!$S:$S))</f>
        <v>0</v>
      </c>
      <c r="H946" s="16">
        <f t="shared" si="29"/>
        <v>23861475.598000001</v>
      </c>
    </row>
    <row r="947" spans="2:8" hidden="1" x14ac:dyDescent="0.4">
      <c r="B947" s="1">
        <v>43496</v>
      </c>
      <c r="C947" s="16">
        <f>SUMIF(매도완료!$G:$G,Sheet2!$B947,매도완료!$P:$P)</f>
        <v>0</v>
      </c>
      <c r="D947" s="16">
        <f>SUMIF(매도완료!$J:$J,Sheet2!$B947,매도완료!$P:$P)</f>
        <v>0</v>
      </c>
      <c r="E947" s="16">
        <f t="shared" si="28"/>
        <v>81732196</v>
      </c>
      <c r="G947" s="16">
        <f>IF(D947=0,0,SUMIF(매도완료!$J:$J,Sheet2!$B947,매도완료!$S:$S))</f>
        <v>0</v>
      </c>
      <c r="H947" s="16">
        <f t="shared" si="29"/>
        <v>23861475.598000001</v>
      </c>
    </row>
    <row r="948" spans="2:8" hidden="1" x14ac:dyDescent="0.4">
      <c r="B948" s="1">
        <v>43497</v>
      </c>
      <c r="C948" s="16">
        <f>SUMIF(매도완료!$G:$G,Sheet2!$B948,매도완료!$P:$P)</f>
        <v>0</v>
      </c>
      <c r="D948" s="16">
        <f>SUMIF(매도완료!$J:$J,Sheet2!$B948,매도완료!$P:$P)</f>
        <v>475500</v>
      </c>
      <c r="E948" s="16">
        <f t="shared" si="28"/>
        <v>81256696</v>
      </c>
      <c r="G948" s="16">
        <f>IF(D948=0,0,SUMIF(매도완료!$J:$J,Sheet2!$B948,매도완료!$S:$S))</f>
        <v>61035</v>
      </c>
      <c r="H948" s="16">
        <f t="shared" si="29"/>
        <v>23922510.598000001</v>
      </c>
    </row>
    <row r="949" spans="2:8" hidden="1" x14ac:dyDescent="0.4">
      <c r="B949" s="1">
        <v>43498</v>
      </c>
      <c r="C949" s="16">
        <f>SUMIF(매도완료!$G:$G,Sheet2!$B949,매도완료!$P:$P)</f>
        <v>0</v>
      </c>
      <c r="D949" s="16">
        <f>SUMIF(매도완료!$J:$J,Sheet2!$B949,매도완료!$P:$P)</f>
        <v>0</v>
      </c>
      <c r="E949" s="16">
        <f t="shared" si="28"/>
        <v>81256696</v>
      </c>
      <c r="G949" s="16">
        <f>IF(D949=0,0,SUMIF(매도완료!$J:$J,Sheet2!$B949,매도완료!$S:$S))</f>
        <v>0</v>
      </c>
      <c r="H949" s="16">
        <f t="shared" si="29"/>
        <v>23922510.598000001</v>
      </c>
    </row>
    <row r="950" spans="2:8" hidden="1" x14ac:dyDescent="0.4">
      <c r="B950" s="1">
        <v>43499</v>
      </c>
      <c r="C950" s="16">
        <f>SUMIF(매도완료!$G:$G,Sheet2!$B950,매도완료!$P:$P)</f>
        <v>0</v>
      </c>
      <c r="D950" s="16">
        <f>SUMIF(매도완료!$J:$J,Sheet2!$B950,매도완료!$P:$P)</f>
        <v>0</v>
      </c>
      <c r="E950" s="16">
        <f t="shared" si="28"/>
        <v>81256696</v>
      </c>
      <c r="G950" s="16">
        <f>IF(D950=0,0,SUMIF(매도완료!$J:$J,Sheet2!$B950,매도완료!$S:$S))</f>
        <v>0</v>
      </c>
      <c r="H950" s="16">
        <f t="shared" si="29"/>
        <v>23922510.598000001</v>
      </c>
    </row>
    <row r="951" spans="2:8" hidden="1" x14ac:dyDescent="0.4">
      <c r="B951" s="1">
        <v>43500</v>
      </c>
      <c r="C951" s="16">
        <f>SUMIF(매도완료!$G:$G,Sheet2!$B951,매도완료!$P:$P)</f>
        <v>0</v>
      </c>
      <c r="D951" s="16">
        <f>SUMIF(매도완료!$J:$J,Sheet2!$B951,매도완료!$P:$P)</f>
        <v>0</v>
      </c>
      <c r="E951" s="16">
        <f t="shared" si="28"/>
        <v>81256696</v>
      </c>
      <c r="G951" s="16">
        <f>IF(D951=0,0,SUMIF(매도완료!$J:$J,Sheet2!$B951,매도완료!$S:$S))</f>
        <v>0</v>
      </c>
      <c r="H951" s="16">
        <f t="shared" si="29"/>
        <v>23922510.598000001</v>
      </c>
    </row>
    <row r="952" spans="2:8" hidden="1" x14ac:dyDescent="0.4">
      <c r="B952" s="1">
        <v>43501</v>
      </c>
      <c r="C952" s="16">
        <f>SUMIF(매도완료!$G:$G,Sheet2!$B952,매도완료!$P:$P)</f>
        <v>0</v>
      </c>
      <c r="D952" s="16">
        <f>SUMIF(매도완료!$J:$J,Sheet2!$B952,매도완료!$P:$P)</f>
        <v>0</v>
      </c>
      <c r="E952" s="16">
        <f t="shared" si="28"/>
        <v>81256696</v>
      </c>
      <c r="G952" s="16">
        <f>IF(D952=0,0,SUMIF(매도완료!$J:$J,Sheet2!$B952,매도완료!$S:$S))</f>
        <v>0</v>
      </c>
      <c r="H952" s="16">
        <f t="shared" si="29"/>
        <v>23922510.598000001</v>
      </c>
    </row>
    <row r="953" spans="2:8" hidden="1" x14ac:dyDescent="0.4">
      <c r="B953" s="1">
        <v>43502</v>
      </c>
      <c r="C953" s="16">
        <f>SUMIF(매도완료!$G:$G,Sheet2!$B953,매도완료!$P:$P)</f>
        <v>0</v>
      </c>
      <c r="D953" s="16">
        <f>SUMIF(매도완료!$J:$J,Sheet2!$B953,매도완료!$P:$P)</f>
        <v>0</v>
      </c>
      <c r="E953" s="16">
        <f t="shared" si="28"/>
        <v>81256696</v>
      </c>
      <c r="G953" s="16">
        <f>IF(D953=0,0,SUMIF(매도완료!$J:$J,Sheet2!$B953,매도완료!$S:$S))</f>
        <v>0</v>
      </c>
      <c r="H953" s="16">
        <f t="shared" si="29"/>
        <v>23922510.598000001</v>
      </c>
    </row>
    <row r="954" spans="2:8" hidden="1" x14ac:dyDescent="0.4">
      <c r="B954" s="1">
        <v>43503</v>
      </c>
      <c r="C954" s="16">
        <f>SUMIF(매도완료!$G:$G,Sheet2!$B954,매도완료!$P:$P)</f>
        <v>0</v>
      </c>
      <c r="D954" s="16">
        <f>SUMIF(매도완료!$J:$J,Sheet2!$B954,매도완료!$P:$P)</f>
        <v>0</v>
      </c>
      <c r="E954" s="16">
        <f t="shared" si="28"/>
        <v>81256696</v>
      </c>
      <c r="G954" s="16">
        <f>IF(D954=0,0,SUMIF(매도완료!$J:$J,Sheet2!$B954,매도완료!$S:$S))</f>
        <v>0</v>
      </c>
      <c r="H954" s="16">
        <f t="shared" si="29"/>
        <v>23922510.598000001</v>
      </c>
    </row>
    <row r="955" spans="2:8" hidden="1" x14ac:dyDescent="0.4">
      <c r="B955" s="1">
        <v>43504</v>
      </c>
      <c r="C955" s="16">
        <f>SUMIF(매도완료!$G:$G,Sheet2!$B955,매도완료!$P:$P)</f>
        <v>0</v>
      </c>
      <c r="D955" s="16">
        <f>SUMIF(매도완료!$J:$J,Sheet2!$B955,매도완료!$P:$P)</f>
        <v>1220000</v>
      </c>
      <c r="E955" s="16">
        <f t="shared" si="28"/>
        <v>80036696</v>
      </c>
      <c r="G955" s="16">
        <f>IF(D955=0,0,SUMIF(매도완료!$J:$J,Sheet2!$B955,매도완료!$S:$S))</f>
        <v>298817.5</v>
      </c>
      <c r="H955" s="16">
        <f t="shared" si="29"/>
        <v>24221328.098000001</v>
      </c>
    </row>
    <row r="956" spans="2:8" hidden="1" x14ac:dyDescent="0.4">
      <c r="B956" s="1">
        <v>43505</v>
      </c>
      <c r="C956" s="16">
        <f>SUMIF(매도완료!$G:$G,Sheet2!$B956,매도완료!$P:$P)</f>
        <v>0</v>
      </c>
      <c r="D956" s="16">
        <f>SUMIF(매도완료!$J:$J,Sheet2!$B956,매도완료!$P:$P)</f>
        <v>0</v>
      </c>
      <c r="E956" s="16">
        <f t="shared" si="28"/>
        <v>80036696</v>
      </c>
      <c r="G956" s="16">
        <f>IF(D956=0,0,SUMIF(매도완료!$J:$J,Sheet2!$B956,매도완료!$S:$S))</f>
        <v>0</v>
      </c>
      <c r="H956" s="16">
        <f t="shared" si="29"/>
        <v>24221328.098000001</v>
      </c>
    </row>
    <row r="957" spans="2:8" hidden="1" x14ac:dyDescent="0.4">
      <c r="B957" s="1">
        <v>43506</v>
      </c>
      <c r="C957" s="16">
        <f>SUMIF(매도완료!$G:$G,Sheet2!$B957,매도완료!$P:$P)</f>
        <v>0</v>
      </c>
      <c r="D957" s="16">
        <f>SUMIF(매도완료!$J:$J,Sheet2!$B957,매도완료!$P:$P)</f>
        <v>0</v>
      </c>
      <c r="E957" s="16">
        <f t="shared" si="28"/>
        <v>80036696</v>
      </c>
      <c r="G957" s="16">
        <f>IF(D957=0,0,SUMIF(매도완료!$J:$J,Sheet2!$B957,매도완료!$S:$S))</f>
        <v>0</v>
      </c>
      <c r="H957" s="16">
        <f t="shared" si="29"/>
        <v>24221328.098000001</v>
      </c>
    </row>
    <row r="958" spans="2:8" hidden="1" x14ac:dyDescent="0.4">
      <c r="B958" s="1">
        <v>43507</v>
      </c>
      <c r="C958" s="16">
        <f>SUMIF(매도완료!$G:$G,Sheet2!$B958,매도완료!$P:$P)</f>
        <v>0</v>
      </c>
      <c r="D958" s="16">
        <f>SUMIF(매도완료!$J:$J,Sheet2!$B958,매도완료!$P:$P)</f>
        <v>3255000</v>
      </c>
      <c r="E958" s="16">
        <f t="shared" si="28"/>
        <v>76781696</v>
      </c>
      <c r="G958" s="16">
        <f>IF(D958=0,0,SUMIF(매도완료!$J:$J,Sheet2!$B958,매도완료!$S:$S))</f>
        <v>53644.5</v>
      </c>
      <c r="H958" s="16">
        <f t="shared" si="29"/>
        <v>24274972.598000001</v>
      </c>
    </row>
    <row r="959" spans="2:8" hidden="1" x14ac:dyDescent="0.4">
      <c r="B959" s="1">
        <v>43508</v>
      </c>
      <c r="C959" s="16">
        <f>SUMIF(매도완료!$G:$G,Sheet2!$B959,매도완료!$P:$P)</f>
        <v>4810000</v>
      </c>
      <c r="D959" s="16">
        <f>SUMIF(매도완료!$J:$J,Sheet2!$B959,매도완료!$P:$P)</f>
        <v>0</v>
      </c>
      <c r="E959" s="16">
        <f t="shared" si="28"/>
        <v>81591696</v>
      </c>
      <c r="G959" s="16">
        <f>IF(D959=0,0,SUMIF(매도완료!$J:$J,Sheet2!$B959,매도완료!$S:$S))</f>
        <v>0</v>
      </c>
      <c r="H959" s="16">
        <f t="shared" si="29"/>
        <v>24274972.598000001</v>
      </c>
    </row>
    <row r="960" spans="2:8" hidden="1" x14ac:dyDescent="0.4">
      <c r="B960" s="1">
        <v>43509</v>
      </c>
      <c r="C960" s="16">
        <f>SUMIF(매도완료!$G:$G,Sheet2!$B960,매도완료!$P:$P)</f>
        <v>0</v>
      </c>
      <c r="D960" s="16">
        <f>SUMIF(매도완료!$J:$J,Sheet2!$B960,매도완료!$P:$P)</f>
        <v>6837700</v>
      </c>
      <c r="E960" s="16">
        <f t="shared" si="28"/>
        <v>74753996</v>
      </c>
      <c r="G960" s="16">
        <f>IF(D960=0,0,SUMIF(매도완료!$J:$J,Sheet2!$B960,매도완료!$S:$S))</f>
        <v>355013.5</v>
      </c>
      <c r="H960" s="16">
        <f t="shared" si="29"/>
        <v>24629986.098000001</v>
      </c>
    </row>
    <row r="961" spans="2:8" hidden="1" x14ac:dyDescent="0.4">
      <c r="B961" s="1">
        <v>43510</v>
      </c>
      <c r="C961" s="16">
        <f>SUMIF(매도완료!$G:$G,Sheet2!$B961,매도완료!$P:$P)</f>
        <v>0</v>
      </c>
      <c r="D961" s="16">
        <f>SUMIF(매도완료!$J:$J,Sheet2!$B961,매도완료!$P:$P)</f>
        <v>0</v>
      </c>
      <c r="E961" s="16">
        <f t="shared" si="28"/>
        <v>74753996</v>
      </c>
      <c r="G961" s="16">
        <f>IF(D961=0,0,SUMIF(매도완료!$J:$J,Sheet2!$B961,매도완료!$S:$S))</f>
        <v>0</v>
      </c>
      <c r="H961" s="16">
        <f t="shared" si="29"/>
        <v>24629986.098000001</v>
      </c>
    </row>
    <row r="962" spans="2:8" hidden="1" x14ac:dyDescent="0.4">
      <c r="B962" s="1">
        <v>43511</v>
      </c>
      <c r="C962" s="16">
        <f>SUMIF(매도완료!$G:$G,Sheet2!$B962,매도완료!$P:$P)</f>
        <v>0</v>
      </c>
      <c r="D962" s="16">
        <f>SUMIF(매도완료!$J:$J,Sheet2!$B962,매도완료!$P:$P)</f>
        <v>0</v>
      </c>
      <c r="E962" s="16">
        <f t="shared" si="28"/>
        <v>74753996</v>
      </c>
      <c r="G962" s="16">
        <f>IF(D962=0,0,SUMIF(매도완료!$J:$J,Sheet2!$B962,매도완료!$S:$S))</f>
        <v>0</v>
      </c>
      <c r="H962" s="16">
        <f t="shared" si="29"/>
        <v>24629986.098000001</v>
      </c>
    </row>
    <row r="963" spans="2:8" hidden="1" x14ac:dyDescent="0.4">
      <c r="B963" s="1">
        <v>43512</v>
      </c>
      <c r="C963" s="16">
        <f>SUMIF(매도완료!$G:$G,Sheet2!$B963,매도완료!$P:$P)</f>
        <v>0</v>
      </c>
      <c r="D963" s="16">
        <f>SUMIF(매도완료!$J:$J,Sheet2!$B963,매도완료!$P:$P)</f>
        <v>0</v>
      </c>
      <c r="E963" s="16">
        <f t="shared" si="28"/>
        <v>74753996</v>
      </c>
      <c r="G963" s="16">
        <f>IF(D963=0,0,SUMIF(매도완료!$J:$J,Sheet2!$B963,매도완료!$S:$S))</f>
        <v>0</v>
      </c>
      <c r="H963" s="16">
        <f t="shared" si="29"/>
        <v>24629986.098000001</v>
      </c>
    </row>
    <row r="964" spans="2:8" hidden="1" x14ac:dyDescent="0.4">
      <c r="B964" s="1">
        <v>43513</v>
      </c>
      <c r="C964" s="16">
        <f>SUMIF(매도완료!$G:$G,Sheet2!$B964,매도완료!$P:$P)</f>
        <v>0</v>
      </c>
      <c r="D964" s="16">
        <f>SUMIF(매도완료!$J:$J,Sheet2!$B964,매도완료!$P:$P)</f>
        <v>0</v>
      </c>
      <c r="E964" s="16">
        <f t="shared" ref="E964:E1027" si="30">E963+C964-D964</f>
        <v>74753996</v>
      </c>
      <c r="G964" s="16">
        <f>IF(D964=0,0,SUMIF(매도완료!$J:$J,Sheet2!$B964,매도완료!$S:$S))</f>
        <v>0</v>
      </c>
      <c r="H964" s="16">
        <f t="shared" ref="H964:H1027" si="31">H963+G964</f>
        <v>24629986.098000001</v>
      </c>
    </row>
    <row r="965" spans="2:8" hidden="1" x14ac:dyDescent="0.4">
      <c r="B965" s="1">
        <v>43514</v>
      </c>
      <c r="C965" s="16">
        <f>SUMIF(매도완료!$G:$G,Sheet2!$B965,매도완료!$P:$P)</f>
        <v>0</v>
      </c>
      <c r="D965" s="16">
        <f>SUMIF(매도완료!$J:$J,Sheet2!$B965,매도완료!$P:$P)</f>
        <v>0</v>
      </c>
      <c r="E965" s="16">
        <f t="shared" si="30"/>
        <v>74753996</v>
      </c>
      <c r="G965" s="16">
        <f>IF(D965=0,0,SUMIF(매도완료!$J:$J,Sheet2!$B965,매도완료!$S:$S))</f>
        <v>0</v>
      </c>
      <c r="H965" s="16">
        <f t="shared" si="31"/>
        <v>24629986.098000001</v>
      </c>
    </row>
    <row r="966" spans="2:8" hidden="1" x14ac:dyDescent="0.4">
      <c r="B966" s="1">
        <v>43515</v>
      </c>
      <c r="C966" s="16">
        <f>SUMIF(매도완료!$G:$G,Sheet2!$B966,매도완료!$P:$P)</f>
        <v>0</v>
      </c>
      <c r="D966" s="16">
        <f>SUMIF(매도완료!$J:$J,Sheet2!$B966,매도완료!$P:$P)</f>
        <v>0</v>
      </c>
      <c r="E966" s="16">
        <f t="shared" si="30"/>
        <v>74753996</v>
      </c>
      <c r="G966" s="16">
        <f>IF(D966=0,0,SUMIF(매도완료!$J:$J,Sheet2!$B966,매도완료!$S:$S))</f>
        <v>0</v>
      </c>
      <c r="H966" s="16">
        <f t="shared" si="31"/>
        <v>24629986.098000001</v>
      </c>
    </row>
    <row r="967" spans="2:8" hidden="1" x14ac:dyDescent="0.4">
      <c r="B967" s="1">
        <v>43516</v>
      </c>
      <c r="C967" s="16">
        <f>SUMIF(매도완료!$G:$G,Sheet2!$B967,매도완료!$P:$P)</f>
        <v>0</v>
      </c>
      <c r="D967" s="16">
        <f>SUMIF(매도완료!$J:$J,Sheet2!$B967,매도완료!$P:$P)</f>
        <v>0</v>
      </c>
      <c r="E967" s="16">
        <f t="shared" si="30"/>
        <v>74753996</v>
      </c>
      <c r="G967" s="16">
        <f>IF(D967=0,0,SUMIF(매도완료!$J:$J,Sheet2!$B967,매도완료!$S:$S))</f>
        <v>0</v>
      </c>
      <c r="H967" s="16">
        <f t="shared" si="31"/>
        <v>24629986.098000001</v>
      </c>
    </row>
    <row r="968" spans="2:8" hidden="1" x14ac:dyDescent="0.4">
      <c r="B968" s="1">
        <v>43517</v>
      </c>
      <c r="C968" s="16">
        <f>SUMIF(매도완료!$G:$G,Sheet2!$B968,매도완료!$P:$P)</f>
        <v>24502500</v>
      </c>
      <c r="D968" s="16">
        <f>SUMIF(매도완료!$J:$J,Sheet2!$B968,매도완료!$P:$P)</f>
        <v>0</v>
      </c>
      <c r="E968" s="16">
        <f t="shared" si="30"/>
        <v>99256496</v>
      </c>
      <c r="G968" s="16">
        <f>IF(D968=0,0,SUMIF(매도완료!$J:$J,Sheet2!$B968,매도완료!$S:$S))</f>
        <v>0</v>
      </c>
      <c r="H968" s="16">
        <f t="shared" si="31"/>
        <v>24629986.098000001</v>
      </c>
    </row>
    <row r="969" spans="2:8" hidden="1" x14ac:dyDescent="0.4">
      <c r="B969" s="1">
        <v>43518</v>
      </c>
      <c r="C969" s="16">
        <f>SUMIF(매도완료!$G:$G,Sheet2!$B969,매도완료!$P:$P)</f>
        <v>0</v>
      </c>
      <c r="D969" s="16">
        <f>SUMIF(매도완료!$J:$J,Sheet2!$B969,매도완료!$P:$P)</f>
        <v>0</v>
      </c>
      <c r="E969" s="16">
        <f t="shared" si="30"/>
        <v>99256496</v>
      </c>
      <c r="G969" s="16">
        <f>IF(D969=0,0,SUMIF(매도완료!$J:$J,Sheet2!$B969,매도완료!$S:$S))</f>
        <v>0</v>
      </c>
      <c r="H969" s="16">
        <f t="shared" si="31"/>
        <v>24629986.098000001</v>
      </c>
    </row>
    <row r="970" spans="2:8" hidden="1" x14ac:dyDescent="0.4">
      <c r="B970" s="1">
        <v>43519</v>
      </c>
      <c r="C970" s="16">
        <f>SUMIF(매도완료!$G:$G,Sheet2!$B970,매도완료!$P:$P)</f>
        <v>0</v>
      </c>
      <c r="D970" s="16">
        <f>SUMIF(매도완료!$J:$J,Sheet2!$B970,매도완료!$P:$P)</f>
        <v>0</v>
      </c>
      <c r="E970" s="16">
        <f t="shared" si="30"/>
        <v>99256496</v>
      </c>
      <c r="G970" s="16">
        <f>IF(D970=0,0,SUMIF(매도완료!$J:$J,Sheet2!$B970,매도완료!$S:$S))</f>
        <v>0</v>
      </c>
      <c r="H970" s="16">
        <f t="shared" si="31"/>
        <v>24629986.098000001</v>
      </c>
    </row>
    <row r="971" spans="2:8" hidden="1" x14ac:dyDescent="0.4">
      <c r="B971" s="1">
        <v>43520</v>
      </c>
      <c r="C971" s="16">
        <f>SUMIF(매도완료!$G:$G,Sheet2!$B971,매도완료!$P:$P)</f>
        <v>0</v>
      </c>
      <c r="D971" s="16">
        <f>SUMIF(매도완료!$J:$J,Sheet2!$B971,매도완료!$P:$P)</f>
        <v>0</v>
      </c>
      <c r="E971" s="16">
        <f t="shared" si="30"/>
        <v>99256496</v>
      </c>
      <c r="G971" s="16">
        <f>IF(D971=0,0,SUMIF(매도완료!$J:$J,Sheet2!$B971,매도완료!$S:$S))</f>
        <v>0</v>
      </c>
      <c r="H971" s="16">
        <f t="shared" si="31"/>
        <v>24629986.098000001</v>
      </c>
    </row>
    <row r="972" spans="2:8" hidden="1" x14ac:dyDescent="0.4">
      <c r="B972" s="1">
        <v>43521</v>
      </c>
      <c r="C972" s="16">
        <f>SUMIF(매도완료!$G:$G,Sheet2!$B972,매도완료!$P:$P)</f>
        <v>0</v>
      </c>
      <c r="D972" s="16">
        <f>SUMIF(매도완료!$J:$J,Sheet2!$B972,매도완료!$P:$P)</f>
        <v>0</v>
      </c>
      <c r="E972" s="16">
        <f t="shared" si="30"/>
        <v>99256496</v>
      </c>
      <c r="G972" s="16">
        <f>IF(D972=0,0,SUMIF(매도완료!$J:$J,Sheet2!$B972,매도완료!$S:$S))</f>
        <v>0</v>
      </c>
      <c r="H972" s="16">
        <f t="shared" si="31"/>
        <v>24629986.098000001</v>
      </c>
    </row>
    <row r="973" spans="2:8" hidden="1" x14ac:dyDescent="0.4">
      <c r="B973" s="1">
        <v>43522</v>
      </c>
      <c r="C973" s="16">
        <f>SUMIF(매도완료!$G:$G,Sheet2!$B973,매도완료!$P:$P)</f>
        <v>0</v>
      </c>
      <c r="D973" s="16">
        <f>SUMIF(매도완료!$J:$J,Sheet2!$B973,매도완료!$P:$P)</f>
        <v>0</v>
      </c>
      <c r="E973" s="16">
        <f t="shared" si="30"/>
        <v>99256496</v>
      </c>
      <c r="G973" s="16">
        <f>IF(D973=0,0,SUMIF(매도완료!$J:$J,Sheet2!$B973,매도완료!$S:$S))</f>
        <v>0</v>
      </c>
      <c r="H973" s="16">
        <f t="shared" si="31"/>
        <v>24629986.098000001</v>
      </c>
    </row>
    <row r="974" spans="2:8" hidden="1" x14ac:dyDescent="0.4">
      <c r="B974" s="1">
        <v>43523</v>
      </c>
      <c r="C974" s="16">
        <f>SUMIF(매도완료!$G:$G,Sheet2!$B974,매도완료!$P:$P)</f>
        <v>0</v>
      </c>
      <c r="D974" s="16">
        <f>SUMIF(매도완료!$J:$J,Sheet2!$B974,매도완료!$P:$P)</f>
        <v>0</v>
      </c>
      <c r="E974" s="16">
        <f t="shared" si="30"/>
        <v>99256496</v>
      </c>
      <c r="G974" s="16">
        <f>IF(D974=0,0,SUMIF(매도완료!$J:$J,Sheet2!$B974,매도완료!$S:$S))</f>
        <v>0</v>
      </c>
      <c r="H974" s="16">
        <f t="shared" si="31"/>
        <v>24629986.098000001</v>
      </c>
    </row>
    <row r="975" spans="2:8" hidden="1" x14ac:dyDescent="0.4">
      <c r="B975" s="1">
        <v>43524</v>
      </c>
      <c r="C975" s="16">
        <f>SUMIF(매도완료!$G:$G,Sheet2!$B975,매도완료!$P:$P)</f>
        <v>0</v>
      </c>
      <c r="D975" s="16">
        <f>SUMIF(매도완료!$J:$J,Sheet2!$B975,매도완료!$P:$P)</f>
        <v>0</v>
      </c>
      <c r="E975" s="16">
        <f t="shared" si="30"/>
        <v>99256496</v>
      </c>
      <c r="G975" s="16">
        <f>IF(D975=0,0,SUMIF(매도완료!$J:$J,Sheet2!$B975,매도완료!$S:$S))</f>
        <v>0</v>
      </c>
      <c r="H975" s="16">
        <f t="shared" si="31"/>
        <v>24629986.098000001</v>
      </c>
    </row>
    <row r="976" spans="2:8" hidden="1" x14ac:dyDescent="0.4">
      <c r="B976" s="1">
        <v>43525</v>
      </c>
      <c r="C976" s="16">
        <f>SUMIF(매도완료!$G:$G,Sheet2!$B976,매도완료!$P:$P)</f>
        <v>0</v>
      </c>
      <c r="D976" s="16">
        <f>SUMIF(매도완료!$J:$J,Sheet2!$B976,매도완료!$P:$P)</f>
        <v>0</v>
      </c>
      <c r="E976" s="16">
        <f t="shared" si="30"/>
        <v>99256496</v>
      </c>
      <c r="G976" s="16">
        <f>IF(D976=0,0,SUMIF(매도완료!$J:$J,Sheet2!$B976,매도완료!$S:$S))</f>
        <v>0</v>
      </c>
      <c r="H976" s="16">
        <f t="shared" si="31"/>
        <v>24629986.098000001</v>
      </c>
    </row>
    <row r="977" spans="2:8" hidden="1" x14ac:dyDescent="0.4">
      <c r="B977" s="1">
        <v>43526</v>
      </c>
      <c r="C977" s="16">
        <f>SUMIF(매도완료!$G:$G,Sheet2!$B977,매도완료!$P:$P)</f>
        <v>0</v>
      </c>
      <c r="D977" s="16">
        <f>SUMIF(매도완료!$J:$J,Sheet2!$B977,매도완료!$P:$P)</f>
        <v>0</v>
      </c>
      <c r="E977" s="16">
        <f t="shared" si="30"/>
        <v>99256496</v>
      </c>
      <c r="G977" s="16">
        <f>IF(D977=0,0,SUMIF(매도완료!$J:$J,Sheet2!$B977,매도완료!$S:$S))</f>
        <v>0</v>
      </c>
      <c r="H977" s="16">
        <f t="shared" si="31"/>
        <v>24629986.098000001</v>
      </c>
    </row>
    <row r="978" spans="2:8" hidden="1" x14ac:dyDescent="0.4">
      <c r="B978" s="1">
        <v>43527</v>
      </c>
      <c r="C978" s="16">
        <f>SUMIF(매도완료!$G:$G,Sheet2!$B978,매도완료!$P:$P)</f>
        <v>0</v>
      </c>
      <c r="D978" s="16">
        <f>SUMIF(매도완료!$J:$J,Sheet2!$B978,매도완료!$P:$P)</f>
        <v>0</v>
      </c>
      <c r="E978" s="16">
        <f t="shared" si="30"/>
        <v>99256496</v>
      </c>
      <c r="G978" s="16">
        <f>IF(D978=0,0,SUMIF(매도완료!$J:$J,Sheet2!$B978,매도완료!$S:$S))</f>
        <v>0</v>
      </c>
      <c r="H978" s="16">
        <f t="shared" si="31"/>
        <v>24629986.098000001</v>
      </c>
    </row>
    <row r="979" spans="2:8" hidden="1" x14ac:dyDescent="0.4">
      <c r="B979" s="1">
        <v>43528</v>
      </c>
      <c r="C979" s="16">
        <f>SUMIF(매도완료!$G:$G,Sheet2!$B979,매도완료!$P:$P)</f>
        <v>0</v>
      </c>
      <c r="D979" s="16">
        <f>SUMIF(매도완료!$J:$J,Sheet2!$B979,매도완료!$P:$P)</f>
        <v>0</v>
      </c>
      <c r="E979" s="16">
        <f t="shared" si="30"/>
        <v>99256496</v>
      </c>
      <c r="G979" s="16">
        <f>IF(D979=0,0,SUMIF(매도완료!$J:$J,Sheet2!$B979,매도완료!$S:$S))</f>
        <v>0</v>
      </c>
      <c r="H979" s="16">
        <f t="shared" si="31"/>
        <v>24629986.098000001</v>
      </c>
    </row>
    <row r="980" spans="2:8" hidden="1" x14ac:dyDescent="0.4">
      <c r="B980" s="1">
        <v>43529</v>
      </c>
      <c r="C980" s="16">
        <f>SUMIF(매도완료!$G:$G,Sheet2!$B980,매도완료!$P:$P)</f>
        <v>6335500</v>
      </c>
      <c r="D980" s="16">
        <f>SUMIF(매도완료!$J:$J,Sheet2!$B980,매도완료!$P:$P)</f>
        <v>2382200</v>
      </c>
      <c r="E980" s="16">
        <f t="shared" si="30"/>
        <v>103209796</v>
      </c>
      <c r="G980" s="16">
        <f>IF(D980=0,0,SUMIF(매도완료!$J:$J,Sheet2!$B980,매도완료!$S:$S))</f>
        <v>-539105</v>
      </c>
      <c r="H980" s="16">
        <f t="shared" si="31"/>
        <v>24090881.098000001</v>
      </c>
    </row>
    <row r="981" spans="2:8" hidden="1" x14ac:dyDescent="0.4">
      <c r="B981" s="1">
        <v>43530</v>
      </c>
      <c r="C981" s="16">
        <f>SUMIF(매도완료!$G:$G,Sheet2!$B981,매도완료!$P:$P)</f>
        <v>0</v>
      </c>
      <c r="D981" s="16">
        <f>SUMIF(매도완료!$J:$J,Sheet2!$B981,매도완료!$P:$P)</f>
        <v>1008000</v>
      </c>
      <c r="E981" s="16">
        <f t="shared" si="30"/>
        <v>102201796</v>
      </c>
      <c r="G981" s="16">
        <f>IF(D981=0,0,SUMIF(매도완료!$J:$J,Sheet2!$B981,매도완료!$S:$S))</f>
        <v>59658</v>
      </c>
      <c r="H981" s="16">
        <f t="shared" si="31"/>
        <v>24150539.098000001</v>
      </c>
    </row>
    <row r="982" spans="2:8" hidden="1" x14ac:dyDescent="0.4">
      <c r="B982" s="1">
        <v>43531</v>
      </c>
      <c r="C982" s="16">
        <f>SUMIF(매도완료!$G:$G,Sheet2!$B982,매도완료!$P:$P)</f>
        <v>0</v>
      </c>
      <c r="D982" s="16">
        <f>SUMIF(매도완료!$J:$J,Sheet2!$B982,매도완료!$P:$P)</f>
        <v>0</v>
      </c>
      <c r="E982" s="16">
        <f t="shared" si="30"/>
        <v>102201796</v>
      </c>
      <c r="G982" s="16">
        <f>IF(D982=0,0,SUMIF(매도완료!$J:$J,Sheet2!$B982,매도완료!$S:$S))</f>
        <v>0</v>
      </c>
      <c r="H982" s="16">
        <f t="shared" si="31"/>
        <v>24150539.098000001</v>
      </c>
    </row>
    <row r="983" spans="2:8" hidden="1" x14ac:dyDescent="0.4">
      <c r="B983" s="1">
        <v>43532</v>
      </c>
      <c r="C983" s="16">
        <f>SUMIF(매도완료!$G:$G,Sheet2!$B983,매도완료!$P:$P)</f>
        <v>747000</v>
      </c>
      <c r="D983" s="16">
        <f>SUMIF(매도완료!$J:$J,Sheet2!$B983,매도완료!$P:$P)</f>
        <v>1012000</v>
      </c>
      <c r="E983" s="16">
        <f t="shared" si="30"/>
        <v>101936796</v>
      </c>
      <c r="G983" s="16">
        <f>IF(D983=0,0,SUMIF(매도완료!$J:$J,Sheet2!$B983,매도완료!$S:$S))</f>
        <v>152725.5</v>
      </c>
      <c r="H983" s="16">
        <f t="shared" si="31"/>
        <v>24303264.598000001</v>
      </c>
    </row>
    <row r="984" spans="2:8" hidden="1" x14ac:dyDescent="0.4">
      <c r="B984" s="1">
        <v>43533</v>
      </c>
      <c r="C984" s="16">
        <f>SUMIF(매도완료!$G:$G,Sheet2!$B984,매도완료!$P:$P)</f>
        <v>0</v>
      </c>
      <c r="D984" s="16">
        <f>SUMIF(매도완료!$J:$J,Sheet2!$B984,매도완료!$P:$P)</f>
        <v>0</v>
      </c>
      <c r="E984" s="16">
        <f t="shared" si="30"/>
        <v>101936796</v>
      </c>
      <c r="G984" s="16">
        <f>IF(D984=0,0,SUMIF(매도완료!$J:$J,Sheet2!$B984,매도완료!$S:$S))</f>
        <v>0</v>
      </c>
      <c r="H984" s="16">
        <f t="shared" si="31"/>
        <v>24303264.598000001</v>
      </c>
    </row>
    <row r="985" spans="2:8" hidden="1" x14ac:dyDescent="0.4">
      <c r="B985" s="1">
        <v>43534</v>
      </c>
      <c r="C985" s="16">
        <f>SUMIF(매도완료!$G:$G,Sheet2!$B985,매도완료!$P:$P)</f>
        <v>0</v>
      </c>
      <c r="D985" s="16">
        <f>SUMIF(매도완료!$J:$J,Sheet2!$B985,매도완료!$P:$P)</f>
        <v>0</v>
      </c>
      <c r="E985" s="16">
        <f t="shared" si="30"/>
        <v>101936796</v>
      </c>
      <c r="G985" s="16">
        <f>IF(D985=0,0,SUMIF(매도완료!$J:$J,Sheet2!$B985,매도완료!$S:$S))</f>
        <v>0</v>
      </c>
      <c r="H985" s="16">
        <f t="shared" si="31"/>
        <v>24303264.598000001</v>
      </c>
    </row>
    <row r="986" spans="2:8" hidden="1" x14ac:dyDescent="0.4">
      <c r="B986" s="1">
        <v>43535</v>
      </c>
      <c r="C986" s="16">
        <f>SUMIF(매도완료!$G:$G,Sheet2!$B986,매도완료!$P:$P)</f>
        <v>816000</v>
      </c>
      <c r="D986" s="16">
        <f>SUMIF(매도완료!$J:$J,Sheet2!$B986,매도완료!$P:$P)</f>
        <v>0</v>
      </c>
      <c r="E986" s="16">
        <f t="shared" si="30"/>
        <v>102752796</v>
      </c>
      <c r="G986" s="16">
        <f>IF(D986=0,0,SUMIF(매도완료!$J:$J,Sheet2!$B986,매도완료!$S:$S))</f>
        <v>0</v>
      </c>
      <c r="H986" s="16">
        <f t="shared" si="31"/>
        <v>24303264.598000001</v>
      </c>
    </row>
    <row r="987" spans="2:8" hidden="1" x14ac:dyDescent="0.4">
      <c r="B987" s="1">
        <v>43536</v>
      </c>
      <c r="C987" s="16">
        <f>SUMIF(매도완료!$G:$G,Sheet2!$B987,매도완료!$P:$P)</f>
        <v>0</v>
      </c>
      <c r="D987" s="16">
        <f>SUMIF(매도완료!$J:$J,Sheet2!$B987,매도완료!$P:$P)</f>
        <v>0</v>
      </c>
      <c r="E987" s="16">
        <f t="shared" si="30"/>
        <v>102752796</v>
      </c>
      <c r="G987" s="16">
        <f>IF(D987=0,0,SUMIF(매도완료!$J:$J,Sheet2!$B987,매도완료!$S:$S))</f>
        <v>0</v>
      </c>
      <c r="H987" s="16">
        <f t="shared" si="31"/>
        <v>24303264.598000001</v>
      </c>
    </row>
    <row r="988" spans="2:8" hidden="1" x14ac:dyDescent="0.4">
      <c r="B988" s="1">
        <v>43537</v>
      </c>
      <c r="C988" s="16">
        <f>SUMIF(매도완료!$G:$G,Sheet2!$B988,매도완료!$P:$P)</f>
        <v>8942500</v>
      </c>
      <c r="D988" s="16">
        <f>SUMIF(매도완료!$J:$J,Sheet2!$B988,매도완료!$P:$P)</f>
        <v>10480000</v>
      </c>
      <c r="E988" s="16">
        <f t="shared" si="30"/>
        <v>101215296</v>
      </c>
      <c r="G988" s="16">
        <f>IF(D988=0,0,SUMIF(매도완료!$J:$J,Sheet2!$B988,매도완료!$S:$S))</f>
        <v>-1297300</v>
      </c>
      <c r="H988" s="16">
        <f t="shared" si="31"/>
        <v>23005964.598000001</v>
      </c>
    </row>
    <row r="989" spans="2:8" hidden="1" x14ac:dyDescent="0.4">
      <c r="B989" s="1">
        <v>43538</v>
      </c>
      <c r="C989" s="16">
        <f>SUMIF(매도완료!$G:$G,Sheet2!$B989,매도완료!$P:$P)</f>
        <v>0</v>
      </c>
      <c r="D989" s="16">
        <f>SUMIF(매도완료!$J:$J,Sheet2!$B989,매도완료!$P:$P)</f>
        <v>26936000</v>
      </c>
      <c r="E989" s="16">
        <f t="shared" si="30"/>
        <v>74279296</v>
      </c>
      <c r="G989" s="16">
        <f>IF(D989=0,0,SUMIF(매도완료!$J:$J,Sheet2!$B989,매도완료!$S:$S))</f>
        <v>-17763005</v>
      </c>
      <c r="H989" s="16">
        <f t="shared" si="31"/>
        <v>5242959.5980000012</v>
      </c>
    </row>
    <row r="990" spans="2:8" hidden="1" x14ac:dyDescent="0.4">
      <c r="B990" s="1">
        <v>43539</v>
      </c>
      <c r="C990" s="16">
        <f>SUMIF(매도완료!$G:$G,Sheet2!$B990,매도완료!$P:$P)</f>
        <v>4092800</v>
      </c>
      <c r="D990" s="16">
        <f>SUMIF(매도완료!$J:$J,Sheet2!$B990,매도완료!$P:$P)</f>
        <v>0</v>
      </c>
      <c r="E990" s="16">
        <f t="shared" si="30"/>
        <v>78372096</v>
      </c>
      <c r="G990" s="16">
        <f>IF(D990=0,0,SUMIF(매도완료!$J:$J,Sheet2!$B990,매도완료!$S:$S))</f>
        <v>0</v>
      </c>
      <c r="H990" s="16">
        <f t="shared" si="31"/>
        <v>5242959.5980000012</v>
      </c>
    </row>
    <row r="991" spans="2:8" hidden="1" x14ac:dyDescent="0.4">
      <c r="B991" s="1">
        <v>43540</v>
      </c>
      <c r="C991" s="16">
        <f>SUMIF(매도완료!$G:$G,Sheet2!$B991,매도완료!$P:$P)</f>
        <v>0</v>
      </c>
      <c r="D991" s="16">
        <f>SUMIF(매도완료!$J:$J,Sheet2!$B991,매도완료!$P:$P)</f>
        <v>0</v>
      </c>
      <c r="E991" s="16">
        <f t="shared" si="30"/>
        <v>78372096</v>
      </c>
      <c r="G991" s="16">
        <f>IF(D991=0,0,SUMIF(매도완료!$J:$J,Sheet2!$B991,매도완료!$S:$S))</f>
        <v>0</v>
      </c>
      <c r="H991" s="16">
        <f t="shared" si="31"/>
        <v>5242959.5980000012</v>
      </c>
    </row>
    <row r="992" spans="2:8" hidden="1" x14ac:dyDescent="0.4">
      <c r="B992" s="1">
        <v>43541</v>
      </c>
      <c r="C992" s="16">
        <f>SUMIF(매도완료!$G:$G,Sheet2!$B992,매도완료!$P:$P)</f>
        <v>0</v>
      </c>
      <c r="D992" s="16">
        <f>SUMIF(매도완료!$J:$J,Sheet2!$B992,매도완료!$P:$P)</f>
        <v>0</v>
      </c>
      <c r="E992" s="16">
        <f t="shared" si="30"/>
        <v>78372096</v>
      </c>
      <c r="G992" s="16">
        <f>IF(D992=0,0,SUMIF(매도완료!$J:$J,Sheet2!$B992,매도완료!$S:$S))</f>
        <v>0</v>
      </c>
      <c r="H992" s="16">
        <f t="shared" si="31"/>
        <v>5242959.5980000012</v>
      </c>
    </row>
    <row r="993" spans="2:8" hidden="1" x14ac:dyDescent="0.4">
      <c r="B993" s="1">
        <v>43542</v>
      </c>
      <c r="C993" s="16">
        <f>SUMIF(매도완료!$G:$G,Sheet2!$B993,매도완료!$P:$P)</f>
        <v>0</v>
      </c>
      <c r="D993" s="16">
        <f>SUMIF(매도완료!$J:$J,Sheet2!$B993,매도완료!$P:$P)</f>
        <v>18416000</v>
      </c>
      <c r="E993" s="16">
        <f t="shared" si="30"/>
        <v>59956096</v>
      </c>
      <c r="G993" s="16">
        <f>IF(D993=0,0,SUMIF(매도완료!$J:$J,Sheet2!$B993,매도완료!$S:$S))</f>
        <v>-7592650</v>
      </c>
      <c r="H993" s="16">
        <f t="shared" si="31"/>
        <v>-2349690.4019999988</v>
      </c>
    </row>
    <row r="994" spans="2:8" hidden="1" x14ac:dyDescent="0.4">
      <c r="B994" s="1">
        <v>43543</v>
      </c>
      <c r="C994" s="16">
        <f>SUMIF(매도완료!$G:$G,Sheet2!$B994,매도완료!$P:$P)</f>
        <v>0</v>
      </c>
      <c r="D994" s="16">
        <f>SUMIF(매도완료!$J:$J,Sheet2!$B994,매도완료!$P:$P)</f>
        <v>0</v>
      </c>
      <c r="E994" s="16">
        <f t="shared" si="30"/>
        <v>59956096</v>
      </c>
      <c r="G994" s="16">
        <f>IF(D994=0,0,SUMIF(매도완료!$J:$J,Sheet2!$B994,매도완료!$S:$S))</f>
        <v>0</v>
      </c>
      <c r="H994" s="16">
        <f t="shared" si="31"/>
        <v>-2349690.4019999988</v>
      </c>
    </row>
    <row r="995" spans="2:8" hidden="1" x14ac:dyDescent="0.4">
      <c r="B995" s="1">
        <v>43544</v>
      </c>
      <c r="C995" s="16">
        <f>SUMIF(매도완료!$G:$G,Sheet2!$B995,매도완료!$P:$P)</f>
        <v>4545000</v>
      </c>
      <c r="D995" s="16">
        <f>SUMIF(매도완료!$J:$J,Sheet2!$B995,매도완료!$P:$P)</f>
        <v>0</v>
      </c>
      <c r="E995" s="16">
        <f t="shared" si="30"/>
        <v>64501096</v>
      </c>
      <c r="G995" s="16">
        <f>IF(D995=0,0,SUMIF(매도완료!$J:$J,Sheet2!$B995,매도완료!$S:$S))</f>
        <v>0</v>
      </c>
      <c r="H995" s="16">
        <f t="shared" si="31"/>
        <v>-2349690.4019999988</v>
      </c>
    </row>
    <row r="996" spans="2:8" hidden="1" x14ac:dyDescent="0.4">
      <c r="B996" s="1">
        <v>43545</v>
      </c>
      <c r="C996" s="16">
        <f>SUMIF(매도완료!$G:$G,Sheet2!$B996,매도완료!$P:$P)</f>
        <v>0</v>
      </c>
      <c r="D996" s="16">
        <f>SUMIF(매도완료!$J:$J,Sheet2!$B996,매도완료!$P:$P)</f>
        <v>0</v>
      </c>
      <c r="E996" s="16">
        <f t="shared" si="30"/>
        <v>64501096</v>
      </c>
      <c r="G996" s="16">
        <f>IF(D996=0,0,SUMIF(매도완료!$J:$J,Sheet2!$B996,매도완료!$S:$S))</f>
        <v>0</v>
      </c>
      <c r="H996" s="16">
        <f t="shared" si="31"/>
        <v>-2349690.4019999988</v>
      </c>
    </row>
    <row r="997" spans="2:8" hidden="1" x14ac:dyDescent="0.4">
      <c r="B997" s="1">
        <v>43546</v>
      </c>
      <c r="C997" s="16">
        <f>SUMIF(매도완료!$G:$G,Sheet2!$B997,매도완료!$P:$P)</f>
        <v>0</v>
      </c>
      <c r="D997" s="16">
        <f>SUMIF(매도완료!$J:$J,Sheet2!$B997,매도완료!$P:$P)</f>
        <v>0</v>
      </c>
      <c r="E997" s="16">
        <f t="shared" si="30"/>
        <v>64501096</v>
      </c>
      <c r="G997" s="16">
        <f>IF(D997=0,0,SUMIF(매도완료!$J:$J,Sheet2!$B997,매도완료!$S:$S))</f>
        <v>0</v>
      </c>
      <c r="H997" s="16">
        <f t="shared" si="31"/>
        <v>-2349690.4019999988</v>
      </c>
    </row>
    <row r="998" spans="2:8" hidden="1" x14ac:dyDescent="0.4">
      <c r="B998" s="1">
        <v>43547</v>
      </c>
      <c r="C998" s="16">
        <f>SUMIF(매도완료!$G:$G,Sheet2!$B998,매도완료!$P:$P)</f>
        <v>0</v>
      </c>
      <c r="D998" s="16">
        <f>SUMIF(매도완료!$J:$J,Sheet2!$B998,매도완료!$P:$P)</f>
        <v>0</v>
      </c>
      <c r="E998" s="16">
        <f t="shared" si="30"/>
        <v>64501096</v>
      </c>
      <c r="G998" s="16">
        <f>IF(D998=0,0,SUMIF(매도완료!$J:$J,Sheet2!$B998,매도완료!$S:$S))</f>
        <v>0</v>
      </c>
      <c r="H998" s="16">
        <f t="shared" si="31"/>
        <v>-2349690.4019999988</v>
      </c>
    </row>
    <row r="999" spans="2:8" hidden="1" x14ac:dyDescent="0.4">
      <c r="B999" s="1">
        <v>43548</v>
      </c>
      <c r="C999" s="16">
        <f>SUMIF(매도완료!$G:$G,Sheet2!$B999,매도완료!$P:$P)</f>
        <v>0</v>
      </c>
      <c r="D999" s="16">
        <f>SUMIF(매도완료!$J:$J,Sheet2!$B999,매도완료!$P:$P)</f>
        <v>0</v>
      </c>
      <c r="E999" s="16">
        <f t="shared" si="30"/>
        <v>64501096</v>
      </c>
      <c r="G999" s="16">
        <f>IF(D999=0,0,SUMIF(매도완료!$J:$J,Sheet2!$B999,매도완료!$S:$S))</f>
        <v>0</v>
      </c>
      <c r="H999" s="16">
        <f t="shared" si="31"/>
        <v>-2349690.4019999988</v>
      </c>
    </row>
    <row r="1000" spans="2:8" hidden="1" x14ac:dyDescent="0.4">
      <c r="B1000" s="1">
        <v>43549</v>
      </c>
      <c r="C1000" s="16">
        <f>SUMIF(매도완료!$G:$G,Sheet2!$B1000,매도완료!$P:$P)</f>
        <v>0</v>
      </c>
      <c r="D1000" s="16">
        <f>SUMIF(매도완료!$J:$J,Sheet2!$B1000,매도완료!$P:$P)</f>
        <v>549500</v>
      </c>
      <c r="E1000" s="16">
        <f t="shared" si="30"/>
        <v>63951596</v>
      </c>
      <c r="G1000" s="16">
        <f>IF(D1000=0,0,SUMIF(매도완료!$J:$J,Sheet2!$B1000,매도완료!$S:$S))</f>
        <v>150019.5</v>
      </c>
      <c r="H1000" s="16">
        <f t="shared" si="31"/>
        <v>-2199670.9019999988</v>
      </c>
    </row>
    <row r="1001" spans="2:8" hidden="1" x14ac:dyDescent="0.4">
      <c r="B1001" s="1">
        <v>43550</v>
      </c>
      <c r="C1001" s="16">
        <f>SUMIF(매도완료!$G:$G,Sheet2!$B1001,매도완료!$P:$P)</f>
        <v>7837000</v>
      </c>
      <c r="D1001" s="16">
        <f>SUMIF(매도완료!$J:$J,Sheet2!$B1001,매도완료!$P:$P)</f>
        <v>0</v>
      </c>
      <c r="E1001" s="16">
        <f t="shared" si="30"/>
        <v>71788596</v>
      </c>
      <c r="G1001" s="16">
        <f>IF(D1001=0,0,SUMIF(매도완료!$J:$J,Sheet2!$B1001,매도완료!$S:$S))</f>
        <v>0</v>
      </c>
      <c r="H1001" s="16">
        <f t="shared" si="31"/>
        <v>-2199670.9019999988</v>
      </c>
    </row>
    <row r="1002" spans="2:8" hidden="1" x14ac:dyDescent="0.4">
      <c r="B1002" s="1">
        <v>43551</v>
      </c>
      <c r="C1002" s="16">
        <f>SUMIF(매도완료!$G:$G,Sheet2!$B1002,매도완료!$P:$P)</f>
        <v>1027000</v>
      </c>
      <c r="D1002" s="16">
        <f>SUMIF(매도완료!$J:$J,Sheet2!$B1002,매도완료!$P:$P)</f>
        <v>0</v>
      </c>
      <c r="E1002" s="16">
        <f t="shared" si="30"/>
        <v>72815596</v>
      </c>
      <c r="G1002" s="16">
        <f>IF(D1002=0,0,SUMIF(매도완료!$J:$J,Sheet2!$B1002,매도완료!$S:$S))</f>
        <v>0</v>
      </c>
      <c r="H1002" s="16">
        <f t="shared" si="31"/>
        <v>-2199670.9019999988</v>
      </c>
    </row>
    <row r="1003" spans="2:8" hidden="1" x14ac:dyDescent="0.4">
      <c r="B1003" s="1">
        <v>43552</v>
      </c>
      <c r="C1003" s="16">
        <f>SUMIF(매도완료!$G:$G,Sheet2!$B1003,매도완료!$P:$P)</f>
        <v>8555000</v>
      </c>
      <c r="D1003" s="16">
        <f>SUMIF(매도완료!$J:$J,Sheet2!$B1003,매도완료!$P:$P)</f>
        <v>0</v>
      </c>
      <c r="E1003" s="16">
        <f t="shared" si="30"/>
        <v>81370596</v>
      </c>
      <c r="G1003" s="16">
        <f>IF(D1003=0,0,SUMIF(매도완료!$J:$J,Sheet2!$B1003,매도완료!$S:$S))</f>
        <v>0</v>
      </c>
      <c r="H1003" s="16">
        <f t="shared" si="31"/>
        <v>-2199670.9019999988</v>
      </c>
    </row>
    <row r="1004" spans="2:8" hidden="1" x14ac:dyDescent="0.4">
      <c r="B1004" s="1">
        <v>43553</v>
      </c>
      <c r="C1004" s="16">
        <f>SUMIF(매도완료!$G:$G,Sheet2!$B1004,매도완료!$P:$P)</f>
        <v>0</v>
      </c>
      <c r="D1004" s="16">
        <f>SUMIF(매도완료!$J:$J,Sheet2!$B1004,매도완료!$P:$P)</f>
        <v>0</v>
      </c>
      <c r="E1004" s="16">
        <f t="shared" si="30"/>
        <v>81370596</v>
      </c>
      <c r="G1004" s="16">
        <f>IF(D1004=0,0,SUMIF(매도완료!$J:$J,Sheet2!$B1004,매도완료!$S:$S))</f>
        <v>0</v>
      </c>
      <c r="H1004" s="16">
        <f t="shared" si="31"/>
        <v>-2199670.9019999988</v>
      </c>
    </row>
    <row r="1005" spans="2:8" hidden="1" x14ac:dyDescent="0.4">
      <c r="B1005" s="1">
        <v>43554</v>
      </c>
      <c r="C1005" s="16">
        <f>SUMIF(매도완료!$G:$G,Sheet2!$B1005,매도완료!$P:$P)</f>
        <v>0</v>
      </c>
      <c r="D1005" s="16">
        <f>SUMIF(매도완료!$J:$J,Sheet2!$B1005,매도완료!$P:$P)</f>
        <v>0</v>
      </c>
      <c r="E1005" s="16">
        <f t="shared" si="30"/>
        <v>81370596</v>
      </c>
      <c r="G1005" s="16">
        <f>IF(D1005=0,0,SUMIF(매도완료!$J:$J,Sheet2!$B1005,매도완료!$S:$S))</f>
        <v>0</v>
      </c>
      <c r="H1005" s="16">
        <f t="shared" si="31"/>
        <v>-2199670.9019999988</v>
      </c>
    </row>
    <row r="1006" spans="2:8" hidden="1" x14ac:dyDescent="0.4">
      <c r="B1006" s="1">
        <v>43555</v>
      </c>
      <c r="C1006" s="16">
        <f>SUMIF(매도완료!$G:$G,Sheet2!$B1006,매도완료!$P:$P)</f>
        <v>0</v>
      </c>
      <c r="D1006" s="16">
        <f>SUMIF(매도완료!$J:$J,Sheet2!$B1006,매도완료!$P:$P)</f>
        <v>0</v>
      </c>
      <c r="E1006" s="16">
        <f t="shared" si="30"/>
        <v>81370596</v>
      </c>
      <c r="G1006" s="16">
        <f>IF(D1006=0,0,SUMIF(매도완료!$J:$J,Sheet2!$B1006,매도완료!$S:$S))</f>
        <v>0</v>
      </c>
      <c r="H1006" s="16">
        <f t="shared" si="31"/>
        <v>-2199670.9019999988</v>
      </c>
    </row>
    <row r="1007" spans="2:8" hidden="1" x14ac:dyDescent="0.4">
      <c r="B1007" s="1">
        <v>43556</v>
      </c>
      <c r="C1007" s="16">
        <f>SUMIF(매도완료!$G:$G,Sheet2!$B1007,매도완료!$P:$P)</f>
        <v>0</v>
      </c>
      <c r="D1007" s="16">
        <f>SUMIF(매도완료!$J:$J,Sheet2!$B1007,매도완료!$P:$P)</f>
        <v>0</v>
      </c>
      <c r="E1007" s="16">
        <f t="shared" si="30"/>
        <v>81370596</v>
      </c>
      <c r="G1007" s="16">
        <f>IF(D1007=0,0,SUMIF(매도완료!$J:$J,Sheet2!$B1007,매도완료!$S:$S))</f>
        <v>0</v>
      </c>
      <c r="H1007" s="16">
        <f t="shared" si="31"/>
        <v>-2199670.9019999988</v>
      </c>
    </row>
    <row r="1008" spans="2:8" hidden="1" x14ac:dyDescent="0.4">
      <c r="B1008" s="1">
        <v>43557</v>
      </c>
      <c r="C1008" s="16">
        <f>SUMIF(매도완료!$G:$G,Sheet2!$B1008,매도완료!$P:$P)</f>
        <v>0</v>
      </c>
      <c r="D1008" s="16">
        <f>SUMIF(매도완료!$J:$J,Sheet2!$B1008,매도완료!$P:$P)</f>
        <v>0</v>
      </c>
      <c r="E1008" s="16">
        <f t="shared" si="30"/>
        <v>81370596</v>
      </c>
      <c r="G1008" s="16">
        <f>IF(D1008=0,0,SUMIF(매도완료!$J:$J,Sheet2!$B1008,매도완료!$S:$S))</f>
        <v>0</v>
      </c>
      <c r="H1008" s="16">
        <f t="shared" si="31"/>
        <v>-2199670.9019999988</v>
      </c>
    </row>
    <row r="1009" spans="2:8" hidden="1" x14ac:dyDescent="0.4">
      <c r="B1009" s="1">
        <v>43558</v>
      </c>
      <c r="C1009" s="16">
        <f>SUMIF(매도완료!$G:$G,Sheet2!$B1009,매도완료!$P:$P)</f>
        <v>0</v>
      </c>
      <c r="D1009" s="16">
        <f>SUMIF(매도완료!$J:$J,Sheet2!$B1009,매도완료!$P:$P)</f>
        <v>0</v>
      </c>
      <c r="E1009" s="16">
        <f t="shared" si="30"/>
        <v>81370596</v>
      </c>
      <c r="G1009" s="16">
        <f>IF(D1009=0,0,SUMIF(매도완료!$J:$J,Sheet2!$B1009,매도완료!$S:$S))</f>
        <v>0</v>
      </c>
      <c r="H1009" s="16">
        <f t="shared" si="31"/>
        <v>-2199670.9019999988</v>
      </c>
    </row>
    <row r="1010" spans="2:8" hidden="1" x14ac:dyDescent="0.4">
      <c r="B1010" s="1">
        <v>43559</v>
      </c>
      <c r="C1010" s="16">
        <f>SUMIF(매도완료!$G:$G,Sheet2!$B1010,매도완료!$P:$P)</f>
        <v>991000</v>
      </c>
      <c r="D1010" s="16">
        <f>SUMIF(매도완료!$J:$J,Sheet2!$B1010,매도완료!$P:$P)</f>
        <v>0</v>
      </c>
      <c r="E1010" s="16">
        <f t="shared" si="30"/>
        <v>82361596</v>
      </c>
      <c r="G1010" s="16">
        <f>IF(D1010=0,0,SUMIF(매도완료!$J:$J,Sheet2!$B1010,매도완료!$S:$S))</f>
        <v>0</v>
      </c>
      <c r="H1010" s="16">
        <f t="shared" si="31"/>
        <v>-2199670.9019999988</v>
      </c>
    </row>
    <row r="1011" spans="2:8" hidden="1" x14ac:dyDescent="0.4">
      <c r="B1011" s="1">
        <v>43560</v>
      </c>
      <c r="C1011" s="16">
        <f>SUMIF(매도완료!$G:$G,Sheet2!$B1011,매도완료!$P:$P)</f>
        <v>0</v>
      </c>
      <c r="D1011" s="16">
        <f>SUMIF(매도완료!$J:$J,Sheet2!$B1011,매도완료!$P:$P)</f>
        <v>11128500</v>
      </c>
      <c r="E1011" s="16">
        <f t="shared" si="30"/>
        <v>71233096</v>
      </c>
      <c r="G1011" s="16">
        <f>IF(D1011=0,0,SUMIF(매도완료!$J:$J,Sheet2!$B1011,매도완료!$S:$S))</f>
        <v>593764</v>
      </c>
      <c r="H1011" s="16">
        <f t="shared" si="31"/>
        <v>-1605906.9019999988</v>
      </c>
    </row>
    <row r="1012" spans="2:8" hidden="1" x14ac:dyDescent="0.4">
      <c r="B1012" s="1">
        <v>43561</v>
      </c>
      <c r="C1012" s="16">
        <f>SUMIF(매도완료!$G:$G,Sheet2!$B1012,매도완료!$P:$P)</f>
        <v>0</v>
      </c>
      <c r="D1012" s="16">
        <f>SUMIF(매도완료!$J:$J,Sheet2!$B1012,매도완료!$P:$P)</f>
        <v>0</v>
      </c>
      <c r="E1012" s="16">
        <f t="shared" si="30"/>
        <v>71233096</v>
      </c>
      <c r="G1012" s="16">
        <f>IF(D1012=0,0,SUMIF(매도완료!$J:$J,Sheet2!$B1012,매도완료!$S:$S))</f>
        <v>0</v>
      </c>
      <c r="H1012" s="16">
        <f t="shared" si="31"/>
        <v>-1605906.9019999988</v>
      </c>
    </row>
    <row r="1013" spans="2:8" hidden="1" x14ac:dyDescent="0.4">
      <c r="B1013" s="1">
        <v>43562</v>
      </c>
      <c r="C1013" s="16">
        <f>SUMIF(매도완료!$G:$G,Sheet2!$B1013,매도완료!$P:$P)</f>
        <v>0</v>
      </c>
      <c r="D1013" s="16">
        <f>SUMIF(매도완료!$J:$J,Sheet2!$B1013,매도완료!$P:$P)</f>
        <v>0</v>
      </c>
      <c r="E1013" s="16">
        <f t="shared" si="30"/>
        <v>71233096</v>
      </c>
      <c r="G1013" s="16">
        <f>IF(D1013=0,0,SUMIF(매도완료!$J:$J,Sheet2!$B1013,매도완료!$S:$S))</f>
        <v>0</v>
      </c>
      <c r="H1013" s="16">
        <f t="shared" si="31"/>
        <v>-1605906.9019999988</v>
      </c>
    </row>
    <row r="1014" spans="2:8" hidden="1" x14ac:dyDescent="0.4">
      <c r="B1014" s="1">
        <v>43563</v>
      </c>
      <c r="C1014" s="16">
        <f>SUMIF(매도완료!$G:$G,Sheet2!$B1014,매도완료!$P:$P)</f>
        <v>9895500</v>
      </c>
      <c r="D1014" s="16">
        <f>SUMIF(매도완료!$J:$J,Sheet2!$B1014,매도완료!$P:$P)</f>
        <v>0</v>
      </c>
      <c r="E1014" s="16">
        <f t="shared" si="30"/>
        <v>81128596</v>
      </c>
      <c r="G1014" s="16">
        <f>IF(D1014=0,0,SUMIF(매도완료!$J:$J,Sheet2!$B1014,매도완료!$S:$S))</f>
        <v>0</v>
      </c>
      <c r="H1014" s="16">
        <f t="shared" si="31"/>
        <v>-1605906.9019999988</v>
      </c>
    </row>
    <row r="1015" spans="2:8" hidden="1" x14ac:dyDescent="0.4">
      <c r="B1015" s="1">
        <v>43564</v>
      </c>
      <c r="C1015" s="16">
        <f>SUMIF(매도완료!$G:$G,Sheet2!$B1015,매도완료!$P:$P)</f>
        <v>57682582.5</v>
      </c>
      <c r="D1015" s="16">
        <f>SUMIF(매도완료!$J:$J,Sheet2!$B1015,매도완료!$P:$P)</f>
        <v>49672800</v>
      </c>
      <c r="E1015" s="16">
        <f t="shared" si="30"/>
        <v>89138378.5</v>
      </c>
      <c r="G1015" s="16">
        <f>IF(D1015=0,0,SUMIF(매도완료!$J:$J,Sheet2!$B1015,매도완료!$S:$S))</f>
        <v>-4660025.8</v>
      </c>
      <c r="H1015" s="16">
        <f t="shared" si="31"/>
        <v>-6265932.7019999987</v>
      </c>
    </row>
    <row r="1016" spans="2:8" hidden="1" x14ac:dyDescent="0.4">
      <c r="B1016" s="1">
        <v>43565</v>
      </c>
      <c r="C1016" s="16">
        <f>SUMIF(매도완료!$G:$G,Sheet2!$B1016,매도완료!$P:$P)</f>
        <v>0</v>
      </c>
      <c r="D1016" s="16">
        <f>SUMIF(매도완료!$J:$J,Sheet2!$B1016,매도완료!$P:$P)</f>
        <v>0</v>
      </c>
      <c r="E1016" s="16">
        <f t="shared" si="30"/>
        <v>89138378.5</v>
      </c>
      <c r="G1016" s="16">
        <f>IF(D1016=0,0,SUMIF(매도완료!$J:$J,Sheet2!$B1016,매도완료!$S:$S))</f>
        <v>0</v>
      </c>
      <c r="H1016" s="16">
        <f t="shared" si="31"/>
        <v>-6265932.7019999987</v>
      </c>
    </row>
    <row r="1017" spans="2:8" hidden="1" x14ac:dyDescent="0.4">
      <c r="B1017" s="1">
        <v>43566</v>
      </c>
      <c r="C1017" s="16">
        <f>SUMIF(매도완료!$G:$G,Sheet2!$B1017,매도완료!$P:$P)</f>
        <v>0</v>
      </c>
      <c r="D1017" s="16">
        <f>SUMIF(매도완료!$J:$J,Sheet2!$B1017,매도완료!$P:$P)</f>
        <v>0</v>
      </c>
      <c r="E1017" s="16">
        <f t="shared" si="30"/>
        <v>89138378.5</v>
      </c>
      <c r="G1017" s="16">
        <f>IF(D1017=0,0,SUMIF(매도완료!$J:$J,Sheet2!$B1017,매도완료!$S:$S))</f>
        <v>0</v>
      </c>
      <c r="H1017" s="16">
        <f t="shared" si="31"/>
        <v>-6265932.7019999987</v>
      </c>
    </row>
    <row r="1018" spans="2:8" hidden="1" x14ac:dyDescent="0.4">
      <c r="B1018" s="1">
        <v>43567</v>
      </c>
      <c r="C1018" s="16">
        <f>SUMIF(매도완료!$G:$G,Sheet2!$B1018,매도완료!$P:$P)</f>
        <v>0</v>
      </c>
      <c r="D1018" s="16">
        <f>SUMIF(매도완료!$J:$J,Sheet2!$B1018,매도완료!$P:$P)</f>
        <v>0</v>
      </c>
      <c r="E1018" s="16">
        <f t="shared" si="30"/>
        <v>89138378.5</v>
      </c>
      <c r="G1018" s="16">
        <f>IF(D1018=0,0,SUMIF(매도완료!$J:$J,Sheet2!$B1018,매도완료!$S:$S))</f>
        <v>0</v>
      </c>
      <c r="H1018" s="16">
        <f t="shared" si="31"/>
        <v>-6265932.7019999987</v>
      </c>
    </row>
    <row r="1019" spans="2:8" hidden="1" x14ac:dyDescent="0.4">
      <c r="B1019" s="1">
        <v>43568</v>
      </c>
      <c r="C1019" s="16">
        <f>SUMIF(매도완료!$G:$G,Sheet2!$B1019,매도완료!$P:$P)</f>
        <v>0</v>
      </c>
      <c r="D1019" s="16">
        <f>SUMIF(매도완료!$J:$J,Sheet2!$B1019,매도완료!$P:$P)</f>
        <v>0</v>
      </c>
      <c r="E1019" s="16">
        <f t="shared" si="30"/>
        <v>89138378.5</v>
      </c>
      <c r="G1019" s="16">
        <f>IF(D1019=0,0,SUMIF(매도완료!$J:$J,Sheet2!$B1019,매도완료!$S:$S))</f>
        <v>0</v>
      </c>
      <c r="H1019" s="16">
        <f t="shared" si="31"/>
        <v>-6265932.7019999987</v>
      </c>
    </row>
    <row r="1020" spans="2:8" hidden="1" x14ac:dyDescent="0.4">
      <c r="B1020" s="1">
        <v>43569</v>
      </c>
      <c r="C1020" s="16">
        <f>SUMIF(매도완료!$G:$G,Sheet2!$B1020,매도완료!$P:$P)</f>
        <v>0</v>
      </c>
      <c r="D1020" s="16">
        <f>SUMIF(매도완료!$J:$J,Sheet2!$B1020,매도완료!$P:$P)</f>
        <v>0</v>
      </c>
      <c r="E1020" s="16">
        <f t="shared" si="30"/>
        <v>89138378.5</v>
      </c>
      <c r="G1020" s="16">
        <f>IF(D1020=0,0,SUMIF(매도완료!$J:$J,Sheet2!$B1020,매도완료!$S:$S))</f>
        <v>0</v>
      </c>
      <c r="H1020" s="16">
        <f t="shared" si="31"/>
        <v>-6265932.7019999987</v>
      </c>
    </row>
    <row r="1021" spans="2:8" hidden="1" x14ac:dyDescent="0.4">
      <c r="B1021" s="1">
        <v>43570</v>
      </c>
      <c r="C1021" s="16">
        <f>SUMIF(매도완료!$G:$G,Sheet2!$B1021,매도완료!$P:$P)</f>
        <v>0</v>
      </c>
      <c r="D1021" s="16">
        <f>SUMIF(매도완료!$J:$J,Sheet2!$B1021,매도완료!$P:$P)</f>
        <v>0</v>
      </c>
      <c r="E1021" s="16">
        <f t="shared" si="30"/>
        <v>89138378.5</v>
      </c>
      <c r="G1021" s="16">
        <f>IF(D1021=0,0,SUMIF(매도완료!$J:$J,Sheet2!$B1021,매도완료!$S:$S))</f>
        <v>0</v>
      </c>
      <c r="H1021" s="16">
        <f t="shared" si="31"/>
        <v>-6265932.7019999987</v>
      </c>
    </row>
    <row r="1022" spans="2:8" hidden="1" x14ac:dyDescent="0.4">
      <c r="B1022" s="1">
        <v>43571</v>
      </c>
      <c r="C1022" s="16">
        <f>SUMIF(매도완료!$G:$G,Sheet2!$B1022,매도완료!$P:$P)</f>
        <v>0</v>
      </c>
      <c r="D1022" s="16">
        <f>SUMIF(매도완료!$J:$J,Sheet2!$B1022,매도완료!$P:$P)</f>
        <v>0</v>
      </c>
      <c r="E1022" s="16">
        <f t="shared" si="30"/>
        <v>89138378.5</v>
      </c>
      <c r="G1022" s="16">
        <f>IF(D1022=0,0,SUMIF(매도완료!$J:$J,Sheet2!$B1022,매도완료!$S:$S))</f>
        <v>0</v>
      </c>
      <c r="H1022" s="16">
        <f t="shared" si="31"/>
        <v>-6265932.7019999987</v>
      </c>
    </row>
    <row r="1023" spans="2:8" hidden="1" x14ac:dyDescent="0.4">
      <c r="B1023" s="1">
        <v>43572</v>
      </c>
      <c r="C1023" s="16">
        <f>SUMIF(매도완료!$G:$G,Sheet2!$B1023,매도완료!$P:$P)</f>
        <v>0</v>
      </c>
      <c r="D1023" s="16">
        <f>SUMIF(매도완료!$J:$J,Sheet2!$B1023,매도완료!$P:$P)</f>
        <v>0</v>
      </c>
      <c r="E1023" s="16">
        <f t="shared" si="30"/>
        <v>89138378.5</v>
      </c>
      <c r="G1023" s="16">
        <f>IF(D1023=0,0,SUMIF(매도완료!$J:$J,Sheet2!$B1023,매도완료!$S:$S))</f>
        <v>0</v>
      </c>
      <c r="H1023" s="16">
        <f t="shared" si="31"/>
        <v>-6265932.7019999987</v>
      </c>
    </row>
    <row r="1024" spans="2:8" hidden="1" x14ac:dyDescent="0.4">
      <c r="B1024" s="1">
        <v>43573</v>
      </c>
      <c r="C1024" s="16">
        <f>SUMIF(매도완료!$G:$G,Sheet2!$B1024,매도완료!$P:$P)</f>
        <v>0</v>
      </c>
      <c r="D1024" s="16">
        <f>SUMIF(매도완료!$J:$J,Sheet2!$B1024,매도완료!$P:$P)</f>
        <v>0</v>
      </c>
      <c r="E1024" s="16">
        <f t="shared" si="30"/>
        <v>89138378.5</v>
      </c>
      <c r="G1024" s="16">
        <f>IF(D1024=0,0,SUMIF(매도완료!$J:$J,Sheet2!$B1024,매도완료!$S:$S))</f>
        <v>0</v>
      </c>
      <c r="H1024" s="16">
        <f t="shared" si="31"/>
        <v>-6265932.7019999987</v>
      </c>
    </row>
    <row r="1025" spans="2:8" hidden="1" x14ac:dyDescent="0.4">
      <c r="B1025" s="1">
        <v>43574</v>
      </c>
      <c r="C1025" s="16">
        <f>SUMIF(매도완료!$G:$G,Sheet2!$B1025,매도완료!$P:$P)</f>
        <v>0</v>
      </c>
      <c r="D1025" s="16">
        <f>SUMIF(매도완료!$J:$J,Sheet2!$B1025,매도완료!$P:$P)</f>
        <v>0</v>
      </c>
      <c r="E1025" s="16">
        <f t="shared" si="30"/>
        <v>89138378.5</v>
      </c>
      <c r="G1025" s="16">
        <f>IF(D1025=0,0,SUMIF(매도완료!$J:$J,Sheet2!$B1025,매도완료!$S:$S))</f>
        <v>0</v>
      </c>
      <c r="H1025" s="16">
        <f t="shared" si="31"/>
        <v>-6265932.7019999987</v>
      </c>
    </row>
    <row r="1026" spans="2:8" hidden="1" x14ac:dyDescent="0.4">
      <c r="B1026" s="1">
        <v>43575</v>
      </c>
      <c r="C1026" s="16">
        <f>SUMIF(매도완료!$G:$G,Sheet2!$B1026,매도완료!$P:$P)</f>
        <v>0</v>
      </c>
      <c r="D1026" s="16">
        <f>SUMIF(매도완료!$J:$J,Sheet2!$B1026,매도완료!$P:$P)</f>
        <v>0</v>
      </c>
      <c r="E1026" s="16">
        <f t="shared" si="30"/>
        <v>89138378.5</v>
      </c>
      <c r="G1026" s="16">
        <f>IF(D1026=0,0,SUMIF(매도완료!$J:$J,Sheet2!$B1026,매도완료!$S:$S))</f>
        <v>0</v>
      </c>
      <c r="H1026" s="16">
        <f t="shared" si="31"/>
        <v>-6265932.7019999987</v>
      </c>
    </row>
    <row r="1027" spans="2:8" hidden="1" x14ac:dyDescent="0.4">
      <c r="B1027" s="1">
        <v>43576</v>
      </c>
      <c r="C1027" s="16">
        <f>SUMIF(매도완료!$G:$G,Sheet2!$B1027,매도완료!$P:$P)</f>
        <v>0</v>
      </c>
      <c r="D1027" s="16">
        <f>SUMIF(매도완료!$J:$J,Sheet2!$B1027,매도완료!$P:$P)</f>
        <v>0</v>
      </c>
      <c r="E1027" s="16">
        <f t="shared" si="30"/>
        <v>89138378.5</v>
      </c>
      <c r="G1027" s="16">
        <f>IF(D1027=0,0,SUMIF(매도완료!$J:$J,Sheet2!$B1027,매도완료!$S:$S))</f>
        <v>0</v>
      </c>
      <c r="H1027" s="16">
        <f t="shared" si="31"/>
        <v>-6265932.7019999987</v>
      </c>
    </row>
    <row r="1028" spans="2:8" hidden="1" x14ac:dyDescent="0.4">
      <c r="B1028" s="1">
        <v>43577</v>
      </c>
      <c r="C1028" s="16">
        <f>SUMIF(매도완료!$G:$G,Sheet2!$B1028,매도완료!$P:$P)</f>
        <v>0</v>
      </c>
      <c r="D1028" s="16">
        <f>SUMIF(매도완료!$J:$J,Sheet2!$B1028,매도완료!$P:$P)</f>
        <v>0</v>
      </c>
      <c r="E1028" s="16">
        <f t="shared" ref="E1028:E1091" si="32">E1027+C1028-D1028</f>
        <v>89138378.5</v>
      </c>
      <c r="G1028" s="16">
        <f>IF(D1028=0,0,SUMIF(매도완료!$J:$J,Sheet2!$B1028,매도완료!$S:$S))</f>
        <v>0</v>
      </c>
      <c r="H1028" s="16">
        <f t="shared" ref="H1028:H1091" si="33">H1027+G1028</f>
        <v>-6265932.7019999987</v>
      </c>
    </row>
    <row r="1029" spans="2:8" hidden="1" x14ac:dyDescent="0.4">
      <c r="B1029" s="1">
        <v>43578</v>
      </c>
      <c r="C1029" s="16">
        <f>SUMIF(매도완료!$G:$G,Sheet2!$B1029,매도완료!$P:$P)</f>
        <v>0</v>
      </c>
      <c r="D1029" s="16">
        <f>SUMIF(매도완료!$J:$J,Sheet2!$B1029,매도완료!$P:$P)</f>
        <v>0</v>
      </c>
      <c r="E1029" s="16">
        <f t="shared" si="32"/>
        <v>89138378.5</v>
      </c>
      <c r="G1029" s="16">
        <f>IF(D1029=0,0,SUMIF(매도완료!$J:$J,Sheet2!$B1029,매도완료!$S:$S))</f>
        <v>0</v>
      </c>
      <c r="H1029" s="16">
        <f t="shared" si="33"/>
        <v>-6265932.7019999987</v>
      </c>
    </row>
    <row r="1030" spans="2:8" hidden="1" x14ac:dyDescent="0.4">
      <c r="B1030" s="1">
        <v>43579</v>
      </c>
      <c r="C1030" s="16">
        <f>SUMIF(매도완료!$G:$G,Sheet2!$B1030,매도완료!$P:$P)</f>
        <v>0</v>
      </c>
      <c r="D1030" s="16">
        <f>SUMIF(매도완료!$J:$J,Sheet2!$B1030,매도완료!$P:$P)</f>
        <v>0</v>
      </c>
      <c r="E1030" s="16">
        <f t="shared" si="32"/>
        <v>89138378.5</v>
      </c>
      <c r="G1030" s="16">
        <f>IF(D1030=0,0,SUMIF(매도완료!$J:$J,Sheet2!$B1030,매도완료!$S:$S))</f>
        <v>0</v>
      </c>
      <c r="H1030" s="16">
        <f t="shared" si="33"/>
        <v>-6265932.7019999987</v>
      </c>
    </row>
    <row r="1031" spans="2:8" hidden="1" x14ac:dyDescent="0.4">
      <c r="B1031" s="1">
        <v>43580</v>
      </c>
      <c r="C1031" s="16">
        <f>SUMIF(매도완료!$G:$G,Sheet2!$B1031,매도완료!$P:$P)</f>
        <v>0</v>
      </c>
      <c r="D1031" s="16">
        <f>SUMIF(매도완료!$J:$J,Sheet2!$B1031,매도완료!$P:$P)</f>
        <v>0</v>
      </c>
      <c r="E1031" s="16">
        <f t="shared" si="32"/>
        <v>89138378.5</v>
      </c>
      <c r="G1031" s="16">
        <f>IF(D1031=0,0,SUMIF(매도완료!$J:$J,Sheet2!$B1031,매도완료!$S:$S))</f>
        <v>0</v>
      </c>
      <c r="H1031" s="16">
        <f t="shared" si="33"/>
        <v>-6265932.7019999987</v>
      </c>
    </row>
    <row r="1032" spans="2:8" hidden="1" x14ac:dyDescent="0.4">
      <c r="B1032" s="1">
        <v>43581</v>
      </c>
      <c r="C1032" s="16">
        <f>SUMIF(매도완료!$G:$G,Sheet2!$B1032,매도완료!$P:$P)</f>
        <v>576000</v>
      </c>
      <c r="D1032" s="16">
        <f>SUMIF(매도완료!$J:$J,Sheet2!$B1032,매도완료!$P:$P)</f>
        <v>2120000</v>
      </c>
      <c r="E1032" s="16">
        <f t="shared" si="32"/>
        <v>87594378.5</v>
      </c>
      <c r="G1032" s="16">
        <f>IF(D1032=0,0,SUMIF(매도완료!$J:$J,Sheet2!$B1032,매도완료!$S:$S))</f>
        <v>879252</v>
      </c>
      <c r="H1032" s="16">
        <f t="shared" si="33"/>
        <v>-5386680.7019999987</v>
      </c>
    </row>
    <row r="1033" spans="2:8" hidden="1" x14ac:dyDescent="0.4">
      <c r="B1033" s="1">
        <v>43582</v>
      </c>
      <c r="C1033" s="16">
        <f>SUMIF(매도완료!$G:$G,Sheet2!$B1033,매도완료!$P:$P)</f>
        <v>0</v>
      </c>
      <c r="D1033" s="16">
        <f>SUMIF(매도완료!$J:$J,Sheet2!$B1033,매도완료!$P:$P)</f>
        <v>0</v>
      </c>
      <c r="E1033" s="16">
        <f t="shared" si="32"/>
        <v>87594378.5</v>
      </c>
      <c r="G1033" s="16">
        <f>IF(D1033=0,0,SUMIF(매도완료!$J:$J,Sheet2!$B1033,매도완료!$S:$S))</f>
        <v>0</v>
      </c>
      <c r="H1033" s="16">
        <f t="shared" si="33"/>
        <v>-5386680.7019999987</v>
      </c>
    </row>
    <row r="1034" spans="2:8" hidden="1" x14ac:dyDescent="0.4">
      <c r="B1034" s="1">
        <v>43583</v>
      </c>
      <c r="C1034" s="16">
        <f>SUMIF(매도완료!$G:$G,Sheet2!$B1034,매도완료!$P:$P)</f>
        <v>0</v>
      </c>
      <c r="D1034" s="16">
        <f>SUMIF(매도완료!$J:$J,Sheet2!$B1034,매도완료!$P:$P)</f>
        <v>0</v>
      </c>
      <c r="E1034" s="16">
        <f t="shared" si="32"/>
        <v>87594378.5</v>
      </c>
      <c r="G1034" s="16">
        <f>IF(D1034=0,0,SUMIF(매도완료!$J:$J,Sheet2!$B1034,매도완료!$S:$S))</f>
        <v>0</v>
      </c>
      <c r="H1034" s="16">
        <f t="shared" si="33"/>
        <v>-5386680.7019999987</v>
      </c>
    </row>
    <row r="1035" spans="2:8" hidden="1" x14ac:dyDescent="0.4">
      <c r="B1035" s="1">
        <v>43584</v>
      </c>
      <c r="C1035" s="16">
        <f>SUMIF(매도완료!$G:$G,Sheet2!$B1035,매도완료!$P:$P)</f>
        <v>0</v>
      </c>
      <c r="D1035" s="16">
        <f>SUMIF(매도완료!$J:$J,Sheet2!$B1035,매도완료!$P:$P)</f>
        <v>0</v>
      </c>
      <c r="E1035" s="16">
        <f t="shared" si="32"/>
        <v>87594378.5</v>
      </c>
      <c r="G1035" s="16">
        <f>IF(D1035=0,0,SUMIF(매도완료!$J:$J,Sheet2!$B1035,매도완료!$S:$S))</f>
        <v>0</v>
      </c>
      <c r="H1035" s="16">
        <f t="shared" si="33"/>
        <v>-5386680.7019999987</v>
      </c>
    </row>
    <row r="1036" spans="2:8" hidden="1" x14ac:dyDescent="0.4">
      <c r="B1036" s="1">
        <v>43585</v>
      </c>
      <c r="C1036" s="16">
        <f>SUMIF(매도완료!$G:$G,Sheet2!$B1036,매도완료!$P:$P)</f>
        <v>0</v>
      </c>
      <c r="D1036" s="16">
        <f>SUMIF(매도완료!$J:$J,Sheet2!$B1036,매도완료!$P:$P)</f>
        <v>0</v>
      </c>
      <c r="E1036" s="16">
        <f t="shared" si="32"/>
        <v>87594378.5</v>
      </c>
      <c r="G1036" s="16">
        <f>IF(D1036=0,0,SUMIF(매도완료!$J:$J,Sheet2!$B1036,매도완료!$S:$S))</f>
        <v>0</v>
      </c>
      <c r="H1036" s="16">
        <f t="shared" si="33"/>
        <v>-5386680.7019999987</v>
      </c>
    </row>
    <row r="1037" spans="2:8" hidden="1" x14ac:dyDescent="0.4">
      <c r="B1037" s="1">
        <v>43586</v>
      </c>
      <c r="C1037" s="16">
        <f>SUMIF(매도완료!$G:$G,Sheet2!$B1037,매도완료!$P:$P)</f>
        <v>0</v>
      </c>
      <c r="D1037" s="16">
        <f>SUMIF(매도완료!$J:$J,Sheet2!$B1037,매도완료!$P:$P)</f>
        <v>0</v>
      </c>
      <c r="E1037" s="16">
        <f t="shared" si="32"/>
        <v>87594378.5</v>
      </c>
      <c r="G1037" s="16">
        <f>IF(D1037=0,0,SUMIF(매도완료!$J:$J,Sheet2!$B1037,매도완료!$S:$S))</f>
        <v>0</v>
      </c>
      <c r="H1037" s="16">
        <f t="shared" si="33"/>
        <v>-5386680.7019999987</v>
      </c>
    </row>
    <row r="1038" spans="2:8" hidden="1" x14ac:dyDescent="0.4">
      <c r="B1038" s="1">
        <v>43587</v>
      </c>
      <c r="C1038" s="16">
        <f>SUMIF(매도완료!$G:$G,Sheet2!$B1038,매도완료!$P:$P)</f>
        <v>0</v>
      </c>
      <c r="D1038" s="16">
        <f>SUMIF(매도완료!$J:$J,Sheet2!$B1038,매도완료!$P:$P)</f>
        <v>18850000</v>
      </c>
      <c r="E1038" s="16">
        <f t="shared" si="32"/>
        <v>68744378.5</v>
      </c>
      <c r="G1038" s="16">
        <f>IF(D1038=0,0,SUMIF(매도완료!$J:$J,Sheet2!$B1038,매도완료!$S:$S))</f>
        <v>3159627.5</v>
      </c>
      <c r="H1038" s="16">
        <f t="shared" si="33"/>
        <v>-2227053.2019999987</v>
      </c>
    </row>
    <row r="1039" spans="2:8" hidden="1" x14ac:dyDescent="0.4">
      <c r="B1039" s="1">
        <v>43588</v>
      </c>
      <c r="C1039" s="16">
        <f>SUMIF(매도완료!$G:$G,Sheet2!$B1039,매도완료!$P:$P)</f>
        <v>0</v>
      </c>
      <c r="D1039" s="16">
        <f>SUMIF(매도완료!$J:$J,Sheet2!$B1039,매도완료!$P:$P)</f>
        <v>0</v>
      </c>
      <c r="E1039" s="16">
        <f t="shared" si="32"/>
        <v>68744378.5</v>
      </c>
      <c r="G1039" s="16">
        <f>IF(D1039=0,0,SUMIF(매도완료!$J:$J,Sheet2!$B1039,매도완료!$S:$S))</f>
        <v>0</v>
      </c>
      <c r="H1039" s="16">
        <f t="shared" si="33"/>
        <v>-2227053.2019999987</v>
      </c>
    </row>
    <row r="1040" spans="2:8" hidden="1" x14ac:dyDescent="0.4">
      <c r="B1040" s="1">
        <v>43589</v>
      </c>
      <c r="C1040" s="16">
        <f>SUMIF(매도완료!$G:$G,Sheet2!$B1040,매도완료!$P:$P)</f>
        <v>0</v>
      </c>
      <c r="D1040" s="16">
        <f>SUMIF(매도완료!$J:$J,Sheet2!$B1040,매도완료!$P:$P)</f>
        <v>0</v>
      </c>
      <c r="E1040" s="16">
        <f t="shared" si="32"/>
        <v>68744378.5</v>
      </c>
      <c r="G1040" s="16">
        <f>IF(D1040=0,0,SUMIF(매도완료!$J:$J,Sheet2!$B1040,매도완료!$S:$S))</f>
        <v>0</v>
      </c>
      <c r="H1040" s="16">
        <f t="shared" si="33"/>
        <v>-2227053.2019999987</v>
      </c>
    </row>
    <row r="1041" spans="2:8" hidden="1" x14ac:dyDescent="0.4">
      <c r="B1041" s="1">
        <v>43590</v>
      </c>
      <c r="C1041" s="16">
        <f>SUMIF(매도완료!$G:$G,Sheet2!$B1041,매도완료!$P:$P)</f>
        <v>0</v>
      </c>
      <c r="D1041" s="16">
        <f>SUMIF(매도완료!$J:$J,Sheet2!$B1041,매도완료!$P:$P)</f>
        <v>0</v>
      </c>
      <c r="E1041" s="16">
        <f t="shared" si="32"/>
        <v>68744378.5</v>
      </c>
      <c r="G1041" s="16">
        <f>IF(D1041=0,0,SUMIF(매도완료!$J:$J,Sheet2!$B1041,매도완료!$S:$S))</f>
        <v>0</v>
      </c>
      <c r="H1041" s="16">
        <f t="shared" si="33"/>
        <v>-2227053.2019999987</v>
      </c>
    </row>
    <row r="1042" spans="2:8" hidden="1" x14ac:dyDescent="0.4">
      <c r="B1042" s="1">
        <v>43591</v>
      </c>
      <c r="C1042" s="16">
        <f>SUMIF(매도완료!$G:$G,Sheet2!$B1042,매도완료!$P:$P)</f>
        <v>0</v>
      </c>
      <c r="D1042" s="16">
        <f>SUMIF(매도완료!$J:$J,Sheet2!$B1042,매도완료!$P:$P)</f>
        <v>0</v>
      </c>
      <c r="E1042" s="16">
        <f t="shared" si="32"/>
        <v>68744378.5</v>
      </c>
      <c r="G1042" s="16">
        <f>IF(D1042=0,0,SUMIF(매도완료!$J:$J,Sheet2!$B1042,매도완료!$S:$S))</f>
        <v>0</v>
      </c>
      <c r="H1042" s="16">
        <f t="shared" si="33"/>
        <v>-2227053.2019999987</v>
      </c>
    </row>
    <row r="1043" spans="2:8" hidden="1" x14ac:dyDescent="0.4">
      <c r="B1043" s="1">
        <v>43592</v>
      </c>
      <c r="C1043" s="16">
        <f>SUMIF(매도완료!$G:$G,Sheet2!$B1043,매도완료!$P:$P)</f>
        <v>0</v>
      </c>
      <c r="D1043" s="16">
        <f>SUMIF(매도완료!$J:$J,Sheet2!$B1043,매도완료!$P:$P)</f>
        <v>0</v>
      </c>
      <c r="E1043" s="16">
        <f t="shared" si="32"/>
        <v>68744378.5</v>
      </c>
      <c r="G1043" s="16">
        <f>IF(D1043=0,0,SUMIF(매도완료!$J:$J,Sheet2!$B1043,매도완료!$S:$S))</f>
        <v>0</v>
      </c>
      <c r="H1043" s="16">
        <f t="shared" si="33"/>
        <v>-2227053.2019999987</v>
      </c>
    </row>
    <row r="1044" spans="2:8" hidden="1" x14ac:dyDescent="0.4">
      <c r="B1044" s="1">
        <v>43593</v>
      </c>
      <c r="C1044" s="16">
        <f>SUMIF(매도완료!$G:$G,Sheet2!$B1044,매도완료!$P:$P)</f>
        <v>0</v>
      </c>
      <c r="D1044" s="16">
        <f>SUMIF(매도완료!$J:$J,Sheet2!$B1044,매도완료!$P:$P)</f>
        <v>0</v>
      </c>
      <c r="E1044" s="16">
        <f t="shared" si="32"/>
        <v>68744378.5</v>
      </c>
      <c r="G1044" s="16">
        <f>IF(D1044=0,0,SUMIF(매도완료!$J:$J,Sheet2!$B1044,매도완료!$S:$S))</f>
        <v>0</v>
      </c>
      <c r="H1044" s="16">
        <f t="shared" si="33"/>
        <v>-2227053.2019999987</v>
      </c>
    </row>
    <row r="1045" spans="2:8" hidden="1" x14ac:dyDescent="0.4">
      <c r="B1045" s="1">
        <v>43594</v>
      </c>
      <c r="C1045" s="16">
        <f>SUMIF(매도완료!$G:$G,Sheet2!$B1045,매도완료!$P:$P)</f>
        <v>10591500</v>
      </c>
      <c r="D1045" s="16">
        <f>SUMIF(매도완료!$J:$J,Sheet2!$B1045,매도완료!$P:$P)</f>
        <v>0</v>
      </c>
      <c r="E1045" s="16">
        <f t="shared" si="32"/>
        <v>79335878.5</v>
      </c>
      <c r="G1045" s="16">
        <f>IF(D1045=0,0,SUMIF(매도완료!$J:$J,Sheet2!$B1045,매도완료!$S:$S))</f>
        <v>0</v>
      </c>
      <c r="H1045" s="16">
        <f t="shared" si="33"/>
        <v>-2227053.2019999987</v>
      </c>
    </row>
    <row r="1046" spans="2:8" hidden="1" x14ac:dyDescent="0.4">
      <c r="B1046" s="1">
        <v>43595</v>
      </c>
      <c r="C1046" s="16">
        <f>SUMIF(매도완료!$G:$G,Sheet2!$B1046,매도완료!$P:$P)</f>
        <v>3135800</v>
      </c>
      <c r="D1046" s="16">
        <f>SUMIF(매도완료!$J:$J,Sheet2!$B1046,매도완료!$P:$P)</f>
        <v>0</v>
      </c>
      <c r="E1046" s="16">
        <f t="shared" si="32"/>
        <v>82471678.5</v>
      </c>
      <c r="G1046" s="16">
        <f>IF(D1046=0,0,SUMIF(매도완료!$J:$J,Sheet2!$B1046,매도완료!$S:$S))</f>
        <v>0</v>
      </c>
      <c r="H1046" s="16">
        <f t="shared" si="33"/>
        <v>-2227053.2019999987</v>
      </c>
    </row>
    <row r="1047" spans="2:8" hidden="1" x14ac:dyDescent="0.4">
      <c r="B1047" s="1">
        <v>43596</v>
      </c>
      <c r="C1047" s="16">
        <f>SUMIF(매도완료!$G:$G,Sheet2!$B1047,매도완료!$P:$P)</f>
        <v>0</v>
      </c>
      <c r="D1047" s="16">
        <f>SUMIF(매도완료!$J:$J,Sheet2!$B1047,매도완료!$P:$P)</f>
        <v>0</v>
      </c>
      <c r="E1047" s="16">
        <f t="shared" si="32"/>
        <v>82471678.5</v>
      </c>
      <c r="G1047" s="16">
        <f>IF(D1047=0,0,SUMIF(매도완료!$J:$J,Sheet2!$B1047,매도완료!$S:$S))</f>
        <v>0</v>
      </c>
      <c r="H1047" s="16">
        <f t="shared" si="33"/>
        <v>-2227053.2019999987</v>
      </c>
    </row>
    <row r="1048" spans="2:8" hidden="1" x14ac:dyDescent="0.4">
      <c r="B1048" s="1">
        <v>43597</v>
      </c>
      <c r="C1048" s="16">
        <f>SUMIF(매도완료!$G:$G,Sheet2!$B1048,매도완료!$P:$P)</f>
        <v>0</v>
      </c>
      <c r="D1048" s="16">
        <f>SUMIF(매도완료!$J:$J,Sheet2!$B1048,매도완료!$P:$P)</f>
        <v>0</v>
      </c>
      <c r="E1048" s="16">
        <f t="shared" si="32"/>
        <v>82471678.5</v>
      </c>
      <c r="G1048" s="16">
        <f>IF(D1048=0,0,SUMIF(매도완료!$J:$J,Sheet2!$B1048,매도완료!$S:$S))</f>
        <v>0</v>
      </c>
      <c r="H1048" s="16">
        <f t="shared" si="33"/>
        <v>-2227053.2019999987</v>
      </c>
    </row>
    <row r="1049" spans="2:8" hidden="1" x14ac:dyDescent="0.4">
      <c r="B1049" s="1">
        <v>43598</v>
      </c>
      <c r="C1049" s="16">
        <f>SUMIF(매도완료!$G:$G,Sheet2!$B1049,매도완료!$P:$P)</f>
        <v>0</v>
      </c>
      <c r="D1049" s="16">
        <f>SUMIF(매도완료!$J:$J,Sheet2!$B1049,매도완료!$P:$P)</f>
        <v>0</v>
      </c>
      <c r="E1049" s="16">
        <f t="shared" si="32"/>
        <v>82471678.5</v>
      </c>
      <c r="G1049" s="16">
        <f>IF(D1049=0,0,SUMIF(매도완료!$J:$J,Sheet2!$B1049,매도완료!$S:$S))</f>
        <v>0</v>
      </c>
      <c r="H1049" s="16">
        <f t="shared" si="33"/>
        <v>-2227053.2019999987</v>
      </c>
    </row>
    <row r="1050" spans="2:8" hidden="1" x14ac:dyDescent="0.4">
      <c r="B1050" s="1">
        <v>43599</v>
      </c>
      <c r="C1050" s="16">
        <f>SUMIF(매도완료!$G:$G,Sheet2!$B1050,매도완료!$P:$P)</f>
        <v>0</v>
      </c>
      <c r="D1050" s="16">
        <f>SUMIF(매도완료!$J:$J,Sheet2!$B1050,매도완료!$P:$P)</f>
        <v>0</v>
      </c>
      <c r="E1050" s="16">
        <f t="shared" si="32"/>
        <v>82471678.5</v>
      </c>
      <c r="G1050" s="16">
        <f>IF(D1050=0,0,SUMIF(매도완료!$J:$J,Sheet2!$B1050,매도완료!$S:$S))</f>
        <v>0</v>
      </c>
      <c r="H1050" s="16">
        <f t="shared" si="33"/>
        <v>-2227053.2019999987</v>
      </c>
    </row>
    <row r="1051" spans="2:8" hidden="1" x14ac:dyDescent="0.4">
      <c r="B1051" s="1">
        <v>43600</v>
      </c>
      <c r="C1051" s="16">
        <f>SUMIF(매도완료!$G:$G,Sheet2!$B1051,매도완료!$P:$P)</f>
        <v>0</v>
      </c>
      <c r="D1051" s="16">
        <f>SUMIF(매도완료!$J:$J,Sheet2!$B1051,매도완료!$P:$P)</f>
        <v>0</v>
      </c>
      <c r="E1051" s="16">
        <f t="shared" si="32"/>
        <v>82471678.5</v>
      </c>
      <c r="G1051" s="16">
        <f>IF(D1051=0,0,SUMIF(매도완료!$J:$J,Sheet2!$B1051,매도완료!$S:$S))</f>
        <v>0</v>
      </c>
      <c r="H1051" s="16">
        <f t="shared" si="33"/>
        <v>-2227053.2019999987</v>
      </c>
    </row>
    <row r="1052" spans="2:8" hidden="1" x14ac:dyDescent="0.4">
      <c r="B1052" s="1">
        <v>43601</v>
      </c>
      <c r="C1052" s="16">
        <f>SUMIF(매도완료!$G:$G,Sheet2!$B1052,매도완료!$P:$P)</f>
        <v>0</v>
      </c>
      <c r="D1052" s="16">
        <f>SUMIF(매도완료!$J:$J,Sheet2!$B1052,매도완료!$P:$P)</f>
        <v>0</v>
      </c>
      <c r="E1052" s="16">
        <f t="shared" si="32"/>
        <v>82471678.5</v>
      </c>
      <c r="G1052" s="16">
        <f>IF(D1052=0,0,SUMIF(매도완료!$J:$J,Sheet2!$B1052,매도완료!$S:$S))</f>
        <v>0</v>
      </c>
      <c r="H1052" s="16">
        <f t="shared" si="33"/>
        <v>-2227053.2019999987</v>
      </c>
    </row>
    <row r="1053" spans="2:8" hidden="1" x14ac:dyDescent="0.4">
      <c r="B1053" s="1">
        <v>43602</v>
      </c>
      <c r="C1053" s="16">
        <f>SUMIF(매도완료!$G:$G,Sheet2!$B1053,매도완료!$P:$P)</f>
        <v>0</v>
      </c>
      <c r="D1053" s="16">
        <f>SUMIF(매도완료!$J:$J,Sheet2!$B1053,매도완료!$P:$P)</f>
        <v>4900000</v>
      </c>
      <c r="E1053" s="16">
        <f t="shared" si="32"/>
        <v>77571678.5</v>
      </c>
      <c r="G1053" s="16">
        <f>IF(D1053=0,0,SUMIF(매도완료!$J:$J,Sheet2!$B1053,매도완료!$S:$S))</f>
        <v>119930</v>
      </c>
      <c r="H1053" s="16">
        <f t="shared" si="33"/>
        <v>-2107123.2019999987</v>
      </c>
    </row>
    <row r="1054" spans="2:8" hidden="1" x14ac:dyDescent="0.4">
      <c r="B1054" s="1">
        <v>43603</v>
      </c>
      <c r="C1054" s="16">
        <f>SUMIF(매도완료!$G:$G,Sheet2!$B1054,매도완료!$P:$P)</f>
        <v>0</v>
      </c>
      <c r="D1054" s="16">
        <f>SUMIF(매도완료!$J:$J,Sheet2!$B1054,매도완료!$P:$P)</f>
        <v>0</v>
      </c>
      <c r="E1054" s="16">
        <f t="shared" si="32"/>
        <v>77571678.5</v>
      </c>
      <c r="G1054" s="16">
        <f>IF(D1054=0,0,SUMIF(매도완료!$J:$J,Sheet2!$B1054,매도완료!$S:$S))</f>
        <v>0</v>
      </c>
      <c r="H1054" s="16">
        <f t="shared" si="33"/>
        <v>-2107123.2019999987</v>
      </c>
    </row>
    <row r="1055" spans="2:8" hidden="1" x14ac:dyDescent="0.4">
      <c r="B1055" s="1">
        <v>43604</v>
      </c>
      <c r="C1055" s="16">
        <f>SUMIF(매도완료!$G:$G,Sheet2!$B1055,매도완료!$P:$P)</f>
        <v>0</v>
      </c>
      <c r="D1055" s="16">
        <f>SUMIF(매도완료!$J:$J,Sheet2!$B1055,매도완료!$P:$P)</f>
        <v>0</v>
      </c>
      <c r="E1055" s="16">
        <f t="shared" si="32"/>
        <v>77571678.5</v>
      </c>
      <c r="G1055" s="16">
        <f>IF(D1055=0,0,SUMIF(매도완료!$J:$J,Sheet2!$B1055,매도완료!$S:$S))</f>
        <v>0</v>
      </c>
      <c r="H1055" s="16">
        <f t="shared" si="33"/>
        <v>-2107123.2019999987</v>
      </c>
    </row>
    <row r="1056" spans="2:8" hidden="1" x14ac:dyDescent="0.4">
      <c r="B1056" s="1">
        <v>43605</v>
      </c>
      <c r="C1056" s="16">
        <f>SUMIF(매도완료!$G:$G,Sheet2!$B1056,매도완료!$P:$P)</f>
        <v>4897500</v>
      </c>
      <c r="D1056" s="16">
        <f>SUMIF(매도완료!$J:$J,Sheet2!$B1056,매도완료!$P:$P)</f>
        <v>0</v>
      </c>
      <c r="E1056" s="16">
        <f t="shared" si="32"/>
        <v>82469178.5</v>
      </c>
      <c r="G1056" s="16">
        <f>IF(D1056=0,0,SUMIF(매도완료!$J:$J,Sheet2!$B1056,매도완료!$S:$S))</f>
        <v>0</v>
      </c>
      <c r="H1056" s="16">
        <f t="shared" si="33"/>
        <v>-2107123.2019999987</v>
      </c>
    </row>
    <row r="1057" spans="2:8" hidden="1" x14ac:dyDescent="0.4">
      <c r="B1057" s="1">
        <v>43606</v>
      </c>
      <c r="C1057" s="16">
        <f>SUMIF(매도완료!$G:$G,Sheet2!$B1057,매도완료!$P:$P)</f>
        <v>0</v>
      </c>
      <c r="D1057" s="16">
        <f>SUMIF(매도완료!$J:$J,Sheet2!$B1057,매도완료!$P:$P)</f>
        <v>10359960</v>
      </c>
      <c r="E1057" s="16">
        <f t="shared" si="32"/>
        <v>72109218.5</v>
      </c>
      <c r="G1057" s="16">
        <f>IF(D1057=0,0,SUMIF(매도완료!$J:$J,Sheet2!$B1057,매도완료!$S:$S))</f>
        <v>2208427.6</v>
      </c>
      <c r="H1057" s="16">
        <f t="shared" si="33"/>
        <v>101304.39800000144</v>
      </c>
    </row>
    <row r="1058" spans="2:8" hidden="1" x14ac:dyDescent="0.4">
      <c r="B1058" s="1">
        <v>43607</v>
      </c>
      <c r="C1058" s="16">
        <f>SUMIF(매도완료!$G:$G,Sheet2!$B1058,매도완료!$P:$P)</f>
        <v>0</v>
      </c>
      <c r="D1058" s="16">
        <f>SUMIF(매도완료!$J:$J,Sheet2!$B1058,매도완료!$P:$P)</f>
        <v>0</v>
      </c>
      <c r="E1058" s="16">
        <f t="shared" si="32"/>
        <v>72109218.5</v>
      </c>
      <c r="G1058" s="16">
        <f>IF(D1058=0,0,SUMIF(매도완료!$J:$J,Sheet2!$B1058,매도완료!$S:$S))</f>
        <v>0</v>
      </c>
      <c r="H1058" s="16">
        <f t="shared" si="33"/>
        <v>101304.39800000144</v>
      </c>
    </row>
    <row r="1059" spans="2:8" hidden="1" x14ac:dyDescent="0.4">
      <c r="B1059" s="1">
        <v>43608</v>
      </c>
      <c r="C1059" s="16">
        <f>SUMIF(매도완료!$G:$G,Sheet2!$B1059,매도완료!$P:$P)</f>
        <v>6420000</v>
      </c>
      <c r="D1059" s="16">
        <f>SUMIF(매도완료!$J:$J,Sheet2!$B1059,매도완료!$P:$P)</f>
        <v>1590000</v>
      </c>
      <c r="E1059" s="16">
        <f t="shared" si="32"/>
        <v>76939218.5</v>
      </c>
      <c r="G1059" s="16">
        <f>IF(D1059=0,0,SUMIF(매도완료!$J:$J,Sheet2!$B1059,매도완료!$S:$S))</f>
        <v>146958.43</v>
      </c>
      <c r="H1059" s="16">
        <f t="shared" si="33"/>
        <v>248262.82800000143</v>
      </c>
    </row>
    <row r="1060" spans="2:8" hidden="1" x14ac:dyDescent="0.4">
      <c r="B1060" s="1">
        <v>43609</v>
      </c>
      <c r="C1060" s="16">
        <f>SUMIF(매도완료!$G:$G,Sheet2!$B1060,매도완료!$P:$P)</f>
        <v>0</v>
      </c>
      <c r="D1060" s="16">
        <f>SUMIF(매도완료!$J:$J,Sheet2!$B1060,매도완료!$P:$P)</f>
        <v>27340040</v>
      </c>
      <c r="E1060" s="16">
        <f t="shared" si="32"/>
        <v>49599178.5</v>
      </c>
      <c r="G1060" s="16">
        <f>IF(D1060=0,0,SUMIF(매도완료!$J:$J,Sheet2!$B1060,매도완료!$S:$S))</f>
        <v>2940294.8</v>
      </c>
      <c r="H1060" s="16">
        <f t="shared" si="33"/>
        <v>3188557.6280000014</v>
      </c>
    </row>
    <row r="1061" spans="2:8" hidden="1" x14ac:dyDescent="0.4">
      <c r="B1061" s="1">
        <v>43610</v>
      </c>
      <c r="C1061" s="16">
        <f>SUMIF(매도완료!$G:$G,Sheet2!$B1061,매도완료!$P:$P)</f>
        <v>0</v>
      </c>
      <c r="D1061" s="16">
        <f>SUMIF(매도완료!$J:$J,Sheet2!$B1061,매도완료!$P:$P)</f>
        <v>0</v>
      </c>
      <c r="E1061" s="16">
        <f t="shared" si="32"/>
        <v>49599178.5</v>
      </c>
      <c r="G1061" s="16">
        <f>IF(D1061=0,0,SUMIF(매도완료!$J:$J,Sheet2!$B1061,매도완료!$S:$S))</f>
        <v>0</v>
      </c>
      <c r="H1061" s="16">
        <f t="shared" si="33"/>
        <v>3188557.6280000014</v>
      </c>
    </row>
    <row r="1062" spans="2:8" hidden="1" x14ac:dyDescent="0.4">
      <c r="B1062" s="1">
        <v>43611</v>
      </c>
      <c r="C1062" s="16">
        <f>SUMIF(매도완료!$G:$G,Sheet2!$B1062,매도완료!$P:$P)</f>
        <v>0</v>
      </c>
      <c r="D1062" s="16">
        <f>SUMIF(매도완료!$J:$J,Sheet2!$B1062,매도완료!$P:$P)</f>
        <v>0</v>
      </c>
      <c r="E1062" s="16">
        <f t="shared" si="32"/>
        <v>49599178.5</v>
      </c>
      <c r="G1062" s="16">
        <f>IF(D1062=0,0,SUMIF(매도완료!$J:$J,Sheet2!$B1062,매도완료!$S:$S))</f>
        <v>0</v>
      </c>
      <c r="H1062" s="16">
        <f t="shared" si="33"/>
        <v>3188557.6280000014</v>
      </c>
    </row>
    <row r="1063" spans="2:8" hidden="1" x14ac:dyDescent="0.4">
      <c r="B1063" s="1">
        <v>43612</v>
      </c>
      <c r="C1063" s="16">
        <f>SUMIF(매도완료!$G:$G,Sheet2!$B1063,매도완료!$P:$P)</f>
        <v>2140000</v>
      </c>
      <c r="D1063" s="16">
        <f>SUMIF(매도완료!$J:$J,Sheet2!$B1063,매도완료!$P:$P)</f>
        <v>0</v>
      </c>
      <c r="E1063" s="16">
        <f t="shared" si="32"/>
        <v>51739178.5</v>
      </c>
      <c r="G1063" s="16">
        <f>IF(D1063=0,0,SUMIF(매도완료!$J:$J,Sheet2!$B1063,매도완료!$S:$S))</f>
        <v>0</v>
      </c>
      <c r="H1063" s="16">
        <f t="shared" si="33"/>
        <v>3188557.6280000014</v>
      </c>
    </row>
    <row r="1064" spans="2:8" hidden="1" x14ac:dyDescent="0.4">
      <c r="B1064" s="1">
        <v>43613</v>
      </c>
      <c r="C1064" s="16">
        <f>SUMIF(매도완료!$G:$G,Sheet2!$B1064,매도완료!$P:$P)</f>
        <v>0</v>
      </c>
      <c r="D1064" s="16">
        <f>SUMIF(매도완료!$J:$J,Sheet2!$B1064,매도완료!$P:$P)</f>
        <v>4460000</v>
      </c>
      <c r="E1064" s="16">
        <f t="shared" si="32"/>
        <v>47279178.5</v>
      </c>
      <c r="G1064" s="16">
        <f>IF(D1064=0,0,SUMIF(매도완료!$J:$J,Sheet2!$B1064,매도완료!$S:$S))</f>
        <v>322835</v>
      </c>
      <c r="H1064" s="16">
        <f t="shared" si="33"/>
        <v>3511392.6280000014</v>
      </c>
    </row>
    <row r="1065" spans="2:8" hidden="1" x14ac:dyDescent="0.4">
      <c r="B1065" s="1">
        <v>43614</v>
      </c>
      <c r="C1065" s="16">
        <f>SUMIF(매도완료!$G:$G,Sheet2!$B1065,매도완료!$P:$P)</f>
        <v>4372500</v>
      </c>
      <c r="D1065" s="16">
        <f>SUMIF(매도완료!$J:$J,Sheet2!$B1065,매도완료!$P:$P)</f>
        <v>0</v>
      </c>
      <c r="E1065" s="16">
        <f t="shared" si="32"/>
        <v>51651678.5</v>
      </c>
      <c r="G1065" s="16">
        <f>IF(D1065=0,0,SUMIF(매도완료!$J:$J,Sheet2!$B1065,매도완료!$S:$S))</f>
        <v>0</v>
      </c>
      <c r="H1065" s="16">
        <f t="shared" si="33"/>
        <v>3511392.6280000014</v>
      </c>
    </row>
    <row r="1066" spans="2:8" hidden="1" x14ac:dyDescent="0.4">
      <c r="B1066" s="1">
        <v>43615</v>
      </c>
      <c r="C1066" s="16">
        <f>SUMIF(매도완료!$G:$G,Sheet2!$B1066,매도완료!$P:$P)</f>
        <v>0</v>
      </c>
      <c r="D1066" s="16">
        <f>SUMIF(매도완료!$J:$J,Sheet2!$B1066,매도완료!$P:$P)</f>
        <v>2160000</v>
      </c>
      <c r="E1066" s="16">
        <f t="shared" si="32"/>
        <v>49491678.5</v>
      </c>
      <c r="G1066" s="16">
        <f>IF(D1066=0,0,SUMIF(매도완료!$J:$J,Sheet2!$B1066,매도완료!$S:$S))</f>
        <v>127560</v>
      </c>
      <c r="H1066" s="16">
        <f t="shared" si="33"/>
        <v>3638952.6280000014</v>
      </c>
    </row>
    <row r="1067" spans="2:8" hidden="1" x14ac:dyDescent="0.4">
      <c r="B1067" s="1">
        <v>43616</v>
      </c>
      <c r="C1067" s="16">
        <f>SUMIF(매도완료!$G:$G,Sheet2!$B1067,매도완료!$P:$P)</f>
        <v>27074500</v>
      </c>
      <c r="D1067" s="16">
        <f>SUMIF(매도완료!$J:$J,Sheet2!$B1067,매도완료!$P:$P)</f>
        <v>0</v>
      </c>
      <c r="E1067" s="16">
        <f t="shared" si="32"/>
        <v>76566178.5</v>
      </c>
      <c r="G1067" s="16">
        <f>IF(D1067=0,0,SUMIF(매도완료!$J:$J,Sheet2!$B1067,매도완료!$S:$S))</f>
        <v>0</v>
      </c>
      <c r="H1067" s="16">
        <f t="shared" si="33"/>
        <v>3638952.6280000014</v>
      </c>
    </row>
    <row r="1068" spans="2:8" hidden="1" x14ac:dyDescent="0.4">
      <c r="B1068" s="1">
        <v>43617</v>
      </c>
      <c r="C1068" s="16">
        <f>SUMIF(매도완료!$G:$G,Sheet2!$B1068,매도완료!$P:$P)</f>
        <v>0</v>
      </c>
      <c r="D1068" s="16">
        <f>SUMIF(매도완료!$J:$J,Sheet2!$B1068,매도완료!$P:$P)</f>
        <v>0</v>
      </c>
      <c r="E1068" s="16">
        <f t="shared" si="32"/>
        <v>76566178.5</v>
      </c>
      <c r="G1068" s="16">
        <f>IF(D1068=0,0,SUMIF(매도완료!$J:$J,Sheet2!$B1068,매도완료!$S:$S))</f>
        <v>0</v>
      </c>
      <c r="H1068" s="16">
        <f t="shared" si="33"/>
        <v>3638952.6280000014</v>
      </c>
    </row>
    <row r="1069" spans="2:8" hidden="1" x14ac:dyDescent="0.4">
      <c r="B1069" s="1">
        <v>43618</v>
      </c>
      <c r="C1069" s="16">
        <f>SUMIF(매도완료!$G:$G,Sheet2!$B1069,매도완료!$P:$P)</f>
        <v>0</v>
      </c>
      <c r="D1069" s="16">
        <f>SUMIF(매도완료!$J:$J,Sheet2!$B1069,매도완료!$P:$P)</f>
        <v>0</v>
      </c>
      <c r="E1069" s="16">
        <f t="shared" si="32"/>
        <v>76566178.5</v>
      </c>
      <c r="G1069" s="16">
        <f>IF(D1069=0,0,SUMIF(매도완료!$J:$J,Sheet2!$B1069,매도완료!$S:$S))</f>
        <v>0</v>
      </c>
      <c r="H1069" s="16">
        <f t="shared" si="33"/>
        <v>3638952.6280000014</v>
      </c>
    </row>
    <row r="1070" spans="2:8" hidden="1" x14ac:dyDescent="0.4">
      <c r="B1070" s="1">
        <v>43619</v>
      </c>
      <c r="C1070" s="16">
        <f>SUMIF(매도완료!$G:$G,Sheet2!$B1070,매도완료!$P:$P)</f>
        <v>3947600</v>
      </c>
      <c r="D1070" s="16">
        <f>SUMIF(매도완료!$J:$J,Sheet2!$B1070,매도완료!$P:$P)</f>
        <v>0</v>
      </c>
      <c r="E1070" s="16">
        <f t="shared" si="32"/>
        <v>80513778.5</v>
      </c>
      <c r="G1070" s="16">
        <f>IF(D1070=0,0,SUMIF(매도완료!$J:$J,Sheet2!$B1070,매도완료!$S:$S))</f>
        <v>0</v>
      </c>
      <c r="H1070" s="16">
        <f t="shared" si="33"/>
        <v>3638952.6280000014</v>
      </c>
    </row>
    <row r="1071" spans="2:8" hidden="1" x14ac:dyDescent="0.4">
      <c r="B1071" s="1">
        <v>43620</v>
      </c>
      <c r="C1071" s="16">
        <f>SUMIF(매도완료!$G:$G,Sheet2!$B1071,매도완료!$P:$P)</f>
        <v>0</v>
      </c>
      <c r="D1071" s="16">
        <f>SUMIF(매도완료!$J:$J,Sheet2!$B1071,매도완료!$P:$P)</f>
        <v>1940000</v>
      </c>
      <c r="E1071" s="16">
        <f t="shared" si="32"/>
        <v>78573778.5</v>
      </c>
      <c r="G1071" s="16">
        <f>IF(D1071=0,0,SUMIF(매도완료!$J:$J,Sheet2!$B1071,매도완료!$S:$S))</f>
        <v>297118</v>
      </c>
      <c r="H1071" s="16">
        <f t="shared" si="33"/>
        <v>3936070.6280000014</v>
      </c>
    </row>
    <row r="1072" spans="2:8" hidden="1" x14ac:dyDescent="0.4">
      <c r="B1072" s="1">
        <v>43621</v>
      </c>
      <c r="C1072" s="16">
        <f>SUMIF(매도완료!$G:$G,Sheet2!$B1072,매도완료!$P:$P)</f>
        <v>0</v>
      </c>
      <c r="D1072" s="16">
        <f>SUMIF(매도완료!$J:$J,Sheet2!$B1072,매도완료!$P:$P)</f>
        <v>2377500</v>
      </c>
      <c r="E1072" s="16">
        <f t="shared" si="32"/>
        <v>76196278.5</v>
      </c>
      <c r="G1072" s="16">
        <f>IF(D1072=0,0,SUMIF(매도완료!$J:$J,Sheet2!$B1072,매도완료!$S:$S))</f>
        <v>-459941</v>
      </c>
      <c r="H1072" s="16">
        <f t="shared" si="33"/>
        <v>3476129.6280000014</v>
      </c>
    </row>
    <row r="1073" spans="2:11" hidden="1" x14ac:dyDescent="0.4">
      <c r="B1073" s="1">
        <v>43622</v>
      </c>
      <c r="C1073" s="16">
        <f>SUMIF(매도완료!$G:$G,Sheet2!$B1073,매도완료!$P:$P)</f>
        <v>0</v>
      </c>
      <c r="D1073" s="16">
        <f>SUMIF(매도완료!$J:$J,Sheet2!$B1073,매도완료!$P:$P)</f>
        <v>0</v>
      </c>
      <c r="E1073" s="16">
        <f t="shared" si="32"/>
        <v>76196278.5</v>
      </c>
      <c r="G1073" s="16">
        <f>IF(D1073=0,0,SUMIF(매도완료!$J:$J,Sheet2!$B1073,매도완료!$S:$S))</f>
        <v>0</v>
      </c>
      <c r="H1073" s="16">
        <f t="shared" si="33"/>
        <v>3476129.6280000014</v>
      </c>
    </row>
    <row r="1074" spans="2:11" hidden="1" x14ac:dyDescent="0.4">
      <c r="B1074" s="1">
        <v>43623</v>
      </c>
      <c r="C1074" s="16">
        <f>SUMIF(매도완료!$G:$G,Sheet2!$B1074,매도완료!$P:$P)</f>
        <v>0</v>
      </c>
      <c r="D1074" s="16">
        <f>SUMIF(매도완료!$J:$J,Sheet2!$B1074,매도완료!$P:$P)</f>
        <v>0</v>
      </c>
      <c r="E1074" s="16">
        <f t="shared" si="32"/>
        <v>76196278.5</v>
      </c>
      <c r="G1074" s="16">
        <f>IF(D1074=0,0,SUMIF(매도완료!$J:$J,Sheet2!$B1074,매도완료!$S:$S))</f>
        <v>0</v>
      </c>
      <c r="H1074" s="16">
        <f t="shared" si="33"/>
        <v>3476129.6280000014</v>
      </c>
    </row>
    <row r="1075" spans="2:11" hidden="1" x14ac:dyDescent="0.4">
      <c r="B1075" s="1">
        <v>43624</v>
      </c>
      <c r="C1075" s="16">
        <f>SUMIF(매도완료!$G:$G,Sheet2!$B1075,매도완료!$P:$P)</f>
        <v>0</v>
      </c>
      <c r="D1075" s="16">
        <f>SUMIF(매도완료!$J:$J,Sheet2!$B1075,매도완료!$P:$P)</f>
        <v>0</v>
      </c>
      <c r="E1075" s="16">
        <f t="shared" si="32"/>
        <v>76196278.5</v>
      </c>
      <c r="G1075" s="16">
        <f>IF(D1075=0,0,SUMIF(매도완료!$J:$J,Sheet2!$B1075,매도완료!$S:$S))</f>
        <v>0</v>
      </c>
      <c r="H1075" s="16">
        <f t="shared" si="33"/>
        <v>3476129.6280000014</v>
      </c>
      <c r="I1075" s="26"/>
      <c r="J1075" s="26"/>
    </row>
    <row r="1076" spans="2:11" hidden="1" x14ac:dyDescent="0.4">
      <c r="B1076" s="1">
        <v>43625</v>
      </c>
      <c r="C1076" s="16">
        <f>SUMIF(매도완료!$G:$G,Sheet2!$B1076,매도완료!$P:$P)</f>
        <v>0</v>
      </c>
      <c r="D1076" s="16">
        <f>SUMIF(매도완료!$J:$J,Sheet2!$B1076,매도완료!$P:$P)</f>
        <v>0</v>
      </c>
      <c r="E1076" s="16">
        <f t="shared" si="32"/>
        <v>76196278.5</v>
      </c>
      <c r="G1076" s="16">
        <f>IF(D1076=0,0,SUMIF(매도완료!$J:$J,Sheet2!$B1076,매도완료!$S:$S))</f>
        <v>0</v>
      </c>
      <c r="H1076" s="16">
        <f t="shared" si="33"/>
        <v>3476129.6280000014</v>
      </c>
      <c r="I1076" s="26"/>
      <c r="J1076" s="26"/>
    </row>
    <row r="1077" spans="2:11" hidden="1" x14ac:dyDescent="0.4">
      <c r="B1077" s="1">
        <v>43626</v>
      </c>
      <c r="C1077" s="16">
        <f>SUMIF(매도완료!$G:$G,Sheet2!$B1077,매도완료!$P:$P)</f>
        <v>0</v>
      </c>
      <c r="D1077" s="16">
        <f>SUMIF(매도완료!$J:$J,Sheet2!$B1077,매도완료!$P:$P)</f>
        <v>994500</v>
      </c>
      <c r="E1077" s="16">
        <f t="shared" si="32"/>
        <v>75201778.5</v>
      </c>
      <c r="G1077" s="16">
        <f>IF(D1077=0,0,SUMIF(매도완료!$J:$J,Sheet2!$B1077,매도완료!$S:$S))</f>
        <v>102104</v>
      </c>
      <c r="H1077" s="16">
        <f t="shared" si="33"/>
        <v>3578233.6280000014</v>
      </c>
    </row>
    <row r="1078" spans="2:11" hidden="1" x14ac:dyDescent="0.4">
      <c r="B1078" s="1">
        <v>43627</v>
      </c>
      <c r="C1078" s="16">
        <f>SUMIF(매도완료!$G:$G,Sheet2!$B1078,매도완료!$P:$P)</f>
        <v>1560000</v>
      </c>
      <c r="D1078" s="16">
        <f>SUMIF(매도완료!$J:$J,Sheet2!$B1078,매도완료!$P:$P)</f>
        <v>0</v>
      </c>
      <c r="E1078" s="16">
        <f t="shared" si="32"/>
        <v>76761778.5</v>
      </c>
      <c r="G1078" s="16">
        <f>IF(D1078=0,0,SUMIF(매도완료!$J:$J,Sheet2!$B1078,매도완료!$S:$S))</f>
        <v>0</v>
      </c>
      <c r="H1078" s="16">
        <f t="shared" si="33"/>
        <v>3578233.6280000014</v>
      </c>
    </row>
    <row r="1079" spans="2:11" hidden="1" x14ac:dyDescent="0.4">
      <c r="B1079" s="1">
        <v>43628</v>
      </c>
      <c r="C1079" s="16">
        <f>SUMIF(매도완료!$G:$G,Sheet2!$B1079,매도완료!$P:$P)</f>
        <v>0</v>
      </c>
      <c r="D1079" s="16">
        <f>SUMIF(매도완료!$J:$J,Sheet2!$B1079,매도완료!$P:$P)</f>
        <v>0</v>
      </c>
      <c r="E1079" s="16">
        <f t="shared" si="32"/>
        <v>76761778.5</v>
      </c>
      <c r="G1079" s="16">
        <f>IF(D1079=0,0,SUMIF(매도완료!$J:$J,Sheet2!$B1079,매도완료!$S:$S))</f>
        <v>0</v>
      </c>
      <c r="H1079" s="16">
        <f t="shared" si="33"/>
        <v>3578233.6280000014</v>
      </c>
    </row>
    <row r="1080" spans="2:11" hidden="1" x14ac:dyDescent="0.4">
      <c r="B1080" s="1">
        <v>43629</v>
      </c>
      <c r="C1080" s="16">
        <f>SUMIF(매도완료!$G:$G,Sheet2!$B1080,매도완료!$P:$P)</f>
        <v>640000</v>
      </c>
      <c r="D1080" s="16">
        <f>SUMIF(매도완료!$J:$J,Sheet2!$B1080,매도완료!$P:$P)</f>
        <v>980000</v>
      </c>
      <c r="E1080" s="16">
        <f t="shared" si="32"/>
        <v>76421778.5</v>
      </c>
      <c r="G1080" s="16">
        <f>IF(D1080=0,0,SUMIF(매도완료!$J:$J,Sheet2!$B1080,매도완료!$S:$S))</f>
        <v>84255</v>
      </c>
      <c r="H1080" s="16">
        <f t="shared" si="33"/>
        <v>3662488.6280000014</v>
      </c>
      <c r="J1080" t="s">
        <v>414</v>
      </c>
      <c r="K1080" t="s">
        <v>695</v>
      </c>
    </row>
    <row r="1081" spans="2:11" hidden="1" x14ac:dyDescent="0.4">
      <c r="B1081" s="1">
        <v>43630</v>
      </c>
      <c r="C1081" s="16">
        <f>SUMIF(매도완료!$G:$G,Sheet2!$B1081,매도완료!$P:$P)</f>
        <v>3840000</v>
      </c>
      <c r="D1081" s="16">
        <f>SUMIF(매도완료!$J:$J,Sheet2!$B1081,매도완료!$P:$P)</f>
        <v>4708140</v>
      </c>
      <c r="E1081" s="16">
        <f t="shared" si="32"/>
        <v>75553638.5</v>
      </c>
      <c r="G1081" s="16">
        <f>IF(D1081=0,0,SUMIF(매도완료!$J:$J,Sheet2!$B1081,매도완료!$S:$S))</f>
        <v>-1357487</v>
      </c>
      <c r="H1081" s="16">
        <f t="shared" si="33"/>
        <v>2305001.6280000014</v>
      </c>
      <c r="J1081" t="s">
        <v>463</v>
      </c>
      <c r="K1081" t="s">
        <v>696</v>
      </c>
    </row>
    <row r="1082" spans="2:11" hidden="1" x14ac:dyDescent="0.4">
      <c r="B1082" s="1">
        <v>43631</v>
      </c>
      <c r="C1082" s="16">
        <f>SUMIF(매도완료!$G:$G,Sheet2!$B1082,매도완료!$P:$P)</f>
        <v>0</v>
      </c>
      <c r="D1082" s="16">
        <f>SUMIF(매도완료!$J:$J,Sheet2!$B1082,매도완료!$P:$P)</f>
        <v>0</v>
      </c>
      <c r="E1082" s="16">
        <f t="shared" si="32"/>
        <v>75553638.5</v>
      </c>
      <c r="G1082" s="16">
        <f>IF(D1082=0,0,SUMIF(매도완료!$J:$J,Sheet2!$B1082,매도완료!$S:$S))</f>
        <v>0</v>
      </c>
      <c r="H1082" s="16">
        <f t="shared" si="33"/>
        <v>2305001.6280000014</v>
      </c>
      <c r="J1082" t="s">
        <v>386</v>
      </c>
      <c r="K1082" t="s">
        <v>697</v>
      </c>
    </row>
    <row r="1083" spans="2:11" hidden="1" x14ac:dyDescent="0.4">
      <c r="B1083" s="1">
        <v>43632</v>
      </c>
      <c r="C1083" s="16">
        <f>SUMIF(매도완료!$G:$G,Sheet2!$B1083,매도완료!$P:$P)</f>
        <v>0</v>
      </c>
      <c r="D1083" s="16">
        <f>SUMIF(매도완료!$J:$J,Sheet2!$B1083,매도완료!$P:$P)</f>
        <v>0</v>
      </c>
      <c r="E1083" s="16">
        <f t="shared" si="32"/>
        <v>75553638.5</v>
      </c>
      <c r="G1083" s="16">
        <f>IF(D1083=0,0,SUMIF(매도완료!$J:$J,Sheet2!$B1083,매도완료!$S:$S))</f>
        <v>0</v>
      </c>
      <c r="H1083" s="16">
        <f t="shared" si="33"/>
        <v>2305001.6280000014</v>
      </c>
      <c r="J1083" t="s">
        <v>456</v>
      </c>
      <c r="K1083" t="s">
        <v>698</v>
      </c>
    </row>
    <row r="1084" spans="2:11" hidden="1" x14ac:dyDescent="0.4">
      <c r="B1084" s="1">
        <v>43633</v>
      </c>
      <c r="C1084" s="16">
        <f>SUMIF(매도완료!$G:$G,Sheet2!$B1084,매도완료!$P:$P)</f>
        <v>2210000</v>
      </c>
      <c r="D1084" s="16">
        <f>SUMIF(매도완료!$J:$J,Sheet2!$B1084,매도완료!$P:$P)</f>
        <v>6107100</v>
      </c>
      <c r="E1084" s="16">
        <f t="shared" si="32"/>
        <v>71656538.5</v>
      </c>
      <c r="G1084" s="16">
        <f>IF(D1084=0,0,SUMIF(매도완료!$J:$J,Sheet2!$B1084,매도완료!$S:$S))</f>
        <v>441820</v>
      </c>
      <c r="H1084" s="16">
        <f t="shared" si="33"/>
        <v>2746821.6280000014</v>
      </c>
      <c r="J1084" t="s">
        <v>314</v>
      </c>
      <c r="K1084" t="s">
        <v>699</v>
      </c>
    </row>
    <row r="1085" spans="2:11" hidden="1" x14ac:dyDescent="0.4">
      <c r="B1085" s="1">
        <v>43634</v>
      </c>
      <c r="C1085" s="16">
        <f>SUMIF(매도완료!$G:$G,Sheet2!$B1085,매도완료!$P:$P)</f>
        <v>26720000</v>
      </c>
      <c r="D1085" s="16">
        <f>SUMIF(매도완료!$J:$J,Sheet2!$B1085,매도완료!$P:$P)</f>
        <v>11572500</v>
      </c>
      <c r="E1085" s="16">
        <f t="shared" si="32"/>
        <v>86804038.5</v>
      </c>
      <c r="G1085" s="16">
        <f>IF(D1085=0,0,SUMIF(매도완료!$J:$J,Sheet2!$B1085,매도완료!$S:$S))</f>
        <v>-537201</v>
      </c>
      <c r="H1085" s="16">
        <f t="shared" si="33"/>
        <v>2209620.6280000014</v>
      </c>
    </row>
    <row r="1086" spans="2:11" hidden="1" x14ac:dyDescent="0.4">
      <c r="B1086" s="1">
        <v>43635</v>
      </c>
      <c r="C1086" s="16">
        <f>SUMIF(매도완료!$G:$G,Sheet2!$B1086,매도완료!$P:$P)</f>
        <v>0</v>
      </c>
      <c r="D1086" s="16">
        <f>SUMIF(매도완료!$J:$J,Sheet2!$B1086,매도완료!$P:$P)</f>
        <v>0</v>
      </c>
      <c r="E1086" s="16">
        <f t="shared" si="32"/>
        <v>86804038.5</v>
      </c>
      <c r="G1086" s="16">
        <f>IF(D1086=0,0,SUMIF(매도완료!$J:$J,Sheet2!$B1086,매도완료!$S:$S))</f>
        <v>0</v>
      </c>
      <c r="H1086" s="16">
        <f t="shared" si="33"/>
        <v>2209620.6280000014</v>
      </c>
    </row>
    <row r="1087" spans="2:11" hidden="1" x14ac:dyDescent="0.4">
      <c r="B1087" s="1">
        <v>43636</v>
      </c>
      <c r="C1087" s="16">
        <f>SUMIF(매도완료!$G:$G,Sheet2!$B1087,매도완료!$P:$P)</f>
        <v>0</v>
      </c>
      <c r="D1087" s="16">
        <f>SUMIF(매도완료!$J:$J,Sheet2!$B1087,매도완료!$P:$P)</f>
        <v>0</v>
      </c>
      <c r="E1087" s="16">
        <f t="shared" si="32"/>
        <v>86804038.5</v>
      </c>
      <c r="G1087" s="16">
        <f>IF(D1087=0,0,SUMIF(매도완료!$J:$J,Sheet2!$B1087,매도완료!$S:$S))</f>
        <v>0</v>
      </c>
      <c r="H1087" s="16">
        <f t="shared" si="33"/>
        <v>2209620.6280000014</v>
      </c>
    </row>
    <row r="1088" spans="2:11" hidden="1" x14ac:dyDescent="0.4">
      <c r="B1088" s="1">
        <v>43637</v>
      </c>
      <c r="C1088" s="16">
        <f>SUMIF(매도완료!$G:$G,Sheet2!$B1088,매도완료!$P:$P)</f>
        <v>0</v>
      </c>
      <c r="D1088" s="16">
        <f>SUMIF(매도완료!$J:$J,Sheet2!$B1088,매도완료!$P:$P)</f>
        <v>0</v>
      </c>
      <c r="E1088" s="16">
        <f t="shared" si="32"/>
        <v>86804038.5</v>
      </c>
      <c r="G1088" s="16">
        <f>IF(D1088=0,0,SUMIF(매도완료!$J:$J,Sheet2!$B1088,매도완료!$S:$S))</f>
        <v>0</v>
      </c>
      <c r="H1088" s="16">
        <f t="shared" si="33"/>
        <v>2209620.6280000014</v>
      </c>
    </row>
    <row r="1089" spans="2:8" hidden="1" x14ac:dyDescent="0.4">
      <c r="B1089" s="1">
        <v>43638</v>
      </c>
      <c r="C1089" s="16">
        <f>SUMIF(매도완료!$G:$G,Sheet2!$B1089,매도완료!$P:$P)</f>
        <v>0</v>
      </c>
      <c r="D1089" s="16">
        <f>SUMIF(매도완료!$J:$J,Sheet2!$B1089,매도완료!$P:$P)</f>
        <v>0</v>
      </c>
      <c r="E1089" s="16">
        <f t="shared" si="32"/>
        <v>86804038.5</v>
      </c>
      <c r="G1089" s="16">
        <f>IF(D1089=0,0,SUMIF(매도완료!$J:$J,Sheet2!$B1089,매도완료!$S:$S))</f>
        <v>0</v>
      </c>
      <c r="H1089" s="16">
        <f t="shared" si="33"/>
        <v>2209620.6280000014</v>
      </c>
    </row>
    <row r="1090" spans="2:8" hidden="1" x14ac:dyDescent="0.4">
      <c r="B1090" s="1">
        <v>43639</v>
      </c>
      <c r="C1090" s="16">
        <f>SUMIF(매도완료!$G:$G,Sheet2!$B1090,매도완료!$P:$P)</f>
        <v>0</v>
      </c>
      <c r="D1090" s="16">
        <f>SUMIF(매도완료!$J:$J,Sheet2!$B1090,매도완료!$P:$P)</f>
        <v>0</v>
      </c>
      <c r="E1090" s="16">
        <f t="shared" si="32"/>
        <v>86804038.5</v>
      </c>
      <c r="G1090" s="16">
        <f>IF(D1090=0,0,SUMIF(매도완료!$J:$J,Sheet2!$B1090,매도완료!$S:$S))</f>
        <v>0</v>
      </c>
      <c r="H1090" s="16">
        <f t="shared" si="33"/>
        <v>2209620.6280000014</v>
      </c>
    </row>
    <row r="1091" spans="2:8" hidden="1" x14ac:dyDescent="0.4">
      <c r="B1091" s="1">
        <v>43640</v>
      </c>
      <c r="C1091" s="16">
        <f>SUMIF(매도완료!$G:$G,Sheet2!$B1091,매도완료!$P:$P)</f>
        <v>10395000</v>
      </c>
      <c r="D1091" s="16">
        <f>SUMIF(매도완료!$J:$J,Sheet2!$B1091,매도완료!$P:$P)</f>
        <v>9320000</v>
      </c>
      <c r="E1091" s="16">
        <f t="shared" si="32"/>
        <v>87879038.5</v>
      </c>
      <c r="G1091" s="16">
        <f>IF(D1091=0,0,SUMIF(매도완료!$J:$J,Sheet2!$B1091,매도완료!$S:$S))</f>
        <v>68260</v>
      </c>
      <c r="H1091" s="16">
        <f t="shared" si="33"/>
        <v>2277880.6280000014</v>
      </c>
    </row>
    <row r="1092" spans="2:8" hidden="1" x14ac:dyDescent="0.4">
      <c r="B1092" s="1">
        <v>43641</v>
      </c>
      <c r="C1092" s="16">
        <f>SUMIF(매도완료!$G:$G,Sheet2!$B1092,매도완료!$P:$P)</f>
        <v>0</v>
      </c>
      <c r="D1092" s="16">
        <f>SUMIF(매도완료!$J:$J,Sheet2!$B1092,매도완료!$P:$P)</f>
        <v>0</v>
      </c>
      <c r="E1092" s="16">
        <f t="shared" ref="E1092:E1155" si="34">E1091+C1092-D1092</f>
        <v>87879038.5</v>
      </c>
      <c r="G1092" s="16">
        <f>IF(D1092=0,0,SUMIF(매도완료!$J:$J,Sheet2!$B1092,매도완료!$S:$S))</f>
        <v>0</v>
      </c>
      <c r="H1092" s="16">
        <f t="shared" ref="H1092:H1155" si="35">H1091+G1092</f>
        <v>2277880.6280000014</v>
      </c>
    </row>
    <row r="1093" spans="2:8" hidden="1" x14ac:dyDescent="0.4">
      <c r="B1093" s="1">
        <v>43642</v>
      </c>
      <c r="C1093" s="16">
        <f>SUMIF(매도완료!$G:$G,Sheet2!$B1093,매도완료!$P:$P)</f>
        <v>0</v>
      </c>
      <c r="D1093" s="16">
        <f>SUMIF(매도완료!$J:$J,Sheet2!$B1093,매도완료!$P:$P)</f>
        <v>0</v>
      </c>
      <c r="E1093" s="16">
        <f t="shared" si="34"/>
        <v>87879038.5</v>
      </c>
      <c r="G1093" s="16">
        <f>IF(D1093=0,0,SUMIF(매도완료!$J:$J,Sheet2!$B1093,매도완료!$S:$S))</f>
        <v>0</v>
      </c>
      <c r="H1093" s="16">
        <f t="shared" si="35"/>
        <v>2277880.6280000014</v>
      </c>
    </row>
    <row r="1094" spans="2:8" hidden="1" x14ac:dyDescent="0.4">
      <c r="B1094" s="1">
        <v>43643</v>
      </c>
      <c r="C1094" s="16">
        <f>SUMIF(매도완료!$G:$G,Sheet2!$B1094,매도완료!$P:$P)</f>
        <v>0</v>
      </c>
      <c r="D1094" s="16">
        <f>SUMIF(매도완료!$J:$J,Sheet2!$B1094,매도완료!$P:$P)</f>
        <v>6720000</v>
      </c>
      <c r="E1094" s="16">
        <f t="shared" si="34"/>
        <v>81159038.5</v>
      </c>
      <c r="G1094" s="16">
        <f>IF(D1094=0,0,SUMIF(매도완료!$J:$J,Sheet2!$B1094,매도완료!$S:$S))</f>
        <v>-1877540</v>
      </c>
      <c r="H1094" s="16">
        <f t="shared" si="35"/>
        <v>400340.62800000142</v>
      </c>
    </row>
    <row r="1095" spans="2:8" hidden="1" x14ac:dyDescent="0.4">
      <c r="B1095" s="1">
        <v>43644</v>
      </c>
      <c r="C1095" s="16">
        <f>SUMIF(매도완료!$G:$G,Sheet2!$B1095,매도완료!$P:$P)</f>
        <v>0</v>
      </c>
      <c r="D1095" s="16">
        <f>SUMIF(매도완료!$J:$J,Sheet2!$B1095,매도완료!$P:$P)</f>
        <v>0</v>
      </c>
      <c r="E1095" s="16">
        <f t="shared" si="34"/>
        <v>81159038.5</v>
      </c>
      <c r="G1095" s="16">
        <f>IF(D1095=0,0,SUMIF(매도완료!$J:$J,Sheet2!$B1095,매도완료!$S:$S))</f>
        <v>0</v>
      </c>
      <c r="H1095" s="16">
        <f t="shared" si="35"/>
        <v>400340.62800000142</v>
      </c>
    </row>
    <row r="1096" spans="2:8" hidden="1" x14ac:dyDescent="0.4">
      <c r="B1096" s="1">
        <v>43645</v>
      </c>
      <c r="C1096" s="16">
        <f>SUMIF(매도완료!$G:$G,Sheet2!$B1096,매도완료!$P:$P)</f>
        <v>0</v>
      </c>
      <c r="D1096" s="16">
        <f>SUMIF(매도완료!$J:$J,Sheet2!$B1096,매도완료!$P:$P)</f>
        <v>0</v>
      </c>
      <c r="E1096" s="16">
        <f t="shared" si="34"/>
        <v>81159038.5</v>
      </c>
      <c r="G1096" s="16">
        <f>IF(D1096=0,0,SUMIF(매도완료!$J:$J,Sheet2!$B1096,매도완료!$S:$S))</f>
        <v>0</v>
      </c>
      <c r="H1096" s="16">
        <f t="shared" si="35"/>
        <v>400340.62800000142</v>
      </c>
    </row>
    <row r="1097" spans="2:8" hidden="1" x14ac:dyDescent="0.4">
      <c r="B1097" s="1">
        <v>43646</v>
      </c>
      <c r="C1097" s="16">
        <f>SUMIF(매도완료!$G:$G,Sheet2!$B1097,매도완료!$P:$P)</f>
        <v>0</v>
      </c>
      <c r="D1097" s="16">
        <f>SUMIF(매도완료!$J:$J,Sheet2!$B1097,매도완료!$P:$P)</f>
        <v>0</v>
      </c>
      <c r="E1097" s="16">
        <f t="shared" si="34"/>
        <v>81159038.5</v>
      </c>
      <c r="G1097" s="16">
        <f>IF(D1097=0,0,SUMIF(매도완료!$J:$J,Sheet2!$B1097,매도완료!$S:$S))</f>
        <v>0</v>
      </c>
      <c r="H1097" s="16">
        <f t="shared" si="35"/>
        <v>400340.62800000142</v>
      </c>
    </row>
    <row r="1098" spans="2:8" hidden="1" x14ac:dyDescent="0.4">
      <c r="B1098" s="1">
        <v>43647</v>
      </c>
      <c r="C1098" s="16">
        <f>SUMIF(매도완료!$G:$G,Sheet2!$B1098,매도완료!$P:$P)</f>
        <v>0</v>
      </c>
      <c r="D1098" s="16">
        <f>SUMIF(매도완료!$J:$J,Sheet2!$B1098,매도완료!$P:$P)</f>
        <v>0</v>
      </c>
      <c r="E1098" s="16">
        <f t="shared" si="34"/>
        <v>81159038.5</v>
      </c>
      <c r="G1098" s="16">
        <f>IF(D1098=0,0,SUMIF(매도완료!$J:$J,Sheet2!$B1098,매도완료!$S:$S))</f>
        <v>0</v>
      </c>
      <c r="H1098" s="16">
        <f t="shared" si="35"/>
        <v>400340.62800000142</v>
      </c>
    </row>
    <row r="1099" spans="2:8" hidden="1" x14ac:dyDescent="0.4">
      <c r="B1099" s="1">
        <v>43648</v>
      </c>
      <c r="C1099" s="16">
        <f>SUMIF(매도완료!$G:$G,Sheet2!$B1099,매도완료!$P:$P)</f>
        <v>1461000</v>
      </c>
      <c r="D1099" s="16">
        <f>SUMIF(매도완료!$J:$J,Sheet2!$B1099,매도완료!$P:$P)</f>
        <v>2533500</v>
      </c>
      <c r="E1099" s="16">
        <f t="shared" si="34"/>
        <v>80086538.5</v>
      </c>
      <c r="G1099" s="16">
        <f>IF(D1099=0,0,SUMIF(매도완료!$J:$J,Sheet2!$B1099,매도완료!$S:$S))</f>
        <v>241545</v>
      </c>
      <c r="H1099" s="16">
        <f t="shared" si="35"/>
        <v>641885.62800000142</v>
      </c>
    </row>
    <row r="1100" spans="2:8" hidden="1" x14ac:dyDescent="0.4">
      <c r="B1100" s="1">
        <v>43649</v>
      </c>
      <c r="C1100" s="16">
        <f>SUMIF(매도완료!$G:$G,Sheet2!$B1100,매도완료!$P:$P)</f>
        <v>0</v>
      </c>
      <c r="D1100" s="16">
        <f>SUMIF(매도완료!$J:$J,Sheet2!$B1100,매도완료!$P:$P)</f>
        <v>0</v>
      </c>
      <c r="E1100" s="16">
        <f t="shared" si="34"/>
        <v>80086538.5</v>
      </c>
      <c r="G1100" s="16">
        <f>IF(D1100=0,0,SUMIF(매도완료!$J:$J,Sheet2!$B1100,매도완료!$S:$S))</f>
        <v>0</v>
      </c>
      <c r="H1100" s="16">
        <f t="shared" si="35"/>
        <v>641885.62800000142</v>
      </c>
    </row>
    <row r="1101" spans="2:8" hidden="1" x14ac:dyDescent="0.4">
      <c r="B1101" s="1">
        <v>43650</v>
      </c>
      <c r="C1101" s="16">
        <f>SUMIF(매도완료!$G:$G,Sheet2!$B1101,매도완료!$P:$P)</f>
        <v>0</v>
      </c>
      <c r="D1101" s="16">
        <f>SUMIF(매도완료!$J:$J,Sheet2!$B1101,매도완료!$P:$P)</f>
        <v>0</v>
      </c>
      <c r="E1101" s="16">
        <f t="shared" si="34"/>
        <v>80086538.5</v>
      </c>
      <c r="G1101" s="16">
        <f>IF(D1101=0,0,SUMIF(매도완료!$J:$J,Sheet2!$B1101,매도완료!$S:$S))</f>
        <v>0</v>
      </c>
      <c r="H1101" s="16">
        <f t="shared" si="35"/>
        <v>641885.62800000142</v>
      </c>
    </row>
    <row r="1102" spans="2:8" hidden="1" x14ac:dyDescent="0.4">
      <c r="B1102" s="1">
        <v>43651</v>
      </c>
      <c r="C1102" s="16">
        <f>SUMIF(매도완료!$G:$G,Sheet2!$B1102,매도완료!$P:$P)</f>
        <v>0</v>
      </c>
      <c r="D1102" s="16">
        <f>SUMIF(매도완료!$J:$J,Sheet2!$B1102,매도완료!$P:$P)</f>
        <v>0</v>
      </c>
      <c r="E1102" s="16">
        <f t="shared" si="34"/>
        <v>80086538.5</v>
      </c>
      <c r="G1102" s="16">
        <f>IF(D1102=0,0,SUMIF(매도완료!$J:$J,Sheet2!$B1102,매도완료!$S:$S))</f>
        <v>0</v>
      </c>
      <c r="H1102" s="16">
        <f t="shared" si="35"/>
        <v>641885.62800000142</v>
      </c>
    </row>
    <row r="1103" spans="2:8" hidden="1" x14ac:dyDescent="0.4">
      <c r="B1103" s="1">
        <v>43652</v>
      </c>
      <c r="C1103" s="16">
        <f>SUMIF(매도완료!$G:$G,Sheet2!$B1103,매도완료!$P:$P)</f>
        <v>0</v>
      </c>
      <c r="D1103" s="16">
        <f>SUMIF(매도완료!$J:$J,Sheet2!$B1103,매도완료!$P:$P)</f>
        <v>0</v>
      </c>
      <c r="E1103" s="16">
        <f t="shared" si="34"/>
        <v>80086538.5</v>
      </c>
      <c r="G1103" s="16">
        <f>IF(D1103=0,0,SUMIF(매도완료!$J:$J,Sheet2!$B1103,매도완료!$S:$S))</f>
        <v>0</v>
      </c>
      <c r="H1103" s="16">
        <f t="shared" si="35"/>
        <v>641885.62800000142</v>
      </c>
    </row>
    <row r="1104" spans="2:8" hidden="1" x14ac:dyDescent="0.4">
      <c r="B1104" s="1">
        <v>43653</v>
      </c>
      <c r="C1104" s="16">
        <f>SUMIF(매도완료!$G:$G,Sheet2!$B1104,매도완료!$P:$P)</f>
        <v>0</v>
      </c>
      <c r="D1104" s="16">
        <f>SUMIF(매도완료!$J:$J,Sheet2!$B1104,매도완료!$P:$P)</f>
        <v>0</v>
      </c>
      <c r="E1104" s="16">
        <f t="shared" si="34"/>
        <v>80086538.5</v>
      </c>
      <c r="G1104" s="16">
        <f>IF(D1104=0,0,SUMIF(매도완료!$J:$J,Sheet2!$B1104,매도완료!$S:$S))</f>
        <v>0</v>
      </c>
      <c r="H1104" s="16">
        <f t="shared" si="35"/>
        <v>641885.62800000142</v>
      </c>
    </row>
    <row r="1105" spans="2:8" hidden="1" x14ac:dyDescent="0.4">
      <c r="B1105" s="1">
        <v>43654</v>
      </c>
      <c r="C1105" s="16">
        <f>SUMIF(매도완료!$G:$G,Sheet2!$B1105,매도완료!$P:$P)</f>
        <v>0</v>
      </c>
      <c r="D1105" s="16">
        <f>SUMIF(매도완료!$J:$J,Sheet2!$B1105,매도완료!$P:$P)</f>
        <v>0</v>
      </c>
      <c r="E1105" s="16">
        <f t="shared" si="34"/>
        <v>80086538.5</v>
      </c>
      <c r="G1105" s="16">
        <f>IF(D1105=0,0,SUMIF(매도완료!$J:$J,Sheet2!$B1105,매도완료!$S:$S))</f>
        <v>0</v>
      </c>
      <c r="H1105" s="16">
        <f t="shared" si="35"/>
        <v>641885.62800000142</v>
      </c>
    </row>
    <row r="1106" spans="2:8" hidden="1" x14ac:dyDescent="0.4">
      <c r="B1106" s="1">
        <v>43655</v>
      </c>
      <c r="C1106" s="16">
        <f>SUMIF(매도완료!$G:$G,Sheet2!$B1106,매도완료!$P:$P)</f>
        <v>0</v>
      </c>
      <c r="D1106" s="16">
        <f>SUMIF(매도완료!$J:$J,Sheet2!$B1106,매도완료!$P:$P)</f>
        <v>0</v>
      </c>
      <c r="E1106" s="16">
        <f t="shared" si="34"/>
        <v>80086538.5</v>
      </c>
      <c r="G1106" s="16">
        <f>IF(D1106=0,0,SUMIF(매도완료!$J:$J,Sheet2!$B1106,매도완료!$S:$S))</f>
        <v>0</v>
      </c>
      <c r="H1106" s="16">
        <f t="shared" si="35"/>
        <v>641885.62800000142</v>
      </c>
    </row>
    <row r="1107" spans="2:8" hidden="1" x14ac:dyDescent="0.4">
      <c r="B1107" s="1">
        <v>43656</v>
      </c>
      <c r="C1107" s="16">
        <f>SUMIF(매도완료!$G:$G,Sheet2!$B1107,매도완료!$P:$P)</f>
        <v>0</v>
      </c>
      <c r="D1107" s="16">
        <f>SUMIF(매도완료!$J:$J,Sheet2!$B1107,매도완료!$P:$P)</f>
        <v>0</v>
      </c>
      <c r="E1107" s="16">
        <f t="shared" si="34"/>
        <v>80086538.5</v>
      </c>
      <c r="G1107" s="16">
        <f>IF(D1107=0,0,SUMIF(매도완료!$J:$J,Sheet2!$B1107,매도완료!$S:$S))</f>
        <v>0</v>
      </c>
      <c r="H1107" s="16">
        <f t="shared" si="35"/>
        <v>641885.62800000142</v>
      </c>
    </row>
    <row r="1108" spans="2:8" hidden="1" x14ac:dyDescent="0.4">
      <c r="B1108" s="1">
        <v>43657</v>
      </c>
      <c r="C1108" s="16">
        <f>SUMIF(매도완료!$G:$G,Sheet2!$B1108,매도완료!$P:$P)</f>
        <v>0</v>
      </c>
      <c r="D1108" s="16">
        <f>SUMIF(매도완료!$J:$J,Sheet2!$B1108,매도완료!$P:$P)</f>
        <v>0</v>
      </c>
      <c r="E1108" s="16">
        <f t="shared" si="34"/>
        <v>80086538.5</v>
      </c>
      <c r="G1108" s="16">
        <f>IF(D1108=0,0,SUMIF(매도완료!$J:$J,Sheet2!$B1108,매도완료!$S:$S))</f>
        <v>0</v>
      </c>
      <c r="H1108" s="16">
        <f t="shared" si="35"/>
        <v>641885.62800000142</v>
      </c>
    </row>
    <row r="1109" spans="2:8" hidden="1" x14ac:dyDescent="0.4">
      <c r="B1109" s="1">
        <v>43658</v>
      </c>
      <c r="C1109" s="16">
        <f>SUMIF(매도완료!$G:$G,Sheet2!$B1109,매도완료!$P:$P)</f>
        <v>0</v>
      </c>
      <c r="D1109" s="16">
        <f>SUMIF(매도완료!$J:$J,Sheet2!$B1109,매도완료!$P:$P)</f>
        <v>0</v>
      </c>
      <c r="E1109" s="16">
        <f t="shared" si="34"/>
        <v>80086538.5</v>
      </c>
      <c r="G1109" s="16">
        <f>IF(D1109=0,0,SUMIF(매도완료!$J:$J,Sheet2!$B1109,매도완료!$S:$S))</f>
        <v>0</v>
      </c>
      <c r="H1109" s="16">
        <f t="shared" si="35"/>
        <v>641885.62800000142</v>
      </c>
    </row>
    <row r="1110" spans="2:8" hidden="1" x14ac:dyDescent="0.4">
      <c r="B1110" s="1">
        <v>43659</v>
      </c>
      <c r="C1110" s="16">
        <f>SUMIF(매도완료!$G:$G,Sheet2!$B1110,매도완료!$P:$P)</f>
        <v>0</v>
      </c>
      <c r="D1110" s="16">
        <f>SUMIF(매도완료!$J:$J,Sheet2!$B1110,매도완료!$P:$P)</f>
        <v>0</v>
      </c>
      <c r="E1110" s="16">
        <f t="shared" si="34"/>
        <v>80086538.5</v>
      </c>
      <c r="G1110" s="16">
        <f>IF(D1110=0,0,SUMIF(매도완료!$J:$J,Sheet2!$B1110,매도완료!$S:$S))</f>
        <v>0</v>
      </c>
      <c r="H1110" s="16">
        <f t="shared" si="35"/>
        <v>641885.62800000142</v>
      </c>
    </row>
    <row r="1111" spans="2:8" hidden="1" x14ac:dyDescent="0.4">
      <c r="B1111" s="1">
        <v>43660</v>
      </c>
      <c r="C1111" s="16">
        <f>SUMIF(매도완료!$G:$G,Sheet2!$B1111,매도완료!$P:$P)</f>
        <v>0</v>
      </c>
      <c r="D1111" s="16">
        <f>SUMIF(매도완료!$J:$J,Sheet2!$B1111,매도완료!$P:$P)</f>
        <v>0</v>
      </c>
      <c r="E1111" s="16">
        <f t="shared" si="34"/>
        <v>80086538.5</v>
      </c>
      <c r="G1111" s="16">
        <f>IF(D1111=0,0,SUMIF(매도완료!$J:$J,Sheet2!$B1111,매도완료!$S:$S))</f>
        <v>0</v>
      </c>
      <c r="H1111" s="16">
        <f t="shared" si="35"/>
        <v>641885.62800000142</v>
      </c>
    </row>
    <row r="1112" spans="2:8" hidden="1" x14ac:dyDescent="0.4">
      <c r="B1112" s="1">
        <v>43661</v>
      </c>
      <c r="C1112" s="16">
        <f>SUMIF(매도완료!$G:$G,Sheet2!$B1112,매도완료!$P:$P)</f>
        <v>0</v>
      </c>
      <c r="D1112" s="16">
        <f>SUMIF(매도완료!$J:$J,Sheet2!$B1112,매도완료!$P:$P)</f>
        <v>0</v>
      </c>
      <c r="E1112" s="16">
        <f t="shared" si="34"/>
        <v>80086538.5</v>
      </c>
      <c r="G1112" s="16">
        <f>IF(D1112=0,0,SUMIF(매도완료!$J:$J,Sheet2!$B1112,매도완료!$S:$S))</f>
        <v>0</v>
      </c>
      <c r="H1112" s="16">
        <f t="shared" si="35"/>
        <v>641885.62800000142</v>
      </c>
    </row>
    <row r="1113" spans="2:8" hidden="1" x14ac:dyDescent="0.4">
      <c r="B1113" s="1">
        <v>43662</v>
      </c>
      <c r="C1113" s="16">
        <f>SUMIF(매도완료!$G:$G,Sheet2!$B1113,매도완료!$P:$P)</f>
        <v>0</v>
      </c>
      <c r="D1113" s="16">
        <f>SUMIF(매도완료!$J:$J,Sheet2!$B1113,매도완료!$P:$P)</f>
        <v>0</v>
      </c>
      <c r="E1113" s="16">
        <f t="shared" si="34"/>
        <v>80086538.5</v>
      </c>
      <c r="G1113" s="16">
        <f>IF(D1113=0,0,SUMIF(매도완료!$J:$J,Sheet2!$B1113,매도완료!$S:$S))</f>
        <v>0</v>
      </c>
      <c r="H1113" s="16">
        <f t="shared" si="35"/>
        <v>641885.62800000142</v>
      </c>
    </row>
    <row r="1114" spans="2:8" hidden="1" x14ac:dyDescent="0.4">
      <c r="B1114" s="1">
        <v>43663</v>
      </c>
      <c r="C1114" s="16">
        <f>SUMIF(매도완료!$G:$G,Sheet2!$B1114,매도완료!$P:$P)</f>
        <v>2700000</v>
      </c>
      <c r="D1114" s="16">
        <f>SUMIF(매도완료!$J:$J,Sheet2!$B1114,매도완료!$P:$P)</f>
        <v>8955000</v>
      </c>
      <c r="E1114" s="16">
        <f t="shared" si="34"/>
        <v>73831538.5</v>
      </c>
      <c r="G1114" s="16">
        <f>IF(D1114=0,0,SUMIF(매도완료!$J:$J,Sheet2!$B1114,매도완료!$S:$S))</f>
        <v>473650</v>
      </c>
      <c r="H1114" s="16">
        <f t="shared" si="35"/>
        <v>1115535.6280000014</v>
      </c>
    </row>
    <row r="1115" spans="2:8" hidden="1" x14ac:dyDescent="0.4">
      <c r="B1115" s="1">
        <v>43664</v>
      </c>
      <c r="C1115" s="16">
        <f>SUMIF(매도완료!$G:$G,Sheet2!$B1115,매도완료!$P:$P)</f>
        <v>0</v>
      </c>
      <c r="D1115" s="16">
        <f>SUMIF(매도완료!$J:$J,Sheet2!$B1115,매도완료!$P:$P)</f>
        <v>1461000</v>
      </c>
      <c r="E1115" s="16">
        <f t="shared" si="34"/>
        <v>72370538.5</v>
      </c>
      <c r="G1115" s="16">
        <f>IF(D1115=0,0,SUMIF(매도완료!$J:$J,Sheet2!$B1115,매도완료!$S:$S))</f>
        <v>-438302</v>
      </c>
      <c r="H1115" s="16">
        <f t="shared" si="35"/>
        <v>677233.62800000142</v>
      </c>
    </row>
    <row r="1116" spans="2:8" hidden="1" x14ac:dyDescent="0.4">
      <c r="B1116" s="1">
        <v>43665</v>
      </c>
      <c r="C1116" s="16">
        <f>SUMIF(매도완료!$G:$G,Sheet2!$B1116,매도완료!$P:$P)</f>
        <v>2700000</v>
      </c>
      <c r="D1116" s="16">
        <f>SUMIF(매도완료!$J:$J,Sheet2!$B1116,매도완료!$P:$P)</f>
        <v>0</v>
      </c>
      <c r="E1116" s="16">
        <f t="shared" si="34"/>
        <v>75070538.5</v>
      </c>
      <c r="G1116" s="16">
        <f>IF(D1116=0,0,SUMIF(매도완료!$J:$J,Sheet2!$B1116,매도완료!$S:$S))</f>
        <v>0</v>
      </c>
      <c r="H1116" s="16">
        <f t="shared" si="35"/>
        <v>677233.62800000142</v>
      </c>
    </row>
    <row r="1117" spans="2:8" hidden="1" x14ac:dyDescent="0.4">
      <c r="B1117" s="1">
        <v>43666</v>
      </c>
      <c r="C1117" s="16">
        <f>SUMIF(매도완료!$G:$G,Sheet2!$B1117,매도완료!$P:$P)</f>
        <v>0</v>
      </c>
      <c r="D1117" s="16">
        <f>SUMIF(매도완료!$J:$J,Sheet2!$B1117,매도완료!$P:$P)</f>
        <v>0</v>
      </c>
      <c r="E1117" s="16">
        <f t="shared" si="34"/>
        <v>75070538.5</v>
      </c>
      <c r="G1117" s="16">
        <f>IF(D1117=0,0,SUMIF(매도완료!$J:$J,Sheet2!$B1117,매도완료!$S:$S))</f>
        <v>0</v>
      </c>
      <c r="H1117" s="16">
        <f t="shared" si="35"/>
        <v>677233.62800000142</v>
      </c>
    </row>
    <row r="1118" spans="2:8" hidden="1" x14ac:dyDescent="0.4">
      <c r="B1118" s="1">
        <v>43667</v>
      </c>
      <c r="C1118" s="16">
        <f>SUMIF(매도완료!$G:$G,Sheet2!$B1118,매도완료!$P:$P)</f>
        <v>0</v>
      </c>
      <c r="D1118" s="16">
        <f>SUMIF(매도완료!$J:$J,Sheet2!$B1118,매도완료!$P:$P)</f>
        <v>0</v>
      </c>
      <c r="E1118" s="16">
        <f t="shared" si="34"/>
        <v>75070538.5</v>
      </c>
      <c r="G1118" s="16">
        <f>IF(D1118=0,0,SUMIF(매도완료!$J:$J,Sheet2!$B1118,매도완료!$S:$S))</f>
        <v>0</v>
      </c>
      <c r="H1118" s="16">
        <f t="shared" si="35"/>
        <v>677233.62800000142</v>
      </c>
    </row>
    <row r="1119" spans="2:8" hidden="1" x14ac:dyDescent="0.4">
      <c r="B1119" s="1">
        <v>43668</v>
      </c>
      <c r="C1119" s="16">
        <f>SUMIF(매도완료!$G:$G,Sheet2!$B1119,매도완료!$P:$P)</f>
        <v>9589000</v>
      </c>
      <c r="D1119" s="16">
        <f>SUMIF(매도완료!$J:$J,Sheet2!$B1119,매도완료!$P:$P)</f>
        <v>773000</v>
      </c>
      <c r="E1119" s="16">
        <f t="shared" si="34"/>
        <v>83886538.5</v>
      </c>
      <c r="G1119" s="16">
        <f>IF(D1119=0,0,SUMIF(매도완료!$J:$J,Sheet2!$B1119,매도완료!$S:$S))</f>
        <v>-82925</v>
      </c>
      <c r="H1119" s="16">
        <f t="shared" si="35"/>
        <v>594308.62800000142</v>
      </c>
    </row>
    <row r="1120" spans="2:8" hidden="1" x14ac:dyDescent="0.4">
      <c r="B1120" s="1">
        <v>43669</v>
      </c>
      <c r="C1120" s="16">
        <f>SUMIF(매도완료!$G:$G,Sheet2!$B1120,매도완료!$P:$P)</f>
        <v>3230000</v>
      </c>
      <c r="D1120" s="16">
        <f>SUMIF(매도완료!$J:$J,Sheet2!$B1120,매도완료!$P:$P)</f>
        <v>14245000</v>
      </c>
      <c r="E1120" s="16">
        <f t="shared" si="34"/>
        <v>72871538.5</v>
      </c>
      <c r="G1120" s="16">
        <f>IF(D1120=0,0,SUMIF(매도완료!$J:$J,Sheet2!$B1120,매도완료!$S:$S))</f>
        <v>2915663</v>
      </c>
      <c r="H1120" s="16">
        <f t="shared" si="35"/>
        <v>3509971.6280000014</v>
      </c>
    </row>
    <row r="1121" spans="2:8" hidden="1" x14ac:dyDescent="0.4">
      <c r="B1121" s="1">
        <v>43670</v>
      </c>
      <c r="C1121" s="16">
        <f>SUMIF(매도완료!$G:$G,Sheet2!$B1121,매도완료!$P:$P)</f>
        <v>0</v>
      </c>
      <c r="D1121" s="16">
        <f>SUMIF(매도완료!$J:$J,Sheet2!$B1121,매도완료!$P:$P)</f>
        <v>0</v>
      </c>
      <c r="E1121" s="16">
        <f t="shared" si="34"/>
        <v>72871538.5</v>
      </c>
      <c r="G1121" s="16">
        <f>IF(D1121=0,0,SUMIF(매도완료!$J:$J,Sheet2!$B1121,매도완료!$S:$S))</f>
        <v>0</v>
      </c>
      <c r="H1121" s="16">
        <f t="shared" si="35"/>
        <v>3509971.6280000014</v>
      </c>
    </row>
    <row r="1122" spans="2:8" hidden="1" x14ac:dyDescent="0.4">
      <c r="B1122" s="1">
        <v>43671</v>
      </c>
      <c r="C1122" s="16">
        <f>SUMIF(매도완료!$G:$G,Sheet2!$B1122,매도완료!$P:$P)</f>
        <v>6900000</v>
      </c>
      <c r="D1122" s="16">
        <f>SUMIF(매도완료!$J:$J,Sheet2!$B1122,매도완료!$P:$P)</f>
        <v>1425000</v>
      </c>
      <c r="E1122" s="16">
        <f t="shared" si="34"/>
        <v>78346538.5</v>
      </c>
      <c r="G1122" s="16">
        <f>IF(D1122=0,0,SUMIF(매도완료!$J:$J,Sheet2!$B1122,매도완료!$S:$S))</f>
        <v>126630</v>
      </c>
      <c r="H1122" s="16">
        <f t="shared" si="35"/>
        <v>3636601.6280000014</v>
      </c>
    </row>
    <row r="1123" spans="2:8" hidden="1" x14ac:dyDescent="0.4">
      <c r="B1123" s="1">
        <v>43672</v>
      </c>
      <c r="C1123" s="16">
        <f>SUMIF(매도완료!$G:$G,Sheet2!$B1123,매도완료!$P:$P)</f>
        <v>0</v>
      </c>
      <c r="D1123" s="16">
        <f>SUMIF(매도완료!$J:$J,Sheet2!$B1123,매도완료!$P:$P)</f>
        <v>0</v>
      </c>
      <c r="E1123" s="16">
        <f t="shared" si="34"/>
        <v>78346538.5</v>
      </c>
      <c r="G1123" s="16">
        <f>IF(D1123=0,0,SUMIF(매도완료!$J:$J,Sheet2!$B1123,매도완료!$S:$S))</f>
        <v>0</v>
      </c>
      <c r="H1123" s="16">
        <f t="shared" si="35"/>
        <v>3636601.6280000014</v>
      </c>
    </row>
    <row r="1124" spans="2:8" hidden="1" x14ac:dyDescent="0.4">
      <c r="B1124" s="1">
        <v>43673</v>
      </c>
      <c r="C1124" s="16">
        <f>SUMIF(매도완료!$G:$G,Sheet2!$B1124,매도완료!$P:$P)</f>
        <v>0</v>
      </c>
      <c r="D1124" s="16">
        <f>SUMIF(매도완료!$J:$J,Sheet2!$B1124,매도완료!$P:$P)</f>
        <v>0</v>
      </c>
      <c r="E1124" s="16">
        <f t="shared" si="34"/>
        <v>78346538.5</v>
      </c>
      <c r="G1124" s="16">
        <f>IF(D1124=0,0,SUMIF(매도완료!$J:$J,Sheet2!$B1124,매도완료!$S:$S))</f>
        <v>0</v>
      </c>
      <c r="H1124" s="16">
        <f t="shared" si="35"/>
        <v>3636601.6280000014</v>
      </c>
    </row>
    <row r="1125" spans="2:8" hidden="1" x14ac:dyDescent="0.4">
      <c r="B1125" s="1">
        <v>43674</v>
      </c>
      <c r="C1125" s="16">
        <f>SUMIF(매도완료!$G:$G,Sheet2!$B1125,매도완료!$P:$P)</f>
        <v>0</v>
      </c>
      <c r="D1125" s="16">
        <f>SUMIF(매도완료!$J:$J,Sheet2!$B1125,매도완료!$P:$P)</f>
        <v>0</v>
      </c>
      <c r="E1125" s="16">
        <f t="shared" si="34"/>
        <v>78346538.5</v>
      </c>
      <c r="G1125" s="16">
        <f>IF(D1125=0,0,SUMIF(매도완료!$J:$J,Sheet2!$B1125,매도완료!$S:$S))</f>
        <v>0</v>
      </c>
      <c r="H1125" s="16">
        <f t="shared" si="35"/>
        <v>3636601.6280000014</v>
      </c>
    </row>
    <row r="1126" spans="2:8" hidden="1" x14ac:dyDescent="0.4">
      <c r="B1126" s="1">
        <v>43675</v>
      </c>
      <c r="C1126" s="16">
        <f>SUMIF(매도완료!$G:$G,Sheet2!$B1126,매도완료!$P:$P)</f>
        <v>0</v>
      </c>
      <c r="D1126" s="16">
        <f>SUMIF(매도완료!$J:$J,Sheet2!$B1126,매도완료!$P:$P)</f>
        <v>0</v>
      </c>
      <c r="E1126" s="16">
        <f t="shared" si="34"/>
        <v>78346538.5</v>
      </c>
      <c r="G1126" s="16">
        <f>IF(D1126=0,0,SUMIF(매도완료!$J:$J,Sheet2!$B1126,매도완료!$S:$S))</f>
        <v>0</v>
      </c>
      <c r="H1126" s="16">
        <f t="shared" si="35"/>
        <v>3636601.6280000014</v>
      </c>
    </row>
    <row r="1127" spans="2:8" hidden="1" x14ac:dyDescent="0.4">
      <c r="B1127" s="1">
        <v>43676</v>
      </c>
      <c r="C1127" s="16">
        <f>SUMIF(매도완료!$G:$G,Sheet2!$B1127,매도완료!$P:$P)</f>
        <v>0</v>
      </c>
      <c r="D1127" s="16">
        <f>SUMIF(매도완료!$J:$J,Sheet2!$B1127,매도완료!$P:$P)</f>
        <v>0</v>
      </c>
      <c r="E1127" s="16">
        <f t="shared" si="34"/>
        <v>78346538.5</v>
      </c>
      <c r="G1127" s="16">
        <f>IF(D1127=0,0,SUMIF(매도완료!$J:$J,Sheet2!$B1127,매도완료!$S:$S))</f>
        <v>0</v>
      </c>
      <c r="H1127" s="16">
        <f t="shared" si="35"/>
        <v>3636601.6280000014</v>
      </c>
    </row>
    <row r="1128" spans="2:8" hidden="1" x14ac:dyDescent="0.4">
      <c r="B1128" s="1">
        <v>43677</v>
      </c>
      <c r="C1128" s="16">
        <f>SUMIF(매도완료!$G:$G,Sheet2!$B1128,매도완료!$P:$P)</f>
        <v>0</v>
      </c>
      <c r="D1128" s="16">
        <f>SUMIF(매도완료!$J:$J,Sheet2!$B1128,매도완료!$P:$P)</f>
        <v>1132500</v>
      </c>
      <c r="E1128" s="16">
        <f t="shared" si="34"/>
        <v>77214038.5</v>
      </c>
      <c r="G1128" s="16">
        <f>IF(D1128=0,0,SUMIF(매도완료!$J:$J,Sheet2!$B1128,매도완료!$S:$S))</f>
        <v>38607</v>
      </c>
      <c r="H1128" s="16">
        <f t="shared" si="35"/>
        <v>3675208.6280000014</v>
      </c>
    </row>
    <row r="1129" spans="2:8" hidden="1" x14ac:dyDescent="0.4">
      <c r="B1129" s="1">
        <v>43678</v>
      </c>
      <c r="C1129" s="16">
        <f>SUMIF(매도완료!$G:$G,Sheet2!$B1129,매도완료!$P:$P)</f>
        <v>0</v>
      </c>
      <c r="D1129" s="16">
        <f>SUMIF(매도완료!$J:$J,Sheet2!$B1129,매도완료!$P:$P)</f>
        <v>0</v>
      </c>
      <c r="E1129" s="16">
        <f t="shared" si="34"/>
        <v>77214038.5</v>
      </c>
      <c r="G1129" s="16">
        <f>IF(D1129=0,0,SUMIF(매도완료!$J:$J,Sheet2!$B1129,매도완료!$S:$S))</f>
        <v>0</v>
      </c>
      <c r="H1129" s="16">
        <f t="shared" si="35"/>
        <v>3675208.6280000014</v>
      </c>
    </row>
    <row r="1130" spans="2:8" hidden="1" x14ac:dyDescent="0.4">
      <c r="B1130" s="1">
        <v>43679</v>
      </c>
      <c r="C1130" s="16">
        <f>SUMIF(매도완료!$G:$G,Sheet2!$B1130,매도완료!$P:$P)</f>
        <v>0</v>
      </c>
      <c r="D1130" s="16">
        <f>SUMIF(매도완료!$J:$J,Sheet2!$B1130,매도완료!$P:$P)</f>
        <v>0</v>
      </c>
      <c r="E1130" s="16">
        <f t="shared" si="34"/>
        <v>77214038.5</v>
      </c>
      <c r="G1130" s="16">
        <f>IF(D1130=0,0,SUMIF(매도완료!$J:$J,Sheet2!$B1130,매도완료!$S:$S))</f>
        <v>0</v>
      </c>
      <c r="H1130" s="16">
        <f t="shared" si="35"/>
        <v>3675208.6280000014</v>
      </c>
    </row>
    <row r="1131" spans="2:8" hidden="1" x14ac:dyDescent="0.4">
      <c r="B1131" s="1">
        <v>43680</v>
      </c>
      <c r="C1131" s="16">
        <f>SUMIF(매도완료!$G:$G,Sheet2!$B1131,매도완료!$P:$P)</f>
        <v>0</v>
      </c>
      <c r="D1131" s="16">
        <f>SUMIF(매도완료!$J:$J,Sheet2!$B1131,매도완료!$P:$P)</f>
        <v>0</v>
      </c>
      <c r="E1131" s="16">
        <f t="shared" si="34"/>
        <v>77214038.5</v>
      </c>
      <c r="G1131" s="16">
        <f>IF(D1131=0,0,SUMIF(매도완료!$J:$J,Sheet2!$B1131,매도완료!$S:$S))</f>
        <v>0</v>
      </c>
      <c r="H1131" s="16">
        <f t="shared" si="35"/>
        <v>3675208.6280000014</v>
      </c>
    </row>
    <row r="1132" spans="2:8" hidden="1" x14ac:dyDescent="0.4">
      <c r="B1132" s="1">
        <v>43681</v>
      </c>
      <c r="C1132" s="16">
        <f>SUMIF(매도완료!$G:$G,Sheet2!$B1132,매도완료!$P:$P)</f>
        <v>0</v>
      </c>
      <c r="D1132" s="16">
        <f>SUMIF(매도완료!$J:$J,Sheet2!$B1132,매도완료!$P:$P)</f>
        <v>0</v>
      </c>
      <c r="E1132" s="16">
        <f t="shared" si="34"/>
        <v>77214038.5</v>
      </c>
      <c r="G1132" s="16">
        <f>IF(D1132=0,0,SUMIF(매도완료!$J:$J,Sheet2!$B1132,매도완료!$S:$S))</f>
        <v>0</v>
      </c>
      <c r="H1132" s="16">
        <f t="shared" si="35"/>
        <v>3675208.6280000014</v>
      </c>
    </row>
    <row r="1133" spans="2:8" hidden="1" x14ac:dyDescent="0.4">
      <c r="B1133" s="1">
        <v>43682</v>
      </c>
      <c r="C1133" s="16">
        <f>SUMIF(매도완료!$G:$G,Sheet2!$B1133,매도완료!$P:$P)</f>
        <v>2520000</v>
      </c>
      <c r="D1133" s="16">
        <f>SUMIF(매도완료!$J:$J,Sheet2!$B1133,매도완료!$P:$P)</f>
        <v>0</v>
      </c>
      <c r="E1133" s="16">
        <f t="shared" si="34"/>
        <v>79734038.5</v>
      </c>
      <c r="G1133" s="16">
        <f>IF(D1133=0,0,SUMIF(매도완료!$J:$J,Sheet2!$B1133,매도완료!$S:$S))</f>
        <v>0</v>
      </c>
      <c r="H1133" s="16">
        <f t="shared" si="35"/>
        <v>3675208.6280000014</v>
      </c>
    </row>
    <row r="1134" spans="2:8" hidden="1" x14ac:dyDescent="0.4">
      <c r="B1134" s="1">
        <v>43683</v>
      </c>
      <c r="C1134" s="16">
        <f>SUMIF(매도완료!$G:$G,Sheet2!$B1134,매도완료!$P:$P)</f>
        <v>5820000</v>
      </c>
      <c r="D1134" s="16">
        <f>SUMIF(매도완료!$J:$J,Sheet2!$B1134,매도완료!$P:$P)</f>
        <v>0</v>
      </c>
      <c r="E1134" s="16">
        <f t="shared" si="34"/>
        <v>85554038.5</v>
      </c>
      <c r="G1134" s="16">
        <f>IF(D1134=0,0,SUMIF(매도완료!$J:$J,Sheet2!$B1134,매도완료!$S:$S))</f>
        <v>0</v>
      </c>
      <c r="H1134" s="16">
        <f t="shared" si="35"/>
        <v>3675208.6280000014</v>
      </c>
    </row>
    <row r="1135" spans="2:8" hidden="1" x14ac:dyDescent="0.4">
      <c r="B1135" s="1">
        <v>43684</v>
      </c>
      <c r="C1135" s="16">
        <f>SUMIF(매도완료!$G:$G,Sheet2!$B1135,매도완료!$P:$P)</f>
        <v>0</v>
      </c>
      <c r="D1135" s="16">
        <f>SUMIF(매도완료!$J:$J,Sheet2!$B1135,매도완료!$P:$P)</f>
        <v>0</v>
      </c>
      <c r="E1135" s="16">
        <f t="shared" si="34"/>
        <v>85554038.5</v>
      </c>
      <c r="G1135" s="16">
        <f>IF(D1135=0,0,SUMIF(매도완료!$J:$J,Sheet2!$B1135,매도완료!$S:$S))</f>
        <v>0</v>
      </c>
      <c r="H1135" s="16">
        <f t="shared" si="35"/>
        <v>3675208.6280000014</v>
      </c>
    </row>
    <row r="1136" spans="2:8" hidden="1" x14ac:dyDescent="0.4">
      <c r="B1136" s="1">
        <v>43685</v>
      </c>
      <c r="C1136" s="16">
        <f>SUMIF(매도완료!$G:$G,Sheet2!$B1136,매도완료!$P:$P)</f>
        <v>0</v>
      </c>
      <c r="D1136" s="16">
        <f>SUMIF(매도완료!$J:$J,Sheet2!$B1136,매도완료!$P:$P)</f>
        <v>0</v>
      </c>
      <c r="E1136" s="16">
        <f t="shared" si="34"/>
        <v>85554038.5</v>
      </c>
      <c r="G1136" s="16">
        <f>IF(D1136=0,0,SUMIF(매도완료!$J:$J,Sheet2!$B1136,매도완료!$S:$S))</f>
        <v>0</v>
      </c>
      <c r="H1136" s="16">
        <f t="shared" si="35"/>
        <v>3675208.6280000014</v>
      </c>
    </row>
    <row r="1137" spans="2:8" hidden="1" x14ac:dyDescent="0.4">
      <c r="B1137" s="1">
        <v>43686</v>
      </c>
      <c r="C1137" s="16">
        <f>SUMIF(매도완료!$G:$G,Sheet2!$B1137,매도완료!$P:$P)</f>
        <v>0</v>
      </c>
      <c r="D1137" s="16">
        <f>SUMIF(매도완료!$J:$J,Sheet2!$B1137,매도완료!$P:$P)</f>
        <v>0</v>
      </c>
      <c r="E1137" s="16">
        <f t="shared" si="34"/>
        <v>85554038.5</v>
      </c>
      <c r="G1137" s="16">
        <f>IF(D1137=0,0,SUMIF(매도완료!$J:$J,Sheet2!$B1137,매도완료!$S:$S))</f>
        <v>0</v>
      </c>
      <c r="H1137" s="16">
        <f t="shared" si="35"/>
        <v>3675208.6280000014</v>
      </c>
    </row>
    <row r="1138" spans="2:8" hidden="1" x14ac:dyDescent="0.4">
      <c r="B1138" s="1">
        <v>43687</v>
      </c>
      <c r="C1138" s="16">
        <f>SUMIF(매도완료!$G:$G,Sheet2!$B1138,매도완료!$P:$P)</f>
        <v>0</v>
      </c>
      <c r="D1138" s="16">
        <f>SUMIF(매도완료!$J:$J,Sheet2!$B1138,매도완료!$P:$P)</f>
        <v>0</v>
      </c>
      <c r="E1138" s="16">
        <f t="shared" si="34"/>
        <v>85554038.5</v>
      </c>
      <c r="G1138" s="16">
        <f>IF(D1138=0,0,SUMIF(매도완료!$J:$J,Sheet2!$B1138,매도완료!$S:$S))</f>
        <v>0</v>
      </c>
      <c r="H1138" s="16">
        <f t="shared" si="35"/>
        <v>3675208.6280000014</v>
      </c>
    </row>
    <row r="1139" spans="2:8" hidden="1" x14ac:dyDescent="0.4">
      <c r="B1139" s="1">
        <v>43688</v>
      </c>
      <c r="C1139" s="16">
        <f>SUMIF(매도완료!$G:$G,Sheet2!$B1139,매도완료!$P:$P)</f>
        <v>0</v>
      </c>
      <c r="D1139" s="16">
        <f>SUMIF(매도완료!$J:$J,Sheet2!$B1139,매도완료!$P:$P)</f>
        <v>0</v>
      </c>
      <c r="E1139" s="16">
        <f t="shared" si="34"/>
        <v>85554038.5</v>
      </c>
      <c r="G1139" s="16">
        <f>IF(D1139=0,0,SUMIF(매도완료!$J:$J,Sheet2!$B1139,매도완료!$S:$S))</f>
        <v>0</v>
      </c>
      <c r="H1139" s="16">
        <f t="shared" si="35"/>
        <v>3675208.6280000014</v>
      </c>
    </row>
    <row r="1140" spans="2:8" hidden="1" x14ac:dyDescent="0.4">
      <c r="B1140" s="1">
        <v>43689</v>
      </c>
      <c r="C1140" s="16">
        <f>SUMIF(매도완료!$G:$G,Sheet2!$B1140,매도완료!$P:$P)</f>
        <v>0</v>
      </c>
      <c r="D1140" s="16">
        <f>SUMIF(매도완료!$J:$J,Sheet2!$B1140,매도완료!$P:$P)</f>
        <v>0</v>
      </c>
      <c r="E1140" s="16">
        <f t="shared" si="34"/>
        <v>85554038.5</v>
      </c>
      <c r="G1140" s="16">
        <f>IF(D1140=0,0,SUMIF(매도완료!$J:$J,Sheet2!$B1140,매도완료!$S:$S))</f>
        <v>0</v>
      </c>
      <c r="H1140" s="16">
        <f t="shared" si="35"/>
        <v>3675208.6280000014</v>
      </c>
    </row>
    <row r="1141" spans="2:8" hidden="1" x14ac:dyDescent="0.4">
      <c r="B1141" s="1">
        <v>43690</v>
      </c>
      <c r="C1141" s="16">
        <f>SUMIF(매도완료!$G:$G,Sheet2!$B1141,매도완료!$P:$P)</f>
        <v>0</v>
      </c>
      <c r="D1141" s="16">
        <f>SUMIF(매도완료!$J:$J,Sheet2!$B1141,매도완료!$P:$P)</f>
        <v>2700000</v>
      </c>
      <c r="E1141" s="16">
        <f t="shared" si="34"/>
        <v>82854038.5</v>
      </c>
      <c r="G1141" s="16">
        <f>IF(D1141=0,0,SUMIF(매도완료!$J:$J,Sheet2!$B1141,매도완료!$S:$S))</f>
        <v>463230</v>
      </c>
      <c r="H1141" s="16">
        <f t="shared" si="35"/>
        <v>4138438.6280000014</v>
      </c>
    </row>
    <row r="1142" spans="2:8" hidden="1" x14ac:dyDescent="0.4">
      <c r="B1142" s="1">
        <v>43691</v>
      </c>
      <c r="C1142" s="16">
        <f>SUMIF(매도완료!$G:$G,Sheet2!$B1142,매도완료!$P:$P)</f>
        <v>0</v>
      </c>
      <c r="D1142" s="16">
        <f>SUMIF(매도완료!$J:$J,Sheet2!$B1142,매도완료!$P:$P)</f>
        <v>0</v>
      </c>
      <c r="E1142" s="16">
        <f t="shared" si="34"/>
        <v>82854038.5</v>
      </c>
      <c r="G1142" s="16">
        <f>IF(D1142=0,0,SUMIF(매도완료!$J:$J,Sheet2!$B1142,매도완료!$S:$S))</f>
        <v>0</v>
      </c>
      <c r="H1142" s="16">
        <f t="shared" si="35"/>
        <v>4138438.6280000014</v>
      </c>
    </row>
    <row r="1143" spans="2:8" hidden="1" x14ac:dyDescent="0.4">
      <c r="B1143" s="1">
        <v>43692</v>
      </c>
      <c r="C1143" s="16">
        <f>SUMIF(매도완료!$G:$G,Sheet2!$B1143,매도완료!$P:$P)</f>
        <v>0</v>
      </c>
      <c r="D1143" s="16">
        <f>SUMIF(매도완료!$J:$J,Sheet2!$B1143,매도완료!$P:$P)</f>
        <v>0</v>
      </c>
      <c r="E1143" s="16">
        <f t="shared" si="34"/>
        <v>82854038.5</v>
      </c>
      <c r="G1143" s="16">
        <f>IF(D1143=0,0,SUMIF(매도완료!$J:$J,Sheet2!$B1143,매도완료!$S:$S))</f>
        <v>0</v>
      </c>
      <c r="H1143" s="16">
        <f t="shared" si="35"/>
        <v>4138438.6280000014</v>
      </c>
    </row>
    <row r="1144" spans="2:8" hidden="1" x14ac:dyDescent="0.4">
      <c r="B1144" s="1">
        <v>43693</v>
      </c>
      <c r="C1144" s="16">
        <f>SUMIF(매도완료!$G:$G,Sheet2!$B1144,매도완료!$P:$P)</f>
        <v>3078000</v>
      </c>
      <c r="D1144" s="16">
        <f>SUMIF(매도완료!$J:$J,Sheet2!$B1144,매도완료!$P:$P)</f>
        <v>9318000</v>
      </c>
      <c r="E1144" s="16">
        <f t="shared" si="34"/>
        <v>76614038.5</v>
      </c>
      <c r="G1144" s="16">
        <f>IF(D1144=0,0,SUMIF(매도완료!$J:$J,Sheet2!$B1144,매도완료!$S:$S))</f>
        <v>924855</v>
      </c>
      <c r="H1144" s="16">
        <f t="shared" si="35"/>
        <v>5063293.6280000014</v>
      </c>
    </row>
    <row r="1145" spans="2:8" hidden="1" x14ac:dyDescent="0.4">
      <c r="B1145" s="1">
        <v>43694</v>
      </c>
      <c r="C1145" s="16">
        <f>SUMIF(매도완료!$G:$G,Sheet2!$B1145,매도완료!$P:$P)</f>
        <v>0</v>
      </c>
      <c r="D1145" s="16">
        <f>SUMIF(매도완료!$J:$J,Sheet2!$B1145,매도완료!$P:$P)</f>
        <v>0</v>
      </c>
      <c r="E1145" s="16">
        <f t="shared" si="34"/>
        <v>76614038.5</v>
      </c>
      <c r="G1145" s="16">
        <f>IF(D1145=0,0,SUMIF(매도완료!$J:$J,Sheet2!$B1145,매도완료!$S:$S))</f>
        <v>0</v>
      </c>
      <c r="H1145" s="16">
        <f t="shared" si="35"/>
        <v>5063293.6280000014</v>
      </c>
    </row>
    <row r="1146" spans="2:8" hidden="1" x14ac:dyDescent="0.4">
      <c r="B1146" s="1">
        <v>43695</v>
      </c>
      <c r="C1146" s="16">
        <f>SUMIF(매도완료!$G:$G,Sheet2!$B1146,매도완료!$P:$P)</f>
        <v>0</v>
      </c>
      <c r="D1146" s="16">
        <f>SUMIF(매도완료!$J:$J,Sheet2!$B1146,매도완료!$P:$P)</f>
        <v>0</v>
      </c>
      <c r="E1146" s="16">
        <f t="shared" si="34"/>
        <v>76614038.5</v>
      </c>
      <c r="G1146" s="16">
        <f>IF(D1146=0,0,SUMIF(매도완료!$J:$J,Sheet2!$B1146,매도완료!$S:$S))</f>
        <v>0</v>
      </c>
      <c r="H1146" s="16">
        <f t="shared" si="35"/>
        <v>5063293.6280000014</v>
      </c>
    </row>
    <row r="1147" spans="2:8" hidden="1" x14ac:dyDescent="0.4">
      <c r="B1147" s="1">
        <v>43696</v>
      </c>
      <c r="C1147" s="16">
        <f>SUMIF(매도완료!$G:$G,Sheet2!$B1147,매도완료!$P:$P)</f>
        <v>0</v>
      </c>
      <c r="D1147" s="16">
        <f>SUMIF(매도완료!$J:$J,Sheet2!$B1147,매도완료!$P:$P)</f>
        <v>1132582.5</v>
      </c>
      <c r="E1147" s="16">
        <f t="shared" si="34"/>
        <v>75481456</v>
      </c>
      <c r="G1147" s="16">
        <f>IF(D1147=0,0,SUMIF(매도완료!$J:$J,Sheet2!$B1147,매도완료!$S:$S))</f>
        <v>69928.649999999994</v>
      </c>
      <c r="H1147" s="16">
        <f t="shared" si="35"/>
        <v>5133222.2780000018</v>
      </c>
    </row>
    <row r="1148" spans="2:8" hidden="1" x14ac:dyDescent="0.4">
      <c r="B1148" s="1">
        <v>43697</v>
      </c>
      <c r="C1148" s="16">
        <f>SUMIF(매도완료!$G:$G,Sheet2!$B1148,매도완료!$P:$P)</f>
        <v>2170000</v>
      </c>
      <c r="D1148" s="16">
        <f>SUMIF(매도완료!$J:$J,Sheet2!$B1148,매도완료!$P:$P)</f>
        <v>0</v>
      </c>
      <c r="E1148" s="16">
        <f t="shared" si="34"/>
        <v>77651456</v>
      </c>
      <c r="G1148" s="16">
        <f>IF(D1148=0,0,SUMIF(매도완료!$J:$J,Sheet2!$B1148,매도완료!$S:$S))</f>
        <v>0</v>
      </c>
      <c r="H1148" s="16">
        <f t="shared" si="35"/>
        <v>5133222.2780000018</v>
      </c>
    </row>
    <row r="1149" spans="2:8" hidden="1" x14ac:dyDescent="0.4">
      <c r="B1149" s="1">
        <v>43698</v>
      </c>
      <c r="C1149" s="16">
        <f>SUMIF(매도완료!$G:$G,Sheet2!$B1149,매도완료!$P:$P)</f>
        <v>0</v>
      </c>
      <c r="D1149" s="16">
        <f>SUMIF(매도완료!$J:$J,Sheet2!$B1149,매도완료!$P:$P)</f>
        <v>0</v>
      </c>
      <c r="E1149" s="16">
        <f t="shared" si="34"/>
        <v>77651456</v>
      </c>
      <c r="G1149" s="16">
        <f>IF(D1149=0,0,SUMIF(매도완료!$J:$J,Sheet2!$B1149,매도완료!$S:$S))</f>
        <v>0</v>
      </c>
      <c r="H1149" s="16">
        <f t="shared" si="35"/>
        <v>5133222.2780000018</v>
      </c>
    </row>
    <row r="1150" spans="2:8" hidden="1" x14ac:dyDescent="0.4">
      <c r="B1150" s="1">
        <v>43699</v>
      </c>
      <c r="C1150" s="16">
        <f>SUMIF(매도완료!$G:$G,Sheet2!$B1150,매도완료!$P:$P)</f>
        <v>0</v>
      </c>
      <c r="D1150" s="16">
        <f>SUMIF(매도완료!$J:$J,Sheet2!$B1150,매도완료!$P:$P)</f>
        <v>0</v>
      </c>
      <c r="E1150" s="16">
        <f t="shared" si="34"/>
        <v>77651456</v>
      </c>
      <c r="G1150" s="16">
        <f>IF(D1150=0,0,SUMIF(매도완료!$J:$J,Sheet2!$B1150,매도완료!$S:$S))</f>
        <v>0</v>
      </c>
      <c r="H1150" s="16">
        <f t="shared" si="35"/>
        <v>5133222.2780000018</v>
      </c>
    </row>
    <row r="1151" spans="2:8" hidden="1" x14ac:dyDescent="0.4">
      <c r="B1151" s="1">
        <v>43700</v>
      </c>
      <c r="C1151" s="16">
        <f>SUMIF(매도완료!$G:$G,Sheet2!$B1151,매도완료!$P:$P)</f>
        <v>0</v>
      </c>
      <c r="D1151" s="16">
        <f>SUMIF(매도완료!$J:$J,Sheet2!$B1151,매도완료!$P:$P)</f>
        <v>0</v>
      </c>
      <c r="E1151" s="16">
        <f t="shared" si="34"/>
        <v>77651456</v>
      </c>
      <c r="G1151" s="16">
        <f>IF(D1151=0,0,SUMIF(매도완료!$J:$J,Sheet2!$B1151,매도완료!$S:$S))</f>
        <v>0</v>
      </c>
      <c r="H1151" s="16">
        <f t="shared" si="35"/>
        <v>5133222.2780000018</v>
      </c>
    </row>
    <row r="1152" spans="2:8" hidden="1" x14ac:dyDescent="0.4">
      <c r="B1152" s="1">
        <v>43701</v>
      </c>
      <c r="C1152" s="16">
        <f>SUMIF(매도완료!$G:$G,Sheet2!$B1152,매도완료!$P:$P)</f>
        <v>0</v>
      </c>
      <c r="D1152" s="16">
        <f>SUMIF(매도완료!$J:$J,Sheet2!$B1152,매도완료!$P:$P)</f>
        <v>0</v>
      </c>
      <c r="E1152" s="16">
        <f t="shared" si="34"/>
        <v>77651456</v>
      </c>
      <c r="G1152" s="16">
        <f>IF(D1152=0,0,SUMIF(매도완료!$J:$J,Sheet2!$B1152,매도완료!$S:$S))</f>
        <v>0</v>
      </c>
      <c r="H1152" s="16">
        <f t="shared" si="35"/>
        <v>5133222.2780000018</v>
      </c>
    </row>
    <row r="1153" spans="2:8" hidden="1" x14ac:dyDescent="0.4">
      <c r="B1153" s="1">
        <v>43702</v>
      </c>
      <c r="C1153" s="16">
        <f>SUMIF(매도완료!$G:$G,Sheet2!$B1153,매도완료!$P:$P)</f>
        <v>0</v>
      </c>
      <c r="D1153" s="16">
        <f>SUMIF(매도완료!$J:$J,Sheet2!$B1153,매도완료!$P:$P)</f>
        <v>0</v>
      </c>
      <c r="E1153" s="16">
        <f t="shared" si="34"/>
        <v>77651456</v>
      </c>
      <c r="G1153" s="16">
        <f>IF(D1153=0,0,SUMIF(매도완료!$J:$J,Sheet2!$B1153,매도완료!$S:$S))</f>
        <v>0</v>
      </c>
      <c r="H1153" s="16">
        <f t="shared" si="35"/>
        <v>5133222.2780000018</v>
      </c>
    </row>
    <row r="1154" spans="2:8" hidden="1" x14ac:dyDescent="0.4">
      <c r="B1154" s="1">
        <v>43703</v>
      </c>
      <c r="C1154" s="16">
        <f>SUMIF(매도완료!$G:$G,Sheet2!$B1154,매도완료!$P:$P)</f>
        <v>0</v>
      </c>
      <c r="D1154" s="16">
        <f>SUMIF(매도완료!$J:$J,Sheet2!$B1154,매도완료!$P:$P)</f>
        <v>0</v>
      </c>
      <c r="E1154" s="16">
        <f t="shared" si="34"/>
        <v>77651456</v>
      </c>
      <c r="G1154" s="16">
        <f>IF(D1154=0,0,SUMIF(매도완료!$J:$J,Sheet2!$B1154,매도완료!$S:$S))</f>
        <v>0</v>
      </c>
      <c r="H1154" s="16">
        <f t="shared" si="35"/>
        <v>5133222.2780000018</v>
      </c>
    </row>
    <row r="1155" spans="2:8" hidden="1" x14ac:dyDescent="0.4">
      <c r="B1155" s="1">
        <v>43704</v>
      </c>
      <c r="C1155" s="16">
        <f>SUMIF(매도완료!$G:$G,Sheet2!$B1155,매도완료!$P:$P)</f>
        <v>0</v>
      </c>
      <c r="D1155" s="16">
        <f>SUMIF(매도완료!$J:$J,Sheet2!$B1155,매도완료!$P:$P)</f>
        <v>0</v>
      </c>
      <c r="E1155" s="16">
        <f t="shared" si="34"/>
        <v>77651456</v>
      </c>
      <c r="G1155" s="16">
        <f>IF(D1155=0,0,SUMIF(매도완료!$J:$J,Sheet2!$B1155,매도완료!$S:$S))</f>
        <v>0</v>
      </c>
      <c r="H1155" s="16">
        <f t="shared" si="35"/>
        <v>5133222.2780000018</v>
      </c>
    </row>
    <row r="1156" spans="2:8" hidden="1" x14ac:dyDescent="0.4">
      <c r="B1156" s="1">
        <v>43705</v>
      </c>
      <c r="C1156" s="16">
        <f>SUMIF(매도완료!$G:$G,Sheet2!$B1156,매도완료!$P:$P)</f>
        <v>0</v>
      </c>
      <c r="D1156" s="16">
        <f>SUMIF(매도완료!$J:$J,Sheet2!$B1156,매도완료!$P:$P)</f>
        <v>0</v>
      </c>
      <c r="E1156" s="16">
        <f t="shared" ref="E1156:E1219" si="36">E1155+C1156-D1156</f>
        <v>77651456</v>
      </c>
      <c r="G1156" s="16">
        <f>IF(D1156=0,0,SUMIF(매도완료!$J:$J,Sheet2!$B1156,매도완료!$S:$S))</f>
        <v>0</v>
      </c>
      <c r="H1156" s="16">
        <f t="shared" ref="H1156:H1219" si="37">H1155+G1156</f>
        <v>5133222.2780000018</v>
      </c>
    </row>
    <row r="1157" spans="2:8" hidden="1" x14ac:dyDescent="0.4">
      <c r="B1157" s="1">
        <v>43706</v>
      </c>
      <c r="C1157" s="16">
        <f>SUMIF(매도완료!$G:$G,Sheet2!$B1157,매도완료!$P:$P)</f>
        <v>0</v>
      </c>
      <c r="D1157" s="16">
        <f>SUMIF(매도완료!$J:$J,Sheet2!$B1157,매도완료!$P:$P)</f>
        <v>0</v>
      </c>
      <c r="E1157" s="16">
        <f t="shared" si="36"/>
        <v>77651456</v>
      </c>
      <c r="G1157" s="16">
        <f>IF(D1157=0,0,SUMIF(매도완료!$J:$J,Sheet2!$B1157,매도완료!$S:$S))</f>
        <v>0</v>
      </c>
      <c r="H1157" s="16">
        <f t="shared" si="37"/>
        <v>5133222.2780000018</v>
      </c>
    </row>
    <row r="1158" spans="2:8" hidden="1" x14ac:dyDescent="0.4">
      <c r="B1158" s="1">
        <v>43707</v>
      </c>
      <c r="C1158" s="16">
        <f>SUMIF(매도완료!$G:$G,Sheet2!$B1158,매도완료!$P:$P)</f>
        <v>0</v>
      </c>
      <c r="D1158" s="16">
        <f>SUMIF(매도완료!$J:$J,Sheet2!$B1158,매도완료!$P:$P)</f>
        <v>0</v>
      </c>
      <c r="E1158" s="16">
        <f t="shared" si="36"/>
        <v>77651456</v>
      </c>
      <c r="G1158" s="16">
        <f>IF(D1158=0,0,SUMIF(매도완료!$J:$J,Sheet2!$B1158,매도완료!$S:$S))</f>
        <v>0</v>
      </c>
      <c r="H1158" s="16">
        <f t="shared" si="37"/>
        <v>5133222.2780000018</v>
      </c>
    </row>
    <row r="1159" spans="2:8" hidden="1" x14ac:dyDescent="0.4">
      <c r="B1159" s="1">
        <v>43708</v>
      </c>
      <c r="C1159" s="16">
        <f>SUMIF(매도완료!$G:$G,Sheet2!$B1159,매도완료!$P:$P)</f>
        <v>0</v>
      </c>
      <c r="D1159" s="16">
        <f>SUMIF(매도완료!$J:$J,Sheet2!$B1159,매도완료!$P:$P)</f>
        <v>0</v>
      </c>
      <c r="E1159" s="16">
        <f t="shared" si="36"/>
        <v>77651456</v>
      </c>
      <c r="G1159" s="16">
        <f>IF(D1159=0,0,SUMIF(매도완료!$J:$J,Sheet2!$B1159,매도완료!$S:$S))</f>
        <v>0</v>
      </c>
      <c r="H1159" s="16">
        <f t="shared" si="37"/>
        <v>5133222.2780000018</v>
      </c>
    </row>
    <row r="1160" spans="2:8" hidden="1" x14ac:dyDescent="0.4">
      <c r="B1160" s="1">
        <v>43709</v>
      </c>
      <c r="C1160" s="16">
        <f>SUMIF(매도완료!$G:$G,Sheet2!$B1160,매도완료!$P:$P)</f>
        <v>0</v>
      </c>
      <c r="D1160" s="16">
        <f>SUMIF(매도완료!$J:$J,Sheet2!$B1160,매도완료!$P:$P)</f>
        <v>0</v>
      </c>
      <c r="E1160" s="16">
        <f t="shared" si="36"/>
        <v>77651456</v>
      </c>
      <c r="G1160" s="16">
        <f>IF(D1160=0,0,SUMIF(매도완료!$J:$J,Sheet2!$B1160,매도완료!$S:$S))</f>
        <v>0</v>
      </c>
      <c r="H1160" s="16">
        <f t="shared" si="37"/>
        <v>5133222.2780000018</v>
      </c>
    </row>
    <row r="1161" spans="2:8" hidden="1" x14ac:dyDescent="0.4">
      <c r="B1161" s="1">
        <v>43710</v>
      </c>
      <c r="C1161" s="16">
        <f>SUMIF(매도완료!$G:$G,Sheet2!$B1161,매도완료!$P:$P)</f>
        <v>8430000</v>
      </c>
      <c r="D1161" s="16">
        <f>SUMIF(매도완료!$J:$J,Sheet2!$B1161,매도완료!$P:$P)</f>
        <v>0</v>
      </c>
      <c r="E1161" s="16">
        <f t="shared" si="36"/>
        <v>86081456</v>
      </c>
      <c r="G1161" s="16">
        <f>IF(D1161=0,0,SUMIF(매도완료!$J:$J,Sheet2!$B1161,매도완료!$S:$S))</f>
        <v>0</v>
      </c>
      <c r="H1161" s="16">
        <f t="shared" si="37"/>
        <v>5133222.2780000018</v>
      </c>
    </row>
    <row r="1162" spans="2:8" hidden="1" x14ac:dyDescent="0.4">
      <c r="B1162" s="1">
        <v>43711</v>
      </c>
      <c r="C1162" s="16">
        <f>SUMIF(매도완료!$G:$G,Sheet2!$B1162,매도완료!$P:$P)</f>
        <v>0</v>
      </c>
      <c r="D1162" s="16">
        <f>SUMIF(매도완료!$J:$J,Sheet2!$B1162,매도완료!$P:$P)</f>
        <v>0</v>
      </c>
      <c r="E1162" s="16">
        <f t="shared" si="36"/>
        <v>86081456</v>
      </c>
      <c r="G1162" s="16">
        <f>IF(D1162=0,0,SUMIF(매도완료!$J:$J,Sheet2!$B1162,매도완료!$S:$S))</f>
        <v>0</v>
      </c>
      <c r="H1162" s="16">
        <f t="shared" si="37"/>
        <v>5133222.2780000018</v>
      </c>
    </row>
    <row r="1163" spans="2:8" hidden="1" x14ac:dyDescent="0.4">
      <c r="B1163" s="1">
        <v>43712</v>
      </c>
      <c r="C1163" s="16">
        <f>SUMIF(매도완료!$G:$G,Sheet2!$B1163,매도완료!$P:$P)</f>
        <v>4140000</v>
      </c>
      <c r="D1163" s="16">
        <f>SUMIF(매도완료!$J:$J,Sheet2!$B1163,매도완료!$P:$P)</f>
        <v>0</v>
      </c>
      <c r="E1163" s="16">
        <f t="shared" si="36"/>
        <v>90221456</v>
      </c>
      <c r="G1163" s="16">
        <f>IF(D1163=0,0,SUMIF(매도완료!$J:$J,Sheet2!$B1163,매도완료!$S:$S))</f>
        <v>0</v>
      </c>
      <c r="H1163" s="16">
        <f t="shared" si="37"/>
        <v>5133222.2780000018</v>
      </c>
    </row>
    <row r="1164" spans="2:8" hidden="1" x14ac:dyDescent="0.4">
      <c r="B1164" s="1">
        <v>43713</v>
      </c>
      <c r="C1164" s="16">
        <f>SUMIF(매도완료!$G:$G,Sheet2!$B1164,매도완료!$P:$P)</f>
        <v>0</v>
      </c>
      <c r="D1164" s="16">
        <f>SUMIF(매도완료!$J:$J,Sheet2!$B1164,매도완료!$P:$P)</f>
        <v>0</v>
      </c>
      <c r="E1164" s="16">
        <f t="shared" si="36"/>
        <v>90221456</v>
      </c>
      <c r="G1164" s="16">
        <f>IF(D1164=0,0,SUMIF(매도완료!$J:$J,Sheet2!$B1164,매도완료!$S:$S))</f>
        <v>0</v>
      </c>
      <c r="H1164" s="16">
        <f t="shared" si="37"/>
        <v>5133222.2780000018</v>
      </c>
    </row>
    <row r="1165" spans="2:8" hidden="1" x14ac:dyDescent="0.4">
      <c r="B1165" s="1">
        <v>43714</v>
      </c>
      <c r="C1165" s="16">
        <f>SUMIF(매도완료!$G:$G,Sheet2!$B1165,매도완료!$P:$P)</f>
        <v>0</v>
      </c>
      <c r="D1165" s="16">
        <f>SUMIF(매도완료!$J:$J,Sheet2!$B1165,매도완료!$P:$P)</f>
        <v>4140000</v>
      </c>
      <c r="E1165" s="16">
        <f t="shared" si="36"/>
        <v>86081456</v>
      </c>
      <c r="G1165" s="16">
        <f>IF(D1165=0,0,SUMIF(매도완료!$J:$J,Sheet2!$B1165,매도완료!$S:$S))</f>
        <v>355710</v>
      </c>
      <c r="H1165" s="16">
        <f t="shared" si="37"/>
        <v>5488932.2780000018</v>
      </c>
    </row>
    <row r="1166" spans="2:8" hidden="1" x14ac:dyDescent="0.4">
      <c r="B1166" s="1">
        <v>43715</v>
      </c>
      <c r="C1166" s="16">
        <f>SUMIF(매도완료!$G:$G,Sheet2!$B1166,매도완료!$P:$P)</f>
        <v>0</v>
      </c>
      <c r="D1166" s="16">
        <f>SUMIF(매도완료!$J:$J,Sheet2!$B1166,매도완료!$P:$P)</f>
        <v>0</v>
      </c>
      <c r="E1166" s="16">
        <f t="shared" si="36"/>
        <v>86081456</v>
      </c>
      <c r="G1166" s="16">
        <f>IF(D1166=0,0,SUMIF(매도완료!$J:$J,Sheet2!$B1166,매도완료!$S:$S))</f>
        <v>0</v>
      </c>
      <c r="H1166" s="16">
        <f t="shared" si="37"/>
        <v>5488932.2780000018</v>
      </c>
    </row>
    <row r="1167" spans="2:8" hidden="1" x14ac:dyDescent="0.4">
      <c r="B1167" s="1">
        <v>43716</v>
      </c>
      <c r="C1167" s="16">
        <f>SUMIF(매도완료!$G:$G,Sheet2!$B1167,매도완료!$P:$P)</f>
        <v>0</v>
      </c>
      <c r="D1167" s="16">
        <f>SUMIF(매도완료!$J:$J,Sheet2!$B1167,매도완료!$P:$P)</f>
        <v>0</v>
      </c>
      <c r="E1167" s="16">
        <f t="shared" si="36"/>
        <v>86081456</v>
      </c>
      <c r="G1167" s="16">
        <f>IF(D1167=0,0,SUMIF(매도완료!$J:$J,Sheet2!$B1167,매도완료!$S:$S))</f>
        <v>0</v>
      </c>
      <c r="H1167" s="16">
        <f t="shared" si="37"/>
        <v>5488932.2780000018</v>
      </c>
    </row>
    <row r="1168" spans="2:8" hidden="1" x14ac:dyDescent="0.4">
      <c r="B1168" s="1">
        <v>43717</v>
      </c>
      <c r="C1168" s="16">
        <f>SUMIF(매도완료!$G:$G,Sheet2!$B1168,매도완료!$P:$P)</f>
        <v>3324000</v>
      </c>
      <c r="D1168" s="16">
        <f>SUMIF(매도완료!$J:$J,Sheet2!$B1168,매도완료!$P:$P)</f>
        <v>0</v>
      </c>
      <c r="E1168" s="16">
        <f t="shared" si="36"/>
        <v>89405456</v>
      </c>
      <c r="G1168" s="16">
        <f>IF(D1168=0,0,SUMIF(매도완료!$J:$J,Sheet2!$B1168,매도완료!$S:$S))</f>
        <v>0</v>
      </c>
      <c r="H1168" s="16">
        <f t="shared" si="37"/>
        <v>5488932.2780000018</v>
      </c>
    </row>
    <row r="1169" spans="2:8" hidden="1" x14ac:dyDescent="0.4">
      <c r="B1169" s="1">
        <v>43718</v>
      </c>
      <c r="C1169" s="16">
        <f>SUMIF(매도완료!$G:$G,Sheet2!$B1169,매도완료!$P:$P)</f>
        <v>1216097.55</v>
      </c>
      <c r="D1169" s="16">
        <f>SUMIF(매도완료!$J:$J,Sheet2!$B1169,매도완료!$P:$P)</f>
        <v>0</v>
      </c>
      <c r="E1169" s="16">
        <f t="shared" si="36"/>
        <v>90621553.549999997</v>
      </c>
      <c r="G1169" s="16">
        <f>IF(D1169=0,0,SUMIF(매도완료!$J:$J,Sheet2!$B1169,매도완료!$S:$S))</f>
        <v>0</v>
      </c>
      <c r="H1169" s="16">
        <f t="shared" si="37"/>
        <v>5488932.2780000018</v>
      </c>
    </row>
    <row r="1170" spans="2:8" hidden="1" x14ac:dyDescent="0.4">
      <c r="B1170" s="1">
        <v>43719</v>
      </c>
      <c r="C1170" s="16">
        <f>SUMIF(매도완료!$G:$G,Sheet2!$B1170,매도완료!$P:$P)</f>
        <v>0</v>
      </c>
      <c r="D1170" s="16">
        <f>SUMIF(매도완료!$J:$J,Sheet2!$B1170,매도완료!$P:$P)</f>
        <v>0</v>
      </c>
      <c r="E1170" s="16">
        <f t="shared" si="36"/>
        <v>90621553.549999997</v>
      </c>
      <c r="G1170" s="16">
        <f>IF(D1170=0,0,SUMIF(매도완료!$J:$J,Sheet2!$B1170,매도완료!$S:$S))</f>
        <v>0</v>
      </c>
      <c r="H1170" s="16">
        <f t="shared" si="37"/>
        <v>5488932.2780000018</v>
      </c>
    </row>
    <row r="1171" spans="2:8" hidden="1" x14ac:dyDescent="0.4">
      <c r="B1171" s="1">
        <v>43720</v>
      </c>
      <c r="C1171" s="16">
        <f>SUMIF(매도완료!$G:$G,Sheet2!$B1171,매도완료!$P:$P)</f>
        <v>0</v>
      </c>
      <c r="D1171" s="16">
        <f>SUMIF(매도완료!$J:$J,Sheet2!$B1171,매도완료!$P:$P)</f>
        <v>0</v>
      </c>
      <c r="E1171" s="16">
        <f t="shared" si="36"/>
        <v>90621553.549999997</v>
      </c>
      <c r="G1171" s="16">
        <f>IF(D1171=0,0,SUMIF(매도완료!$J:$J,Sheet2!$B1171,매도완료!$S:$S))</f>
        <v>0</v>
      </c>
      <c r="H1171" s="16">
        <f t="shared" si="37"/>
        <v>5488932.2780000018</v>
      </c>
    </row>
    <row r="1172" spans="2:8" hidden="1" x14ac:dyDescent="0.4">
      <c r="B1172" s="1">
        <v>43721</v>
      </c>
      <c r="C1172" s="16">
        <f>SUMIF(매도완료!$G:$G,Sheet2!$B1172,매도완료!$P:$P)</f>
        <v>0</v>
      </c>
      <c r="D1172" s="16">
        <f>SUMIF(매도완료!$J:$J,Sheet2!$B1172,매도완료!$P:$P)</f>
        <v>0</v>
      </c>
      <c r="E1172" s="16">
        <f t="shared" si="36"/>
        <v>90621553.549999997</v>
      </c>
      <c r="G1172" s="16">
        <f>IF(D1172=0,0,SUMIF(매도완료!$J:$J,Sheet2!$B1172,매도완료!$S:$S))</f>
        <v>0</v>
      </c>
      <c r="H1172" s="16">
        <f t="shared" si="37"/>
        <v>5488932.2780000018</v>
      </c>
    </row>
    <row r="1173" spans="2:8" hidden="1" x14ac:dyDescent="0.4">
      <c r="B1173" s="1">
        <v>43722</v>
      </c>
      <c r="C1173" s="16">
        <f>SUMIF(매도완료!$G:$G,Sheet2!$B1173,매도완료!$P:$P)</f>
        <v>0</v>
      </c>
      <c r="D1173" s="16">
        <f>SUMIF(매도완료!$J:$J,Sheet2!$B1173,매도완료!$P:$P)</f>
        <v>0</v>
      </c>
      <c r="E1173" s="16">
        <f t="shared" si="36"/>
        <v>90621553.549999997</v>
      </c>
      <c r="G1173" s="16">
        <f>IF(D1173=0,0,SUMIF(매도완료!$J:$J,Sheet2!$B1173,매도완료!$S:$S))</f>
        <v>0</v>
      </c>
      <c r="H1173" s="16">
        <f t="shared" si="37"/>
        <v>5488932.2780000018</v>
      </c>
    </row>
    <row r="1174" spans="2:8" hidden="1" x14ac:dyDescent="0.4">
      <c r="B1174" s="1">
        <v>43723</v>
      </c>
      <c r="C1174" s="16">
        <f>SUMIF(매도완료!$G:$G,Sheet2!$B1174,매도완료!$P:$P)</f>
        <v>0</v>
      </c>
      <c r="D1174" s="16">
        <f>SUMIF(매도완료!$J:$J,Sheet2!$B1174,매도완료!$P:$P)</f>
        <v>0</v>
      </c>
      <c r="E1174" s="16">
        <f t="shared" si="36"/>
        <v>90621553.549999997</v>
      </c>
      <c r="G1174" s="16">
        <f>IF(D1174=0,0,SUMIF(매도완료!$J:$J,Sheet2!$B1174,매도완료!$S:$S))</f>
        <v>0</v>
      </c>
      <c r="H1174" s="16">
        <f t="shared" si="37"/>
        <v>5488932.2780000018</v>
      </c>
    </row>
    <row r="1175" spans="2:8" hidden="1" x14ac:dyDescent="0.4">
      <c r="B1175" s="1">
        <v>43724</v>
      </c>
      <c r="C1175" s="16">
        <f>SUMIF(매도완료!$G:$G,Sheet2!$B1175,매도완료!$P:$P)</f>
        <v>0</v>
      </c>
      <c r="D1175" s="16">
        <f>SUMIF(매도완료!$J:$J,Sheet2!$B1175,매도완료!$P:$P)</f>
        <v>0</v>
      </c>
      <c r="E1175" s="16">
        <f t="shared" si="36"/>
        <v>90621553.549999997</v>
      </c>
      <c r="G1175" s="16">
        <f>IF(D1175=0,0,SUMIF(매도완료!$J:$J,Sheet2!$B1175,매도완료!$S:$S))</f>
        <v>0</v>
      </c>
      <c r="H1175" s="16">
        <f t="shared" si="37"/>
        <v>5488932.2780000018</v>
      </c>
    </row>
    <row r="1176" spans="2:8" hidden="1" x14ac:dyDescent="0.4">
      <c r="B1176" s="1">
        <v>43725</v>
      </c>
      <c r="C1176" s="16">
        <f>SUMIF(매도완료!$G:$G,Sheet2!$B1176,매도완료!$P:$P)</f>
        <v>0</v>
      </c>
      <c r="D1176" s="16">
        <f>SUMIF(매도완료!$J:$J,Sheet2!$B1176,매도완료!$P:$P)</f>
        <v>0</v>
      </c>
      <c r="E1176" s="16">
        <f t="shared" si="36"/>
        <v>90621553.549999997</v>
      </c>
      <c r="G1176" s="16">
        <f>IF(D1176=0,0,SUMIF(매도완료!$J:$J,Sheet2!$B1176,매도완료!$S:$S))</f>
        <v>0</v>
      </c>
      <c r="H1176" s="16">
        <f t="shared" si="37"/>
        <v>5488932.2780000018</v>
      </c>
    </row>
    <row r="1177" spans="2:8" hidden="1" x14ac:dyDescent="0.4">
      <c r="B1177" s="1">
        <v>43726</v>
      </c>
      <c r="C1177" s="16">
        <f>SUMIF(매도완료!$G:$G,Sheet2!$B1177,매도완료!$P:$P)</f>
        <v>0</v>
      </c>
      <c r="D1177" s="16">
        <f>SUMIF(매도완료!$J:$J,Sheet2!$B1177,매도완료!$P:$P)</f>
        <v>0</v>
      </c>
      <c r="E1177" s="16">
        <f t="shared" si="36"/>
        <v>90621553.549999997</v>
      </c>
      <c r="G1177" s="16">
        <f>IF(D1177=0,0,SUMIF(매도완료!$J:$J,Sheet2!$B1177,매도완료!$S:$S))</f>
        <v>0</v>
      </c>
      <c r="H1177" s="16">
        <f t="shared" si="37"/>
        <v>5488932.2780000018</v>
      </c>
    </row>
    <row r="1178" spans="2:8" hidden="1" x14ac:dyDescent="0.4">
      <c r="B1178" s="1">
        <v>43727</v>
      </c>
      <c r="C1178" s="16">
        <f>SUMIF(매도완료!$G:$G,Sheet2!$B1178,매도완료!$P:$P)</f>
        <v>0</v>
      </c>
      <c r="D1178" s="16">
        <f>SUMIF(매도완료!$J:$J,Sheet2!$B1178,매도완료!$P:$P)</f>
        <v>0</v>
      </c>
      <c r="E1178" s="16">
        <f t="shared" si="36"/>
        <v>90621553.549999997</v>
      </c>
      <c r="G1178" s="16">
        <f>IF(D1178=0,0,SUMIF(매도완료!$J:$J,Sheet2!$B1178,매도완료!$S:$S))</f>
        <v>0</v>
      </c>
      <c r="H1178" s="16">
        <f t="shared" si="37"/>
        <v>5488932.2780000018</v>
      </c>
    </row>
    <row r="1179" spans="2:8" hidden="1" x14ac:dyDescent="0.4">
      <c r="B1179" s="1">
        <v>43728</v>
      </c>
      <c r="C1179" s="16">
        <f>SUMIF(매도완료!$G:$G,Sheet2!$B1179,매도완료!$P:$P)</f>
        <v>0</v>
      </c>
      <c r="D1179" s="16">
        <f>SUMIF(매도완료!$J:$J,Sheet2!$B1179,매도완료!$P:$P)</f>
        <v>0</v>
      </c>
      <c r="E1179" s="16">
        <f t="shared" si="36"/>
        <v>90621553.549999997</v>
      </c>
      <c r="G1179" s="16">
        <f>IF(D1179=0,0,SUMIF(매도완료!$J:$J,Sheet2!$B1179,매도완료!$S:$S))</f>
        <v>0</v>
      </c>
      <c r="H1179" s="16">
        <f t="shared" si="37"/>
        <v>5488932.2780000018</v>
      </c>
    </row>
    <row r="1180" spans="2:8" hidden="1" x14ac:dyDescent="0.4">
      <c r="B1180" s="1">
        <v>43729</v>
      </c>
      <c r="C1180" s="16">
        <f>SUMIF(매도완료!$G:$G,Sheet2!$B1180,매도완료!$P:$P)</f>
        <v>0</v>
      </c>
      <c r="D1180" s="16">
        <f>SUMIF(매도완료!$J:$J,Sheet2!$B1180,매도완료!$P:$P)</f>
        <v>0</v>
      </c>
      <c r="E1180" s="16">
        <f t="shared" si="36"/>
        <v>90621553.549999997</v>
      </c>
      <c r="G1180" s="16">
        <f>IF(D1180=0,0,SUMIF(매도완료!$J:$J,Sheet2!$B1180,매도완료!$S:$S))</f>
        <v>0</v>
      </c>
      <c r="H1180" s="16">
        <f t="shared" si="37"/>
        <v>5488932.2780000018</v>
      </c>
    </row>
    <row r="1181" spans="2:8" hidden="1" x14ac:dyDescent="0.4">
      <c r="B1181" s="1">
        <v>43730</v>
      </c>
      <c r="C1181" s="16">
        <f>SUMIF(매도완료!$G:$G,Sheet2!$B1181,매도완료!$P:$P)</f>
        <v>0</v>
      </c>
      <c r="D1181" s="16">
        <f>SUMIF(매도완료!$J:$J,Sheet2!$B1181,매도완료!$P:$P)</f>
        <v>0</v>
      </c>
      <c r="E1181" s="16">
        <f t="shared" si="36"/>
        <v>90621553.549999997</v>
      </c>
      <c r="G1181" s="16">
        <f>IF(D1181=0,0,SUMIF(매도완료!$J:$J,Sheet2!$B1181,매도완료!$S:$S))</f>
        <v>0</v>
      </c>
      <c r="H1181" s="16">
        <f t="shared" si="37"/>
        <v>5488932.2780000018</v>
      </c>
    </row>
    <row r="1182" spans="2:8" hidden="1" x14ac:dyDescent="0.4">
      <c r="B1182" s="1">
        <v>43731</v>
      </c>
      <c r="C1182" s="16">
        <f>SUMIF(매도완료!$G:$G,Sheet2!$B1182,매도완료!$P:$P)</f>
        <v>0</v>
      </c>
      <c r="D1182" s="16">
        <f>SUMIF(매도완료!$J:$J,Sheet2!$B1182,매도완료!$P:$P)</f>
        <v>0</v>
      </c>
      <c r="E1182" s="16">
        <f t="shared" si="36"/>
        <v>90621553.549999997</v>
      </c>
      <c r="G1182" s="16">
        <f>IF(D1182=0,0,SUMIF(매도완료!$J:$J,Sheet2!$B1182,매도완료!$S:$S))</f>
        <v>0</v>
      </c>
      <c r="H1182" s="16">
        <f t="shared" si="37"/>
        <v>5488932.2780000018</v>
      </c>
    </row>
    <row r="1183" spans="2:8" hidden="1" x14ac:dyDescent="0.4">
      <c r="B1183" s="1">
        <v>43732</v>
      </c>
      <c r="C1183" s="16">
        <f>SUMIF(매도완료!$G:$G,Sheet2!$B1183,매도완료!$P:$P)</f>
        <v>0</v>
      </c>
      <c r="D1183" s="16">
        <f>SUMIF(매도완료!$J:$J,Sheet2!$B1183,매도완료!$P:$P)</f>
        <v>0</v>
      </c>
      <c r="E1183" s="16">
        <f t="shared" si="36"/>
        <v>90621553.549999997</v>
      </c>
      <c r="G1183" s="16">
        <f>IF(D1183=0,0,SUMIF(매도완료!$J:$J,Sheet2!$B1183,매도완료!$S:$S))</f>
        <v>0</v>
      </c>
      <c r="H1183" s="16">
        <f t="shared" si="37"/>
        <v>5488932.2780000018</v>
      </c>
    </row>
    <row r="1184" spans="2:8" hidden="1" x14ac:dyDescent="0.4">
      <c r="B1184" s="1">
        <v>43733</v>
      </c>
      <c r="C1184" s="16">
        <f>SUMIF(매도완료!$G:$G,Sheet2!$B1184,매도완료!$P:$P)</f>
        <v>0</v>
      </c>
      <c r="D1184" s="16">
        <f>SUMIF(매도완료!$J:$J,Sheet2!$B1184,매도완료!$P:$P)</f>
        <v>0</v>
      </c>
      <c r="E1184" s="16">
        <f t="shared" si="36"/>
        <v>90621553.549999997</v>
      </c>
      <c r="G1184" s="16">
        <f>IF(D1184=0,0,SUMIF(매도완료!$J:$J,Sheet2!$B1184,매도완료!$S:$S))</f>
        <v>0</v>
      </c>
      <c r="H1184" s="16">
        <f t="shared" si="37"/>
        <v>5488932.2780000018</v>
      </c>
    </row>
    <row r="1185" spans="2:8" hidden="1" x14ac:dyDescent="0.4">
      <c r="B1185" s="1">
        <v>43734</v>
      </c>
      <c r="C1185" s="16">
        <f>SUMIF(매도완료!$G:$G,Sheet2!$B1185,매도완료!$P:$P)</f>
        <v>0</v>
      </c>
      <c r="D1185" s="16">
        <f>SUMIF(매도완료!$J:$J,Sheet2!$B1185,매도완료!$P:$P)</f>
        <v>0</v>
      </c>
      <c r="E1185" s="16">
        <f t="shared" si="36"/>
        <v>90621553.549999997</v>
      </c>
      <c r="G1185" s="16">
        <f>IF(D1185=0,0,SUMIF(매도완료!$J:$J,Sheet2!$B1185,매도완료!$S:$S))</f>
        <v>0</v>
      </c>
      <c r="H1185" s="16">
        <f t="shared" si="37"/>
        <v>5488932.2780000018</v>
      </c>
    </row>
    <row r="1186" spans="2:8" hidden="1" x14ac:dyDescent="0.4">
      <c r="B1186" s="1">
        <v>43735</v>
      </c>
      <c r="C1186" s="16">
        <f>SUMIF(매도완료!$G:$G,Sheet2!$B1186,매도완료!$P:$P)</f>
        <v>2613750</v>
      </c>
      <c r="D1186" s="16">
        <f>SUMIF(매도완료!$J:$J,Sheet2!$B1186,매도완료!$P:$P)</f>
        <v>0</v>
      </c>
      <c r="E1186" s="16">
        <f t="shared" si="36"/>
        <v>93235303.549999997</v>
      </c>
      <c r="G1186" s="16">
        <f>IF(D1186=0,0,SUMIF(매도완료!$J:$J,Sheet2!$B1186,매도완료!$S:$S))</f>
        <v>0</v>
      </c>
      <c r="H1186" s="16">
        <f t="shared" si="37"/>
        <v>5488932.2780000018</v>
      </c>
    </row>
    <row r="1187" spans="2:8" hidden="1" x14ac:dyDescent="0.4">
      <c r="B1187" s="1">
        <v>43736</v>
      </c>
      <c r="C1187" s="16">
        <f>SUMIF(매도완료!$G:$G,Sheet2!$B1187,매도완료!$P:$P)</f>
        <v>0</v>
      </c>
      <c r="D1187" s="16">
        <f>SUMIF(매도완료!$J:$J,Sheet2!$B1187,매도완료!$P:$P)</f>
        <v>0</v>
      </c>
      <c r="E1187" s="16">
        <f t="shared" si="36"/>
        <v>93235303.549999997</v>
      </c>
      <c r="G1187" s="16">
        <f>IF(D1187=0,0,SUMIF(매도완료!$J:$J,Sheet2!$B1187,매도완료!$S:$S))</f>
        <v>0</v>
      </c>
      <c r="H1187" s="16">
        <f t="shared" si="37"/>
        <v>5488932.2780000018</v>
      </c>
    </row>
    <row r="1188" spans="2:8" hidden="1" x14ac:dyDescent="0.4">
      <c r="B1188" s="1">
        <v>43737</v>
      </c>
      <c r="C1188" s="16">
        <f>SUMIF(매도완료!$G:$G,Sheet2!$B1188,매도완료!$P:$P)</f>
        <v>0</v>
      </c>
      <c r="D1188" s="16">
        <f>SUMIF(매도완료!$J:$J,Sheet2!$B1188,매도완료!$P:$P)</f>
        <v>0</v>
      </c>
      <c r="E1188" s="16">
        <f t="shared" si="36"/>
        <v>93235303.549999997</v>
      </c>
      <c r="G1188" s="16">
        <f>IF(D1188=0,0,SUMIF(매도완료!$J:$J,Sheet2!$B1188,매도완료!$S:$S))</f>
        <v>0</v>
      </c>
      <c r="H1188" s="16">
        <f t="shared" si="37"/>
        <v>5488932.2780000018</v>
      </c>
    </row>
    <row r="1189" spans="2:8" hidden="1" x14ac:dyDescent="0.4">
      <c r="B1189" s="1">
        <v>43738</v>
      </c>
      <c r="C1189" s="16">
        <f>SUMIF(매도완료!$G:$G,Sheet2!$B1189,매도완료!$P:$P)</f>
        <v>0</v>
      </c>
      <c r="D1189" s="16">
        <f>SUMIF(매도완료!$J:$J,Sheet2!$B1189,매도완료!$P:$P)</f>
        <v>0</v>
      </c>
      <c r="E1189" s="16">
        <f t="shared" si="36"/>
        <v>93235303.549999997</v>
      </c>
      <c r="G1189" s="16">
        <f>IF(D1189=0,0,SUMIF(매도완료!$J:$J,Sheet2!$B1189,매도완료!$S:$S))</f>
        <v>0</v>
      </c>
      <c r="H1189" s="16">
        <f t="shared" si="37"/>
        <v>5488932.2780000018</v>
      </c>
    </row>
    <row r="1190" spans="2:8" hidden="1" x14ac:dyDescent="0.4">
      <c r="B1190" s="1">
        <v>43739</v>
      </c>
      <c r="C1190" s="16">
        <f>SUMIF(매도완료!$G:$G,Sheet2!$B1190,매도완료!$P:$P)</f>
        <v>0</v>
      </c>
      <c r="D1190" s="16">
        <f>SUMIF(매도완료!$J:$J,Sheet2!$B1190,매도완료!$P:$P)</f>
        <v>0</v>
      </c>
      <c r="E1190" s="16">
        <f t="shared" si="36"/>
        <v>93235303.549999997</v>
      </c>
      <c r="G1190" s="16">
        <f>IF(D1190=0,0,SUMIF(매도완료!$J:$J,Sheet2!$B1190,매도완료!$S:$S))</f>
        <v>0</v>
      </c>
      <c r="H1190" s="16">
        <f t="shared" si="37"/>
        <v>5488932.2780000018</v>
      </c>
    </row>
    <row r="1191" spans="2:8" hidden="1" x14ac:dyDescent="0.4">
      <c r="B1191" s="1">
        <v>43740</v>
      </c>
      <c r="C1191" s="16">
        <f>SUMIF(매도완료!$G:$G,Sheet2!$B1191,매도완료!$P:$P)</f>
        <v>0</v>
      </c>
      <c r="D1191" s="16">
        <f>SUMIF(매도완료!$J:$J,Sheet2!$B1191,매도완료!$P:$P)</f>
        <v>0</v>
      </c>
      <c r="E1191" s="16">
        <f t="shared" si="36"/>
        <v>93235303.549999997</v>
      </c>
      <c r="G1191" s="16">
        <f>IF(D1191=0,0,SUMIF(매도완료!$J:$J,Sheet2!$B1191,매도완료!$S:$S))</f>
        <v>0</v>
      </c>
      <c r="H1191" s="16">
        <f t="shared" si="37"/>
        <v>5488932.2780000018</v>
      </c>
    </row>
    <row r="1192" spans="2:8" hidden="1" x14ac:dyDescent="0.4">
      <c r="B1192" s="1">
        <v>43741</v>
      </c>
      <c r="C1192" s="16">
        <f>SUMIF(매도완료!$G:$G,Sheet2!$B1192,매도완료!$P:$P)</f>
        <v>0</v>
      </c>
      <c r="D1192" s="16">
        <f>SUMIF(매도완료!$J:$J,Sheet2!$B1192,매도완료!$P:$P)</f>
        <v>0</v>
      </c>
      <c r="E1192" s="16">
        <f t="shared" si="36"/>
        <v>93235303.549999997</v>
      </c>
      <c r="G1192" s="16">
        <f>IF(D1192=0,0,SUMIF(매도완료!$J:$J,Sheet2!$B1192,매도완료!$S:$S))</f>
        <v>0</v>
      </c>
      <c r="H1192" s="16">
        <f t="shared" si="37"/>
        <v>5488932.2780000018</v>
      </c>
    </row>
    <row r="1193" spans="2:8" hidden="1" x14ac:dyDescent="0.4">
      <c r="B1193" s="1">
        <v>43742</v>
      </c>
      <c r="C1193" s="16">
        <f>SUMIF(매도완료!$G:$G,Sheet2!$B1193,매도완료!$P:$P)</f>
        <v>0</v>
      </c>
      <c r="D1193" s="16">
        <f>SUMIF(매도완료!$J:$J,Sheet2!$B1193,매도완료!$P:$P)</f>
        <v>0</v>
      </c>
      <c r="E1193" s="16">
        <f t="shared" si="36"/>
        <v>93235303.549999997</v>
      </c>
      <c r="G1193" s="16">
        <f>IF(D1193=0,0,SUMIF(매도완료!$J:$J,Sheet2!$B1193,매도완료!$S:$S))</f>
        <v>0</v>
      </c>
      <c r="H1193" s="16">
        <f t="shared" si="37"/>
        <v>5488932.2780000018</v>
      </c>
    </row>
    <row r="1194" spans="2:8" hidden="1" x14ac:dyDescent="0.4">
      <c r="B1194" s="1">
        <v>43743</v>
      </c>
      <c r="C1194" s="16">
        <f>SUMIF(매도완료!$G:$G,Sheet2!$B1194,매도완료!$P:$P)</f>
        <v>0</v>
      </c>
      <c r="D1194" s="16">
        <f>SUMIF(매도완료!$J:$J,Sheet2!$B1194,매도완료!$P:$P)</f>
        <v>0</v>
      </c>
      <c r="E1194" s="16">
        <f t="shared" si="36"/>
        <v>93235303.549999997</v>
      </c>
      <c r="G1194" s="16">
        <f>IF(D1194=0,0,SUMIF(매도완료!$J:$J,Sheet2!$B1194,매도완료!$S:$S))</f>
        <v>0</v>
      </c>
      <c r="H1194" s="16">
        <f t="shared" si="37"/>
        <v>5488932.2780000018</v>
      </c>
    </row>
    <row r="1195" spans="2:8" hidden="1" x14ac:dyDescent="0.4">
      <c r="B1195" s="1">
        <v>43744</v>
      </c>
      <c r="C1195" s="16">
        <f>SUMIF(매도완료!$G:$G,Sheet2!$B1195,매도완료!$P:$P)</f>
        <v>0</v>
      </c>
      <c r="D1195" s="16">
        <f>SUMIF(매도완료!$J:$J,Sheet2!$B1195,매도완료!$P:$P)</f>
        <v>0</v>
      </c>
      <c r="E1195" s="16">
        <f t="shared" si="36"/>
        <v>93235303.549999997</v>
      </c>
      <c r="G1195" s="16">
        <f>IF(D1195=0,0,SUMIF(매도완료!$J:$J,Sheet2!$B1195,매도완료!$S:$S))</f>
        <v>0</v>
      </c>
      <c r="H1195" s="16">
        <f t="shared" si="37"/>
        <v>5488932.2780000018</v>
      </c>
    </row>
    <row r="1196" spans="2:8" hidden="1" x14ac:dyDescent="0.4">
      <c r="B1196" s="1">
        <v>43745</v>
      </c>
      <c r="C1196" s="16">
        <f>SUMIF(매도완료!$G:$G,Sheet2!$B1196,매도완료!$P:$P)</f>
        <v>0</v>
      </c>
      <c r="D1196" s="16">
        <f>SUMIF(매도완료!$J:$J,Sheet2!$B1196,매도완료!$P:$P)</f>
        <v>2630000</v>
      </c>
      <c r="E1196" s="16">
        <f t="shared" si="36"/>
        <v>90605303.549999997</v>
      </c>
      <c r="G1196" s="16">
        <f>IF(D1196=0,0,SUMIF(매도완료!$J:$J,Sheet2!$B1196,매도완료!$S:$S))</f>
        <v>167319</v>
      </c>
      <c r="H1196" s="16">
        <f t="shared" si="37"/>
        <v>5656251.2780000018</v>
      </c>
    </row>
    <row r="1197" spans="2:8" hidden="1" x14ac:dyDescent="0.4">
      <c r="B1197" s="1">
        <v>43746</v>
      </c>
      <c r="C1197" s="16">
        <f>SUMIF(매도완료!$G:$G,Sheet2!$B1197,매도완료!$P:$P)</f>
        <v>0</v>
      </c>
      <c r="D1197" s="16">
        <f>SUMIF(매도완료!$J:$J,Sheet2!$B1197,매도완료!$P:$P)</f>
        <v>0</v>
      </c>
      <c r="E1197" s="16">
        <f t="shared" si="36"/>
        <v>90605303.549999997</v>
      </c>
      <c r="G1197" s="16">
        <f>IF(D1197=0,0,SUMIF(매도완료!$J:$J,Sheet2!$B1197,매도완료!$S:$S))</f>
        <v>0</v>
      </c>
      <c r="H1197" s="16">
        <f t="shared" si="37"/>
        <v>5656251.2780000018</v>
      </c>
    </row>
    <row r="1198" spans="2:8" hidden="1" x14ac:dyDescent="0.4">
      <c r="B1198" s="1">
        <v>43747</v>
      </c>
      <c r="C1198" s="16">
        <f>SUMIF(매도완료!$G:$G,Sheet2!$B1198,매도완료!$P:$P)</f>
        <v>0</v>
      </c>
      <c r="D1198" s="16">
        <f>SUMIF(매도완료!$J:$J,Sheet2!$B1198,매도완료!$P:$P)</f>
        <v>0</v>
      </c>
      <c r="E1198" s="16">
        <f t="shared" si="36"/>
        <v>90605303.549999997</v>
      </c>
      <c r="G1198" s="16">
        <f>IF(D1198=0,0,SUMIF(매도완료!$J:$J,Sheet2!$B1198,매도완료!$S:$S))</f>
        <v>0</v>
      </c>
      <c r="H1198" s="16">
        <f t="shared" si="37"/>
        <v>5656251.2780000018</v>
      </c>
    </row>
    <row r="1199" spans="2:8" hidden="1" x14ac:dyDescent="0.4">
      <c r="B1199" s="1">
        <v>43748</v>
      </c>
      <c r="C1199" s="16">
        <f>SUMIF(매도완료!$G:$G,Sheet2!$B1199,매도완료!$P:$P)</f>
        <v>0</v>
      </c>
      <c r="D1199" s="16">
        <f>SUMIF(매도완료!$J:$J,Sheet2!$B1199,매도완료!$P:$P)</f>
        <v>0</v>
      </c>
      <c r="E1199" s="16">
        <f t="shared" si="36"/>
        <v>90605303.549999997</v>
      </c>
      <c r="G1199" s="16">
        <f>IF(D1199=0,0,SUMIF(매도완료!$J:$J,Sheet2!$B1199,매도완료!$S:$S))</f>
        <v>0</v>
      </c>
      <c r="H1199" s="16">
        <f t="shared" si="37"/>
        <v>5656251.2780000018</v>
      </c>
    </row>
    <row r="1200" spans="2:8" hidden="1" x14ac:dyDescent="0.4">
      <c r="B1200" s="1">
        <v>43749</v>
      </c>
      <c r="C1200" s="16">
        <f>SUMIF(매도완료!$G:$G,Sheet2!$B1200,매도완료!$P:$P)</f>
        <v>0</v>
      </c>
      <c r="D1200" s="16">
        <f>SUMIF(매도완료!$J:$J,Sheet2!$B1200,매도완료!$P:$P)</f>
        <v>0</v>
      </c>
      <c r="E1200" s="16">
        <f t="shared" si="36"/>
        <v>90605303.549999997</v>
      </c>
      <c r="G1200" s="16">
        <f>IF(D1200=0,0,SUMIF(매도완료!$J:$J,Sheet2!$B1200,매도완료!$S:$S))</f>
        <v>0</v>
      </c>
      <c r="H1200" s="16">
        <f t="shared" si="37"/>
        <v>5656251.2780000018</v>
      </c>
    </row>
    <row r="1201" spans="2:8" hidden="1" x14ac:dyDescent="0.4">
      <c r="B1201" s="1">
        <v>43750</v>
      </c>
      <c r="C1201" s="16">
        <f>SUMIF(매도완료!$G:$G,Sheet2!$B1201,매도완료!$P:$P)</f>
        <v>0</v>
      </c>
      <c r="D1201" s="16">
        <f>SUMIF(매도완료!$J:$J,Sheet2!$B1201,매도완료!$P:$P)</f>
        <v>0</v>
      </c>
      <c r="E1201" s="16">
        <f t="shared" si="36"/>
        <v>90605303.549999997</v>
      </c>
      <c r="G1201" s="16">
        <f>IF(D1201=0,0,SUMIF(매도완료!$J:$J,Sheet2!$B1201,매도완료!$S:$S))</f>
        <v>0</v>
      </c>
      <c r="H1201" s="16">
        <f t="shared" si="37"/>
        <v>5656251.2780000018</v>
      </c>
    </row>
    <row r="1202" spans="2:8" hidden="1" x14ac:dyDescent="0.4">
      <c r="B1202" s="1">
        <v>43751</v>
      </c>
      <c r="C1202" s="16">
        <f>SUMIF(매도완료!$G:$G,Sheet2!$B1202,매도완료!$P:$P)</f>
        <v>0</v>
      </c>
      <c r="D1202" s="16">
        <f>SUMIF(매도완료!$J:$J,Sheet2!$B1202,매도완료!$P:$P)</f>
        <v>0</v>
      </c>
      <c r="E1202" s="16">
        <f t="shared" si="36"/>
        <v>90605303.549999997</v>
      </c>
      <c r="G1202" s="16">
        <f>IF(D1202=0,0,SUMIF(매도완료!$J:$J,Sheet2!$B1202,매도완료!$S:$S))</f>
        <v>0</v>
      </c>
      <c r="H1202" s="16">
        <f t="shared" si="37"/>
        <v>5656251.2780000018</v>
      </c>
    </row>
    <row r="1203" spans="2:8" hidden="1" x14ac:dyDescent="0.4">
      <c r="B1203" s="1">
        <v>43752</v>
      </c>
      <c r="C1203" s="16">
        <f>SUMIF(매도완료!$G:$G,Sheet2!$B1203,매도완료!$P:$P)</f>
        <v>0</v>
      </c>
      <c r="D1203" s="16">
        <f>SUMIF(매도완료!$J:$J,Sheet2!$B1203,매도완료!$P:$P)</f>
        <v>0</v>
      </c>
      <c r="E1203" s="16">
        <f t="shared" si="36"/>
        <v>90605303.549999997</v>
      </c>
      <c r="G1203" s="16">
        <f>IF(D1203=0,0,SUMIF(매도완료!$J:$J,Sheet2!$B1203,매도완료!$S:$S))</f>
        <v>0</v>
      </c>
      <c r="H1203" s="16">
        <f t="shared" si="37"/>
        <v>5656251.2780000018</v>
      </c>
    </row>
    <row r="1204" spans="2:8" hidden="1" x14ac:dyDescent="0.4">
      <c r="B1204" s="1">
        <v>43753</v>
      </c>
      <c r="C1204" s="16">
        <f>SUMIF(매도완료!$G:$G,Sheet2!$B1204,매도완료!$P:$P)</f>
        <v>0</v>
      </c>
      <c r="D1204" s="16">
        <f>SUMIF(매도완료!$J:$J,Sheet2!$B1204,매도완료!$P:$P)</f>
        <v>0</v>
      </c>
      <c r="E1204" s="16">
        <f t="shared" si="36"/>
        <v>90605303.549999997</v>
      </c>
      <c r="G1204" s="16">
        <f>IF(D1204=0,0,SUMIF(매도완료!$J:$J,Sheet2!$B1204,매도완료!$S:$S))</f>
        <v>0</v>
      </c>
      <c r="H1204" s="16">
        <f t="shared" si="37"/>
        <v>5656251.2780000018</v>
      </c>
    </row>
    <row r="1205" spans="2:8" hidden="1" x14ac:dyDescent="0.4">
      <c r="B1205" s="1">
        <v>43754</v>
      </c>
      <c r="C1205" s="16">
        <f>SUMIF(매도완료!$G:$G,Sheet2!$B1205,매도완료!$P:$P)</f>
        <v>0</v>
      </c>
      <c r="D1205" s="16">
        <f>SUMIF(매도완료!$J:$J,Sheet2!$B1205,매도완료!$P:$P)</f>
        <v>0</v>
      </c>
      <c r="E1205" s="16">
        <f t="shared" si="36"/>
        <v>90605303.549999997</v>
      </c>
      <c r="G1205" s="16">
        <f>IF(D1205=0,0,SUMIF(매도완료!$J:$J,Sheet2!$B1205,매도완료!$S:$S))</f>
        <v>0</v>
      </c>
      <c r="H1205" s="16">
        <f t="shared" si="37"/>
        <v>5656251.2780000018</v>
      </c>
    </row>
    <row r="1206" spans="2:8" hidden="1" x14ac:dyDescent="0.4">
      <c r="B1206" s="1">
        <v>43755</v>
      </c>
      <c r="C1206" s="16">
        <f>SUMIF(매도완료!$G:$G,Sheet2!$B1206,매도완료!$P:$P)</f>
        <v>0</v>
      </c>
      <c r="D1206" s="16">
        <f>SUMIF(매도완료!$J:$J,Sheet2!$B1206,매도완료!$P:$P)</f>
        <v>0</v>
      </c>
      <c r="E1206" s="16">
        <f t="shared" si="36"/>
        <v>90605303.549999997</v>
      </c>
      <c r="G1206" s="16">
        <f>IF(D1206=0,0,SUMIF(매도완료!$J:$J,Sheet2!$B1206,매도완료!$S:$S))</f>
        <v>0</v>
      </c>
      <c r="H1206" s="16">
        <f t="shared" si="37"/>
        <v>5656251.2780000018</v>
      </c>
    </row>
    <row r="1207" spans="2:8" hidden="1" x14ac:dyDescent="0.4">
      <c r="B1207" s="1">
        <v>43756</v>
      </c>
      <c r="C1207" s="16">
        <f>SUMIF(매도완료!$G:$G,Sheet2!$B1207,매도완료!$P:$P)</f>
        <v>0</v>
      </c>
      <c r="D1207" s="16">
        <f>SUMIF(매도완료!$J:$J,Sheet2!$B1207,매도완료!$P:$P)</f>
        <v>0</v>
      </c>
      <c r="E1207" s="16">
        <f t="shared" si="36"/>
        <v>90605303.549999997</v>
      </c>
      <c r="G1207" s="16">
        <f>IF(D1207=0,0,SUMIF(매도완료!$J:$J,Sheet2!$B1207,매도완료!$S:$S))</f>
        <v>0</v>
      </c>
      <c r="H1207" s="16">
        <f t="shared" si="37"/>
        <v>5656251.2780000018</v>
      </c>
    </row>
    <row r="1208" spans="2:8" hidden="1" x14ac:dyDescent="0.4">
      <c r="B1208" s="1">
        <v>43757</v>
      </c>
      <c r="C1208" s="16">
        <f>SUMIF(매도완료!$G:$G,Sheet2!$B1208,매도완료!$P:$P)</f>
        <v>0</v>
      </c>
      <c r="D1208" s="16">
        <f>SUMIF(매도완료!$J:$J,Sheet2!$B1208,매도완료!$P:$P)</f>
        <v>0</v>
      </c>
      <c r="E1208" s="16">
        <f t="shared" si="36"/>
        <v>90605303.549999997</v>
      </c>
      <c r="G1208" s="16">
        <f>IF(D1208=0,0,SUMIF(매도완료!$J:$J,Sheet2!$B1208,매도완료!$S:$S))</f>
        <v>0</v>
      </c>
      <c r="H1208" s="16">
        <f t="shared" si="37"/>
        <v>5656251.2780000018</v>
      </c>
    </row>
    <row r="1209" spans="2:8" hidden="1" x14ac:dyDescent="0.4">
      <c r="B1209" s="1">
        <v>43758</v>
      </c>
      <c r="C1209" s="16">
        <f>SUMIF(매도완료!$G:$G,Sheet2!$B1209,매도완료!$P:$P)</f>
        <v>0</v>
      </c>
      <c r="D1209" s="16">
        <f>SUMIF(매도완료!$J:$J,Sheet2!$B1209,매도완료!$P:$P)</f>
        <v>0</v>
      </c>
      <c r="E1209" s="16">
        <f t="shared" si="36"/>
        <v>90605303.549999997</v>
      </c>
      <c r="G1209" s="16">
        <f>IF(D1209=0,0,SUMIF(매도완료!$J:$J,Sheet2!$B1209,매도완료!$S:$S))</f>
        <v>0</v>
      </c>
      <c r="H1209" s="16">
        <f t="shared" si="37"/>
        <v>5656251.2780000018</v>
      </c>
    </row>
    <row r="1210" spans="2:8" hidden="1" x14ac:dyDescent="0.4">
      <c r="B1210" s="1">
        <v>43759</v>
      </c>
      <c r="C1210" s="16">
        <f>SUMIF(매도완료!$G:$G,Sheet2!$B1210,매도완료!$P:$P)</f>
        <v>0</v>
      </c>
      <c r="D1210" s="16">
        <f>SUMIF(매도완료!$J:$J,Sheet2!$B1210,매도완료!$P:$P)</f>
        <v>0</v>
      </c>
      <c r="E1210" s="16">
        <f t="shared" si="36"/>
        <v>90605303.549999997</v>
      </c>
      <c r="G1210" s="16">
        <f>IF(D1210=0,0,SUMIF(매도완료!$J:$J,Sheet2!$B1210,매도완료!$S:$S))</f>
        <v>0</v>
      </c>
      <c r="H1210" s="16">
        <f t="shared" si="37"/>
        <v>5656251.2780000018</v>
      </c>
    </row>
    <row r="1211" spans="2:8" hidden="1" x14ac:dyDescent="0.4">
      <c r="B1211" s="1">
        <v>43760</v>
      </c>
      <c r="C1211" s="16">
        <f>SUMIF(매도완료!$G:$G,Sheet2!$B1211,매도완료!$P:$P)</f>
        <v>0</v>
      </c>
      <c r="D1211" s="16">
        <f>SUMIF(매도완료!$J:$J,Sheet2!$B1211,매도완료!$P:$P)</f>
        <v>0</v>
      </c>
      <c r="E1211" s="16">
        <f t="shared" si="36"/>
        <v>90605303.549999997</v>
      </c>
      <c r="G1211" s="16">
        <f>IF(D1211=0,0,SUMIF(매도완료!$J:$J,Sheet2!$B1211,매도완료!$S:$S))</f>
        <v>0</v>
      </c>
      <c r="H1211" s="16">
        <f t="shared" si="37"/>
        <v>5656251.2780000018</v>
      </c>
    </row>
    <row r="1212" spans="2:8" hidden="1" x14ac:dyDescent="0.4">
      <c r="B1212" s="1">
        <v>43761</v>
      </c>
      <c r="C1212" s="16">
        <f>SUMIF(매도완료!$G:$G,Sheet2!$B1212,매도완료!$P:$P)</f>
        <v>0</v>
      </c>
      <c r="D1212" s="16">
        <f>SUMIF(매도완료!$J:$J,Sheet2!$B1212,매도완료!$P:$P)</f>
        <v>0</v>
      </c>
      <c r="E1212" s="16">
        <f t="shared" si="36"/>
        <v>90605303.549999997</v>
      </c>
      <c r="G1212" s="16">
        <f>IF(D1212=0,0,SUMIF(매도완료!$J:$J,Sheet2!$B1212,매도완료!$S:$S))</f>
        <v>0</v>
      </c>
      <c r="H1212" s="16">
        <f t="shared" si="37"/>
        <v>5656251.2780000018</v>
      </c>
    </row>
    <row r="1213" spans="2:8" hidden="1" x14ac:dyDescent="0.4">
      <c r="B1213" s="1">
        <v>43762</v>
      </c>
      <c r="C1213" s="16">
        <f>SUMIF(매도완료!$G:$G,Sheet2!$B1213,매도완료!$P:$P)</f>
        <v>0</v>
      </c>
      <c r="D1213" s="16">
        <f>SUMIF(매도완료!$J:$J,Sheet2!$B1213,매도완료!$P:$P)</f>
        <v>2604000</v>
      </c>
      <c r="E1213" s="16">
        <f t="shared" si="36"/>
        <v>88001303.549999997</v>
      </c>
      <c r="G1213" s="16">
        <f>IF(D1213=0,0,SUMIF(매도완료!$J:$J,Sheet2!$B1213,매도완료!$S:$S))</f>
        <v>104213</v>
      </c>
      <c r="H1213" s="16">
        <f t="shared" si="37"/>
        <v>5760464.2780000018</v>
      </c>
    </row>
    <row r="1214" spans="2:8" hidden="1" x14ac:dyDescent="0.4">
      <c r="B1214" s="1">
        <v>43763</v>
      </c>
      <c r="C1214" s="16">
        <f>SUMIF(매도완료!$G:$G,Sheet2!$B1214,매도완료!$P:$P)</f>
        <v>0</v>
      </c>
      <c r="D1214" s="16">
        <f>SUMIF(매도완료!$J:$J,Sheet2!$B1214,매도완료!$P:$P)</f>
        <v>720000</v>
      </c>
      <c r="E1214" s="16">
        <f t="shared" si="36"/>
        <v>87281303.549999997</v>
      </c>
      <c r="G1214" s="16">
        <f>IF(D1214=0,0,SUMIF(매도완료!$J:$J,Sheet2!$B1214,매도완료!$S:$S))</f>
        <v>-146382</v>
      </c>
      <c r="H1214" s="16">
        <f t="shared" si="37"/>
        <v>5614082.2780000018</v>
      </c>
    </row>
    <row r="1215" spans="2:8" hidden="1" x14ac:dyDescent="0.4">
      <c r="B1215" s="1">
        <v>43764</v>
      </c>
      <c r="C1215" s="16">
        <f>SUMIF(매도완료!$G:$G,Sheet2!$B1215,매도완료!$P:$P)</f>
        <v>0</v>
      </c>
      <c r="D1215" s="16">
        <f>SUMIF(매도완료!$J:$J,Sheet2!$B1215,매도완료!$P:$P)</f>
        <v>0</v>
      </c>
      <c r="E1215" s="16">
        <f t="shared" si="36"/>
        <v>87281303.549999997</v>
      </c>
      <c r="G1215" s="16">
        <f>IF(D1215=0,0,SUMIF(매도완료!$J:$J,Sheet2!$B1215,매도완료!$S:$S))</f>
        <v>0</v>
      </c>
      <c r="H1215" s="16">
        <f t="shared" si="37"/>
        <v>5614082.2780000018</v>
      </c>
    </row>
    <row r="1216" spans="2:8" hidden="1" x14ac:dyDescent="0.4">
      <c r="B1216" s="1">
        <v>43765</v>
      </c>
      <c r="C1216" s="16">
        <f>SUMIF(매도완료!$G:$G,Sheet2!$B1216,매도완료!$P:$P)</f>
        <v>0</v>
      </c>
      <c r="D1216" s="16">
        <f>SUMIF(매도완료!$J:$J,Sheet2!$B1216,매도완료!$P:$P)</f>
        <v>0</v>
      </c>
      <c r="E1216" s="16">
        <f t="shared" si="36"/>
        <v>87281303.549999997</v>
      </c>
      <c r="G1216" s="16">
        <f>IF(D1216=0,0,SUMIF(매도완료!$J:$J,Sheet2!$B1216,매도완료!$S:$S))</f>
        <v>0</v>
      </c>
      <c r="H1216" s="16">
        <f t="shared" si="37"/>
        <v>5614082.2780000018</v>
      </c>
    </row>
    <row r="1217" spans="2:8" hidden="1" x14ac:dyDescent="0.4">
      <c r="B1217" s="1">
        <v>43766</v>
      </c>
      <c r="C1217" s="16">
        <f>SUMIF(매도완료!$G:$G,Sheet2!$B1217,매도완료!$P:$P)</f>
        <v>2003600</v>
      </c>
      <c r="D1217" s="16">
        <f>SUMIF(매도완료!$J:$J,Sheet2!$B1217,매도완료!$P:$P)</f>
        <v>483750</v>
      </c>
      <c r="E1217" s="16">
        <f t="shared" si="36"/>
        <v>88801153.549999997</v>
      </c>
      <c r="G1217" s="16">
        <f>IF(D1217=0,0,SUMIF(매도완료!$J:$J,Sheet2!$B1217,매도완료!$S:$S))</f>
        <v>115043</v>
      </c>
      <c r="H1217" s="16">
        <f t="shared" si="37"/>
        <v>5729125.2780000018</v>
      </c>
    </row>
    <row r="1218" spans="2:8" hidden="1" x14ac:dyDescent="0.4">
      <c r="B1218" s="1">
        <v>43767</v>
      </c>
      <c r="C1218" s="16">
        <f>SUMIF(매도완료!$G:$G,Sheet2!$B1218,매도완료!$P:$P)</f>
        <v>0</v>
      </c>
      <c r="D1218" s="16">
        <f>SUMIF(매도완료!$J:$J,Sheet2!$B1218,매도완료!$P:$P)</f>
        <v>0</v>
      </c>
      <c r="E1218" s="16">
        <f t="shared" si="36"/>
        <v>88801153.549999997</v>
      </c>
      <c r="G1218" s="16">
        <f>IF(D1218=0,0,SUMIF(매도완료!$J:$J,Sheet2!$B1218,매도완료!$S:$S))</f>
        <v>0</v>
      </c>
      <c r="H1218" s="16">
        <f t="shared" si="37"/>
        <v>5729125.2780000018</v>
      </c>
    </row>
    <row r="1219" spans="2:8" hidden="1" x14ac:dyDescent="0.4">
      <c r="B1219" s="1">
        <v>43768</v>
      </c>
      <c r="C1219" s="16">
        <f>SUMIF(매도완료!$G:$G,Sheet2!$B1219,매도완료!$P:$P)</f>
        <v>0</v>
      </c>
      <c r="D1219" s="16">
        <f>SUMIF(매도완료!$J:$J,Sheet2!$B1219,매도완료!$P:$P)</f>
        <v>0</v>
      </c>
      <c r="E1219" s="16">
        <f t="shared" si="36"/>
        <v>88801153.549999997</v>
      </c>
      <c r="G1219" s="16">
        <f>IF(D1219=0,0,SUMIF(매도완료!$J:$J,Sheet2!$B1219,매도완료!$S:$S))</f>
        <v>0</v>
      </c>
      <c r="H1219" s="16">
        <f t="shared" si="37"/>
        <v>5729125.2780000018</v>
      </c>
    </row>
    <row r="1220" spans="2:8" hidden="1" x14ac:dyDescent="0.4">
      <c r="B1220" s="1">
        <v>43769</v>
      </c>
      <c r="C1220" s="16">
        <f>SUMIF(매도완료!$G:$G,Sheet2!$B1220,매도완료!$P:$P)</f>
        <v>0</v>
      </c>
      <c r="D1220" s="16">
        <f>SUMIF(매도완료!$J:$J,Sheet2!$B1220,매도완료!$P:$P)</f>
        <v>0</v>
      </c>
      <c r="E1220" s="16">
        <f t="shared" ref="E1220:E1283" si="38">E1219+C1220-D1220</f>
        <v>88801153.549999997</v>
      </c>
      <c r="G1220" s="16">
        <f>IF(D1220=0,0,SUMIF(매도완료!$J:$J,Sheet2!$B1220,매도완료!$S:$S))</f>
        <v>0</v>
      </c>
      <c r="H1220" s="16">
        <f t="shared" ref="H1220:H1283" si="39">H1219+G1220</f>
        <v>5729125.2780000018</v>
      </c>
    </row>
    <row r="1221" spans="2:8" hidden="1" x14ac:dyDescent="0.4">
      <c r="B1221" s="1">
        <v>43770</v>
      </c>
      <c r="C1221" s="16">
        <f>SUMIF(매도완료!$G:$G,Sheet2!$B1221,매도완료!$P:$P)</f>
        <v>0</v>
      </c>
      <c r="D1221" s="16">
        <f>SUMIF(매도완료!$J:$J,Sheet2!$B1221,매도완료!$P:$P)</f>
        <v>0</v>
      </c>
      <c r="E1221" s="16">
        <f t="shared" si="38"/>
        <v>88801153.549999997</v>
      </c>
      <c r="G1221" s="16">
        <f>IF(D1221=0,0,SUMIF(매도완료!$J:$J,Sheet2!$B1221,매도완료!$S:$S))</f>
        <v>0</v>
      </c>
      <c r="H1221" s="16">
        <f t="shared" si="39"/>
        <v>5729125.2780000018</v>
      </c>
    </row>
    <row r="1222" spans="2:8" hidden="1" x14ac:dyDescent="0.4">
      <c r="B1222" s="1">
        <v>43771</v>
      </c>
      <c r="C1222" s="16">
        <f>SUMIF(매도완료!$G:$G,Sheet2!$B1222,매도완료!$P:$P)</f>
        <v>0</v>
      </c>
      <c r="D1222" s="16">
        <f>SUMIF(매도완료!$J:$J,Sheet2!$B1222,매도완료!$P:$P)</f>
        <v>0</v>
      </c>
      <c r="E1222" s="16">
        <f t="shared" si="38"/>
        <v>88801153.549999997</v>
      </c>
      <c r="G1222" s="16">
        <f>IF(D1222=0,0,SUMIF(매도완료!$J:$J,Sheet2!$B1222,매도완료!$S:$S))</f>
        <v>0</v>
      </c>
      <c r="H1222" s="16">
        <f t="shared" si="39"/>
        <v>5729125.2780000018</v>
      </c>
    </row>
    <row r="1223" spans="2:8" hidden="1" x14ac:dyDescent="0.4">
      <c r="B1223" s="1">
        <v>43772</v>
      </c>
      <c r="C1223" s="16">
        <f>SUMIF(매도완료!$G:$G,Sheet2!$B1223,매도완료!$P:$P)</f>
        <v>0</v>
      </c>
      <c r="D1223" s="16">
        <f>SUMIF(매도완료!$J:$J,Sheet2!$B1223,매도완료!$P:$P)</f>
        <v>0</v>
      </c>
      <c r="E1223" s="16">
        <f t="shared" si="38"/>
        <v>88801153.549999997</v>
      </c>
      <c r="G1223" s="16">
        <f>IF(D1223=0,0,SUMIF(매도완료!$J:$J,Sheet2!$B1223,매도완료!$S:$S))</f>
        <v>0</v>
      </c>
      <c r="H1223" s="16">
        <f t="shared" si="39"/>
        <v>5729125.2780000018</v>
      </c>
    </row>
    <row r="1224" spans="2:8" hidden="1" x14ac:dyDescent="0.4">
      <c r="B1224" s="1">
        <v>43773</v>
      </c>
      <c r="C1224" s="16">
        <f>SUMIF(매도완료!$G:$G,Sheet2!$B1224,매도완료!$P:$P)</f>
        <v>0</v>
      </c>
      <c r="D1224" s="16">
        <f>SUMIF(매도완료!$J:$J,Sheet2!$B1224,매도완료!$P:$P)</f>
        <v>0</v>
      </c>
      <c r="E1224" s="16">
        <f t="shared" si="38"/>
        <v>88801153.549999997</v>
      </c>
      <c r="G1224" s="16">
        <f>IF(D1224=0,0,SUMIF(매도완료!$J:$J,Sheet2!$B1224,매도완료!$S:$S))</f>
        <v>0</v>
      </c>
      <c r="H1224" s="16">
        <f t="shared" si="39"/>
        <v>5729125.2780000018</v>
      </c>
    </row>
    <row r="1225" spans="2:8" hidden="1" x14ac:dyDescent="0.4">
      <c r="B1225" s="1">
        <v>43774</v>
      </c>
      <c r="C1225" s="16">
        <f>SUMIF(매도완료!$G:$G,Sheet2!$B1225,매도완료!$P:$P)</f>
        <v>1890000</v>
      </c>
      <c r="D1225" s="16">
        <f>SUMIF(매도완료!$J:$J,Sheet2!$B1225,매도완료!$P:$P)</f>
        <v>0</v>
      </c>
      <c r="E1225" s="16">
        <f t="shared" si="38"/>
        <v>90691153.549999997</v>
      </c>
      <c r="G1225" s="16">
        <f>IF(D1225=0,0,SUMIF(매도완료!$J:$J,Sheet2!$B1225,매도완료!$S:$S))</f>
        <v>0</v>
      </c>
      <c r="H1225" s="16">
        <f t="shared" si="39"/>
        <v>5729125.2780000018</v>
      </c>
    </row>
    <row r="1226" spans="2:8" hidden="1" x14ac:dyDescent="0.4">
      <c r="B1226" s="1">
        <v>43775</v>
      </c>
      <c r="C1226" s="16">
        <f>SUMIF(매도완료!$G:$G,Sheet2!$B1226,매도완료!$P:$P)</f>
        <v>0</v>
      </c>
      <c r="D1226" s="16">
        <f>SUMIF(매도완료!$J:$J,Sheet2!$B1226,매도완료!$P:$P)</f>
        <v>0</v>
      </c>
      <c r="E1226" s="16">
        <f t="shared" si="38"/>
        <v>90691153.549999997</v>
      </c>
      <c r="G1226" s="16">
        <f>IF(D1226=0,0,SUMIF(매도완료!$J:$J,Sheet2!$B1226,매도완료!$S:$S))</f>
        <v>0</v>
      </c>
      <c r="H1226" s="16">
        <f t="shared" si="39"/>
        <v>5729125.2780000018</v>
      </c>
    </row>
    <row r="1227" spans="2:8" hidden="1" x14ac:dyDescent="0.4">
      <c r="B1227" s="1">
        <v>43776</v>
      </c>
      <c r="C1227" s="16">
        <f>SUMIF(매도완료!$G:$G,Sheet2!$B1227,매도완료!$P:$P)</f>
        <v>0</v>
      </c>
      <c r="D1227" s="16">
        <f>SUMIF(매도완료!$J:$J,Sheet2!$B1227,매도완료!$P:$P)</f>
        <v>0</v>
      </c>
      <c r="E1227" s="16">
        <f t="shared" si="38"/>
        <v>90691153.549999997</v>
      </c>
      <c r="G1227" s="16">
        <f>IF(D1227=0,0,SUMIF(매도완료!$J:$J,Sheet2!$B1227,매도완료!$S:$S))</f>
        <v>0</v>
      </c>
      <c r="H1227" s="16">
        <f t="shared" si="39"/>
        <v>5729125.2780000018</v>
      </c>
    </row>
    <row r="1228" spans="2:8" hidden="1" x14ac:dyDescent="0.4">
      <c r="B1228" s="1">
        <v>43777</v>
      </c>
      <c r="C1228" s="16">
        <f>SUMIF(매도완료!$G:$G,Sheet2!$B1228,매도완료!$P:$P)</f>
        <v>0</v>
      </c>
      <c r="D1228" s="16">
        <f>SUMIF(매도완료!$J:$J,Sheet2!$B1228,매도완료!$P:$P)</f>
        <v>0</v>
      </c>
      <c r="E1228" s="16">
        <f t="shared" si="38"/>
        <v>90691153.549999997</v>
      </c>
      <c r="G1228" s="16">
        <f>IF(D1228=0,0,SUMIF(매도완료!$J:$J,Sheet2!$B1228,매도완료!$S:$S))</f>
        <v>0</v>
      </c>
      <c r="H1228" s="16">
        <f t="shared" si="39"/>
        <v>5729125.2780000018</v>
      </c>
    </row>
    <row r="1229" spans="2:8" hidden="1" x14ac:dyDescent="0.4">
      <c r="B1229" s="1">
        <v>43778</v>
      </c>
      <c r="C1229" s="16">
        <f>SUMIF(매도완료!$G:$G,Sheet2!$B1229,매도완료!$P:$P)</f>
        <v>0</v>
      </c>
      <c r="D1229" s="16">
        <f>SUMIF(매도완료!$J:$J,Sheet2!$B1229,매도완료!$P:$P)</f>
        <v>0</v>
      </c>
      <c r="E1229" s="16">
        <f t="shared" si="38"/>
        <v>90691153.549999997</v>
      </c>
      <c r="G1229" s="16">
        <f>IF(D1229=0,0,SUMIF(매도완료!$J:$J,Sheet2!$B1229,매도완료!$S:$S))</f>
        <v>0</v>
      </c>
      <c r="H1229" s="16">
        <f t="shared" si="39"/>
        <v>5729125.2780000018</v>
      </c>
    </row>
    <row r="1230" spans="2:8" hidden="1" x14ac:dyDescent="0.4">
      <c r="B1230" s="1">
        <v>43779</v>
      </c>
      <c r="C1230" s="16">
        <f>SUMIF(매도완료!$G:$G,Sheet2!$B1230,매도완료!$P:$P)</f>
        <v>0</v>
      </c>
      <c r="D1230" s="16">
        <f>SUMIF(매도완료!$J:$J,Sheet2!$B1230,매도완료!$P:$P)</f>
        <v>0</v>
      </c>
      <c r="E1230" s="16">
        <f t="shared" si="38"/>
        <v>90691153.549999997</v>
      </c>
      <c r="G1230" s="16">
        <f>IF(D1230=0,0,SUMIF(매도완료!$J:$J,Sheet2!$B1230,매도완료!$S:$S))</f>
        <v>0</v>
      </c>
      <c r="H1230" s="16">
        <f t="shared" si="39"/>
        <v>5729125.2780000018</v>
      </c>
    </row>
    <row r="1231" spans="2:8" hidden="1" x14ac:dyDescent="0.4">
      <c r="B1231" s="1">
        <v>43780</v>
      </c>
      <c r="C1231" s="16">
        <f>SUMIF(매도완료!$G:$G,Sheet2!$B1231,매도완료!$P:$P)</f>
        <v>4300000</v>
      </c>
      <c r="D1231" s="16">
        <f>SUMIF(매도완료!$J:$J,Sheet2!$B1231,매도완료!$P:$P)</f>
        <v>8430000</v>
      </c>
      <c r="E1231" s="16">
        <f t="shared" si="38"/>
        <v>86561153.549999997</v>
      </c>
      <c r="G1231" s="16">
        <f>IF(D1231=0,0,SUMIF(매도완료!$J:$J,Sheet2!$B1231,매도완료!$S:$S))</f>
        <v>182720</v>
      </c>
      <c r="H1231" s="16">
        <f t="shared" si="39"/>
        <v>5911845.2780000018</v>
      </c>
    </row>
    <row r="1232" spans="2:8" hidden="1" x14ac:dyDescent="0.4">
      <c r="B1232" s="1">
        <v>43781</v>
      </c>
      <c r="C1232" s="16">
        <f>SUMIF(매도완료!$G:$G,Sheet2!$B1232,매도완료!$P:$P)</f>
        <v>0</v>
      </c>
      <c r="D1232" s="16">
        <f>SUMIF(매도완료!$J:$J,Sheet2!$B1232,매도완료!$P:$P)</f>
        <v>0</v>
      </c>
      <c r="E1232" s="16">
        <f t="shared" si="38"/>
        <v>86561153.549999997</v>
      </c>
      <c r="G1232" s="16">
        <f>IF(D1232=0,0,SUMIF(매도완료!$J:$J,Sheet2!$B1232,매도완료!$S:$S))</f>
        <v>0</v>
      </c>
      <c r="H1232" s="16">
        <f t="shared" si="39"/>
        <v>5911845.2780000018</v>
      </c>
    </row>
    <row r="1233" spans="2:8" hidden="1" x14ac:dyDescent="0.4">
      <c r="B1233" s="1">
        <v>43782</v>
      </c>
      <c r="C1233" s="16">
        <f>SUMIF(매도완료!$G:$G,Sheet2!$B1233,매도완료!$P:$P)</f>
        <v>0</v>
      </c>
      <c r="D1233" s="16">
        <f>SUMIF(매도완료!$J:$J,Sheet2!$B1233,매도완료!$P:$P)</f>
        <v>0</v>
      </c>
      <c r="E1233" s="16">
        <f t="shared" si="38"/>
        <v>86561153.549999997</v>
      </c>
      <c r="G1233" s="16">
        <f>IF(D1233=0,0,SUMIF(매도완료!$J:$J,Sheet2!$B1233,매도완료!$S:$S))</f>
        <v>0</v>
      </c>
      <c r="H1233" s="16">
        <f t="shared" si="39"/>
        <v>5911845.2780000018</v>
      </c>
    </row>
    <row r="1234" spans="2:8" hidden="1" x14ac:dyDescent="0.4">
      <c r="B1234" s="1">
        <v>43783</v>
      </c>
      <c r="C1234" s="16">
        <f>SUMIF(매도완료!$G:$G,Sheet2!$B1234,매도완료!$P:$P)</f>
        <v>1259756.75</v>
      </c>
      <c r="D1234" s="16">
        <f>SUMIF(매도완료!$J:$J,Sheet2!$B1234,매도완료!$P:$P)</f>
        <v>0</v>
      </c>
      <c r="E1234" s="16">
        <f t="shared" si="38"/>
        <v>87820910.299999997</v>
      </c>
      <c r="G1234" s="16">
        <f>IF(D1234=0,0,SUMIF(매도완료!$J:$J,Sheet2!$B1234,매도완료!$S:$S))</f>
        <v>0</v>
      </c>
      <c r="H1234" s="16">
        <f t="shared" si="39"/>
        <v>5911845.2780000018</v>
      </c>
    </row>
    <row r="1235" spans="2:8" hidden="1" x14ac:dyDescent="0.4">
      <c r="B1235" s="1">
        <v>43784</v>
      </c>
      <c r="C1235" s="16">
        <f>SUMIF(매도완료!$G:$G,Sheet2!$B1235,매도완료!$P:$P)</f>
        <v>0</v>
      </c>
      <c r="D1235" s="16">
        <f>SUMIF(매도완료!$J:$J,Sheet2!$B1235,매도완료!$P:$P)</f>
        <v>0</v>
      </c>
      <c r="E1235" s="16">
        <f t="shared" si="38"/>
        <v>87820910.299999997</v>
      </c>
      <c r="G1235" s="16">
        <f>IF(D1235=0,0,SUMIF(매도완료!$J:$J,Sheet2!$B1235,매도완료!$S:$S))</f>
        <v>0</v>
      </c>
      <c r="H1235" s="16">
        <f t="shared" si="39"/>
        <v>5911845.2780000018</v>
      </c>
    </row>
    <row r="1236" spans="2:8" hidden="1" x14ac:dyDescent="0.4">
      <c r="B1236" s="1">
        <v>43785</v>
      </c>
      <c r="C1236" s="16">
        <f>SUMIF(매도완료!$G:$G,Sheet2!$B1236,매도완료!$P:$P)</f>
        <v>0</v>
      </c>
      <c r="D1236" s="16">
        <f>SUMIF(매도완료!$J:$J,Sheet2!$B1236,매도완료!$P:$P)</f>
        <v>0</v>
      </c>
      <c r="E1236" s="16">
        <f t="shared" si="38"/>
        <v>87820910.299999997</v>
      </c>
      <c r="G1236" s="16">
        <f>IF(D1236=0,0,SUMIF(매도완료!$J:$J,Sheet2!$B1236,매도완료!$S:$S))</f>
        <v>0</v>
      </c>
      <c r="H1236" s="16">
        <f t="shared" si="39"/>
        <v>5911845.2780000018</v>
      </c>
    </row>
    <row r="1237" spans="2:8" hidden="1" x14ac:dyDescent="0.4">
      <c r="B1237" s="1">
        <v>43786</v>
      </c>
      <c r="C1237" s="16">
        <f>SUMIF(매도완료!$G:$G,Sheet2!$B1237,매도완료!$P:$P)</f>
        <v>0</v>
      </c>
      <c r="D1237" s="16">
        <f>SUMIF(매도완료!$J:$J,Sheet2!$B1237,매도완료!$P:$P)</f>
        <v>0</v>
      </c>
      <c r="E1237" s="16">
        <f t="shared" si="38"/>
        <v>87820910.299999997</v>
      </c>
      <c r="G1237" s="16">
        <f>IF(D1237=0,0,SUMIF(매도완료!$J:$J,Sheet2!$B1237,매도완료!$S:$S))</f>
        <v>0</v>
      </c>
      <c r="H1237" s="16">
        <f t="shared" si="39"/>
        <v>5911845.2780000018</v>
      </c>
    </row>
    <row r="1238" spans="2:8" hidden="1" x14ac:dyDescent="0.4">
      <c r="B1238" s="1">
        <v>43787</v>
      </c>
      <c r="C1238" s="16">
        <f>SUMIF(매도완료!$G:$G,Sheet2!$B1238,매도완료!$P:$P)</f>
        <v>0</v>
      </c>
      <c r="D1238" s="16">
        <f>SUMIF(매도완료!$J:$J,Sheet2!$B1238,매도완료!$P:$P)</f>
        <v>0</v>
      </c>
      <c r="E1238" s="16">
        <f t="shared" si="38"/>
        <v>87820910.299999997</v>
      </c>
      <c r="G1238" s="16">
        <f>IF(D1238=0,0,SUMIF(매도완료!$J:$J,Sheet2!$B1238,매도완료!$S:$S))</f>
        <v>0</v>
      </c>
      <c r="H1238" s="16">
        <f t="shared" si="39"/>
        <v>5911845.2780000018</v>
      </c>
    </row>
    <row r="1239" spans="2:8" hidden="1" x14ac:dyDescent="0.4">
      <c r="B1239" s="1">
        <v>43788</v>
      </c>
      <c r="C1239" s="16">
        <f>SUMIF(매도완료!$G:$G,Sheet2!$B1239,매도완료!$P:$P)</f>
        <v>0</v>
      </c>
      <c r="D1239" s="16">
        <f>SUMIF(매도완료!$J:$J,Sheet2!$B1239,매도완료!$P:$P)</f>
        <v>0</v>
      </c>
      <c r="E1239" s="16">
        <f t="shared" si="38"/>
        <v>87820910.299999997</v>
      </c>
      <c r="G1239" s="16">
        <f>IF(D1239=0,0,SUMIF(매도완료!$J:$J,Sheet2!$B1239,매도완료!$S:$S))</f>
        <v>0</v>
      </c>
      <c r="H1239" s="16">
        <f t="shared" si="39"/>
        <v>5911845.2780000018</v>
      </c>
    </row>
    <row r="1240" spans="2:8" hidden="1" x14ac:dyDescent="0.4">
      <c r="B1240" s="1">
        <v>43789</v>
      </c>
      <c r="C1240" s="16">
        <f>SUMIF(매도완료!$G:$G,Sheet2!$B1240,매도완료!$P:$P)</f>
        <v>0</v>
      </c>
      <c r="D1240" s="16">
        <f>SUMIF(매도완료!$J:$J,Sheet2!$B1240,매도완료!$P:$P)</f>
        <v>0</v>
      </c>
      <c r="E1240" s="16">
        <f t="shared" si="38"/>
        <v>87820910.299999997</v>
      </c>
      <c r="G1240" s="16">
        <f>IF(D1240=0,0,SUMIF(매도완료!$J:$J,Sheet2!$B1240,매도완료!$S:$S))</f>
        <v>0</v>
      </c>
      <c r="H1240" s="16">
        <f t="shared" si="39"/>
        <v>5911845.2780000018</v>
      </c>
    </row>
    <row r="1241" spans="2:8" hidden="1" x14ac:dyDescent="0.4">
      <c r="B1241" s="1">
        <v>43790</v>
      </c>
      <c r="C1241" s="16">
        <f>SUMIF(매도완료!$G:$G,Sheet2!$B1241,매도완료!$P:$P)</f>
        <v>0</v>
      </c>
      <c r="D1241" s="16">
        <f>SUMIF(매도완료!$J:$J,Sheet2!$B1241,매도완료!$P:$P)</f>
        <v>0</v>
      </c>
      <c r="E1241" s="16">
        <f t="shared" si="38"/>
        <v>87820910.299999997</v>
      </c>
      <c r="G1241" s="16">
        <f>IF(D1241=0,0,SUMIF(매도완료!$J:$J,Sheet2!$B1241,매도완료!$S:$S))</f>
        <v>0</v>
      </c>
      <c r="H1241" s="16">
        <f t="shared" si="39"/>
        <v>5911845.2780000018</v>
      </c>
    </row>
    <row r="1242" spans="2:8" hidden="1" x14ac:dyDescent="0.4">
      <c r="B1242" s="1">
        <v>43791</v>
      </c>
      <c r="C1242" s="16">
        <f>SUMIF(매도완료!$G:$G,Sheet2!$B1242,매도완료!$P:$P)</f>
        <v>0</v>
      </c>
      <c r="D1242" s="16">
        <f>SUMIF(매도완료!$J:$J,Sheet2!$B1242,매도완료!$P:$P)</f>
        <v>0</v>
      </c>
      <c r="E1242" s="16">
        <f t="shared" si="38"/>
        <v>87820910.299999997</v>
      </c>
      <c r="G1242" s="16">
        <f>IF(D1242=0,0,SUMIF(매도완료!$J:$J,Sheet2!$B1242,매도완료!$S:$S))</f>
        <v>0</v>
      </c>
      <c r="H1242" s="16">
        <f t="shared" si="39"/>
        <v>5911845.2780000018</v>
      </c>
    </row>
    <row r="1243" spans="2:8" hidden="1" x14ac:dyDescent="0.4">
      <c r="B1243" s="1">
        <v>43792</v>
      </c>
      <c r="C1243" s="16">
        <f>SUMIF(매도완료!$G:$G,Sheet2!$B1243,매도완료!$P:$P)</f>
        <v>0</v>
      </c>
      <c r="D1243" s="16">
        <f>SUMIF(매도완료!$J:$J,Sheet2!$B1243,매도완료!$P:$P)</f>
        <v>0</v>
      </c>
      <c r="E1243" s="16">
        <f t="shared" si="38"/>
        <v>87820910.299999997</v>
      </c>
      <c r="G1243" s="16">
        <f>IF(D1243=0,0,SUMIF(매도완료!$J:$J,Sheet2!$B1243,매도완료!$S:$S))</f>
        <v>0</v>
      </c>
      <c r="H1243" s="16">
        <f t="shared" si="39"/>
        <v>5911845.2780000018</v>
      </c>
    </row>
    <row r="1244" spans="2:8" hidden="1" x14ac:dyDescent="0.4">
      <c r="B1244" s="1">
        <v>43793</v>
      </c>
      <c r="C1244" s="16">
        <f>SUMIF(매도완료!$G:$G,Sheet2!$B1244,매도완료!$P:$P)</f>
        <v>0</v>
      </c>
      <c r="D1244" s="16">
        <f>SUMIF(매도완료!$J:$J,Sheet2!$B1244,매도완료!$P:$P)</f>
        <v>0</v>
      </c>
      <c r="E1244" s="16">
        <f t="shared" si="38"/>
        <v>87820910.299999997</v>
      </c>
      <c r="G1244" s="16">
        <f>IF(D1244=0,0,SUMIF(매도완료!$J:$J,Sheet2!$B1244,매도완료!$S:$S))</f>
        <v>0</v>
      </c>
      <c r="H1244" s="16">
        <f t="shared" si="39"/>
        <v>5911845.2780000018</v>
      </c>
    </row>
    <row r="1245" spans="2:8" hidden="1" x14ac:dyDescent="0.4">
      <c r="B1245" s="1">
        <v>43794</v>
      </c>
      <c r="C1245" s="16">
        <f>SUMIF(매도완료!$G:$G,Sheet2!$B1245,매도완료!$P:$P)</f>
        <v>0</v>
      </c>
      <c r="D1245" s="16">
        <f>SUMIF(매도완료!$J:$J,Sheet2!$B1245,매도완료!$P:$P)</f>
        <v>0</v>
      </c>
      <c r="E1245" s="16">
        <f t="shared" si="38"/>
        <v>87820910.299999997</v>
      </c>
      <c r="G1245" s="16">
        <f>IF(D1245=0,0,SUMIF(매도완료!$J:$J,Sheet2!$B1245,매도완료!$S:$S))</f>
        <v>0</v>
      </c>
      <c r="H1245" s="16">
        <f t="shared" si="39"/>
        <v>5911845.2780000018</v>
      </c>
    </row>
    <row r="1246" spans="2:8" hidden="1" x14ac:dyDescent="0.4">
      <c r="B1246" s="1">
        <v>43795</v>
      </c>
      <c r="C1246" s="16">
        <f>SUMIF(매도완료!$G:$G,Sheet2!$B1246,매도완료!$P:$P)</f>
        <v>0</v>
      </c>
      <c r="D1246" s="16">
        <f>SUMIF(매도완료!$J:$J,Sheet2!$B1246,매도완료!$P:$P)</f>
        <v>0</v>
      </c>
      <c r="E1246" s="16">
        <f t="shared" si="38"/>
        <v>87820910.299999997</v>
      </c>
      <c r="G1246" s="16">
        <f>IF(D1246=0,0,SUMIF(매도완료!$J:$J,Sheet2!$B1246,매도완료!$S:$S))</f>
        <v>0</v>
      </c>
      <c r="H1246" s="16">
        <f t="shared" si="39"/>
        <v>5911845.2780000018</v>
      </c>
    </row>
    <row r="1247" spans="2:8" hidden="1" x14ac:dyDescent="0.4">
      <c r="B1247" s="1">
        <v>43796</v>
      </c>
      <c r="C1247" s="16">
        <f>SUMIF(매도완료!$G:$G,Sheet2!$B1247,매도완료!$P:$P)</f>
        <v>0</v>
      </c>
      <c r="D1247" s="16">
        <f>SUMIF(매도완료!$J:$J,Sheet2!$B1247,매도완료!$P:$P)</f>
        <v>0</v>
      </c>
      <c r="E1247" s="16">
        <f t="shared" si="38"/>
        <v>87820910.299999997</v>
      </c>
      <c r="G1247" s="16">
        <f>IF(D1247=0,0,SUMIF(매도완료!$J:$J,Sheet2!$B1247,매도완료!$S:$S))</f>
        <v>0</v>
      </c>
      <c r="H1247" s="16">
        <f t="shared" si="39"/>
        <v>5911845.2780000018</v>
      </c>
    </row>
    <row r="1248" spans="2:8" hidden="1" x14ac:dyDescent="0.4">
      <c r="B1248" s="1">
        <v>43797</v>
      </c>
      <c r="C1248" s="16">
        <f>SUMIF(매도완료!$G:$G,Sheet2!$B1248,매도완료!$P:$P)</f>
        <v>0</v>
      </c>
      <c r="D1248" s="16">
        <f>SUMIF(매도완료!$J:$J,Sheet2!$B1248,매도완료!$P:$P)</f>
        <v>0</v>
      </c>
      <c r="E1248" s="16">
        <f t="shared" si="38"/>
        <v>87820910.299999997</v>
      </c>
      <c r="G1248" s="16">
        <f>IF(D1248=0,0,SUMIF(매도완료!$J:$J,Sheet2!$B1248,매도완료!$S:$S))</f>
        <v>0</v>
      </c>
      <c r="H1248" s="16">
        <f t="shared" si="39"/>
        <v>5911845.2780000018</v>
      </c>
    </row>
    <row r="1249" spans="2:8" hidden="1" x14ac:dyDescent="0.4">
      <c r="B1249" s="1">
        <v>43798</v>
      </c>
      <c r="C1249" s="16">
        <f>SUMIF(매도완료!$G:$G,Sheet2!$B1249,매도완료!$P:$P)</f>
        <v>130000</v>
      </c>
      <c r="D1249" s="16">
        <f>SUMIF(매도완료!$J:$J,Sheet2!$B1249,매도완료!$P:$P)</f>
        <v>0</v>
      </c>
      <c r="E1249" s="16">
        <f t="shared" si="38"/>
        <v>87950910.299999997</v>
      </c>
      <c r="G1249" s="16">
        <f>IF(D1249=0,0,SUMIF(매도완료!$J:$J,Sheet2!$B1249,매도완료!$S:$S))</f>
        <v>0</v>
      </c>
      <c r="H1249" s="16">
        <f t="shared" si="39"/>
        <v>5911845.2780000018</v>
      </c>
    </row>
    <row r="1250" spans="2:8" hidden="1" x14ac:dyDescent="0.4">
      <c r="B1250" s="1">
        <v>43799</v>
      </c>
      <c r="C1250" s="16">
        <f>SUMIF(매도완료!$G:$G,Sheet2!$B1250,매도완료!$P:$P)</f>
        <v>0</v>
      </c>
      <c r="D1250" s="16">
        <f>SUMIF(매도완료!$J:$J,Sheet2!$B1250,매도완료!$P:$P)</f>
        <v>0</v>
      </c>
      <c r="E1250" s="16">
        <f t="shared" si="38"/>
        <v>87950910.299999997</v>
      </c>
      <c r="G1250" s="16">
        <f>IF(D1250=0,0,SUMIF(매도완료!$J:$J,Sheet2!$B1250,매도완료!$S:$S))</f>
        <v>0</v>
      </c>
      <c r="H1250" s="16">
        <f t="shared" si="39"/>
        <v>5911845.2780000018</v>
      </c>
    </row>
    <row r="1251" spans="2:8" hidden="1" x14ac:dyDescent="0.4">
      <c r="B1251" s="1">
        <v>43800</v>
      </c>
      <c r="C1251" s="16">
        <f>SUMIF(매도완료!$G:$G,Sheet2!$B1251,매도완료!$P:$P)</f>
        <v>0</v>
      </c>
      <c r="D1251" s="16">
        <f>SUMIF(매도완료!$J:$J,Sheet2!$B1251,매도완료!$P:$P)</f>
        <v>0</v>
      </c>
      <c r="E1251" s="16">
        <f t="shared" si="38"/>
        <v>87950910.299999997</v>
      </c>
      <c r="G1251" s="16">
        <f>IF(D1251=0,0,SUMIF(매도완료!$J:$J,Sheet2!$B1251,매도완료!$S:$S))</f>
        <v>0</v>
      </c>
      <c r="H1251" s="16">
        <f t="shared" si="39"/>
        <v>5911845.2780000018</v>
      </c>
    </row>
    <row r="1252" spans="2:8" hidden="1" x14ac:dyDescent="0.4">
      <c r="B1252" s="1">
        <v>43801</v>
      </c>
      <c r="C1252" s="16">
        <f>SUMIF(매도완료!$G:$G,Sheet2!$B1252,매도완료!$P:$P)</f>
        <v>0</v>
      </c>
      <c r="D1252" s="16">
        <f>SUMIF(매도완료!$J:$J,Sheet2!$B1252,매도완료!$P:$P)</f>
        <v>0</v>
      </c>
      <c r="E1252" s="16">
        <f t="shared" si="38"/>
        <v>87950910.299999997</v>
      </c>
      <c r="G1252" s="16">
        <f>IF(D1252=0,0,SUMIF(매도완료!$J:$J,Sheet2!$B1252,매도완료!$S:$S))</f>
        <v>0</v>
      </c>
      <c r="H1252" s="16">
        <f t="shared" si="39"/>
        <v>5911845.2780000018</v>
      </c>
    </row>
    <row r="1253" spans="2:8" hidden="1" x14ac:dyDescent="0.4">
      <c r="B1253" s="1">
        <v>43802</v>
      </c>
      <c r="C1253" s="16">
        <f>SUMIF(매도완료!$G:$G,Sheet2!$B1253,매도완료!$P:$P)</f>
        <v>0</v>
      </c>
      <c r="D1253" s="16">
        <f>SUMIF(매도완료!$J:$J,Sheet2!$B1253,매도완료!$P:$P)</f>
        <v>0</v>
      </c>
      <c r="E1253" s="16">
        <f t="shared" si="38"/>
        <v>87950910.299999997</v>
      </c>
      <c r="G1253" s="16">
        <f>IF(D1253=0,0,SUMIF(매도완료!$J:$J,Sheet2!$B1253,매도완료!$S:$S))</f>
        <v>0</v>
      </c>
      <c r="H1253" s="16">
        <f t="shared" si="39"/>
        <v>5911845.2780000018</v>
      </c>
    </row>
    <row r="1254" spans="2:8" hidden="1" x14ac:dyDescent="0.4">
      <c r="B1254" s="1">
        <v>43803</v>
      </c>
      <c r="C1254" s="16">
        <f>SUMIF(매도완료!$G:$G,Sheet2!$B1254,매도완료!$P:$P)</f>
        <v>0</v>
      </c>
      <c r="D1254" s="16">
        <f>SUMIF(매도완료!$J:$J,Sheet2!$B1254,매도완료!$P:$P)</f>
        <v>0</v>
      </c>
      <c r="E1254" s="16">
        <f t="shared" si="38"/>
        <v>87950910.299999997</v>
      </c>
      <c r="G1254" s="16">
        <f>IF(D1254=0,0,SUMIF(매도완료!$J:$J,Sheet2!$B1254,매도완료!$S:$S))</f>
        <v>0</v>
      </c>
      <c r="H1254" s="16">
        <f t="shared" si="39"/>
        <v>5911845.2780000018</v>
      </c>
    </row>
    <row r="1255" spans="2:8" hidden="1" x14ac:dyDescent="0.4">
      <c r="B1255" s="1">
        <v>43804</v>
      </c>
      <c r="C1255" s="16">
        <f>SUMIF(매도완료!$G:$G,Sheet2!$B1255,매도완료!$P:$P)</f>
        <v>0</v>
      </c>
      <c r="D1255" s="16">
        <f>SUMIF(매도완료!$J:$J,Sheet2!$B1255,매도완료!$P:$P)</f>
        <v>0</v>
      </c>
      <c r="E1255" s="16">
        <f t="shared" si="38"/>
        <v>87950910.299999997</v>
      </c>
      <c r="G1255" s="16">
        <f>IF(D1255=0,0,SUMIF(매도완료!$J:$J,Sheet2!$B1255,매도완료!$S:$S))</f>
        <v>0</v>
      </c>
      <c r="H1255" s="16">
        <f t="shared" si="39"/>
        <v>5911845.2780000018</v>
      </c>
    </row>
    <row r="1256" spans="2:8" hidden="1" x14ac:dyDescent="0.4">
      <c r="B1256" s="1">
        <v>43805</v>
      </c>
      <c r="C1256" s="16">
        <f>SUMIF(매도완료!$G:$G,Sheet2!$B1256,매도완료!$P:$P)</f>
        <v>0</v>
      </c>
      <c r="D1256" s="16">
        <f>SUMIF(매도완료!$J:$J,Sheet2!$B1256,매도완료!$P:$P)</f>
        <v>0</v>
      </c>
      <c r="E1256" s="16">
        <f t="shared" si="38"/>
        <v>87950910.299999997</v>
      </c>
      <c r="G1256" s="16">
        <f>IF(D1256=0,0,SUMIF(매도완료!$J:$J,Sheet2!$B1256,매도완료!$S:$S))</f>
        <v>0</v>
      </c>
      <c r="H1256" s="16">
        <f t="shared" si="39"/>
        <v>5911845.2780000018</v>
      </c>
    </row>
    <row r="1257" spans="2:8" hidden="1" x14ac:dyDescent="0.4">
      <c r="B1257" s="1">
        <v>43806</v>
      </c>
      <c r="C1257" s="16">
        <f>SUMIF(매도완료!$G:$G,Sheet2!$B1257,매도완료!$P:$P)</f>
        <v>0</v>
      </c>
      <c r="D1257" s="16">
        <f>SUMIF(매도완료!$J:$J,Sheet2!$B1257,매도완료!$P:$P)</f>
        <v>0</v>
      </c>
      <c r="E1257" s="16">
        <f t="shared" si="38"/>
        <v>87950910.299999997</v>
      </c>
      <c r="G1257" s="16">
        <f>IF(D1257=0,0,SUMIF(매도완료!$J:$J,Sheet2!$B1257,매도완료!$S:$S))</f>
        <v>0</v>
      </c>
      <c r="H1257" s="16">
        <f t="shared" si="39"/>
        <v>5911845.2780000018</v>
      </c>
    </row>
    <row r="1258" spans="2:8" hidden="1" x14ac:dyDescent="0.4">
      <c r="B1258" s="1">
        <v>43807</v>
      </c>
      <c r="C1258" s="16">
        <f>SUMIF(매도완료!$G:$G,Sheet2!$B1258,매도완료!$P:$P)</f>
        <v>0</v>
      </c>
      <c r="D1258" s="16">
        <f>SUMIF(매도완료!$J:$J,Sheet2!$B1258,매도완료!$P:$P)</f>
        <v>0</v>
      </c>
      <c r="E1258" s="16">
        <f t="shared" si="38"/>
        <v>87950910.299999997</v>
      </c>
      <c r="G1258" s="16">
        <f>IF(D1258=0,0,SUMIF(매도완료!$J:$J,Sheet2!$B1258,매도완료!$S:$S))</f>
        <v>0</v>
      </c>
      <c r="H1258" s="16">
        <f t="shared" si="39"/>
        <v>5911845.2780000018</v>
      </c>
    </row>
    <row r="1259" spans="2:8" hidden="1" x14ac:dyDescent="0.4">
      <c r="B1259" s="1">
        <v>43808</v>
      </c>
      <c r="C1259" s="16">
        <f>SUMIF(매도완료!$G:$G,Sheet2!$B1259,매도완료!$P:$P)</f>
        <v>0</v>
      </c>
      <c r="D1259" s="16">
        <f>SUMIF(매도완료!$J:$J,Sheet2!$B1259,매도완료!$P:$P)</f>
        <v>0</v>
      </c>
      <c r="E1259" s="16">
        <f t="shared" si="38"/>
        <v>87950910.299999997</v>
      </c>
      <c r="G1259" s="16">
        <f>IF(D1259=0,0,SUMIF(매도완료!$J:$J,Sheet2!$B1259,매도완료!$S:$S))</f>
        <v>0</v>
      </c>
      <c r="H1259" s="16">
        <f t="shared" si="39"/>
        <v>5911845.2780000018</v>
      </c>
    </row>
    <row r="1260" spans="2:8" hidden="1" x14ac:dyDescent="0.4">
      <c r="B1260" s="1">
        <v>43809</v>
      </c>
      <c r="C1260" s="16">
        <f>SUMIF(매도완료!$G:$G,Sheet2!$B1260,매도완료!$P:$P)</f>
        <v>0</v>
      </c>
      <c r="D1260" s="16">
        <f>SUMIF(매도완료!$J:$J,Sheet2!$B1260,매도완료!$P:$P)</f>
        <v>0</v>
      </c>
      <c r="E1260" s="16">
        <f t="shared" si="38"/>
        <v>87950910.299999997</v>
      </c>
      <c r="G1260" s="16">
        <f>IF(D1260=0,0,SUMIF(매도완료!$J:$J,Sheet2!$B1260,매도완료!$S:$S))</f>
        <v>0</v>
      </c>
      <c r="H1260" s="16">
        <f t="shared" si="39"/>
        <v>5911845.2780000018</v>
      </c>
    </row>
    <row r="1261" spans="2:8" hidden="1" x14ac:dyDescent="0.4">
      <c r="B1261" s="1">
        <v>43810</v>
      </c>
      <c r="C1261" s="16">
        <f>SUMIF(매도완료!$G:$G,Sheet2!$B1261,매도완료!$P:$P)</f>
        <v>0</v>
      </c>
      <c r="D1261" s="16">
        <f>SUMIF(매도완료!$J:$J,Sheet2!$B1261,매도완료!$P:$P)</f>
        <v>0</v>
      </c>
      <c r="E1261" s="16">
        <f t="shared" si="38"/>
        <v>87950910.299999997</v>
      </c>
      <c r="G1261" s="16">
        <f>IF(D1261=0,0,SUMIF(매도완료!$J:$J,Sheet2!$B1261,매도완료!$S:$S))</f>
        <v>0</v>
      </c>
      <c r="H1261" s="16">
        <f t="shared" si="39"/>
        <v>5911845.2780000018</v>
      </c>
    </row>
    <row r="1262" spans="2:8" hidden="1" x14ac:dyDescent="0.4">
      <c r="B1262" s="1">
        <v>43811</v>
      </c>
      <c r="C1262" s="16">
        <f>SUMIF(매도완료!$G:$G,Sheet2!$B1262,매도완료!$P:$P)</f>
        <v>0</v>
      </c>
      <c r="D1262" s="16">
        <f>SUMIF(매도완료!$J:$J,Sheet2!$B1262,매도완료!$P:$P)</f>
        <v>0</v>
      </c>
      <c r="E1262" s="16">
        <f t="shared" si="38"/>
        <v>87950910.299999997</v>
      </c>
      <c r="G1262" s="16">
        <f>IF(D1262=0,0,SUMIF(매도완료!$J:$J,Sheet2!$B1262,매도완료!$S:$S))</f>
        <v>0</v>
      </c>
      <c r="H1262" s="16">
        <f t="shared" si="39"/>
        <v>5911845.2780000018</v>
      </c>
    </row>
    <row r="1263" spans="2:8" hidden="1" x14ac:dyDescent="0.4">
      <c r="B1263" s="1">
        <v>43812</v>
      </c>
      <c r="C1263" s="16">
        <f>SUMIF(매도완료!$G:$G,Sheet2!$B1263,매도완료!$P:$P)</f>
        <v>0</v>
      </c>
      <c r="D1263" s="16">
        <f>SUMIF(매도완료!$J:$J,Sheet2!$B1263,매도완료!$P:$P)</f>
        <v>1127500</v>
      </c>
      <c r="E1263" s="16">
        <f t="shared" si="38"/>
        <v>86823410.299999997</v>
      </c>
      <c r="G1263" s="16">
        <f>IF(D1263=0,0,SUMIF(매도완료!$J:$J,Sheet2!$B1263,매도완료!$S:$S))</f>
        <v>93402</v>
      </c>
      <c r="H1263" s="16">
        <f t="shared" si="39"/>
        <v>6005247.2780000018</v>
      </c>
    </row>
    <row r="1264" spans="2:8" hidden="1" x14ac:dyDescent="0.4">
      <c r="B1264" s="1">
        <v>43813</v>
      </c>
      <c r="C1264" s="16">
        <f>SUMIF(매도완료!$G:$G,Sheet2!$B1264,매도완료!$P:$P)</f>
        <v>0</v>
      </c>
      <c r="D1264" s="16">
        <f>SUMIF(매도완료!$J:$J,Sheet2!$B1264,매도완료!$P:$P)</f>
        <v>0</v>
      </c>
      <c r="E1264" s="16">
        <f t="shared" si="38"/>
        <v>86823410.299999997</v>
      </c>
      <c r="G1264" s="16">
        <f>IF(D1264=0,0,SUMIF(매도완료!$J:$J,Sheet2!$B1264,매도완료!$S:$S))</f>
        <v>0</v>
      </c>
      <c r="H1264" s="16">
        <f t="shared" si="39"/>
        <v>6005247.2780000018</v>
      </c>
    </row>
    <row r="1265" spans="2:8" hidden="1" x14ac:dyDescent="0.4">
      <c r="B1265" s="1">
        <v>43814</v>
      </c>
      <c r="C1265" s="16">
        <f>SUMIF(매도완료!$G:$G,Sheet2!$B1265,매도완료!$P:$P)</f>
        <v>0</v>
      </c>
      <c r="D1265" s="16">
        <f>SUMIF(매도완료!$J:$J,Sheet2!$B1265,매도완료!$P:$P)</f>
        <v>0</v>
      </c>
      <c r="E1265" s="16">
        <f t="shared" si="38"/>
        <v>86823410.299999997</v>
      </c>
      <c r="G1265" s="16">
        <f>IF(D1265=0,0,SUMIF(매도완료!$J:$J,Sheet2!$B1265,매도완료!$S:$S))</f>
        <v>0</v>
      </c>
      <c r="H1265" s="16">
        <f t="shared" si="39"/>
        <v>6005247.2780000018</v>
      </c>
    </row>
    <row r="1266" spans="2:8" hidden="1" x14ac:dyDescent="0.4">
      <c r="B1266" s="1">
        <v>43815</v>
      </c>
      <c r="C1266" s="16">
        <f>SUMIF(매도완료!$G:$G,Sheet2!$B1266,매도완료!$P:$P)</f>
        <v>0</v>
      </c>
      <c r="D1266" s="16">
        <f>SUMIF(매도완료!$J:$J,Sheet2!$B1266,매도완료!$P:$P)</f>
        <v>0</v>
      </c>
      <c r="E1266" s="16">
        <f t="shared" si="38"/>
        <v>86823410.299999997</v>
      </c>
      <c r="G1266" s="16">
        <f>IF(D1266=0,0,SUMIF(매도완료!$J:$J,Sheet2!$B1266,매도완료!$S:$S))</f>
        <v>0</v>
      </c>
      <c r="H1266" s="16">
        <f t="shared" si="39"/>
        <v>6005247.2780000018</v>
      </c>
    </row>
    <row r="1267" spans="2:8" hidden="1" x14ac:dyDescent="0.4">
      <c r="B1267" s="1">
        <v>43816</v>
      </c>
      <c r="C1267" s="16">
        <f>SUMIF(매도완료!$G:$G,Sheet2!$B1267,매도완료!$P:$P)</f>
        <v>0</v>
      </c>
      <c r="D1267" s="16">
        <f>SUMIF(매도완료!$J:$J,Sheet2!$B1267,매도완료!$P:$P)</f>
        <v>0</v>
      </c>
      <c r="E1267" s="16">
        <f t="shared" si="38"/>
        <v>86823410.299999997</v>
      </c>
      <c r="G1267" s="16">
        <f>IF(D1267=0,0,SUMIF(매도완료!$J:$J,Sheet2!$B1267,매도완료!$S:$S))</f>
        <v>0</v>
      </c>
      <c r="H1267" s="16">
        <f t="shared" si="39"/>
        <v>6005247.2780000018</v>
      </c>
    </row>
    <row r="1268" spans="2:8" hidden="1" x14ac:dyDescent="0.4">
      <c r="B1268" s="1">
        <v>43817</v>
      </c>
      <c r="C1268" s="16">
        <f>SUMIF(매도완료!$G:$G,Sheet2!$B1268,매도완료!$P:$P)</f>
        <v>1320964.2</v>
      </c>
      <c r="D1268" s="16">
        <f>SUMIF(매도완료!$J:$J,Sheet2!$B1268,매도완료!$P:$P)</f>
        <v>0</v>
      </c>
      <c r="E1268" s="16">
        <f t="shared" si="38"/>
        <v>88144374.5</v>
      </c>
      <c r="G1268" s="16">
        <f>IF(D1268=0,0,SUMIF(매도완료!$J:$J,Sheet2!$B1268,매도완료!$S:$S))</f>
        <v>0</v>
      </c>
      <c r="H1268" s="16">
        <f t="shared" si="39"/>
        <v>6005247.2780000018</v>
      </c>
    </row>
    <row r="1269" spans="2:8" hidden="1" x14ac:dyDescent="0.4">
      <c r="B1269" s="1">
        <v>43818</v>
      </c>
      <c r="C1269" s="16">
        <f>SUMIF(매도완료!$G:$G,Sheet2!$B1269,매도완료!$P:$P)</f>
        <v>3321867.5999999996</v>
      </c>
      <c r="D1269" s="16">
        <f>SUMIF(매도완료!$J:$J,Sheet2!$B1269,매도완료!$P:$P)</f>
        <v>0</v>
      </c>
      <c r="E1269" s="16">
        <f t="shared" si="38"/>
        <v>91466242.099999994</v>
      </c>
      <c r="G1269" s="16">
        <f>IF(D1269=0,0,SUMIF(매도완료!$J:$J,Sheet2!$B1269,매도완료!$S:$S))</f>
        <v>0</v>
      </c>
      <c r="H1269" s="16">
        <f t="shared" si="39"/>
        <v>6005247.2780000018</v>
      </c>
    </row>
    <row r="1270" spans="2:8" hidden="1" x14ac:dyDescent="0.4">
      <c r="B1270" s="1">
        <v>43819</v>
      </c>
      <c r="C1270" s="16">
        <f>SUMIF(매도완료!$G:$G,Sheet2!$B1270,매도완료!$P:$P)</f>
        <v>942000</v>
      </c>
      <c r="D1270" s="16">
        <f>SUMIF(매도완료!$J:$J,Sheet2!$B1270,매도완료!$P:$P)</f>
        <v>0</v>
      </c>
      <c r="E1270" s="16">
        <f t="shared" si="38"/>
        <v>92408242.099999994</v>
      </c>
      <c r="G1270" s="16">
        <f>IF(D1270=0,0,SUMIF(매도완료!$J:$J,Sheet2!$B1270,매도완료!$S:$S))</f>
        <v>0</v>
      </c>
      <c r="H1270" s="16">
        <f t="shared" si="39"/>
        <v>6005247.2780000018</v>
      </c>
    </row>
    <row r="1271" spans="2:8" hidden="1" x14ac:dyDescent="0.4">
      <c r="B1271" s="1">
        <v>43820</v>
      </c>
      <c r="C1271" s="16">
        <f>SUMIF(매도완료!$G:$G,Sheet2!$B1271,매도완료!$P:$P)</f>
        <v>0</v>
      </c>
      <c r="D1271" s="16">
        <f>SUMIF(매도완료!$J:$J,Sheet2!$B1271,매도완료!$P:$P)</f>
        <v>0</v>
      </c>
      <c r="E1271" s="16">
        <f t="shared" si="38"/>
        <v>92408242.099999994</v>
      </c>
      <c r="G1271" s="16">
        <f>IF(D1271=0,0,SUMIF(매도완료!$J:$J,Sheet2!$B1271,매도완료!$S:$S))</f>
        <v>0</v>
      </c>
      <c r="H1271" s="16">
        <f t="shared" si="39"/>
        <v>6005247.2780000018</v>
      </c>
    </row>
    <row r="1272" spans="2:8" hidden="1" x14ac:dyDescent="0.4">
      <c r="B1272" s="1">
        <v>43821</v>
      </c>
      <c r="C1272" s="16">
        <f>SUMIF(매도완료!$G:$G,Sheet2!$B1272,매도완료!$P:$P)</f>
        <v>0</v>
      </c>
      <c r="D1272" s="16">
        <f>SUMIF(매도완료!$J:$J,Sheet2!$B1272,매도완료!$P:$P)</f>
        <v>0</v>
      </c>
      <c r="E1272" s="16">
        <f t="shared" si="38"/>
        <v>92408242.099999994</v>
      </c>
      <c r="G1272" s="16">
        <f>IF(D1272=0,0,SUMIF(매도완료!$J:$J,Sheet2!$B1272,매도완료!$S:$S))</f>
        <v>0</v>
      </c>
      <c r="H1272" s="16">
        <f t="shared" si="39"/>
        <v>6005247.2780000018</v>
      </c>
    </row>
    <row r="1273" spans="2:8" hidden="1" x14ac:dyDescent="0.4">
      <c r="B1273" s="1">
        <v>43822</v>
      </c>
      <c r="C1273" s="16">
        <f>SUMIF(매도완료!$G:$G,Sheet2!$B1273,매도완료!$P:$P)</f>
        <v>0</v>
      </c>
      <c r="D1273" s="16">
        <f>SUMIF(매도완료!$J:$J,Sheet2!$B1273,매도완료!$P:$P)</f>
        <v>0</v>
      </c>
      <c r="E1273" s="16">
        <f t="shared" si="38"/>
        <v>92408242.099999994</v>
      </c>
      <c r="G1273" s="16">
        <f>IF(D1273=0,0,SUMIF(매도완료!$J:$J,Sheet2!$B1273,매도완료!$S:$S))</f>
        <v>0</v>
      </c>
      <c r="H1273" s="16">
        <f t="shared" si="39"/>
        <v>6005247.2780000018</v>
      </c>
    </row>
    <row r="1274" spans="2:8" hidden="1" x14ac:dyDescent="0.4">
      <c r="B1274" s="1">
        <v>43823</v>
      </c>
      <c r="C1274" s="16">
        <f>SUMIF(매도완료!$G:$G,Sheet2!$B1274,매도완료!$P:$P)</f>
        <v>0</v>
      </c>
      <c r="D1274" s="16">
        <f>SUMIF(매도완료!$J:$J,Sheet2!$B1274,매도완료!$P:$P)</f>
        <v>0</v>
      </c>
      <c r="E1274" s="16">
        <f t="shared" si="38"/>
        <v>92408242.099999994</v>
      </c>
      <c r="G1274" s="16">
        <f>IF(D1274=0,0,SUMIF(매도완료!$J:$J,Sheet2!$B1274,매도완료!$S:$S))</f>
        <v>0</v>
      </c>
      <c r="H1274" s="16">
        <f t="shared" si="39"/>
        <v>6005247.2780000018</v>
      </c>
    </row>
    <row r="1275" spans="2:8" hidden="1" x14ac:dyDescent="0.4">
      <c r="B1275" s="1">
        <v>43824</v>
      </c>
      <c r="C1275" s="16">
        <f>SUMIF(매도완료!$G:$G,Sheet2!$B1275,매도완료!$P:$P)</f>
        <v>0</v>
      </c>
      <c r="D1275" s="16">
        <f>SUMIF(매도완료!$J:$J,Sheet2!$B1275,매도완료!$P:$P)</f>
        <v>0</v>
      </c>
      <c r="E1275" s="16">
        <f t="shared" si="38"/>
        <v>92408242.099999994</v>
      </c>
      <c r="G1275" s="16">
        <f>IF(D1275=0,0,SUMIF(매도완료!$J:$J,Sheet2!$B1275,매도완료!$S:$S))</f>
        <v>0</v>
      </c>
      <c r="H1275" s="16">
        <f t="shared" si="39"/>
        <v>6005247.2780000018</v>
      </c>
    </row>
    <row r="1276" spans="2:8" hidden="1" x14ac:dyDescent="0.4">
      <c r="B1276" s="1">
        <v>43825</v>
      </c>
      <c r="C1276" s="16">
        <f>SUMIF(매도완료!$G:$G,Sheet2!$B1276,매도완료!$P:$P)</f>
        <v>0</v>
      </c>
      <c r="D1276" s="16">
        <f>SUMIF(매도완료!$J:$J,Sheet2!$B1276,매도완료!$P:$P)</f>
        <v>0</v>
      </c>
      <c r="E1276" s="16">
        <f t="shared" si="38"/>
        <v>92408242.099999994</v>
      </c>
      <c r="G1276" s="16">
        <f>IF(D1276=0,0,SUMIF(매도완료!$J:$J,Sheet2!$B1276,매도완료!$S:$S))</f>
        <v>0</v>
      </c>
      <c r="H1276" s="16">
        <f t="shared" si="39"/>
        <v>6005247.2780000018</v>
      </c>
    </row>
    <row r="1277" spans="2:8" hidden="1" x14ac:dyDescent="0.4">
      <c r="B1277" s="1">
        <v>43826</v>
      </c>
      <c r="C1277" s="16">
        <f>SUMIF(매도완료!$G:$G,Sheet2!$B1277,매도완료!$P:$P)</f>
        <v>0</v>
      </c>
      <c r="D1277" s="16">
        <f>SUMIF(매도완료!$J:$J,Sheet2!$B1277,매도완료!$P:$P)</f>
        <v>4389867.5999999996</v>
      </c>
      <c r="E1277" s="16">
        <f t="shared" si="38"/>
        <v>88018374.5</v>
      </c>
      <c r="G1277" s="16">
        <f>IF(D1277=0,0,SUMIF(매도완료!$J:$J,Sheet2!$B1277,매도완료!$S:$S))</f>
        <v>532976.60399999982</v>
      </c>
      <c r="H1277" s="16">
        <f t="shared" si="39"/>
        <v>6538223.8820000011</v>
      </c>
    </row>
    <row r="1278" spans="2:8" hidden="1" x14ac:dyDescent="0.4">
      <c r="B1278" s="1">
        <v>43827</v>
      </c>
      <c r="C1278" s="16">
        <f>SUMIF(매도완료!$G:$G,Sheet2!$B1278,매도완료!$P:$P)</f>
        <v>0</v>
      </c>
      <c r="D1278" s="16">
        <f>SUMIF(매도완료!$J:$J,Sheet2!$B1278,매도완료!$P:$P)</f>
        <v>0</v>
      </c>
      <c r="E1278" s="16">
        <f t="shared" si="38"/>
        <v>88018374.5</v>
      </c>
      <c r="G1278" s="16">
        <f>IF(D1278=0,0,SUMIF(매도완료!$J:$J,Sheet2!$B1278,매도완료!$S:$S))</f>
        <v>0</v>
      </c>
      <c r="H1278" s="16">
        <f t="shared" si="39"/>
        <v>6538223.8820000011</v>
      </c>
    </row>
    <row r="1279" spans="2:8" hidden="1" x14ac:dyDescent="0.4">
      <c r="B1279" s="1">
        <v>43828</v>
      </c>
      <c r="C1279" s="16">
        <f>SUMIF(매도완료!$G:$G,Sheet2!$B1279,매도완료!$P:$P)</f>
        <v>0</v>
      </c>
      <c r="D1279" s="16">
        <f>SUMIF(매도완료!$J:$J,Sheet2!$B1279,매도완료!$P:$P)</f>
        <v>0</v>
      </c>
      <c r="E1279" s="16">
        <f t="shared" si="38"/>
        <v>88018374.5</v>
      </c>
      <c r="G1279" s="16">
        <f>IF(D1279=0,0,SUMIF(매도완료!$J:$J,Sheet2!$B1279,매도완료!$S:$S))</f>
        <v>0</v>
      </c>
      <c r="H1279" s="16">
        <f t="shared" si="39"/>
        <v>6538223.8820000011</v>
      </c>
    </row>
    <row r="1280" spans="2:8" hidden="1" x14ac:dyDescent="0.4">
      <c r="B1280" s="1">
        <v>43829</v>
      </c>
      <c r="C1280" s="16">
        <f>SUMIF(매도완료!$G:$G,Sheet2!$B1280,매도완료!$P:$P)</f>
        <v>0</v>
      </c>
      <c r="D1280" s="16">
        <f>SUMIF(매도완료!$J:$J,Sheet2!$B1280,매도완료!$P:$P)</f>
        <v>0</v>
      </c>
      <c r="E1280" s="16">
        <f t="shared" si="38"/>
        <v>88018374.5</v>
      </c>
      <c r="G1280" s="16">
        <f>IF(D1280=0,0,SUMIF(매도완료!$J:$J,Sheet2!$B1280,매도완료!$S:$S))</f>
        <v>0</v>
      </c>
      <c r="H1280" s="16">
        <f t="shared" si="39"/>
        <v>6538223.8820000011</v>
      </c>
    </row>
    <row r="1281" spans="2:8" hidden="1" x14ac:dyDescent="0.4">
      <c r="B1281" s="1">
        <v>43830</v>
      </c>
      <c r="C1281" s="16">
        <f>SUMIF(매도완료!$G:$G,Sheet2!$B1281,매도완료!$P:$P)</f>
        <v>0</v>
      </c>
      <c r="D1281" s="16">
        <f>SUMIF(매도완료!$J:$J,Sheet2!$B1281,매도완료!$P:$P)</f>
        <v>0</v>
      </c>
      <c r="E1281" s="16">
        <f t="shared" si="38"/>
        <v>88018374.5</v>
      </c>
      <c r="G1281" s="16">
        <f>IF(D1281=0,0,SUMIF(매도완료!$J:$J,Sheet2!$B1281,매도완료!$S:$S))</f>
        <v>0</v>
      </c>
      <c r="H1281" s="16">
        <f t="shared" si="39"/>
        <v>6538223.8820000011</v>
      </c>
    </row>
    <row r="1282" spans="2:8" x14ac:dyDescent="0.4">
      <c r="B1282" s="1">
        <v>43831</v>
      </c>
      <c r="C1282" s="16">
        <f>SUMIF(매도완료!$G:$G,Sheet2!$B1282,매도완료!$P:$P)</f>
        <v>0</v>
      </c>
      <c r="D1282" s="16">
        <f>SUMIF(매도완료!$J:$J,Sheet2!$B1282,매도완료!$P:$P)</f>
        <v>0</v>
      </c>
      <c r="E1282" s="16">
        <f t="shared" si="38"/>
        <v>88018374.5</v>
      </c>
      <c r="G1282" s="16">
        <f>IF(D1282=0,0,SUMIF(매도완료!$J:$J,Sheet2!$B1282,매도완료!$S:$S))</f>
        <v>0</v>
      </c>
      <c r="H1282" s="16">
        <f t="shared" si="39"/>
        <v>6538223.8820000011</v>
      </c>
    </row>
    <row r="1283" spans="2:8" hidden="1" x14ac:dyDescent="0.4">
      <c r="B1283" s="1">
        <v>43832</v>
      </c>
      <c r="C1283" s="16">
        <f>SUMIF(매도완료!$G:$G,Sheet2!$B1283,매도완료!$P:$P)</f>
        <v>0</v>
      </c>
      <c r="D1283" s="16">
        <f>SUMIF(매도완료!$J:$J,Sheet2!$B1283,매도완료!$P:$P)</f>
        <v>0</v>
      </c>
      <c r="E1283" s="16">
        <f t="shared" si="38"/>
        <v>88018374.5</v>
      </c>
      <c r="G1283" s="16">
        <f>IF(D1283=0,0,SUMIF(매도완료!$J:$J,Sheet2!$B1283,매도완료!$S:$S))</f>
        <v>0</v>
      </c>
      <c r="H1283" s="16">
        <f t="shared" si="39"/>
        <v>6538223.8820000011</v>
      </c>
    </row>
    <row r="1284" spans="2:8" hidden="1" x14ac:dyDescent="0.4">
      <c r="B1284" s="1">
        <v>43833</v>
      </c>
      <c r="C1284" s="16">
        <f>SUMIF(매도완료!$G:$G,Sheet2!$B1284,매도완료!$P:$P)</f>
        <v>1593553.4999999998</v>
      </c>
      <c r="D1284" s="16">
        <f>SUMIF(매도완료!$J:$J,Sheet2!$B1284,매도완료!$P:$P)</f>
        <v>2005750</v>
      </c>
      <c r="E1284" s="16">
        <f t="shared" ref="E1284:E1347" si="40">E1283+C1284-D1284</f>
        <v>87606178</v>
      </c>
      <c r="G1284" s="16">
        <f>IF(D1284=0,0,SUMIF(매도완료!$J:$J,Sheet2!$B1284,매도완료!$S:$S))</f>
        <v>171306</v>
      </c>
      <c r="H1284" s="16">
        <f t="shared" ref="H1284:H1347" si="41">H1283+G1284</f>
        <v>6709529.8820000011</v>
      </c>
    </row>
    <row r="1285" spans="2:8" hidden="1" x14ac:dyDescent="0.4">
      <c r="B1285" s="1">
        <v>43834</v>
      </c>
      <c r="C1285" s="16">
        <f>SUMIF(매도완료!$G:$G,Sheet2!$B1285,매도완료!$P:$P)</f>
        <v>0</v>
      </c>
      <c r="D1285" s="16">
        <f>SUMIF(매도완료!$J:$J,Sheet2!$B1285,매도완료!$P:$P)</f>
        <v>0</v>
      </c>
      <c r="E1285" s="16">
        <f t="shared" si="40"/>
        <v>87606178</v>
      </c>
      <c r="G1285" s="16">
        <f>IF(D1285=0,0,SUMIF(매도완료!$J:$J,Sheet2!$B1285,매도완료!$S:$S))</f>
        <v>0</v>
      </c>
      <c r="H1285" s="16">
        <f t="shared" si="41"/>
        <v>6709529.8820000011</v>
      </c>
    </row>
    <row r="1286" spans="2:8" hidden="1" x14ac:dyDescent="0.4">
      <c r="B1286" s="1">
        <v>43835</v>
      </c>
      <c r="C1286" s="16">
        <f>SUMIF(매도완료!$G:$G,Sheet2!$B1286,매도완료!$P:$P)</f>
        <v>0</v>
      </c>
      <c r="D1286" s="16">
        <f>SUMIF(매도완료!$J:$J,Sheet2!$B1286,매도완료!$P:$P)</f>
        <v>0</v>
      </c>
      <c r="E1286" s="16">
        <f t="shared" si="40"/>
        <v>87606178</v>
      </c>
      <c r="G1286" s="16">
        <f>IF(D1286=0,0,SUMIF(매도완료!$J:$J,Sheet2!$B1286,매도완료!$S:$S))</f>
        <v>0</v>
      </c>
      <c r="H1286" s="16">
        <f t="shared" si="41"/>
        <v>6709529.8820000011</v>
      </c>
    </row>
    <row r="1287" spans="2:8" hidden="1" x14ac:dyDescent="0.4">
      <c r="B1287" s="1">
        <v>43836</v>
      </c>
      <c r="C1287" s="16">
        <f>SUMIF(매도완료!$G:$G,Sheet2!$B1287,매도완료!$P:$P)</f>
        <v>0</v>
      </c>
      <c r="D1287" s="16">
        <f>SUMIF(매도완료!$J:$J,Sheet2!$B1287,매도완료!$P:$P)</f>
        <v>0</v>
      </c>
      <c r="E1287" s="16">
        <f t="shared" si="40"/>
        <v>87606178</v>
      </c>
      <c r="G1287" s="16">
        <f>IF(D1287=0,0,SUMIF(매도완료!$J:$J,Sheet2!$B1287,매도완료!$S:$S))</f>
        <v>0</v>
      </c>
      <c r="H1287" s="16">
        <f t="shared" si="41"/>
        <v>6709529.8820000011</v>
      </c>
    </row>
    <row r="1288" spans="2:8" hidden="1" x14ac:dyDescent="0.4">
      <c r="B1288" s="1">
        <v>43837</v>
      </c>
      <c r="C1288" s="16">
        <f>SUMIF(매도완료!$G:$G,Sheet2!$B1288,매도완료!$P:$P)</f>
        <v>0</v>
      </c>
      <c r="D1288" s="16">
        <f>SUMIF(매도완료!$J:$J,Sheet2!$B1288,매도완료!$P:$P)</f>
        <v>3498000</v>
      </c>
      <c r="E1288" s="16">
        <f t="shared" si="40"/>
        <v>84108178</v>
      </c>
      <c r="G1288" s="16">
        <f>IF(D1288=0,0,SUMIF(매도완료!$J:$J,Sheet2!$B1288,매도완료!$S:$S))</f>
        <v>334965</v>
      </c>
      <c r="H1288" s="16">
        <f t="shared" si="41"/>
        <v>7044494.8820000011</v>
      </c>
    </row>
    <row r="1289" spans="2:8" hidden="1" x14ac:dyDescent="0.4">
      <c r="B1289" s="1">
        <v>43838</v>
      </c>
      <c r="C1289" s="16">
        <f>SUMIF(매도완료!$G:$G,Sheet2!$B1289,매도완료!$P:$P)</f>
        <v>4050000</v>
      </c>
      <c r="D1289" s="16">
        <f>SUMIF(매도완료!$J:$J,Sheet2!$B1289,매도완료!$P:$P)</f>
        <v>0</v>
      </c>
      <c r="E1289" s="16">
        <f t="shared" si="40"/>
        <v>88158178</v>
      </c>
      <c r="G1289" s="16">
        <f>IF(D1289=0,0,SUMIF(매도완료!$J:$J,Sheet2!$B1289,매도완료!$S:$S))</f>
        <v>0</v>
      </c>
      <c r="H1289" s="16">
        <f t="shared" si="41"/>
        <v>7044494.8820000011</v>
      </c>
    </row>
    <row r="1290" spans="2:8" hidden="1" x14ac:dyDescent="0.4">
      <c r="B1290" s="1">
        <v>43839</v>
      </c>
      <c r="C1290" s="16">
        <f>SUMIF(매도완료!$G:$G,Sheet2!$B1290,매도완료!$P:$P)</f>
        <v>0</v>
      </c>
      <c r="D1290" s="16">
        <f>SUMIF(매도완료!$J:$J,Sheet2!$B1290,매도완료!$P:$P)</f>
        <v>0</v>
      </c>
      <c r="E1290" s="16">
        <f t="shared" si="40"/>
        <v>88158178</v>
      </c>
      <c r="G1290" s="16">
        <f>IF(D1290=0,0,SUMIF(매도완료!$J:$J,Sheet2!$B1290,매도완료!$S:$S))</f>
        <v>0</v>
      </c>
      <c r="H1290" s="16">
        <f t="shared" si="41"/>
        <v>7044494.8820000011</v>
      </c>
    </row>
    <row r="1291" spans="2:8" hidden="1" x14ac:dyDescent="0.4">
      <c r="B1291" s="1">
        <v>43840</v>
      </c>
      <c r="C1291" s="16">
        <f>SUMIF(매도완료!$G:$G,Sheet2!$B1291,매도완료!$P:$P)</f>
        <v>0</v>
      </c>
      <c r="D1291" s="16">
        <f>SUMIF(매도완료!$J:$J,Sheet2!$B1291,매도완료!$P:$P)</f>
        <v>0</v>
      </c>
      <c r="E1291" s="16">
        <f t="shared" si="40"/>
        <v>88158178</v>
      </c>
      <c r="G1291" s="16">
        <f>IF(D1291=0,0,SUMIF(매도완료!$J:$J,Sheet2!$B1291,매도완료!$S:$S))</f>
        <v>0</v>
      </c>
      <c r="H1291" s="16">
        <f t="shared" si="41"/>
        <v>7044494.8820000011</v>
      </c>
    </row>
    <row r="1292" spans="2:8" hidden="1" x14ac:dyDescent="0.4">
      <c r="B1292" s="1">
        <v>43841</v>
      </c>
      <c r="C1292" s="16">
        <f>SUMIF(매도완료!$G:$G,Sheet2!$B1292,매도완료!$P:$P)</f>
        <v>0</v>
      </c>
      <c r="D1292" s="16">
        <f>SUMIF(매도완료!$J:$J,Sheet2!$B1292,매도완료!$P:$P)</f>
        <v>0</v>
      </c>
      <c r="E1292" s="16">
        <f t="shared" si="40"/>
        <v>88158178</v>
      </c>
      <c r="G1292" s="16">
        <f>IF(D1292=0,0,SUMIF(매도완료!$J:$J,Sheet2!$B1292,매도완료!$S:$S))</f>
        <v>0</v>
      </c>
      <c r="H1292" s="16">
        <f t="shared" si="41"/>
        <v>7044494.8820000011</v>
      </c>
    </row>
    <row r="1293" spans="2:8" hidden="1" x14ac:dyDescent="0.4">
      <c r="B1293" s="1">
        <v>43842</v>
      </c>
      <c r="C1293" s="16">
        <f>SUMIF(매도완료!$G:$G,Sheet2!$B1293,매도완료!$P:$P)</f>
        <v>0</v>
      </c>
      <c r="D1293" s="16">
        <f>SUMIF(매도완료!$J:$J,Sheet2!$B1293,매도완료!$P:$P)</f>
        <v>0</v>
      </c>
      <c r="E1293" s="16">
        <f t="shared" si="40"/>
        <v>88158178</v>
      </c>
      <c r="G1293" s="16">
        <f>IF(D1293=0,0,SUMIF(매도완료!$J:$J,Sheet2!$B1293,매도완료!$S:$S))</f>
        <v>0</v>
      </c>
      <c r="H1293" s="16">
        <f t="shared" si="41"/>
        <v>7044494.8820000011</v>
      </c>
    </row>
    <row r="1294" spans="2:8" hidden="1" x14ac:dyDescent="0.4">
      <c r="B1294" s="1">
        <v>43843</v>
      </c>
      <c r="C1294" s="16">
        <f>SUMIF(매도완료!$G:$G,Sheet2!$B1294,매도완료!$P:$P)</f>
        <v>579082</v>
      </c>
      <c r="D1294" s="16">
        <f>SUMIF(매도완료!$J:$J,Sheet2!$B1294,매도완료!$P:$P)</f>
        <v>0</v>
      </c>
      <c r="E1294" s="16">
        <f t="shared" si="40"/>
        <v>88737260</v>
      </c>
      <c r="G1294" s="16">
        <f>IF(D1294=0,0,SUMIF(매도완료!$J:$J,Sheet2!$B1294,매도완료!$S:$S))</f>
        <v>0</v>
      </c>
      <c r="H1294" s="16">
        <f t="shared" si="41"/>
        <v>7044494.8820000011</v>
      </c>
    </row>
    <row r="1295" spans="2:8" hidden="1" x14ac:dyDescent="0.4">
      <c r="B1295" s="1">
        <v>43844</v>
      </c>
      <c r="C1295" s="16">
        <f>SUMIF(매도완료!$G:$G,Sheet2!$B1295,매도완료!$P:$P)</f>
        <v>0</v>
      </c>
      <c r="D1295" s="16">
        <f>SUMIF(매도완료!$J:$J,Sheet2!$B1295,매도완료!$P:$P)</f>
        <v>0</v>
      </c>
      <c r="E1295" s="16">
        <f t="shared" si="40"/>
        <v>88737260</v>
      </c>
      <c r="G1295" s="16">
        <f>IF(D1295=0,0,SUMIF(매도완료!$J:$J,Sheet2!$B1295,매도완료!$S:$S))</f>
        <v>0</v>
      </c>
      <c r="H1295" s="16">
        <f t="shared" si="41"/>
        <v>7044494.8820000011</v>
      </c>
    </row>
    <row r="1296" spans="2:8" hidden="1" x14ac:dyDescent="0.4">
      <c r="B1296" s="1">
        <v>43845</v>
      </c>
      <c r="C1296" s="16">
        <f>SUMIF(매도완료!$G:$G,Sheet2!$B1296,매도완료!$P:$P)</f>
        <v>0</v>
      </c>
      <c r="D1296" s="16">
        <f>SUMIF(매도완료!$J:$J,Sheet2!$B1296,매도완료!$P:$P)</f>
        <v>0</v>
      </c>
      <c r="E1296" s="16">
        <f t="shared" si="40"/>
        <v>88737260</v>
      </c>
      <c r="G1296" s="16">
        <f>IF(D1296=0,0,SUMIF(매도완료!$J:$J,Sheet2!$B1296,매도완료!$S:$S))</f>
        <v>0</v>
      </c>
      <c r="H1296" s="16">
        <f t="shared" si="41"/>
        <v>7044494.8820000011</v>
      </c>
    </row>
    <row r="1297" spans="2:8" hidden="1" x14ac:dyDescent="0.4">
      <c r="B1297" s="1">
        <v>43846</v>
      </c>
      <c r="C1297" s="16">
        <f>SUMIF(매도완료!$G:$G,Sheet2!$B1297,매도완료!$P:$P)</f>
        <v>0</v>
      </c>
      <c r="D1297" s="16">
        <f>SUMIF(매도완료!$J:$J,Sheet2!$B1297,매도완료!$P:$P)</f>
        <v>3809600</v>
      </c>
      <c r="E1297" s="16">
        <f t="shared" si="40"/>
        <v>84927660</v>
      </c>
      <c r="G1297" s="16">
        <f>IF(D1297=0,0,SUMIF(매도완료!$J:$J,Sheet2!$B1297,매도완료!$S:$S))</f>
        <v>502160</v>
      </c>
      <c r="H1297" s="16">
        <f t="shared" si="41"/>
        <v>7546654.8820000011</v>
      </c>
    </row>
    <row r="1298" spans="2:8" hidden="1" x14ac:dyDescent="0.4">
      <c r="B1298" s="1">
        <v>43847</v>
      </c>
      <c r="C1298" s="16">
        <f>SUMIF(매도완료!$G:$G,Sheet2!$B1298,매도완료!$P:$P)</f>
        <v>614536</v>
      </c>
      <c r="D1298" s="16">
        <f>SUMIF(매도완료!$J:$J,Sheet2!$B1298,매도완료!$P:$P)</f>
        <v>4440000</v>
      </c>
      <c r="E1298" s="16">
        <f t="shared" si="40"/>
        <v>81102196</v>
      </c>
      <c r="G1298" s="16">
        <f>IF(D1298=0,0,SUMIF(매도완료!$J:$J,Sheet2!$B1298,매도완료!$S:$S))</f>
        <v>404636</v>
      </c>
      <c r="H1298" s="16">
        <f t="shared" si="41"/>
        <v>7951290.8820000011</v>
      </c>
    </row>
    <row r="1299" spans="2:8" hidden="1" x14ac:dyDescent="0.4">
      <c r="B1299" s="1">
        <v>43848</v>
      </c>
      <c r="C1299" s="16">
        <f>SUMIF(매도완료!$G:$G,Sheet2!$B1299,매도완료!$P:$P)</f>
        <v>0</v>
      </c>
      <c r="D1299" s="16">
        <f>SUMIF(매도완료!$J:$J,Sheet2!$B1299,매도완료!$P:$P)</f>
        <v>0</v>
      </c>
      <c r="E1299" s="16">
        <f t="shared" si="40"/>
        <v>81102196</v>
      </c>
      <c r="G1299" s="16">
        <f>IF(D1299=0,0,SUMIF(매도완료!$J:$J,Sheet2!$B1299,매도완료!$S:$S))</f>
        <v>0</v>
      </c>
      <c r="H1299" s="16">
        <f t="shared" si="41"/>
        <v>7951290.8820000011</v>
      </c>
    </row>
    <row r="1300" spans="2:8" hidden="1" x14ac:dyDescent="0.4">
      <c r="B1300" s="1">
        <v>43849</v>
      </c>
      <c r="C1300" s="16">
        <f>SUMIF(매도완료!$G:$G,Sheet2!$B1300,매도완료!$P:$P)</f>
        <v>0</v>
      </c>
      <c r="D1300" s="16">
        <f>SUMIF(매도완료!$J:$J,Sheet2!$B1300,매도완료!$P:$P)</f>
        <v>0</v>
      </c>
      <c r="E1300" s="16">
        <f t="shared" si="40"/>
        <v>81102196</v>
      </c>
      <c r="G1300" s="16">
        <f>IF(D1300=0,0,SUMIF(매도완료!$J:$J,Sheet2!$B1300,매도완료!$S:$S))</f>
        <v>0</v>
      </c>
      <c r="H1300" s="16">
        <f t="shared" si="41"/>
        <v>7951290.8820000011</v>
      </c>
    </row>
    <row r="1301" spans="2:8" hidden="1" x14ac:dyDescent="0.4">
      <c r="B1301" s="1">
        <v>43850</v>
      </c>
      <c r="C1301" s="16">
        <f>SUMIF(매도완료!$G:$G,Sheet2!$B1301,매도완료!$P:$P)</f>
        <v>0</v>
      </c>
      <c r="D1301" s="16">
        <f>SUMIF(매도완료!$J:$J,Sheet2!$B1301,매도완료!$P:$P)</f>
        <v>1560000</v>
      </c>
      <c r="E1301" s="16">
        <f t="shared" si="40"/>
        <v>79542196</v>
      </c>
      <c r="G1301" s="16">
        <f>IF(D1301=0,0,SUMIF(매도완료!$J:$J,Sheet2!$B1301,매도완료!$S:$S))</f>
        <v>150790</v>
      </c>
      <c r="H1301" s="16">
        <f t="shared" si="41"/>
        <v>8102080.8820000011</v>
      </c>
    </row>
    <row r="1302" spans="2:8" hidden="1" x14ac:dyDescent="0.4">
      <c r="B1302" s="1">
        <v>43851</v>
      </c>
      <c r="C1302" s="16">
        <f>SUMIF(매도완료!$G:$G,Sheet2!$B1302,매도완료!$P:$P)</f>
        <v>0</v>
      </c>
      <c r="D1302" s="16">
        <f>SUMIF(매도완료!$J:$J,Sheet2!$B1302,매도완료!$P:$P)</f>
        <v>0</v>
      </c>
      <c r="E1302" s="16">
        <f t="shared" si="40"/>
        <v>79542196</v>
      </c>
      <c r="G1302" s="16">
        <f>IF(D1302=0,0,SUMIF(매도완료!$J:$J,Sheet2!$B1302,매도완료!$S:$S))</f>
        <v>0</v>
      </c>
      <c r="H1302" s="16">
        <f t="shared" si="41"/>
        <v>8102080.8820000011</v>
      </c>
    </row>
    <row r="1303" spans="2:8" hidden="1" x14ac:dyDescent="0.4">
      <c r="B1303" s="1">
        <v>43852</v>
      </c>
      <c r="C1303" s="16">
        <f>SUMIF(매도완료!$G:$G,Sheet2!$B1303,매도완료!$P:$P)</f>
        <v>0</v>
      </c>
      <c r="D1303" s="16">
        <f>SUMIF(매도완료!$J:$J,Sheet2!$B1303,매도완료!$P:$P)</f>
        <v>0</v>
      </c>
      <c r="E1303" s="16">
        <f t="shared" si="40"/>
        <v>79542196</v>
      </c>
      <c r="G1303" s="16">
        <f>IF(D1303=0,0,SUMIF(매도완료!$J:$J,Sheet2!$B1303,매도완료!$S:$S))</f>
        <v>0</v>
      </c>
      <c r="H1303" s="16">
        <f t="shared" si="41"/>
        <v>8102080.8820000011</v>
      </c>
    </row>
    <row r="1304" spans="2:8" hidden="1" x14ac:dyDescent="0.4">
      <c r="B1304" s="1">
        <v>43853</v>
      </c>
      <c r="C1304" s="16">
        <f>SUMIF(매도완료!$G:$G,Sheet2!$B1304,매도완료!$P:$P)</f>
        <v>0</v>
      </c>
      <c r="D1304" s="16">
        <f>SUMIF(매도완료!$J:$J,Sheet2!$B1304,매도완료!$P:$P)</f>
        <v>0</v>
      </c>
      <c r="E1304" s="16">
        <f t="shared" si="40"/>
        <v>79542196</v>
      </c>
      <c r="G1304" s="16">
        <f>IF(D1304=0,0,SUMIF(매도완료!$J:$J,Sheet2!$B1304,매도완료!$S:$S))</f>
        <v>0</v>
      </c>
      <c r="H1304" s="16">
        <f t="shared" si="41"/>
        <v>8102080.8820000011</v>
      </c>
    </row>
    <row r="1305" spans="2:8" hidden="1" x14ac:dyDescent="0.4">
      <c r="B1305" s="1">
        <v>43854</v>
      </c>
      <c r="C1305" s="16">
        <f>SUMIF(매도완료!$G:$G,Sheet2!$B1305,매도완료!$P:$P)</f>
        <v>0</v>
      </c>
      <c r="D1305" s="16">
        <f>SUMIF(매도완료!$J:$J,Sheet2!$B1305,매도완료!$P:$P)</f>
        <v>0</v>
      </c>
      <c r="E1305" s="16">
        <f t="shared" si="40"/>
        <v>79542196</v>
      </c>
      <c r="G1305" s="16">
        <f>IF(D1305=0,0,SUMIF(매도완료!$J:$J,Sheet2!$B1305,매도완료!$S:$S))</f>
        <v>0</v>
      </c>
      <c r="H1305" s="16">
        <f t="shared" si="41"/>
        <v>8102080.8820000011</v>
      </c>
    </row>
    <row r="1306" spans="2:8" hidden="1" x14ac:dyDescent="0.4">
      <c r="B1306" s="1">
        <v>43855</v>
      </c>
      <c r="C1306" s="16">
        <f>SUMIF(매도완료!$G:$G,Sheet2!$B1306,매도완료!$P:$P)</f>
        <v>0</v>
      </c>
      <c r="D1306" s="16">
        <f>SUMIF(매도완료!$J:$J,Sheet2!$B1306,매도완료!$P:$P)</f>
        <v>0</v>
      </c>
      <c r="E1306" s="16">
        <f t="shared" si="40"/>
        <v>79542196</v>
      </c>
      <c r="G1306" s="16">
        <f>IF(D1306=0,0,SUMIF(매도완료!$J:$J,Sheet2!$B1306,매도완료!$S:$S))</f>
        <v>0</v>
      </c>
      <c r="H1306" s="16">
        <f t="shared" si="41"/>
        <v>8102080.8820000011</v>
      </c>
    </row>
    <row r="1307" spans="2:8" hidden="1" x14ac:dyDescent="0.4">
      <c r="B1307" s="1">
        <v>43856</v>
      </c>
      <c r="C1307" s="16">
        <f>SUMIF(매도완료!$G:$G,Sheet2!$B1307,매도완료!$P:$P)</f>
        <v>0</v>
      </c>
      <c r="D1307" s="16">
        <f>SUMIF(매도완료!$J:$J,Sheet2!$B1307,매도완료!$P:$P)</f>
        <v>0</v>
      </c>
      <c r="E1307" s="16">
        <f t="shared" si="40"/>
        <v>79542196</v>
      </c>
      <c r="G1307" s="16">
        <f>IF(D1307=0,0,SUMIF(매도완료!$J:$J,Sheet2!$B1307,매도완료!$S:$S))</f>
        <v>0</v>
      </c>
      <c r="H1307" s="16">
        <f t="shared" si="41"/>
        <v>8102080.8820000011</v>
      </c>
    </row>
    <row r="1308" spans="2:8" hidden="1" x14ac:dyDescent="0.4">
      <c r="B1308" s="1">
        <v>43857</v>
      </c>
      <c r="C1308" s="16">
        <f>SUMIF(매도완료!$G:$G,Sheet2!$B1308,매도완료!$P:$P)</f>
        <v>0</v>
      </c>
      <c r="D1308" s="16">
        <f>SUMIF(매도완료!$J:$J,Sheet2!$B1308,매도완료!$P:$P)</f>
        <v>0</v>
      </c>
      <c r="E1308" s="16">
        <f t="shared" si="40"/>
        <v>79542196</v>
      </c>
      <c r="G1308" s="16">
        <f>IF(D1308=0,0,SUMIF(매도완료!$J:$J,Sheet2!$B1308,매도완료!$S:$S))</f>
        <v>0</v>
      </c>
      <c r="H1308" s="16">
        <f t="shared" si="41"/>
        <v>8102080.8820000011</v>
      </c>
    </row>
    <row r="1309" spans="2:8" hidden="1" x14ac:dyDescent="0.4">
      <c r="B1309" s="1">
        <v>43858</v>
      </c>
      <c r="C1309" s="16">
        <f>SUMIF(매도완료!$G:$G,Sheet2!$B1309,매도완료!$P:$P)</f>
        <v>0</v>
      </c>
      <c r="D1309" s="16">
        <f>SUMIF(매도완료!$J:$J,Sheet2!$B1309,매도완료!$P:$P)</f>
        <v>0</v>
      </c>
      <c r="E1309" s="16">
        <f t="shared" si="40"/>
        <v>79542196</v>
      </c>
      <c r="G1309" s="16">
        <f>IF(D1309=0,0,SUMIF(매도완료!$J:$J,Sheet2!$B1309,매도완료!$S:$S))</f>
        <v>0</v>
      </c>
      <c r="H1309" s="16">
        <f t="shared" si="41"/>
        <v>8102080.8820000011</v>
      </c>
    </row>
    <row r="1310" spans="2:8" hidden="1" x14ac:dyDescent="0.4">
      <c r="B1310" s="1">
        <v>43859</v>
      </c>
      <c r="C1310" s="16">
        <f>SUMIF(매도완료!$G:$G,Sheet2!$B1310,매도완료!$P:$P)</f>
        <v>0</v>
      </c>
      <c r="D1310" s="16">
        <f>SUMIF(매도완료!$J:$J,Sheet2!$B1310,매도완료!$P:$P)</f>
        <v>0</v>
      </c>
      <c r="E1310" s="16">
        <f t="shared" si="40"/>
        <v>79542196</v>
      </c>
      <c r="G1310" s="16">
        <f>IF(D1310=0,0,SUMIF(매도완료!$J:$J,Sheet2!$B1310,매도완료!$S:$S))</f>
        <v>0</v>
      </c>
      <c r="H1310" s="16">
        <f t="shared" si="41"/>
        <v>8102080.8820000011</v>
      </c>
    </row>
    <row r="1311" spans="2:8" hidden="1" x14ac:dyDescent="0.4">
      <c r="B1311" s="1">
        <v>43860</v>
      </c>
      <c r="C1311" s="16">
        <f>SUMIF(매도완료!$G:$G,Sheet2!$B1311,매도완료!$P:$P)</f>
        <v>0</v>
      </c>
      <c r="D1311" s="16">
        <f>SUMIF(매도완료!$J:$J,Sheet2!$B1311,매도완료!$P:$P)</f>
        <v>0</v>
      </c>
      <c r="E1311" s="16">
        <f t="shared" si="40"/>
        <v>79542196</v>
      </c>
      <c r="G1311" s="16">
        <f>IF(D1311=0,0,SUMIF(매도완료!$J:$J,Sheet2!$B1311,매도완료!$S:$S))</f>
        <v>0</v>
      </c>
      <c r="H1311" s="16">
        <f t="shared" si="41"/>
        <v>8102080.8820000011</v>
      </c>
    </row>
    <row r="1312" spans="2:8" hidden="1" x14ac:dyDescent="0.4">
      <c r="B1312" s="1">
        <v>43861</v>
      </c>
      <c r="C1312" s="16">
        <f>SUMIF(매도완료!$G:$G,Sheet2!$B1312,매도완료!$P:$P)</f>
        <v>0</v>
      </c>
      <c r="D1312" s="16">
        <f>SUMIF(매도완료!$J:$J,Sheet2!$B1312,매도완료!$P:$P)</f>
        <v>0</v>
      </c>
      <c r="E1312" s="16">
        <f t="shared" si="40"/>
        <v>79542196</v>
      </c>
      <c r="G1312" s="16">
        <f>IF(D1312=0,0,SUMIF(매도완료!$J:$J,Sheet2!$B1312,매도완료!$S:$S))</f>
        <v>0</v>
      </c>
      <c r="H1312" s="16">
        <f t="shared" si="41"/>
        <v>8102080.8820000011</v>
      </c>
    </row>
    <row r="1313" spans="2:8" hidden="1" x14ac:dyDescent="0.4">
      <c r="B1313" s="1">
        <v>43862</v>
      </c>
      <c r="C1313" s="16">
        <f>SUMIF(매도완료!$G:$G,Sheet2!$B1313,매도완료!$P:$P)</f>
        <v>3065000</v>
      </c>
      <c r="D1313" s="16">
        <f>SUMIF(매도완료!$J:$J,Sheet2!$B1313,매도완료!$P:$P)</f>
        <v>1027000</v>
      </c>
      <c r="E1313" s="16">
        <f t="shared" si="40"/>
        <v>81580196</v>
      </c>
      <c r="G1313" s="16">
        <f>IF(D1313=0,0,SUMIF(매도완료!$J:$J,Sheet2!$B1313,매도완료!$S:$S))</f>
        <v>182102</v>
      </c>
      <c r="H1313" s="16">
        <f t="shared" si="41"/>
        <v>8284182.8820000011</v>
      </c>
    </row>
    <row r="1314" spans="2:8" hidden="1" x14ac:dyDescent="0.4">
      <c r="B1314" s="1">
        <v>43863</v>
      </c>
      <c r="C1314" s="16">
        <f>SUMIF(매도완료!$G:$G,Sheet2!$B1314,매도완료!$P:$P)</f>
        <v>0</v>
      </c>
      <c r="D1314" s="16">
        <f>SUMIF(매도완료!$J:$J,Sheet2!$B1314,매도완료!$P:$P)</f>
        <v>0</v>
      </c>
      <c r="E1314" s="16">
        <f t="shared" si="40"/>
        <v>81580196</v>
      </c>
      <c r="G1314" s="16">
        <f>IF(D1314=0,0,SUMIF(매도완료!$J:$J,Sheet2!$B1314,매도완료!$S:$S))</f>
        <v>0</v>
      </c>
      <c r="H1314" s="16">
        <f t="shared" si="41"/>
        <v>8284182.8820000011</v>
      </c>
    </row>
    <row r="1315" spans="2:8" hidden="1" x14ac:dyDescent="0.4">
      <c r="B1315" s="1">
        <v>43864</v>
      </c>
      <c r="C1315" s="16">
        <f>SUMIF(매도완료!$G:$G,Sheet2!$B1315,매도완료!$P:$P)</f>
        <v>0</v>
      </c>
      <c r="D1315" s="16">
        <f>SUMIF(매도완료!$J:$J,Sheet2!$B1315,매도완료!$P:$P)</f>
        <v>0</v>
      </c>
      <c r="E1315" s="16">
        <f t="shared" si="40"/>
        <v>81580196</v>
      </c>
      <c r="G1315" s="16">
        <f>IF(D1315=0,0,SUMIF(매도완료!$J:$J,Sheet2!$B1315,매도완료!$S:$S))</f>
        <v>0</v>
      </c>
      <c r="H1315" s="16">
        <f t="shared" si="41"/>
        <v>8284182.8820000011</v>
      </c>
    </row>
    <row r="1316" spans="2:8" hidden="1" x14ac:dyDescent="0.4">
      <c r="B1316" s="1">
        <v>43865</v>
      </c>
      <c r="C1316" s="16">
        <f>SUMIF(매도완료!$G:$G,Sheet2!$B1316,매도완료!$P:$P)</f>
        <v>0</v>
      </c>
      <c r="D1316" s="16">
        <f>SUMIF(매도완료!$J:$J,Sheet2!$B1316,매도완료!$P:$P)</f>
        <v>0</v>
      </c>
      <c r="E1316" s="16">
        <f t="shared" si="40"/>
        <v>81580196</v>
      </c>
      <c r="G1316" s="16">
        <f>IF(D1316=0,0,SUMIF(매도완료!$J:$J,Sheet2!$B1316,매도완료!$S:$S))</f>
        <v>0</v>
      </c>
      <c r="H1316" s="16">
        <f t="shared" si="41"/>
        <v>8284182.8820000011</v>
      </c>
    </row>
    <row r="1317" spans="2:8" hidden="1" x14ac:dyDescent="0.4">
      <c r="B1317" s="1">
        <v>43866</v>
      </c>
      <c r="C1317" s="16">
        <f>SUMIF(매도완료!$G:$G,Sheet2!$B1317,매도완료!$P:$P)</f>
        <v>0</v>
      </c>
      <c r="D1317" s="16">
        <f>SUMIF(매도완료!$J:$J,Sheet2!$B1317,매도완료!$P:$P)</f>
        <v>0</v>
      </c>
      <c r="E1317" s="16">
        <f t="shared" si="40"/>
        <v>81580196</v>
      </c>
      <c r="G1317" s="16">
        <f>IF(D1317=0,0,SUMIF(매도완료!$J:$J,Sheet2!$B1317,매도완료!$S:$S))</f>
        <v>0</v>
      </c>
      <c r="H1317" s="16">
        <f t="shared" si="41"/>
        <v>8284182.8820000011</v>
      </c>
    </row>
    <row r="1318" spans="2:8" hidden="1" x14ac:dyDescent="0.4">
      <c r="B1318" s="1">
        <v>43867</v>
      </c>
      <c r="C1318" s="16">
        <f>SUMIF(매도완료!$G:$G,Sheet2!$B1318,매도완료!$P:$P)</f>
        <v>0</v>
      </c>
      <c r="D1318" s="16">
        <f>SUMIF(매도완료!$J:$J,Sheet2!$B1318,매도완료!$P:$P)</f>
        <v>0</v>
      </c>
      <c r="E1318" s="16">
        <f t="shared" si="40"/>
        <v>81580196</v>
      </c>
      <c r="G1318" s="16">
        <f>IF(D1318=0,0,SUMIF(매도완료!$J:$J,Sheet2!$B1318,매도완료!$S:$S))</f>
        <v>0</v>
      </c>
      <c r="H1318" s="16">
        <f t="shared" si="41"/>
        <v>8284182.8820000011</v>
      </c>
    </row>
    <row r="1319" spans="2:8" hidden="1" x14ac:dyDescent="0.4">
      <c r="B1319" s="1">
        <v>43868</v>
      </c>
      <c r="C1319" s="16">
        <f>SUMIF(매도완료!$G:$G,Sheet2!$B1319,매도완료!$P:$P)</f>
        <v>0</v>
      </c>
      <c r="D1319" s="16">
        <f>SUMIF(매도완료!$J:$J,Sheet2!$B1319,매도완료!$P:$P)</f>
        <v>0</v>
      </c>
      <c r="E1319" s="16">
        <f t="shared" si="40"/>
        <v>81580196</v>
      </c>
      <c r="G1319" s="16">
        <f>IF(D1319=0,0,SUMIF(매도완료!$J:$J,Sheet2!$B1319,매도완료!$S:$S))</f>
        <v>0</v>
      </c>
      <c r="H1319" s="16">
        <f t="shared" si="41"/>
        <v>8284182.8820000011</v>
      </c>
    </row>
    <row r="1320" spans="2:8" hidden="1" x14ac:dyDescent="0.4">
      <c r="B1320" s="1">
        <v>43869</v>
      </c>
      <c r="C1320" s="16">
        <f>SUMIF(매도완료!$G:$G,Sheet2!$B1320,매도완료!$P:$P)</f>
        <v>0</v>
      </c>
      <c r="D1320" s="16">
        <f>SUMIF(매도완료!$J:$J,Sheet2!$B1320,매도완료!$P:$P)</f>
        <v>0</v>
      </c>
      <c r="E1320" s="16">
        <f t="shared" si="40"/>
        <v>81580196</v>
      </c>
      <c r="G1320" s="16">
        <f>IF(D1320=0,0,SUMIF(매도완료!$J:$J,Sheet2!$B1320,매도완료!$S:$S))</f>
        <v>0</v>
      </c>
      <c r="H1320" s="16">
        <f t="shared" si="41"/>
        <v>8284182.8820000011</v>
      </c>
    </row>
    <row r="1321" spans="2:8" hidden="1" x14ac:dyDescent="0.4">
      <c r="B1321" s="1">
        <v>43870</v>
      </c>
      <c r="C1321" s="16">
        <f>SUMIF(매도완료!$G:$G,Sheet2!$B1321,매도완료!$P:$P)</f>
        <v>0</v>
      </c>
      <c r="D1321" s="16">
        <f>SUMIF(매도완료!$J:$J,Sheet2!$B1321,매도완료!$P:$P)</f>
        <v>0</v>
      </c>
      <c r="E1321" s="16">
        <f t="shared" si="40"/>
        <v>81580196</v>
      </c>
      <c r="G1321" s="16">
        <f>IF(D1321=0,0,SUMIF(매도완료!$J:$J,Sheet2!$B1321,매도완료!$S:$S))</f>
        <v>0</v>
      </c>
      <c r="H1321" s="16">
        <f t="shared" si="41"/>
        <v>8284182.8820000011</v>
      </c>
    </row>
    <row r="1322" spans="2:8" hidden="1" x14ac:dyDescent="0.4">
      <c r="B1322" s="1">
        <v>43871</v>
      </c>
      <c r="C1322" s="16">
        <f>SUMIF(매도완료!$G:$G,Sheet2!$B1322,매도완료!$P:$P)</f>
        <v>0</v>
      </c>
      <c r="D1322" s="16">
        <f>SUMIF(매도완료!$J:$J,Sheet2!$B1322,매도완료!$P:$P)</f>
        <v>0</v>
      </c>
      <c r="E1322" s="16">
        <f t="shared" si="40"/>
        <v>81580196</v>
      </c>
      <c r="G1322" s="16">
        <f>IF(D1322=0,0,SUMIF(매도완료!$J:$J,Sheet2!$B1322,매도완료!$S:$S))</f>
        <v>0</v>
      </c>
      <c r="H1322" s="16">
        <f t="shared" si="41"/>
        <v>8284182.8820000011</v>
      </c>
    </row>
    <row r="1323" spans="2:8" hidden="1" x14ac:dyDescent="0.4">
      <c r="B1323" s="1">
        <v>43872</v>
      </c>
      <c r="C1323" s="16">
        <f>SUMIF(매도완료!$G:$G,Sheet2!$B1323,매도완료!$P:$P)</f>
        <v>0</v>
      </c>
      <c r="D1323" s="16">
        <f>SUMIF(매도완료!$J:$J,Sheet2!$B1323,매도완료!$P:$P)</f>
        <v>0</v>
      </c>
      <c r="E1323" s="16">
        <f t="shared" si="40"/>
        <v>81580196</v>
      </c>
      <c r="G1323" s="16">
        <f>IF(D1323=0,0,SUMIF(매도완료!$J:$J,Sheet2!$B1323,매도완료!$S:$S))</f>
        <v>0</v>
      </c>
      <c r="H1323" s="16">
        <f t="shared" si="41"/>
        <v>8284182.8820000011</v>
      </c>
    </row>
    <row r="1324" spans="2:8" hidden="1" x14ac:dyDescent="0.4">
      <c r="B1324" s="1">
        <v>43873</v>
      </c>
      <c r="C1324" s="16">
        <f>SUMIF(매도완료!$G:$G,Sheet2!$B1324,매도완료!$P:$P)</f>
        <v>0</v>
      </c>
      <c r="D1324" s="16">
        <f>SUMIF(매도완료!$J:$J,Sheet2!$B1324,매도완료!$P:$P)</f>
        <v>0</v>
      </c>
      <c r="E1324" s="16">
        <f t="shared" si="40"/>
        <v>81580196</v>
      </c>
      <c r="G1324" s="16">
        <f>IF(D1324=0,0,SUMIF(매도완료!$J:$J,Sheet2!$B1324,매도완료!$S:$S))</f>
        <v>0</v>
      </c>
      <c r="H1324" s="16">
        <f t="shared" si="41"/>
        <v>8284182.8820000011</v>
      </c>
    </row>
    <row r="1325" spans="2:8" hidden="1" x14ac:dyDescent="0.4">
      <c r="B1325" s="1">
        <v>43874</v>
      </c>
      <c r="C1325" s="16">
        <f>SUMIF(매도완료!$G:$G,Sheet2!$B1325,매도완료!$P:$P)</f>
        <v>0</v>
      </c>
      <c r="D1325" s="16">
        <f>SUMIF(매도완료!$J:$J,Sheet2!$B1325,매도완료!$P:$P)</f>
        <v>0</v>
      </c>
      <c r="E1325" s="16">
        <f t="shared" si="40"/>
        <v>81580196</v>
      </c>
      <c r="G1325" s="16">
        <f>IF(D1325=0,0,SUMIF(매도완료!$J:$J,Sheet2!$B1325,매도완료!$S:$S))</f>
        <v>0</v>
      </c>
      <c r="H1325" s="16">
        <f t="shared" si="41"/>
        <v>8284182.8820000011</v>
      </c>
    </row>
    <row r="1326" spans="2:8" hidden="1" x14ac:dyDescent="0.4">
      <c r="B1326" s="1">
        <v>43875</v>
      </c>
      <c r="C1326" s="16">
        <f>SUMIF(매도완료!$G:$G,Sheet2!$B1326,매도완료!$P:$P)</f>
        <v>0</v>
      </c>
      <c r="D1326" s="16">
        <f>SUMIF(매도완료!$J:$J,Sheet2!$B1326,매도완료!$P:$P)</f>
        <v>0</v>
      </c>
      <c r="E1326" s="16">
        <f t="shared" si="40"/>
        <v>81580196</v>
      </c>
      <c r="G1326" s="16">
        <f>IF(D1326=0,0,SUMIF(매도완료!$J:$J,Sheet2!$B1326,매도완료!$S:$S))</f>
        <v>0</v>
      </c>
      <c r="H1326" s="16">
        <f t="shared" si="41"/>
        <v>8284182.8820000011</v>
      </c>
    </row>
    <row r="1327" spans="2:8" hidden="1" x14ac:dyDescent="0.4">
      <c r="B1327" s="1">
        <v>43876</v>
      </c>
      <c r="C1327" s="16">
        <f>SUMIF(매도완료!$G:$G,Sheet2!$B1327,매도완료!$P:$P)</f>
        <v>0</v>
      </c>
      <c r="D1327" s="16">
        <f>SUMIF(매도완료!$J:$J,Sheet2!$B1327,매도완료!$P:$P)</f>
        <v>0</v>
      </c>
      <c r="E1327" s="16">
        <f t="shared" si="40"/>
        <v>81580196</v>
      </c>
      <c r="G1327" s="16">
        <f>IF(D1327=0,0,SUMIF(매도완료!$J:$J,Sheet2!$B1327,매도완료!$S:$S))</f>
        <v>0</v>
      </c>
      <c r="H1327" s="16">
        <f t="shared" si="41"/>
        <v>8284182.8820000011</v>
      </c>
    </row>
    <row r="1328" spans="2:8" hidden="1" x14ac:dyDescent="0.4">
      <c r="B1328" s="1">
        <v>43877</v>
      </c>
      <c r="C1328" s="16">
        <f>SUMIF(매도완료!$G:$G,Sheet2!$B1328,매도완료!$P:$P)</f>
        <v>2643000</v>
      </c>
      <c r="D1328" s="16">
        <f>SUMIF(매도완료!$J:$J,Sheet2!$B1328,매도완료!$P:$P)</f>
        <v>0</v>
      </c>
      <c r="E1328" s="16">
        <f t="shared" si="40"/>
        <v>84223196</v>
      </c>
      <c r="G1328" s="16">
        <f>IF(D1328=0,0,SUMIF(매도완료!$J:$J,Sheet2!$B1328,매도완료!$S:$S))</f>
        <v>0</v>
      </c>
      <c r="H1328" s="16">
        <f t="shared" si="41"/>
        <v>8284182.8820000011</v>
      </c>
    </row>
    <row r="1329" spans="2:8" hidden="1" x14ac:dyDescent="0.4">
      <c r="B1329" s="1">
        <v>43878</v>
      </c>
      <c r="C1329" s="16">
        <f>SUMIF(매도완료!$G:$G,Sheet2!$B1329,매도완료!$P:$P)</f>
        <v>2980000</v>
      </c>
      <c r="D1329" s="16">
        <f>SUMIF(매도완료!$J:$J,Sheet2!$B1329,매도완료!$P:$P)</f>
        <v>0</v>
      </c>
      <c r="E1329" s="16">
        <f t="shared" si="40"/>
        <v>87203196</v>
      </c>
      <c r="G1329" s="16">
        <f>IF(D1329=0,0,SUMIF(매도완료!$J:$J,Sheet2!$B1329,매도완료!$S:$S))</f>
        <v>0</v>
      </c>
      <c r="H1329" s="16">
        <f t="shared" si="41"/>
        <v>8284182.8820000011</v>
      </c>
    </row>
    <row r="1330" spans="2:8" hidden="1" x14ac:dyDescent="0.4">
      <c r="B1330" s="1">
        <v>43879</v>
      </c>
      <c r="C1330" s="16">
        <f>SUMIF(매도완료!$G:$G,Sheet2!$B1330,매도완료!$P:$P)</f>
        <v>0</v>
      </c>
      <c r="D1330" s="16">
        <f>SUMIF(매도완료!$J:$J,Sheet2!$B1330,매도완료!$P:$P)</f>
        <v>0</v>
      </c>
      <c r="E1330" s="16">
        <f t="shared" si="40"/>
        <v>87203196</v>
      </c>
      <c r="G1330" s="16">
        <f>IF(D1330=0,0,SUMIF(매도완료!$J:$J,Sheet2!$B1330,매도완료!$S:$S))</f>
        <v>0</v>
      </c>
      <c r="H1330" s="16">
        <f t="shared" si="41"/>
        <v>8284182.8820000011</v>
      </c>
    </row>
    <row r="1331" spans="2:8" hidden="1" x14ac:dyDescent="0.4">
      <c r="B1331" s="1">
        <v>43880</v>
      </c>
      <c r="C1331" s="16">
        <f>SUMIF(매도완료!$G:$G,Sheet2!$B1331,매도완료!$P:$P)</f>
        <v>0</v>
      </c>
      <c r="D1331" s="16">
        <f>SUMIF(매도완료!$J:$J,Sheet2!$B1331,매도완료!$P:$P)</f>
        <v>0</v>
      </c>
      <c r="E1331" s="16">
        <f t="shared" si="40"/>
        <v>87203196</v>
      </c>
      <c r="G1331" s="16">
        <f>IF(D1331=0,0,SUMIF(매도완료!$J:$J,Sheet2!$B1331,매도완료!$S:$S))</f>
        <v>0</v>
      </c>
      <c r="H1331" s="16">
        <f t="shared" si="41"/>
        <v>8284182.8820000011</v>
      </c>
    </row>
    <row r="1332" spans="2:8" hidden="1" x14ac:dyDescent="0.4">
      <c r="B1332" s="1">
        <v>43881</v>
      </c>
      <c r="C1332" s="16">
        <f>SUMIF(매도완료!$G:$G,Sheet2!$B1332,매도완료!$P:$P)</f>
        <v>0</v>
      </c>
      <c r="D1332" s="16">
        <f>SUMIF(매도완료!$J:$J,Sheet2!$B1332,매도완료!$P:$P)</f>
        <v>0</v>
      </c>
      <c r="E1332" s="16">
        <f t="shared" si="40"/>
        <v>87203196</v>
      </c>
      <c r="G1332" s="16">
        <f>IF(D1332=0,0,SUMIF(매도완료!$J:$J,Sheet2!$B1332,매도완료!$S:$S))</f>
        <v>0</v>
      </c>
      <c r="H1332" s="16">
        <f t="shared" si="41"/>
        <v>8284182.8820000011</v>
      </c>
    </row>
    <row r="1333" spans="2:8" hidden="1" x14ac:dyDescent="0.4">
      <c r="B1333" s="1">
        <v>43882</v>
      </c>
      <c r="C1333" s="16">
        <f>SUMIF(매도완료!$G:$G,Sheet2!$B1333,매도완료!$P:$P)</f>
        <v>0</v>
      </c>
      <c r="D1333" s="16">
        <f>SUMIF(매도완료!$J:$J,Sheet2!$B1333,매도완료!$P:$P)</f>
        <v>0</v>
      </c>
      <c r="E1333" s="16">
        <f t="shared" si="40"/>
        <v>87203196</v>
      </c>
      <c r="G1333" s="16">
        <f>IF(D1333=0,0,SUMIF(매도완료!$J:$J,Sheet2!$B1333,매도완료!$S:$S))</f>
        <v>0</v>
      </c>
      <c r="H1333" s="16">
        <f t="shared" si="41"/>
        <v>8284182.8820000011</v>
      </c>
    </row>
    <row r="1334" spans="2:8" hidden="1" x14ac:dyDescent="0.4">
      <c r="B1334" s="1">
        <v>43883</v>
      </c>
      <c r="C1334" s="16">
        <f>SUMIF(매도완료!$G:$G,Sheet2!$B1334,매도완료!$P:$P)</f>
        <v>0</v>
      </c>
      <c r="D1334" s="16">
        <f>SUMIF(매도완료!$J:$J,Sheet2!$B1334,매도완료!$P:$P)</f>
        <v>0</v>
      </c>
      <c r="E1334" s="16">
        <f t="shared" si="40"/>
        <v>87203196</v>
      </c>
      <c r="G1334" s="16">
        <f>IF(D1334=0,0,SUMIF(매도완료!$J:$J,Sheet2!$B1334,매도완료!$S:$S))</f>
        <v>0</v>
      </c>
      <c r="H1334" s="16">
        <f t="shared" si="41"/>
        <v>8284182.8820000011</v>
      </c>
    </row>
    <row r="1335" spans="2:8" hidden="1" x14ac:dyDescent="0.4">
      <c r="B1335" s="1">
        <v>43884</v>
      </c>
      <c r="C1335" s="16">
        <f>SUMIF(매도완료!$G:$G,Sheet2!$B1335,매도완료!$P:$P)</f>
        <v>0</v>
      </c>
      <c r="D1335" s="16">
        <f>SUMIF(매도완료!$J:$J,Sheet2!$B1335,매도완료!$P:$P)</f>
        <v>0</v>
      </c>
      <c r="E1335" s="16">
        <f t="shared" si="40"/>
        <v>87203196</v>
      </c>
      <c r="G1335" s="16">
        <f>IF(D1335=0,0,SUMIF(매도완료!$J:$J,Sheet2!$B1335,매도완료!$S:$S))</f>
        <v>0</v>
      </c>
      <c r="H1335" s="16">
        <f t="shared" si="41"/>
        <v>8284182.8820000011</v>
      </c>
    </row>
    <row r="1336" spans="2:8" hidden="1" x14ac:dyDescent="0.4">
      <c r="B1336" s="1">
        <v>43885</v>
      </c>
      <c r="C1336" s="16">
        <f>SUMIF(매도완료!$G:$G,Sheet2!$B1336,매도완료!$P:$P)</f>
        <v>0</v>
      </c>
      <c r="D1336" s="16">
        <f>SUMIF(매도완료!$J:$J,Sheet2!$B1336,매도완료!$P:$P)</f>
        <v>0</v>
      </c>
      <c r="E1336" s="16">
        <f t="shared" si="40"/>
        <v>87203196</v>
      </c>
      <c r="G1336" s="16">
        <f>IF(D1336=0,0,SUMIF(매도완료!$J:$J,Sheet2!$B1336,매도완료!$S:$S))</f>
        <v>0</v>
      </c>
      <c r="H1336" s="16">
        <f t="shared" si="41"/>
        <v>8284182.8820000011</v>
      </c>
    </row>
    <row r="1337" spans="2:8" hidden="1" x14ac:dyDescent="0.4">
      <c r="B1337" s="1">
        <v>43886</v>
      </c>
      <c r="C1337" s="16">
        <f>SUMIF(매도완료!$G:$G,Sheet2!$B1337,매도완료!$P:$P)</f>
        <v>0</v>
      </c>
      <c r="D1337" s="16">
        <f>SUMIF(매도완료!$J:$J,Sheet2!$B1337,매도완료!$P:$P)</f>
        <v>0</v>
      </c>
      <c r="E1337" s="16">
        <f t="shared" si="40"/>
        <v>87203196</v>
      </c>
      <c r="G1337" s="16">
        <f>IF(D1337=0,0,SUMIF(매도완료!$J:$J,Sheet2!$B1337,매도완료!$S:$S))</f>
        <v>0</v>
      </c>
      <c r="H1337" s="16">
        <f t="shared" si="41"/>
        <v>8284182.8820000011</v>
      </c>
    </row>
    <row r="1338" spans="2:8" hidden="1" x14ac:dyDescent="0.4">
      <c r="B1338" s="1">
        <v>43887</v>
      </c>
      <c r="C1338" s="16">
        <f>SUMIF(매도완료!$G:$G,Sheet2!$B1338,매도완료!$P:$P)</f>
        <v>0</v>
      </c>
      <c r="D1338" s="16">
        <f>SUMIF(매도완료!$J:$J,Sheet2!$B1338,매도완료!$P:$P)</f>
        <v>0</v>
      </c>
      <c r="E1338" s="16">
        <f t="shared" si="40"/>
        <v>87203196</v>
      </c>
      <c r="G1338" s="16">
        <f>IF(D1338=0,0,SUMIF(매도완료!$J:$J,Sheet2!$B1338,매도완료!$S:$S))</f>
        <v>0</v>
      </c>
      <c r="H1338" s="16">
        <f t="shared" si="41"/>
        <v>8284182.8820000011</v>
      </c>
    </row>
    <row r="1339" spans="2:8" hidden="1" x14ac:dyDescent="0.4">
      <c r="B1339" s="1">
        <v>43888</v>
      </c>
      <c r="C1339" s="16">
        <f>SUMIF(매도완료!$G:$G,Sheet2!$B1339,매도완료!$P:$P)</f>
        <v>0</v>
      </c>
      <c r="D1339" s="16">
        <f>SUMIF(매도완료!$J:$J,Sheet2!$B1339,매도완료!$P:$P)</f>
        <v>0</v>
      </c>
      <c r="E1339" s="16">
        <f t="shared" si="40"/>
        <v>87203196</v>
      </c>
      <c r="G1339" s="16">
        <f>IF(D1339=0,0,SUMIF(매도완료!$J:$J,Sheet2!$B1339,매도완료!$S:$S))</f>
        <v>0</v>
      </c>
      <c r="H1339" s="16">
        <f t="shared" si="41"/>
        <v>8284182.8820000011</v>
      </c>
    </row>
    <row r="1340" spans="2:8" hidden="1" x14ac:dyDescent="0.4">
      <c r="B1340" s="1">
        <v>43889</v>
      </c>
      <c r="C1340" s="16">
        <f>SUMIF(매도완료!$G:$G,Sheet2!$B1340,매도완료!$P:$P)</f>
        <v>0</v>
      </c>
      <c r="D1340" s="16">
        <f>SUMIF(매도완료!$J:$J,Sheet2!$B1340,매도완료!$P:$P)</f>
        <v>0</v>
      </c>
      <c r="E1340" s="16">
        <f t="shared" si="40"/>
        <v>87203196</v>
      </c>
      <c r="G1340" s="16">
        <f>IF(D1340=0,0,SUMIF(매도완료!$J:$J,Sheet2!$B1340,매도완료!$S:$S))</f>
        <v>0</v>
      </c>
      <c r="H1340" s="16">
        <f t="shared" si="41"/>
        <v>8284182.8820000011</v>
      </c>
    </row>
    <row r="1341" spans="2:8" hidden="1" x14ac:dyDescent="0.4">
      <c r="B1341" s="1">
        <v>43890</v>
      </c>
      <c r="C1341" s="16">
        <f>SUMIF(매도완료!$G:$G,Sheet2!$B1341,매도완료!$P:$P)</f>
        <v>0</v>
      </c>
      <c r="D1341" s="16">
        <f>SUMIF(매도완료!$J:$J,Sheet2!$B1341,매도완료!$P:$P)</f>
        <v>0</v>
      </c>
      <c r="E1341" s="16">
        <f t="shared" si="40"/>
        <v>87203196</v>
      </c>
      <c r="G1341" s="16">
        <f>IF(D1341=0,0,SUMIF(매도완료!$J:$J,Sheet2!$B1341,매도완료!$S:$S))</f>
        <v>0</v>
      </c>
      <c r="H1341" s="16">
        <f t="shared" si="41"/>
        <v>8284182.8820000011</v>
      </c>
    </row>
    <row r="1342" spans="2:8" hidden="1" x14ac:dyDescent="0.4">
      <c r="B1342" s="1">
        <v>43891</v>
      </c>
      <c r="C1342" s="16">
        <f>SUMIF(매도완료!$G:$G,Sheet2!$B1342,매도완료!$P:$P)</f>
        <v>0</v>
      </c>
      <c r="D1342" s="16">
        <f>SUMIF(매도완료!$J:$J,Sheet2!$B1342,매도완료!$P:$P)</f>
        <v>0</v>
      </c>
      <c r="E1342" s="16">
        <f t="shared" si="40"/>
        <v>87203196</v>
      </c>
      <c r="G1342" s="16">
        <f>IF(D1342=0,0,SUMIF(매도완료!$J:$J,Sheet2!$B1342,매도완료!$S:$S))</f>
        <v>0</v>
      </c>
      <c r="H1342" s="16">
        <f t="shared" si="41"/>
        <v>8284182.8820000011</v>
      </c>
    </row>
    <row r="1343" spans="2:8" hidden="1" x14ac:dyDescent="0.4">
      <c r="B1343" s="1">
        <v>43892</v>
      </c>
      <c r="C1343" s="16">
        <f>SUMIF(매도완료!$G:$G,Sheet2!$B1343,매도완료!$P:$P)</f>
        <v>0</v>
      </c>
      <c r="D1343" s="16">
        <f>SUMIF(매도완료!$J:$J,Sheet2!$B1343,매도완료!$P:$P)</f>
        <v>0</v>
      </c>
      <c r="E1343" s="16">
        <f t="shared" si="40"/>
        <v>87203196</v>
      </c>
      <c r="G1343" s="16">
        <f>IF(D1343=0,0,SUMIF(매도완료!$J:$J,Sheet2!$B1343,매도완료!$S:$S))</f>
        <v>0</v>
      </c>
      <c r="H1343" s="16">
        <f t="shared" si="41"/>
        <v>8284182.8820000011</v>
      </c>
    </row>
    <row r="1344" spans="2:8" hidden="1" x14ac:dyDescent="0.4">
      <c r="B1344" s="1">
        <v>43893</v>
      </c>
      <c r="C1344" s="16">
        <f>SUMIF(매도완료!$G:$G,Sheet2!$B1344,매도완료!$P:$P)</f>
        <v>0</v>
      </c>
      <c r="D1344" s="16">
        <f>SUMIF(매도완료!$J:$J,Sheet2!$B1344,매도완료!$P:$P)</f>
        <v>0</v>
      </c>
      <c r="E1344" s="16">
        <f t="shared" si="40"/>
        <v>87203196</v>
      </c>
      <c r="G1344" s="16">
        <f>IF(D1344=0,0,SUMIF(매도완료!$J:$J,Sheet2!$B1344,매도완료!$S:$S))</f>
        <v>0</v>
      </c>
      <c r="H1344" s="16">
        <f t="shared" si="41"/>
        <v>8284182.8820000011</v>
      </c>
    </row>
    <row r="1345" spans="2:8" hidden="1" x14ac:dyDescent="0.4">
      <c r="B1345" s="1">
        <v>43894</v>
      </c>
      <c r="C1345" s="16">
        <f>SUMIF(매도완료!$G:$G,Sheet2!$B1345,매도완료!$P:$P)</f>
        <v>0</v>
      </c>
      <c r="D1345" s="16">
        <f>SUMIF(매도완료!$J:$J,Sheet2!$B1345,매도완료!$P:$P)</f>
        <v>0</v>
      </c>
      <c r="E1345" s="16">
        <f t="shared" si="40"/>
        <v>87203196</v>
      </c>
      <c r="G1345" s="16">
        <f>IF(D1345=0,0,SUMIF(매도완료!$J:$J,Sheet2!$B1345,매도완료!$S:$S))</f>
        <v>0</v>
      </c>
      <c r="H1345" s="16">
        <f t="shared" si="41"/>
        <v>8284182.8820000011</v>
      </c>
    </row>
    <row r="1346" spans="2:8" hidden="1" x14ac:dyDescent="0.4">
      <c r="B1346" s="1">
        <v>43895</v>
      </c>
      <c r="C1346" s="16">
        <f>SUMIF(매도완료!$G:$G,Sheet2!$B1346,매도완료!$P:$P)</f>
        <v>0</v>
      </c>
      <c r="D1346" s="16">
        <f>SUMIF(매도완료!$J:$J,Sheet2!$B1346,매도완료!$P:$P)</f>
        <v>0</v>
      </c>
      <c r="E1346" s="16">
        <f t="shared" si="40"/>
        <v>87203196</v>
      </c>
      <c r="G1346" s="16">
        <f>IF(D1346=0,0,SUMIF(매도완료!$J:$J,Sheet2!$B1346,매도완료!$S:$S))</f>
        <v>0</v>
      </c>
      <c r="H1346" s="16">
        <f t="shared" si="41"/>
        <v>8284182.8820000011</v>
      </c>
    </row>
    <row r="1347" spans="2:8" hidden="1" x14ac:dyDescent="0.4">
      <c r="B1347" s="1">
        <v>43896</v>
      </c>
      <c r="C1347" s="16">
        <f>SUMIF(매도완료!$G:$G,Sheet2!$B1347,매도완료!$P:$P)</f>
        <v>5382500</v>
      </c>
      <c r="D1347" s="16">
        <f>SUMIF(매도완료!$J:$J,Sheet2!$B1347,매도완료!$P:$P)</f>
        <v>3054936.3</v>
      </c>
      <c r="E1347" s="16">
        <f t="shared" si="40"/>
        <v>89530759.700000003</v>
      </c>
      <c r="G1347" s="16">
        <f>IF(D1347=0,0,SUMIF(매도완료!$J:$J,Sheet2!$B1347,매도완료!$S:$S))</f>
        <v>612090.0569999998</v>
      </c>
      <c r="H1347" s="16">
        <f t="shared" si="41"/>
        <v>8896272.9390000012</v>
      </c>
    </row>
    <row r="1348" spans="2:8" hidden="1" x14ac:dyDescent="0.4">
      <c r="B1348" s="1">
        <v>43897</v>
      </c>
      <c r="C1348" s="16">
        <f>SUMIF(매도완료!$G:$G,Sheet2!$B1348,매도완료!$P:$P)</f>
        <v>0</v>
      </c>
      <c r="D1348" s="16">
        <f>SUMIF(매도완료!$J:$J,Sheet2!$B1348,매도완료!$P:$P)</f>
        <v>0</v>
      </c>
      <c r="E1348" s="16">
        <f t="shared" ref="E1348:E1411" si="42">E1347+C1348-D1348</f>
        <v>89530759.700000003</v>
      </c>
      <c r="G1348" s="16">
        <f>IF(D1348=0,0,SUMIF(매도완료!$J:$J,Sheet2!$B1348,매도완료!$S:$S))</f>
        <v>0</v>
      </c>
      <c r="H1348" s="16">
        <f t="shared" ref="H1348:H1411" si="43">H1347+G1348</f>
        <v>8896272.9390000012</v>
      </c>
    </row>
    <row r="1349" spans="2:8" hidden="1" x14ac:dyDescent="0.4">
      <c r="B1349" s="1">
        <v>43898</v>
      </c>
      <c r="C1349" s="16">
        <f>SUMIF(매도완료!$G:$G,Sheet2!$B1349,매도완료!$P:$P)</f>
        <v>0</v>
      </c>
      <c r="D1349" s="16">
        <f>SUMIF(매도완료!$J:$J,Sheet2!$B1349,매도완료!$P:$P)</f>
        <v>0</v>
      </c>
      <c r="E1349" s="16">
        <f t="shared" si="42"/>
        <v>89530759.700000003</v>
      </c>
      <c r="G1349" s="16">
        <f>IF(D1349=0,0,SUMIF(매도완료!$J:$J,Sheet2!$B1349,매도완료!$S:$S))</f>
        <v>0</v>
      </c>
      <c r="H1349" s="16">
        <f t="shared" si="43"/>
        <v>8896272.9390000012</v>
      </c>
    </row>
    <row r="1350" spans="2:8" hidden="1" x14ac:dyDescent="0.4">
      <c r="B1350" s="1">
        <v>43899</v>
      </c>
      <c r="C1350" s="16">
        <f>SUMIF(매도완료!$G:$G,Sheet2!$B1350,매도완료!$P:$P)</f>
        <v>0</v>
      </c>
      <c r="D1350" s="16">
        <f>SUMIF(매도완료!$J:$J,Sheet2!$B1350,매도완료!$P:$P)</f>
        <v>0</v>
      </c>
      <c r="E1350" s="16">
        <f t="shared" si="42"/>
        <v>89530759.700000003</v>
      </c>
      <c r="G1350" s="16">
        <f>IF(D1350=0,0,SUMIF(매도완료!$J:$J,Sheet2!$B1350,매도완료!$S:$S))</f>
        <v>0</v>
      </c>
      <c r="H1350" s="16">
        <f t="shared" si="43"/>
        <v>8896272.9390000012</v>
      </c>
    </row>
    <row r="1351" spans="2:8" hidden="1" x14ac:dyDescent="0.4">
      <c r="B1351" s="1">
        <v>43900</v>
      </c>
      <c r="C1351" s="16">
        <f>SUMIF(매도완료!$G:$G,Sheet2!$B1351,매도완료!$P:$P)</f>
        <v>0</v>
      </c>
      <c r="D1351" s="16">
        <f>SUMIF(매도완료!$J:$J,Sheet2!$B1351,매도완료!$P:$P)</f>
        <v>0</v>
      </c>
      <c r="E1351" s="16">
        <f t="shared" si="42"/>
        <v>89530759.700000003</v>
      </c>
      <c r="G1351" s="16">
        <f>IF(D1351=0,0,SUMIF(매도완료!$J:$J,Sheet2!$B1351,매도완료!$S:$S))</f>
        <v>0</v>
      </c>
      <c r="H1351" s="16">
        <f t="shared" si="43"/>
        <v>8896272.9390000012</v>
      </c>
    </row>
    <row r="1352" spans="2:8" hidden="1" x14ac:dyDescent="0.4">
      <c r="B1352" s="1">
        <v>43901</v>
      </c>
      <c r="C1352" s="16">
        <f>SUMIF(매도완료!$G:$G,Sheet2!$B1352,매도완료!$P:$P)</f>
        <v>0</v>
      </c>
      <c r="D1352" s="16">
        <f>SUMIF(매도완료!$J:$J,Sheet2!$B1352,매도완료!$P:$P)</f>
        <v>0</v>
      </c>
      <c r="E1352" s="16">
        <f t="shared" si="42"/>
        <v>89530759.700000003</v>
      </c>
      <c r="G1352" s="16">
        <f>IF(D1352=0,0,SUMIF(매도완료!$J:$J,Sheet2!$B1352,매도완료!$S:$S))</f>
        <v>0</v>
      </c>
      <c r="H1352" s="16">
        <f t="shared" si="43"/>
        <v>8896272.9390000012</v>
      </c>
    </row>
    <row r="1353" spans="2:8" hidden="1" x14ac:dyDescent="0.4">
      <c r="B1353" s="1">
        <v>43902</v>
      </c>
      <c r="C1353" s="16">
        <f>SUMIF(매도완료!$G:$G,Sheet2!$B1353,매도완료!$P:$P)</f>
        <v>0</v>
      </c>
      <c r="D1353" s="16">
        <f>SUMIF(매도완료!$J:$J,Sheet2!$B1353,매도완료!$P:$P)</f>
        <v>0</v>
      </c>
      <c r="E1353" s="16">
        <f t="shared" si="42"/>
        <v>89530759.700000003</v>
      </c>
      <c r="G1353" s="16">
        <f>IF(D1353=0,0,SUMIF(매도완료!$J:$J,Sheet2!$B1353,매도완료!$S:$S))</f>
        <v>0</v>
      </c>
      <c r="H1353" s="16">
        <f t="shared" si="43"/>
        <v>8896272.9390000012</v>
      </c>
    </row>
    <row r="1354" spans="2:8" hidden="1" x14ac:dyDescent="0.4">
      <c r="B1354" s="1">
        <v>43903</v>
      </c>
      <c r="C1354" s="16">
        <f>SUMIF(매도완료!$G:$G,Sheet2!$B1354,매도완료!$P:$P)</f>
        <v>0</v>
      </c>
      <c r="D1354" s="16">
        <f>SUMIF(매도완료!$J:$J,Sheet2!$B1354,매도완료!$P:$P)</f>
        <v>0</v>
      </c>
      <c r="E1354" s="16">
        <f t="shared" si="42"/>
        <v>89530759.700000003</v>
      </c>
      <c r="G1354" s="16">
        <f>IF(D1354=0,0,SUMIF(매도완료!$J:$J,Sheet2!$B1354,매도완료!$S:$S))</f>
        <v>0</v>
      </c>
      <c r="H1354" s="16">
        <f t="shared" si="43"/>
        <v>8896272.9390000012</v>
      </c>
    </row>
    <row r="1355" spans="2:8" hidden="1" x14ac:dyDescent="0.4">
      <c r="B1355" s="1">
        <v>43904</v>
      </c>
      <c r="C1355" s="16">
        <f>SUMIF(매도완료!$G:$G,Sheet2!$B1355,매도완료!$P:$P)</f>
        <v>0</v>
      </c>
      <c r="D1355" s="16">
        <f>SUMIF(매도완료!$J:$J,Sheet2!$B1355,매도완료!$P:$P)</f>
        <v>0</v>
      </c>
      <c r="E1355" s="16">
        <f t="shared" si="42"/>
        <v>89530759.700000003</v>
      </c>
      <c r="G1355" s="16">
        <f>IF(D1355=0,0,SUMIF(매도완료!$J:$J,Sheet2!$B1355,매도완료!$S:$S))</f>
        <v>0</v>
      </c>
      <c r="H1355" s="16">
        <f t="shared" si="43"/>
        <v>8896272.9390000012</v>
      </c>
    </row>
    <row r="1356" spans="2:8" hidden="1" x14ac:dyDescent="0.4">
      <c r="B1356" s="1">
        <v>43905</v>
      </c>
      <c r="C1356" s="16">
        <f>SUMIF(매도완료!$G:$G,Sheet2!$B1356,매도완료!$P:$P)</f>
        <v>0</v>
      </c>
      <c r="D1356" s="16">
        <f>SUMIF(매도완료!$J:$J,Sheet2!$B1356,매도완료!$P:$P)</f>
        <v>0</v>
      </c>
      <c r="E1356" s="16">
        <f t="shared" si="42"/>
        <v>89530759.700000003</v>
      </c>
      <c r="G1356" s="16">
        <f>IF(D1356=0,0,SUMIF(매도완료!$J:$J,Sheet2!$B1356,매도완료!$S:$S))</f>
        <v>0</v>
      </c>
      <c r="H1356" s="16">
        <f t="shared" si="43"/>
        <v>8896272.9390000012</v>
      </c>
    </row>
    <row r="1357" spans="2:8" hidden="1" x14ac:dyDescent="0.4">
      <c r="B1357" s="1">
        <v>43906</v>
      </c>
      <c r="C1357" s="16">
        <f>SUMIF(매도완료!$G:$G,Sheet2!$B1357,매도완료!$P:$P)</f>
        <v>0</v>
      </c>
      <c r="D1357" s="16">
        <f>SUMIF(매도완료!$J:$J,Sheet2!$B1357,매도완료!$P:$P)</f>
        <v>0</v>
      </c>
      <c r="E1357" s="16">
        <f t="shared" si="42"/>
        <v>89530759.700000003</v>
      </c>
      <c r="G1357" s="16">
        <f>IF(D1357=0,0,SUMIF(매도완료!$J:$J,Sheet2!$B1357,매도완료!$S:$S))</f>
        <v>0</v>
      </c>
      <c r="H1357" s="16">
        <f t="shared" si="43"/>
        <v>8896272.9390000012</v>
      </c>
    </row>
    <row r="1358" spans="2:8" hidden="1" x14ac:dyDescent="0.4">
      <c r="B1358" s="1">
        <v>43907</v>
      </c>
      <c r="C1358" s="16">
        <f>SUMIF(매도완료!$G:$G,Sheet2!$B1358,매도완료!$P:$P)</f>
        <v>0</v>
      </c>
      <c r="D1358" s="16">
        <f>SUMIF(매도완료!$J:$J,Sheet2!$B1358,매도완료!$P:$P)</f>
        <v>0</v>
      </c>
      <c r="E1358" s="16">
        <f t="shared" si="42"/>
        <v>89530759.700000003</v>
      </c>
      <c r="G1358" s="16">
        <f>IF(D1358=0,0,SUMIF(매도완료!$J:$J,Sheet2!$B1358,매도완료!$S:$S))</f>
        <v>0</v>
      </c>
      <c r="H1358" s="16">
        <f t="shared" si="43"/>
        <v>8896272.9390000012</v>
      </c>
    </row>
    <row r="1359" spans="2:8" hidden="1" x14ac:dyDescent="0.4">
      <c r="B1359" s="1">
        <v>43908</v>
      </c>
      <c r="C1359" s="16">
        <f>SUMIF(매도완료!$G:$G,Sheet2!$B1359,매도완료!$P:$P)</f>
        <v>0</v>
      </c>
      <c r="D1359" s="16">
        <f>SUMIF(매도완료!$J:$J,Sheet2!$B1359,매도완료!$P:$P)</f>
        <v>0</v>
      </c>
      <c r="E1359" s="16">
        <f t="shared" si="42"/>
        <v>89530759.700000003</v>
      </c>
      <c r="G1359" s="16">
        <f>IF(D1359=0,0,SUMIF(매도완료!$J:$J,Sheet2!$B1359,매도완료!$S:$S))</f>
        <v>0</v>
      </c>
      <c r="H1359" s="16">
        <f t="shared" si="43"/>
        <v>8896272.9390000012</v>
      </c>
    </row>
    <row r="1360" spans="2:8" hidden="1" x14ac:dyDescent="0.4">
      <c r="B1360" s="1">
        <v>43909</v>
      </c>
      <c r="C1360" s="16">
        <f>SUMIF(매도완료!$G:$G,Sheet2!$B1360,매도완료!$P:$P)</f>
        <v>0</v>
      </c>
      <c r="D1360" s="16">
        <f>SUMIF(매도완료!$J:$J,Sheet2!$B1360,매도완료!$P:$P)</f>
        <v>0</v>
      </c>
      <c r="E1360" s="16">
        <f t="shared" si="42"/>
        <v>89530759.700000003</v>
      </c>
      <c r="G1360" s="16">
        <f>IF(D1360=0,0,SUMIF(매도완료!$J:$J,Sheet2!$B1360,매도완료!$S:$S))</f>
        <v>0</v>
      </c>
      <c r="H1360" s="16">
        <f t="shared" si="43"/>
        <v>8896272.9390000012</v>
      </c>
    </row>
    <row r="1361" spans="2:8" hidden="1" x14ac:dyDescent="0.4">
      <c r="B1361" s="1">
        <v>43910</v>
      </c>
      <c r="C1361" s="16">
        <f>SUMIF(매도완료!$G:$G,Sheet2!$B1361,매도완료!$P:$P)</f>
        <v>0</v>
      </c>
      <c r="D1361" s="16">
        <f>SUMIF(매도완료!$J:$J,Sheet2!$B1361,매도완료!$P:$P)</f>
        <v>0</v>
      </c>
      <c r="E1361" s="16">
        <f t="shared" si="42"/>
        <v>89530759.700000003</v>
      </c>
      <c r="G1361" s="16">
        <f>IF(D1361=0,0,SUMIF(매도완료!$J:$J,Sheet2!$B1361,매도완료!$S:$S))</f>
        <v>0</v>
      </c>
      <c r="H1361" s="16">
        <f t="shared" si="43"/>
        <v>8896272.9390000012</v>
      </c>
    </row>
    <row r="1362" spans="2:8" hidden="1" x14ac:dyDescent="0.4">
      <c r="B1362" s="1">
        <v>43911</v>
      </c>
      <c r="C1362" s="16">
        <f>SUMIF(매도완료!$G:$G,Sheet2!$B1362,매도완료!$P:$P)</f>
        <v>0</v>
      </c>
      <c r="D1362" s="16">
        <f>SUMIF(매도완료!$J:$J,Sheet2!$B1362,매도완료!$P:$P)</f>
        <v>0</v>
      </c>
      <c r="E1362" s="16">
        <f t="shared" si="42"/>
        <v>89530759.700000003</v>
      </c>
      <c r="G1362" s="16">
        <f>IF(D1362=0,0,SUMIF(매도완료!$J:$J,Sheet2!$B1362,매도완료!$S:$S))</f>
        <v>0</v>
      </c>
      <c r="H1362" s="16">
        <f t="shared" si="43"/>
        <v>8896272.9390000012</v>
      </c>
    </row>
    <row r="1363" spans="2:8" hidden="1" x14ac:dyDescent="0.4">
      <c r="B1363" s="1">
        <v>43912</v>
      </c>
      <c r="C1363" s="16">
        <f>SUMIF(매도완료!$G:$G,Sheet2!$B1363,매도완료!$P:$P)</f>
        <v>0</v>
      </c>
      <c r="D1363" s="16">
        <f>SUMIF(매도완료!$J:$J,Sheet2!$B1363,매도완료!$P:$P)</f>
        <v>0</v>
      </c>
      <c r="E1363" s="16">
        <f t="shared" si="42"/>
        <v>89530759.700000003</v>
      </c>
      <c r="G1363" s="16">
        <f>IF(D1363=0,0,SUMIF(매도완료!$J:$J,Sheet2!$B1363,매도완료!$S:$S))</f>
        <v>0</v>
      </c>
      <c r="H1363" s="16">
        <f t="shared" si="43"/>
        <v>8896272.9390000012</v>
      </c>
    </row>
    <row r="1364" spans="2:8" hidden="1" x14ac:dyDescent="0.4">
      <c r="B1364" s="1">
        <v>43913</v>
      </c>
      <c r="C1364" s="16">
        <f>SUMIF(매도완료!$G:$G,Sheet2!$B1364,매도완료!$P:$P)</f>
        <v>0</v>
      </c>
      <c r="D1364" s="16">
        <f>SUMIF(매도완료!$J:$J,Sheet2!$B1364,매도완료!$P:$P)</f>
        <v>0</v>
      </c>
      <c r="E1364" s="16">
        <f t="shared" si="42"/>
        <v>89530759.700000003</v>
      </c>
      <c r="G1364" s="16">
        <f>IF(D1364=0,0,SUMIF(매도완료!$J:$J,Sheet2!$B1364,매도완료!$S:$S))</f>
        <v>0</v>
      </c>
      <c r="H1364" s="16">
        <f t="shared" si="43"/>
        <v>8896272.9390000012</v>
      </c>
    </row>
    <row r="1365" spans="2:8" hidden="1" x14ac:dyDescent="0.4">
      <c r="B1365" s="1">
        <v>43914</v>
      </c>
      <c r="C1365" s="16">
        <f>SUMIF(매도완료!$G:$G,Sheet2!$B1365,매도완료!$P:$P)</f>
        <v>0</v>
      </c>
      <c r="D1365" s="16">
        <f>SUMIF(매도완료!$J:$J,Sheet2!$B1365,매도완료!$P:$P)</f>
        <v>0</v>
      </c>
      <c r="E1365" s="16">
        <f t="shared" si="42"/>
        <v>89530759.700000003</v>
      </c>
      <c r="G1365" s="16">
        <f>IF(D1365=0,0,SUMIF(매도완료!$J:$J,Sheet2!$B1365,매도완료!$S:$S))</f>
        <v>0</v>
      </c>
      <c r="H1365" s="16">
        <f t="shared" si="43"/>
        <v>8896272.9390000012</v>
      </c>
    </row>
    <row r="1366" spans="2:8" hidden="1" x14ac:dyDescent="0.4">
      <c r="B1366" s="1">
        <v>43915</v>
      </c>
      <c r="C1366" s="16">
        <f>SUMIF(매도완료!$G:$G,Sheet2!$B1366,매도완료!$P:$P)</f>
        <v>0</v>
      </c>
      <c r="D1366" s="16">
        <f>SUMIF(매도완료!$J:$J,Sheet2!$B1366,매도완료!$P:$P)</f>
        <v>0</v>
      </c>
      <c r="E1366" s="16">
        <f t="shared" si="42"/>
        <v>89530759.700000003</v>
      </c>
      <c r="G1366" s="16">
        <f>IF(D1366=0,0,SUMIF(매도완료!$J:$J,Sheet2!$B1366,매도완료!$S:$S))</f>
        <v>0</v>
      </c>
      <c r="H1366" s="16">
        <f t="shared" si="43"/>
        <v>8896272.9390000012</v>
      </c>
    </row>
    <row r="1367" spans="2:8" hidden="1" x14ac:dyDescent="0.4">
      <c r="B1367" s="1">
        <v>43916</v>
      </c>
      <c r="C1367" s="16">
        <f>SUMIF(매도완료!$G:$G,Sheet2!$B1367,매도완료!$P:$P)</f>
        <v>0</v>
      </c>
      <c r="D1367" s="16">
        <f>SUMIF(매도완료!$J:$J,Sheet2!$B1367,매도완료!$P:$P)</f>
        <v>0</v>
      </c>
      <c r="E1367" s="16">
        <f t="shared" si="42"/>
        <v>89530759.700000003</v>
      </c>
      <c r="G1367" s="16">
        <f>IF(D1367=0,0,SUMIF(매도완료!$J:$J,Sheet2!$B1367,매도완료!$S:$S))</f>
        <v>0</v>
      </c>
      <c r="H1367" s="16">
        <f t="shared" si="43"/>
        <v>8896272.9390000012</v>
      </c>
    </row>
    <row r="1368" spans="2:8" hidden="1" x14ac:dyDescent="0.4">
      <c r="B1368" s="1">
        <v>43917</v>
      </c>
      <c r="C1368" s="16">
        <f>SUMIF(매도완료!$G:$G,Sheet2!$B1368,매도완료!$P:$P)</f>
        <v>0</v>
      </c>
      <c r="D1368" s="16">
        <f>SUMIF(매도완료!$J:$J,Sheet2!$B1368,매도완료!$P:$P)</f>
        <v>0</v>
      </c>
      <c r="E1368" s="16">
        <f t="shared" si="42"/>
        <v>89530759.700000003</v>
      </c>
      <c r="G1368" s="16">
        <f>IF(D1368=0,0,SUMIF(매도완료!$J:$J,Sheet2!$B1368,매도완료!$S:$S))</f>
        <v>0</v>
      </c>
      <c r="H1368" s="16">
        <f t="shared" si="43"/>
        <v>8896272.9390000012</v>
      </c>
    </row>
    <row r="1369" spans="2:8" hidden="1" x14ac:dyDescent="0.4">
      <c r="B1369" s="1">
        <v>43918</v>
      </c>
      <c r="C1369" s="16">
        <f>SUMIF(매도완료!$G:$G,Sheet2!$B1369,매도완료!$P:$P)</f>
        <v>0</v>
      </c>
      <c r="D1369" s="16">
        <f>SUMIF(매도완료!$J:$J,Sheet2!$B1369,매도완료!$P:$P)</f>
        <v>0</v>
      </c>
      <c r="E1369" s="16">
        <f t="shared" si="42"/>
        <v>89530759.700000003</v>
      </c>
      <c r="G1369" s="16">
        <f>IF(D1369=0,0,SUMIF(매도완료!$J:$J,Sheet2!$B1369,매도완료!$S:$S))</f>
        <v>0</v>
      </c>
      <c r="H1369" s="16">
        <f t="shared" si="43"/>
        <v>8896272.9390000012</v>
      </c>
    </row>
    <row r="1370" spans="2:8" hidden="1" x14ac:dyDescent="0.4">
      <c r="B1370" s="1">
        <v>43919</v>
      </c>
      <c r="C1370" s="16">
        <f>SUMIF(매도완료!$G:$G,Sheet2!$B1370,매도완료!$P:$P)</f>
        <v>1970000</v>
      </c>
      <c r="D1370" s="16">
        <f>SUMIF(매도완료!$J:$J,Sheet2!$B1370,매도완료!$P:$P)</f>
        <v>0</v>
      </c>
      <c r="E1370" s="16">
        <f t="shared" si="42"/>
        <v>91500759.700000003</v>
      </c>
      <c r="G1370" s="16">
        <f>IF(D1370=0,0,SUMIF(매도완료!$J:$J,Sheet2!$B1370,매도완료!$S:$S))</f>
        <v>0</v>
      </c>
      <c r="H1370" s="16">
        <f t="shared" si="43"/>
        <v>8896272.9390000012</v>
      </c>
    </row>
    <row r="1371" spans="2:8" hidden="1" x14ac:dyDescent="0.4">
      <c r="B1371" s="1">
        <v>43920</v>
      </c>
      <c r="C1371" s="16">
        <f>SUMIF(매도완료!$G:$G,Sheet2!$B1371,매도완료!$P:$P)</f>
        <v>1858659.0000000002</v>
      </c>
      <c r="D1371" s="16">
        <f>SUMIF(매도완료!$J:$J,Sheet2!$B1371,매도완료!$P:$P)</f>
        <v>0</v>
      </c>
      <c r="E1371" s="16">
        <f t="shared" si="42"/>
        <v>93359418.700000003</v>
      </c>
      <c r="G1371" s="16">
        <f>IF(D1371=0,0,SUMIF(매도완료!$J:$J,Sheet2!$B1371,매도완료!$S:$S))</f>
        <v>0</v>
      </c>
      <c r="H1371" s="16">
        <f t="shared" si="43"/>
        <v>8896272.9390000012</v>
      </c>
    </row>
    <row r="1372" spans="2:8" hidden="1" x14ac:dyDescent="0.4">
      <c r="B1372" s="1">
        <v>43921</v>
      </c>
      <c r="C1372" s="16">
        <f>SUMIF(매도완료!$G:$G,Sheet2!$B1372,매도완료!$P:$P)</f>
        <v>0</v>
      </c>
      <c r="D1372" s="16">
        <f>SUMIF(매도완료!$J:$J,Sheet2!$B1372,매도완료!$P:$P)</f>
        <v>0</v>
      </c>
      <c r="E1372" s="16">
        <f t="shared" si="42"/>
        <v>93359418.700000003</v>
      </c>
      <c r="G1372" s="16">
        <f>IF(D1372=0,0,SUMIF(매도완료!$J:$J,Sheet2!$B1372,매도완료!$S:$S))</f>
        <v>0</v>
      </c>
      <c r="H1372" s="16">
        <f t="shared" si="43"/>
        <v>8896272.9390000012</v>
      </c>
    </row>
    <row r="1373" spans="2:8" hidden="1" x14ac:dyDescent="0.4">
      <c r="B1373" s="1">
        <v>43922</v>
      </c>
      <c r="C1373" s="16">
        <f>SUMIF(매도완료!$G:$G,Sheet2!$B1373,매도완료!$P:$P)</f>
        <v>0</v>
      </c>
      <c r="D1373" s="16">
        <f>SUMIF(매도완료!$J:$J,Sheet2!$B1373,매도완료!$P:$P)</f>
        <v>0</v>
      </c>
      <c r="E1373" s="16">
        <f t="shared" si="42"/>
        <v>93359418.700000003</v>
      </c>
      <c r="G1373" s="16">
        <f>IF(D1373=0,0,SUMIF(매도완료!$J:$J,Sheet2!$B1373,매도완료!$S:$S))</f>
        <v>0</v>
      </c>
      <c r="H1373" s="16">
        <f t="shared" si="43"/>
        <v>8896272.9390000012</v>
      </c>
    </row>
    <row r="1374" spans="2:8" hidden="1" x14ac:dyDescent="0.4">
      <c r="B1374" s="1">
        <v>43923</v>
      </c>
      <c r="C1374" s="16">
        <f>SUMIF(매도완료!$G:$G,Sheet2!$B1374,매도완료!$P:$P)</f>
        <v>0</v>
      </c>
      <c r="D1374" s="16">
        <f>SUMIF(매도완료!$J:$J,Sheet2!$B1374,매도완료!$P:$P)</f>
        <v>0</v>
      </c>
      <c r="E1374" s="16">
        <f t="shared" si="42"/>
        <v>93359418.700000003</v>
      </c>
      <c r="G1374" s="16">
        <f>IF(D1374=0,0,SUMIF(매도완료!$J:$J,Sheet2!$B1374,매도완료!$S:$S))</f>
        <v>0</v>
      </c>
      <c r="H1374" s="16">
        <f t="shared" si="43"/>
        <v>8896272.9390000012</v>
      </c>
    </row>
    <row r="1375" spans="2:8" hidden="1" x14ac:dyDescent="0.4">
      <c r="B1375" s="1">
        <v>43924</v>
      </c>
      <c r="C1375" s="16">
        <f>SUMIF(매도완료!$G:$G,Sheet2!$B1375,매도완료!$P:$P)</f>
        <v>0</v>
      </c>
      <c r="D1375" s="16">
        <f>SUMIF(매도완료!$J:$J,Sheet2!$B1375,매도완료!$P:$P)</f>
        <v>0</v>
      </c>
      <c r="E1375" s="16">
        <f t="shared" si="42"/>
        <v>93359418.700000003</v>
      </c>
      <c r="G1375" s="16">
        <f>IF(D1375=0,0,SUMIF(매도완료!$J:$J,Sheet2!$B1375,매도완료!$S:$S))</f>
        <v>0</v>
      </c>
      <c r="H1375" s="16">
        <f t="shared" si="43"/>
        <v>8896272.9390000012</v>
      </c>
    </row>
    <row r="1376" spans="2:8" hidden="1" x14ac:dyDescent="0.4">
      <c r="B1376" s="1">
        <v>43925</v>
      </c>
      <c r="C1376" s="16">
        <f>SUMIF(매도완료!$G:$G,Sheet2!$B1376,매도완료!$P:$P)</f>
        <v>0</v>
      </c>
      <c r="D1376" s="16">
        <f>SUMIF(매도완료!$J:$J,Sheet2!$B1376,매도완료!$P:$P)</f>
        <v>1554000</v>
      </c>
      <c r="E1376" s="16">
        <f t="shared" si="42"/>
        <v>91805418.700000003</v>
      </c>
      <c r="G1376" s="16">
        <f>IF(D1376=0,0,SUMIF(매도완료!$J:$J,Sheet2!$B1376,매도완료!$S:$S))</f>
        <v>206595</v>
      </c>
      <c r="H1376" s="16">
        <f t="shared" si="43"/>
        <v>9102867.9390000012</v>
      </c>
    </row>
    <row r="1377" spans="2:8" hidden="1" x14ac:dyDescent="0.4">
      <c r="B1377" s="1">
        <v>43926</v>
      </c>
      <c r="C1377" s="16">
        <f>SUMIF(매도완료!$G:$G,Sheet2!$B1377,매도완료!$P:$P)</f>
        <v>0</v>
      </c>
      <c r="D1377" s="16">
        <f>SUMIF(매도완료!$J:$J,Sheet2!$B1377,매도완료!$P:$P)</f>
        <v>0</v>
      </c>
      <c r="E1377" s="16">
        <f t="shared" si="42"/>
        <v>91805418.700000003</v>
      </c>
      <c r="G1377" s="16">
        <f>IF(D1377=0,0,SUMIF(매도완료!$J:$J,Sheet2!$B1377,매도완료!$S:$S))</f>
        <v>0</v>
      </c>
      <c r="H1377" s="16">
        <f t="shared" si="43"/>
        <v>9102867.9390000012</v>
      </c>
    </row>
    <row r="1378" spans="2:8" hidden="1" x14ac:dyDescent="0.4">
      <c r="B1378" s="1">
        <v>43927</v>
      </c>
      <c r="C1378" s="16">
        <f>SUMIF(매도완료!$G:$G,Sheet2!$B1378,매도완료!$P:$P)</f>
        <v>2174077.125</v>
      </c>
      <c r="D1378" s="16">
        <f>SUMIF(매도완료!$J:$J,Sheet2!$B1378,매도완료!$P:$P)</f>
        <v>0</v>
      </c>
      <c r="E1378" s="16">
        <f t="shared" si="42"/>
        <v>93979495.825000003</v>
      </c>
      <c r="G1378" s="16">
        <f>IF(D1378=0,0,SUMIF(매도완료!$J:$J,Sheet2!$B1378,매도완료!$S:$S))</f>
        <v>0</v>
      </c>
      <c r="H1378" s="16">
        <f t="shared" si="43"/>
        <v>9102867.9390000012</v>
      </c>
    </row>
    <row r="1379" spans="2:8" hidden="1" x14ac:dyDescent="0.4">
      <c r="B1379" s="1">
        <v>43928</v>
      </c>
      <c r="C1379" s="16">
        <f>SUMIF(매도완료!$G:$G,Sheet2!$B1379,매도완료!$P:$P)</f>
        <v>0</v>
      </c>
      <c r="D1379" s="16">
        <f>SUMIF(매도완료!$J:$J,Sheet2!$B1379,매도완료!$P:$P)</f>
        <v>0</v>
      </c>
      <c r="E1379" s="16">
        <f t="shared" si="42"/>
        <v>93979495.825000003</v>
      </c>
      <c r="G1379" s="16">
        <f>IF(D1379=0,0,SUMIF(매도완료!$J:$J,Sheet2!$B1379,매도완료!$S:$S))</f>
        <v>0</v>
      </c>
      <c r="H1379" s="16">
        <f t="shared" si="43"/>
        <v>9102867.9390000012</v>
      </c>
    </row>
    <row r="1380" spans="2:8" hidden="1" x14ac:dyDescent="0.4">
      <c r="B1380" s="1">
        <v>43929</v>
      </c>
      <c r="C1380" s="16">
        <f>SUMIF(매도완료!$G:$G,Sheet2!$B1380,매도완료!$P:$P)</f>
        <v>0</v>
      </c>
      <c r="D1380" s="16">
        <f>SUMIF(매도완료!$J:$J,Sheet2!$B1380,매도완료!$P:$P)</f>
        <v>0</v>
      </c>
      <c r="E1380" s="16">
        <f t="shared" si="42"/>
        <v>93979495.825000003</v>
      </c>
      <c r="G1380" s="16">
        <f>IF(D1380=0,0,SUMIF(매도완료!$J:$J,Sheet2!$B1380,매도완료!$S:$S))</f>
        <v>0</v>
      </c>
      <c r="H1380" s="16">
        <f t="shared" si="43"/>
        <v>9102867.9390000012</v>
      </c>
    </row>
    <row r="1381" spans="2:8" hidden="1" x14ac:dyDescent="0.4">
      <c r="B1381" s="1">
        <v>43930</v>
      </c>
      <c r="C1381" s="16">
        <f>SUMIF(매도완료!$G:$G,Sheet2!$B1381,매도완료!$P:$P)</f>
        <v>0</v>
      </c>
      <c r="D1381" s="16">
        <f>SUMIF(매도완료!$J:$J,Sheet2!$B1381,매도완료!$P:$P)</f>
        <v>0</v>
      </c>
      <c r="E1381" s="16">
        <f t="shared" si="42"/>
        <v>93979495.825000003</v>
      </c>
      <c r="G1381" s="16">
        <f>IF(D1381=0,0,SUMIF(매도완료!$J:$J,Sheet2!$B1381,매도완료!$S:$S))</f>
        <v>0</v>
      </c>
      <c r="H1381" s="16">
        <f t="shared" si="43"/>
        <v>9102867.9390000012</v>
      </c>
    </row>
    <row r="1382" spans="2:8" hidden="1" x14ac:dyDescent="0.4">
      <c r="B1382" s="1">
        <v>43931</v>
      </c>
      <c r="C1382" s="16">
        <f>SUMIF(매도완료!$G:$G,Sheet2!$B1382,매도완료!$P:$P)</f>
        <v>0</v>
      </c>
      <c r="D1382" s="16">
        <f>SUMIF(매도완료!$J:$J,Sheet2!$B1382,매도완료!$P:$P)</f>
        <v>0</v>
      </c>
      <c r="E1382" s="16">
        <f t="shared" si="42"/>
        <v>93979495.825000003</v>
      </c>
      <c r="G1382" s="16">
        <f>IF(D1382=0,0,SUMIF(매도완료!$J:$J,Sheet2!$B1382,매도완료!$S:$S))</f>
        <v>0</v>
      </c>
      <c r="H1382" s="16">
        <f t="shared" si="43"/>
        <v>9102867.9390000012</v>
      </c>
    </row>
    <row r="1383" spans="2:8" hidden="1" x14ac:dyDescent="0.4">
      <c r="B1383" s="1">
        <v>43932</v>
      </c>
      <c r="C1383" s="16">
        <f>SUMIF(매도완료!$G:$G,Sheet2!$B1383,매도완료!$P:$P)</f>
        <v>0</v>
      </c>
      <c r="D1383" s="16">
        <f>SUMIF(매도완료!$J:$J,Sheet2!$B1383,매도완료!$P:$P)</f>
        <v>0</v>
      </c>
      <c r="E1383" s="16">
        <f t="shared" si="42"/>
        <v>93979495.825000003</v>
      </c>
      <c r="G1383" s="16">
        <f>IF(D1383=0,0,SUMIF(매도완료!$J:$J,Sheet2!$B1383,매도완료!$S:$S))</f>
        <v>0</v>
      </c>
      <c r="H1383" s="16">
        <f t="shared" si="43"/>
        <v>9102867.9390000012</v>
      </c>
    </row>
    <row r="1384" spans="2:8" hidden="1" x14ac:dyDescent="0.4">
      <c r="B1384" s="1">
        <v>43933</v>
      </c>
      <c r="C1384" s="16">
        <f>SUMIF(매도완료!$G:$G,Sheet2!$B1384,매도완료!$P:$P)</f>
        <v>0</v>
      </c>
      <c r="D1384" s="16">
        <f>SUMIF(매도완료!$J:$J,Sheet2!$B1384,매도완료!$P:$P)</f>
        <v>0</v>
      </c>
      <c r="E1384" s="16">
        <f t="shared" si="42"/>
        <v>93979495.825000003</v>
      </c>
      <c r="G1384" s="16">
        <f>IF(D1384=0,0,SUMIF(매도완료!$J:$J,Sheet2!$B1384,매도완료!$S:$S))</f>
        <v>0</v>
      </c>
      <c r="H1384" s="16">
        <f t="shared" si="43"/>
        <v>9102867.9390000012</v>
      </c>
    </row>
    <row r="1385" spans="2:8" hidden="1" x14ac:dyDescent="0.4">
      <c r="B1385" s="1">
        <v>43934</v>
      </c>
      <c r="C1385" s="16">
        <f>SUMIF(매도완료!$G:$G,Sheet2!$B1385,매도완료!$P:$P)</f>
        <v>0</v>
      </c>
      <c r="D1385" s="16">
        <f>SUMIF(매도완료!$J:$J,Sheet2!$B1385,매도완료!$P:$P)</f>
        <v>0</v>
      </c>
      <c r="E1385" s="16">
        <f t="shared" si="42"/>
        <v>93979495.825000003</v>
      </c>
      <c r="G1385" s="16">
        <f>IF(D1385=0,0,SUMIF(매도완료!$J:$J,Sheet2!$B1385,매도완료!$S:$S))</f>
        <v>0</v>
      </c>
      <c r="H1385" s="16">
        <f t="shared" si="43"/>
        <v>9102867.9390000012</v>
      </c>
    </row>
    <row r="1386" spans="2:8" hidden="1" x14ac:dyDescent="0.4">
      <c r="B1386" s="1">
        <v>43935</v>
      </c>
      <c r="C1386" s="16">
        <f>SUMIF(매도완료!$G:$G,Sheet2!$B1386,매도완료!$P:$P)</f>
        <v>0</v>
      </c>
      <c r="D1386" s="16">
        <f>SUMIF(매도완료!$J:$J,Sheet2!$B1386,매도완료!$P:$P)</f>
        <v>0</v>
      </c>
      <c r="E1386" s="16">
        <f t="shared" si="42"/>
        <v>93979495.825000003</v>
      </c>
      <c r="G1386" s="16">
        <f>IF(D1386=0,0,SUMIF(매도완료!$J:$J,Sheet2!$B1386,매도완료!$S:$S))</f>
        <v>0</v>
      </c>
      <c r="H1386" s="16">
        <f t="shared" si="43"/>
        <v>9102867.9390000012</v>
      </c>
    </row>
    <row r="1387" spans="2:8" hidden="1" x14ac:dyDescent="0.4">
      <c r="B1387" s="1">
        <v>43936</v>
      </c>
      <c r="C1387" s="16">
        <f>SUMIF(매도완료!$G:$G,Sheet2!$B1387,매도완료!$P:$P)</f>
        <v>0</v>
      </c>
      <c r="D1387" s="16">
        <f>SUMIF(매도완료!$J:$J,Sheet2!$B1387,매도완료!$P:$P)</f>
        <v>0</v>
      </c>
      <c r="E1387" s="16">
        <f t="shared" si="42"/>
        <v>93979495.825000003</v>
      </c>
      <c r="G1387" s="16">
        <f>IF(D1387=0,0,SUMIF(매도완료!$J:$J,Sheet2!$B1387,매도완료!$S:$S))</f>
        <v>0</v>
      </c>
      <c r="H1387" s="16">
        <f t="shared" si="43"/>
        <v>9102867.9390000012</v>
      </c>
    </row>
    <row r="1388" spans="2:8" hidden="1" x14ac:dyDescent="0.4">
      <c r="B1388" s="1">
        <v>43937</v>
      </c>
      <c r="C1388" s="16">
        <f>SUMIF(매도완료!$G:$G,Sheet2!$B1388,매도완료!$P:$P)</f>
        <v>1310546.4679999999</v>
      </c>
      <c r="D1388" s="16">
        <f>SUMIF(매도완료!$J:$J,Sheet2!$B1388,매도완료!$P:$P)</f>
        <v>0</v>
      </c>
      <c r="E1388" s="16">
        <f t="shared" si="42"/>
        <v>95290042.292999998</v>
      </c>
      <c r="G1388" s="16">
        <f>IF(D1388=0,0,SUMIF(매도완료!$J:$J,Sheet2!$B1388,매도완료!$S:$S))</f>
        <v>0</v>
      </c>
      <c r="H1388" s="16">
        <f t="shared" si="43"/>
        <v>9102867.9390000012</v>
      </c>
    </row>
    <row r="1389" spans="2:8" hidden="1" x14ac:dyDescent="0.4">
      <c r="B1389" s="1">
        <v>43938</v>
      </c>
      <c r="C1389" s="16">
        <f>SUMIF(매도완료!$G:$G,Sheet2!$B1389,매도완료!$P:$P)</f>
        <v>0</v>
      </c>
      <c r="D1389" s="16">
        <f>SUMIF(매도완료!$J:$J,Sheet2!$B1389,매도완료!$P:$P)</f>
        <v>0</v>
      </c>
      <c r="E1389" s="16">
        <f t="shared" si="42"/>
        <v>95290042.292999998</v>
      </c>
      <c r="G1389" s="16">
        <f>IF(D1389=0,0,SUMIF(매도완료!$J:$J,Sheet2!$B1389,매도완료!$S:$S))</f>
        <v>0</v>
      </c>
      <c r="H1389" s="16">
        <f t="shared" si="43"/>
        <v>9102867.9390000012</v>
      </c>
    </row>
    <row r="1390" spans="2:8" hidden="1" x14ac:dyDescent="0.4">
      <c r="B1390" s="1">
        <v>43939</v>
      </c>
      <c r="C1390" s="16">
        <f>SUMIF(매도완료!$G:$G,Sheet2!$B1390,매도완료!$P:$P)</f>
        <v>0</v>
      </c>
      <c r="D1390" s="16">
        <f>SUMIF(매도완료!$J:$J,Sheet2!$B1390,매도완료!$P:$P)</f>
        <v>0</v>
      </c>
      <c r="E1390" s="16">
        <f t="shared" si="42"/>
        <v>95290042.292999998</v>
      </c>
      <c r="G1390" s="16">
        <f>IF(D1390=0,0,SUMIF(매도완료!$J:$J,Sheet2!$B1390,매도완료!$S:$S))</f>
        <v>0</v>
      </c>
      <c r="H1390" s="16">
        <f t="shared" si="43"/>
        <v>9102867.9390000012</v>
      </c>
    </row>
    <row r="1391" spans="2:8" hidden="1" x14ac:dyDescent="0.4">
      <c r="B1391" s="1">
        <v>43940</v>
      </c>
      <c r="C1391" s="16">
        <f>SUMIF(매도완료!$G:$G,Sheet2!$B1391,매도완료!$P:$P)</f>
        <v>0</v>
      </c>
      <c r="D1391" s="16">
        <f>SUMIF(매도완료!$J:$J,Sheet2!$B1391,매도완료!$P:$P)</f>
        <v>0</v>
      </c>
      <c r="E1391" s="16">
        <f t="shared" si="42"/>
        <v>95290042.292999998</v>
      </c>
      <c r="G1391" s="16">
        <f>IF(D1391=0,0,SUMIF(매도완료!$J:$J,Sheet2!$B1391,매도완료!$S:$S))</f>
        <v>0</v>
      </c>
      <c r="H1391" s="16">
        <f t="shared" si="43"/>
        <v>9102867.9390000012</v>
      </c>
    </row>
    <row r="1392" spans="2:8" hidden="1" x14ac:dyDescent="0.4">
      <c r="B1392" s="1">
        <v>43941</v>
      </c>
      <c r="C1392" s="16">
        <f>SUMIF(매도완료!$G:$G,Sheet2!$B1392,매도완료!$P:$P)</f>
        <v>0</v>
      </c>
      <c r="D1392" s="16">
        <f>SUMIF(매도완료!$J:$J,Sheet2!$B1392,매도완료!$P:$P)</f>
        <v>0</v>
      </c>
      <c r="E1392" s="16">
        <f t="shared" si="42"/>
        <v>95290042.292999998</v>
      </c>
      <c r="G1392" s="16">
        <f>IF(D1392=0,0,SUMIF(매도완료!$J:$J,Sheet2!$B1392,매도완료!$S:$S))</f>
        <v>0</v>
      </c>
      <c r="H1392" s="16">
        <f t="shared" si="43"/>
        <v>9102867.9390000012</v>
      </c>
    </row>
    <row r="1393" spans="2:8" hidden="1" x14ac:dyDescent="0.4">
      <c r="B1393" s="1">
        <v>43942</v>
      </c>
      <c r="C1393" s="16">
        <f>SUMIF(매도완료!$G:$G,Sheet2!$B1393,매도완료!$P:$P)</f>
        <v>1100782.2</v>
      </c>
      <c r="D1393" s="16">
        <f>SUMIF(매도완료!$J:$J,Sheet2!$B1393,매도완료!$P:$P)</f>
        <v>0</v>
      </c>
      <c r="E1393" s="16">
        <f t="shared" si="42"/>
        <v>96390824.493000001</v>
      </c>
      <c r="G1393" s="16">
        <f>IF(D1393=0,0,SUMIF(매도완료!$J:$J,Sheet2!$B1393,매도완료!$S:$S))</f>
        <v>0</v>
      </c>
      <c r="H1393" s="16">
        <f t="shared" si="43"/>
        <v>9102867.9390000012</v>
      </c>
    </row>
    <row r="1394" spans="2:8" hidden="1" x14ac:dyDescent="0.4">
      <c r="B1394" s="1">
        <v>43943</v>
      </c>
      <c r="C1394" s="16">
        <f>SUMIF(매도완료!$G:$G,Sheet2!$B1394,매도완료!$P:$P)</f>
        <v>0</v>
      </c>
      <c r="D1394" s="16">
        <f>SUMIF(매도완료!$J:$J,Sheet2!$B1394,매도완료!$P:$P)</f>
        <v>0</v>
      </c>
      <c r="E1394" s="16">
        <f t="shared" si="42"/>
        <v>96390824.493000001</v>
      </c>
      <c r="G1394" s="16">
        <f>IF(D1394=0,0,SUMIF(매도완료!$J:$J,Sheet2!$B1394,매도완료!$S:$S))</f>
        <v>0</v>
      </c>
      <c r="H1394" s="16">
        <f t="shared" si="43"/>
        <v>9102867.9390000012</v>
      </c>
    </row>
    <row r="1395" spans="2:8" hidden="1" x14ac:dyDescent="0.4">
      <c r="B1395" s="1">
        <v>43944</v>
      </c>
      <c r="C1395" s="16">
        <f>SUMIF(매도완료!$G:$G,Sheet2!$B1395,매도완료!$P:$P)</f>
        <v>0</v>
      </c>
      <c r="D1395" s="16">
        <f>SUMIF(매도완료!$J:$J,Sheet2!$B1395,매도완료!$P:$P)</f>
        <v>0</v>
      </c>
      <c r="E1395" s="16">
        <f t="shared" si="42"/>
        <v>96390824.493000001</v>
      </c>
      <c r="G1395" s="16">
        <f>IF(D1395=0,0,SUMIF(매도완료!$J:$J,Sheet2!$B1395,매도완료!$S:$S))</f>
        <v>0</v>
      </c>
      <c r="H1395" s="16">
        <f t="shared" si="43"/>
        <v>9102867.9390000012</v>
      </c>
    </row>
    <row r="1396" spans="2:8" hidden="1" x14ac:dyDescent="0.4">
      <c r="B1396" s="1">
        <v>43945</v>
      </c>
      <c r="C1396" s="16">
        <f>SUMIF(매도완료!$G:$G,Sheet2!$B1396,매도완료!$P:$P)</f>
        <v>0</v>
      </c>
      <c r="D1396" s="16">
        <f>SUMIF(매도완료!$J:$J,Sheet2!$B1396,매도완료!$P:$P)</f>
        <v>0</v>
      </c>
      <c r="E1396" s="16">
        <f t="shared" si="42"/>
        <v>96390824.493000001</v>
      </c>
      <c r="G1396" s="16">
        <f>IF(D1396=0,0,SUMIF(매도완료!$J:$J,Sheet2!$B1396,매도완료!$S:$S))</f>
        <v>0</v>
      </c>
      <c r="H1396" s="16">
        <f t="shared" si="43"/>
        <v>9102867.9390000012</v>
      </c>
    </row>
    <row r="1397" spans="2:8" hidden="1" x14ac:dyDescent="0.4">
      <c r="B1397" s="1">
        <v>43946</v>
      </c>
      <c r="C1397" s="16">
        <f>SUMIF(매도완료!$G:$G,Sheet2!$B1397,매도완료!$P:$P)</f>
        <v>0</v>
      </c>
      <c r="D1397" s="16">
        <f>SUMIF(매도완료!$J:$J,Sheet2!$B1397,매도완료!$P:$P)</f>
        <v>0</v>
      </c>
      <c r="E1397" s="16">
        <f t="shared" si="42"/>
        <v>96390824.493000001</v>
      </c>
      <c r="G1397" s="16">
        <f>IF(D1397=0,0,SUMIF(매도완료!$J:$J,Sheet2!$B1397,매도완료!$S:$S))</f>
        <v>0</v>
      </c>
      <c r="H1397" s="16">
        <f t="shared" si="43"/>
        <v>9102867.9390000012</v>
      </c>
    </row>
    <row r="1398" spans="2:8" hidden="1" x14ac:dyDescent="0.4">
      <c r="B1398" s="1">
        <v>43947</v>
      </c>
      <c r="C1398" s="16">
        <f>SUMIF(매도완료!$G:$G,Sheet2!$B1398,매도완료!$P:$P)</f>
        <v>0</v>
      </c>
      <c r="D1398" s="16">
        <f>SUMIF(매도완료!$J:$J,Sheet2!$B1398,매도완료!$P:$P)</f>
        <v>0</v>
      </c>
      <c r="E1398" s="16">
        <f t="shared" si="42"/>
        <v>96390824.493000001</v>
      </c>
      <c r="G1398" s="16">
        <f>IF(D1398=0,0,SUMIF(매도완료!$J:$J,Sheet2!$B1398,매도완료!$S:$S))</f>
        <v>0</v>
      </c>
      <c r="H1398" s="16">
        <f t="shared" si="43"/>
        <v>9102867.9390000012</v>
      </c>
    </row>
    <row r="1399" spans="2:8" hidden="1" x14ac:dyDescent="0.4">
      <c r="B1399" s="1">
        <v>43948</v>
      </c>
      <c r="C1399" s="16">
        <f>SUMIF(매도완료!$G:$G,Sheet2!$B1399,매도완료!$P:$P)</f>
        <v>0</v>
      </c>
      <c r="D1399" s="16">
        <f>SUMIF(매도완료!$J:$J,Sheet2!$B1399,매도완료!$P:$P)</f>
        <v>0</v>
      </c>
      <c r="E1399" s="16">
        <f t="shared" si="42"/>
        <v>96390824.493000001</v>
      </c>
      <c r="G1399" s="16">
        <f>IF(D1399=0,0,SUMIF(매도완료!$J:$J,Sheet2!$B1399,매도완료!$S:$S))</f>
        <v>0</v>
      </c>
      <c r="H1399" s="16">
        <f t="shared" si="43"/>
        <v>9102867.9390000012</v>
      </c>
    </row>
    <row r="1400" spans="2:8" hidden="1" x14ac:dyDescent="0.4">
      <c r="B1400" s="1">
        <v>43949</v>
      </c>
      <c r="C1400" s="16">
        <f>SUMIF(매도완료!$G:$G,Sheet2!$B1400,매도완료!$P:$P)</f>
        <v>0</v>
      </c>
      <c r="D1400" s="16">
        <f>SUMIF(매도완료!$J:$J,Sheet2!$B1400,매도완료!$P:$P)</f>
        <v>0</v>
      </c>
      <c r="E1400" s="16">
        <f t="shared" si="42"/>
        <v>96390824.493000001</v>
      </c>
      <c r="G1400" s="16">
        <f>IF(D1400=0,0,SUMIF(매도완료!$J:$J,Sheet2!$B1400,매도완료!$S:$S))</f>
        <v>0</v>
      </c>
      <c r="H1400" s="16">
        <f t="shared" si="43"/>
        <v>9102867.9390000012</v>
      </c>
    </row>
    <row r="1401" spans="2:8" hidden="1" x14ac:dyDescent="0.4">
      <c r="B1401" s="1">
        <v>43950</v>
      </c>
      <c r="C1401" s="16">
        <f>SUMIF(매도완료!$G:$G,Sheet2!$B1401,매도완료!$P:$P)</f>
        <v>0</v>
      </c>
      <c r="D1401" s="16">
        <f>SUMIF(매도완료!$J:$J,Sheet2!$B1401,매도완료!$P:$P)</f>
        <v>0</v>
      </c>
      <c r="E1401" s="16">
        <f t="shared" si="42"/>
        <v>96390824.493000001</v>
      </c>
      <c r="G1401" s="16">
        <f>IF(D1401=0,0,SUMIF(매도완료!$J:$J,Sheet2!$B1401,매도완료!$S:$S))</f>
        <v>0</v>
      </c>
      <c r="H1401" s="16">
        <f t="shared" si="43"/>
        <v>9102867.9390000012</v>
      </c>
    </row>
    <row r="1402" spans="2:8" hidden="1" x14ac:dyDescent="0.4">
      <c r="B1402" s="1">
        <v>43951</v>
      </c>
      <c r="C1402" s="16">
        <f>SUMIF(매도완료!$G:$G,Sheet2!$B1402,매도완료!$P:$P)</f>
        <v>0</v>
      </c>
      <c r="D1402" s="16">
        <f>SUMIF(매도완료!$J:$J,Sheet2!$B1402,매도완료!$P:$P)</f>
        <v>0</v>
      </c>
      <c r="E1402" s="16">
        <f t="shared" si="42"/>
        <v>96390824.493000001</v>
      </c>
      <c r="G1402" s="16">
        <f>IF(D1402=0,0,SUMIF(매도완료!$J:$J,Sheet2!$B1402,매도완료!$S:$S))</f>
        <v>0</v>
      </c>
      <c r="H1402" s="16">
        <f t="shared" si="43"/>
        <v>9102867.9390000012</v>
      </c>
    </row>
    <row r="1403" spans="2:8" hidden="1" x14ac:dyDescent="0.4">
      <c r="B1403" s="1">
        <v>43952</v>
      </c>
      <c r="C1403" s="16">
        <f>SUMIF(매도완료!$G:$G,Sheet2!$B1403,매도완료!$P:$P)</f>
        <v>0</v>
      </c>
      <c r="D1403" s="16">
        <f>SUMIF(매도완료!$J:$J,Sheet2!$B1403,매도완료!$P:$P)</f>
        <v>0</v>
      </c>
      <c r="E1403" s="16">
        <f t="shared" si="42"/>
        <v>96390824.493000001</v>
      </c>
      <c r="G1403" s="16">
        <f>IF(D1403=0,0,SUMIF(매도완료!$J:$J,Sheet2!$B1403,매도완료!$S:$S))</f>
        <v>0</v>
      </c>
      <c r="H1403" s="16">
        <f t="shared" si="43"/>
        <v>9102867.9390000012</v>
      </c>
    </row>
    <row r="1404" spans="2:8" hidden="1" x14ac:dyDescent="0.4">
      <c r="B1404" s="1">
        <v>43953</v>
      </c>
      <c r="C1404" s="16">
        <f>SUMIF(매도완료!$G:$G,Sheet2!$B1404,매도완료!$P:$P)</f>
        <v>0</v>
      </c>
      <c r="D1404" s="16">
        <f>SUMIF(매도완료!$J:$J,Sheet2!$B1404,매도완료!$P:$P)</f>
        <v>0</v>
      </c>
      <c r="E1404" s="16">
        <f t="shared" si="42"/>
        <v>96390824.493000001</v>
      </c>
      <c r="G1404" s="16">
        <f>IF(D1404=0,0,SUMIF(매도완료!$J:$J,Sheet2!$B1404,매도완료!$S:$S))</f>
        <v>0</v>
      </c>
      <c r="H1404" s="16">
        <f t="shared" si="43"/>
        <v>9102867.9390000012</v>
      </c>
    </row>
    <row r="1405" spans="2:8" hidden="1" x14ac:dyDescent="0.4">
      <c r="B1405" s="1">
        <v>43954</v>
      </c>
      <c r="C1405" s="16">
        <f>SUMIF(매도완료!$G:$G,Sheet2!$B1405,매도완료!$P:$P)</f>
        <v>0</v>
      </c>
      <c r="D1405" s="16">
        <f>SUMIF(매도완료!$J:$J,Sheet2!$B1405,매도완료!$P:$P)</f>
        <v>0</v>
      </c>
      <c r="E1405" s="16">
        <f t="shared" si="42"/>
        <v>96390824.493000001</v>
      </c>
      <c r="G1405" s="16">
        <f>IF(D1405=0,0,SUMIF(매도완료!$J:$J,Sheet2!$B1405,매도완료!$S:$S))</f>
        <v>0</v>
      </c>
      <c r="H1405" s="16">
        <f t="shared" si="43"/>
        <v>9102867.9390000012</v>
      </c>
    </row>
    <row r="1406" spans="2:8" hidden="1" x14ac:dyDescent="0.4">
      <c r="B1406" s="1">
        <v>43955</v>
      </c>
      <c r="C1406" s="16">
        <f>SUMIF(매도완료!$G:$G,Sheet2!$B1406,매도완료!$P:$P)</f>
        <v>0</v>
      </c>
      <c r="D1406" s="16">
        <f>SUMIF(매도완료!$J:$J,Sheet2!$B1406,매도완료!$P:$P)</f>
        <v>0</v>
      </c>
      <c r="E1406" s="16">
        <f t="shared" si="42"/>
        <v>96390824.493000001</v>
      </c>
      <c r="G1406" s="16">
        <f>IF(D1406=0,0,SUMIF(매도완료!$J:$J,Sheet2!$B1406,매도완료!$S:$S))</f>
        <v>0</v>
      </c>
      <c r="H1406" s="16">
        <f t="shared" si="43"/>
        <v>9102867.9390000012</v>
      </c>
    </row>
    <row r="1407" spans="2:8" hidden="1" x14ac:dyDescent="0.4">
      <c r="B1407" s="1">
        <v>43956</v>
      </c>
      <c r="C1407" s="16">
        <f>SUMIF(매도완료!$G:$G,Sheet2!$B1407,매도완료!$P:$P)</f>
        <v>0</v>
      </c>
      <c r="D1407" s="16">
        <f>SUMIF(매도완료!$J:$J,Sheet2!$B1407,매도완료!$P:$P)</f>
        <v>0</v>
      </c>
      <c r="E1407" s="16">
        <f t="shared" si="42"/>
        <v>96390824.493000001</v>
      </c>
      <c r="G1407" s="16">
        <f>IF(D1407=0,0,SUMIF(매도완료!$J:$J,Sheet2!$B1407,매도완료!$S:$S))</f>
        <v>0</v>
      </c>
      <c r="H1407" s="16">
        <f t="shared" si="43"/>
        <v>9102867.9390000012</v>
      </c>
    </row>
    <row r="1408" spans="2:8" hidden="1" x14ac:dyDescent="0.4">
      <c r="B1408" s="1">
        <v>43957</v>
      </c>
      <c r="C1408" s="16">
        <f>SUMIF(매도완료!$G:$G,Sheet2!$B1408,매도완료!$P:$P)</f>
        <v>0</v>
      </c>
      <c r="D1408" s="16">
        <f>SUMIF(매도완료!$J:$J,Sheet2!$B1408,매도완료!$P:$P)</f>
        <v>0</v>
      </c>
      <c r="E1408" s="16">
        <f t="shared" si="42"/>
        <v>96390824.493000001</v>
      </c>
      <c r="G1408" s="16">
        <f>IF(D1408=0,0,SUMIF(매도완료!$J:$J,Sheet2!$B1408,매도완료!$S:$S))</f>
        <v>0</v>
      </c>
      <c r="H1408" s="16">
        <f t="shared" si="43"/>
        <v>9102867.9390000012</v>
      </c>
    </row>
    <row r="1409" spans="2:8" hidden="1" x14ac:dyDescent="0.4">
      <c r="B1409" s="1">
        <v>43958</v>
      </c>
      <c r="C1409" s="16">
        <f>SUMIF(매도완료!$G:$G,Sheet2!$B1409,매도완료!$P:$P)</f>
        <v>0</v>
      </c>
      <c r="D1409" s="16">
        <f>SUMIF(매도완료!$J:$J,Sheet2!$B1409,매도완료!$P:$P)</f>
        <v>0</v>
      </c>
      <c r="E1409" s="16">
        <f t="shared" si="42"/>
        <v>96390824.493000001</v>
      </c>
      <c r="G1409" s="16">
        <f>IF(D1409=0,0,SUMIF(매도완료!$J:$J,Sheet2!$B1409,매도완료!$S:$S))</f>
        <v>0</v>
      </c>
      <c r="H1409" s="16">
        <f t="shared" si="43"/>
        <v>9102867.9390000012</v>
      </c>
    </row>
    <row r="1410" spans="2:8" hidden="1" x14ac:dyDescent="0.4">
      <c r="B1410" s="1">
        <v>43959</v>
      </c>
      <c r="C1410" s="16">
        <f>SUMIF(매도완료!$G:$G,Sheet2!$B1410,매도완료!$P:$P)</f>
        <v>0</v>
      </c>
      <c r="D1410" s="16">
        <f>SUMIF(매도완료!$J:$J,Sheet2!$B1410,매도완료!$P:$P)</f>
        <v>0</v>
      </c>
      <c r="E1410" s="16">
        <f t="shared" si="42"/>
        <v>96390824.493000001</v>
      </c>
      <c r="G1410" s="16">
        <f>IF(D1410=0,0,SUMIF(매도완료!$J:$J,Sheet2!$B1410,매도완료!$S:$S))</f>
        <v>0</v>
      </c>
      <c r="H1410" s="16">
        <f t="shared" si="43"/>
        <v>9102867.9390000012</v>
      </c>
    </row>
    <row r="1411" spans="2:8" hidden="1" x14ac:dyDescent="0.4">
      <c r="B1411" s="1">
        <v>43960</v>
      </c>
      <c r="C1411" s="16">
        <f>SUMIF(매도완료!$G:$G,Sheet2!$B1411,매도완료!$P:$P)</f>
        <v>0</v>
      </c>
      <c r="D1411" s="16">
        <f>SUMIF(매도완료!$J:$J,Sheet2!$B1411,매도완료!$P:$P)</f>
        <v>0</v>
      </c>
      <c r="E1411" s="16">
        <f t="shared" si="42"/>
        <v>96390824.493000001</v>
      </c>
      <c r="G1411" s="16">
        <f>IF(D1411=0,0,SUMIF(매도완료!$J:$J,Sheet2!$B1411,매도완료!$S:$S))</f>
        <v>0</v>
      </c>
      <c r="H1411" s="16">
        <f t="shared" si="43"/>
        <v>9102867.9390000012</v>
      </c>
    </row>
    <row r="1412" spans="2:8" hidden="1" x14ac:dyDescent="0.4">
      <c r="B1412" s="1">
        <v>43961</v>
      </c>
      <c r="C1412" s="16">
        <f>SUMIF(매도완료!$G:$G,Sheet2!$B1412,매도완료!$P:$P)</f>
        <v>0</v>
      </c>
      <c r="D1412" s="16">
        <f>SUMIF(매도완료!$J:$J,Sheet2!$B1412,매도완료!$P:$P)</f>
        <v>0</v>
      </c>
      <c r="E1412" s="16">
        <f t="shared" ref="E1412:E1475" si="44">E1411+C1412-D1412</f>
        <v>96390824.493000001</v>
      </c>
      <c r="G1412" s="16">
        <f>IF(D1412=0,0,SUMIF(매도완료!$J:$J,Sheet2!$B1412,매도완료!$S:$S))</f>
        <v>0</v>
      </c>
      <c r="H1412" s="16">
        <f t="shared" ref="H1412:H1475" si="45">H1411+G1412</f>
        <v>9102867.9390000012</v>
      </c>
    </row>
    <row r="1413" spans="2:8" hidden="1" x14ac:dyDescent="0.4">
      <c r="B1413" s="1">
        <v>43962</v>
      </c>
      <c r="C1413" s="16">
        <f>SUMIF(매도완료!$G:$G,Sheet2!$B1413,매도완료!$P:$P)</f>
        <v>0</v>
      </c>
      <c r="D1413" s="16">
        <f>SUMIF(매도완료!$J:$J,Sheet2!$B1413,매도완료!$P:$P)</f>
        <v>5674000</v>
      </c>
      <c r="E1413" s="16">
        <f t="shared" si="44"/>
        <v>90716824.493000001</v>
      </c>
      <c r="G1413" s="16">
        <f>IF(D1413=0,0,SUMIF(매도완료!$J:$J,Sheet2!$B1413,매도완료!$S:$S))</f>
        <v>783141</v>
      </c>
      <c r="H1413" s="16">
        <f t="shared" si="45"/>
        <v>9886008.9390000012</v>
      </c>
    </row>
    <row r="1414" spans="2:8" hidden="1" x14ac:dyDescent="0.4">
      <c r="B1414" s="1">
        <v>43963</v>
      </c>
      <c r="C1414" s="16">
        <f>SUMIF(매도완료!$G:$G,Sheet2!$B1414,매도완료!$P:$P)</f>
        <v>0</v>
      </c>
      <c r="D1414" s="16">
        <f>SUMIF(매도완료!$J:$J,Sheet2!$B1414,매도완료!$P:$P)</f>
        <v>0</v>
      </c>
      <c r="E1414" s="16">
        <f t="shared" si="44"/>
        <v>90716824.493000001</v>
      </c>
      <c r="G1414" s="16">
        <f>IF(D1414=0,0,SUMIF(매도완료!$J:$J,Sheet2!$B1414,매도완료!$S:$S))</f>
        <v>0</v>
      </c>
      <c r="H1414" s="16">
        <f t="shared" si="45"/>
        <v>9886008.9390000012</v>
      </c>
    </row>
    <row r="1415" spans="2:8" hidden="1" x14ac:dyDescent="0.4">
      <c r="B1415" s="1">
        <v>43964</v>
      </c>
      <c r="C1415" s="16">
        <f>SUMIF(매도완료!$G:$G,Sheet2!$B1415,매도완료!$P:$P)</f>
        <v>0</v>
      </c>
      <c r="D1415" s="16">
        <f>SUMIF(매도완료!$J:$J,Sheet2!$B1415,매도완료!$P:$P)</f>
        <v>0</v>
      </c>
      <c r="E1415" s="16">
        <f t="shared" si="44"/>
        <v>90716824.493000001</v>
      </c>
      <c r="G1415" s="16">
        <f>IF(D1415=0,0,SUMIF(매도완료!$J:$J,Sheet2!$B1415,매도완료!$S:$S))</f>
        <v>0</v>
      </c>
      <c r="H1415" s="16">
        <f t="shared" si="45"/>
        <v>9886008.9390000012</v>
      </c>
    </row>
    <row r="1416" spans="2:8" hidden="1" x14ac:dyDescent="0.4">
      <c r="B1416" s="1">
        <v>43965</v>
      </c>
      <c r="C1416" s="16">
        <f>SUMIF(매도완료!$G:$G,Sheet2!$B1416,매도완료!$P:$P)</f>
        <v>0</v>
      </c>
      <c r="D1416" s="16">
        <f>SUMIF(매도완료!$J:$J,Sheet2!$B1416,매도완료!$P:$P)</f>
        <v>0</v>
      </c>
      <c r="E1416" s="16">
        <f t="shared" si="44"/>
        <v>90716824.493000001</v>
      </c>
      <c r="G1416" s="16">
        <f>IF(D1416=0,0,SUMIF(매도완료!$J:$J,Sheet2!$B1416,매도완료!$S:$S))</f>
        <v>0</v>
      </c>
      <c r="H1416" s="16">
        <f t="shared" si="45"/>
        <v>9886008.9390000012</v>
      </c>
    </row>
    <row r="1417" spans="2:8" hidden="1" x14ac:dyDescent="0.4">
      <c r="B1417" s="1">
        <v>43966</v>
      </c>
      <c r="C1417" s="16">
        <f>SUMIF(매도완료!$G:$G,Sheet2!$B1417,매도완료!$P:$P)</f>
        <v>0</v>
      </c>
      <c r="D1417" s="16">
        <f>SUMIF(매도완료!$J:$J,Sheet2!$B1417,매도완료!$P:$P)</f>
        <v>494000</v>
      </c>
      <c r="E1417" s="16">
        <f t="shared" si="44"/>
        <v>90222824.493000001</v>
      </c>
      <c r="G1417" s="16">
        <f>IF(D1417=0,0,SUMIF(매도완료!$J:$J,Sheet2!$B1417,매도완료!$S:$S))</f>
        <v>39876</v>
      </c>
      <c r="H1417" s="16">
        <f t="shared" si="45"/>
        <v>9925884.9390000012</v>
      </c>
    </row>
    <row r="1418" spans="2:8" hidden="1" x14ac:dyDescent="0.4">
      <c r="B1418" s="1">
        <v>43967</v>
      </c>
      <c r="C1418" s="16">
        <f>SUMIF(매도완료!$G:$G,Sheet2!$B1418,매도완료!$P:$P)</f>
        <v>0</v>
      </c>
      <c r="D1418" s="16">
        <f>SUMIF(매도완료!$J:$J,Sheet2!$B1418,매도완료!$P:$P)</f>
        <v>0</v>
      </c>
      <c r="E1418" s="16">
        <f t="shared" si="44"/>
        <v>90222824.493000001</v>
      </c>
      <c r="G1418" s="16">
        <f>IF(D1418=0,0,SUMIF(매도완료!$J:$J,Sheet2!$B1418,매도완료!$S:$S))</f>
        <v>0</v>
      </c>
      <c r="H1418" s="16">
        <f t="shared" si="45"/>
        <v>9925884.9390000012</v>
      </c>
    </row>
    <row r="1419" spans="2:8" hidden="1" x14ac:dyDescent="0.4">
      <c r="B1419" s="1">
        <v>43968</v>
      </c>
      <c r="C1419" s="16">
        <f>SUMIF(매도완료!$G:$G,Sheet2!$B1419,매도완료!$P:$P)</f>
        <v>0</v>
      </c>
      <c r="D1419" s="16">
        <f>SUMIF(매도완료!$J:$J,Sheet2!$B1419,매도완료!$P:$P)</f>
        <v>0</v>
      </c>
      <c r="E1419" s="16">
        <f t="shared" si="44"/>
        <v>90222824.493000001</v>
      </c>
      <c r="G1419" s="16">
        <f>IF(D1419=0,0,SUMIF(매도완료!$J:$J,Sheet2!$B1419,매도완료!$S:$S))</f>
        <v>0</v>
      </c>
      <c r="H1419" s="16">
        <f t="shared" si="45"/>
        <v>9925884.9390000012</v>
      </c>
    </row>
    <row r="1420" spans="2:8" hidden="1" x14ac:dyDescent="0.4">
      <c r="B1420" s="1">
        <v>43969</v>
      </c>
      <c r="C1420" s="16">
        <f>SUMIF(매도완료!$G:$G,Sheet2!$B1420,매도완료!$P:$P)</f>
        <v>0</v>
      </c>
      <c r="D1420" s="16">
        <f>SUMIF(매도완료!$J:$J,Sheet2!$B1420,매도완료!$P:$P)</f>
        <v>0</v>
      </c>
      <c r="E1420" s="16">
        <f t="shared" si="44"/>
        <v>90222824.493000001</v>
      </c>
      <c r="G1420" s="16">
        <f>IF(D1420=0,0,SUMIF(매도완료!$J:$J,Sheet2!$B1420,매도완료!$S:$S))</f>
        <v>0</v>
      </c>
      <c r="H1420" s="16">
        <f t="shared" si="45"/>
        <v>9925884.9390000012</v>
      </c>
    </row>
    <row r="1421" spans="2:8" hidden="1" x14ac:dyDescent="0.4">
      <c r="B1421" s="1">
        <v>43970</v>
      </c>
      <c r="C1421" s="16">
        <f>SUMIF(매도완료!$G:$G,Sheet2!$B1421,매도완료!$P:$P)</f>
        <v>0</v>
      </c>
      <c r="D1421" s="16">
        <f>SUMIF(매도완료!$J:$J,Sheet2!$B1421,매도완료!$P:$P)</f>
        <v>0</v>
      </c>
      <c r="E1421" s="16">
        <f t="shared" si="44"/>
        <v>90222824.493000001</v>
      </c>
      <c r="G1421" s="16">
        <f>IF(D1421=0,0,SUMIF(매도완료!$J:$J,Sheet2!$B1421,매도완료!$S:$S))</f>
        <v>0</v>
      </c>
      <c r="H1421" s="16">
        <f t="shared" si="45"/>
        <v>9925884.9390000012</v>
      </c>
    </row>
    <row r="1422" spans="2:8" hidden="1" x14ac:dyDescent="0.4">
      <c r="B1422" s="1">
        <v>43971</v>
      </c>
      <c r="C1422" s="16">
        <f>SUMIF(매도완료!$G:$G,Sheet2!$B1422,매도완료!$P:$P)</f>
        <v>0</v>
      </c>
      <c r="D1422" s="16">
        <f>SUMIF(매도완료!$J:$J,Sheet2!$B1422,매도완료!$P:$P)</f>
        <v>1310546.4679999999</v>
      </c>
      <c r="E1422" s="16">
        <f t="shared" si="44"/>
        <v>88912278.025000006</v>
      </c>
      <c r="G1422" s="16">
        <f>IF(D1422=0,0,SUMIF(매도완료!$J:$J,Sheet2!$B1422,매도완료!$S:$S))</f>
        <v>287200.72500000015</v>
      </c>
      <c r="H1422" s="16">
        <f t="shared" si="45"/>
        <v>10213085.664000001</v>
      </c>
    </row>
    <row r="1423" spans="2:8" hidden="1" x14ac:dyDescent="0.4">
      <c r="B1423" s="1">
        <v>43972</v>
      </c>
      <c r="C1423" s="16">
        <f>SUMIF(매도완료!$G:$G,Sheet2!$B1423,매도완료!$P:$P)</f>
        <v>0</v>
      </c>
      <c r="D1423" s="16">
        <f>SUMIF(매도완료!$J:$J,Sheet2!$B1423,매도완료!$P:$P)</f>
        <v>942000</v>
      </c>
      <c r="E1423" s="16">
        <f t="shared" si="44"/>
        <v>87970278.025000006</v>
      </c>
      <c r="G1423" s="16">
        <f>IF(D1423=0,0,SUMIF(매도완료!$J:$J,Sheet2!$B1423,매도완료!$S:$S))</f>
        <v>138255</v>
      </c>
      <c r="H1423" s="16">
        <f t="shared" si="45"/>
        <v>10351340.664000001</v>
      </c>
    </row>
    <row r="1424" spans="2:8" hidden="1" x14ac:dyDescent="0.4">
      <c r="B1424" s="1">
        <v>43973</v>
      </c>
      <c r="C1424" s="16">
        <f>SUMIF(매도완료!$G:$G,Sheet2!$B1424,매도완료!$P:$P)</f>
        <v>0</v>
      </c>
      <c r="D1424" s="16">
        <f>SUMIF(매도완료!$J:$J,Sheet2!$B1424,매도완료!$P:$P)</f>
        <v>0</v>
      </c>
      <c r="E1424" s="16">
        <f t="shared" si="44"/>
        <v>87970278.025000006</v>
      </c>
      <c r="G1424" s="16">
        <f>IF(D1424=0,0,SUMIF(매도완료!$J:$J,Sheet2!$B1424,매도완료!$S:$S))</f>
        <v>0</v>
      </c>
      <c r="H1424" s="16">
        <f t="shared" si="45"/>
        <v>10351340.664000001</v>
      </c>
    </row>
    <row r="1425" spans="2:8" hidden="1" x14ac:dyDescent="0.4">
      <c r="B1425" s="1">
        <v>43974</v>
      </c>
      <c r="C1425" s="16">
        <f>SUMIF(매도완료!$G:$G,Sheet2!$B1425,매도완료!$P:$P)</f>
        <v>0</v>
      </c>
      <c r="D1425" s="16">
        <f>SUMIF(매도완료!$J:$J,Sheet2!$B1425,매도완료!$P:$P)</f>
        <v>0</v>
      </c>
      <c r="E1425" s="16">
        <f t="shared" si="44"/>
        <v>87970278.025000006</v>
      </c>
      <c r="G1425" s="16">
        <f>IF(D1425=0,0,SUMIF(매도완료!$J:$J,Sheet2!$B1425,매도완료!$S:$S))</f>
        <v>0</v>
      </c>
      <c r="H1425" s="16">
        <f t="shared" si="45"/>
        <v>10351340.664000001</v>
      </c>
    </row>
    <row r="1426" spans="2:8" hidden="1" x14ac:dyDescent="0.4">
      <c r="B1426" s="1">
        <v>43975</v>
      </c>
      <c r="C1426" s="16">
        <f>SUMIF(매도완료!$G:$G,Sheet2!$B1426,매도완료!$P:$P)</f>
        <v>0</v>
      </c>
      <c r="D1426" s="16">
        <f>SUMIF(매도완료!$J:$J,Sheet2!$B1426,매도완료!$P:$P)</f>
        <v>0</v>
      </c>
      <c r="E1426" s="16">
        <f t="shared" si="44"/>
        <v>87970278.025000006</v>
      </c>
      <c r="G1426" s="16">
        <f>IF(D1426=0,0,SUMIF(매도완료!$J:$J,Sheet2!$B1426,매도완료!$S:$S))</f>
        <v>0</v>
      </c>
      <c r="H1426" s="16">
        <f t="shared" si="45"/>
        <v>10351340.664000001</v>
      </c>
    </row>
    <row r="1427" spans="2:8" hidden="1" x14ac:dyDescent="0.4">
      <c r="B1427" s="1">
        <v>43976</v>
      </c>
      <c r="C1427" s="16">
        <f>SUMIF(매도완료!$G:$G,Sheet2!$B1427,매도완료!$P:$P)</f>
        <v>0</v>
      </c>
      <c r="D1427" s="16">
        <f>SUMIF(매도완료!$J:$J,Sheet2!$B1427,매도완료!$P:$P)</f>
        <v>0</v>
      </c>
      <c r="E1427" s="16">
        <f t="shared" si="44"/>
        <v>87970278.025000006</v>
      </c>
      <c r="G1427" s="16">
        <f>IF(D1427=0,0,SUMIF(매도완료!$J:$J,Sheet2!$B1427,매도완료!$S:$S))</f>
        <v>0</v>
      </c>
      <c r="H1427" s="16">
        <f t="shared" si="45"/>
        <v>10351340.664000001</v>
      </c>
    </row>
    <row r="1428" spans="2:8" hidden="1" x14ac:dyDescent="0.4">
      <c r="B1428" s="1">
        <v>43977</v>
      </c>
      <c r="C1428" s="16">
        <f>SUMIF(매도완료!$G:$G,Sheet2!$B1428,매도완료!$P:$P)</f>
        <v>0</v>
      </c>
      <c r="D1428" s="16">
        <f>SUMIF(매도완료!$J:$J,Sheet2!$B1428,매도완료!$P:$P)</f>
        <v>0</v>
      </c>
      <c r="E1428" s="16">
        <f t="shared" si="44"/>
        <v>87970278.025000006</v>
      </c>
      <c r="G1428" s="16">
        <f>IF(D1428=0,0,SUMIF(매도완료!$J:$J,Sheet2!$B1428,매도완료!$S:$S))</f>
        <v>0</v>
      </c>
      <c r="H1428" s="16">
        <f t="shared" si="45"/>
        <v>10351340.664000001</v>
      </c>
    </row>
    <row r="1429" spans="2:8" hidden="1" x14ac:dyDescent="0.4">
      <c r="B1429" s="1">
        <v>43978</v>
      </c>
      <c r="C1429" s="16">
        <f>SUMIF(매도완료!$G:$G,Sheet2!$B1429,매도완료!$P:$P)</f>
        <v>0</v>
      </c>
      <c r="D1429" s="16">
        <f>SUMIF(매도완료!$J:$J,Sheet2!$B1429,매도완료!$P:$P)</f>
        <v>0</v>
      </c>
      <c r="E1429" s="16">
        <f t="shared" si="44"/>
        <v>87970278.025000006</v>
      </c>
      <c r="G1429" s="16">
        <f>IF(D1429=0,0,SUMIF(매도완료!$J:$J,Sheet2!$B1429,매도완료!$S:$S))</f>
        <v>0</v>
      </c>
      <c r="H1429" s="16">
        <f t="shared" si="45"/>
        <v>10351340.664000001</v>
      </c>
    </row>
    <row r="1430" spans="2:8" hidden="1" x14ac:dyDescent="0.4">
      <c r="B1430" s="1">
        <v>43979</v>
      </c>
      <c r="C1430" s="16">
        <f>SUMIF(매도완료!$G:$G,Sheet2!$B1430,매도완료!$P:$P)</f>
        <v>0</v>
      </c>
      <c r="D1430" s="16">
        <f>SUMIF(매도완료!$J:$J,Sheet2!$B1430,매도완료!$P:$P)</f>
        <v>0</v>
      </c>
      <c r="E1430" s="16">
        <f t="shared" si="44"/>
        <v>87970278.025000006</v>
      </c>
      <c r="G1430" s="16">
        <f>IF(D1430=0,0,SUMIF(매도완료!$J:$J,Sheet2!$B1430,매도완료!$S:$S))</f>
        <v>0</v>
      </c>
      <c r="H1430" s="16">
        <f t="shared" si="45"/>
        <v>10351340.664000001</v>
      </c>
    </row>
    <row r="1431" spans="2:8" hidden="1" x14ac:dyDescent="0.4">
      <c r="B1431" s="1">
        <v>43980</v>
      </c>
      <c r="C1431" s="16">
        <f>SUMIF(매도완료!$G:$G,Sheet2!$B1431,매도완료!$P:$P)</f>
        <v>0</v>
      </c>
      <c r="D1431" s="16">
        <f>SUMIF(매도완료!$J:$J,Sheet2!$B1431,매도완료!$P:$P)</f>
        <v>0</v>
      </c>
      <c r="E1431" s="16">
        <f t="shared" si="44"/>
        <v>87970278.025000006</v>
      </c>
      <c r="G1431" s="16">
        <f>IF(D1431=0,0,SUMIF(매도완료!$J:$J,Sheet2!$B1431,매도완료!$S:$S))</f>
        <v>0</v>
      </c>
      <c r="H1431" s="16">
        <f t="shared" si="45"/>
        <v>10351340.664000001</v>
      </c>
    </row>
    <row r="1432" spans="2:8" hidden="1" x14ac:dyDescent="0.4">
      <c r="B1432" s="1">
        <v>43981</v>
      </c>
      <c r="C1432" s="16">
        <f>SUMIF(매도완료!$G:$G,Sheet2!$B1432,매도완료!$P:$P)</f>
        <v>0</v>
      </c>
      <c r="D1432" s="16">
        <f>SUMIF(매도완료!$J:$J,Sheet2!$B1432,매도완료!$P:$P)</f>
        <v>0</v>
      </c>
      <c r="E1432" s="16">
        <f t="shared" si="44"/>
        <v>87970278.025000006</v>
      </c>
      <c r="G1432" s="16">
        <f>IF(D1432=0,0,SUMIF(매도완료!$J:$J,Sheet2!$B1432,매도완료!$S:$S))</f>
        <v>0</v>
      </c>
      <c r="H1432" s="16">
        <f t="shared" si="45"/>
        <v>10351340.664000001</v>
      </c>
    </row>
    <row r="1433" spans="2:8" hidden="1" x14ac:dyDescent="0.4">
      <c r="B1433" s="1">
        <v>43982</v>
      </c>
      <c r="C1433" s="16">
        <f>SUMIF(매도완료!$G:$G,Sheet2!$B1433,매도완료!$P:$P)</f>
        <v>0</v>
      </c>
      <c r="D1433" s="16">
        <f>SUMIF(매도완료!$J:$J,Sheet2!$B1433,매도완료!$P:$P)</f>
        <v>0</v>
      </c>
      <c r="E1433" s="16">
        <f t="shared" si="44"/>
        <v>87970278.025000006</v>
      </c>
      <c r="G1433" s="16">
        <f>IF(D1433=0,0,SUMIF(매도완료!$J:$J,Sheet2!$B1433,매도완료!$S:$S))</f>
        <v>0</v>
      </c>
      <c r="H1433" s="16">
        <f t="shared" si="45"/>
        <v>10351340.664000001</v>
      </c>
    </row>
    <row r="1434" spans="2:8" hidden="1" x14ac:dyDescent="0.4">
      <c r="B1434" s="1">
        <v>43983</v>
      </c>
      <c r="C1434" s="16">
        <f>SUMIF(매도완료!$G:$G,Sheet2!$B1434,매도완료!$P:$P)</f>
        <v>0</v>
      </c>
      <c r="D1434" s="16">
        <f>SUMIF(매도완료!$J:$J,Sheet2!$B1434,매도완료!$P:$P)</f>
        <v>0</v>
      </c>
      <c r="E1434" s="16">
        <f t="shared" si="44"/>
        <v>87970278.025000006</v>
      </c>
      <c r="G1434" s="16">
        <f>IF(D1434=0,0,SUMIF(매도완료!$J:$J,Sheet2!$B1434,매도완료!$S:$S))</f>
        <v>0</v>
      </c>
      <c r="H1434" s="16">
        <f t="shared" si="45"/>
        <v>10351340.664000001</v>
      </c>
    </row>
    <row r="1435" spans="2:8" hidden="1" x14ac:dyDescent="0.4">
      <c r="B1435" s="1">
        <v>43984</v>
      </c>
      <c r="C1435" s="16">
        <f>SUMIF(매도완료!$G:$G,Sheet2!$B1435,매도완료!$P:$P)</f>
        <v>0</v>
      </c>
      <c r="D1435" s="16">
        <f>SUMIF(매도완료!$J:$J,Sheet2!$B1435,매도완료!$P:$P)</f>
        <v>2350000</v>
      </c>
      <c r="E1435" s="16">
        <f t="shared" si="44"/>
        <v>85620278.025000006</v>
      </c>
      <c r="G1435" s="16">
        <f>IF(D1435=0,0,SUMIF(매도완료!$J:$J,Sheet2!$B1435,매도완료!$S:$S))</f>
        <v>319750</v>
      </c>
      <c r="H1435" s="16">
        <f t="shared" si="45"/>
        <v>10671090.664000001</v>
      </c>
    </row>
    <row r="1436" spans="2:8" hidden="1" x14ac:dyDescent="0.4">
      <c r="B1436" s="1">
        <v>43985</v>
      </c>
      <c r="C1436" s="16">
        <f>SUMIF(매도완료!$G:$G,Sheet2!$B1436,매도완료!$P:$P)</f>
        <v>0</v>
      </c>
      <c r="D1436" s="16">
        <f>SUMIF(매도완료!$J:$J,Sheet2!$B1436,매도완료!$P:$P)</f>
        <v>0</v>
      </c>
      <c r="E1436" s="16">
        <f t="shared" si="44"/>
        <v>85620278.025000006</v>
      </c>
      <c r="G1436" s="16">
        <f>IF(D1436=0,0,SUMIF(매도완료!$J:$J,Sheet2!$B1436,매도완료!$S:$S))</f>
        <v>0</v>
      </c>
      <c r="H1436" s="16">
        <f t="shared" si="45"/>
        <v>10671090.664000001</v>
      </c>
    </row>
    <row r="1437" spans="2:8" hidden="1" x14ac:dyDescent="0.4">
      <c r="B1437" s="1">
        <v>43986</v>
      </c>
      <c r="C1437" s="16">
        <f>SUMIF(매도완료!$G:$G,Sheet2!$B1437,매도완료!$P:$P)</f>
        <v>0</v>
      </c>
      <c r="D1437" s="16">
        <f>SUMIF(매도완료!$J:$J,Sheet2!$B1437,매도완료!$P:$P)</f>
        <v>0</v>
      </c>
      <c r="E1437" s="16">
        <f t="shared" si="44"/>
        <v>85620278.025000006</v>
      </c>
      <c r="G1437" s="16">
        <f>IF(D1437=0,0,SUMIF(매도완료!$J:$J,Sheet2!$B1437,매도완료!$S:$S))</f>
        <v>0</v>
      </c>
      <c r="H1437" s="16">
        <f t="shared" si="45"/>
        <v>10671090.664000001</v>
      </c>
    </row>
    <row r="1438" spans="2:8" hidden="1" x14ac:dyDescent="0.4">
      <c r="B1438" s="1">
        <v>43987</v>
      </c>
      <c r="C1438" s="16">
        <f>SUMIF(매도완료!$G:$G,Sheet2!$B1438,매도완료!$P:$P)</f>
        <v>0</v>
      </c>
      <c r="D1438" s="16">
        <f>SUMIF(매도완료!$J:$J,Sheet2!$B1438,매도완료!$P:$P)</f>
        <v>0</v>
      </c>
      <c r="E1438" s="16">
        <f t="shared" si="44"/>
        <v>85620278.025000006</v>
      </c>
      <c r="G1438" s="16">
        <f>IF(D1438=0,0,SUMIF(매도완료!$J:$J,Sheet2!$B1438,매도완료!$S:$S))</f>
        <v>0</v>
      </c>
      <c r="H1438" s="16">
        <f t="shared" si="45"/>
        <v>10671090.664000001</v>
      </c>
    </row>
    <row r="1439" spans="2:8" hidden="1" x14ac:dyDescent="0.4">
      <c r="B1439" s="1">
        <v>43988</v>
      </c>
      <c r="C1439" s="16">
        <f>SUMIF(매도완료!$G:$G,Sheet2!$B1439,매도완료!$P:$P)</f>
        <v>0</v>
      </c>
      <c r="D1439" s="16">
        <f>SUMIF(매도완료!$J:$J,Sheet2!$B1439,매도완료!$P:$P)</f>
        <v>0</v>
      </c>
      <c r="E1439" s="16">
        <f t="shared" si="44"/>
        <v>85620278.025000006</v>
      </c>
      <c r="G1439" s="16">
        <f>IF(D1439=0,0,SUMIF(매도완료!$J:$J,Sheet2!$B1439,매도완료!$S:$S))</f>
        <v>0</v>
      </c>
      <c r="H1439" s="16">
        <f t="shared" si="45"/>
        <v>10671090.664000001</v>
      </c>
    </row>
    <row r="1440" spans="2:8" hidden="1" x14ac:dyDescent="0.4">
      <c r="B1440" s="1">
        <v>43989</v>
      </c>
      <c r="C1440" s="16">
        <f>SUMIF(매도완료!$G:$G,Sheet2!$B1440,매도완료!$P:$P)</f>
        <v>0</v>
      </c>
      <c r="D1440" s="16">
        <f>SUMIF(매도완료!$J:$J,Sheet2!$B1440,매도완료!$P:$P)</f>
        <v>0</v>
      </c>
      <c r="E1440" s="16">
        <f t="shared" si="44"/>
        <v>85620278.025000006</v>
      </c>
      <c r="G1440" s="16">
        <f>IF(D1440=0,0,SUMIF(매도완료!$J:$J,Sheet2!$B1440,매도완료!$S:$S))</f>
        <v>0</v>
      </c>
      <c r="H1440" s="16">
        <f t="shared" si="45"/>
        <v>10671090.664000001</v>
      </c>
    </row>
    <row r="1441" spans="2:8" hidden="1" x14ac:dyDescent="0.4">
      <c r="B1441" s="1">
        <v>43990</v>
      </c>
      <c r="C1441" s="16">
        <f>SUMIF(매도완료!$G:$G,Sheet2!$B1441,매도완료!$P:$P)</f>
        <v>0</v>
      </c>
      <c r="D1441" s="16">
        <f>SUMIF(매도완료!$J:$J,Sheet2!$B1441,매도완료!$P:$P)</f>
        <v>549289.125</v>
      </c>
      <c r="E1441" s="16">
        <f t="shared" si="44"/>
        <v>85070988.900000006</v>
      </c>
      <c r="G1441" s="16">
        <f>IF(D1441=0,0,SUMIF(매도완료!$J:$J,Sheet2!$B1441,매도완료!$S:$S))</f>
        <v>103100.18400000002</v>
      </c>
      <c r="H1441" s="16">
        <f t="shared" si="45"/>
        <v>10774190.848000001</v>
      </c>
    </row>
    <row r="1442" spans="2:8" hidden="1" x14ac:dyDescent="0.4">
      <c r="B1442" s="1">
        <v>43991</v>
      </c>
      <c r="C1442" s="16">
        <f>SUMIF(매도완료!$G:$G,Sheet2!$B1442,매도완료!$P:$P)</f>
        <v>0</v>
      </c>
      <c r="D1442" s="16">
        <f>SUMIF(매도완료!$J:$J,Sheet2!$B1442,매도완료!$P:$P)</f>
        <v>0</v>
      </c>
      <c r="E1442" s="16">
        <f t="shared" si="44"/>
        <v>85070988.900000006</v>
      </c>
      <c r="G1442" s="16">
        <f>IF(D1442=0,0,SUMIF(매도완료!$J:$J,Sheet2!$B1442,매도완료!$S:$S))</f>
        <v>0</v>
      </c>
      <c r="H1442" s="16">
        <f t="shared" si="45"/>
        <v>10774190.848000001</v>
      </c>
    </row>
    <row r="1443" spans="2:8" hidden="1" x14ac:dyDescent="0.4">
      <c r="B1443" s="1">
        <v>43992</v>
      </c>
      <c r="C1443" s="16">
        <f>SUMIF(매도완료!$G:$G,Sheet2!$B1443,매도완료!$P:$P)</f>
        <v>0</v>
      </c>
      <c r="D1443" s="16">
        <f>SUMIF(매도완료!$J:$J,Sheet2!$B1443,매도완료!$P:$P)</f>
        <v>0</v>
      </c>
      <c r="E1443" s="16">
        <f t="shared" si="44"/>
        <v>85070988.900000006</v>
      </c>
      <c r="G1443" s="16">
        <f>IF(D1443=0,0,SUMIF(매도완료!$J:$J,Sheet2!$B1443,매도완료!$S:$S))</f>
        <v>0</v>
      </c>
      <c r="H1443" s="16">
        <f t="shared" si="45"/>
        <v>10774190.848000001</v>
      </c>
    </row>
    <row r="1444" spans="2:8" hidden="1" x14ac:dyDescent="0.4">
      <c r="B1444" s="1">
        <v>43993</v>
      </c>
      <c r="C1444" s="16">
        <f>SUMIF(매도완료!$G:$G,Sheet2!$B1444,매도완료!$P:$P)</f>
        <v>0</v>
      </c>
      <c r="D1444" s="16">
        <f>SUMIF(매도완료!$J:$J,Sheet2!$B1444,매도완료!$P:$P)</f>
        <v>0</v>
      </c>
      <c r="E1444" s="16">
        <f t="shared" si="44"/>
        <v>85070988.900000006</v>
      </c>
      <c r="G1444" s="16">
        <f>IF(D1444=0,0,SUMIF(매도완료!$J:$J,Sheet2!$B1444,매도완료!$S:$S))</f>
        <v>0</v>
      </c>
      <c r="H1444" s="16">
        <f t="shared" si="45"/>
        <v>10774190.848000001</v>
      </c>
    </row>
    <row r="1445" spans="2:8" hidden="1" x14ac:dyDescent="0.4">
      <c r="B1445" s="1">
        <v>43994</v>
      </c>
      <c r="C1445" s="16">
        <f>SUMIF(매도완료!$G:$G,Sheet2!$B1445,매도완료!$P:$P)</f>
        <v>0</v>
      </c>
      <c r="D1445" s="16">
        <f>SUMIF(매도완료!$J:$J,Sheet2!$B1445,매도완료!$P:$P)</f>
        <v>0</v>
      </c>
      <c r="E1445" s="16">
        <f t="shared" si="44"/>
        <v>85070988.900000006</v>
      </c>
      <c r="G1445" s="16">
        <f>IF(D1445=0,0,SUMIF(매도완료!$J:$J,Sheet2!$B1445,매도완료!$S:$S))</f>
        <v>0</v>
      </c>
      <c r="H1445" s="16">
        <f t="shared" si="45"/>
        <v>10774190.848000001</v>
      </c>
    </row>
    <row r="1446" spans="2:8" hidden="1" x14ac:dyDescent="0.4">
      <c r="B1446" s="1">
        <v>43995</v>
      </c>
      <c r="C1446" s="16">
        <f>SUMIF(매도완료!$G:$G,Sheet2!$B1446,매도완료!$P:$P)</f>
        <v>0</v>
      </c>
      <c r="D1446" s="16">
        <f>SUMIF(매도완료!$J:$J,Sheet2!$B1446,매도완료!$P:$P)</f>
        <v>0</v>
      </c>
      <c r="E1446" s="16">
        <f t="shared" si="44"/>
        <v>85070988.900000006</v>
      </c>
      <c r="G1446" s="16">
        <f>IF(D1446=0,0,SUMIF(매도완료!$J:$J,Sheet2!$B1446,매도완료!$S:$S))</f>
        <v>0</v>
      </c>
      <c r="H1446" s="16">
        <f t="shared" si="45"/>
        <v>10774190.848000001</v>
      </c>
    </row>
    <row r="1447" spans="2:8" hidden="1" x14ac:dyDescent="0.4">
      <c r="B1447" s="1">
        <v>43996</v>
      </c>
      <c r="C1447" s="16">
        <f>SUMIF(매도완료!$G:$G,Sheet2!$B1447,매도완료!$P:$P)</f>
        <v>0</v>
      </c>
      <c r="D1447" s="16">
        <f>SUMIF(매도완료!$J:$J,Sheet2!$B1447,매도완료!$P:$P)</f>
        <v>0</v>
      </c>
      <c r="E1447" s="16">
        <f t="shared" si="44"/>
        <v>85070988.900000006</v>
      </c>
      <c r="G1447" s="16">
        <f>IF(D1447=0,0,SUMIF(매도완료!$J:$J,Sheet2!$B1447,매도완료!$S:$S))</f>
        <v>0</v>
      </c>
      <c r="H1447" s="16">
        <f t="shared" si="45"/>
        <v>10774190.848000001</v>
      </c>
    </row>
    <row r="1448" spans="2:8" hidden="1" x14ac:dyDescent="0.4">
      <c r="B1448" s="1">
        <v>43997</v>
      </c>
      <c r="C1448" s="16">
        <f>SUMIF(매도완료!$G:$G,Sheet2!$B1448,매도완료!$P:$P)</f>
        <v>0</v>
      </c>
      <c r="D1448" s="16">
        <f>SUMIF(매도완료!$J:$J,Sheet2!$B1448,매도완료!$P:$P)</f>
        <v>0</v>
      </c>
      <c r="E1448" s="16">
        <f t="shared" si="44"/>
        <v>85070988.900000006</v>
      </c>
      <c r="G1448" s="16">
        <f>IF(D1448=0,0,SUMIF(매도완료!$J:$J,Sheet2!$B1448,매도완료!$S:$S))</f>
        <v>0</v>
      </c>
      <c r="H1448" s="16">
        <f t="shared" si="45"/>
        <v>10774190.848000001</v>
      </c>
    </row>
    <row r="1449" spans="2:8" hidden="1" x14ac:dyDescent="0.4">
      <c r="B1449" s="1">
        <v>43998</v>
      </c>
      <c r="C1449" s="16">
        <f>SUMIF(매도완료!$G:$G,Sheet2!$B1449,매도완료!$P:$P)</f>
        <v>0</v>
      </c>
      <c r="D1449" s="16">
        <f>SUMIF(매도완료!$J:$J,Sheet2!$B1449,매도완료!$P:$P)</f>
        <v>0</v>
      </c>
      <c r="E1449" s="16">
        <f t="shared" si="44"/>
        <v>85070988.900000006</v>
      </c>
      <c r="G1449" s="16">
        <f>IF(D1449=0,0,SUMIF(매도완료!$J:$J,Sheet2!$B1449,매도완료!$S:$S))</f>
        <v>0</v>
      </c>
      <c r="H1449" s="16">
        <f t="shared" si="45"/>
        <v>10774190.848000001</v>
      </c>
    </row>
    <row r="1450" spans="2:8" hidden="1" x14ac:dyDescent="0.4">
      <c r="B1450" s="1">
        <v>43999</v>
      </c>
      <c r="C1450" s="16">
        <f>SUMIF(매도완료!$G:$G,Sheet2!$B1450,매도완료!$P:$P)</f>
        <v>0</v>
      </c>
      <c r="D1450" s="16">
        <f>SUMIF(매도완료!$J:$J,Sheet2!$B1450,매도완료!$P:$P)</f>
        <v>0</v>
      </c>
      <c r="E1450" s="16">
        <f t="shared" si="44"/>
        <v>85070988.900000006</v>
      </c>
      <c r="G1450" s="16">
        <f>IF(D1450=0,0,SUMIF(매도완료!$J:$J,Sheet2!$B1450,매도완료!$S:$S))</f>
        <v>0</v>
      </c>
      <c r="H1450" s="16">
        <f t="shared" si="45"/>
        <v>10774190.848000001</v>
      </c>
    </row>
    <row r="1451" spans="2:8" hidden="1" x14ac:dyDescent="0.4">
      <c r="B1451" s="1">
        <v>44000</v>
      </c>
      <c r="C1451" s="16">
        <f>SUMIF(매도완료!$G:$G,Sheet2!$B1451,매도완료!$P:$P)</f>
        <v>0</v>
      </c>
      <c r="D1451" s="16">
        <f>SUMIF(매도완료!$J:$J,Sheet2!$B1451,매도완료!$P:$P)</f>
        <v>0</v>
      </c>
      <c r="E1451" s="16">
        <f t="shared" si="44"/>
        <v>85070988.900000006</v>
      </c>
      <c r="G1451" s="16">
        <f>IF(D1451=0,0,SUMIF(매도완료!$J:$J,Sheet2!$B1451,매도완료!$S:$S))</f>
        <v>0</v>
      </c>
      <c r="H1451" s="16">
        <f t="shared" si="45"/>
        <v>10774190.848000001</v>
      </c>
    </row>
    <row r="1452" spans="2:8" hidden="1" x14ac:dyDescent="0.4">
      <c r="B1452" s="1">
        <v>44001</v>
      </c>
      <c r="C1452" s="16">
        <f>SUMIF(매도완료!$G:$G,Sheet2!$B1452,매도완료!$P:$P)</f>
        <v>0</v>
      </c>
      <c r="D1452" s="16">
        <f>SUMIF(매도완료!$J:$J,Sheet2!$B1452,매도완료!$P:$P)</f>
        <v>2350000</v>
      </c>
      <c r="E1452" s="16">
        <f t="shared" si="44"/>
        <v>82720988.900000006</v>
      </c>
      <c r="G1452" s="16">
        <f>IF(D1452=0,0,SUMIF(매도완료!$J:$J,Sheet2!$B1452,매도완료!$S:$S))</f>
        <v>105530</v>
      </c>
      <c r="H1452" s="16">
        <f t="shared" si="45"/>
        <v>10879720.848000001</v>
      </c>
    </row>
    <row r="1453" spans="2:8" hidden="1" x14ac:dyDescent="0.4">
      <c r="B1453" s="1">
        <v>44002</v>
      </c>
      <c r="C1453" s="16">
        <f>SUMIF(매도완료!$G:$G,Sheet2!$B1453,매도완료!$P:$P)</f>
        <v>0</v>
      </c>
      <c r="D1453" s="16">
        <f>SUMIF(매도완료!$J:$J,Sheet2!$B1453,매도완료!$P:$P)</f>
        <v>0</v>
      </c>
      <c r="E1453" s="16">
        <f t="shared" si="44"/>
        <v>82720988.900000006</v>
      </c>
      <c r="G1453" s="16">
        <f>IF(D1453=0,0,SUMIF(매도완료!$J:$J,Sheet2!$B1453,매도완료!$S:$S))</f>
        <v>0</v>
      </c>
      <c r="H1453" s="16">
        <f t="shared" si="45"/>
        <v>10879720.848000001</v>
      </c>
    </row>
    <row r="1454" spans="2:8" hidden="1" x14ac:dyDescent="0.4">
      <c r="B1454" s="1">
        <v>44003</v>
      </c>
      <c r="C1454" s="16">
        <f>SUMIF(매도완료!$G:$G,Sheet2!$B1454,매도완료!$P:$P)</f>
        <v>0</v>
      </c>
      <c r="D1454" s="16">
        <f>SUMIF(매도완료!$J:$J,Sheet2!$B1454,매도완료!$P:$P)</f>
        <v>0</v>
      </c>
      <c r="E1454" s="16">
        <f t="shared" si="44"/>
        <v>82720988.900000006</v>
      </c>
      <c r="G1454" s="16">
        <f>IF(D1454=0,0,SUMIF(매도완료!$J:$J,Sheet2!$B1454,매도완료!$S:$S))</f>
        <v>0</v>
      </c>
      <c r="H1454" s="16">
        <f t="shared" si="45"/>
        <v>10879720.848000001</v>
      </c>
    </row>
    <row r="1455" spans="2:8" hidden="1" x14ac:dyDescent="0.4">
      <c r="B1455" s="1">
        <v>44004</v>
      </c>
      <c r="C1455" s="16">
        <f>SUMIF(매도완료!$G:$G,Sheet2!$B1455,매도완료!$P:$P)</f>
        <v>0</v>
      </c>
      <c r="D1455" s="16">
        <f>SUMIF(매도완료!$J:$J,Sheet2!$B1455,매도완료!$P:$P)</f>
        <v>0</v>
      </c>
      <c r="E1455" s="16">
        <f t="shared" si="44"/>
        <v>82720988.900000006</v>
      </c>
      <c r="G1455" s="16">
        <f>IF(D1455=0,0,SUMIF(매도완료!$J:$J,Sheet2!$B1455,매도완료!$S:$S))</f>
        <v>0</v>
      </c>
      <c r="H1455" s="16">
        <f t="shared" si="45"/>
        <v>10879720.848000001</v>
      </c>
    </row>
    <row r="1456" spans="2:8" hidden="1" x14ac:dyDescent="0.4">
      <c r="B1456" s="1">
        <v>44005</v>
      </c>
      <c r="C1456" s="16">
        <f>SUMIF(매도완료!$G:$G,Sheet2!$B1456,매도완료!$P:$P)</f>
        <v>0</v>
      </c>
      <c r="D1456" s="16">
        <f>SUMIF(매도완료!$J:$J,Sheet2!$B1456,매도완료!$P:$P)</f>
        <v>0</v>
      </c>
      <c r="E1456" s="16">
        <f t="shared" si="44"/>
        <v>82720988.900000006</v>
      </c>
      <c r="G1456" s="16">
        <f>IF(D1456=0,0,SUMIF(매도완료!$J:$J,Sheet2!$B1456,매도완료!$S:$S))</f>
        <v>0</v>
      </c>
      <c r="H1456" s="16">
        <f t="shared" si="45"/>
        <v>10879720.848000001</v>
      </c>
    </row>
    <row r="1457" spans="2:8" hidden="1" x14ac:dyDescent="0.4">
      <c r="B1457" s="1">
        <v>44006</v>
      </c>
      <c r="C1457" s="16">
        <f>SUMIF(매도완료!$G:$G,Sheet2!$B1457,매도완료!$P:$P)</f>
        <v>0</v>
      </c>
      <c r="D1457" s="16">
        <f>SUMIF(매도완료!$J:$J,Sheet2!$B1457,매도완료!$P:$P)</f>
        <v>0</v>
      </c>
      <c r="E1457" s="16">
        <f t="shared" si="44"/>
        <v>82720988.900000006</v>
      </c>
      <c r="G1457" s="16">
        <f>IF(D1457=0,0,SUMIF(매도완료!$J:$J,Sheet2!$B1457,매도완료!$S:$S))</f>
        <v>0</v>
      </c>
      <c r="H1457" s="16">
        <f t="shared" si="45"/>
        <v>10879720.848000001</v>
      </c>
    </row>
    <row r="1458" spans="2:8" hidden="1" x14ac:dyDescent="0.4">
      <c r="B1458" s="1">
        <v>44007</v>
      </c>
      <c r="C1458" s="16">
        <f>SUMIF(매도완료!$G:$G,Sheet2!$B1458,매도완료!$P:$P)</f>
        <v>0</v>
      </c>
      <c r="D1458" s="16">
        <f>SUMIF(매도완료!$J:$J,Sheet2!$B1458,매도완료!$P:$P)</f>
        <v>0</v>
      </c>
      <c r="E1458" s="16">
        <f t="shared" si="44"/>
        <v>82720988.900000006</v>
      </c>
      <c r="G1458" s="16">
        <f>IF(D1458=0,0,SUMIF(매도완료!$J:$J,Sheet2!$B1458,매도완료!$S:$S))</f>
        <v>0</v>
      </c>
      <c r="H1458" s="16">
        <f t="shared" si="45"/>
        <v>10879720.848000001</v>
      </c>
    </row>
    <row r="1459" spans="2:8" hidden="1" x14ac:dyDescent="0.4">
      <c r="B1459" s="1">
        <v>44008</v>
      </c>
      <c r="C1459" s="16">
        <f>SUMIF(매도완료!$G:$G,Sheet2!$B1459,매도완료!$P:$P)</f>
        <v>0</v>
      </c>
      <c r="D1459" s="16">
        <f>SUMIF(매도완료!$J:$J,Sheet2!$B1459,매도완료!$P:$P)</f>
        <v>0</v>
      </c>
      <c r="E1459" s="16">
        <f t="shared" si="44"/>
        <v>82720988.900000006</v>
      </c>
      <c r="G1459" s="16">
        <f>IF(D1459=0,0,SUMIF(매도완료!$J:$J,Sheet2!$B1459,매도완료!$S:$S))</f>
        <v>0</v>
      </c>
      <c r="H1459" s="16">
        <f t="shared" si="45"/>
        <v>10879720.848000001</v>
      </c>
    </row>
    <row r="1460" spans="2:8" hidden="1" x14ac:dyDescent="0.4">
      <c r="B1460" s="1">
        <v>44009</v>
      </c>
      <c r="C1460" s="16">
        <f>SUMIF(매도완료!$G:$G,Sheet2!$B1460,매도완료!$P:$P)</f>
        <v>0</v>
      </c>
      <c r="D1460" s="16">
        <f>SUMIF(매도완료!$J:$J,Sheet2!$B1460,매도완료!$P:$P)</f>
        <v>0</v>
      </c>
      <c r="E1460" s="16">
        <f t="shared" si="44"/>
        <v>82720988.900000006</v>
      </c>
      <c r="G1460" s="16">
        <f>IF(D1460=0,0,SUMIF(매도완료!$J:$J,Sheet2!$B1460,매도완료!$S:$S))</f>
        <v>0</v>
      </c>
      <c r="H1460" s="16">
        <f t="shared" si="45"/>
        <v>10879720.848000001</v>
      </c>
    </row>
    <row r="1461" spans="2:8" hidden="1" x14ac:dyDescent="0.4">
      <c r="B1461" s="1">
        <v>44010</v>
      </c>
      <c r="C1461" s="16">
        <f>SUMIF(매도완료!$G:$G,Sheet2!$B1461,매도완료!$P:$P)</f>
        <v>0</v>
      </c>
      <c r="D1461" s="16">
        <f>SUMIF(매도완료!$J:$J,Sheet2!$B1461,매도완료!$P:$P)</f>
        <v>0</v>
      </c>
      <c r="E1461" s="16">
        <f t="shared" si="44"/>
        <v>82720988.900000006</v>
      </c>
      <c r="G1461" s="16">
        <f>IF(D1461=0,0,SUMIF(매도완료!$J:$J,Sheet2!$B1461,매도완료!$S:$S))</f>
        <v>0</v>
      </c>
      <c r="H1461" s="16">
        <f t="shared" si="45"/>
        <v>10879720.848000001</v>
      </c>
    </row>
    <row r="1462" spans="2:8" hidden="1" x14ac:dyDescent="0.4">
      <c r="B1462" s="1">
        <v>44011</v>
      </c>
      <c r="C1462" s="16">
        <f>SUMIF(매도완료!$G:$G,Sheet2!$B1462,매도완료!$P:$P)</f>
        <v>0</v>
      </c>
      <c r="D1462" s="16">
        <f>SUMIF(매도완료!$J:$J,Sheet2!$B1462,매도완료!$P:$P)</f>
        <v>0</v>
      </c>
      <c r="E1462" s="16">
        <f t="shared" si="44"/>
        <v>82720988.900000006</v>
      </c>
      <c r="G1462" s="16">
        <f>IF(D1462=0,0,SUMIF(매도완료!$J:$J,Sheet2!$B1462,매도완료!$S:$S))</f>
        <v>0</v>
      </c>
      <c r="H1462" s="16">
        <f t="shared" si="45"/>
        <v>10879720.848000001</v>
      </c>
    </row>
    <row r="1463" spans="2:8" hidden="1" x14ac:dyDescent="0.4">
      <c r="B1463" s="1">
        <v>44012</v>
      </c>
      <c r="C1463" s="16">
        <f>SUMIF(매도완료!$G:$G,Sheet2!$B1463,매도완료!$P:$P)</f>
        <v>0</v>
      </c>
      <c r="D1463" s="16">
        <f>SUMIF(매도완료!$J:$J,Sheet2!$B1463,매도완료!$P:$P)</f>
        <v>0</v>
      </c>
      <c r="E1463" s="16">
        <f t="shared" si="44"/>
        <v>82720988.900000006</v>
      </c>
      <c r="G1463" s="16">
        <f>IF(D1463=0,0,SUMIF(매도완료!$J:$J,Sheet2!$B1463,매도완료!$S:$S))</f>
        <v>0</v>
      </c>
      <c r="H1463" s="16">
        <f t="shared" si="45"/>
        <v>10879720.848000001</v>
      </c>
    </row>
    <row r="1464" spans="2:8" hidden="1" x14ac:dyDescent="0.4">
      <c r="B1464" s="1">
        <v>44013</v>
      </c>
      <c r="C1464" s="16">
        <f>SUMIF(매도완료!$G:$G,Sheet2!$B1464,매도완료!$P:$P)+SUMIF(ING!$G:$G,Sheet2!$B1464,ING!$P:$P)</f>
        <v>0</v>
      </c>
      <c r="D1464" s="16">
        <f>SUMIF(매도완료!$J:$J,Sheet2!$B1464,매도완료!$P:$P)+SUMIF(ING!$J:$J,Sheet2!$B1464,ING!$P:$P)</f>
        <v>1858659.0000000002</v>
      </c>
      <c r="E1464" s="16">
        <f t="shared" si="44"/>
        <v>80862329.900000006</v>
      </c>
      <c r="G1464" s="16">
        <f>IF(D1464=0,0,SUMIF(매도완료!$J:$J,Sheet2!$B1464,매도완료!$S:$S))+IF(D1464=0,0,SUMIF(ING!$J:$J,Sheet2!$B1464,ING!$S:$S))</f>
        <v>-1860517.6590000002</v>
      </c>
      <c r="H1464" s="16">
        <f t="shared" si="45"/>
        <v>9019203.1890000012</v>
      </c>
    </row>
    <row r="1465" spans="2:8" hidden="1" x14ac:dyDescent="0.4">
      <c r="B1465" s="1">
        <v>44014</v>
      </c>
      <c r="C1465" s="16">
        <f>SUMIF(매도완료!$G:$G,Sheet2!$B1465,매도완료!$P:$P)+SUMIF(ING!$G:$G,Sheet2!$B1465,ING!$P:$P)</f>
        <v>7937000</v>
      </c>
      <c r="D1465" s="16">
        <f>SUMIF(매도완료!$J:$J,Sheet2!$B1465,매도완료!$P:$P)+SUMIF(ING!$J:$J,Sheet2!$B1465,ING!$P:$P)</f>
        <v>0</v>
      </c>
      <c r="E1465" s="16">
        <f t="shared" si="44"/>
        <v>88799329.900000006</v>
      </c>
      <c r="G1465" s="16">
        <f>IF(D1465=0,0,SUMIF(매도완료!$J:$J,Sheet2!$B1465,매도완료!$S:$S))+IF(D1465=0,0,SUMIF(ING!$J:$J,Sheet2!$B1465,ING!$S:$S))</f>
        <v>0</v>
      </c>
      <c r="H1465" s="16">
        <f t="shared" si="45"/>
        <v>9019203.1890000012</v>
      </c>
    </row>
    <row r="1466" spans="2:8" hidden="1" x14ac:dyDescent="0.4">
      <c r="B1466" s="1">
        <v>44015</v>
      </c>
      <c r="C1466" s="16">
        <f>SUMIF(매도완료!$G:$G,Sheet2!$B1466,매도완료!$P:$P)+SUMIF(ING!$G:$G,Sheet2!$B1466,ING!$P:$P)</f>
        <v>0</v>
      </c>
      <c r="D1466" s="16">
        <f>SUMIF(매도완료!$J:$J,Sheet2!$B1466,매도완료!$P:$P)+SUMIF(ING!$J:$J,Sheet2!$B1466,ING!$P:$P)</f>
        <v>614536</v>
      </c>
      <c r="E1466" s="16">
        <f t="shared" si="44"/>
        <v>88184793.900000006</v>
      </c>
      <c r="G1466" s="16">
        <f>IF(D1466=0,0,SUMIF(매도완료!$J:$J,Sheet2!$B1466,매도완료!$S:$S))+IF(D1466=0,0,SUMIF(ING!$J:$J,Sheet2!$B1466,ING!$S:$S))</f>
        <v>30844.97999999993</v>
      </c>
      <c r="H1466" s="16">
        <f t="shared" si="45"/>
        <v>9050048.1690000016</v>
      </c>
    </row>
    <row r="1467" spans="2:8" hidden="1" x14ac:dyDescent="0.4">
      <c r="B1467" s="1">
        <v>44016</v>
      </c>
      <c r="C1467" s="16">
        <f>SUMIF(매도완료!$G:$G,Sheet2!$B1467,매도완료!$P:$P)+SUMIF(ING!$G:$G,Sheet2!$B1467,ING!$P:$P)</f>
        <v>0</v>
      </c>
      <c r="D1467" s="16">
        <f>SUMIF(매도완료!$J:$J,Sheet2!$B1467,매도완료!$P:$P)+SUMIF(ING!$J:$J,Sheet2!$B1467,ING!$P:$P)</f>
        <v>0</v>
      </c>
      <c r="E1467" s="16">
        <f t="shared" si="44"/>
        <v>88184793.900000006</v>
      </c>
      <c r="G1467" s="16">
        <f>IF(D1467=0,0,SUMIF(매도완료!$J:$J,Sheet2!$B1467,매도완료!$S:$S))+IF(D1467=0,0,SUMIF(ING!$J:$J,Sheet2!$B1467,ING!$S:$S))</f>
        <v>0</v>
      </c>
      <c r="H1467" s="16">
        <f t="shared" si="45"/>
        <v>9050048.1690000016</v>
      </c>
    </row>
    <row r="1468" spans="2:8" hidden="1" x14ac:dyDescent="0.4">
      <c r="B1468" s="1">
        <v>44017</v>
      </c>
      <c r="C1468" s="16">
        <f>SUMIF(매도완료!$G:$G,Sheet2!$B1468,매도완료!$P:$P)+SUMIF(ING!$G:$G,Sheet2!$B1468,ING!$P:$P)</f>
        <v>0</v>
      </c>
      <c r="D1468" s="16">
        <f>SUMIF(매도완료!$J:$J,Sheet2!$B1468,매도완료!$P:$P)+SUMIF(ING!$J:$J,Sheet2!$B1468,ING!$P:$P)</f>
        <v>0</v>
      </c>
      <c r="E1468" s="16">
        <f t="shared" si="44"/>
        <v>88184793.900000006</v>
      </c>
      <c r="G1468" s="16">
        <f>IF(D1468=0,0,SUMIF(매도완료!$J:$J,Sheet2!$B1468,매도완료!$S:$S))+IF(D1468=0,0,SUMIF(ING!$J:$J,Sheet2!$B1468,ING!$S:$S))</f>
        <v>0</v>
      </c>
      <c r="H1468" s="16">
        <f t="shared" si="45"/>
        <v>9050048.1690000016</v>
      </c>
    </row>
    <row r="1469" spans="2:8" hidden="1" x14ac:dyDescent="0.4">
      <c r="B1469" s="1">
        <v>44018</v>
      </c>
      <c r="C1469" s="16">
        <f>SUMIF(매도완료!$G:$G,Sheet2!$B1469,매도완료!$P:$P)+SUMIF(ING!$G:$G,Sheet2!$B1469,ING!$P:$P)</f>
        <v>0</v>
      </c>
      <c r="D1469" s="16">
        <f>SUMIF(매도완료!$J:$J,Sheet2!$B1469,매도완료!$P:$P)+SUMIF(ING!$J:$J,Sheet2!$B1469,ING!$P:$P)</f>
        <v>0</v>
      </c>
      <c r="E1469" s="16">
        <f t="shared" si="44"/>
        <v>88184793.900000006</v>
      </c>
      <c r="G1469" s="16">
        <f>IF(D1469=0,0,SUMIF(매도완료!$J:$J,Sheet2!$B1469,매도완료!$S:$S))+IF(D1469=0,0,SUMIF(ING!$J:$J,Sheet2!$B1469,ING!$S:$S))</f>
        <v>0</v>
      </c>
      <c r="H1469" s="16">
        <f t="shared" si="45"/>
        <v>9050048.1690000016</v>
      </c>
    </row>
    <row r="1470" spans="2:8" hidden="1" x14ac:dyDescent="0.4">
      <c r="B1470" s="1">
        <v>44019</v>
      </c>
      <c r="C1470" s="16">
        <f>SUMIF(매도완료!$G:$G,Sheet2!$B1470,매도완료!$P:$P)+SUMIF(ING!$G:$G,Sheet2!$B1470,ING!$P:$P)</f>
        <v>0</v>
      </c>
      <c r="D1470" s="16">
        <f>SUMIF(매도완료!$J:$J,Sheet2!$B1470,매도완료!$P:$P)+SUMIF(ING!$J:$J,Sheet2!$B1470,ING!$P:$P)</f>
        <v>0</v>
      </c>
      <c r="E1470" s="16">
        <f t="shared" si="44"/>
        <v>88184793.900000006</v>
      </c>
      <c r="G1470" s="16">
        <f>IF(D1470=0,0,SUMIF(매도완료!$J:$J,Sheet2!$B1470,매도완료!$S:$S))+IF(D1470=0,0,SUMIF(ING!$J:$J,Sheet2!$B1470,ING!$S:$S))</f>
        <v>0</v>
      </c>
      <c r="H1470" s="16">
        <f t="shared" si="45"/>
        <v>9050048.1690000016</v>
      </c>
    </row>
    <row r="1471" spans="2:8" hidden="1" x14ac:dyDescent="0.4">
      <c r="B1471" s="1">
        <v>44020</v>
      </c>
      <c r="C1471" s="16">
        <f>SUMIF(매도완료!$G:$G,Sheet2!$B1471,매도완료!$P:$P)+SUMIF(ING!$G:$G,Sheet2!$B1471,ING!$P:$P)</f>
        <v>11356685.48</v>
      </c>
      <c r="D1471" s="16">
        <f>SUMIF(매도완료!$J:$J,Sheet2!$B1471,매도완료!$P:$P)+SUMIF(ING!$J:$J,Sheet2!$B1471,ING!$P:$P)</f>
        <v>7620300</v>
      </c>
      <c r="E1471" s="16">
        <f t="shared" si="44"/>
        <v>91921179.38000001</v>
      </c>
      <c r="G1471" s="16">
        <f>IF(D1471=0,0,SUMIF(매도완료!$J:$J,Sheet2!$B1471,매도완료!$S:$S))+IF(D1471=0,0,SUMIF(ING!$J:$J,Sheet2!$B1471,ING!$S:$S))</f>
        <v>1686232</v>
      </c>
      <c r="H1471" s="16">
        <f t="shared" si="45"/>
        <v>10736280.169000002</v>
      </c>
    </row>
    <row r="1472" spans="2:8" hidden="1" x14ac:dyDescent="0.4">
      <c r="B1472" s="1">
        <v>44021</v>
      </c>
      <c r="C1472" s="16">
        <f>SUMIF(매도완료!$G:$G,Sheet2!$B1472,매도완료!$P:$P)+SUMIF(ING!$G:$G,Sheet2!$B1472,ING!$P:$P)</f>
        <v>4025250</v>
      </c>
      <c r="D1472" s="16">
        <f>SUMIF(매도완료!$J:$J,Sheet2!$B1472,매도완료!$P:$P)+SUMIF(ING!$J:$J,Sheet2!$B1472,ING!$P:$P)</f>
        <v>3290000</v>
      </c>
      <c r="E1472" s="16">
        <f t="shared" si="44"/>
        <v>92656429.38000001</v>
      </c>
      <c r="G1472" s="16">
        <f>IF(D1472=0,0,SUMIF(매도완료!$J:$J,Sheet2!$B1472,매도완료!$S:$S))+IF(D1472=0,0,SUMIF(ING!$J:$J,Sheet2!$B1472,ING!$S:$S))</f>
        <v>278416</v>
      </c>
      <c r="H1472" s="16">
        <f t="shared" si="45"/>
        <v>11014696.169000002</v>
      </c>
    </row>
    <row r="1473" spans="2:8" hidden="1" x14ac:dyDescent="0.4">
      <c r="B1473" s="1">
        <v>44022</v>
      </c>
      <c r="C1473" s="16">
        <f>SUMIF(매도완료!$G:$G,Sheet2!$B1473,매도완료!$P:$P)+SUMIF(ING!$G:$G,Sheet2!$B1473,ING!$P:$P)</f>
        <v>0</v>
      </c>
      <c r="D1473" s="16">
        <f>SUMIF(매도완료!$J:$J,Sheet2!$B1473,매도완료!$P:$P)+SUMIF(ING!$J:$J,Sheet2!$B1473,ING!$P:$P)</f>
        <v>5718553.5</v>
      </c>
      <c r="E1473" s="16">
        <f t="shared" si="44"/>
        <v>86937875.88000001</v>
      </c>
      <c r="G1473" s="16">
        <f>IF(D1473=0,0,SUMIF(매도완료!$J:$J,Sheet2!$B1473,매도완료!$S:$S))+IF(D1473=0,0,SUMIF(ING!$J:$J,Sheet2!$B1473,ING!$S:$S))</f>
        <v>221326.68</v>
      </c>
      <c r="H1473" s="16">
        <f t="shared" si="45"/>
        <v>11236022.849000001</v>
      </c>
    </row>
    <row r="1474" spans="2:8" hidden="1" x14ac:dyDescent="0.4">
      <c r="B1474" s="1">
        <v>44023</v>
      </c>
      <c r="C1474" s="16">
        <f>SUMIF(매도완료!$G:$G,Sheet2!$B1474,매도완료!$P:$P)+SUMIF(ING!$G:$G,Sheet2!$B1474,ING!$P:$P)</f>
        <v>0</v>
      </c>
      <c r="D1474" s="16">
        <f>SUMIF(매도완료!$J:$J,Sheet2!$B1474,매도완료!$P:$P)+SUMIF(ING!$J:$J,Sheet2!$B1474,ING!$P:$P)</f>
        <v>0</v>
      </c>
      <c r="E1474" s="16">
        <f t="shared" si="44"/>
        <v>86937875.88000001</v>
      </c>
      <c r="G1474" s="16">
        <f>IF(D1474=0,0,SUMIF(매도완료!$J:$J,Sheet2!$B1474,매도완료!$S:$S))+IF(D1474=0,0,SUMIF(ING!$J:$J,Sheet2!$B1474,ING!$S:$S))</f>
        <v>0</v>
      </c>
      <c r="H1474" s="16">
        <f t="shared" si="45"/>
        <v>11236022.849000001</v>
      </c>
    </row>
    <row r="1475" spans="2:8" hidden="1" x14ac:dyDescent="0.4">
      <c r="B1475" s="1">
        <v>44024</v>
      </c>
      <c r="C1475" s="16">
        <f>SUMIF(매도완료!$G:$G,Sheet2!$B1475,매도완료!$P:$P)+SUMIF(ING!$G:$G,Sheet2!$B1475,ING!$P:$P)</f>
        <v>0</v>
      </c>
      <c r="D1475" s="16">
        <f>SUMIF(매도완료!$J:$J,Sheet2!$B1475,매도완료!$P:$P)+SUMIF(ING!$J:$J,Sheet2!$B1475,ING!$P:$P)</f>
        <v>0</v>
      </c>
      <c r="E1475" s="16">
        <f t="shared" si="44"/>
        <v>86937875.88000001</v>
      </c>
      <c r="G1475" s="16">
        <f>IF(D1475=0,0,SUMIF(매도완료!$J:$J,Sheet2!$B1475,매도완료!$S:$S))+IF(D1475=0,0,SUMIF(ING!$J:$J,Sheet2!$B1475,ING!$S:$S))</f>
        <v>0</v>
      </c>
      <c r="H1475" s="16">
        <f t="shared" si="45"/>
        <v>11236022.849000001</v>
      </c>
    </row>
    <row r="1476" spans="2:8" hidden="1" x14ac:dyDescent="0.4">
      <c r="B1476" s="1">
        <v>44025</v>
      </c>
      <c r="C1476" s="16">
        <f>SUMIF(매도완료!$G:$G,Sheet2!$B1476,매도완료!$P:$P)+SUMIF(ING!$G:$G,Sheet2!$B1476,ING!$P:$P)</f>
        <v>0</v>
      </c>
      <c r="D1476" s="16">
        <f>SUMIF(매도완료!$J:$J,Sheet2!$B1476,매도완료!$P:$P)+SUMIF(ING!$J:$J,Sheet2!$B1476,ING!$P:$P)</f>
        <v>9197800</v>
      </c>
      <c r="E1476" s="16">
        <f t="shared" ref="E1476:E1539" si="46">E1475+C1476-D1476</f>
        <v>77740075.88000001</v>
      </c>
      <c r="G1476" s="16">
        <f>IF(D1476=0,0,SUMIF(매도완료!$J:$J,Sheet2!$B1476,매도완료!$S:$S))+IF(D1476=0,0,SUMIF(ING!$J:$J,Sheet2!$B1476,ING!$S:$S))</f>
        <v>840393.5</v>
      </c>
      <c r="H1476" s="16">
        <f t="shared" ref="H1476:H1539" si="47">H1475+G1476</f>
        <v>12076416.349000001</v>
      </c>
    </row>
    <row r="1477" spans="2:8" hidden="1" x14ac:dyDescent="0.4">
      <c r="B1477" s="1">
        <v>44026</v>
      </c>
      <c r="C1477" s="16">
        <f>SUMIF(매도완료!$G:$G,Sheet2!$B1477,매도완료!$P:$P)+SUMIF(ING!$G:$G,Sheet2!$B1477,ING!$P:$P)</f>
        <v>45972000</v>
      </c>
      <c r="D1477" s="16">
        <f>SUMIF(매도완료!$J:$J,Sheet2!$B1477,매도완료!$P:$P)+SUMIF(ING!$J:$J,Sheet2!$B1477,ING!$P:$P)</f>
        <v>2667872.88</v>
      </c>
      <c r="E1477" s="16">
        <f t="shared" si="46"/>
        <v>121044203.00000001</v>
      </c>
      <c r="G1477" s="16">
        <f>IF(D1477=0,0,SUMIF(매도완료!$J:$J,Sheet2!$B1477,매도완료!$S:$S))+IF(D1477=0,0,SUMIF(ING!$J:$J,Sheet2!$B1477,ING!$S:$S))</f>
        <v>117458.04000000027</v>
      </c>
      <c r="H1477" s="16">
        <f t="shared" si="47"/>
        <v>12193874.389000002</v>
      </c>
    </row>
    <row r="1478" spans="2:8" hidden="1" x14ac:dyDescent="0.4">
      <c r="B1478" s="1">
        <v>44027</v>
      </c>
      <c r="C1478" s="16">
        <f>SUMIF(매도완료!$G:$G,Sheet2!$B1478,매도완료!$P:$P)+SUMIF(ING!$G:$G,Sheet2!$B1478,ING!$P:$P)</f>
        <v>24565000</v>
      </c>
      <c r="D1478" s="16">
        <f>SUMIF(매도완료!$J:$J,Sheet2!$B1478,매도완료!$P:$P)+SUMIF(ING!$J:$J,Sheet2!$B1478,ING!$P:$P)</f>
        <v>23160000</v>
      </c>
      <c r="E1478" s="16">
        <f t="shared" si="46"/>
        <v>122449203</v>
      </c>
      <c r="G1478" s="16">
        <f>IF(D1478=0,0,SUMIF(매도완료!$J:$J,Sheet2!$B1478,매도완료!$S:$S))+IF(D1478=0,0,SUMIF(ING!$J:$J,Sheet2!$B1478,ING!$S:$S))</f>
        <v>2124885</v>
      </c>
      <c r="H1478" s="16">
        <f t="shared" si="47"/>
        <v>14318759.389000002</v>
      </c>
    </row>
    <row r="1479" spans="2:8" hidden="1" x14ac:dyDescent="0.4">
      <c r="B1479" s="1">
        <v>44028</v>
      </c>
      <c r="C1479" s="16">
        <f>SUMIF(매도완료!$G:$G,Sheet2!$B1479,매도완료!$P:$P)+SUMIF(ING!$G:$G,Sheet2!$B1479,ING!$P:$P)</f>
        <v>5328000</v>
      </c>
      <c r="D1479" s="16">
        <f>SUMIF(매도완료!$J:$J,Sheet2!$B1479,매도완료!$P:$P)+SUMIF(ING!$J:$J,Sheet2!$B1479,ING!$P:$P)</f>
        <v>10760000</v>
      </c>
      <c r="E1479" s="16">
        <f t="shared" si="46"/>
        <v>117017203</v>
      </c>
      <c r="G1479" s="16">
        <f>IF(D1479=0,0,SUMIF(매도완료!$J:$J,Sheet2!$B1479,매도완료!$S:$S))+IF(D1479=0,0,SUMIF(ING!$J:$J,Sheet2!$B1479,ING!$S:$S))</f>
        <v>411210</v>
      </c>
      <c r="H1479" s="16">
        <f t="shared" si="47"/>
        <v>14729969.389000002</v>
      </c>
    </row>
    <row r="1480" spans="2:8" hidden="1" x14ac:dyDescent="0.4">
      <c r="B1480" s="1">
        <v>44029</v>
      </c>
      <c r="C1480" s="16">
        <f>SUMIF(매도완료!$G:$G,Sheet2!$B1480,매도완료!$P:$P)+SUMIF(ING!$G:$G,Sheet2!$B1480,ING!$P:$P)</f>
        <v>0</v>
      </c>
      <c r="D1480" s="16">
        <f>SUMIF(매도완료!$J:$J,Sheet2!$B1480,매도완료!$P:$P)+SUMIF(ING!$J:$J,Sheet2!$B1480,ING!$P:$P)</f>
        <v>1320964.2</v>
      </c>
      <c r="E1480" s="16">
        <f t="shared" si="46"/>
        <v>115696238.8</v>
      </c>
      <c r="G1480" s="16">
        <f>IF(D1480=0,0,SUMIF(매도완료!$J:$J,Sheet2!$B1480,매도완료!$S:$S))+IF(D1480=0,0,SUMIF(ING!$J:$J,Sheet2!$B1480,ING!$S:$S))</f>
        <v>539596.72799999989</v>
      </c>
      <c r="H1480" s="16">
        <f t="shared" si="47"/>
        <v>15269566.117000002</v>
      </c>
    </row>
    <row r="1481" spans="2:8" hidden="1" x14ac:dyDescent="0.4">
      <c r="B1481" s="1">
        <v>44030</v>
      </c>
      <c r="C1481" s="16">
        <f>SUMIF(매도완료!$G:$G,Sheet2!$B1481,매도완료!$P:$P)+SUMIF(ING!$G:$G,Sheet2!$B1481,ING!$P:$P)</f>
        <v>0</v>
      </c>
      <c r="D1481" s="16">
        <f>SUMIF(매도완료!$J:$J,Sheet2!$B1481,매도완료!$P:$P)+SUMIF(ING!$J:$J,Sheet2!$B1481,ING!$P:$P)</f>
        <v>0</v>
      </c>
      <c r="E1481" s="16">
        <f t="shared" si="46"/>
        <v>115696238.8</v>
      </c>
      <c r="G1481" s="16">
        <f>IF(D1481=0,0,SUMIF(매도완료!$J:$J,Sheet2!$B1481,매도완료!$S:$S))+IF(D1481=0,0,SUMIF(ING!$J:$J,Sheet2!$B1481,ING!$S:$S))</f>
        <v>0</v>
      </c>
      <c r="H1481" s="16">
        <f t="shared" si="47"/>
        <v>15269566.117000002</v>
      </c>
    </row>
    <row r="1482" spans="2:8" hidden="1" x14ac:dyDescent="0.4">
      <c r="B1482" s="1">
        <v>44031</v>
      </c>
      <c r="C1482" s="16">
        <f>SUMIF(매도완료!$G:$G,Sheet2!$B1482,매도완료!$P:$P)+SUMIF(ING!$G:$G,Sheet2!$B1482,ING!$P:$P)</f>
        <v>0</v>
      </c>
      <c r="D1482" s="16">
        <f>SUMIF(매도완료!$J:$J,Sheet2!$B1482,매도완료!$P:$P)+SUMIF(ING!$J:$J,Sheet2!$B1482,ING!$P:$P)</f>
        <v>0</v>
      </c>
      <c r="E1482" s="16">
        <f t="shared" si="46"/>
        <v>115696238.8</v>
      </c>
      <c r="G1482" s="16">
        <f>IF(D1482=0,0,SUMIF(매도완료!$J:$J,Sheet2!$B1482,매도완료!$S:$S))+IF(D1482=0,0,SUMIF(ING!$J:$J,Sheet2!$B1482,ING!$S:$S))</f>
        <v>0</v>
      </c>
      <c r="H1482" s="16">
        <f t="shared" si="47"/>
        <v>15269566.117000002</v>
      </c>
    </row>
    <row r="1483" spans="2:8" hidden="1" x14ac:dyDescent="0.4">
      <c r="B1483" s="1">
        <v>44032</v>
      </c>
      <c r="C1483" s="16">
        <f>SUMIF(매도완료!$G:$G,Sheet2!$B1483,매도완료!$P:$P)+SUMIF(ING!$G:$G,Sheet2!$B1483,ING!$P:$P)</f>
        <v>0</v>
      </c>
      <c r="D1483" s="16">
        <f>SUMIF(매도완료!$J:$J,Sheet2!$B1483,매도완료!$P:$P)+SUMIF(ING!$J:$J,Sheet2!$B1483,ING!$P:$P)</f>
        <v>0</v>
      </c>
      <c r="E1483" s="16">
        <f t="shared" si="46"/>
        <v>115696238.8</v>
      </c>
      <c r="G1483" s="16">
        <f>IF(D1483=0,0,SUMIF(매도완료!$J:$J,Sheet2!$B1483,매도완료!$S:$S))+IF(D1483=0,0,SUMIF(ING!$J:$J,Sheet2!$B1483,ING!$S:$S))</f>
        <v>0</v>
      </c>
      <c r="H1483" s="16">
        <f t="shared" si="47"/>
        <v>15269566.117000002</v>
      </c>
    </row>
    <row r="1484" spans="2:8" hidden="1" x14ac:dyDescent="0.4">
      <c r="B1484" s="1">
        <v>44033</v>
      </c>
      <c r="C1484" s="16">
        <f>SUMIF(매도완료!$G:$G,Sheet2!$B1484,매도완료!$P:$P)+SUMIF(ING!$G:$G,Sheet2!$B1484,ING!$P:$P)</f>
        <v>4494000</v>
      </c>
      <c r="D1484" s="16">
        <f>SUMIF(매도완료!$J:$J,Sheet2!$B1484,매도완료!$P:$P)+SUMIF(ING!$J:$J,Sheet2!$B1484,ING!$P:$P)</f>
        <v>10010000</v>
      </c>
      <c r="E1484" s="16">
        <f t="shared" si="46"/>
        <v>110180238.8</v>
      </c>
      <c r="G1484" s="16">
        <f>IF(D1484=0,0,SUMIF(매도완료!$J:$J,Sheet2!$B1484,매도완료!$S:$S))+IF(D1484=0,0,SUMIF(ING!$J:$J,Sheet2!$B1484,ING!$S:$S))</f>
        <v>2124785</v>
      </c>
      <c r="H1484" s="16">
        <f t="shared" si="47"/>
        <v>17394351.117000002</v>
      </c>
    </row>
    <row r="1485" spans="2:8" hidden="1" x14ac:dyDescent="0.4">
      <c r="B1485" s="1">
        <v>44034</v>
      </c>
      <c r="C1485" s="16">
        <f>SUMIF(매도완료!$G:$G,Sheet2!$B1485,매도완료!$P:$P)+SUMIF(ING!$G:$G,Sheet2!$B1485,ING!$P:$P)</f>
        <v>17806000</v>
      </c>
      <c r="D1485" s="16">
        <f>SUMIF(매도완료!$J:$J,Sheet2!$B1485,매도완료!$P:$P)+SUMIF(ING!$J:$J,Sheet2!$B1485,ING!$P:$P)</f>
        <v>13605422.317</v>
      </c>
      <c r="E1485" s="16">
        <f t="shared" si="46"/>
        <v>114380816.483</v>
      </c>
      <c r="G1485" s="16">
        <f>IF(D1485=0,0,SUMIF(매도완료!$J:$J,Sheet2!$B1485,매도완료!$S:$S))+IF(D1485=0,0,SUMIF(ING!$J:$J,Sheet2!$B1485,ING!$S:$S))</f>
        <v>321492.30299999996</v>
      </c>
      <c r="H1485" s="16">
        <f t="shared" si="47"/>
        <v>17715843.420000002</v>
      </c>
    </row>
    <row r="1486" spans="2:8" hidden="1" x14ac:dyDescent="0.4">
      <c r="B1486" s="1">
        <v>44035</v>
      </c>
      <c r="C1486" s="16">
        <f>SUMIF(매도완료!$G:$G,Sheet2!$B1486,매도완료!$P:$P)+SUMIF(ING!$G:$G,Sheet2!$B1486,ING!$P:$P)</f>
        <v>0</v>
      </c>
      <c r="D1486" s="16">
        <f>SUMIF(매도완료!$J:$J,Sheet2!$B1486,매도완료!$P:$P)+SUMIF(ING!$J:$J,Sheet2!$B1486,ING!$P:$P)</f>
        <v>1993500</v>
      </c>
      <c r="E1486" s="16">
        <f t="shared" si="46"/>
        <v>112387316.483</v>
      </c>
      <c r="G1486" s="16">
        <f>IF(D1486=0,0,SUMIF(매도완료!$J:$J,Sheet2!$B1486,매도완료!$S:$S))+IF(D1486=0,0,SUMIF(ING!$J:$J,Sheet2!$B1486,ING!$S:$S))</f>
        <v>-714805</v>
      </c>
      <c r="H1486" s="16">
        <f t="shared" si="47"/>
        <v>17001038.420000002</v>
      </c>
    </row>
    <row r="1487" spans="2:8" hidden="1" x14ac:dyDescent="0.4">
      <c r="B1487" s="1">
        <v>44036</v>
      </c>
      <c r="C1487" s="16">
        <f>SUMIF(매도완료!$G:$G,Sheet2!$B1487,매도완료!$P:$P)+SUMIF(ING!$G:$G,Sheet2!$B1487,ING!$P:$P)</f>
        <v>0</v>
      </c>
      <c r="D1487" s="16">
        <f>SUMIF(매도완료!$J:$J,Sheet2!$B1487,매도완료!$P:$P)+SUMIF(ING!$J:$J,Sheet2!$B1487,ING!$P:$P)</f>
        <v>0</v>
      </c>
      <c r="E1487" s="16">
        <f t="shared" si="46"/>
        <v>112387316.483</v>
      </c>
      <c r="G1487" s="16">
        <f>IF(D1487=0,0,SUMIF(매도완료!$J:$J,Sheet2!$B1487,매도완료!$S:$S))+IF(D1487=0,0,SUMIF(ING!$J:$J,Sheet2!$B1487,ING!$S:$S))</f>
        <v>0</v>
      </c>
      <c r="H1487" s="16">
        <f t="shared" si="47"/>
        <v>17001038.420000002</v>
      </c>
    </row>
    <row r="1488" spans="2:8" hidden="1" x14ac:dyDescent="0.4">
      <c r="B1488" s="1">
        <v>44037</v>
      </c>
      <c r="C1488" s="16">
        <f>SUMIF(매도완료!$G:$G,Sheet2!$B1488,매도완료!$P:$P)+SUMIF(ING!$G:$G,Sheet2!$B1488,ING!$P:$P)</f>
        <v>0</v>
      </c>
      <c r="D1488" s="16">
        <f>SUMIF(매도완료!$J:$J,Sheet2!$B1488,매도완료!$P:$P)+SUMIF(ING!$J:$J,Sheet2!$B1488,ING!$P:$P)</f>
        <v>0</v>
      </c>
      <c r="E1488" s="16">
        <f t="shared" si="46"/>
        <v>112387316.483</v>
      </c>
      <c r="G1488" s="16">
        <f>IF(D1488=0,0,SUMIF(매도완료!$J:$J,Sheet2!$B1488,매도완료!$S:$S))+IF(D1488=0,0,SUMIF(ING!$J:$J,Sheet2!$B1488,ING!$S:$S))</f>
        <v>0</v>
      </c>
      <c r="H1488" s="16">
        <f t="shared" si="47"/>
        <v>17001038.420000002</v>
      </c>
    </row>
    <row r="1489" spans="2:8" hidden="1" x14ac:dyDescent="0.4">
      <c r="B1489" s="1">
        <v>44038</v>
      </c>
      <c r="C1489" s="16">
        <f>SUMIF(매도완료!$G:$G,Sheet2!$B1489,매도완료!$P:$P)+SUMIF(ING!$G:$G,Sheet2!$B1489,ING!$P:$P)</f>
        <v>0</v>
      </c>
      <c r="D1489" s="16">
        <f>SUMIF(매도완료!$J:$J,Sheet2!$B1489,매도완료!$P:$P)+SUMIF(ING!$J:$J,Sheet2!$B1489,ING!$P:$P)</f>
        <v>0</v>
      </c>
      <c r="E1489" s="16">
        <f t="shared" si="46"/>
        <v>112387316.483</v>
      </c>
      <c r="G1489" s="16">
        <f>IF(D1489=0,0,SUMIF(매도완료!$J:$J,Sheet2!$B1489,매도완료!$S:$S))+IF(D1489=0,0,SUMIF(ING!$J:$J,Sheet2!$B1489,ING!$S:$S))</f>
        <v>0</v>
      </c>
      <c r="H1489" s="16">
        <f t="shared" si="47"/>
        <v>17001038.420000002</v>
      </c>
    </row>
    <row r="1490" spans="2:8" hidden="1" x14ac:dyDescent="0.4">
      <c r="B1490" s="1">
        <v>44039</v>
      </c>
      <c r="C1490" s="16">
        <f>SUMIF(매도완료!$G:$G,Sheet2!$B1490,매도완료!$P:$P)+SUMIF(ING!$G:$G,Sheet2!$B1490,ING!$P:$P)</f>
        <v>20108300</v>
      </c>
      <c r="D1490" s="16">
        <f>SUMIF(매도완료!$J:$J,Sheet2!$B1490,매도완료!$P:$P)+SUMIF(ING!$J:$J,Sheet2!$B1490,ING!$P:$P)</f>
        <v>26148000</v>
      </c>
      <c r="E1490" s="16">
        <f t="shared" si="46"/>
        <v>106347616.483</v>
      </c>
      <c r="G1490" s="16">
        <f>IF(D1490=0,0,SUMIF(매도완료!$J:$J,Sheet2!$B1490,매도완료!$S:$S))+IF(D1490=0,0,SUMIF(ING!$J:$J,Sheet2!$B1490,ING!$S:$S))</f>
        <v>-3540405</v>
      </c>
      <c r="H1490" s="16">
        <f t="shared" si="47"/>
        <v>13460633.420000002</v>
      </c>
    </row>
    <row r="1491" spans="2:8" hidden="1" x14ac:dyDescent="0.4">
      <c r="B1491" s="1">
        <v>44040</v>
      </c>
      <c r="C1491" s="16">
        <f>SUMIF(매도완료!$G:$G,Sheet2!$B1491,매도완료!$P:$P)+SUMIF(ING!$G:$G,Sheet2!$B1491,ING!$P:$P)</f>
        <v>7350000</v>
      </c>
      <c r="D1491" s="16">
        <f>SUMIF(매도완료!$J:$J,Sheet2!$B1491,매도완료!$P:$P)+SUMIF(ING!$J:$J,Sheet2!$B1491,ING!$P:$P)</f>
        <v>9956700</v>
      </c>
      <c r="E1491" s="16">
        <f t="shared" si="46"/>
        <v>103740916.483</v>
      </c>
      <c r="G1491" s="16">
        <f>IF(D1491=0,0,SUMIF(매도완료!$J:$J,Sheet2!$B1491,매도완료!$S:$S))+IF(D1491=0,0,SUMIF(ING!$J:$J,Sheet2!$B1491,ING!$S:$S))</f>
        <v>-554599.91500000004</v>
      </c>
      <c r="H1491" s="16">
        <f t="shared" si="47"/>
        <v>12906033.505000003</v>
      </c>
    </row>
    <row r="1492" spans="2:8" hidden="1" x14ac:dyDescent="0.4">
      <c r="B1492" s="1">
        <v>44041</v>
      </c>
      <c r="C1492" s="16">
        <f>SUMIF(매도완료!$G:$G,Sheet2!$B1492,매도완료!$P:$P)+SUMIF(ING!$G:$G,Sheet2!$B1492,ING!$P:$P)</f>
        <v>0</v>
      </c>
      <c r="D1492" s="16">
        <f>SUMIF(매도완료!$J:$J,Sheet2!$B1492,매도완료!$P:$P)+SUMIF(ING!$J:$J,Sheet2!$B1492,ING!$P:$P)</f>
        <v>0</v>
      </c>
      <c r="E1492" s="16">
        <f t="shared" si="46"/>
        <v>103740916.483</v>
      </c>
      <c r="G1492" s="16">
        <f>IF(D1492=0,0,SUMIF(매도완료!$J:$J,Sheet2!$B1492,매도완료!$S:$S))+IF(D1492=0,0,SUMIF(ING!$J:$J,Sheet2!$B1492,ING!$S:$S))</f>
        <v>0</v>
      </c>
      <c r="H1492" s="16">
        <f t="shared" si="47"/>
        <v>12906033.505000003</v>
      </c>
    </row>
    <row r="1493" spans="2:8" hidden="1" x14ac:dyDescent="0.4">
      <c r="B1493" s="1">
        <v>44042</v>
      </c>
      <c r="C1493" s="16">
        <f>SUMIF(매도완료!$G:$G,Sheet2!$B1493,매도완료!$P:$P)+SUMIF(ING!$G:$G,Sheet2!$B1493,ING!$P:$P)</f>
        <v>0</v>
      </c>
      <c r="D1493" s="16">
        <f>SUMIF(매도완료!$J:$J,Sheet2!$B1493,매도완료!$P:$P)+SUMIF(ING!$J:$J,Sheet2!$B1493,ING!$P:$P)</f>
        <v>12158750</v>
      </c>
      <c r="E1493" s="16">
        <f t="shared" si="46"/>
        <v>91582166.482999995</v>
      </c>
      <c r="G1493" s="16">
        <f>IF(D1493=0,0,SUMIF(매도완료!$J:$J,Sheet2!$B1493,매도완료!$S:$S))+IF(D1493=0,0,SUMIF(ING!$J:$J,Sheet2!$B1493,ING!$S:$S))</f>
        <v>-3359352.75</v>
      </c>
      <c r="H1493" s="16">
        <f t="shared" si="47"/>
        <v>9546680.7550000027</v>
      </c>
    </row>
    <row r="1494" spans="2:8" hidden="1" x14ac:dyDescent="0.4">
      <c r="B1494" s="1">
        <v>44043</v>
      </c>
      <c r="C1494" s="16">
        <f>SUMIF(매도완료!$G:$G,Sheet2!$B1494,매도완료!$P:$P)+SUMIF(ING!$G:$G,Sheet2!$B1494,ING!$P:$P)</f>
        <v>0</v>
      </c>
      <c r="D1494" s="16">
        <f>SUMIF(매도완료!$J:$J,Sheet2!$B1494,매도완료!$P:$P)+SUMIF(ING!$J:$J,Sheet2!$B1494,ING!$P:$P)</f>
        <v>3142000</v>
      </c>
      <c r="E1494" s="16">
        <f t="shared" si="46"/>
        <v>88440166.482999995</v>
      </c>
      <c r="G1494" s="16">
        <f>IF(D1494=0,0,SUMIF(매도완료!$J:$J,Sheet2!$B1494,매도완료!$S:$S))+IF(D1494=0,0,SUMIF(ING!$J:$J,Sheet2!$B1494,ING!$S:$S))</f>
        <v>347710</v>
      </c>
      <c r="H1494" s="16">
        <f t="shared" si="47"/>
        <v>9894390.7550000027</v>
      </c>
    </row>
    <row r="1495" spans="2:8" hidden="1" x14ac:dyDescent="0.4">
      <c r="B1495" s="1">
        <v>44044</v>
      </c>
      <c r="C1495" s="16">
        <f>SUMIF(매도완료!$G:$G,Sheet2!$B1495,매도완료!$P:$P)+SUMIF(ING!$G:$G,Sheet2!$B1495,ING!$P:$P)</f>
        <v>0</v>
      </c>
      <c r="D1495" s="16">
        <f>SUMIF(매도완료!$J:$J,Sheet2!$B1495,매도완료!$P:$P)+SUMIF(ING!$J:$J,Sheet2!$B1495,ING!$P:$P)</f>
        <v>0</v>
      </c>
      <c r="E1495" s="16">
        <f t="shared" si="46"/>
        <v>88440166.482999995</v>
      </c>
      <c r="G1495" s="16">
        <f>IF(D1495=0,0,SUMIF(매도완료!$J:$J,Sheet2!$B1495,매도완료!$S:$S))+IF(D1495=0,0,SUMIF(ING!$J:$J,Sheet2!$B1495,ING!$S:$S))</f>
        <v>0</v>
      </c>
      <c r="H1495" s="16">
        <f t="shared" si="47"/>
        <v>9894390.7550000027</v>
      </c>
    </row>
    <row r="1496" spans="2:8" hidden="1" x14ac:dyDescent="0.4">
      <c r="B1496" s="1">
        <v>44045</v>
      </c>
      <c r="C1496" s="16">
        <f>SUMIF(매도완료!$G:$G,Sheet2!$B1496,매도완료!$P:$P)+SUMIF(ING!$G:$G,Sheet2!$B1496,ING!$P:$P)</f>
        <v>0</v>
      </c>
      <c r="D1496" s="16">
        <f>SUMIF(매도완료!$J:$J,Sheet2!$B1496,매도완료!$P:$P)+SUMIF(ING!$J:$J,Sheet2!$B1496,ING!$P:$P)</f>
        <v>0</v>
      </c>
      <c r="E1496" s="16">
        <f t="shared" si="46"/>
        <v>88440166.482999995</v>
      </c>
      <c r="G1496" s="16">
        <f>IF(D1496=0,0,SUMIF(매도완료!$J:$J,Sheet2!$B1496,매도완료!$S:$S))+IF(D1496=0,0,SUMIF(ING!$J:$J,Sheet2!$B1496,ING!$S:$S))</f>
        <v>0</v>
      </c>
      <c r="H1496" s="16">
        <f t="shared" si="47"/>
        <v>9894390.7550000027</v>
      </c>
    </row>
    <row r="1497" spans="2:8" hidden="1" x14ac:dyDescent="0.4">
      <c r="B1497" s="1">
        <v>44046</v>
      </c>
      <c r="C1497" s="16">
        <f>SUMIF(매도완료!$G:$G,Sheet2!$B1497,매도완료!$P:$P)+SUMIF(ING!$G:$G,Sheet2!$B1497,ING!$P:$P)</f>
        <v>16555964.000000002</v>
      </c>
      <c r="D1497" s="16">
        <f>SUMIF(매도완료!$J:$J,Sheet2!$B1497,매도완료!$P:$P)+SUMIF(ING!$J:$J,Sheet2!$B1497,ING!$P:$P)</f>
        <v>0</v>
      </c>
      <c r="E1497" s="16">
        <f t="shared" si="46"/>
        <v>104996130.483</v>
      </c>
      <c r="G1497" s="16">
        <f>IF(D1497=0,0,SUMIF(매도완료!$J:$J,Sheet2!$B1497,매도완료!$S:$S))+IF(D1497=0,0,SUMIF(ING!$J:$J,Sheet2!$B1497,ING!$S:$S))</f>
        <v>0</v>
      </c>
      <c r="H1497" s="16">
        <f t="shared" si="47"/>
        <v>9894390.7550000027</v>
      </c>
    </row>
    <row r="1498" spans="2:8" hidden="1" x14ac:dyDescent="0.4">
      <c r="B1498" s="1">
        <v>44047</v>
      </c>
      <c r="C1498" s="16">
        <f>SUMIF(매도완료!$G:$G,Sheet2!$B1498,매도완료!$P:$P)+SUMIF(ING!$G:$G,Sheet2!$B1498,ING!$P:$P)</f>
        <v>19043553.91</v>
      </c>
      <c r="D1498" s="16">
        <f>SUMIF(매도완료!$J:$J,Sheet2!$B1498,매도완료!$P:$P)+SUMIF(ING!$J:$J,Sheet2!$B1498,ING!$P:$P)</f>
        <v>7063740</v>
      </c>
      <c r="E1498" s="16">
        <f t="shared" si="46"/>
        <v>116975944.39299999</v>
      </c>
      <c r="G1498" s="16">
        <f>IF(D1498=0,0,SUMIF(매도완료!$J:$J,Sheet2!$B1498,매도완료!$S:$S))+IF(D1498=0,0,SUMIF(ING!$J:$J,Sheet2!$B1498,ING!$S:$S))</f>
        <v>-117520.27499999999</v>
      </c>
      <c r="H1498" s="16">
        <f t="shared" si="47"/>
        <v>9776870.4800000023</v>
      </c>
    </row>
    <row r="1499" spans="2:8" hidden="1" x14ac:dyDescent="0.4">
      <c r="B1499" s="1">
        <v>44048</v>
      </c>
      <c r="C1499" s="16">
        <f>SUMIF(매도완료!$G:$G,Sheet2!$B1499,매도완료!$P:$P)+SUMIF(ING!$G:$G,Sheet2!$B1499,ING!$P:$P)</f>
        <v>0</v>
      </c>
      <c r="D1499" s="16">
        <f>SUMIF(매도완료!$J:$J,Sheet2!$B1499,매도완료!$P:$P)+SUMIF(ING!$J:$J,Sheet2!$B1499,ING!$P:$P)</f>
        <v>11026600</v>
      </c>
      <c r="E1499" s="16">
        <f t="shared" si="46"/>
        <v>105949344.39299999</v>
      </c>
      <c r="G1499" s="16">
        <f>IF(D1499=0,0,SUMIF(매도완료!$J:$J,Sheet2!$B1499,매도완료!$S:$S))+IF(D1499=0,0,SUMIF(ING!$J:$J,Sheet2!$B1499,ING!$S:$S))</f>
        <v>628387.5</v>
      </c>
      <c r="H1499" s="16">
        <f t="shared" si="47"/>
        <v>10405257.980000002</v>
      </c>
    </row>
    <row r="1500" spans="2:8" hidden="1" x14ac:dyDescent="0.4">
      <c r="B1500" s="1">
        <v>44049</v>
      </c>
      <c r="C1500" s="16">
        <f>SUMIF(매도완료!$G:$G,Sheet2!$B1500,매도완료!$P:$P)+SUMIF(ING!$G:$G,Sheet2!$B1500,ING!$P:$P)</f>
        <v>16810000</v>
      </c>
      <c r="D1500" s="16">
        <f>SUMIF(매도완료!$J:$J,Sheet2!$B1500,매도완료!$P:$P)+SUMIF(ING!$J:$J,Sheet2!$B1500,ING!$P:$P)</f>
        <v>0</v>
      </c>
      <c r="E1500" s="16">
        <f t="shared" si="46"/>
        <v>122759344.39299999</v>
      </c>
      <c r="G1500" s="16">
        <f>IF(D1500=0,0,SUMIF(매도완료!$J:$J,Sheet2!$B1500,매도완료!$S:$S))+IF(D1500=0,0,SUMIF(ING!$J:$J,Sheet2!$B1500,ING!$S:$S))</f>
        <v>0</v>
      </c>
      <c r="H1500" s="16">
        <f t="shared" si="47"/>
        <v>10405257.980000002</v>
      </c>
    </row>
    <row r="1501" spans="2:8" hidden="1" x14ac:dyDescent="0.4">
      <c r="B1501" s="1">
        <v>44050</v>
      </c>
      <c r="C1501" s="16">
        <f>SUMIF(매도완료!$G:$G,Sheet2!$B1501,매도완료!$P:$P)+SUMIF(ING!$G:$G,Sheet2!$B1501,ING!$P:$P)</f>
        <v>390800</v>
      </c>
      <c r="D1501" s="16">
        <f>SUMIF(매도완료!$J:$J,Sheet2!$B1501,매도완료!$P:$P)+SUMIF(ING!$J:$J,Sheet2!$B1501,ING!$P:$P)</f>
        <v>0</v>
      </c>
      <c r="E1501" s="16">
        <f t="shared" si="46"/>
        <v>123150144.39299999</v>
      </c>
      <c r="G1501" s="16">
        <f>IF(D1501=0,0,SUMIF(매도완료!$J:$J,Sheet2!$B1501,매도완료!$S:$S))+IF(D1501=0,0,SUMIF(ING!$J:$J,Sheet2!$B1501,ING!$S:$S))</f>
        <v>0</v>
      </c>
      <c r="H1501" s="16">
        <f t="shared" si="47"/>
        <v>10405257.980000002</v>
      </c>
    </row>
    <row r="1502" spans="2:8" hidden="1" x14ac:dyDescent="0.4">
      <c r="B1502" s="1">
        <v>44051</v>
      </c>
      <c r="C1502" s="16">
        <f>SUMIF(매도완료!$G:$G,Sheet2!$B1502,매도완료!$P:$P)+SUMIF(ING!$G:$G,Sheet2!$B1502,ING!$P:$P)</f>
        <v>0</v>
      </c>
      <c r="D1502" s="16">
        <f>SUMIF(매도완료!$J:$J,Sheet2!$B1502,매도완료!$P:$P)+SUMIF(ING!$J:$J,Sheet2!$B1502,ING!$P:$P)</f>
        <v>0</v>
      </c>
      <c r="E1502" s="16">
        <f t="shared" si="46"/>
        <v>123150144.39299999</v>
      </c>
      <c r="G1502" s="16">
        <f>IF(D1502=0,0,SUMIF(매도완료!$J:$J,Sheet2!$B1502,매도완료!$S:$S))+IF(D1502=0,0,SUMIF(ING!$J:$J,Sheet2!$B1502,ING!$S:$S))</f>
        <v>0</v>
      </c>
      <c r="H1502" s="16">
        <f t="shared" si="47"/>
        <v>10405257.980000002</v>
      </c>
    </row>
    <row r="1503" spans="2:8" hidden="1" x14ac:dyDescent="0.4">
      <c r="B1503" s="1">
        <v>44052</v>
      </c>
      <c r="C1503" s="16">
        <f>SUMIF(매도완료!$G:$G,Sheet2!$B1503,매도완료!$P:$P)+SUMIF(ING!$G:$G,Sheet2!$B1503,ING!$P:$P)</f>
        <v>0</v>
      </c>
      <c r="D1503" s="16">
        <f>SUMIF(매도완료!$J:$J,Sheet2!$B1503,매도완료!$P:$P)+SUMIF(ING!$J:$J,Sheet2!$B1503,ING!$P:$P)</f>
        <v>0</v>
      </c>
      <c r="E1503" s="16">
        <f t="shared" si="46"/>
        <v>123150144.39299999</v>
      </c>
      <c r="G1503" s="16">
        <f>IF(D1503=0,0,SUMIF(매도완료!$J:$J,Sheet2!$B1503,매도완료!$S:$S))+IF(D1503=0,0,SUMIF(ING!$J:$J,Sheet2!$B1503,ING!$S:$S))</f>
        <v>0</v>
      </c>
      <c r="H1503" s="16">
        <f t="shared" si="47"/>
        <v>10405257.980000002</v>
      </c>
    </row>
    <row r="1504" spans="2:8" hidden="1" x14ac:dyDescent="0.4">
      <c r="B1504" s="1">
        <v>44053</v>
      </c>
      <c r="C1504" s="16">
        <f>SUMIF(매도완료!$G:$G,Sheet2!$B1504,매도완료!$P:$P)+SUMIF(ING!$G:$G,Sheet2!$B1504,ING!$P:$P)</f>
        <v>0</v>
      </c>
      <c r="D1504" s="16">
        <f>SUMIF(매도완료!$J:$J,Sheet2!$B1504,매도완료!$P:$P)+SUMIF(ING!$J:$J,Sheet2!$B1504,ING!$P:$P)</f>
        <v>1830000</v>
      </c>
      <c r="E1504" s="16">
        <f t="shared" si="46"/>
        <v>121320144.39299999</v>
      </c>
      <c r="G1504" s="16">
        <f>IF(D1504=0,0,SUMIF(매도완료!$J:$J,Sheet2!$B1504,매도완료!$S:$S))+IF(D1504=0,0,SUMIF(ING!$J:$J,Sheet2!$B1504,ING!$S:$S))</f>
        <v>213747.5</v>
      </c>
      <c r="H1504" s="16">
        <f t="shared" si="47"/>
        <v>10619005.480000002</v>
      </c>
    </row>
    <row r="1505" spans="2:8" hidden="1" x14ac:dyDescent="0.4">
      <c r="B1505" s="1">
        <v>44054</v>
      </c>
      <c r="C1505" s="16">
        <f>SUMIF(매도완료!$G:$G,Sheet2!$B1505,매도완료!$P:$P)+SUMIF(ING!$G:$G,Sheet2!$B1505,ING!$P:$P)</f>
        <v>3192000</v>
      </c>
      <c r="D1505" s="16">
        <f>SUMIF(매도완료!$J:$J,Sheet2!$B1505,매도완료!$P:$P)+SUMIF(ING!$J:$J,Sheet2!$B1505,ING!$P:$P)</f>
        <v>2935000</v>
      </c>
      <c r="E1505" s="16">
        <f t="shared" si="46"/>
        <v>121577144.39299999</v>
      </c>
      <c r="G1505" s="16">
        <f>IF(D1505=0,0,SUMIF(매도완료!$J:$J,Sheet2!$B1505,매도완료!$S:$S))+IF(D1505=0,0,SUMIF(ING!$J:$J,Sheet2!$B1505,ING!$S:$S))</f>
        <v>381467.5</v>
      </c>
      <c r="H1505" s="16">
        <f t="shared" si="47"/>
        <v>11000472.980000002</v>
      </c>
    </row>
    <row r="1506" spans="2:8" hidden="1" x14ac:dyDescent="0.4">
      <c r="B1506" s="1">
        <v>44055</v>
      </c>
      <c r="C1506" s="16">
        <f>SUMIF(매도완료!$G:$G,Sheet2!$B1506,매도완료!$P:$P)+SUMIF(ING!$G:$G,Sheet2!$B1506,ING!$P:$P)</f>
        <v>2010000</v>
      </c>
      <c r="D1506" s="16">
        <f>SUMIF(매도완료!$J:$J,Sheet2!$B1506,매도완료!$P:$P)+SUMIF(ING!$J:$J,Sheet2!$B1506,ING!$P:$P)</f>
        <v>4150000</v>
      </c>
      <c r="E1506" s="16">
        <f t="shared" si="46"/>
        <v>119437144.39299999</v>
      </c>
      <c r="G1506" s="16">
        <f>IF(D1506=0,0,SUMIF(매도완료!$J:$J,Sheet2!$B1506,매도완료!$S:$S))+IF(D1506=0,0,SUMIF(ING!$J:$J,Sheet2!$B1506,ING!$S:$S))</f>
        <v>51968</v>
      </c>
      <c r="H1506" s="16">
        <f t="shared" si="47"/>
        <v>11052440.980000002</v>
      </c>
    </row>
    <row r="1507" spans="2:8" hidden="1" x14ac:dyDescent="0.4">
      <c r="B1507" s="1">
        <v>44056</v>
      </c>
      <c r="C1507" s="16">
        <f>SUMIF(매도완료!$G:$G,Sheet2!$B1507,매도완료!$P:$P)+SUMIF(ING!$G:$G,Sheet2!$B1507,ING!$P:$P)</f>
        <v>3184500</v>
      </c>
      <c r="D1507" s="16">
        <f>SUMIF(매도완료!$J:$J,Sheet2!$B1507,매도완료!$P:$P)+SUMIF(ING!$J:$J,Sheet2!$B1507,ING!$P:$P)</f>
        <v>4336000</v>
      </c>
      <c r="E1507" s="16">
        <f t="shared" si="46"/>
        <v>118285644.39299999</v>
      </c>
      <c r="G1507" s="16">
        <f>IF(D1507=0,0,SUMIF(매도완료!$J:$J,Sheet2!$B1507,매도완료!$S:$S))+IF(D1507=0,0,SUMIF(ING!$J:$J,Sheet2!$B1507,ING!$S:$S))</f>
        <v>2765800</v>
      </c>
      <c r="H1507" s="16">
        <f t="shared" si="47"/>
        <v>13818240.980000002</v>
      </c>
    </row>
    <row r="1508" spans="2:8" hidden="1" x14ac:dyDescent="0.4">
      <c r="B1508" s="1">
        <v>44057</v>
      </c>
      <c r="C1508" s="16">
        <f>SUMIF(매도완료!$G:$G,Sheet2!$B1508,매도완료!$P:$P)+SUMIF(ING!$G:$G,Sheet2!$B1508,ING!$P:$P)</f>
        <v>4142750</v>
      </c>
      <c r="D1508" s="16">
        <f>SUMIF(매도완료!$J:$J,Sheet2!$B1508,매도완료!$P:$P)+SUMIF(ING!$J:$J,Sheet2!$B1508,ING!$P:$P)</f>
        <v>0</v>
      </c>
      <c r="E1508" s="16">
        <f t="shared" si="46"/>
        <v>122428394.39299999</v>
      </c>
      <c r="G1508" s="16">
        <f>IF(D1508=0,0,SUMIF(매도완료!$J:$J,Sheet2!$B1508,매도완료!$S:$S))+IF(D1508=0,0,SUMIF(ING!$J:$J,Sheet2!$B1508,ING!$S:$S))</f>
        <v>0</v>
      </c>
      <c r="H1508" s="16">
        <f t="shared" si="47"/>
        <v>13818240.980000002</v>
      </c>
    </row>
    <row r="1509" spans="2:8" hidden="1" x14ac:dyDescent="0.4">
      <c r="B1509" s="1">
        <v>44058</v>
      </c>
      <c r="C1509" s="16">
        <f>SUMIF(매도완료!$G:$G,Sheet2!$B1509,매도완료!$P:$P)+SUMIF(ING!$G:$G,Sheet2!$B1509,ING!$P:$P)</f>
        <v>0</v>
      </c>
      <c r="D1509" s="16">
        <f>SUMIF(매도완료!$J:$J,Sheet2!$B1509,매도완료!$P:$P)+SUMIF(ING!$J:$J,Sheet2!$B1509,ING!$P:$P)</f>
        <v>0</v>
      </c>
      <c r="E1509" s="16">
        <f t="shared" si="46"/>
        <v>122428394.39299999</v>
      </c>
      <c r="G1509" s="16">
        <f>IF(D1509=0,0,SUMIF(매도완료!$J:$J,Sheet2!$B1509,매도완료!$S:$S))+IF(D1509=0,0,SUMIF(ING!$J:$J,Sheet2!$B1509,ING!$S:$S))</f>
        <v>0</v>
      </c>
      <c r="H1509" s="16">
        <f t="shared" si="47"/>
        <v>13818240.980000002</v>
      </c>
    </row>
    <row r="1510" spans="2:8" hidden="1" x14ac:dyDescent="0.4">
      <c r="B1510" s="1">
        <v>44059</v>
      </c>
      <c r="C1510" s="16">
        <f>SUMIF(매도완료!$G:$G,Sheet2!$B1510,매도완료!$P:$P)+SUMIF(ING!$G:$G,Sheet2!$B1510,ING!$P:$P)</f>
        <v>0</v>
      </c>
      <c r="D1510" s="16">
        <f>SUMIF(매도완료!$J:$J,Sheet2!$B1510,매도완료!$P:$P)+SUMIF(ING!$J:$J,Sheet2!$B1510,ING!$P:$P)</f>
        <v>0</v>
      </c>
      <c r="E1510" s="16">
        <f t="shared" si="46"/>
        <v>122428394.39299999</v>
      </c>
      <c r="G1510" s="16">
        <f>IF(D1510=0,0,SUMIF(매도완료!$J:$J,Sheet2!$B1510,매도완료!$S:$S))+IF(D1510=0,0,SUMIF(ING!$J:$J,Sheet2!$B1510,ING!$S:$S))</f>
        <v>0</v>
      </c>
      <c r="H1510" s="16">
        <f t="shared" si="47"/>
        <v>13818240.980000002</v>
      </c>
    </row>
    <row r="1511" spans="2:8" hidden="1" x14ac:dyDescent="0.4">
      <c r="B1511" s="1">
        <v>44060</v>
      </c>
      <c r="C1511" s="16">
        <f>SUMIF(매도완료!$G:$G,Sheet2!$B1511,매도완료!$P:$P)+SUMIF(ING!$G:$G,Sheet2!$B1511,ING!$P:$P)</f>
        <v>0</v>
      </c>
      <c r="D1511" s="16">
        <f>SUMIF(매도완료!$J:$J,Sheet2!$B1511,매도완료!$P:$P)+SUMIF(ING!$J:$J,Sheet2!$B1511,ING!$P:$P)</f>
        <v>0</v>
      </c>
      <c r="E1511" s="16">
        <f t="shared" si="46"/>
        <v>122428394.39299999</v>
      </c>
      <c r="G1511" s="16">
        <f>IF(D1511=0,0,SUMIF(매도완료!$J:$J,Sheet2!$B1511,매도완료!$S:$S))+IF(D1511=0,0,SUMIF(ING!$J:$J,Sheet2!$B1511,ING!$S:$S))</f>
        <v>0</v>
      </c>
      <c r="H1511" s="16">
        <f t="shared" si="47"/>
        <v>13818240.980000002</v>
      </c>
    </row>
    <row r="1512" spans="2:8" hidden="1" x14ac:dyDescent="0.4">
      <c r="B1512" s="1">
        <v>44061</v>
      </c>
      <c r="C1512" s="16">
        <f>SUMIF(매도완료!$G:$G,Sheet2!$B1512,매도완료!$P:$P)+SUMIF(ING!$G:$G,Sheet2!$B1512,ING!$P:$P)</f>
        <v>0</v>
      </c>
      <c r="D1512" s="16">
        <f>SUMIF(매도완료!$J:$J,Sheet2!$B1512,매도완료!$P:$P)+SUMIF(ING!$J:$J,Sheet2!$B1512,ING!$P:$P)</f>
        <v>19672000</v>
      </c>
      <c r="E1512" s="16">
        <f t="shared" si="46"/>
        <v>102756394.39299999</v>
      </c>
      <c r="G1512" s="16">
        <f>IF(D1512=0,0,SUMIF(매도완료!$J:$J,Sheet2!$B1512,매도완료!$S:$S))+IF(D1512=0,0,SUMIF(ING!$J:$J,Sheet2!$B1512,ING!$S:$S))</f>
        <v>1138958.75</v>
      </c>
      <c r="H1512" s="16">
        <f t="shared" si="47"/>
        <v>14957199.730000002</v>
      </c>
    </row>
    <row r="1513" spans="2:8" hidden="1" x14ac:dyDescent="0.4">
      <c r="B1513" s="1">
        <v>44062</v>
      </c>
      <c r="C1513" s="16">
        <f>SUMIF(매도완료!$G:$G,Sheet2!$B1513,매도완료!$P:$P)+SUMIF(ING!$G:$G,Sheet2!$B1513,ING!$P:$P)</f>
        <v>0</v>
      </c>
      <c r="D1513" s="16">
        <f>SUMIF(매도완료!$J:$J,Sheet2!$B1513,매도완료!$P:$P)+SUMIF(ING!$J:$J,Sheet2!$B1513,ING!$P:$P)</f>
        <v>214400</v>
      </c>
      <c r="E1513" s="16">
        <f t="shared" si="46"/>
        <v>102541994.39299999</v>
      </c>
      <c r="G1513" s="16">
        <f>IF(D1513=0,0,SUMIF(매도완료!$J:$J,Sheet2!$B1513,매도완료!$S:$S))+IF(D1513=0,0,SUMIF(ING!$J:$J,Sheet2!$B1513,ING!$S:$S))</f>
        <v>-39040</v>
      </c>
      <c r="H1513" s="16">
        <f t="shared" si="47"/>
        <v>14918159.730000002</v>
      </c>
    </row>
    <row r="1514" spans="2:8" hidden="1" x14ac:dyDescent="0.4">
      <c r="B1514" s="1">
        <v>44063</v>
      </c>
      <c r="C1514" s="16">
        <f>SUMIF(매도완료!$G:$G,Sheet2!$B1514,매도완료!$P:$P)+SUMIF(ING!$G:$G,Sheet2!$B1514,ING!$P:$P)</f>
        <v>16078000</v>
      </c>
      <c r="D1514" s="16">
        <f>SUMIF(매도완료!$J:$J,Sheet2!$B1514,매도완료!$P:$P)+SUMIF(ING!$J:$J,Sheet2!$B1514,ING!$P:$P)</f>
        <v>0</v>
      </c>
      <c r="E1514" s="16">
        <f t="shared" si="46"/>
        <v>118619994.39299999</v>
      </c>
      <c r="G1514" s="16">
        <f>IF(D1514=0,0,SUMIF(매도완료!$J:$J,Sheet2!$B1514,매도완료!$S:$S))+IF(D1514=0,0,SUMIF(ING!$J:$J,Sheet2!$B1514,ING!$S:$S))</f>
        <v>0</v>
      </c>
      <c r="H1514" s="16">
        <f t="shared" si="47"/>
        <v>14918159.730000002</v>
      </c>
    </row>
    <row r="1515" spans="2:8" hidden="1" x14ac:dyDescent="0.4">
      <c r="B1515" s="1">
        <v>44064</v>
      </c>
      <c r="C1515" s="16">
        <f>SUMIF(매도완료!$G:$G,Sheet2!$B1515,매도완료!$P:$P)+SUMIF(ING!$G:$G,Sheet2!$B1515,ING!$P:$P)</f>
        <v>0</v>
      </c>
      <c r="D1515" s="16">
        <f>SUMIF(매도완료!$J:$J,Sheet2!$B1515,매도완료!$P:$P)+SUMIF(ING!$J:$J,Sheet2!$B1515,ING!$P:$P)</f>
        <v>0</v>
      </c>
      <c r="E1515" s="16">
        <f t="shared" si="46"/>
        <v>118619994.39299999</v>
      </c>
      <c r="G1515" s="16">
        <f>IF(D1515=0,0,SUMIF(매도완료!$J:$J,Sheet2!$B1515,매도완료!$S:$S))+IF(D1515=0,0,SUMIF(ING!$J:$J,Sheet2!$B1515,ING!$S:$S))</f>
        <v>0</v>
      </c>
      <c r="H1515" s="16">
        <f t="shared" si="47"/>
        <v>14918159.730000002</v>
      </c>
    </row>
    <row r="1516" spans="2:8" hidden="1" x14ac:dyDescent="0.4">
      <c r="B1516" s="1">
        <v>44065</v>
      </c>
      <c r="C1516" s="16">
        <f>SUMIF(매도완료!$G:$G,Sheet2!$B1516,매도완료!$P:$P)+SUMIF(ING!$G:$G,Sheet2!$B1516,ING!$P:$P)</f>
        <v>0</v>
      </c>
      <c r="D1516" s="16">
        <f>SUMIF(매도완료!$J:$J,Sheet2!$B1516,매도완료!$P:$P)+SUMIF(ING!$J:$J,Sheet2!$B1516,ING!$P:$P)</f>
        <v>0</v>
      </c>
      <c r="E1516" s="16">
        <f t="shared" si="46"/>
        <v>118619994.39299999</v>
      </c>
      <c r="G1516" s="16">
        <f>IF(D1516=0,0,SUMIF(매도완료!$J:$J,Sheet2!$B1516,매도완료!$S:$S))+IF(D1516=0,0,SUMIF(ING!$J:$J,Sheet2!$B1516,ING!$S:$S))</f>
        <v>0</v>
      </c>
      <c r="H1516" s="16">
        <f t="shared" si="47"/>
        <v>14918159.730000002</v>
      </c>
    </row>
    <row r="1517" spans="2:8" hidden="1" x14ac:dyDescent="0.4">
      <c r="B1517" s="1">
        <v>44066</v>
      </c>
      <c r="C1517" s="16">
        <f>SUMIF(매도완료!$G:$G,Sheet2!$B1517,매도완료!$P:$P)+SUMIF(ING!$G:$G,Sheet2!$B1517,ING!$P:$P)</f>
        <v>0</v>
      </c>
      <c r="D1517" s="16">
        <f>SUMIF(매도완료!$J:$J,Sheet2!$B1517,매도완료!$P:$P)+SUMIF(ING!$J:$J,Sheet2!$B1517,ING!$P:$P)</f>
        <v>0</v>
      </c>
      <c r="E1517" s="16">
        <f t="shared" si="46"/>
        <v>118619994.39299999</v>
      </c>
      <c r="G1517" s="16">
        <f>IF(D1517=0,0,SUMIF(매도완료!$J:$J,Sheet2!$B1517,매도완료!$S:$S))+IF(D1517=0,0,SUMIF(ING!$J:$J,Sheet2!$B1517,ING!$S:$S))</f>
        <v>0</v>
      </c>
      <c r="H1517" s="16">
        <f t="shared" si="47"/>
        <v>14918159.730000002</v>
      </c>
    </row>
    <row r="1518" spans="2:8" hidden="1" x14ac:dyDescent="0.4">
      <c r="B1518" s="1">
        <v>44067</v>
      </c>
      <c r="C1518" s="16">
        <f>SUMIF(매도완료!$G:$G,Sheet2!$B1518,매도완료!$P:$P)+SUMIF(ING!$G:$G,Sheet2!$B1518,ING!$P:$P)</f>
        <v>0</v>
      </c>
      <c r="D1518" s="16">
        <f>SUMIF(매도완료!$J:$J,Sheet2!$B1518,매도완료!$P:$P)+SUMIF(ING!$J:$J,Sheet2!$B1518,ING!$P:$P)</f>
        <v>2340000</v>
      </c>
      <c r="E1518" s="16">
        <f t="shared" si="46"/>
        <v>116279994.39299999</v>
      </c>
      <c r="G1518" s="16">
        <f>IF(D1518=0,0,SUMIF(매도완료!$J:$J,Sheet2!$B1518,매도완료!$S:$S))+IF(D1518=0,0,SUMIF(ING!$J:$J,Sheet2!$B1518,ING!$S:$S))</f>
        <v>455255</v>
      </c>
      <c r="H1518" s="16">
        <f t="shared" si="47"/>
        <v>15373414.730000002</v>
      </c>
    </row>
    <row r="1519" spans="2:8" hidden="1" x14ac:dyDescent="0.4">
      <c r="B1519" s="1">
        <v>44068</v>
      </c>
      <c r="C1519" s="16">
        <f>SUMIF(매도완료!$G:$G,Sheet2!$B1519,매도완료!$P:$P)+SUMIF(ING!$G:$G,Sheet2!$B1519,ING!$P:$P)</f>
        <v>1698000</v>
      </c>
      <c r="D1519" s="16">
        <f>SUMIF(매도완료!$J:$J,Sheet2!$B1519,매도완료!$P:$P)+SUMIF(ING!$J:$J,Sheet2!$B1519,ING!$P:$P)</f>
        <v>0</v>
      </c>
      <c r="E1519" s="16">
        <f t="shared" si="46"/>
        <v>117977994.39299999</v>
      </c>
      <c r="G1519" s="16">
        <f>IF(D1519=0,0,SUMIF(매도완료!$J:$J,Sheet2!$B1519,매도완료!$S:$S))+IF(D1519=0,0,SUMIF(ING!$J:$J,Sheet2!$B1519,ING!$S:$S))</f>
        <v>0</v>
      </c>
      <c r="H1519" s="16">
        <f t="shared" si="47"/>
        <v>15373414.730000002</v>
      </c>
    </row>
    <row r="1520" spans="2:8" hidden="1" x14ac:dyDescent="0.4">
      <c r="B1520" s="1">
        <v>44069</v>
      </c>
      <c r="C1520" s="16">
        <f>SUMIF(매도완료!$G:$G,Sheet2!$B1520,매도완료!$P:$P)+SUMIF(ING!$G:$G,Sheet2!$B1520,ING!$P:$P)</f>
        <v>610500</v>
      </c>
      <c r="D1520" s="16">
        <f>SUMIF(매도완료!$J:$J,Sheet2!$B1520,매도완료!$P:$P)+SUMIF(ING!$J:$J,Sheet2!$B1520,ING!$P:$P)</f>
        <v>2460000</v>
      </c>
      <c r="E1520" s="16">
        <f t="shared" si="46"/>
        <v>116128494.39299999</v>
      </c>
      <c r="G1520" s="16">
        <f>IF(D1520=0,0,SUMIF(매도완료!$J:$J,Sheet2!$B1520,매도완료!$S:$S))+IF(D1520=0,0,SUMIF(ING!$J:$J,Sheet2!$B1520,ING!$S:$S))</f>
        <v>348281.25</v>
      </c>
      <c r="H1520" s="16">
        <f t="shared" si="47"/>
        <v>15721695.980000002</v>
      </c>
    </row>
    <row r="1521" spans="2:8" hidden="1" x14ac:dyDescent="0.4">
      <c r="B1521" s="1">
        <v>44070</v>
      </c>
      <c r="C1521" s="16">
        <f>SUMIF(매도완료!$G:$G,Sheet2!$B1521,매도완료!$P:$P)+SUMIF(ING!$G:$G,Sheet2!$B1521,ING!$P:$P)</f>
        <v>594000</v>
      </c>
      <c r="D1521" s="16">
        <f>SUMIF(매도완료!$J:$J,Sheet2!$B1521,매도완료!$P:$P)+SUMIF(ING!$J:$J,Sheet2!$B1521,ING!$P:$P)</f>
        <v>20837000</v>
      </c>
      <c r="E1521" s="16">
        <f t="shared" si="46"/>
        <v>95885494.392999992</v>
      </c>
      <c r="G1521" s="16">
        <f>IF(D1521=0,0,SUMIF(매도완료!$J:$J,Sheet2!$B1521,매도완료!$S:$S))+IF(D1521=0,0,SUMIF(ING!$J:$J,Sheet2!$B1521,ING!$S:$S))</f>
        <v>808227.5</v>
      </c>
      <c r="H1521" s="16">
        <f t="shared" si="47"/>
        <v>16529923.480000002</v>
      </c>
    </row>
    <row r="1522" spans="2:8" hidden="1" x14ac:dyDescent="0.4">
      <c r="B1522" s="1">
        <v>44071</v>
      </c>
      <c r="C1522" s="16">
        <f>SUMIF(매도완료!$G:$G,Sheet2!$B1522,매도완료!$P:$P)+SUMIF(ING!$G:$G,Sheet2!$B1522,ING!$P:$P)</f>
        <v>16682900</v>
      </c>
      <c r="D1522" s="16">
        <f>SUMIF(매도완료!$J:$J,Sheet2!$B1522,매도완료!$P:$P)+SUMIF(ING!$J:$J,Sheet2!$B1522,ING!$P:$P)</f>
        <v>12469500</v>
      </c>
      <c r="E1522" s="16">
        <f t="shared" si="46"/>
        <v>100098894.39299999</v>
      </c>
      <c r="G1522" s="16">
        <f>IF(D1522=0,0,SUMIF(매도완료!$J:$J,Sheet2!$B1522,매도완료!$S:$S))+IF(D1522=0,0,SUMIF(ING!$J:$J,Sheet2!$B1522,ING!$S:$S))</f>
        <v>445250</v>
      </c>
      <c r="H1522" s="16">
        <f t="shared" si="47"/>
        <v>16975173.480000004</v>
      </c>
    </row>
    <row r="1523" spans="2:8" hidden="1" x14ac:dyDescent="0.4">
      <c r="B1523" s="1">
        <v>44072</v>
      </c>
      <c r="C1523" s="16">
        <f>SUMIF(매도완료!$G:$G,Sheet2!$B1523,매도완료!$P:$P)+SUMIF(ING!$G:$G,Sheet2!$B1523,ING!$P:$P)</f>
        <v>0</v>
      </c>
      <c r="D1523" s="16">
        <f>SUMIF(매도완료!$J:$J,Sheet2!$B1523,매도완료!$P:$P)+SUMIF(ING!$J:$J,Sheet2!$B1523,ING!$P:$P)</f>
        <v>0</v>
      </c>
      <c r="E1523" s="16">
        <f t="shared" si="46"/>
        <v>100098894.39299999</v>
      </c>
      <c r="G1523" s="16">
        <f>IF(D1523=0,0,SUMIF(매도완료!$J:$J,Sheet2!$B1523,매도완료!$S:$S))+IF(D1523=0,0,SUMIF(ING!$J:$J,Sheet2!$B1523,ING!$S:$S))</f>
        <v>0</v>
      </c>
      <c r="H1523" s="16">
        <f t="shared" si="47"/>
        <v>16975173.480000004</v>
      </c>
    </row>
    <row r="1524" spans="2:8" hidden="1" x14ac:dyDescent="0.4">
      <c r="B1524" s="1">
        <v>44073</v>
      </c>
      <c r="C1524" s="16">
        <f>SUMIF(매도완료!$G:$G,Sheet2!$B1524,매도완료!$P:$P)+SUMIF(ING!$G:$G,Sheet2!$B1524,ING!$P:$P)</f>
        <v>0</v>
      </c>
      <c r="D1524" s="16">
        <f>SUMIF(매도완료!$J:$J,Sheet2!$B1524,매도완료!$P:$P)+SUMIF(ING!$J:$J,Sheet2!$B1524,ING!$P:$P)</f>
        <v>0</v>
      </c>
      <c r="E1524" s="16">
        <f t="shared" si="46"/>
        <v>100098894.39299999</v>
      </c>
      <c r="G1524" s="16">
        <f>IF(D1524=0,0,SUMIF(매도완료!$J:$J,Sheet2!$B1524,매도완료!$S:$S))+IF(D1524=0,0,SUMIF(ING!$J:$J,Sheet2!$B1524,ING!$S:$S))</f>
        <v>0</v>
      </c>
      <c r="H1524" s="16">
        <f t="shared" si="47"/>
        <v>16975173.480000004</v>
      </c>
    </row>
    <row r="1525" spans="2:8" hidden="1" x14ac:dyDescent="0.4">
      <c r="B1525" s="1">
        <v>44074</v>
      </c>
      <c r="C1525" s="16">
        <f>SUMIF(매도완료!$G:$G,Sheet2!$B1525,매도완료!$P:$P)+SUMIF(ING!$G:$G,Sheet2!$B1525,ING!$P:$P)</f>
        <v>13062000</v>
      </c>
      <c r="D1525" s="16">
        <f>SUMIF(매도완료!$J:$J,Sheet2!$B1525,매도완료!$P:$P)+SUMIF(ING!$J:$J,Sheet2!$B1525,ING!$P:$P)</f>
        <v>0</v>
      </c>
      <c r="E1525" s="16">
        <f t="shared" si="46"/>
        <v>113160894.39299999</v>
      </c>
      <c r="G1525" s="16">
        <f>IF(D1525=0,0,SUMIF(매도완료!$J:$J,Sheet2!$B1525,매도완료!$S:$S))+IF(D1525=0,0,SUMIF(ING!$J:$J,Sheet2!$B1525,ING!$S:$S))</f>
        <v>0</v>
      </c>
      <c r="H1525" s="16">
        <f t="shared" si="47"/>
        <v>16975173.480000004</v>
      </c>
    </row>
    <row r="1526" spans="2:8" hidden="1" x14ac:dyDescent="0.4">
      <c r="B1526" s="1">
        <v>44075</v>
      </c>
      <c r="C1526" s="16">
        <f>SUMIF(매도완료!$G:$G,Sheet2!$B1526,매도완료!$P:$P)+SUMIF(ING!$G:$G,Sheet2!$B1526,ING!$P:$P)</f>
        <v>0</v>
      </c>
      <c r="D1526" s="16">
        <f>SUMIF(매도완료!$J:$J,Sheet2!$B1526,매도완료!$P:$P)+SUMIF(ING!$J:$J,Sheet2!$B1526,ING!$P:$P)</f>
        <v>7884000</v>
      </c>
      <c r="E1526" s="16">
        <f t="shared" si="46"/>
        <v>105276894.39299999</v>
      </c>
      <c r="G1526" s="16">
        <f>IF(D1526=0,0,SUMIF(매도완료!$J:$J,Sheet2!$B1526,매도완료!$S:$S))+IF(D1526=0,0,SUMIF(ING!$J:$J,Sheet2!$B1526,ING!$S:$S))</f>
        <v>452545</v>
      </c>
      <c r="H1526" s="16">
        <f t="shared" si="47"/>
        <v>17427718.480000004</v>
      </c>
    </row>
    <row r="1527" spans="2:8" hidden="1" x14ac:dyDescent="0.4">
      <c r="B1527" s="1">
        <v>44076</v>
      </c>
      <c r="C1527" s="16">
        <f>SUMIF(매도완료!$G:$G,Sheet2!$B1527,매도완료!$P:$P)+SUMIF(ING!$G:$G,Sheet2!$B1527,ING!$P:$P)</f>
        <v>4720000</v>
      </c>
      <c r="D1527" s="16">
        <f>SUMIF(매도완료!$J:$J,Sheet2!$B1527,매도완료!$P:$P)+SUMIF(ING!$J:$J,Sheet2!$B1527,ING!$P:$P)</f>
        <v>0</v>
      </c>
      <c r="E1527" s="16">
        <f t="shared" si="46"/>
        <v>109996894.39299999</v>
      </c>
      <c r="G1527" s="16">
        <f>IF(D1527=0,0,SUMIF(매도완료!$J:$J,Sheet2!$B1527,매도완료!$S:$S))+IF(D1527=0,0,SUMIF(ING!$J:$J,Sheet2!$B1527,ING!$S:$S))</f>
        <v>0</v>
      </c>
      <c r="H1527" s="16">
        <f t="shared" si="47"/>
        <v>17427718.480000004</v>
      </c>
    </row>
    <row r="1528" spans="2:8" hidden="1" x14ac:dyDescent="0.4">
      <c r="B1528" s="1">
        <v>44077</v>
      </c>
      <c r="C1528" s="16">
        <f>SUMIF(매도완료!$G:$G,Sheet2!$B1528,매도완료!$P:$P)+SUMIF(ING!$G:$G,Sheet2!$B1528,ING!$P:$P)</f>
        <v>3704750</v>
      </c>
      <c r="D1528" s="16">
        <f>SUMIF(매도완료!$J:$J,Sheet2!$B1528,매도완료!$P:$P)+SUMIF(ING!$J:$J,Sheet2!$B1528,ING!$P:$P)</f>
        <v>3704750</v>
      </c>
      <c r="E1528" s="16">
        <f t="shared" si="46"/>
        <v>109996894.39299999</v>
      </c>
      <c r="G1528" s="16">
        <f>IF(D1528=0,0,SUMIF(매도완료!$J:$J,Sheet2!$B1528,매도완료!$S:$S))+IF(D1528=0,0,SUMIF(ING!$J:$J,Sheet2!$B1528,ING!$S:$S))</f>
        <v>190716.25</v>
      </c>
      <c r="H1528" s="16">
        <f t="shared" si="47"/>
        <v>17618434.730000004</v>
      </c>
    </row>
    <row r="1529" spans="2:8" hidden="1" x14ac:dyDescent="0.4">
      <c r="B1529" s="1">
        <v>44078</v>
      </c>
      <c r="C1529" s="16">
        <f>SUMIF(매도완료!$G:$G,Sheet2!$B1529,매도완료!$P:$P)+SUMIF(ING!$G:$G,Sheet2!$B1529,ING!$P:$P)</f>
        <v>838400</v>
      </c>
      <c r="D1529" s="16">
        <f>SUMIF(매도완료!$J:$J,Sheet2!$B1529,매도완료!$P:$P)+SUMIF(ING!$J:$J,Sheet2!$B1529,ING!$P:$P)</f>
        <v>0</v>
      </c>
      <c r="E1529" s="16">
        <f t="shared" si="46"/>
        <v>110835294.39299999</v>
      </c>
      <c r="G1529" s="16">
        <f>IF(D1529=0,0,SUMIF(매도완료!$J:$J,Sheet2!$B1529,매도완료!$S:$S))+IF(D1529=0,0,SUMIF(ING!$J:$J,Sheet2!$B1529,ING!$S:$S))</f>
        <v>0</v>
      </c>
      <c r="H1529" s="16">
        <f t="shared" si="47"/>
        <v>17618434.730000004</v>
      </c>
    </row>
    <row r="1530" spans="2:8" hidden="1" x14ac:dyDescent="0.4">
      <c r="B1530" s="1">
        <v>44079</v>
      </c>
      <c r="C1530" s="16">
        <f>SUMIF(매도완료!$G:$G,Sheet2!$B1530,매도완료!$P:$P)+SUMIF(ING!$G:$G,Sheet2!$B1530,ING!$P:$P)</f>
        <v>0</v>
      </c>
      <c r="D1530" s="16">
        <f>SUMIF(매도완료!$J:$J,Sheet2!$B1530,매도완료!$P:$P)+SUMIF(ING!$J:$J,Sheet2!$B1530,ING!$P:$P)</f>
        <v>0</v>
      </c>
      <c r="E1530" s="16">
        <f t="shared" si="46"/>
        <v>110835294.39299999</v>
      </c>
      <c r="G1530" s="16">
        <f>IF(D1530=0,0,SUMIF(매도완료!$J:$J,Sheet2!$B1530,매도완료!$S:$S))+IF(D1530=0,0,SUMIF(ING!$J:$J,Sheet2!$B1530,ING!$S:$S))</f>
        <v>0</v>
      </c>
      <c r="H1530" s="16">
        <f t="shared" si="47"/>
        <v>17618434.730000004</v>
      </c>
    </row>
    <row r="1531" spans="2:8" hidden="1" x14ac:dyDescent="0.4">
      <c r="B1531" s="1">
        <v>44080</v>
      </c>
      <c r="C1531" s="16">
        <f>SUMIF(매도완료!$G:$G,Sheet2!$B1531,매도완료!$P:$P)+SUMIF(ING!$G:$G,Sheet2!$B1531,ING!$P:$P)</f>
        <v>0</v>
      </c>
      <c r="D1531" s="16">
        <f>SUMIF(매도완료!$J:$J,Sheet2!$B1531,매도완료!$P:$P)+SUMIF(ING!$J:$J,Sheet2!$B1531,ING!$P:$P)</f>
        <v>0</v>
      </c>
      <c r="E1531" s="16">
        <f t="shared" si="46"/>
        <v>110835294.39299999</v>
      </c>
      <c r="G1531" s="16">
        <f>IF(D1531=0,0,SUMIF(매도완료!$J:$J,Sheet2!$B1531,매도완료!$S:$S))+IF(D1531=0,0,SUMIF(ING!$J:$J,Sheet2!$B1531,ING!$S:$S))</f>
        <v>0</v>
      </c>
      <c r="H1531" s="16">
        <f t="shared" si="47"/>
        <v>17618434.730000004</v>
      </c>
    </row>
    <row r="1532" spans="2:8" hidden="1" x14ac:dyDescent="0.4">
      <c r="B1532" s="1">
        <v>44081</v>
      </c>
      <c r="C1532" s="16">
        <f>SUMIF(매도완료!$G:$G,Sheet2!$B1532,매도완료!$P:$P)+SUMIF(ING!$G:$G,Sheet2!$B1532,ING!$P:$P)</f>
        <v>0</v>
      </c>
      <c r="D1532" s="16">
        <f>SUMIF(매도완료!$J:$J,Sheet2!$B1532,매도완료!$P:$P)+SUMIF(ING!$J:$J,Sheet2!$B1532,ING!$P:$P)</f>
        <v>0</v>
      </c>
      <c r="E1532" s="16">
        <f t="shared" si="46"/>
        <v>110835294.39299999</v>
      </c>
      <c r="G1532" s="16">
        <f>IF(D1532=0,0,SUMIF(매도완료!$J:$J,Sheet2!$B1532,매도완료!$S:$S))+IF(D1532=0,0,SUMIF(ING!$J:$J,Sheet2!$B1532,ING!$S:$S))</f>
        <v>0</v>
      </c>
      <c r="H1532" s="16">
        <f t="shared" si="47"/>
        <v>17618434.730000004</v>
      </c>
    </row>
    <row r="1533" spans="2:8" hidden="1" x14ac:dyDescent="0.4">
      <c r="B1533" s="1">
        <v>44082</v>
      </c>
      <c r="C1533" s="16">
        <f>SUMIF(매도완료!$G:$G,Sheet2!$B1533,매도완료!$P:$P)+SUMIF(ING!$G:$G,Sheet2!$B1533,ING!$P:$P)</f>
        <v>0</v>
      </c>
      <c r="D1533" s="16">
        <f>SUMIF(매도완료!$J:$J,Sheet2!$B1533,매도완료!$P:$P)+SUMIF(ING!$J:$J,Sheet2!$B1533,ING!$P:$P)</f>
        <v>0</v>
      </c>
      <c r="E1533" s="16">
        <f t="shared" si="46"/>
        <v>110835294.39299999</v>
      </c>
      <c r="G1533" s="16">
        <f>IF(D1533=0,0,SUMIF(매도완료!$J:$J,Sheet2!$B1533,매도완료!$S:$S))+IF(D1533=0,0,SUMIF(ING!$J:$J,Sheet2!$B1533,ING!$S:$S))</f>
        <v>0</v>
      </c>
      <c r="H1533" s="16">
        <f t="shared" si="47"/>
        <v>17618434.730000004</v>
      </c>
    </row>
    <row r="1534" spans="2:8" hidden="1" x14ac:dyDescent="0.4">
      <c r="B1534" s="1">
        <v>44083</v>
      </c>
      <c r="C1534" s="16">
        <f>SUMIF(매도완료!$G:$G,Sheet2!$B1534,매도완료!$P:$P)+SUMIF(ING!$G:$G,Sheet2!$B1534,ING!$P:$P)</f>
        <v>0</v>
      </c>
      <c r="D1534" s="16">
        <f>SUMIF(매도완료!$J:$J,Sheet2!$B1534,매도완료!$P:$P)+SUMIF(ING!$J:$J,Sheet2!$B1534,ING!$P:$P)</f>
        <v>0</v>
      </c>
      <c r="E1534" s="16">
        <f t="shared" si="46"/>
        <v>110835294.39299999</v>
      </c>
      <c r="G1534" s="16">
        <f>IF(D1534=0,0,SUMIF(매도완료!$J:$J,Sheet2!$B1534,매도완료!$S:$S))+IF(D1534=0,0,SUMIF(ING!$J:$J,Sheet2!$B1534,ING!$S:$S))</f>
        <v>0</v>
      </c>
      <c r="H1534" s="16">
        <f t="shared" si="47"/>
        <v>17618434.730000004</v>
      </c>
    </row>
    <row r="1535" spans="2:8" hidden="1" x14ac:dyDescent="0.4">
      <c r="B1535" s="1">
        <v>44084</v>
      </c>
      <c r="C1535" s="16">
        <f>SUMIF(매도완료!$G:$G,Sheet2!$B1535,매도완료!$P:$P)+SUMIF(ING!$G:$G,Sheet2!$B1535,ING!$P:$P)</f>
        <v>0</v>
      </c>
      <c r="D1535" s="16">
        <f>SUMIF(매도완료!$J:$J,Sheet2!$B1535,매도완료!$P:$P)+SUMIF(ING!$J:$J,Sheet2!$B1535,ING!$P:$P)</f>
        <v>528500</v>
      </c>
      <c r="E1535" s="16">
        <f t="shared" si="46"/>
        <v>110306794.39299999</v>
      </c>
      <c r="G1535" s="16">
        <f>IF(D1535=0,0,SUMIF(매도완료!$J:$J,Sheet2!$B1535,매도완료!$S:$S))+IF(D1535=0,0,SUMIF(ING!$J:$J,Sheet2!$B1535,ING!$S:$S))</f>
        <v>428760.75</v>
      </c>
      <c r="H1535" s="16">
        <f t="shared" si="47"/>
        <v>18047195.480000004</v>
      </c>
    </row>
    <row r="1536" spans="2:8" hidden="1" x14ac:dyDescent="0.4">
      <c r="B1536" s="1">
        <v>44085</v>
      </c>
      <c r="C1536" s="16">
        <f>SUMIF(매도완료!$G:$G,Sheet2!$B1536,매도완료!$P:$P)+SUMIF(ING!$G:$G,Sheet2!$B1536,ING!$P:$P)</f>
        <v>0</v>
      </c>
      <c r="D1536" s="16">
        <f>SUMIF(매도완료!$J:$J,Sheet2!$B1536,매도완료!$P:$P)+SUMIF(ING!$J:$J,Sheet2!$B1536,ING!$P:$P)</f>
        <v>0</v>
      </c>
      <c r="E1536" s="16">
        <f t="shared" si="46"/>
        <v>110306794.39299999</v>
      </c>
      <c r="G1536" s="16">
        <f>IF(D1536=0,0,SUMIF(매도완료!$J:$J,Sheet2!$B1536,매도완료!$S:$S))+IF(D1536=0,0,SUMIF(ING!$J:$J,Sheet2!$B1536,ING!$S:$S))</f>
        <v>0</v>
      </c>
      <c r="H1536" s="16">
        <f t="shared" si="47"/>
        <v>18047195.480000004</v>
      </c>
    </row>
    <row r="1537" spans="2:8" hidden="1" x14ac:dyDescent="0.4">
      <c r="B1537" s="1">
        <v>44086</v>
      </c>
      <c r="C1537" s="16">
        <f>SUMIF(매도완료!$G:$G,Sheet2!$B1537,매도완료!$P:$P)+SUMIF(ING!$G:$G,Sheet2!$B1537,ING!$P:$P)</f>
        <v>0</v>
      </c>
      <c r="D1537" s="16">
        <f>SUMIF(매도완료!$J:$J,Sheet2!$B1537,매도완료!$P:$P)+SUMIF(ING!$J:$J,Sheet2!$B1537,ING!$P:$P)</f>
        <v>0</v>
      </c>
      <c r="E1537" s="16">
        <f t="shared" si="46"/>
        <v>110306794.39299999</v>
      </c>
      <c r="G1537" s="16">
        <f>IF(D1537=0,0,SUMIF(매도완료!$J:$J,Sheet2!$B1537,매도완료!$S:$S))+IF(D1537=0,0,SUMIF(ING!$J:$J,Sheet2!$B1537,ING!$S:$S))</f>
        <v>0</v>
      </c>
      <c r="H1537" s="16">
        <f t="shared" si="47"/>
        <v>18047195.480000004</v>
      </c>
    </row>
    <row r="1538" spans="2:8" hidden="1" x14ac:dyDescent="0.4">
      <c r="B1538" s="1">
        <v>44087</v>
      </c>
      <c r="C1538" s="16">
        <f>SUMIF(매도완료!$G:$G,Sheet2!$B1538,매도완료!$P:$P)+SUMIF(ING!$G:$G,Sheet2!$B1538,ING!$P:$P)</f>
        <v>0</v>
      </c>
      <c r="D1538" s="16">
        <f>SUMIF(매도완료!$J:$J,Sheet2!$B1538,매도완료!$P:$P)+SUMIF(ING!$J:$J,Sheet2!$B1538,ING!$P:$P)</f>
        <v>0</v>
      </c>
      <c r="E1538" s="16">
        <f t="shared" si="46"/>
        <v>110306794.39299999</v>
      </c>
      <c r="G1538" s="16">
        <f>IF(D1538=0,0,SUMIF(매도완료!$J:$J,Sheet2!$B1538,매도완료!$S:$S))+IF(D1538=0,0,SUMIF(ING!$J:$J,Sheet2!$B1538,ING!$S:$S))</f>
        <v>0</v>
      </c>
      <c r="H1538" s="16">
        <f t="shared" si="47"/>
        <v>18047195.480000004</v>
      </c>
    </row>
    <row r="1539" spans="2:8" hidden="1" x14ac:dyDescent="0.4">
      <c r="B1539" s="1">
        <v>44088</v>
      </c>
      <c r="C1539" s="16">
        <f>SUMIF(매도완료!$G:$G,Sheet2!$B1539,매도완료!$P:$P)+SUMIF(ING!$G:$G,Sheet2!$B1539,ING!$P:$P)</f>
        <v>316500</v>
      </c>
      <c r="D1539" s="16">
        <f>SUMIF(매도완료!$J:$J,Sheet2!$B1539,매도완료!$P:$P)+SUMIF(ING!$J:$J,Sheet2!$B1539,ING!$P:$P)</f>
        <v>0</v>
      </c>
      <c r="E1539" s="16">
        <f t="shared" si="46"/>
        <v>110623294.39299999</v>
      </c>
      <c r="G1539" s="16">
        <f>IF(D1539=0,0,SUMIF(매도완료!$J:$J,Sheet2!$B1539,매도완료!$S:$S))+IF(D1539=0,0,SUMIF(ING!$J:$J,Sheet2!$B1539,ING!$S:$S))</f>
        <v>0</v>
      </c>
      <c r="H1539" s="16">
        <f t="shared" si="47"/>
        <v>18047195.480000004</v>
      </c>
    </row>
    <row r="1540" spans="2:8" hidden="1" x14ac:dyDescent="0.4">
      <c r="B1540" s="1">
        <v>44089</v>
      </c>
      <c r="C1540" s="16">
        <f>SUMIF(매도완료!$G:$G,Sheet2!$B1540,매도완료!$P:$P)+SUMIF(ING!$G:$G,Sheet2!$B1540,ING!$P:$P)</f>
        <v>660000</v>
      </c>
      <c r="D1540" s="16">
        <f>SUMIF(매도완료!$J:$J,Sheet2!$B1540,매도완료!$P:$P)+SUMIF(ING!$J:$J,Sheet2!$B1540,ING!$P:$P)</f>
        <v>0</v>
      </c>
      <c r="E1540" s="16">
        <f t="shared" ref="E1540:E1603" si="48">E1539+C1540-D1540</f>
        <v>111283294.39299999</v>
      </c>
      <c r="G1540" s="16">
        <f>IF(D1540=0,0,SUMIF(매도완료!$J:$J,Sheet2!$B1540,매도완료!$S:$S))+IF(D1540=0,0,SUMIF(ING!$J:$J,Sheet2!$B1540,ING!$S:$S))</f>
        <v>0</v>
      </c>
      <c r="H1540" s="16">
        <f t="shared" ref="H1540:H1603" si="49">H1539+G1540</f>
        <v>18047195.480000004</v>
      </c>
    </row>
    <row r="1541" spans="2:8" hidden="1" x14ac:dyDescent="0.4">
      <c r="B1541" s="1">
        <v>44090</v>
      </c>
      <c r="C1541" s="16">
        <f>SUMIF(매도완료!$G:$G,Sheet2!$B1541,매도완료!$P:$P)+SUMIF(ING!$G:$G,Sheet2!$B1541,ING!$P:$P)</f>
        <v>2079000</v>
      </c>
      <c r="D1541" s="16">
        <f>SUMIF(매도완료!$J:$J,Sheet2!$B1541,매도완료!$P:$P)+SUMIF(ING!$J:$J,Sheet2!$B1541,ING!$P:$P)</f>
        <v>3383685.4799999995</v>
      </c>
      <c r="E1541" s="16">
        <f t="shared" si="48"/>
        <v>109978608.91299999</v>
      </c>
      <c r="G1541" s="16">
        <f>IF(D1541=0,0,SUMIF(매도완료!$J:$J,Sheet2!$B1541,매도완료!$S:$S))+IF(D1541=0,0,SUMIF(ING!$J:$J,Sheet2!$B1541,ING!$S:$S))</f>
        <v>125323.24000000009</v>
      </c>
      <c r="H1541" s="16">
        <f t="shared" si="49"/>
        <v>18172518.720000003</v>
      </c>
    </row>
    <row r="1542" spans="2:8" hidden="1" x14ac:dyDescent="0.4">
      <c r="B1542" s="1">
        <v>44091</v>
      </c>
      <c r="C1542" s="16">
        <f>SUMIF(매도완료!$G:$G,Sheet2!$B1542,매도완료!$P:$P)+SUMIF(ING!$G:$G,Sheet2!$B1542,ING!$P:$P)</f>
        <v>0</v>
      </c>
      <c r="D1542" s="16">
        <f>SUMIF(매도완료!$J:$J,Sheet2!$B1542,매도완료!$P:$P)+SUMIF(ING!$J:$J,Sheet2!$B1542,ING!$P:$P)</f>
        <v>0</v>
      </c>
      <c r="E1542" s="16">
        <f t="shared" si="48"/>
        <v>109978608.91299999</v>
      </c>
      <c r="G1542" s="16">
        <f>IF(D1542=0,0,SUMIF(매도완료!$J:$J,Sheet2!$B1542,매도완료!$S:$S))+IF(D1542=0,0,SUMIF(ING!$J:$J,Sheet2!$B1542,ING!$S:$S))</f>
        <v>0</v>
      </c>
      <c r="H1542" s="16">
        <f t="shared" si="49"/>
        <v>18172518.720000003</v>
      </c>
    </row>
    <row r="1543" spans="2:8" hidden="1" x14ac:dyDescent="0.4">
      <c r="B1543" s="1">
        <v>44092</v>
      </c>
      <c r="C1543" s="16">
        <f>SUMIF(매도완료!$G:$G,Sheet2!$B1543,매도완료!$P:$P)+SUMIF(ING!$G:$G,Sheet2!$B1543,ING!$P:$P)</f>
        <v>0</v>
      </c>
      <c r="D1543" s="16">
        <f>SUMIF(매도완료!$J:$J,Sheet2!$B1543,매도완료!$P:$P)+SUMIF(ING!$J:$J,Sheet2!$B1543,ING!$P:$P)</f>
        <v>0</v>
      </c>
      <c r="E1543" s="16">
        <f t="shared" si="48"/>
        <v>109978608.91299999</v>
      </c>
      <c r="G1543" s="16">
        <f>IF(D1543=0,0,SUMIF(매도완료!$J:$J,Sheet2!$B1543,매도완료!$S:$S))+IF(D1543=0,0,SUMIF(ING!$J:$J,Sheet2!$B1543,ING!$S:$S))</f>
        <v>0</v>
      </c>
      <c r="H1543" s="16">
        <f t="shared" si="49"/>
        <v>18172518.720000003</v>
      </c>
    </row>
    <row r="1544" spans="2:8" hidden="1" x14ac:dyDescent="0.4">
      <c r="B1544" s="1">
        <v>44093</v>
      </c>
      <c r="C1544" s="16">
        <f>SUMIF(매도완료!$G:$G,Sheet2!$B1544,매도완료!$P:$P)+SUMIF(ING!$G:$G,Sheet2!$B1544,ING!$P:$P)</f>
        <v>0</v>
      </c>
      <c r="D1544" s="16">
        <f>SUMIF(매도완료!$J:$J,Sheet2!$B1544,매도완료!$P:$P)+SUMIF(ING!$J:$J,Sheet2!$B1544,ING!$P:$P)</f>
        <v>0</v>
      </c>
      <c r="E1544" s="16">
        <f t="shared" si="48"/>
        <v>109978608.91299999</v>
      </c>
      <c r="G1544" s="16">
        <f>IF(D1544=0,0,SUMIF(매도완료!$J:$J,Sheet2!$B1544,매도완료!$S:$S))+IF(D1544=0,0,SUMIF(ING!$J:$J,Sheet2!$B1544,ING!$S:$S))</f>
        <v>0</v>
      </c>
      <c r="H1544" s="16">
        <f t="shared" si="49"/>
        <v>18172518.720000003</v>
      </c>
    </row>
    <row r="1545" spans="2:8" hidden="1" x14ac:dyDescent="0.4">
      <c r="B1545" s="1">
        <v>44094</v>
      </c>
      <c r="C1545" s="16">
        <f>SUMIF(매도완료!$G:$G,Sheet2!$B1545,매도완료!$P:$P)+SUMIF(ING!$G:$G,Sheet2!$B1545,ING!$P:$P)</f>
        <v>0</v>
      </c>
      <c r="D1545" s="16">
        <f>SUMIF(매도완료!$J:$J,Sheet2!$B1545,매도완료!$P:$P)+SUMIF(ING!$J:$J,Sheet2!$B1545,ING!$P:$P)</f>
        <v>0</v>
      </c>
      <c r="E1545" s="16">
        <f t="shared" si="48"/>
        <v>109978608.91299999</v>
      </c>
      <c r="G1545" s="16">
        <f>IF(D1545=0,0,SUMIF(매도완료!$J:$J,Sheet2!$B1545,매도완료!$S:$S))+IF(D1545=0,0,SUMIF(ING!$J:$J,Sheet2!$B1545,ING!$S:$S))</f>
        <v>0</v>
      </c>
      <c r="H1545" s="16">
        <f t="shared" si="49"/>
        <v>18172518.720000003</v>
      </c>
    </row>
    <row r="1546" spans="2:8" hidden="1" x14ac:dyDescent="0.4">
      <c r="B1546" s="1">
        <v>44095</v>
      </c>
      <c r="C1546" s="16">
        <f>SUMIF(매도완료!$G:$G,Sheet2!$B1546,매도완료!$P:$P)+SUMIF(ING!$G:$G,Sheet2!$B1546,ING!$P:$P)</f>
        <v>0</v>
      </c>
      <c r="D1546" s="16">
        <f>SUMIF(매도완료!$J:$J,Sheet2!$B1546,매도완료!$P:$P)+SUMIF(ING!$J:$J,Sheet2!$B1546,ING!$P:$P)</f>
        <v>0</v>
      </c>
      <c r="E1546" s="16">
        <f t="shared" si="48"/>
        <v>109978608.91299999</v>
      </c>
      <c r="G1546" s="16">
        <f>IF(D1546=0,0,SUMIF(매도완료!$J:$J,Sheet2!$B1546,매도완료!$S:$S))+IF(D1546=0,0,SUMIF(ING!$J:$J,Sheet2!$B1546,ING!$S:$S))</f>
        <v>0</v>
      </c>
      <c r="H1546" s="16">
        <f t="shared" si="49"/>
        <v>18172518.720000003</v>
      </c>
    </row>
    <row r="1547" spans="2:8" hidden="1" x14ac:dyDescent="0.4">
      <c r="B1547" s="1">
        <v>44096</v>
      </c>
      <c r="C1547" s="16">
        <f>SUMIF(매도완료!$G:$G,Sheet2!$B1547,매도완료!$P:$P)+SUMIF(ING!$G:$G,Sheet2!$B1547,ING!$P:$P)</f>
        <v>0</v>
      </c>
      <c r="D1547" s="16">
        <f>SUMIF(매도완료!$J:$J,Sheet2!$B1547,매도완료!$P:$P)+SUMIF(ING!$J:$J,Sheet2!$B1547,ING!$P:$P)</f>
        <v>0</v>
      </c>
      <c r="E1547" s="16">
        <f t="shared" si="48"/>
        <v>109978608.91299999</v>
      </c>
      <c r="G1547" s="16">
        <f>IF(D1547=0,0,SUMIF(매도완료!$J:$J,Sheet2!$B1547,매도완료!$S:$S))+IF(D1547=0,0,SUMIF(ING!$J:$J,Sheet2!$B1547,ING!$S:$S))</f>
        <v>0</v>
      </c>
      <c r="H1547" s="16">
        <f t="shared" si="49"/>
        <v>18172518.720000003</v>
      </c>
    </row>
    <row r="1548" spans="2:8" hidden="1" x14ac:dyDescent="0.4">
      <c r="B1548" s="1">
        <v>44097</v>
      </c>
      <c r="C1548" s="16">
        <f>SUMIF(매도완료!$G:$G,Sheet2!$B1548,매도완료!$P:$P)+SUMIF(ING!$G:$G,Sheet2!$B1548,ING!$P:$P)</f>
        <v>0</v>
      </c>
      <c r="D1548" s="16">
        <f>SUMIF(매도완료!$J:$J,Sheet2!$B1548,매도완료!$P:$P)+SUMIF(ING!$J:$J,Sheet2!$B1548,ING!$P:$P)</f>
        <v>0</v>
      </c>
      <c r="E1548" s="16">
        <f t="shared" si="48"/>
        <v>109978608.91299999</v>
      </c>
      <c r="G1548" s="16">
        <f>IF(D1548=0,0,SUMIF(매도완료!$J:$J,Sheet2!$B1548,매도완료!$S:$S))+IF(D1548=0,0,SUMIF(ING!$J:$J,Sheet2!$B1548,ING!$S:$S))</f>
        <v>0</v>
      </c>
      <c r="H1548" s="16">
        <f t="shared" si="49"/>
        <v>18172518.720000003</v>
      </c>
    </row>
    <row r="1549" spans="2:8" hidden="1" x14ac:dyDescent="0.4">
      <c r="B1549" s="1">
        <v>44098</v>
      </c>
      <c r="C1549" s="16">
        <f>SUMIF(매도완료!$G:$G,Sheet2!$B1549,매도완료!$P:$P)+SUMIF(ING!$G:$G,Sheet2!$B1549,ING!$P:$P)</f>
        <v>0</v>
      </c>
      <c r="D1549" s="16">
        <f>SUMIF(매도완료!$J:$J,Sheet2!$B1549,매도완료!$P:$P)+SUMIF(ING!$J:$J,Sheet2!$B1549,ING!$P:$P)</f>
        <v>0</v>
      </c>
      <c r="E1549" s="16">
        <f t="shared" si="48"/>
        <v>109978608.91299999</v>
      </c>
      <c r="G1549" s="16">
        <f>IF(D1549=0,0,SUMIF(매도완료!$J:$J,Sheet2!$B1549,매도완료!$S:$S))+IF(D1549=0,0,SUMIF(ING!$J:$J,Sheet2!$B1549,ING!$S:$S))</f>
        <v>0</v>
      </c>
      <c r="H1549" s="16">
        <f t="shared" si="49"/>
        <v>18172518.720000003</v>
      </c>
    </row>
    <row r="1550" spans="2:8" hidden="1" x14ac:dyDescent="0.4">
      <c r="B1550" s="1">
        <v>44099</v>
      </c>
      <c r="C1550" s="16">
        <f>SUMIF(매도완료!$G:$G,Sheet2!$B1550,매도완료!$P:$P)+SUMIF(ING!$G:$G,Sheet2!$B1550,ING!$P:$P)</f>
        <v>0</v>
      </c>
      <c r="D1550" s="16">
        <f>SUMIF(매도완료!$J:$J,Sheet2!$B1550,매도완료!$P:$P)+SUMIF(ING!$J:$J,Sheet2!$B1550,ING!$P:$P)</f>
        <v>0</v>
      </c>
      <c r="E1550" s="16">
        <f t="shared" si="48"/>
        <v>109978608.91299999</v>
      </c>
      <c r="G1550" s="16">
        <f>IF(D1550=0,0,SUMIF(매도완료!$J:$J,Sheet2!$B1550,매도완료!$S:$S))+IF(D1550=0,0,SUMIF(ING!$J:$J,Sheet2!$B1550,ING!$S:$S))</f>
        <v>0</v>
      </c>
      <c r="H1550" s="16">
        <f t="shared" si="49"/>
        <v>18172518.720000003</v>
      </c>
    </row>
    <row r="1551" spans="2:8" hidden="1" x14ac:dyDescent="0.4">
      <c r="B1551" s="1">
        <v>44100</v>
      </c>
      <c r="C1551" s="16">
        <f>SUMIF(매도완료!$G:$G,Sheet2!$B1551,매도완료!$P:$P)+SUMIF(ING!$G:$G,Sheet2!$B1551,ING!$P:$P)</f>
        <v>0</v>
      </c>
      <c r="D1551" s="16">
        <f>SUMIF(매도완료!$J:$J,Sheet2!$B1551,매도완료!$P:$P)+SUMIF(ING!$J:$J,Sheet2!$B1551,ING!$P:$P)</f>
        <v>0</v>
      </c>
      <c r="E1551" s="16">
        <f t="shared" si="48"/>
        <v>109978608.91299999</v>
      </c>
      <c r="G1551" s="16">
        <f>IF(D1551=0,0,SUMIF(매도완료!$J:$J,Sheet2!$B1551,매도완료!$S:$S))+IF(D1551=0,0,SUMIF(ING!$J:$J,Sheet2!$B1551,ING!$S:$S))</f>
        <v>0</v>
      </c>
      <c r="H1551" s="16">
        <f t="shared" si="49"/>
        <v>18172518.720000003</v>
      </c>
    </row>
    <row r="1552" spans="2:8" hidden="1" x14ac:dyDescent="0.4">
      <c r="B1552" s="1">
        <v>44101</v>
      </c>
      <c r="C1552" s="16">
        <f>SUMIF(매도완료!$G:$G,Sheet2!$B1552,매도완료!$P:$P)+SUMIF(ING!$G:$G,Sheet2!$B1552,ING!$P:$P)</f>
        <v>0</v>
      </c>
      <c r="D1552" s="16">
        <f>SUMIF(매도완료!$J:$J,Sheet2!$B1552,매도완료!$P:$P)+SUMIF(ING!$J:$J,Sheet2!$B1552,ING!$P:$P)</f>
        <v>0</v>
      </c>
      <c r="E1552" s="16">
        <f t="shared" si="48"/>
        <v>109978608.91299999</v>
      </c>
      <c r="G1552" s="16">
        <f>IF(D1552=0,0,SUMIF(매도완료!$J:$J,Sheet2!$B1552,매도완료!$S:$S))+IF(D1552=0,0,SUMIF(ING!$J:$J,Sheet2!$B1552,ING!$S:$S))</f>
        <v>0</v>
      </c>
      <c r="H1552" s="16">
        <f t="shared" si="49"/>
        <v>18172518.720000003</v>
      </c>
    </row>
    <row r="1553" spans="2:8" hidden="1" x14ac:dyDescent="0.4">
      <c r="B1553" s="1">
        <v>44102</v>
      </c>
      <c r="C1553" s="16">
        <f>SUMIF(매도완료!$G:$G,Sheet2!$B1553,매도완료!$P:$P)+SUMIF(ING!$G:$G,Sheet2!$B1553,ING!$P:$P)</f>
        <v>0</v>
      </c>
      <c r="D1553" s="16">
        <f>SUMIF(매도완료!$J:$J,Sheet2!$B1553,매도완료!$P:$P)+SUMIF(ING!$J:$J,Sheet2!$B1553,ING!$P:$P)</f>
        <v>0</v>
      </c>
      <c r="E1553" s="16">
        <f t="shared" si="48"/>
        <v>109978608.91299999</v>
      </c>
      <c r="G1553" s="16">
        <f>IF(D1553=0,0,SUMIF(매도완료!$J:$J,Sheet2!$B1553,매도완료!$S:$S))+IF(D1553=0,0,SUMIF(ING!$J:$J,Sheet2!$B1553,ING!$S:$S))</f>
        <v>0</v>
      </c>
      <c r="H1553" s="16">
        <f t="shared" si="49"/>
        <v>18172518.720000003</v>
      </c>
    </row>
    <row r="1554" spans="2:8" hidden="1" x14ac:dyDescent="0.4">
      <c r="B1554" s="1">
        <v>44103</v>
      </c>
      <c r="C1554" s="16">
        <f>SUMIF(매도완료!$G:$G,Sheet2!$B1554,매도완료!$P:$P)+SUMIF(ING!$G:$G,Sheet2!$B1554,ING!$P:$P)</f>
        <v>0</v>
      </c>
      <c r="D1554" s="16">
        <f>SUMIF(매도완료!$J:$J,Sheet2!$B1554,매도완료!$P:$P)+SUMIF(ING!$J:$J,Sheet2!$B1554,ING!$P:$P)</f>
        <v>0</v>
      </c>
      <c r="E1554" s="16">
        <f t="shared" si="48"/>
        <v>109978608.91299999</v>
      </c>
      <c r="G1554" s="16">
        <f>IF(D1554=0,0,SUMIF(매도완료!$J:$J,Sheet2!$B1554,매도완료!$S:$S))+IF(D1554=0,0,SUMIF(ING!$J:$J,Sheet2!$B1554,ING!$S:$S))</f>
        <v>0</v>
      </c>
      <c r="H1554" s="16">
        <f t="shared" si="49"/>
        <v>18172518.720000003</v>
      </c>
    </row>
    <row r="1555" spans="2:8" hidden="1" x14ac:dyDescent="0.4">
      <c r="B1555" s="1">
        <v>44104</v>
      </c>
      <c r="C1555" s="16">
        <f>SUMIF(매도완료!$G:$G,Sheet2!$B1555,매도완료!$P:$P)+SUMIF(ING!$G:$G,Sheet2!$B1555,ING!$P:$P)</f>
        <v>0</v>
      </c>
      <c r="D1555" s="16">
        <f>SUMIF(매도완료!$J:$J,Sheet2!$B1555,매도완료!$P:$P)+SUMIF(ING!$J:$J,Sheet2!$B1555,ING!$P:$P)</f>
        <v>0</v>
      </c>
      <c r="E1555" s="16">
        <f t="shared" si="48"/>
        <v>109978608.91299999</v>
      </c>
      <c r="G1555" s="16">
        <f>IF(D1555=0,0,SUMIF(매도완료!$J:$J,Sheet2!$B1555,매도완료!$S:$S))+IF(D1555=0,0,SUMIF(ING!$J:$J,Sheet2!$B1555,ING!$S:$S))</f>
        <v>0</v>
      </c>
      <c r="H1555" s="16">
        <f t="shared" si="49"/>
        <v>18172518.720000003</v>
      </c>
    </row>
    <row r="1556" spans="2:8" hidden="1" x14ac:dyDescent="0.4">
      <c r="B1556" s="1">
        <v>44105</v>
      </c>
      <c r="C1556" s="16">
        <f>SUMIF(매도완료!$G:$G,Sheet2!$B1556,매도완료!$P:$P)+SUMIF(ING!$G:$G,Sheet2!$B1556,ING!$P:$P)</f>
        <v>0</v>
      </c>
      <c r="D1556" s="16">
        <f>SUMIF(매도완료!$J:$J,Sheet2!$B1556,매도완료!$P:$P)+SUMIF(ING!$J:$J,Sheet2!$B1556,ING!$P:$P)</f>
        <v>0</v>
      </c>
      <c r="E1556" s="16">
        <f t="shared" si="48"/>
        <v>109978608.91299999</v>
      </c>
      <c r="G1556" s="16">
        <f>IF(D1556=0,0,SUMIF(매도완료!$J:$J,Sheet2!$B1556,매도완료!$S:$S))+IF(D1556=0,0,SUMIF(ING!$J:$J,Sheet2!$B1556,ING!$S:$S))</f>
        <v>0</v>
      </c>
      <c r="H1556" s="16">
        <f t="shared" si="49"/>
        <v>18172518.720000003</v>
      </c>
    </row>
    <row r="1557" spans="2:8" hidden="1" x14ac:dyDescent="0.4">
      <c r="B1557" s="1">
        <v>44106</v>
      </c>
      <c r="C1557" s="16">
        <f>SUMIF(매도완료!$G:$G,Sheet2!$B1557,매도완료!$P:$P)+SUMIF(ING!$G:$G,Sheet2!$B1557,ING!$P:$P)</f>
        <v>0</v>
      </c>
      <c r="D1557" s="16">
        <f>SUMIF(매도완료!$J:$J,Sheet2!$B1557,매도완료!$P:$P)+SUMIF(ING!$J:$J,Sheet2!$B1557,ING!$P:$P)</f>
        <v>0</v>
      </c>
      <c r="E1557" s="16">
        <f t="shared" si="48"/>
        <v>109978608.91299999</v>
      </c>
      <c r="G1557" s="16">
        <f>IF(D1557=0,0,SUMIF(매도완료!$J:$J,Sheet2!$B1557,매도완료!$S:$S))+IF(D1557=0,0,SUMIF(ING!$J:$J,Sheet2!$B1557,ING!$S:$S))</f>
        <v>0</v>
      </c>
      <c r="H1557" s="16">
        <f t="shared" si="49"/>
        <v>18172518.720000003</v>
      </c>
    </row>
    <row r="1558" spans="2:8" hidden="1" x14ac:dyDescent="0.4">
      <c r="B1558" s="1">
        <v>44107</v>
      </c>
      <c r="C1558" s="16">
        <f>SUMIF(매도완료!$G:$G,Sheet2!$B1558,매도완료!$P:$P)+SUMIF(ING!$G:$G,Sheet2!$B1558,ING!$P:$P)</f>
        <v>0</v>
      </c>
      <c r="D1558" s="16">
        <f>SUMIF(매도완료!$J:$J,Sheet2!$B1558,매도완료!$P:$P)+SUMIF(ING!$J:$J,Sheet2!$B1558,ING!$P:$P)</f>
        <v>0</v>
      </c>
      <c r="E1558" s="16">
        <f t="shared" si="48"/>
        <v>109978608.91299999</v>
      </c>
      <c r="G1558" s="16">
        <f>IF(D1558=0,0,SUMIF(매도완료!$J:$J,Sheet2!$B1558,매도완료!$S:$S))+IF(D1558=0,0,SUMIF(ING!$J:$J,Sheet2!$B1558,ING!$S:$S))</f>
        <v>0</v>
      </c>
      <c r="H1558" s="16">
        <f t="shared" si="49"/>
        <v>18172518.720000003</v>
      </c>
    </row>
    <row r="1559" spans="2:8" hidden="1" x14ac:dyDescent="0.4">
      <c r="B1559" s="1">
        <v>44108</v>
      </c>
      <c r="C1559" s="16">
        <f>SUMIF(매도완료!$G:$G,Sheet2!$B1559,매도완료!$P:$P)+SUMIF(ING!$G:$G,Sheet2!$B1559,ING!$P:$P)</f>
        <v>0</v>
      </c>
      <c r="D1559" s="16">
        <f>SUMIF(매도완료!$J:$J,Sheet2!$B1559,매도완료!$P:$P)+SUMIF(ING!$J:$J,Sheet2!$B1559,ING!$P:$P)</f>
        <v>0</v>
      </c>
      <c r="E1559" s="16">
        <f t="shared" si="48"/>
        <v>109978608.91299999</v>
      </c>
      <c r="G1559" s="16">
        <f>IF(D1559=0,0,SUMIF(매도완료!$J:$J,Sheet2!$B1559,매도완료!$S:$S))+IF(D1559=0,0,SUMIF(ING!$J:$J,Sheet2!$B1559,ING!$S:$S))</f>
        <v>0</v>
      </c>
      <c r="H1559" s="16">
        <f t="shared" si="49"/>
        <v>18172518.720000003</v>
      </c>
    </row>
    <row r="1560" spans="2:8" hidden="1" x14ac:dyDescent="0.4">
      <c r="B1560" s="1">
        <v>44109</v>
      </c>
      <c r="C1560" s="16">
        <f>SUMIF(매도완료!$G:$G,Sheet2!$B1560,매도완료!$P:$P)+SUMIF(ING!$G:$G,Sheet2!$B1560,ING!$P:$P)</f>
        <v>0</v>
      </c>
      <c r="D1560" s="16">
        <f>SUMIF(매도완료!$J:$J,Sheet2!$B1560,매도완료!$P:$P)+SUMIF(ING!$J:$J,Sheet2!$B1560,ING!$P:$P)</f>
        <v>1401638.1390000002</v>
      </c>
      <c r="E1560" s="16">
        <f t="shared" si="48"/>
        <v>108576970.77399999</v>
      </c>
      <c r="G1560" s="16">
        <f>IF(D1560=0,0,SUMIF(매도완료!$J:$J,Sheet2!$B1560,매도완료!$S:$S))+IF(D1560=0,0,SUMIF(ING!$J:$J,Sheet2!$B1560,ING!$S:$S))</f>
        <v>-89160.99300000025</v>
      </c>
      <c r="H1560" s="16">
        <f t="shared" si="49"/>
        <v>18083357.727000002</v>
      </c>
    </row>
    <row r="1561" spans="2:8" hidden="1" x14ac:dyDescent="0.4">
      <c r="B1561" s="1">
        <v>44110</v>
      </c>
      <c r="C1561" s="16">
        <f>SUMIF(매도완료!$G:$G,Sheet2!$B1561,매도완료!$P:$P)+SUMIF(ING!$G:$G,Sheet2!$B1561,ING!$P:$P)</f>
        <v>0</v>
      </c>
      <c r="D1561" s="16">
        <f>SUMIF(매도완료!$J:$J,Sheet2!$B1561,매도완료!$P:$P)+SUMIF(ING!$J:$J,Sheet2!$B1561,ING!$P:$P)</f>
        <v>0</v>
      </c>
      <c r="E1561" s="16">
        <f t="shared" si="48"/>
        <v>108576970.77399999</v>
      </c>
      <c r="G1561" s="16">
        <f>IF(D1561=0,0,SUMIF(매도완료!$J:$J,Sheet2!$B1561,매도완료!$S:$S))+IF(D1561=0,0,SUMIF(ING!$J:$J,Sheet2!$B1561,ING!$S:$S))</f>
        <v>0</v>
      </c>
      <c r="H1561" s="16">
        <f t="shared" si="49"/>
        <v>18083357.727000002</v>
      </c>
    </row>
    <row r="1562" spans="2:8" hidden="1" x14ac:dyDescent="0.4">
      <c r="B1562" s="1">
        <v>44111</v>
      </c>
      <c r="C1562" s="16">
        <f>SUMIF(매도완료!$G:$G,Sheet2!$B1562,매도완료!$P:$P)+SUMIF(ING!$G:$G,Sheet2!$B1562,ING!$P:$P)</f>
        <v>0</v>
      </c>
      <c r="D1562" s="16">
        <f>SUMIF(매도완료!$J:$J,Sheet2!$B1562,매도완료!$P:$P)+SUMIF(ING!$J:$J,Sheet2!$B1562,ING!$P:$P)</f>
        <v>0</v>
      </c>
      <c r="E1562" s="16">
        <f t="shared" si="48"/>
        <v>108576970.77399999</v>
      </c>
      <c r="G1562" s="16">
        <f>IF(D1562=0,0,SUMIF(매도완료!$J:$J,Sheet2!$B1562,매도완료!$S:$S))+IF(D1562=0,0,SUMIF(ING!$J:$J,Sheet2!$B1562,ING!$S:$S))</f>
        <v>0</v>
      </c>
      <c r="H1562" s="16">
        <f t="shared" si="49"/>
        <v>18083357.727000002</v>
      </c>
    </row>
    <row r="1563" spans="2:8" hidden="1" x14ac:dyDescent="0.4">
      <c r="B1563" s="1">
        <v>44112</v>
      </c>
      <c r="C1563" s="16">
        <f>SUMIF(매도완료!$G:$G,Sheet2!$B1563,매도완료!$P:$P)+SUMIF(ING!$G:$G,Sheet2!$B1563,ING!$P:$P)</f>
        <v>0</v>
      </c>
      <c r="D1563" s="16">
        <f>SUMIF(매도완료!$J:$J,Sheet2!$B1563,매도완료!$P:$P)+SUMIF(ING!$J:$J,Sheet2!$B1563,ING!$P:$P)</f>
        <v>0</v>
      </c>
      <c r="E1563" s="16">
        <f t="shared" si="48"/>
        <v>108576970.77399999</v>
      </c>
      <c r="G1563" s="16">
        <f>IF(D1563=0,0,SUMIF(매도완료!$J:$J,Sheet2!$B1563,매도완료!$S:$S))+IF(D1563=0,0,SUMIF(ING!$J:$J,Sheet2!$B1563,ING!$S:$S))</f>
        <v>0</v>
      </c>
      <c r="H1563" s="16">
        <f t="shared" si="49"/>
        <v>18083357.727000002</v>
      </c>
    </row>
    <row r="1564" spans="2:8" hidden="1" x14ac:dyDescent="0.4">
      <c r="B1564" s="1">
        <v>44113</v>
      </c>
      <c r="C1564" s="16">
        <f>SUMIF(매도완료!$G:$G,Sheet2!$B1564,매도완료!$P:$P)+SUMIF(ING!$G:$G,Sheet2!$B1564,ING!$P:$P)</f>
        <v>0</v>
      </c>
      <c r="D1564" s="16">
        <f>SUMIF(매도완료!$J:$J,Sheet2!$B1564,매도완료!$P:$P)+SUMIF(ING!$J:$J,Sheet2!$B1564,ING!$P:$P)</f>
        <v>0</v>
      </c>
      <c r="E1564" s="16">
        <f t="shared" si="48"/>
        <v>108576970.77399999</v>
      </c>
      <c r="G1564" s="16">
        <f>IF(D1564=0,0,SUMIF(매도완료!$J:$J,Sheet2!$B1564,매도완료!$S:$S))+IF(D1564=0,0,SUMIF(ING!$J:$J,Sheet2!$B1564,ING!$S:$S))</f>
        <v>0</v>
      </c>
      <c r="H1564" s="16">
        <f t="shared" si="49"/>
        <v>18083357.727000002</v>
      </c>
    </row>
    <row r="1565" spans="2:8" hidden="1" x14ac:dyDescent="0.4">
      <c r="B1565" s="1">
        <v>44114</v>
      </c>
      <c r="C1565" s="16">
        <f>SUMIF(매도완료!$G:$G,Sheet2!$B1565,매도완료!$P:$P)+SUMIF(ING!$G:$G,Sheet2!$B1565,ING!$P:$P)</f>
        <v>0</v>
      </c>
      <c r="D1565" s="16">
        <f>SUMIF(매도완료!$J:$J,Sheet2!$B1565,매도완료!$P:$P)+SUMIF(ING!$J:$J,Sheet2!$B1565,ING!$P:$P)</f>
        <v>0</v>
      </c>
      <c r="E1565" s="16">
        <f t="shared" si="48"/>
        <v>108576970.77399999</v>
      </c>
      <c r="G1565" s="16">
        <f>IF(D1565=0,0,SUMIF(매도완료!$J:$J,Sheet2!$B1565,매도완료!$S:$S))+IF(D1565=0,0,SUMIF(ING!$J:$J,Sheet2!$B1565,ING!$S:$S))</f>
        <v>0</v>
      </c>
      <c r="H1565" s="16">
        <f t="shared" si="49"/>
        <v>18083357.727000002</v>
      </c>
    </row>
    <row r="1566" spans="2:8" hidden="1" x14ac:dyDescent="0.4">
      <c r="B1566" s="1">
        <v>44115</v>
      </c>
      <c r="C1566" s="16">
        <f>SUMIF(매도완료!$G:$G,Sheet2!$B1566,매도완료!$P:$P)+SUMIF(ING!$G:$G,Sheet2!$B1566,ING!$P:$P)</f>
        <v>0</v>
      </c>
      <c r="D1566" s="16">
        <f>SUMIF(매도완료!$J:$J,Sheet2!$B1566,매도완료!$P:$P)+SUMIF(ING!$J:$J,Sheet2!$B1566,ING!$P:$P)</f>
        <v>0</v>
      </c>
      <c r="E1566" s="16">
        <f t="shared" si="48"/>
        <v>108576970.77399999</v>
      </c>
      <c r="G1566" s="16">
        <f>IF(D1566=0,0,SUMIF(매도완료!$J:$J,Sheet2!$B1566,매도완료!$S:$S))+IF(D1566=0,0,SUMIF(ING!$J:$J,Sheet2!$B1566,ING!$S:$S))</f>
        <v>0</v>
      </c>
      <c r="H1566" s="16">
        <f t="shared" si="49"/>
        <v>18083357.727000002</v>
      </c>
    </row>
    <row r="1567" spans="2:8" hidden="1" x14ac:dyDescent="0.4">
      <c r="B1567" s="1">
        <v>44116</v>
      </c>
      <c r="C1567" s="16">
        <f>SUMIF(매도완료!$G:$G,Sheet2!$B1567,매도완료!$P:$P)+SUMIF(ING!$G:$G,Sheet2!$B1567,ING!$P:$P)</f>
        <v>0</v>
      </c>
      <c r="D1567" s="16">
        <f>SUMIF(매도완료!$J:$J,Sheet2!$B1567,매도완료!$P:$P)+SUMIF(ING!$J:$J,Sheet2!$B1567,ING!$P:$P)</f>
        <v>0</v>
      </c>
      <c r="E1567" s="16">
        <f t="shared" si="48"/>
        <v>108576970.77399999</v>
      </c>
      <c r="G1567" s="16">
        <f>IF(D1567=0,0,SUMIF(매도완료!$J:$J,Sheet2!$B1567,매도완료!$S:$S))+IF(D1567=0,0,SUMIF(ING!$J:$J,Sheet2!$B1567,ING!$S:$S))</f>
        <v>0</v>
      </c>
      <c r="H1567" s="16">
        <f t="shared" si="49"/>
        <v>18083357.727000002</v>
      </c>
    </row>
    <row r="1568" spans="2:8" hidden="1" x14ac:dyDescent="0.4">
      <c r="B1568" s="1">
        <v>44117</v>
      </c>
      <c r="C1568" s="16">
        <f>SUMIF(매도완료!$G:$G,Sheet2!$B1568,매도완료!$P:$P)+SUMIF(ING!$G:$G,Sheet2!$B1568,ING!$P:$P)</f>
        <v>0</v>
      </c>
      <c r="D1568" s="16">
        <f>SUMIF(매도완료!$J:$J,Sheet2!$B1568,매도완료!$P:$P)+SUMIF(ING!$J:$J,Sheet2!$B1568,ING!$P:$P)</f>
        <v>0</v>
      </c>
      <c r="E1568" s="16">
        <f t="shared" si="48"/>
        <v>108576970.77399999</v>
      </c>
      <c r="G1568" s="16">
        <f>IF(D1568=0,0,SUMIF(매도완료!$J:$J,Sheet2!$B1568,매도완료!$S:$S))+IF(D1568=0,0,SUMIF(ING!$J:$J,Sheet2!$B1568,ING!$S:$S))</f>
        <v>0</v>
      </c>
      <c r="H1568" s="16">
        <f t="shared" si="49"/>
        <v>18083357.727000002</v>
      </c>
    </row>
    <row r="1569" spans="2:8" hidden="1" x14ac:dyDescent="0.4">
      <c r="B1569" s="1">
        <v>44118</v>
      </c>
      <c r="C1569" s="16">
        <f>SUMIF(매도완료!$G:$G,Sheet2!$B1569,매도완료!$P:$P)+SUMIF(ING!$G:$G,Sheet2!$B1569,ING!$P:$P)</f>
        <v>0</v>
      </c>
      <c r="D1569" s="16">
        <f>SUMIF(매도완료!$J:$J,Sheet2!$B1569,매도완료!$P:$P)+SUMIF(ING!$J:$J,Sheet2!$B1569,ING!$P:$P)</f>
        <v>0</v>
      </c>
      <c r="E1569" s="16">
        <f t="shared" si="48"/>
        <v>108576970.77399999</v>
      </c>
      <c r="G1569" s="16">
        <f>IF(D1569=0,0,SUMIF(매도완료!$J:$J,Sheet2!$B1569,매도완료!$S:$S))+IF(D1569=0,0,SUMIF(ING!$J:$J,Sheet2!$B1569,ING!$S:$S))</f>
        <v>0</v>
      </c>
      <c r="H1569" s="16">
        <f t="shared" si="49"/>
        <v>18083357.727000002</v>
      </c>
    </row>
    <row r="1570" spans="2:8" hidden="1" x14ac:dyDescent="0.4">
      <c r="B1570" s="1">
        <v>44119</v>
      </c>
      <c r="C1570" s="16">
        <f>SUMIF(매도완료!$G:$G,Sheet2!$B1570,매도완료!$P:$P)+SUMIF(ING!$G:$G,Sheet2!$B1570,ING!$P:$P)</f>
        <v>0</v>
      </c>
      <c r="D1570" s="16">
        <f>SUMIF(매도완료!$J:$J,Sheet2!$B1570,매도완료!$P:$P)+SUMIF(ING!$J:$J,Sheet2!$B1570,ING!$P:$P)</f>
        <v>0</v>
      </c>
      <c r="E1570" s="16">
        <f t="shared" si="48"/>
        <v>108576970.77399999</v>
      </c>
      <c r="G1570" s="16">
        <f>IF(D1570=0,0,SUMIF(매도완료!$J:$J,Sheet2!$B1570,매도완료!$S:$S))+IF(D1570=0,0,SUMIF(ING!$J:$J,Sheet2!$B1570,ING!$S:$S))</f>
        <v>0</v>
      </c>
      <c r="H1570" s="16">
        <f t="shared" si="49"/>
        <v>18083357.727000002</v>
      </c>
    </row>
    <row r="1571" spans="2:8" hidden="1" x14ac:dyDescent="0.4">
      <c r="B1571" s="1">
        <v>44120</v>
      </c>
      <c r="C1571" s="16">
        <f>SUMIF(매도완료!$G:$G,Sheet2!$B1571,매도완료!$P:$P)+SUMIF(ING!$G:$G,Sheet2!$B1571,ING!$P:$P)</f>
        <v>0</v>
      </c>
      <c r="D1571" s="16">
        <f>SUMIF(매도완료!$J:$J,Sheet2!$B1571,매도완료!$P:$P)+SUMIF(ING!$J:$J,Sheet2!$B1571,ING!$P:$P)</f>
        <v>0</v>
      </c>
      <c r="E1571" s="16">
        <f t="shared" si="48"/>
        <v>108576970.77399999</v>
      </c>
      <c r="G1571" s="16">
        <f>IF(D1571=0,0,SUMIF(매도완료!$J:$J,Sheet2!$B1571,매도완료!$S:$S))+IF(D1571=0,0,SUMIF(ING!$J:$J,Sheet2!$B1571,ING!$S:$S))</f>
        <v>0</v>
      </c>
      <c r="H1571" s="16">
        <f t="shared" si="49"/>
        <v>18083357.727000002</v>
      </c>
    </row>
    <row r="1572" spans="2:8" hidden="1" x14ac:dyDescent="0.4">
      <c r="B1572" s="1">
        <v>44121</v>
      </c>
      <c r="C1572" s="16">
        <f>SUMIF(매도완료!$G:$G,Sheet2!$B1572,매도완료!$P:$P)+SUMIF(ING!$G:$G,Sheet2!$B1572,ING!$P:$P)</f>
        <v>0</v>
      </c>
      <c r="D1572" s="16">
        <f>SUMIF(매도완료!$J:$J,Sheet2!$B1572,매도완료!$P:$P)+SUMIF(ING!$J:$J,Sheet2!$B1572,ING!$P:$P)</f>
        <v>0</v>
      </c>
      <c r="E1572" s="16">
        <f t="shared" si="48"/>
        <v>108576970.77399999</v>
      </c>
      <c r="G1572" s="16">
        <f>IF(D1572=0,0,SUMIF(매도완료!$J:$J,Sheet2!$B1572,매도완료!$S:$S))+IF(D1572=0,0,SUMIF(ING!$J:$J,Sheet2!$B1572,ING!$S:$S))</f>
        <v>0</v>
      </c>
      <c r="H1572" s="16">
        <f t="shared" si="49"/>
        <v>18083357.727000002</v>
      </c>
    </row>
    <row r="1573" spans="2:8" hidden="1" x14ac:dyDescent="0.4">
      <c r="B1573" s="1">
        <v>44122</v>
      </c>
      <c r="C1573" s="16">
        <f>SUMIF(매도완료!$G:$G,Sheet2!$B1573,매도완료!$P:$P)+SUMIF(ING!$G:$G,Sheet2!$B1573,ING!$P:$P)</f>
        <v>0</v>
      </c>
      <c r="D1573" s="16">
        <f>SUMIF(매도완료!$J:$J,Sheet2!$B1573,매도완료!$P:$P)+SUMIF(ING!$J:$J,Sheet2!$B1573,ING!$P:$P)</f>
        <v>0</v>
      </c>
      <c r="E1573" s="16">
        <f t="shared" si="48"/>
        <v>108576970.77399999</v>
      </c>
      <c r="G1573" s="16">
        <f>IF(D1573=0,0,SUMIF(매도완료!$J:$J,Sheet2!$B1573,매도완료!$S:$S))+IF(D1573=0,0,SUMIF(ING!$J:$J,Sheet2!$B1573,ING!$S:$S))</f>
        <v>0</v>
      </c>
      <c r="H1573" s="16">
        <f t="shared" si="49"/>
        <v>18083357.727000002</v>
      </c>
    </row>
    <row r="1574" spans="2:8" hidden="1" x14ac:dyDescent="0.4">
      <c r="B1574" s="1">
        <v>44123</v>
      </c>
      <c r="C1574" s="16">
        <f>SUMIF(매도완료!$G:$G,Sheet2!$B1574,매도완료!$P:$P)+SUMIF(ING!$G:$G,Sheet2!$B1574,ING!$P:$P)</f>
        <v>0</v>
      </c>
      <c r="D1574" s="16">
        <f>SUMIF(매도완료!$J:$J,Sheet2!$B1574,매도완료!$P:$P)+SUMIF(ING!$J:$J,Sheet2!$B1574,ING!$P:$P)</f>
        <v>0</v>
      </c>
      <c r="E1574" s="16">
        <f t="shared" si="48"/>
        <v>108576970.77399999</v>
      </c>
      <c r="G1574" s="16">
        <f>IF(D1574=0,0,SUMIF(매도완료!$J:$J,Sheet2!$B1574,매도완료!$S:$S))+IF(D1574=0,0,SUMIF(ING!$J:$J,Sheet2!$B1574,ING!$S:$S))</f>
        <v>0</v>
      </c>
      <c r="H1574" s="16">
        <f t="shared" si="49"/>
        <v>18083357.727000002</v>
      </c>
    </row>
    <row r="1575" spans="2:8" hidden="1" x14ac:dyDescent="0.4">
      <c r="B1575" s="1">
        <v>44124</v>
      </c>
      <c r="C1575" s="16">
        <f>SUMIF(매도완료!$G:$G,Sheet2!$B1575,매도완료!$P:$P)+SUMIF(ING!$G:$G,Sheet2!$B1575,ING!$P:$P)</f>
        <v>0</v>
      </c>
      <c r="D1575" s="16">
        <f>SUMIF(매도완료!$J:$J,Sheet2!$B1575,매도완료!$P:$P)+SUMIF(ING!$J:$J,Sheet2!$B1575,ING!$P:$P)</f>
        <v>2330150</v>
      </c>
      <c r="E1575" s="16">
        <f t="shared" si="48"/>
        <v>106246820.77399999</v>
      </c>
      <c r="G1575" s="16">
        <f>IF(D1575=0,0,SUMIF(매도완료!$J:$J,Sheet2!$B1575,매도완료!$S:$S))+IF(D1575=0,0,SUMIF(ING!$J:$J,Sheet2!$B1575,ING!$S:$S))</f>
        <v>229374.875</v>
      </c>
      <c r="H1575" s="16">
        <f t="shared" si="49"/>
        <v>18312732.602000002</v>
      </c>
    </row>
    <row r="1576" spans="2:8" hidden="1" x14ac:dyDescent="0.4">
      <c r="B1576" s="1">
        <v>44125</v>
      </c>
      <c r="C1576" s="16">
        <f>SUMIF(매도완료!$G:$G,Sheet2!$B1576,매도완료!$P:$P)+SUMIF(ING!$G:$G,Sheet2!$B1576,ING!$P:$P)</f>
        <v>0</v>
      </c>
      <c r="D1576" s="16">
        <f>SUMIF(매도완료!$J:$J,Sheet2!$B1576,매도완료!$P:$P)+SUMIF(ING!$J:$J,Sheet2!$B1576,ING!$P:$P)</f>
        <v>0</v>
      </c>
      <c r="E1576" s="16">
        <f t="shared" si="48"/>
        <v>106246820.77399999</v>
      </c>
      <c r="G1576" s="16">
        <f>IF(D1576=0,0,SUMIF(매도완료!$J:$J,Sheet2!$B1576,매도완료!$S:$S))+IF(D1576=0,0,SUMIF(ING!$J:$J,Sheet2!$B1576,ING!$S:$S))</f>
        <v>0</v>
      </c>
      <c r="H1576" s="16">
        <f t="shared" si="49"/>
        <v>18312732.602000002</v>
      </c>
    </row>
    <row r="1577" spans="2:8" hidden="1" x14ac:dyDescent="0.4">
      <c r="B1577" s="1">
        <v>44126</v>
      </c>
      <c r="C1577" s="16">
        <f>SUMIF(매도완료!$G:$G,Sheet2!$B1577,매도완료!$P:$P)+SUMIF(ING!$G:$G,Sheet2!$B1577,ING!$P:$P)</f>
        <v>0</v>
      </c>
      <c r="D1577" s="16">
        <f>SUMIF(매도완료!$J:$J,Sheet2!$B1577,매도완료!$P:$P)+SUMIF(ING!$J:$J,Sheet2!$B1577,ING!$P:$P)</f>
        <v>0</v>
      </c>
      <c r="E1577" s="16">
        <f t="shared" si="48"/>
        <v>106246820.77399999</v>
      </c>
      <c r="G1577" s="16">
        <f>IF(D1577=0,0,SUMIF(매도완료!$J:$J,Sheet2!$B1577,매도완료!$S:$S))+IF(D1577=0,0,SUMIF(ING!$J:$J,Sheet2!$B1577,ING!$S:$S))</f>
        <v>0</v>
      </c>
      <c r="H1577" s="16">
        <f t="shared" si="49"/>
        <v>18312732.602000002</v>
      </c>
    </row>
    <row r="1578" spans="2:8" hidden="1" x14ac:dyDescent="0.4">
      <c r="B1578" s="1">
        <v>44127</v>
      </c>
      <c r="C1578" s="16">
        <f>SUMIF(매도완료!$G:$G,Sheet2!$B1578,매도완료!$P:$P)+SUMIF(ING!$G:$G,Sheet2!$B1578,ING!$P:$P)</f>
        <v>0</v>
      </c>
      <c r="D1578" s="16">
        <f>SUMIF(매도완료!$J:$J,Sheet2!$B1578,매도완료!$P:$P)+SUMIF(ING!$J:$J,Sheet2!$B1578,ING!$P:$P)</f>
        <v>0</v>
      </c>
      <c r="E1578" s="16">
        <f t="shared" si="48"/>
        <v>106246820.77399999</v>
      </c>
      <c r="G1578" s="16">
        <f>IF(D1578=0,0,SUMIF(매도완료!$J:$J,Sheet2!$B1578,매도완료!$S:$S))+IF(D1578=0,0,SUMIF(ING!$J:$J,Sheet2!$B1578,ING!$S:$S))</f>
        <v>0</v>
      </c>
      <c r="H1578" s="16">
        <f t="shared" si="49"/>
        <v>18312732.602000002</v>
      </c>
    </row>
    <row r="1579" spans="2:8" hidden="1" x14ac:dyDescent="0.4">
      <c r="B1579" s="1">
        <v>44128</v>
      </c>
      <c r="C1579" s="16">
        <f>SUMIF(매도완료!$G:$G,Sheet2!$B1579,매도완료!$P:$P)+SUMIF(ING!$G:$G,Sheet2!$B1579,ING!$P:$P)</f>
        <v>0</v>
      </c>
      <c r="D1579" s="16">
        <f>SUMIF(매도완료!$J:$J,Sheet2!$B1579,매도완료!$P:$P)+SUMIF(ING!$J:$J,Sheet2!$B1579,ING!$P:$P)</f>
        <v>0</v>
      </c>
      <c r="E1579" s="16">
        <f t="shared" si="48"/>
        <v>106246820.77399999</v>
      </c>
      <c r="G1579" s="16">
        <f>IF(D1579=0,0,SUMIF(매도완료!$J:$J,Sheet2!$B1579,매도완료!$S:$S))+IF(D1579=0,0,SUMIF(ING!$J:$J,Sheet2!$B1579,ING!$S:$S))</f>
        <v>0</v>
      </c>
      <c r="H1579" s="16">
        <f t="shared" si="49"/>
        <v>18312732.602000002</v>
      </c>
    </row>
    <row r="1580" spans="2:8" hidden="1" x14ac:dyDescent="0.4">
      <c r="B1580" s="1">
        <v>44129</v>
      </c>
      <c r="C1580" s="16">
        <f>SUMIF(매도완료!$G:$G,Sheet2!$B1580,매도완료!$P:$P)+SUMIF(ING!$G:$G,Sheet2!$B1580,ING!$P:$P)</f>
        <v>0</v>
      </c>
      <c r="D1580" s="16">
        <f>SUMIF(매도완료!$J:$J,Sheet2!$B1580,매도완료!$P:$P)+SUMIF(ING!$J:$J,Sheet2!$B1580,ING!$P:$P)</f>
        <v>0</v>
      </c>
      <c r="E1580" s="16">
        <f t="shared" si="48"/>
        <v>106246820.77399999</v>
      </c>
      <c r="G1580" s="16">
        <f>IF(D1580=0,0,SUMIF(매도완료!$J:$J,Sheet2!$B1580,매도완료!$S:$S))+IF(D1580=0,0,SUMIF(ING!$J:$J,Sheet2!$B1580,ING!$S:$S))</f>
        <v>0</v>
      </c>
      <c r="H1580" s="16">
        <f t="shared" si="49"/>
        <v>18312732.602000002</v>
      </c>
    </row>
    <row r="1581" spans="2:8" hidden="1" x14ac:dyDescent="0.4">
      <c r="B1581" s="1">
        <v>44130</v>
      </c>
      <c r="C1581" s="16">
        <f>SUMIF(매도완료!$G:$G,Sheet2!$B1581,매도완료!$P:$P)+SUMIF(ING!$G:$G,Sheet2!$B1581,ING!$P:$P)</f>
        <v>0</v>
      </c>
      <c r="D1581" s="16">
        <f>SUMIF(매도완료!$J:$J,Sheet2!$B1581,매도완료!$P:$P)+SUMIF(ING!$J:$J,Sheet2!$B1581,ING!$P:$P)</f>
        <v>0</v>
      </c>
      <c r="E1581" s="16">
        <f t="shared" si="48"/>
        <v>106246820.77399999</v>
      </c>
      <c r="G1581" s="16">
        <f>IF(D1581=0,0,SUMIF(매도완료!$J:$J,Sheet2!$B1581,매도완료!$S:$S))+IF(D1581=0,0,SUMIF(ING!$J:$J,Sheet2!$B1581,ING!$S:$S))</f>
        <v>0</v>
      </c>
      <c r="H1581" s="16">
        <f t="shared" si="49"/>
        <v>18312732.602000002</v>
      </c>
    </row>
    <row r="1582" spans="2:8" hidden="1" x14ac:dyDescent="0.4">
      <c r="B1582" s="1">
        <v>44131</v>
      </c>
      <c r="C1582" s="16">
        <f>SUMIF(매도완료!$G:$G,Sheet2!$B1582,매도완료!$P:$P)+SUMIF(ING!$G:$G,Sheet2!$B1582,ING!$P:$P)</f>
        <v>0</v>
      </c>
      <c r="D1582" s="16">
        <f>SUMIF(매도완료!$J:$J,Sheet2!$B1582,매도완료!$P:$P)+SUMIF(ING!$J:$J,Sheet2!$B1582,ING!$P:$P)</f>
        <v>9539964.0000000019</v>
      </c>
      <c r="E1582" s="16">
        <f t="shared" si="48"/>
        <v>96706856.773999989</v>
      </c>
      <c r="G1582" s="16">
        <f>IF(D1582=0,0,SUMIF(매도완료!$J:$J,Sheet2!$B1582,매도완료!$S:$S))+IF(D1582=0,0,SUMIF(ING!$J:$J,Sheet2!$B1582,ING!$S:$S))</f>
        <v>481382.04059999977</v>
      </c>
      <c r="H1582" s="16">
        <f t="shared" si="49"/>
        <v>18794114.6426</v>
      </c>
    </row>
    <row r="1583" spans="2:8" hidden="1" x14ac:dyDescent="0.4">
      <c r="B1583" s="1">
        <v>44132</v>
      </c>
      <c r="C1583" s="16">
        <f>SUMIF(매도완료!$G:$G,Sheet2!$B1583,매도완료!$P:$P)+SUMIF(ING!$G:$G,Sheet2!$B1583,ING!$P:$P)</f>
        <v>0</v>
      </c>
      <c r="D1583" s="16">
        <f>SUMIF(매도완료!$J:$J,Sheet2!$B1583,매도완료!$P:$P)+SUMIF(ING!$J:$J,Sheet2!$B1583,ING!$P:$P)</f>
        <v>543800</v>
      </c>
      <c r="E1583" s="16">
        <f t="shared" si="48"/>
        <v>96163056.773999989</v>
      </c>
      <c r="G1583" s="16">
        <f>IF(D1583=0,0,SUMIF(매도완료!$J:$J,Sheet2!$B1583,매도완료!$S:$S))+IF(D1583=0,0,SUMIF(ING!$J:$J,Sheet2!$B1583,ING!$S:$S))</f>
        <v>56266</v>
      </c>
      <c r="H1583" s="16">
        <f t="shared" si="49"/>
        <v>18850380.6426</v>
      </c>
    </row>
    <row r="1584" spans="2:8" hidden="1" x14ac:dyDescent="0.4">
      <c r="B1584" s="1">
        <v>44133</v>
      </c>
      <c r="C1584" s="16">
        <f>SUMIF(매도완료!$G:$G,Sheet2!$B1584,매도완료!$P:$P)+SUMIF(ING!$G:$G,Sheet2!$B1584,ING!$P:$P)</f>
        <v>0</v>
      </c>
      <c r="D1584" s="16">
        <f>SUMIF(매도완료!$J:$J,Sheet2!$B1584,매도완료!$P:$P)+SUMIF(ING!$J:$J,Sheet2!$B1584,ING!$P:$P)</f>
        <v>0</v>
      </c>
      <c r="E1584" s="16">
        <f t="shared" si="48"/>
        <v>96163056.773999989</v>
      </c>
      <c r="G1584" s="16">
        <f>IF(D1584=0,0,SUMIF(매도완료!$J:$J,Sheet2!$B1584,매도완료!$S:$S))+IF(D1584=0,0,SUMIF(ING!$J:$J,Sheet2!$B1584,ING!$S:$S))</f>
        <v>0</v>
      </c>
      <c r="H1584" s="16">
        <f t="shared" si="49"/>
        <v>18850380.6426</v>
      </c>
    </row>
    <row r="1585" spans="2:8" hidden="1" x14ac:dyDescent="0.4">
      <c r="B1585" s="1">
        <v>44134</v>
      </c>
      <c r="C1585" s="16">
        <f>SUMIF(매도완료!$G:$G,Sheet2!$B1585,매도완료!$P:$P)+SUMIF(ING!$G:$G,Sheet2!$B1585,ING!$P:$P)</f>
        <v>0</v>
      </c>
      <c r="D1585" s="16">
        <f>SUMIF(매도완료!$J:$J,Sheet2!$B1585,매도완료!$P:$P)+SUMIF(ING!$J:$J,Sheet2!$B1585,ING!$P:$P)</f>
        <v>3366085.4406000003</v>
      </c>
      <c r="E1585" s="16">
        <f t="shared" si="48"/>
        <v>92796971.333399981</v>
      </c>
      <c r="G1585" s="16">
        <f>IF(D1585=0,0,SUMIF(매도완료!$J:$J,Sheet2!$B1585,매도완료!$S:$S))+IF(D1585=0,0,SUMIF(ING!$J:$J,Sheet2!$B1585,ING!$S:$S))</f>
        <v>-188914.5886069827</v>
      </c>
      <c r="H1585" s="16">
        <f t="shared" si="49"/>
        <v>18661466.053993016</v>
      </c>
    </row>
    <row r="1586" spans="2:8" hidden="1" x14ac:dyDescent="0.4">
      <c r="B1586" s="1">
        <v>44135</v>
      </c>
      <c r="C1586" s="16">
        <f>SUMIF(매도완료!$G:$G,Sheet2!$B1586,매도완료!$P:$P)+SUMIF(ING!$G:$G,Sheet2!$B1586,ING!$P:$P)</f>
        <v>0</v>
      </c>
      <c r="D1586" s="16">
        <f>SUMIF(매도완료!$J:$J,Sheet2!$B1586,매도완료!$P:$P)+SUMIF(ING!$J:$J,Sheet2!$B1586,ING!$P:$P)</f>
        <v>0</v>
      </c>
      <c r="E1586" s="16">
        <f t="shared" si="48"/>
        <v>92796971.333399981</v>
      </c>
      <c r="G1586" s="16">
        <f>IF(D1586=0,0,SUMIF(매도완료!$J:$J,Sheet2!$B1586,매도완료!$S:$S))+IF(D1586=0,0,SUMIF(ING!$J:$J,Sheet2!$B1586,ING!$S:$S))</f>
        <v>0</v>
      </c>
      <c r="H1586" s="16">
        <f t="shared" si="49"/>
        <v>18661466.053993016</v>
      </c>
    </row>
    <row r="1587" spans="2:8" hidden="1" x14ac:dyDescent="0.4">
      <c r="B1587" s="1">
        <v>44136</v>
      </c>
      <c r="C1587" s="16">
        <f>SUMIF(매도완료!$G:$G,Sheet2!$B1587,매도완료!$P:$P)+SUMIF(ING!$G:$G,Sheet2!$B1587,ING!$P:$P)</f>
        <v>0</v>
      </c>
      <c r="D1587" s="16">
        <f>SUMIF(매도완료!$J:$J,Sheet2!$B1587,매도완료!$P:$P)+SUMIF(ING!$J:$J,Sheet2!$B1587,ING!$P:$P)</f>
        <v>0</v>
      </c>
      <c r="E1587" s="16">
        <f t="shared" si="48"/>
        <v>92796971.333399981</v>
      </c>
      <c r="G1587" s="16">
        <f>IF(D1587=0,0,SUMIF(매도완료!$J:$J,Sheet2!$B1587,매도완료!$S:$S))+IF(D1587=0,0,SUMIF(ING!$J:$J,Sheet2!$B1587,ING!$S:$S))</f>
        <v>0</v>
      </c>
      <c r="H1587" s="16">
        <f t="shared" si="49"/>
        <v>18661466.053993016</v>
      </c>
    </row>
    <row r="1588" spans="2:8" hidden="1" x14ac:dyDescent="0.4">
      <c r="B1588" s="1">
        <v>44137</v>
      </c>
      <c r="C1588" s="16">
        <f>SUMIF(매도완료!$G:$G,Sheet2!$B1588,매도완료!$P:$P)+SUMIF(ING!$G:$G,Sheet2!$B1588,ING!$P:$P)</f>
        <v>0</v>
      </c>
      <c r="D1588" s="16">
        <f>SUMIF(매도완료!$J:$J,Sheet2!$B1588,매도완료!$P:$P)+SUMIF(ING!$J:$J,Sheet2!$B1588,ING!$P:$P)</f>
        <v>0</v>
      </c>
      <c r="E1588" s="16">
        <f t="shared" si="48"/>
        <v>92796971.333399981</v>
      </c>
      <c r="G1588" s="16">
        <f>IF(D1588=0,0,SUMIF(매도완료!$J:$J,Sheet2!$B1588,매도완료!$S:$S))+IF(D1588=0,0,SUMIF(ING!$J:$J,Sheet2!$B1588,ING!$S:$S))</f>
        <v>0</v>
      </c>
      <c r="H1588" s="16">
        <f t="shared" si="49"/>
        <v>18661466.053993016</v>
      </c>
    </row>
    <row r="1589" spans="2:8" hidden="1" x14ac:dyDescent="0.4">
      <c r="B1589" s="1">
        <v>44138</v>
      </c>
      <c r="C1589" s="16">
        <f>SUMIF(매도완료!$G:$G,Sheet2!$B1589,매도완료!$P:$P)+SUMIF(ING!$G:$G,Sheet2!$B1589,ING!$P:$P)</f>
        <v>0</v>
      </c>
      <c r="D1589" s="16">
        <f>SUMIF(매도완료!$J:$J,Sheet2!$B1589,매도완료!$P:$P)+SUMIF(ING!$J:$J,Sheet2!$B1589,ING!$P:$P)</f>
        <v>0</v>
      </c>
      <c r="E1589" s="16">
        <f t="shared" si="48"/>
        <v>92796971.333399981</v>
      </c>
      <c r="G1589" s="16">
        <f>IF(D1589=0,0,SUMIF(매도완료!$J:$J,Sheet2!$B1589,매도완료!$S:$S))+IF(D1589=0,0,SUMIF(ING!$J:$J,Sheet2!$B1589,ING!$S:$S))</f>
        <v>0</v>
      </c>
      <c r="H1589" s="16">
        <f t="shared" si="49"/>
        <v>18661466.053993016</v>
      </c>
    </row>
    <row r="1590" spans="2:8" hidden="1" x14ac:dyDescent="0.4">
      <c r="B1590" s="1">
        <v>44139</v>
      </c>
      <c r="C1590" s="16">
        <f>SUMIF(매도완료!$G:$G,Sheet2!$B1590,매도완료!$P:$P)+SUMIF(ING!$G:$G,Sheet2!$B1590,ING!$P:$P)</f>
        <v>0</v>
      </c>
      <c r="D1590" s="16">
        <f>SUMIF(매도완료!$J:$J,Sheet2!$B1590,매도완료!$P:$P)+SUMIF(ING!$J:$J,Sheet2!$B1590,ING!$P:$P)</f>
        <v>0</v>
      </c>
      <c r="E1590" s="16">
        <f t="shared" si="48"/>
        <v>92796971.333399981</v>
      </c>
      <c r="G1590" s="16">
        <f>IF(D1590=0,0,SUMIF(매도완료!$J:$J,Sheet2!$B1590,매도완료!$S:$S))+IF(D1590=0,0,SUMIF(ING!$J:$J,Sheet2!$B1590,ING!$S:$S))</f>
        <v>0</v>
      </c>
      <c r="H1590" s="16">
        <f t="shared" si="49"/>
        <v>18661466.053993016</v>
      </c>
    </row>
    <row r="1591" spans="2:8" hidden="1" x14ac:dyDescent="0.4">
      <c r="B1591" s="1">
        <v>44140</v>
      </c>
      <c r="C1591" s="16">
        <f>SUMIF(매도완료!$G:$G,Sheet2!$B1591,매도완료!$P:$P)+SUMIF(ING!$G:$G,Sheet2!$B1591,ING!$P:$P)</f>
        <v>0</v>
      </c>
      <c r="D1591" s="16">
        <f>SUMIF(매도완료!$J:$J,Sheet2!$B1591,매도완료!$P:$P)+SUMIF(ING!$J:$J,Sheet2!$B1591,ING!$P:$P)</f>
        <v>0</v>
      </c>
      <c r="E1591" s="16">
        <f t="shared" si="48"/>
        <v>92796971.333399981</v>
      </c>
      <c r="G1591" s="16">
        <f>IF(D1591=0,0,SUMIF(매도완료!$J:$J,Sheet2!$B1591,매도완료!$S:$S))+IF(D1591=0,0,SUMIF(ING!$J:$J,Sheet2!$B1591,ING!$S:$S))</f>
        <v>0</v>
      </c>
      <c r="H1591" s="16">
        <f t="shared" si="49"/>
        <v>18661466.053993016</v>
      </c>
    </row>
    <row r="1592" spans="2:8" hidden="1" x14ac:dyDescent="0.4">
      <c r="B1592" s="1">
        <v>44141</v>
      </c>
      <c r="C1592" s="16">
        <f>SUMIF(매도완료!$G:$G,Sheet2!$B1592,매도완료!$P:$P)+SUMIF(ING!$G:$G,Sheet2!$B1592,ING!$P:$P)</f>
        <v>0</v>
      </c>
      <c r="D1592" s="16">
        <f>SUMIF(매도완료!$J:$J,Sheet2!$B1592,매도완료!$P:$P)+SUMIF(ING!$J:$J,Sheet2!$B1592,ING!$P:$P)</f>
        <v>0</v>
      </c>
      <c r="E1592" s="16">
        <f t="shared" si="48"/>
        <v>92796971.333399981</v>
      </c>
      <c r="G1592" s="16">
        <f>IF(D1592=0,0,SUMIF(매도완료!$J:$J,Sheet2!$B1592,매도완료!$S:$S))+IF(D1592=0,0,SUMIF(ING!$J:$J,Sheet2!$B1592,ING!$S:$S))</f>
        <v>0</v>
      </c>
      <c r="H1592" s="16">
        <f t="shared" si="49"/>
        <v>18661466.053993016</v>
      </c>
    </row>
    <row r="1593" spans="2:8" hidden="1" x14ac:dyDescent="0.4">
      <c r="B1593" s="1">
        <v>44142</v>
      </c>
      <c r="C1593" s="16">
        <f>SUMIF(매도완료!$G:$G,Sheet2!$B1593,매도완료!$P:$P)+SUMIF(ING!$G:$G,Sheet2!$B1593,ING!$P:$P)</f>
        <v>0</v>
      </c>
      <c r="D1593" s="16">
        <f>SUMIF(매도완료!$J:$J,Sheet2!$B1593,매도완료!$P:$P)+SUMIF(ING!$J:$J,Sheet2!$B1593,ING!$P:$P)</f>
        <v>2180500</v>
      </c>
      <c r="E1593" s="16">
        <f t="shared" si="48"/>
        <v>90616471.333399981</v>
      </c>
      <c r="G1593" s="16">
        <f>IF(D1593=0,0,SUMIF(매도완료!$J:$J,Sheet2!$B1593,매도완료!$S:$S))+IF(D1593=0,0,SUMIF(ING!$J:$J,Sheet2!$B1593,ING!$S:$S))</f>
        <v>826792.5</v>
      </c>
      <c r="H1593" s="16">
        <f t="shared" si="49"/>
        <v>19488258.553993016</v>
      </c>
    </row>
    <row r="1594" spans="2:8" hidden="1" x14ac:dyDescent="0.4">
      <c r="B1594" s="1">
        <v>44143</v>
      </c>
      <c r="C1594" s="16">
        <f>SUMIF(매도완료!$G:$G,Sheet2!$B1594,매도완료!$P:$P)+SUMIF(ING!$G:$G,Sheet2!$B1594,ING!$P:$P)</f>
        <v>0</v>
      </c>
      <c r="D1594" s="16">
        <f>SUMIF(매도완료!$J:$J,Sheet2!$B1594,매도완료!$P:$P)+SUMIF(ING!$J:$J,Sheet2!$B1594,ING!$P:$P)</f>
        <v>0</v>
      </c>
      <c r="E1594" s="16">
        <f t="shared" si="48"/>
        <v>90616471.333399981</v>
      </c>
      <c r="G1594" s="16">
        <f>IF(D1594=0,0,SUMIF(매도완료!$J:$J,Sheet2!$B1594,매도완료!$S:$S))+IF(D1594=0,0,SUMIF(ING!$J:$J,Sheet2!$B1594,ING!$S:$S))</f>
        <v>0</v>
      </c>
      <c r="H1594" s="16">
        <f t="shared" si="49"/>
        <v>19488258.553993016</v>
      </c>
    </row>
    <row r="1595" spans="2:8" hidden="1" x14ac:dyDescent="0.4">
      <c r="B1595" s="1">
        <v>44144</v>
      </c>
      <c r="C1595" s="16">
        <f>SUMIF(매도완료!$G:$G,Sheet2!$B1595,매도완료!$P:$P)+SUMIF(ING!$G:$G,Sheet2!$B1595,ING!$P:$P)</f>
        <v>0</v>
      </c>
      <c r="D1595" s="16">
        <f>SUMIF(매도완료!$J:$J,Sheet2!$B1595,매도완료!$P:$P)+SUMIF(ING!$J:$J,Sheet2!$B1595,ING!$P:$P)</f>
        <v>0</v>
      </c>
      <c r="E1595" s="16">
        <f t="shared" si="48"/>
        <v>90616471.333399981</v>
      </c>
      <c r="G1595" s="16">
        <f>IF(D1595=0,0,SUMIF(매도완료!$J:$J,Sheet2!$B1595,매도완료!$S:$S))+IF(D1595=0,0,SUMIF(ING!$J:$J,Sheet2!$B1595,ING!$S:$S))</f>
        <v>0</v>
      </c>
      <c r="H1595" s="16">
        <f t="shared" si="49"/>
        <v>19488258.553993016</v>
      </c>
    </row>
    <row r="1596" spans="2:8" hidden="1" x14ac:dyDescent="0.4">
      <c r="B1596" s="1">
        <v>44145</v>
      </c>
      <c r="C1596" s="16">
        <f>SUMIF(매도완료!$G:$G,Sheet2!$B1596,매도완료!$P:$P)+SUMIF(ING!$G:$G,Sheet2!$B1596,ING!$P:$P)</f>
        <v>0</v>
      </c>
      <c r="D1596" s="16">
        <f>SUMIF(매도완료!$J:$J,Sheet2!$B1596,매도완료!$P:$P)+SUMIF(ING!$J:$J,Sheet2!$B1596,ING!$P:$P)</f>
        <v>0</v>
      </c>
      <c r="E1596" s="16">
        <f t="shared" si="48"/>
        <v>90616471.333399981</v>
      </c>
      <c r="G1596" s="16">
        <f>IF(D1596=0,0,SUMIF(매도완료!$J:$J,Sheet2!$B1596,매도완료!$S:$S))+IF(D1596=0,0,SUMIF(ING!$J:$J,Sheet2!$B1596,ING!$S:$S))</f>
        <v>0</v>
      </c>
      <c r="H1596" s="16">
        <f t="shared" si="49"/>
        <v>19488258.553993016</v>
      </c>
    </row>
    <row r="1597" spans="2:8" hidden="1" x14ac:dyDescent="0.4">
      <c r="B1597" s="1">
        <v>44146</v>
      </c>
      <c r="C1597" s="16">
        <f>SUMIF(매도완료!$G:$G,Sheet2!$B1597,매도완료!$P:$P)+SUMIF(ING!$G:$G,Sheet2!$B1597,ING!$P:$P)</f>
        <v>0</v>
      </c>
      <c r="D1597" s="16">
        <f>SUMIF(매도완료!$J:$J,Sheet2!$B1597,매도완료!$P:$P)+SUMIF(ING!$J:$J,Sheet2!$B1597,ING!$P:$P)</f>
        <v>0</v>
      </c>
      <c r="E1597" s="16">
        <f t="shared" si="48"/>
        <v>90616471.333399981</v>
      </c>
      <c r="G1597" s="16">
        <f>IF(D1597=0,0,SUMIF(매도완료!$J:$J,Sheet2!$B1597,매도완료!$S:$S))+IF(D1597=0,0,SUMIF(ING!$J:$J,Sheet2!$B1597,ING!$S:$S))</f>
        <v>0</v>
      </c>
      <c r="H1597" s="16">
        <f t="shared" si="49"/>
        <v>19488258.553993016</v>
      </c>
    </row>
    <row r="1598" spans="2:8" hidden="1" x14ac:dyDescent="0.4">
      <c r="B1598" s="1">
        <v>44147</v>
      </c>
      <c r="C1598" s="16">
        <f>SUMIF(매도완료!$G:$G,Sheet2!$B1598,매도완료!$P:$P)+SUMIF(ING!$G:$G,Sheet2!$B1598,ING!$P:$P)</f>
        <v>0</v>
      </c>
      <c r="D1598" s="16">
        <f>SUMIF(매도완료!$J:$J,Sheet2!$B1598,매도완료!$P:$P)+SUMIF(ING!$J:$J,Sheet2!$B1598,ING!$P:$P)</f>
        <v>0</v>
      </c>
      <c r="E1598" s="16">
        <f t="shared" si="48"/>
        <v>90616471.333399981</v>
      </c>
      <c r="G1598" s="16">
        <f>IF(D1598=0,0,SUMIF(매도완료!$J:$J,Sheet2!$B1598,매도완료!$S:$S))+IF(D1598=0,0,SUMIF(ING!$J:$J,Sheet2!$B1598,ING!$S:$S))</f>
        <v>0</v>
      </c>
      <c r="H1598" s="16">
        <f t="shared" si="49"/>
        <v>19488258.553993016</v>
      </c>
    </row>
    <row r="1599" spans="2:8" hidden="1" x14ac:dyDescent="0.4">
      <c r="B1599" s="1">
        <v>44148</v>
      </c>
      <c r="C1599" s="16">
        <f>SUMIF(매도완료!$G:$G,Sheet2!$B1599,매도완료!$P:$P)+SUMIF(ING!$G:$G,Sheet2!$B1599,ING!$P:$P)</f>
        <v>5746692.6000000006</v>
      </c>
      <c r="D1599" s="16">
        <f>SUMIF(매도완료!$J:$J,Sheet2!$B1599,매도완료!$P:$P)+SUMIF(ING!$J:$J,Sheet2!$B1599,ING!$P:$P)</f>
        <v>0</v>
      </c>
      <c r="E1599" s="16">
        <f t="shared" si="48"/>
        <v>96363163.933399975</v>
      </c>
      <c r="G1599" s="16">
        <f>IF(D1599=0,0,SUMIF(매도완료!$J:$J,Sheet2!$B1599,매도완료!$S:$S))+IF(D1599=0,0,SUMIF(ING!$J:$J,Sheet2!$B1599,ING!$S:$S))</f>
        <v>0</v>
      </c>
      <c r="H1599" s="16">
        <f t="shared" si="49"/>
        <v>19488258.553993016</v>
      </c>
    </row>
    <row r="1600" spans="2:8" hidden="1" x14ac:dyDescent="0.4">
      <c r="B1600" s="1">
        <v>44149</v>
      </c>
      <c r="C1600" s="16">
        <f>SUMIF(매도완료!$G:$G,Sheet2!$B1600,매도완료!$P:$P)+SUMIF(ING!$G:$G,Sheet2!$B1600,ING!$P:$P)</f>
        <v>0</v>
      </c>
      <c r="D1600" s="16">
        <f>SUMIF(매도완료!$J:$J,Sheet2!$B1600,매도완료!$P:$P)+SUMIF(ING!$J:$J,Sheet2!$B1600,ING!$P:$P)</f>
        <v>0</v>
      </c>
      <c r="E1600" s="16">
        <f t="shared" si="48"/>
        <v>96363163.933399975</v>
      </c>
      <c r="G1600" s="16">
        <f>IF(D1600=0,0,SUMIF(매도완료!$J:$J,Sheet2!$B1600,매도완료!$S:$S))+IF(D1600=0,0,SUMIF(ING!$J:$J,Sheet2!$B1600,ING!$S:$S))</f>
        <v>0</v>
      </c>
      <c r="H1600" s="16">
        <f t="shared" si="49"/>
        <v>19488258.553993016</v>
      </c>
    </row>
    <row r="1601" spans="2:8" hidden="1" x14ac:dyDescent="0.4">
      <c r="B1601" s="1">
        <v>44150</v>
      </c>
      <c r="C1601" s="16">
        <f>SUMIF(매도완료!$G:$G,Sheet2!$B1601,매도완료!$P:$P)+SUMIF(ING!$G:$G,Sheet2!$B1601,ING!$P:$P)</f>
        <v>0</v>
      </c>
      <c r="D1601" s="16">
        <f>SUMIF(매도완료!$J:$J,Sheet2!$B1601,매도완료!$P:$P)+SUMIF(ING!$J:$J,Sheet2!$B1601,ING!$P:$P)</f>
        <v>0</v>
      </c>
      <c r="E1601" s="16">
        <f t="shared" si="48"/>
        <v>96363163.933399975</v>
      </c>
      <c r="G1601" s="16">
        <f>IF(D1601=0,0,SUMIF(매도완료!$J:$J,Sheet2!$B1601,매도완료!$S:$S))+IF(D1601=0,0,SUMIF(ING!$J:$J,Sheet2!$B1601,ING!$S:$S))</f>
        <v>0</v>
      </c>
      <c r="H1601" s="16">
        <f t="shared" si="49"/>
        <v>19488258.553993016</v>
      </c>
    </row>
    <row r="1602" spans="2:8" hidden="1" x14ac:dyDescent="0.4">
      <c r="B1602" s="1">
        <v>44151</v>
      </c>
      <c r="C1602" s="16">
        <f>SUMIF(매도완료!$G:$G,Sheet2!$B1602,매도완료!$P:$P)+SUMIF(ING!$G:$G,Sheet2!$B1602,ING!$P:$P)</f>
        <v>0</v>
      </c>
      <c r="D1602" s="16">
        <f>SUMIF(매도완료!$J:$J,Sheet2!$B1602,매도완료!$P:$P)+SUMIF(ING!$J:$J,Sheet2!$B1602,ING!$P:$P)</f>
        <v>0</v>
      </c>
      <c r="E1602" s="16">
        <f t="shared" si="48"/>
        <v>96363163.933399975</v>
      </c>
      <c r="G1602" s="16">
        <f>IF(D1602=0,0,SUMIF(매도완료!$J:$J,Sheet2!$B1602,매도완료!$S:$S))+IF(D1602=0,0,SUMIF(ING!$J:$J,Sheet2!$B1602,ING!$S:$S))</f>
        <v>0</v>
      </c>
      <c r="H1602" s="16">
        <f t="shared" si="49"/>
        <v>19488258.553993016</v>
      </c>
    </row>
    <row r="1603" spans="2:8" hidden="1" x14ac:dyDescent="0.4">
      <c r="B1603" s="1">
        <v>44152</v>
      </c>
      <c r="C1603" s="16">
        <f>SUMIF(매도완료!$G:$G,Sheet2!$B1603,매도완료!$P:$P)+SUMIF(ING!$G:$G,Sheet2!$B1603,ING!$P:$P)</f>
        <v>0</v>
      </c>
      <c r="D1603" s="16">
        <f>SUMIF(매도완료!$J:$J,Sheet2!$B1603,매도완료!$P:$P)+SUMIF(ING!$J:$J,Sheet2!$B1603,ING!$P:$P)</f>
        <v>0</v>
      </c>
      <c r="E1603" s="16">
        <f t="shared" si="48"/>
        <v>96363163.933399975</v>
      </c>
      <c r="G1603" s="16">
        <f>IF(D1603=0,0,SUMIF(매도완료!$J:$J,Sheet2!$B1603,매도완료!$S:$S))+IF(D1603=0,0,SUMIF(ING!$J:$J,Sheet2!$B1603,ING!$S:$S))</f>
        <v>0</v>
      </c>
      <c r="H1603" s="16">
        <f t="shared" si="49"/>
        <v>19488258.553993016</v>
      </c>
    </row>
    <row r="1604" spans="2:8" hidden="1" x14ac:dyDescent="0.4">
      <c r="B1604" s="1">
        <v>44153</v>
      </c>
      <c r="C1604" s="16">
        <f>SUMIF(매도완료!$G:$G,Sheet2!$B1604,매도완료!$P:$P)+SUMIF(ING!$G:$G,Sheet2!$B1604,ING!$P:$P)</f>
        <v>0</v>
      </c>
      <c r="D1604" s="16">
        <f>SUMIF(매도완료!$J:$J,Sheet2!$B1604,매도완료!$P:$P)+SUMIF(ING!$J:$J,Sheet2!$B1604,ING!$P:$P)</f>
        <v>0</v>
      </c>
      <c r="E1604" s="16">
        <f t="shared" ref="E1604:E1667" si="50">E1603+C1604-D1604</f>
        <v>96363163.933399975</v>
      </c>
      <c r="G1604" s="16">
        <f>IF(D1604=0,0,SUMIF(매도완료!$J:$J,Sheet2!$B1604,매도완료!$S:$S))+IF(D1604=0,0,SUMIF(ING!$J:$J,Sheet2!$B1604,ING!$S:$S))</f>
        <v>0</v>
      </c>
      <c r="H1604" s="16">
        <f t="shared" ref="H1604:H1667" si="51">H1603+G1604</f>
        <v>19488258.553993016</v>
      </c>
    </row>
    <row r="1605" spans="2:8" hidden="1" x14ac:dyDescent="0.4">
      <c r="B1605" s="1">
        <v>44154</v>
      </c>
      <c r="C1605" s="16">
        <f>SUMIF(매도완료!$G:$G,Sheet2!$B1605,매도완료!$P:$P)+SUMIF(ING!$G:$G,Sheet2!$B1605,ING!$P:$P)</f>
        <v>0</v>
      </c>
      <c r="D1605" s="16">
        <f>SUMIF(매도완료!$J:$J,Sheet2!$B1605,매도완료!$P:$P)+SUMIF(ING!$J:$J,Sheet2!$B1605,ING!$P:$P)</f>
        <v>0</v>
      </c>
      <c r="E1605" s="16">
        <f t="shared" si="50"/>
        <v>96363163.933399975</v>
      </c>
      <c r="G1605" s="16">
        <f>IF(D1605=0,0,SUMIF(매도완료!$J:$J,Sheet2!$B1605,매도완료!$S:$S))+IF(D1605=0,0,SUMIF(ING!$J:$J,Sheet2!$B1605,ING!$S:$S))</f>
        <v>0</v>
      </c>
      <c r="H1605" s="16">
        <f t="shared" si="51"/>
        <v>19488258.553993016</v>
      </c>
    </row>
    <row r="1606" spans="2:8" hidden="1" x14ac:dyDescent="0.4">
      <c r="B1606" s="1">
        <v>44155</v>
      </c>
      <c r="C1606" s="16">
        <f>SUMIF(매도완료!$G:$G,Sheet2!$B1606,매도완료!$P:$P)+SUMIF(ING!$G:$G,Sheet2!$B1606,ING!$P:$P)</f>
        <v>0</v>
      </c>
      <c r="D1606" s="16">
        <f>SUMIF(매도완료!$J:$J,Sheet2!$B1606,매도완료!$P:$P)+SUMIF(ING!$J:$J,Sheet2!$B1606,ING!$P:$P)</f>
        <v>0</v>
      </c>
      <c r="E1606" s="16">
        <f t="shared" si="50"/>
        <v>96363163.933399975</v>
      </c>
      <c r="G1606" s="16">
        <f>IF(D1606=0,0,SUMIF(매도완료!$J:$J,Sheet2!$B1606,매도완료!$S:$S))+IF(D1606=0,0,SUMIF(ING!$J:$J,Sheet2!$B1606,ING!$S:$S))</f>
        <v>0</v>
      </c>
      <c r="H1606" s="16">
        <f t="shared" si="51"/>
        <v>19488258.553993016</v>
      </c>
    </row>
    <row r="1607" spans="2:8" hidden="1" x14ac:dyDescent="0.4">
      <c r="B1607" s="1">
        <v>44156</v>
      </c>
      <c r="C1607" s="16">
        <f>SUMIF(매도완료!$G:$G,Sheet2!$B1607,매도완료!$P:$P)+SUMIF(ING!$G:$G,Sheet2!$B1607,ING!$P:$P)</f>
        <v>0</v>
      </c>
      <c r="D1607" s="16">
        <f>SUMIF(매도완료!$J:$J,Sheet2!$B1607,매도완료!$P:$P)+SUMIF(ING!$J:$J,Sheet2!$B1607,ING!$P:$P)</f>
        <v>0</v>
      </c>
      <c r="E1607" s="16">
        <f t="shared" si="50"/>
        <v>96363163.933399975</v>
      </c>
      <c r="G1607" s="16">
        <f>IF(D1607=0,0,SUMIF(매도완료!$J:$J,Sheet2!$B1607,매도완료!$S:$S))+IF(D1607=0,0,SUMIF(ING!$J:$J,Sheet2!$B1607,ING!$S:$S))</f>
        <v>0</v>
      </c>
      <c r="H1607" s="16">
        <f t="shared" si="51"/>
        <v>19488258.553993016</v>
      </c>
    </row>
    <row r="1608" spans="2:8" hidden="1" x14ac:dyDescent="0.4">
      <c r="B1608" s="1">
        <v>44157</v>
      </c>
      <c r="C1608" s="16">
        <f>SUMIF(매도완료!$G:$G,Sheet2!$B1608,매도완료!$P:$P)+SUMIF(ING!$G:$G,Sheet2!$B1608,ING!$P:$P)</f>
        <v>0</v>
      </c>
      <c r="D1608" s="16">
        <f>SUMIF(매도완료!$J:$J,Sheet2!$B1608,매도완료!$P:$P)+SUMIF(ING!$J:$J,Sheet2!$B1608,ING!$P:$P)</f>
        <v>0</v>
      </c>
      <c r="E1608" s="16">
        <f t="shared" si="50"/>
        <v>96363163.933399975</v>
      </c>
      <c r="G1608" s="16">
        <f>IF(D1608=0,0,SUMIF(매도완료!$J:$J,Sheet2!$B1608,매도완료!$S:$S))+IF(D1608=0,0,SUMIF(ING!$J:$J,Sheet2!$B1608,ING!$S:$S))</f>
        <v>0</v>
      </c>
      <c r="H1608" s="16">
        <f t="shared" si="51"/>
        <v>19488258.553993016</v>
      </c>
    </row>
    <row r="1609" spans="2:8" hidden="1" x14ac:dyDescent="0.4">
      <c r="B1609" s="1">
        <v>44158</v>
      </c>
      <c r="C1609" s="16">
        <f>SUMIF(매도완료!$G:$G,Sheet2!$B1609,매도완료!$P:$P)+SUMIF(ING!$G:$G,Sheet2!$B1609,ING!$P:$P)</f>
        <v>0</v>
      </c>
      <c r="D1609" s="16">
        <f>SUMIF(매도완료!$J:$J,Sheet2!$B1609,매도완료!$P:$P)+SUMIF(ING!$J:$J,Sheet2!$B1609,ING!$P:$P)</f>
        <v>0</v>
      </c>
      <c r="E1609" s="16">
        <f t="shared" si="50"/>
        <v>96363163.933399975</v>
      </c>
      <c r="G1609" s="16">
        <f>IF(D1609=0,0,SUMIF(매도완료!$J:$J,Sheet2!$B1609,매도완료!$S:$S))+IF(D1609=0,0,SUMIF(ING!$J:$J,Sheet2!$B1609,ING!$S:$S))</f>
        <v>0</v>
      </c>
      <c r="H1609" s="16">
        <f t="shared" si="51"/>
        <v>19488258.553993016</v>
      </c>
    </row>
    <row r="1610" spans="2:8" hidden="1" x14ac:dyDescent="0.4">
      <c r="B1610" s="1">
        <v>44159</v>
      </c>
      <c r="C1610" s="16">
        <f>SUMIF(매도완료!$G:$G,Sheet2!$B1610,매도완료!$P:$P)+SUMIF(ING!$G:$G,Sheet2!$B1610,ING!$P:$P)</f>
        <v>0</v>
      </c>
      <c r="D1610" s="16">
        <f>SUMIF(매도완료!$J:$J,Sheet2!$B1610,매도완료!$P:$P)+SUMIF(ING!$J:$J,Sheet2!$B1610,ING!$P:$P)</f>
        <v>1204500</v>
      </c>
      <c r="E1610" s="16">
        <f t="shared" si="50"/>
        <v>95158663.933399975</v>
      </c>
      <c r="G1610" s="16">
        <f>IF(D1610=0,0,SUMIF(매도완료!$J:$J,Sheet2!$B1610,매도완료!$S:$S))+IF(D1610=0,0,SUMIF(ING!$J:$J,Sheet2!$B1610,ING!$S:$S))</f>
        <v>171970</v>
      </c>
      <c r="H1610" s="16">
        <f t="shared" si="51"/>
        <v>19660228.553993016</v>
      </c>
    </row>
    <row r="1611" spans="2:8" hidden="1" x14ac:dyDescent="0.4">
      <c r="B1611" s="1">
        <v>44160</v>
      </c>
      <c r="C1611" s="16">
        <f>SUMIF(매도완료!$G:$G,Sheet2!$B1611,매도완료!$P:$P)+SUMIF(ING!$G:$G,Sheet2!$B1611,ING!$P:$P)</f>
        <v>3672800</v>
      </c>
      <c r="D1611" s="16">
        <f>SUMIF(매도완료!$J:$J,Sheet2!$B1611,매도완료!$P:$P)+SUMIF(ING!$J:$J,Sheet2!$B1611,ING!$P:$P)</f>
        <v>0</v>
      </c>
      <c r="E1611" s="16">
        <f t="shared" si="50"/>
        <v>98831463.933399975</v>
      </c>
      <c r="G1611" s="16">
        <f>IF(D1611=0,0,SUMIF(매도완료!$J:$J,Sheet2!$B1611,매도완료!$S:$S))+IF(D1611=0,0,SUMIF(ING!$J:$J,Sheet2!$B1611,ING!$S:$S))</f>
        <v>0</v>
      </c>
      <c r="H1611" s="16">
        <f t="shared" si="51"/>
        <v>19660228.553993016</v>
      </c>
    </row>
    <row r="1612" spans="2:8" hidden="1" x14ac:dyDescent="0.4">
      <c r="B1612" s="1">
        <v>44161</v>
      </c>
      <c r="C1612" s="16">
        <f>SUMIF(매도완료!$G:$G,Sheet2!$B1612,매도완료!$P:$P)+SUMIF(ING!$G:$G,Sheet2!$B1612,ING!$P:$P)</f>
        <v>0</v>
      </c>
      <c r="D1612" s="16">
        <f>SUMIF(매도완료!$J:$J,Sheet2!$B1612,매도완료!$P:$P)+SUMIF(ING!$J:$J,Sheet2!$B1612,ING!$P:$P)</f>
        <v>0</v>
      </c>
      <c r="E1612" s="16">
        <f t="shared" si="50"/>
        <v>98831463.933399975</v>
      </c>
      <c r="G1612" s="16">
        <f>IF(D1612=0,0,SUMIF(매도완료!$J:$J,Sheet2!$B1612,매도완료!$S:$S))+IF(D1612=0,0,SUMIF(ING!$J:$J,Sheet2!$B1612,ING!$S:$S))</f>
        <v>0</v>
      </c>
      <c r="H1612" s="16">
        <f t="shared" si="51"/>
        <v>19660228.553993016</v>
      </c>
    </row>
    <row r="1613" spans="2:8" hidden="1" x14ac:dyDescent="0.4">
      <c r="B1613" s="1">
        <v>44162</v>
      </c>
      <c r="C1613" s="16">
        <f>SUMIF(매도완료!$G:$G,Sheet2!$B1613,매도완료!$P:$P)+SUMIF(ING!$G:$G,Sheet2!$B1613,ING!$P:$P)</f>
        <v>1136100</v>
      </c>
      <c r="D1613" s="16">
        <f>SUMIF(매도완료!$J:$J,Sheet2!$B1613,매도완료!$P:$P)+SUMIF(ING!$J:$J,Sheet2!$B1613,ING!$P:$P)</f>
        <v>1136100</v>
      </c>
      <c r="E1613" s="16">
        <f t="shared" si="50"/>
        <v>98831463.933399975</v>
      </c>
      <c r="G1613" s="16">
        <f>IF(D1613=0,0,SUMIF(매도완료!$J:$J,Sheet2!$B1613,매도완료!$S:$S))+IF(D1613=0,0,SUMIF(ING!$J:$J,Sheet2!$B1613,ING!$S:$S))</f>
        <v>-67847.5</v>
      </c>
      <c r="H1613" s="16">
        <f t="shared" si="51"/>
        <v>19592381.053993016</v>
      </c>
    </row>
    <row r="1614" spans="2:8" hidden="1" x14ac:dyDescent="0.4">
      <c r="B1614" s="1">
        <v>44163</v>
      </c>
      <c r="C1614" s="16">
        <f>SUMIF(매도완료!$G:$G,Sheet2!$B1614,매도완료!$P:$P)+SUMIF(ING!$G:$G,Sheet2!$B1614,ING!$P:$P)</f>
        <v>0</v>
      </c>
      <c r="D1614" s="16">
        <f>SUMIF(매도완료!$J:$J,Sheet2!$B1614,매도완료!$P:$P)+SUMIF(ING!$J:$J,Sheet2!$B1614,ING!$P:$P)</f>
        <v>0</v>
      </c>
      <c r="E1614" s="16">
        <f t="shared" si="50"/>
        <v>98831463.933399975</v>
      </c>
      <c r="G1614" s="16">
        <f>IF(D1614=0,0,SUMIF(매도완료!$J:$J,Sheet2!$B1614,매도완료!$S:$S))+IF(D1614=0,0,SUMIF(ING!$J:$J,Sheet2!$B1614,ING!$S:$S))</f>
        <v>0</v>
      </c>
      <c r="H1614" s="16">
        <f t="shared" si="51"/>
        <v>19592381.053993016</v>
      </c>
    </row>
    <row r="1615" spans="2:8" hidden="1" x14ac:dyDescent="0.4">
      <c r="B1615" s="1">
        <v>44164</v>
      </c>
      <c r="C1615" s="16">
        <f>SUMIF(매도완료!$G:$G,Sheet2!$B1615,매도완료!$P:$P)+SUMIF(ING!$G:$G,Sheet2!$B1615,ING!$P:$P)</f>
        <v>0</v>
      </c>
      <c r="D1615" s="16">
        <f>SUMIF(매도완료!$J:$J,Sheet2!$B1615,매도완료!$P:$P)+SUMIF(ING!$J:$J,Sheet2!$B1615,ING!$P:$P)</f>
        <v>0</v>
      </c>
      <c r="E1615" s="16">
        <f t="shared" si="50"/>
        <v>98831463.933399975</v>
      </c>
      <c r="G1615" s="16">
        <f>IF(D1615=0,0,SUMIF(매도완료!$J:$J,Sheet2!$B1615,매도완료!$S:$S))+IF(D1615=0,0,SUMIF(ING!$J:$J,Sheet2!$B1615,ING!$S:$S))</f>
        <v>0</v>
      </c>
      <c r="H1615" s="16">
        <f t="shared" si="51"/>
        <v>19592381.053993016</v>
      </c>
    </row>
    <row r="1616" spans="2:8" hidden="1" x14ac:dyDescent="0.4">
      <c r="B1616" s="1">
        <v>44165</v>
      </c>
      <c r="C1616" s="16">
        <f>SUMIF(매도완료!$G:$G,Sheet2!$B1616,매도완료!$P:$P)+SUMIF(ING!$G:$G,Sheet2!$B1616,ING!$P:$P)</f>
        <v>1094700</v>
      </c>
      <c r="D1616" s="16">
        <f>SUMIF(매도완료!$J:$J,Sheet2!$B1616,매도완료!$P:$P)+SUMIF(ING!$J:$J,Sheet2!$B1616,ING!$P:$P)</f>
        <v>660000</v>
      </c>
      <c r="E1616" s="16">
        <f t="shared" si="50"/>
        <v>99266163.933399975</v>
      </c>
      <c r="G1616" s="16">
        <f>IF(D1616=0,0,SUMIF(매도완료!$J:$J,Sheet2!$B1616,매도완료!$S:$S))+IF(D1616=0,0,SUMIF(ING!$J:$J,Sheet2!$B1616,ING!$S:$S))</f>
        <v>40205</v>
      </c>
      <c r="H1616" s="16">
        <f t="shared" si="51"/>
        <v>19632586.053993016</v>
      </c>
    </row>
    <row r="1617" spans="2:8" hidden="1" x14ac:dyDescent="0.4">
      <c r="B1617" s="1">
        <v>44166</v>
      </c>
      <c r="C1617" s="16">
        <f>SUMIF(매도완료!$G:$G,Sheet2!$B1617,매도완료!$P:$P)+SUMIF(ING!$G:$G,Sheet2!$B1617,ING!$P:$P)</f>
        <v>0</v>
      </c>
      <c r="D1617" s="16">
        <f>SUMIF(매도완료!$J:$J,Sheet2!$B1617,매도완료!$P:$P)+SUMIF(ING!$J:$J,Sheet2!$B1617,ING!$P:$P)</f>
        <v>2884703.4000000004</v>
      </c>
      <c r="E1617" s="16">
        <f t="shared" si="50"/>
        <v>96381460.533399969</v>
      </c>
      <c r="G1617" s="16">
        <f>IF(D1617=0,0,SUMIF(매도완료!$J:$J,Sheet2!$B1617,매도완료!$S:$S))+IF(D1617=0,0,SUMIF(ING!$J:$J,Sheet2!$B1617,ING!$S:$S))</f>
        <v>726854.40000000014</v>
      </c>
      <c r="H1617" s="16">
        <f t="shared" si="51"/>
        <v>20359440.453993015</v>
      </c>
    </row>
    <row r="1618" spans="2:8" hidden="1" x14ac:dyDescent="0.4">
      <c r="B1618" s="1">
        <v>44167</v>
      </c>
      <c r="C1618" s="16">
        <f>SUMIF(매도완료!$G:$G,Sheet2!$B1618,매도완료!$P:$P)+SUMIF(ING!$G:$G,Sheet2!$B1618,ING!$P:$P)</f>
        <v>4661233.3500000006</v>
      </c>
      <c r="D1618" s="16">
        <f>SUMIF(매도완료!$J:$J,Sheet2!$B1618,매도완료!$P:$P)+SUMIF(ING!$J:$J,Sheet2!$B1618,ING!$P:$P)</f>
        <v>4410100</v>
      </c>
      <c r="E1618" s="16">
        <f t="shared" si="50"/>
        <v>96632593.883399963</v>
      </c>
      <c r="G1618" s="16">
        <f>IF(D1618=0,0,SUMIF(매도완료!$J:$J,Sheet2!$B1618,매도완료!$S:$S))+IF(D1618=0,0,SUMIF(ING!$J:$J,Sheet2!$B1618,ING!$S:$S))</f>
        <v>367057</v>
      </c>
      <c r="H1618" s="16">
        <f t="shared" si="51"/>
        <v>20726497.453993015</v>
      </c>
    </row>
    <row r="1619" spans="2:8" hidden="1" x14ac:dyDescent="0.4">
      <c r="B1619" s="1">
        <v>44168</v>
      </c>
      <c r="C1619" s="16">
        <f>SUMIF(매도완료!$G:$G,Sheet2!$B1619,매도완료!$P:$P)+SUMIF(ING!$G:$G,Sheet2!$B1619,ING!$P:$P)</f>
        <v>285600</v>
      </c>
      <c r="D1619" s="16">
        <f>SUMIF(매도완료!$J:$J,Sheet2!$B1619,매도완료!$P:$P)+SUMIF(ING!$J:$J,Sheet2!$B1619,ING!$P:$P)</f>
        <v>4720000</v>
      </c>
      <c r="E1619" s="16">
        <f t="shared" si="50"/>
        <v>92198193.883399963</v>
      </c>
      <c r="G1619" s="16">
        <f>IF(D1619=0,0,SUMIF(매도완료!$J:$J,Sheet2!$B1619,매도완료!$S:$S))+IF(D1619=0,0,SUMIF(ING!$J:$J,Sheet2!$B1619,ING!$S:$S))</f>
        <v>227430</v>
      </c>
      <c r="H1619" s="16">
        <f t="shared" si="51"/>
        <v>20953927.453993015</v>
      </c>
    </row>
    <row r="1620" spans="2:8" hidden="1" x14ac:dyDescent="0.4">
      <c r="B1620" s="1">
        <v>44169</v>
      </c>
      <c r="C1620" s="16">
        <f>SUMIF(매도완료!$G:$G,Sheet2!$B1620,매도완료!$P:$P)+SUMIF(ING!$G:$G,Sheet2!$B1620,ING!$P:$P)</f>
        <v>935000</v>
      </c>
      <c r="D1620" s="16">
        <f>SUMIF(매도완료!$J:$J,Sheet2!$B1620,매도완료!$P:$P)+SUMIF(ING!$J:$J,Sheet2!$B1620,ING!$P:$P)</f>
        <v>0</v>
      </c>
      <c r="E1620" s="16">
        <f t="shared" si="50"/>
        <v>93133193.883399963</v>
      </c>
      <c r="G1620" s="16">
        <f>IF(D1620=0,0,SUMIF(매도완료!$J:$J,Sheet2!$B1620,매도완료!$S:$S))+IF(D1620=0,0,SUMIF(ING!$J:$J,Sheet2!$B1620,ING!$S:$S))</f>
        <v>0</v>
      </c>
      <c r="H1620" s="16">
        <f t="shared" si="51"/>
        <v>20953927.453993015</v>
      </c>
    </row>
    <row r="1621" spans="2:8" hidden="1" x14ac:dyDescent="0.4">
      <c r="B1621" s="1">
        <v>44170</v>
      </c>
      <c r="C1621" s="16">
        <f>SUMIF(매도완료!$G:$G,Sheet2!$B1621,매도완료!$P:$P)+SUMIF(ING!$G:$G,Sheet2!$B1621,ING!$P:$P)</f>
        <v>0</v>
      </c>
      <c r="D1621" s="16">
        <f>SUMIF(매도완료!$J:$J,Sheet2!$B1621,매도완료!$P:$P)+SUMIF(ING!$J:$J,Sheet2!$B1621,ING!$P:$P)</f>
        <v>0</v>
      </c>
      <c r="E1621" s="16">
        <f t="shared" si="50"/>
        <v>93133193.883399963</v>
      </c>
      <c r="G1621" s="16">
        <f>IF(D1621=0,0,SUMIF(매도완료!$J:$J,Sheet2!$B1621,매도완료!$S:$S))+IF(D1621=0,0,SUMIF(ING!$J:$J,Sheet2!$B1621,ING!$S:$S))</f>
        <v>0</v>
      </c>
      <c r="H1621" s="16">
        <f t="shared" si="51"/>
        <v>20953927.453993015</v>
      </c>
    </row>
    <row r="1622" spans="2:8" hidden="1" x14ac:dyDescent="0.4">
      <c r="B1622" s="1">
        <v>44171</v>
      </c>
      <c r="C1622" s="16">
        <f>SUMIF(매도완료!$G:$G,Sheet2!$B1622,매도완료!$P:$P)+SUMIF(ING!$G:$G,Sheet2!$B1622,ING!$P:$P)</f>
        <v>0</v>
      </c>
      <c r="D1622" s="16">
        <f>SUMIF(매도완료!$J:$J,Sheet2!$B1622,매도완료!$P:$P)+SUMIF(ING!$J:$J,Sheet2!$B1622,ING!$P:$P)</f>
        <v>0</v>
      </c>
      <c r="E1622" s="16">
        <f t="shared" si="50"/>
        <v>93133193.883399963</v>
      </c>
      <c r="G1622" s="16">
        <f>IF(D1622=0,0,SUMIF(매도완료!$J:$J,Sheet2!$B1622,매도완료!$S:$S))+IF(D1622=0,0,SUMIF(ING!$J:$J,Sheet2!$B1622,ING!$S:$S))</f>
        <v>0</v>
      </c>
      <c r="H1622" s="16">
        <f t="shared" si="51"/>
        <v>20953927.453993015</v>
      </c>
    </row>
    <row r="1623" spans="2:8" hidden="1" x14ac:dyDescent="0.4">
      <c r="B1623" s="1">
        <v>44172</v>
      </c>
      <c r="C1623" s="16">
        <f>SUMIF(매도완료!$G:$G,Sheet2!$B1623,매도완료!$P:$P)+SUMIF(ING!$G:$G,Sheet2!$B1623,ING!$P:$P)</f>
        <v>0</v>
      </c>
      <c r="D1623" s="16">
        <f>SUMIF(매도완료!$J:$J,Sheet2!$B1623,매도완료!$P:$P)+SUMIF(ING!$J:$J,Sheet2!$B1623,ING!$P:$P)</f>
        <v>0</v>
      </c>
      <c r="E1623" s="16">
        <f t="shared" si="50"/>
        <v>93133193.883399963</v>
      </c>
      <c r="G1623" s="16">
        <f>IF(D1623=0,0,SUMIF(매도완료!$J:$J,Sheet2!$B1623,매도완료!$S:$S))+IF(D1623=0,0,SUMIF(ING!$J:$J,Sheet2!$B1623,ING!$S:$S))</f>
        <v>0</v>
      </c>
      <c r="H1623" s="16">
        <f t="shared" si="51"/>
        <v>20953927.453993015</v>
      </c>
    </row>
    <row r="1624" spans="2:8" hidden="1" x14ac:dyDescent="0.4">
      <c r="B1624" s="1">
        <v>44173</v>
      </c>
      <c r="C1624" s="16">
        <f>SUMIF(매도완료!$G:$G,Sheet2!$B1624,매도완료!$P:$P)+SUMIF(ING!$G:$G,Sheet2!$B1624,ING!$P:$P)</f>
        <v>2012000</v>
      </c>
      <c r="D1624" s="16">
        <f>SUMIF(매도완료!$J:$J,Sheet2!$B1624,매도완료!$P:$P)+SUMIF(ING!$J:$J,Sheet2!$B1624,ING!$P:$P)</f>
        <v>0</v>
      </c>
      <c r="E1624" s="16">
        <f t="shared" si="50"/>
        <v>95145193.883399963</v>
      </c>
      <c r="G1624" s="16">
        <f>IF(D1624=0,0,SUMIF(매도완료!$J:$J,Sheet2!$B1624,매도완료!$S:$S))+IF(D1624=0,0,SUMIF(ING!$J:$J,Sheet2!$B1624,ING!$S:$S))</f>
        <v>0</v>
      </c>
      <c r="H1624" s="16">
        <f t="shared" si="51"/>
        <v>20953927.453993015</v>
      </c>
    </row>
    <row r="1625" spans="2:8" hidden="1" x14ac:dyDescent="0.4">
      <c r="B1625" s="1">
        <v>44174</v>
      </c>
      <c r="C1625" s="16">
        <f>SUMIF(매도완료!$G:$G,Sheet2!$B1625,매도완료!$P:$P)+SUMIF(ING!$G:$G,Sheet2!$B1625,ING!$P:$P)</f>
        <v>0</v>
      </c>
      <c r="D1625" s="16">
        <f>SUMIF(매도완료!$J:$J,Sheet2!$B1625,매도완료!$P:$P)+SUMIF(ING!$J:$J,Sheet2!$B1625,ING!$P:$P)</f>
        <v>1100782.2</v>
      </c>
      <c r="E1625" s="16">
        <f t="shared" si="50"/>
        <v>94044411.68339996</v>
      </c>
      <c r="G1625" s="16">
        <f>IF(D1625=0,0,SUMIF(매도완료!$J:$J,Sheet2!$B1625,매도완료!$S:$S))+IF(D1625=0,0,SUMIF(ING!$J:$J,Sheet2!$B1625,ING!$S:$S))</f>
        <v>85784.671000000002</v>
      </c>
      <c r="H1625" s="16">
        <f t="shared" si="51"/>
        <v>21039712.124993015</v>
      </c>
    </row>
    <row r="1626" spans="2:8" hidden="1" x14ac:dyDescent="0.4">
      <c r="B1626" s="1">
        <v>44175</v>
      </c>
      <c r="C1626" s="16">
        <f>SUMIF(매도완료!$G:$G,Sheet2!$B1626,매도완료!$P:$P)+SUMIF(ING!$G:$G,Sheet2!$B1626,ING!$P:$P)</f>
        <v>0</v>
      </c>
      <c r="D1626" s="16">
        <f>SUMIF(매도완료!$J:$J,Sheet2!$B1626,매도완료!$P:$P)+SUMIF(ING!$J:$J,Sheet2!$B1626,ING!$P:$P)</f>
        <v>0</v>
      </c>
      <c r="E1626" s="16">
        <f t="shared" si="50"/>
        <v>94044411.68339996</v>
      </c>
      <c r="G1626" s="16">
        <f>IF(D1626=0,0,SUMIF(매도완료!$J:$J,Sheet2!$B1626,매도완료!$S:$S))+IF(D1626=0,0,SUMIF(ING!$J:$J,Sheet2!$B1626,ING!$S:$S))</f>
        <v>0</v>
      </c>
      <c r="H1626" s="16">
        <f t="shared" si="51"/>
        <v>21039712.124993015</v>
      </c>
    </row>
    <row r="1627" spans="2:8" hidden="1" x14ac:dyDescent="0.4">
      <c r="B1627" s="1">
        <v>44176</v>
      </c>
      <c r="C1627" s="16">
        <f>SUMIF(매도완료!$G:$G,Sheet2!$B1627,매도완료!$P:$P)+SUMIF(ING!$G:$G,Sheet2!$B1627,ING!$P:$P)</f>
        <v>999000</v>
      </c>
      <c r="D1627" s="16">
        <f>SUMIF(매도완료!$J:$J,Sheet2!$B1627,매도완료!$P:$P)+SUMIF(ING!$J:$J,Sheet2!$B1627,ING!$P:$P)</f>
        <v>0</v>
      </c>
      <c r="E1627" s="16">
        <f t="shared" si="50"/>
        <v>95043411.68339996</v>
      </c>
      <c r="G1627" s="16">
        <f>IF(D1627=0,0,SUMIF(매도완료!$J:$J,Sheet2!$B1627,매도완료!$S:$S))+IF(D1627=0,0,SUMIF(ING!$J:$J,Sheet2!$B1627,ING!$S:$S))</f>
        <v>0</v>
      </c>
      <c r="H1627" s="16">
        <f t="shared" si="51"/>
        <v>21039712.124993015</v>
      </c>
    </row>
    <row r="1628" spans="2:8" hidden="1" x14ac:dyDescent="0.4">
      <c r="B1628" s="1">
        <v>44177</v>
      </c>
      <c r="C1628" s="16">
        <f>SUMIF(매도완료!$G:$G,Sheet2!$B1628,매도완료!$P:$P)+SUMIF(ING!$G:$G,Sheet2!$B1628,ING!$P:$P)</f>
        <v>0</v>
      </c>
      <c r="D1628" s="16">
        <f>SUMIF(매도완료!$J:$J,Sheet2!$B1628,매도완료!$P:$P)+SUMIF(ING!$J:$J,Sheet2!$B1628,ING!$P:$P)</f>
        <v>0</v>
      </c>
      <c r="E1628" s="16">
        <f t="shared" si="50"/>
        <v>95043411.68339996</v>
      </c>
      <c r="G1628" s="16">
        <f>IF(D1628=0,0,SUMIF(매도완료!$J:$J,Sheet2!$B1628,매도완료!$S:$S))+IF(D1628=0,0,SUMIF(ING!$J:$J,Sheet2!$B1628,ING!$S:$S))</f>
        <v>0</v>
      </c>
      <c r="H1628" s="16">
        <f t="shared" si="51"/>
        <v>21039712.124993015</v>
      </c>
    </row>
    <row r="1629" spans="2:8" hidden="1" x14ac:dyDescent="0.4">
      <c r="B1629" s="1">
        <v>44178</v>
      </c>
      <c r="C1629" s="16">
        <f>SUMIF(매도완료!$G:$G,Sheet2!$B1629,매도완료!$P:$P)+SUMIF(ING!$G:$G,Sheet2!$B1629,ING!$P:$P)</f>
        <v>0</v>
      </c>
      <c r="D1629" s="16">
        <f>SUMIF(매도완료!$J:$J,Sheet2!$B1629,매도완료!$P:$P)+SUMIF(ING!$J:$J,Sheet2!$B1629,ING!$P:$P)</f>
        <v>0</v>
      </c>
      <c r="E1629" s="16">
        <f t="shared" si="50"/>
        <v>95043411.68339996</v>
      </c>
      <c r="G1629" s="16">
        <f>IF(D1629=0,0,SUMIF(매도완료!$J:$J,Sheet2!$B1629,매도완료!$S:$S))+IF(D1629=0,0,SUMIF(ING!$J:$J,Sheet2!$B1629,ING!$S:$S))</f>
        <v>0</v>
      </c>
      <c r="H1629" s="16">
        <f t="shared" si="51"/>
        <v>21039712.124993015</v>
      </c>
    </row>
    <row r="1630" spans="2:8" hidden="1" x14ac:dyDescent="0.4">
      <c r="B1630" s="1">
        <v>44179</v>
      </c>
      <c r="C1630" s="16">
        <f>SUMIF(매도완료!$G:$G,Sheet2!$B1630,매도완료!$P:$P)+SUMIF(ING!$G:$G,Sheet2!$B1630,ING!$P:$P)</f>
        <v>2173694.04</v>
      </c>
      <c r="D1630" s="16">
        <f>SUMIF(매도완료!$J:$J,Sheet2!$B1630,매도완료!$P:$P)+SUMIF(ING!$J:$J,Sheet2!$B1630,ING!$P:$P)</f>
        <v>3150000</v>
      </c>
      <c r="E1630" s="16">
        <f t="shared" si="50"/>
        <v>94067105.723399967</v>
      </c>
      <c r="G1630" s="16">
        <f>IF(D1630=0,0,SUMIF(매도완료!$J:$J,Sheet2!$B1630,매도완료!$S:$S))+IF(D1630=0,0,SUMIF(ING!$J:$J,Sheet2!$B1630,ING!$S:$S))</f>
        <v>111715</v>
      </c>
      <c r="H1630" s="16">
        <f t="shared" si="51"/>
        <v>21151427.124993015</v>
      </c>
    </row>
    <row r="1631" spans="2:8" hidden="1" x14ac:dyDescent="0.4">
      <c r="B1631" s="1">
        <v>44180</v>
      </c>
      <c r="C1631" s="16">
        <f>SUMIF(매도완료!$G:$G,Sheet2!$B1631,매도완료!$P:$P)+SUMIF(ING!$G:$G,Sheet2!$B1631,ING!$P:$P)</f>
        <v>2297500</v>
      </c>
      <c r="D1631" s="16">
        <f>SUMIF(매도완료!$J:$J,Sheet2!$B1631,매도완료!$P:$P)+SUMIF(ING!$J:$J,Sheet2!$B1631,ING!$P:$P)</f>
        <v>0</v>
      </c>
      <c r="E1631" s="16">
        <f t="shared" si="50"/>
        <v>96364605.723399967</v>
      </c>
      <c r="G1631" s="16">
        <f>IF(D1631=0,0,SUMIF(매도완료!$J:$J,Sheet2!$B1631,매도완료!$S:$S))+IF(D1631=0,0,SUMIF(ING!$J:$J,Sheet2!$B1631,ING!$S:$S))</f>
        <v>0</v>
      </c>
      <c r="H1631" s="16">
        <f t="shared" si="51"/>
        <v>21151427.124993015</v>
      </c>
    </row>
    <row r="1632" spans="2:8" hidden="1" x14ac:dyDescent="0.4">
      <c r="B1632" s="1">
        <v>44181</v>
      </c>
      <c r="C1632" s="16">
        <f>SUMIF(매도완료!$G:$G,Sheet2!$B1632,매도완료!$P:$P)+SUMIF(ING!$G:$G,Sheet2!$B1632,ING!$P:$P)</f>
        <v>4691247.3000000007</v>
      </c>
      <c r="D1632" s="16">
        <f>SUMIF(매도완료!$J:$J,Sheet2!$B1632,매도완료!$P:$P)+SUMIF(ING!$J:$J,Sheet2!$B1632,ING!$P:$P)</f>
        <v>12595000</v>
      </c>
      <c r="E1632" s="16">
        <f t="shared" si="50"/>
        <v>88460853.023399964</v>
      </c>
      <c r="G1632" s="16">
        <f>IF(D1632=0,0,SUMIF(매도완료!$J:$J,Sheet2!$B1632,매도완료!$S:$S))+IF(D1632=0,0,SUMIF(ING!$J:$J,Sheet2!$B1632,ING!$S:$S))</f>
        <v>451850</v>
      </c>
      <c r="H1632" s="16">
        <f t="shared" si="51"/>
        <v>21603277.124993015</v>
      </c>
    </row>
    <row r="1633" spans="2:9" hidden="1" x14ac:dyDescent="0.4">
      <c r="B1633" s="1">
        <v>44182</v>
      </c>
      <c r="C1633" s="16">
        <f>SUMIF(매도완료!$G:$G,Sheet2!$B1633,매도완료!$P:$P)+SUMIF(ING!$G:$G,Sheet2!$B1633,ING!$P:$P)</f>
        <v>9978000</v>
      </c>
      <c r="D1633" s="16">
        <f>SUMIF(매도완료!$J:$J,Sheet2!$B1633,매도완료!$P:$P)+SUMIF(ING!$J:$J,Sheet2!$B1633,ING!$P:$P)</f>
        <v>775600</v>
      </c>
      <c r="E1633" s="16">
        <f t="shared" si="50"/>
        <v>97663253.023399964</v>
      </c>
      <c r="G1633" s="16">
        <f>IF(D1633=0,0,SUMIF(매도완료!$J:$J,Sheet2!$B1633,매도완료!$S:$S))+IF(D1633=0,0,SUMIF(ING!$J:$J,Sheet2!$B1633,ING!$S:$S))</f>
        <v>79816</v>
      </c>
      <c r="H1633" s="16">
        <f t="shared" si="51"/>
        <v>21683093.124993015</v>
      </c>
    </row>
    <row r="1634" spans="2:9" hidden="1" x14ac:dyDescent="0.4">
      <c r="B1634" s="1">
        <v>44183</v>
      </c>
      <c r="C1634" s="16">
        <f>SUMIF(매도완료!$G:$G,Sheet2!$B1634,매도완료!$P:$P)+SUMIF(ING!$G:$G,Sheet2!$B1634,ING!$P:$P)</f>
        <v>2460000</v>
      </c>
      <c r="D1634" s="16">
        <f>SUMIF(매도완료!$J:$J,Sheet2!$B1634,매도완료!$P:$P)+SUMIF(ING!$J:$J,Sheet2!$B1634,ING!$P:$P)</f>
        <v>1624788.0000000002</v>
      </c>
      <c r="E1634" s="16">
        <f t="shared" si="50"/>
        <v>98498465.023399964</v>
      </c>
      <c r="G1634" s="16">
        <f>IF(D1634=0,0,SUMIF(매도완료!$J:$J,Sheet2!$B1634,매도완료!$S:$S))+IF(D1634=0,0,SUMIF(ING!$J:$J,Sheet2!$B1634,ING!$S:$S))</f>
        <v>1252773.0929999999</v>
      </c>
      <c r="H1634" s="16">
        <f t="shared" si="51"/>
        <v>22935866.217993014</v>
      </c>
    </row>
    <row r="1635" spans="2:9" hidden="1" x14ac:dyDescent="0.4">
      <c r="B1635" s="1">
        <v>44184</v>
      </c>
      <c r="C1635" s="16">
        <f>SUMIF(매도완료!$G:$G,Sheet2!$B1635,매도완료!$P:$P)+SUMIF(ING!$G:$G,Sheet2!$B1635,ING!$P:$P)</f>
        <v>0</v>
      </c>
      <c r="D1635" s="16">
        <f>SUMIF(매도완료!$J:$J,Sheet2!$B1635,매도완료!$P:$P)+SUMIF(ING!$J:$J,Sheet2!$B1635,ING!$P:$P)</f>
        <v>0</v>
      </c>
      <c r="E1635" s="16">
        <f t="shared" si="50"/>
        <v>98498465.023399964</v>
      </c>
      <c r="G1635" s="16">
        <f>IF(D1635=0,0,SUMIF(매도완료!$J:$J,Sheet2!$B1635,매도완료!$S:$S))+IF(D1635=0,0,SUMIF(ING!$J:$J,Sheet2!$B1635,ING!$S:$S))</f>
        <v>0</v>
      </c>
      <c r="H1635" s="16">
        <f t="shared" si="51"/>
        <v>22935866.217993014</v>
      </c>
    </row>
    <row r="1636" spans="2:9" hidden="1" x14ac:dyDescent="0.4">
      <c r="B1636" s="1">
        <v>44185</v>
      </c>
      <c r="C1636" s="16">
        <f>SUMIF(매도완료!$G:$G,Sheet2!$B1636,매도완료!$P:$P)+SUMIF(ING!$G:$G,Sheet2!$B1636,ING!$P:$P)</f>
        <v>0</v>
      </c>
      <c r="D1636" s="16">
        <f>SUMIF(매도완료!$J:$J,Sheet2!$B1636,매도완료!$P:$P)+SUMIF(ING!$J:$J,Sheet2!$B1636,ING!$P:$P)</f>
        <v>0</v>
      </c>
      <c r="E1636" s="16">
        <f t="shared" si="50"/>
        <v>98498465.023399964</v>
      </c>
      <c r="G1636" s="16">
        <f>IF(D1636=0,0,SUMIF(매도완료!$J:$J,Sheet2!$B1636,매도완료!$S:$S))+IF(D1636=0,0,SUMIF(ING!$J:$J,Sheet2!$B1636,ING!$S:$S))</f>
        <v>0</v>
      </c>
      <c r="H1636" s="16">
        <f t="shared" si="51"/>
        <v>22935866.217993014</v>
      </c>
    </row>
    <row r="1637" spans="2:9" hidden="1" x14ac:dyDescent="0.4">
      <c r="B1637" s="1">
        <v>44186</v>
      </c>
      <c r="C1637" s="16">
        <f>SUMIF(매도완료!$G:$G,Sheet2!$B1637,매도완료!$P:$P)+SUMIF(ING!$G:$G,Sheet2!$B1637,ING!$P:$P)</f>
        <v>2646000</v>
      </c>
      <c r="D1637" s="16">
        <f>SUMIF(매도완료!$J:$J,Sheet2!$B1637,매도완료!$P:$P)+SUMIF(ING!$J:$J,Sheet2!$B1637,ING!$P:$P)</f>
        <v>8458000</v>
      </c>
      <c r="E1637" s="16">
        <f t="shared" si="50"/>
        <v>92686465.023399964</v>
      </c>
      <c r="G1637" s="16">
        <f>IF(D1637=0,0,SUMIF(매도완료!$J:$J,Sheet2!$B1637,매도완료!$S:$S))+IF(D1637=0,0,SUMIF(ING!$J:$J,Sheet2!$B1637,ING!$S:$S))</f>
        <v>-625052.85</v>
      </c>
      <c r="H1637" s="16">
        <f t="shared" si="51"/>
        <v>22310813.367993012</v>
      </c>
    </row>
    <row r="1638" spans="2:9" hidden="1" x14ac:dyDescent="0.4">
      <c r="B1638" s="1">
        <v>44187</v>
      </c>
      <c r="C1638" s="16">
        <f>SUMIF(매도완료!$G:$G,Sheet2!$B1638,매도완료!$P:$P)+SUMIF(ING!$G:$G,Sheet2!$B1638,ING!$P:$P)</f>
        <v>5827100</v>
      </c>
      <c r="D1638" s="16">
        <f>SUMIF(매도완료!$J:$J,Sheet2!$B1638,매도완료!$P:$P)+SUMIF(ING!$J:$J,Sheet2!$B1638,ING!$P:$P)</f>
        <v>0</v>
      </c>
      <c r="E1638" s="16">
        <f t="shared" si="50"/>
        <v>98513565.023399964</v>
      </c>
      <c r="G1638" s="16">
        <f>IF(D1638=0,0,SUMIF(매도완료!$J:$J,Sheet2!$B1638,매도완료!$S:$S))+IF(D1638=0,0,SUMIF(ING!$J:$J,Sheet2!$B1638,ING!$S:$S))</f>
        <v>0</v>
      </c>
      <c r="H1638" s="16">
        <f t="shared" si="51"/>
        <v>22310813.367993012</v>
      </c>
    </row>
    <row r="1639" spans="2:9" hidden="1" x14ac:dyDescent="0.4">
      <c r="B1639" s="1">
        <v>44188</v>
      </c>
      <c r="C1639" s="16">
        <f>SUMIF(매도완료!$G:$G,Sheet2!$B1639,매도완료!$P:$P)+SUMIF(ING!$G:$G,Sheet2!$B1639,ING!$P:$P)</f>
        <v>0</v>
      </c>
      <c r="D1639" s="16">
        <f>SUMIF(매도완료!$J:$J,Sheet2!$B1639,매도완료!$P:$P)+SUMIF(ING!$J:$J,Sheet2!$B1639,ING!$P:$P)</f>
        <v>0</v>
      </c>
      <c r="E1639" s="16">
        <f t="shared" si="50"/>
        <v>98513565.023399964</v>
      </c>
      <c r="G1639" s="16">
        <f>IF(D1639=0,0,SUMIF(매도완료!$J:$J,Sheet2!$B1639,매도완료!$S:$S))+IF(D1639=0,0,SUMIF(ING!$J:$J,Sheet2!$B1639,ING!$S:$S))</f>
        <v>0</v>
      </c>
      <c r="H1639" s="16">
        <f t="shared" si="51"/>
        <v>22310813.367993012</v>
      </c>
    </row>
    <row r="1640" spans="2:9" hidden="1" x14ac:dyDescent="0.4">
      <c r="B1640" s="1">
        <v>44189</v>
      </c>
      <c r="C1640" s="16">
        <f>SUMIF(매도완료!$G:$G,Sheet2!$B1640,매도완료!$P:$P)+SUMIF(ING!$G:$G,Sheet2!$B1640,ING!$P:$P)</f>
        <v>374000</v>
      </c>
      <c r="D1640" s="16">
        <f>SUMIF(매도완료!$J:$J,Sheet2!$B1640,매도완료!$P:$P)+SUMIF(ING!$J:$J,Sheet2!$B1640,ING!$P:$P)</f>
        <v>3147500</v>
      </c>
      <c r="E1640" s="16">
        <f t="shared" si="50"/>
        <v>95740065.023399964</v>
      </c>
      <c r="G1640" s="16">
        <f>IF(D1640=0,0,SUMIF(매도완료!$J:$J,Sheet2!$B1640,매도완료!$S:$S))+IF(D1640=0,0,SUMIF(ING!$J:$J,Sheet2!$B1640,ING!$S:$S))</f>
        <v>-102322.5</v>
      </c>
      <c r="H1640" s="16">
        <f t="shared" si="51"/>
        <v>22208490.867993012</v>
      </c>
    </row>
    <row r="1641" spans="2:9" hidden="1" x14ac:dyDescent="0.4">
      <c r="B1641" s="1">
        <v>44190</v>
      </c>
      <c r="C1641" s="16">
        <f>SUMIF(매도완료!$G:$G,Sheet2!$B1641,매도완료!$P:$P)+SUMIF(ING!$G:$G,Sheet2!$B1641,ING!$P:$P)</f>
        <v>0</v>
      </c>
      <c r="D1641" s="16">
        <f>SUMIF(매도완료!$J:$J,Sheet2!$B1641,매도완료!$P:$P)+SUMIF(ING!$J:$J,Sheet2!$B1641,ING!$P:$P)</f>
        <v>0</v>
      </c>
      <c r="E1641" s="16">
        <f t="shared" si="50"/>
        <v>95740065.023399964</v>
      </c>
      <c r="G1641" s="16">
        <f>IF(D1641=0,0,SUMIF(매도완료!$J:$J,Sheet2!$B1641,매도완료!$S:$S))+IF(D1641=0,0,SUMIF(ING!$J:$J,Sheet2!$B1641,ING!$S:$S))</f>
        <v>0</v>
      </c>
      <c r="H1641" s="16">
        <f t="shared" si="51"/>
        <v>22208490.867993012</v>
      </c>
    </row>
    <row r="1642" spans="2:9" hidden="1" x14ac:dyDescent="0.4">
      <c r="B1642" s="1">
        <v>44191</v>
      </c>
      <c r="C1642" s="16">
        <f>SUMIF(매도완료!$G:$G,Sheet2!$B1642,매도완료!$P:$P)+SUMIF(ING!$G:$G,Sheet2!$B1642,ING!$P:$P)</f>
        <v>0</v>
      </c>
      <c r="D1642" s="16">
        <f>SUMIF(매도완료!$J:$J,Sheet2!$B1642,매도완료!$P:$P)+SUMIF(ING!$J:$J,Sheet2!$B1642,ING!$P:$P)</f>
        <v>0</v>
      </c>
      <c r="E1642" s="16">
        <f t="shared" si="50"/>
        <v>95740065.023399964</v>
      </c>
      <c r="G1642" s="16">
        <f>IF(D1642=0,0,SUMIF(매도완료!$J:$J,Sheet2!$B1642,매도완료!$S:$S))+IF(D1642=0,0,SUMIF(ING!$J:$J,Sheet2!$B1642,ING!$S:$S))</f>
        <v>0</v>
      </c>
      <c r="H1642" s="16">
        <f t="shared" si="51"/>
        <v>22208490.867993012</v>
      </c>
    </row>
    <row r="1643" spans="2:9" hidden="1" x14ac:dyDescent="0.4">
      <c r="B1643" s="1">
        <v>44192</v>
      </c>
      <c r="C1643" s="16">
        <f>SUMIF(매도완료!$G:$G,Sheet2!$B1643,매도완료!$P:$P)+SUMIF(ING!$G:$G,Sheet2!$B1643,ING!$P:$P)</f>
        <v>0</v>
      </c>
      <c r="D1643" s="16">
        <f>SUMIF(매도완료!$J:$J,Sheet2!$B1643,매도완료!$P:$P)+SUMIF(ING!$J:$J,Sheet2!$B1643,ING!$P:$P)</f>
        <v>0</v>
      </c>
      <c r="E1643" s="16">
        <f t="shared" si="50"/>
        <v>95740065.023399964</v>
      </c>
      <c r="G1643" s="16">
        <f>IF(D1643=0,0,SUMIF(매도완료!$J:$J,Sheet2!$B1643,매도완료!$S:$S))+IF(D1643=0,0,SUMIF(ING!$J:$J,Sheet2!$B1643,ING!$S:$S))</f>
        <v>0</v>
      </c>
      <c r="H1643" s="16">
        <f t="shared" si="51"/>
        <v>22208490.867993012</v>
      </c>
    </row>
    <row r="1644" spans="2:9" hidden="1" x14ac:dyDescent="0.4">
      <c r="B1644" s="1">
        <v>44193</v>
      </c>
      <c r="C1644" s="16">
        <f>SUMIF(매도완료!$G:$G,Sheet2!$B1644,매도완료!$P:$P)+SUMIF(ING!$G:$G,Sheet2!$B1644,ING!$P:$P)</f>
        <v>4234440</v>
      </c>
      <c r="D1644" s="16">
        <f>SUMIF(매도완료!$J:$J,Sheet2!$B1644,매도완료!$P:$P)+SUMIF(ING!$J:$J,Sheet2!$B1644,ING!$P:$P)</f>
        <v>0</v>
      </c>
      <c r="E1644" s="16">
        <f t="shared" si="50"/>
        <v>99974505.023399964</v>
      </c>
      <c r="G1644" s="16">
        <f>IF(D1644=0,0,SUMIF(매도완료!$J:$J,Sheet2!$B1644,매도완료!$S:$S))+IF(D1644=0,0,SUMIF(ING!$J:$J,Sheet2!$B1644,ING!$S:$S))</f>
        <v>0</v>
      </c>
      <c r="H1644" s="16">
        <f t="shared" si="51"/>
        <v>22208490.867993012</v>
      </c>
    </row>
    <row r="1645" spans="2:9" hidden="1" x14ac:dyDescent="0.4">
      <c r="B1645" s="1">
        <v>44194</v>
      </c>
      <c r="C1645" s="16">
        <f>SUMIF(매도완료!$G:$G,Sheet2!$B1645,매도완료!$P:$P)+SUMIF(ING!$G:$G,Sheet2!$B1645,ING!$P:$P)</f>
        <v>1850000</v>
      </c>
      <c r="D1645" s="16">
        <f>SUMIF(매도완료!$J:$J,Sheet2!$B1645,매도완료!$P:$P)+SUMIF(ING!$J:$J,Sheet2!$B1645,ING!$P:$P)</f>
        <v>3461400</v>
      </c>
      <c r="E1645" s="16">
        <f t="shared" si="50"/>
        <v>98363105.023399964</v>
      </c>
      <c r="G1645" s="16">
        <f>IF(D1645=0,0,SUMIF(매도완료!$J:$J,Sheet2!$B1645,매도완료!$S:$S))+IF(D1645=0,0,SUMIF(ING!$J:$J,Sheet2!$B1645,ING!$S:$S))</f>
        <v>400798.3</v>
      </c>
      <c r="H1645" s="16">
        <f t="shared" si="51"/>
        <v>22609289.167993013</v>
      </c>
    </row>
    <row r="1646" spans="2:9" hidden="1" x14ac:dyDescent="0.4">
      <c r="B1646" s="1">
        <v>44195</v>
      </c>
      <c r="C1646" s="16">
        <f>SUMIF(매도완료!$G:$G,Sheet2!$B1646,매도완료!$P:$P)+SUMIF(ING!$G:$G,Sheet2!$B1646,ING!$P:$P)</f>
        <v>0</v>
      </c>
      <c r="D1646" s="16">
        <f>SUMIF(매도완료!$J:$J,Sheet2!$B1646,매도완료!$P:$P)+SUMIF(ING!$J:$J,Sheet2!$B1646,ING!$P:$P)</f>
        <v>0</v>
      </c>
      <c r="E1646" s="16">
        <f t="shared" si="50"/>
        <v>98363105.023399964</v>
      </c>
      <c r="G1646" s="16">
        <f>IF(D1646=0,0,SUMIF(매도완료!$J:$J,Sheet2!$B1646,매도완료!$S:$S))+IF(D1646=0,0,SUMIF(ING!$J:$J,Sheet2!$B1646,ING!$S:$S))</f>
        <v>0</v>
      </c>
      <c r="H1646" s="16">
        <f t="shared" si="51"/>
        <v>22609289.167993013</v>
      </c>
    </row>
    <row r="1647" spans="2:9" hidden="1" x14ac:dyDescent="0.4">
      <c r="B1647" s="1">
        <v>44196</v>
      </c>
      <c r="C1647" s="16">
        <f>SUMIF(매도완료!$G:$G,Sheet2!$B1647,매도완료!$P:$P)+SUMIF(ING!$G:$G,Sheet2!$B1647,ING!$P:$P)</f>
        <v>0</v>
      </c>
      <c r="D1647" s="16">
        <f>SUMIF(매도완료!$J:$J,Sheet2!$B1647,매도완료!$P:$P)+SUMIF(ING!$J:$J,Sheet2!$B1647,ING!$P:$P)</f>
        <v>0</v>
      </c>
      <c r="E1647" s="16">
        <f t="shared" si="50"/>
        <v>98363105.023399964</v>
      </c>
      <c r="G1647" s="16">
        <f>IF(D1647=0,0,SUMIF(매도완료!$J:$J,Sheet2!$B1647,매도완료!$S:$S))+IF(D1647=0,0,SUMIF(ING!$J:$J,Sheet2!$B1647,ING!$S:$S))</f>
        <v>0</v>
      </c>
      <c r="H1647" s="16">
        <f t="shared" si="51"/>
        <v>22609289.167993013</v>
      </c>
      <c r="I1647" s="16">
        <f>H1647-H1281</f>
        <v>16071065.285993012</v>
      </c>
    </row>
    <row r="1648" spans="2:9" x14ac:dyDescent="0.4">
      <c r="B1648" s="1">
        <v>44197</v>
      </c>
      <c r="C1648" s="16">
        <f>SUMIF(매도완료!$G:$G,Sheet2!$B1648,매도완료!$P:$P)+SUMIF(ING!$G:$G,Sheet2!$B1648,ING!$P:$P)</f>
        <v>0</v>
      </c>
      <c r="D1648" s="16">
        <f>SUMIF(매도완료!$J:$J,Sheet2!$B1648,매도완료!$P:$P)+SUMIF(ING!$J:$J,Sheet2!$B1648,ING!$P:$P)</f>
        <v>0</v>
      </c>
      <c r="E1648" s="16">
        <f t="shared" si="50"/>
        <v>98363105.023399964</v>
      </c>
      <c r="G1648" s="16">
        <f>IF(D1648=0,0,SUMIF(매도완료!$J:$J,Sheet2!$B1648,매도완료!$S:$S))+IF(D1648=0,0,SUMIF(ING!$J:$J,Sheet2!$B1648,ING!$S:$S))</f>
        <v>0</v>
      </c>
      <c r="H1648" s="16">
        <f t="shared" si="51"/>
        <v>22609289.167993013</v>
      </c>
    </row>
    <row r="1649" spans="2:8" hidden="1" x14ac:dyDescent="0.4">
      <c r="B1649" s="1">
        <v>44198</v>
      </c>
      <c r="C1649" s="16">
        <f>SUMIF(매도완료!$G:$G,Sheet2!$B1649,매도완료!$P:$P)+SUMIF(ING!$G:$G,Sheet2!$B1649,ING!$P:$P)</f>
        <v>0</v>
      </c>
      <c r="D1649" s="16">
        <f>SUMIF(매도완료!$J:$J,Sheet2!$B1649,매도완료!$P:$P)+SUMIF(ING!$J:$J,Sheet2!$B1649,ING!$P:$P)</f>
        <v>0</v>
      </c>
      <c r="E1649" s="16">
        <f t="shared" si="50"/>
        <v>98363105.023399964</v>
      </c>
      <c r="G1649" s="16">
        <f>IF(D1649=0,0,SUMIF(매도완료!$J:$J,Sheet2!$B1649,매도완료!$S:$S))+IF(D1649=0,0,SUMIF(ING!$J:$J,Sheet2!$B1649,ING!$S:$S))</f>
        <v>0</v>
      </c>
      <c r="H1649" s="16">
        <f t="shared" si="51"/>
        <v>22609289.167993013</v>
      </c>
    </row>
    <row r="1650" spans="2:8" hidden="1" x14ac:dyDescent="0.4">
      <c r="B1650" s="1">
        <v>44199</v>
      </c>
      <c r="C1650" s="16">
        <f>SUMIF(매도완료!$G:$G,Sheet2!$B1650,매도완료!$P:$P)+SUMIF(ING!$G:$G,Sheet2!$B1650,ING!$P:$P)</f>
        <v>0</v>
      </c>
      <c r="D1650" s="16">
        <f>SUMIF(매도완료!$J:$J,Sheet2!$B1650,매도완료!$P:$P)+SUMIF(ING!$J:$J,Sheet2!$B1650,ING!$P:$P)</f>
        <v>0</v>
      </c>
      <c r="E1650" s="16">
        <f t="shared" si="50"/>
        <v>98363105.023399964</v>
      </c>
      <c r="G1650" s="16">
        <f>IF(D1650=0,0,SUMIF(매도완료!$J:$J,Sheet2!$B1650,매도완료!$S:$S))+IF(D1650=0,0,SUMIF(ING!$J:$J,Sheet2!$B1650,ING!$S:$S))</f>
        <v>0</v>
      </c>
      <c r="H1650" s="16">
        <f t="shared" si="51"/>
        <v>22609289.167993013</v>
      </c>
    </row>
    <row r="1651" spans="2:8" hidden="1" x14ac:dyDescent="0.4">
      <c r="B1651" s="1">
        <v>44200</v>
      </c>
      <c r="C1651" s="16">
        <f>SUMIF(매도완료!$G:$G,Sheet2!$B1651,매도완료!$P:$P)+SUMIF(ING!$G:$G,Sheet2!$B1651,ING!$P:$P)</f>
        <v>0</v>
      </c>
      <c r="D1651" s="16">
        <f>SUMIF(매도완료!$J:$J,Sheet2!$B1651,매도완료!$P:$P)+SUMIF(ING!$J:$J,Sheet2!$B1651,ING!$P:$P)</f>
        <v>2092000</v>
      </c>
      <c r="E1651" s="16">
        <f t="shared" si="50"/>
        <v>96271105.023399964</v>
      </c>
      <c r="G1651" s="16">
        <f>IF(D1651=0,0,SUMIF(매도완료!$J:$J,Sheet2!$B1651,매도완료!$S:$S))+IF(D1651=0,0,SUMIF(ING!$J:$J,Sheet2!$B1651,ING!$S:$S))</f>
        <v>159541.08000000002</v>
      </c>
      <c r="H1651" s="16">
        <f t="shared" si="51"/>
        <v>22768830.247993011</v>
      </c>
    </row>
    <row r="1652" spans="2:8" hidden="1" x14ac:dyDescent="0.4">
      <c r="B1652" s="1">
        <v>44201</v>
      </c>
      <c r="C1652" s="16">
        <f>SUMIF(매도완료!$G:$G,Sheet2!$B1652,매도완료!$P:$P)+SUMIF(ING!$G:$G,Sheet2!$B1652,ING!$P:$P)</f>
        <v>4245000</v>
      </c>
      <c r="D1652" s="16">
        <f>SUMIF(매도완료!$J:$J,Sheet2!$B1652,매도완료!$P:$P)+SUMIF(ING!$J:$J,Sheet2!$B1652,ING!$P:$P)</f>
        <v>0</v>
      </c>
      <c r="E1652" s="16">
        <f t="shared" si="50"/>
        <v>100516105.02339996</v>
      </c>
      <c r="G1652" s="16">
        <f>IF(D1652=0,0,SUMIF(매도완료!$J:$J,Sheet2!$B1652,매도완료!$S:$S))+IF(D1652=0,0,SUMIF(ING!$J:$J,Sheet2!$B1652,ING!$S:$S))</f>
        <v>0</v>
      </c>
      <c r="H1652" s="16">
        <f t="shared" si="51"/>
        <v>22768830.247993011</v>
      </c>
    </row>
    <row r="1653" spans="2:8" hidden="1" x14ac:dyDescent="0.4">
      <c r="B1653" s="1">
        <v>44202</v>
      </c>
      <c r="C1653" s="16">
        <f>SUMIF(매도완료!$G:$G,Sheet2!$B1653,매도완료!$P:$P)+SUMIF(ING!$G:$G,Sheet2!$B1653,ING!$P:$P)</f>
        <v>7503028.4399999995</v>
      </c>
      <c r="D1653" s="16">
        <f>SUMIF(매도완료!$J:$J,Sheet2!$B1653,매도완료!$P:$P)+SUMIF(ING!$J:$J,Sheet2!$B1653,ING!$P:$P)</f>
        <v>4518300</v>
      </c>
      <c r="E1653" s="16">
        <f t="shared" si="50"/>
        <v>103500833.46339996</v>
      </c>
      <c r="G1653" s="16">
        <f>IF(D1653=0,0,SUMIF(매도완료!$J:$J,Sheet2!$B1653,매도완료!$S:$S))+IF(D1653=0,0,SUMIF(ING!$J:$J,Sheet2!$B1653,ING!$S:$S))</f>
        <v>654484.5</v>
      </c>
      <c r="H1653" s="16">
        <f t="shared" si="51"/>
        <v>23423314.747993011</v>
      </c>
    </row>
    <row r="1654" spans="2:8" hidden="1" x14ac:dyDescent="0.4">
      <c r="B1654" s="1">
        <v>44203</v>
      </c>
      <c r="C1654" s="16">
        <f>SUMIF(매도완료!$G:$G,Sheet2!$B1654,매도완료!$P:$P)+SUMIF(ING!$G:$G,Sheet2!$B1654,ING!$P:$P)</f>
        <v>0</v>
      </c>
      <c r="D1654" s="16">
        <f>SUMIF(매도완료!$J:$J,Sheet2!$B1654,매도완료!$P:$P)+SUMIF(ING!$J:$J,Sheet2!$B1654,ING!$P:$P)</f>
        <v>0</v>
      </c>
      <c r="E1654" s="16">
        <f t="shared" si="50"/>
        <v>103500833.46339996</v>
      </c>
      <c r="G1654" s="16">
        <f>IF(D1654=0,0,SUMIF(매도완료!$J:$J,Sheet2!$B1654,매도완료!$S:$S))+IF(D1654=0,0,SUMIF(ING!$J:$J,Sheet2!$B1654,ING!$S:$S))</f>
        <v>0</v>
      </c>
      <c r="H1654" s="16">
        <f t="shared" si="51"/>
        <v>23423314.747993011</v>
      </c>
    </row>
    <row r="1655" spans="2:8" hidden="1" x14ac:dyDescent="0.4">
      <c r="B1655" s="1">
        <v>44204</v>
      </c>
      <c r="C1655" s="16">
        <f>SUMIF(매도완료!$G:$G,Sheet2!$B1655,매도완료!$P:$P)+SUMIF(ING!$G:$G,Sheet2!$B1655,ING!$P:$P)</f>
        <v>0</v>
      </c>
      <c r="D1655" s="16">
        <f>SUMIF(매도완료!$J:$J,Sheet2!$B1655,매도완료!$P:$P)+SUMIF(ING!$J:$J,Sheet2!$B1655,ING!$P:$P)</f>
        <v>0</v>
      </c>
      <c r="E1655" s="16">
        <f t="shared" si="50"/>
        <v>103500833.46339996</v>
      </c>
      <c r="G1655" s="16">
        <f>IF(D1655=0,0,SUMIF(매도완료!$J:$J,Sheet2!$B1655,매도완료!$S:$S))+IF(D1655=0,0,SUMIF(ING!$J:$J,Sheet2!$B1655,ING!$S:$S))</f>
        <v>0</v>
      </c>
      <c r="H1655" s="16">
        <f t="shared" si="51"/>
        <v>23423314.747993011</v>
      </c>
    </row>
    <row r="1656" spans="2:8" hidden="1" x14ac:dyDescent="0.4">
      <c r="B1656" s="1">
        <v>44205</v>
      </c>
      <c r="C1656" s="16">
        <f>SUMIF(매도완료!$G:$G,Sheet2!$B1656,매도완료!$P:$P)+SUMIF(ING!$G:$G,Sheet2!$B1656,ING!$P:$P)</f>
        <v>0</v>
      </c>
      <c r="D1656" s="16">
        <f>SUMIF(매도완료!$J:$J,Sheet2!$B1656,매도완료!$P:$P)+SUMIF(ING!$J:$J,Sheet2!$B1656,ING!$P:$P)</f>
        <v>0</v>
      </c>
      <c r="E1656" s="16">
        <f t="shared" si="50"/>
        <v>103500833.46339996</v>
      </c>
      <c r="G1656" s="16">
        <f>IF(D1656=0,0,SUMIF(매도완료!$J:$J,Sheet2!$B1656,매도완료!$S:$S))+IF(D1656=0,0,SUMIF(ING!$J:$J,Sheet2!$B1656,ING!$S:$S))</f>
        <v>0</v>
      </c>
      <c r="H1656" s="16">
        <f t="shared" si="51"/>
        <v>23423314.747993011</v>
      </c>
    </row>
    <row r="1657" spans="2:8" hidden="1" x14ac:dyDescent="0.4">
      <c r="B1657" s="1">
        <v>44206</v>
      </c>
      <c r="C1657" s="16">
        <f>SUMIF(매도완료!$G:$G,Sheet2!$B1657,매도완료!$P:$P)+SUMIF(ING!$G:$G,Sheet2!$B1657,ING!$P:$P)</f>
        <v>0</v>
      </c>
      <c r="D1657" s="16">
        <f>SUMIF(매도완료!$J:$J,Sheet2!$B1657,매도완료!$P:$P)+SUMIF(ING!$J:$J,Sheet2!$B1657,ING!$P:$P)</f>
        <v>0</v>
      </c>
      <c r="E1657" s="16">
        <f t="shared" si="50"/>
        <v>103500833.46339996</v>
      </c>
      <c r="G1657" s="16">
        <f>IF(D1657=0,0,SUMIF(매도완료!$J:$J,Sheet2!$B1657,매도완료!$S:$S))+IF(D1657=0,0,SUMIF(ING!$J:$J,Sheet2!$B1657,ING!$S:$S))</f>
        <v>0</v>
      </c>
      <c r="H1657" s="16">
        <f t="shared" si="51"/>
        <v>23423314.747993011</v>
      </c>
    </row>
    <row r="1658" spans="2:8" hidden="1" x14ac:dyDescent="0.4">
      <c r="B1658" s="1">
        <v>44207</v>
      </c>
      <c r="C1658" s="16">
        <f>SUMIF(매도완료!$G:$G,Sheet2!$B1658,매도완료!$P:$P)+SUMIF(ING!$G:$G,Sheet2!$B1658,ING!$P:$P)</f>
        <v>3045000</v>
      </c>
      <c r="D1658" s="16">
        <f>SUMIF(매도완료!$J:$J,Sheet2!$B1658,매도완료!$P:$P)+SUMIF(ING!$J:$J,Sheet2!$B1658,ING!$P:$P)</f>
        <v>4059100</v>
      </c>
      <c r="E1658" s="16">
        <f t="shared" si="50"/>
        <v>102486733.46339996</v>
      </c>
      <c r="G1658" s="16">
        <f>IF(D1658=0,0,SUMIF(매도완료!$J:$J,Sheet2!$B1658,매도완료!$S:$S))+IF(D1658=0,0,SUMIF(ING!$J:$J,Sheet2!$B1658,ING!$S:$S))</f>
        <v>1315442.7</v>
      </c>
      <c r="H1658" s="16">
        <f t="shared" si="51"/>
        <v>24738757.44799301</v>
      </c>
    </row>
    <row r="1659" spans="2:8" hidden="1" x14ac:dyDescent="0.4">
      <c r="B1659" s="1">
        <v>44208</v>
      </c>
      <c r="C1659" s="16">
        <f>SUMIF(매도완료!$G:$G,Sheet2!$B1659,매도완료!$P:$P)+SUMIF(ING!$G:$G,Sheet2!$B1659,ING!$P:$P)</f>
        <v>9500000</v>
      </c>
      <c r="D1659" s="16">
        <f>SUMIF(매도완료!$J:$J,Sheet2!$B1659,매도완료!$P:$P)+SUMIF(ING!$J:$J,Sheet2!$B1659,ING!$P:$P)</f>
        <v>8622000</v>
      </c>
      <c r="E1659" s="16">
        <f t="shared" si="50"/>
        <v>103364733.46339996</v>
      </c>
      <c r="G1659" s="16">
        <f>IF(D1659=0,0,SUMIF(매도완료!$J:$J,Sheet2!$B1659,매도완료!$S:$S))+IF(D1659=0,0,SUMIF(ING!$J:$J,Sheet2!$B1659,ING!$S:$S))</f>
        <v>1425260.56</v>
      </c>
      <c r="H1659" s="16">
        <f t="shared" si="51"/>
        <v>26164018.007993009</v>
      </c>
    </row>
    <row r="1660" spans="2:8" hidden="1" x14ac:dyDescent="0.4">
      <c r="B1660" s="1">
        <v>44209</v>
      </c>
      <c r="C1660" s="16">
        <f>SUMIF(매도완료!$G:$G,Sheet2!$B1660,매도완료!$P:$P)+SUMIF(ING!$G:$G,Sheet2!$B1660,ING!$P:$P)</f>
        <v>0</v>
      </c>
      <c r="D1660" s="16">
        <f>SUMIF(매도완료!$J:$J,Sheet2!$B1660,매도완료!$P:$P)+SUMIF(ING!$J:$J,Sheet2!$B1660,ING!$P:$P)</f>
        <v>4412233.3500000006</v>
      </c>
      <c r="E1660" s="16">
        <f t="shared" si="50"/>
        <v>98952500.113399968</v>
      </c>
      <c r="G1660" s="16">
        <f>IF(D1660=0,0,SUMIF(매도완료!$J:$J,Sheet2!$B1660,매도완료!$S:$S))+IF(D1660=0,0,SUMIF(ING!$J:$J,Sheet2!$B1660,ING!$S:$S))</f>
        <v>411263.30520000035</v>
      </c>
      <c r="H1660" s="16">
        <f t="shared" si="51"/>
        <v>26575281.313193008</v>
      </c>
    </row>
    <row r="1661" spans="2:8" hidden="1" x14ac:dyDescent="0.4">
      <c r="B1661" s="1">
        <v>44210</v>
      </c>
      <c r="C1661" s="16">
        <f>SUMIF(매도완료!$G:$G,Sheet2!$B1661,매도완료!$P:$P)+SUMIF(ING!$G:$G,Sheet2!$B1661,ING!$P:$P)</f>
        <v>0</v>
      </c>
      <c r="D1661" s="16">
        <f>SUMIF(매도완료!$J:$J,Sheet2!$B1661,매도완료!$P:$P)+SUMIF(ING!$J:$J,Sheet2!$B1661,ING!$P:$P)</f>
        <v>0</v>
      </c>
      <c r="E1661" s="16">
        <f t="shared" si="50"/>
        <v>98952500.113399968</v>
      </c>
      <c r="G1661" s="16">
        <f>IF(D1661=0,0,SUMIF(매도완료!$J:$J,Sheet2!$B1661,매도완료!$S:$S))+IF(D1661=0,0,SUMIF(ING!$J:$J,Sheet2!$B1661,ING!$S:$S))</f>
        <v>0</v>
      </c>
      <c r="H1661" s="16">
        <f t="shared" si="51"/>
        <v>26575281.313193008</v>
      </c>
    </row>
    <row r="1662" spans="2:8" hidden="1" x14ac:dyDescent="0.4">
      <c r="B1662" s="1">
        <v>44211</v>
      </c>
      <c r="C1662" s="16">
        <f>SUMIF(매도완료!$G:$G,Sheet2!$B1662,매도완료!$P:$P)+SUMIF(ING!$G:$G,Sheet2!$B1662,ING!$P:$P)</f>
        <v>0</v>
      </c>
      <c r="D1662" s="16">
        <f>SUMIF(매도완료!$J:$J,Sheet2!$B1662,매도완료!$P:$P)+SUMIF(ING!$J:$J,Sheet2!$B1662,ING!$P:$P)</f>
        <v>0</v>
      </c>
      <c r="E1662" s="16">
        <f t="shared" si="50"/>
        <v>98952500.113399968</v>
      </c>
      <c r="G1662" s="16">
        <f>IF(D1662=0,0,SUMIF(매도완료!$J:$J,Sheet2!$B1662,매도완료!$S:$S))+IF(D1662=0,0,SUMIF(ING!$J:$J,Sheet2!$B1662,ING!$S:$S))</f>
        <v>0</v>
      </c>
      <c r="H1662" s="16">
        <f t="shared" si="51"/>
        <v>26575281.313193008</v>
      </c>
    </row>
    <row r="1663" spans="2:8" hidden="1" x14ac:dyDescent="0.4">
      <c r="B1663" s="1">
        <v>44212</v>
      </c>
      <c r="C1663" s="16">
        <f>SUMIF(매도완료!$G:$G,Sheet2!$B1663,매도완료!$P:$P)+SUMIF(ING!$G:$G,Sheet2!$B1663,ING!$P:$P)</f>
        <v>0</v>
      </c>
      <c r="D1663" s="16">
        <f>SUMIF(매도완료!$J:$J,Sheet2!$B1663,매도완료!$P:$P)+SUMIF(ING!$J:$J,Sheet2!$B1663,ING!$P:$P)</f>
        <v>0</v>
      </c>
      <c r="E1663" s="16">
        <f t="shared" si="50"/>
        <v>98952500.113399968</v>
      </c>
      <c r="G1663" s="16">
        <f>IF(D1663=0,0,SUMIF(매도완료!$J:$J,Sheet2!$B1663,매도완료!$S:$S))+IF(D1663=0,0,SUMIF(ING!$J:$J,Sheet2!$B1663,ING!$S:$S))</f>
        <v>0</v>
      </c>
      <c r="H1663" s="16">
        <f t="shared" si="51"/>
        <v>26575281.313193008</v>
      </c>
    </row>
    <row r="1664" spans="2:8" hidden="1" x14ac:dyDescent="0.4">
      <c r="B1664" s="1">
        <v>44213</v>
      </c>
      <c r="C1664" s="16">
        <f>SUMIF(매도완료!$G:$G,Sheet2!$B1664,매도완료!$P:$P)+SUMIF(ING!$G:$G,Sheet2!$B1664,ING!$P:$P)</f>
        <v>0</v>
      </c>
      <c r="D1664" s="16">
        <f>SUMIF(매도완료!$J:$J,Sheet2!$B1664,매도완료!$P:$P)+SUMIF(ING!$J:$J,Sheet2!$B1664,ING!$P:$P)</f>
        <v>0</v>
      </c>
      <c r="E1664" s="16">
        <f t="shared" si="50"/>
        <v>98952500.113399968</v>
      </c>
      <c r="G1664" s="16">
        <f>IF(D1664=0,0,SUMIF(매도완료!$J:$J,Sheet2!$B1664,매도완료!$S:$S))+IF(D1664=0,0,SUMIF(ING!$J:$J,Sheet2!$B1664,ING!$S:$S))</f>
        <v>0</v>
      </c>
      <c r="H1664" s="16">
        <f t="shared" si="51"/>
        <v>26575281.313193008</v>
      </c>
    </row>
    <row r="1665" spans="2:8" hidden="1" x14ac:dyDescent="0.4">
      <c r="B1665" s="1">
        <v>44214</v>
      </c>
      <c r="C1665" s="16">
        <f>SUMIF(매도완료!$G:$G,Sheet2!$B1665,매도완료!$P:$P)+SUMIF(ING!$G:$G,Sheet2!$B1665,ING!$P:$P)</f>
        <v>0</v>
      </c>
      <c r="D1665" s="16">
        <f>SUMIF(매도완료!$J:$J,Sheet2!$B1665,매도완료!$P:$P)+SUMIF(ING!$J:$J,Sheet2!$B1665,ING!$P:$P)</f>
        <v>0</v>
      </c>
      <c r="E1665" s="16">
        <f t="shared" si="50"/>
        <v>98952500.113399968</v>
      </c>
      <c r="G1665" s="16">
        <f>IF(D1665=0,0,SUMIF(매도완료!$J:$J,Sheet2!$B1665,매도완료!$S:$S))+IF(D1665=0,0,SUMIF(ING!$J:$J,Sheet2!$B1665,ING!$S:$S))</f>
        <v>0</v>
      </c>
      <c r="H1665" s="16">
        <f t="shared" si="51"/>
        <v>26575281.313193008</v>
      </c>
    </row>
    <row r="1666" spans="2:8" hidden="1" x14ac:dyDescent="0.4">
      <c r="B1666" s="1">
        <v>44215</v>
      </c>
      <c r="C1666" s="16">
        <f>SUMIF(매도완료!$G:$G,Sheet2!$B1666,매도완료!$P:$P)+SUMIF(ING!$G:$G,Sheet2!$B1666,ING!$P:$P)</f>
        <v>0</v>
      </c>
      <c r="D1666" s="16">
        <f>SUMIF(매도완료!$J:$J,Sheet2!$B1666,매도완료!$P:$P)+SUMIF(ING!$J:$J,Sheet2!$B1666,ING!$P:$P)</f>
        <v>0</v>
      </c>
      <c r="E1666" s="16">
        <f t="shared" si="50"/>
        <v>98952500.113399968</v>
      </c>
      <c r="G1666" s="16">
        <f>IF(D1666=0,0,SUMIF(매도완료!$J:$J,Sheet2!$B1666,매도완료!$S:$S))+IF(D1666=0,0,SUMIF(ING!$J:$J,Sheet2!$B1666,ING!$S:$S))</f>
        <v>0</v>
      </c>
      <c r="H1666" s="16">
        <f t="shared" si="51"/>
        <v>26575281.313193008</v>
      </c>
    </row>
    <row r="1667" spans="2:8" hidden="1" x14ac:dyDescent="0.4">
      <c r="B1667" s="1">
        <v>44216</v>
      </c>
      <c r="C1667" s="16">
        <f>SUMIF(매도완료!$G:$G,Sheet2!$B1667,매도완료!$P:$P)+SUMIF(ING!$G:$G,Sheet2!$B1667,ING!$P:$P)</f>
        <v>2764800</v>
      </c>
      <c r="D1667" s="16">
        <f>SUMIF(매도완료!$J:$J,Sheet2!$B1667,매도완료!$P:$P)+SUMIF(ING!$J:$J,Sheet2!$B1667,ING!$P:$P)</f>
        <v>0</v>
      </c>
      <c r="E1667" s="16">
        <f t="shared" si="50"/>
        <v>101717300.11339997</v>
      </c>
      <c r="G1667" s="16">
        <f>IF(D1667=0,0,SUMIF(매도완료!$J:$J,Sheet2!$B1667,매도완료!$S:$S))+IF(D1667=0,0,SUMIF(ING!$J:$J,Sheet2!$B1667,ING!$S:$S))</f>
        <v>0</v>
      </c>
      <c r="H1667" s="16">
        <f t="shared" si="51"/>
        <v>26575281.313193008</v>
      </c>
    </row>
    <row r="1668" spans="2:8" hidden="1" x14ac:dyDescent="0.4">
      <c r="B1668" s="1">
        <v>44217</v>
      </c>
      <c r="C1668" s="16">
        <f>SUMIF(매도완료!$G:$G,Sheet2!$B1668,매도완료!$P:$P)+SUMIF(ING!$G:$G,Sheet2!$B1668,ING!$P:$P)</f>
        <v>0</v>
      </c>
      <c r="D1668" s="16">
        <f>SUMIF(매도완료!$J:$J,Sheet2!$B1668,매도완료!$P:$P)+SUMIF(ING!$J:$J,Sheet2!$B1668,ING!$P:$P)</f>
        <v>1374000</v>
      </c>
      <c r="E1668" s="16">
        <f t="shared" ref="E1668:E1731" si="52">E1667+C1668-D1668</f>
        <v>100343300.11339997</v>
      </c>
      <c r="G1668" s="16">
        <f>IF(D1668=0,0,SUMIF(매도완료!$J:$J,Sheet2!$B1668,매도완료!$S:$S))+IF(D1668=0,0,SUMIF(ING!$J:$J,Sheet2!$B1668,ING!$S:$S))</f>
        <v>267195.2</v>
      </c>
      <c r="H1668" s="16">
        <f t="shared" ref="H1668:H1731" si="53">H1667+G1668</f>
        <v>26842476.513193008</v>
      </c>
    </row>
    <row r="1669" spans="2:8" hidden="1" x14ac:dyDescent="0.4">
      <c r="B1669" s="1">
        <v>44218</v>
      </c>
      <c r="C1669" s="16">
        <f>SUMIF(매도완료!$G:$G,Sheet2!$B1669,매도완료!$P:$P)+SUMIF(ING!$G:$G,Sheet2!$B1669,ING!$P:$P)</f>
        <v>0</v>
      </c>
      <c r="D1669" s="16">
        <f>SUMIF(매도완료!$J:$J,Sheet2!$B1669,매도완료!$P:$P)+SUMIF(ING!$J:$J,Sheet2!$B1669,ING!$P:$P)</f>
        <v>0</v>
      </c>
      <c r="E1669" s="16">
        <f t="shared" si="52"/>
        <v>100343300.11339997</v>
      </c>
      <c r="G1669" s="16">
        <f>IF(D1669=0,0,SUMIF(매도완료!$J:$J,Sheet2!$B1669,매도완료!$S:$S))+IF(D1669=0,0,SUMIF(ING!$J:$J,Sheet2!$B1669,ING!$S:$S))</f>
        <v>0</v>
      </c>
      <c r="H1669" s="16">
        <f t="shared" si="53"/>
        <v>26842476.513193008</v>
      </c>
    </row>
    <row r="1670" spans="2:8" hidden="1" x14ac:dyDescent="0.4">
      <c r="B1670" s="1">
        <v>44219</v>
      </c>
      <c r="C1670" s="16">
        <f>SUMIF(매도완료!$G:$G,Sheet2!$B1670,매도완료!$P:$P)+SUMIF(ING!$G:$G,Sheet2!$B1670,ING!$P:$P)</f>
        <v>0</v>
      </c>
      <c r="D1670" s="16">
        <f>SUMIF(매도완료!$J:$J,Sheet2!$B1670,매도완료!$P:$P)+SUMIF(ING!$J:$J,Sheet2!$B1670,ING!$P:$P)</f>
        <v>0</v>
      </c>
      <c r="E1670" s="16">
        <f t="shared" si="52"/>
        <v>100343300.11339997</v>
      </c>
      <c r="G1670" s="16">
        <f>IF(D1670=0,0,SUMIF(매도완료!$J:$J,Sheet2!$B1670,매도완료!$S:$S))+IF(D1670=0,0,SUMIF(ING!$J:$J,Sheet2!$B1670,ING!$S:$S))</f>
        <v>0</v>
      </c>
      <c r="H1670" s="16">
        <f t="shared" si="53"/>
        <v>26842476.513193008</v>
      </c>
    </row>
    <row r="1671" spans="2:8" hidden="1" x14ac:dyDescent="0.4">
      <c r="B1671" s="1">
        <v>44220</v>
      </c>
      <c r="C1671" s="16">
        <f>SUMIF(매도완료!$G:$G,Sheet2!$B1671,매도완료!$P:$P)+SUMIF(ING!$G:$G,Sheet2!$B1671,ING!$P:$P)</f>
        <v>0</v>
      </c>
      <c r="D1671" s="16">
        <f>SUMIF(매도완료!$J:$J,Sheet2!$B1671,매도완료!$P:$P)+SUMIF(ING!$J:$J,Sheet2!$B1671,ING!$P:$P)</f>
        <v>0</v>
      </c>
      <c r="E1671" s="16">
        <f t="shared" si="52"/>
        <v>100343300.11339997</v>
      </c>
      <c r="G1671" s="16">
        <f>IF(D1671=0,0,SUMIF(매도완료!$J:$J,Sheet2!$B1671,매도완료!$S:$S))+IF(D1671=0,0,SUMIF(ING!$J:$J,Sheet2!$B1671,ING!$S:$S))</f>
        <v>0</v>
      </c>
      <c r="H1671" s="16">
        <f t="shared" si="53"/>
        <v>26842476.513193008</v>
      </c>
    </row>
    <row r="1672" spans="2:8" hidden="1" x14ac:dyDescent="0.4">
      <c r="B1672" s="1">
        <v>44221</v>
      </c>
      <c r="C1672" s="16">
        <f>SUMIF(매도완료!$G:$G,Sheet2!$B1672,매도완료!$P:$P)+SUMIF(ING!$G:$G,Sheet2!$B1672,ING!$P:$P)</f>
        <v>0</v>
      </c>
      <c r="D1672" s="16">
        <f>SUMIF(매도완료!$J:$J,Sheet2!$B1672,매도완료!$P:$P)+SUMIF(ING!$J:$J,Sheet2!$B1672,ING!$P:$P)</f>
        <v>0</v>
      </c>
      <c r="E1672" s="16">
        <f t="shared" si="52"/>
        <v>100343300.11339997</v>
      </c>
      <c r="G1672" s="16">
        <f>IF(D1672=0,0,SUMIF(매도완료!$J:$J,Sheet2!$B1672,매도완료!$S:$S))+IF(D1672=0,0,SUMIF(ING!$J:$J,Sheet2!$B1672,ING!$S:$S))</f>
        <v>0</v>
      </c>
      <c r="H1672" s="16">
        <f t="shared" si="53"/>
        <v>26842476.513193008</v>
      </c>
    </row>
    <row r="1673" spans="2:8" hidden="1" x14ac:dyDescent="0.4">
      <c r="B1673" s="1">
        <v>44222</v>
      </c>
      <c r="C1673" s="16">
        <f>SUMIF(매도완료!$G:$G,Sheet2!$B1673,매도완료!$P:$P)+SUMIF(ING!$G:$G,Sheet2!$B1673,ING!$P:$P)</f>
        <v>0</v>
      </c>
      <c r="D1673" s="16">
        <f>SUMIF(매도완료!$J:$J,Sheet2!$B1673,매도완료!$P:$P)+SUMIF(ING!$J:$J,Sheet2!$B1673,ING!$P:$P)</f>
        <v>0</v>
      </c>
      <c r="E1673" s="16">
        <f t="shared" si="52"/>
        <v>100343300.11339997</v>
      </c>
      <c r="G1673" s="16">
        <f>IF(D1673=0,0,SUMIF(매도완료!$J:$J,Sheet2!$B1673,매도완료!$S:$S))+IF(D1673=0,0,SUMIF(ING!$J:$J,Sheet2!$B1673,ING!$S:$S))</f>
        <v>0</v>
      </c>
      <c r="H1673" s="16">
        <f t="shared" si="53"/>
        <v>26842476.513193008</v>
      </c>
    </row>
    <row r="1674" spans="2:8" hidden="1" x14ac:dyDescent="0.4">
      <c r="B1674" s="1">
        <v>44223</v>
      </c>
      <c r="C1674" s="16">
        <f>SUMIF(매도완료!$G:$G,Sheet2!$B1674,매도완료!$P:$P)+SUMIF(ING!$G:$G,Sheet2!$B1674,ING!$P:$P)</f>
        <v>12747376</v>
      </c>
      <c r="D1674" s="16">
        <f>SUMIF(매도완료!$J:$J,Sheet2!$B1674,매도완료!$P:$P)+SUMIF(ING!$J:$J,Sheet2!$B1674,ING!$P:$P)</f>
        <v>2996916</v>
      </c>
      <c r="E1674" s="16">
        <f t="shared" si="52"/>
        <v>110093760.11339997</v>
      </c>
      <c r="G1674" s="16">
        <f>IF(D1674=0,0,SUMIF(매도완료!$J:$J,Sheet2!$B1674,매도완료!$S:$S))+IF(D1674=0,0,SUMIF(ING!$J:$J,Sheet2!$B1674,ING!$S:$S))</f>
        <v>99096.271999999997</v>
      </c>
      <c r="H1674" s="16">
        <f t="shared" si="53"/>
        <v>26941572.785193007</v>
      </c>
    </row>
    <row r="1675" spans="2:8" hidden="1" x14ac:dyDescent="0.4">
      <c r="B1675" s="1">
        <v>44224</v>
      </c>
      <c r="C1675" s="16">
        <f>SUMIF(매도완료!$G:$G,Sheet2!$B1675,매도완료!$P:$P)+SUMIF(ING!$G:$G,Sheet2!$B1675,ING!$P:$P)</f>
        <v>0</v>
      </c>
      <c r="D1675" s="16">
        <f>SUMIF(매도완료!$J:$J,Sheet2!$B1675,매도완료!$P:$P)+SUMIF(ING!$J:$J,Sheet2!$B1675,ING!$P:$P)</f>
        <v>0</v>
      </c>
      <c r="E1675" s="16">
        <f t="shared" si="52"/>
        <v>110093760.11339997</v>
      </c>
      <c r="G1675" s="16">
        <f>IF(D1675=0,0,SUMIF(매도완료!$J:$J,Sheet2!$B1675,매도완료!$S:$S))+IF(D1675=0,0,SUMIF(ING!$J:$J,Sheet2!$B1675,ING!$S:$S))</f>
        <v>0</v>
      </c>
      <c r="H1675" s="16">
        <f t="shared" si="53"/>
        <v>26941572.785193007</v>
      </c>
    </row>
    <row r="1676" spans="2:8" hidden="1" x14ac:dyDescent="0.4">
      <c r="B1676" s="1">
        <v>44225</v>
      </c>
      <c r="C1676" s="16">
        <f>SUMIF(매도완료!$G:$G,Sheet2!$B1676,매도완료!$P:$P)+SUMIF(ING!$G:$G,Sheet2!$B1676,ING!$P:$P)</f>
        <v>0</v>
      </c>
      <c r="D1676" s="16">
        <f>SUMIF(매도완료!$J:$J,Sheet2!$B1676,매도완료!$P:$P)+SUMIF(ING!$J:$J,Sheet2!$B1676,ING!$P:$P)</f>
        <v>0</v>
      </c>
      <c r="E1676" s="16">
        <f t="shared" si="52"/>
        <v>110093760.11339997</v>
      </c>
      <c r="G1676" s="16">
        <f>IF(D1676=0,0,SUMIF(매도완료!$J:$J,Sheet2!$B1676,매도완료!$S:$S))+IF(D1676=0,0,SUMIF(ING!$J:$J,Sheet2!$B1676,ING!$S:$S))</f>
        <v>0</v>
      </c>
      <c r="H1676" s="16">
        <f t="shared" si="53"/>
        <v>26941572.785193007</v>
      </c>
    </row>
    <row r="1677" spans="2:8" hidden="1" x14ac:dyDescent="0.4">
      <c r="B1677" s="1">
        <v>44226</v>
      </c>
      <c r="C1677" s="16">
        <f>SUMIF(매도완료!$G:$G,Sheet2!$B1677,매도완료!$P:$P)+SUMIF(ING!$G:$G,Sheet2!$B1677,ING!$P:$P)</f>
        <v>0</v>
      </c>
      <c r="D1677" s="16">
        <f>SUMIF(매도완료!$J:$J,Sheet2!$B1677,매도완료!$P:$P)+SUMIF(ING!$J:$J,Sheet2!$B1677,ING!$P:$P)</f>
        <v>0</v>
      </c>
      <c r="E1677" s="16">
        <f t="shared" si="52"/>
        <v>110093760.11339997</v>
      </c>
      <c r="G1677" s="16">
        <f>IF(D1677=0,0,SUMIF(매도완료!$J:$J,Sheet2!$B1677,매도완료!$S:$S))+IF(D1677=0,0,SUMIF(ING!$J:$J,Sheet2!$B1677,ING!$S:$S))</f>
        <v>0</v>
      </c>
      <c r="H1677" s="16">
        <f t="shared" si="53"/>
        <v>26941572.785193007</v>
      </c>
    </row>
    <row r="1678" spans="2:8" hidden="1" x14ac:dyDescent="0.4">
      <c r="B1678" s="1">
        <v>44227</v>
      </c>
      <c r="C1678" s="16">
        <f>SUMIF(매도완료!$G:$G,Sheet2!$B1678,매도완료!$P:$P)+SUMIF(ING!$G:$G,Sheet2!$B1678,ING!$P:$P)</f>
        <v>0</v>
      </c>
      <c r="D1678" s="16">
        <f>SUMIF(매도완료!$J:$J,Sheet2!$B1678,매도완료!$P:$P)+SUMIF(ING!$J:$J,Sheet2!$B1678,ING!$P:$P)</f>
        <v>0</v>
      </c>
      <c r="E1678" s="16">
        <f t="shared" si="52"/>
        <v>110093760.11339997</v>
      </c>
      <c r="G1678" s="16">
        <f>IF(D1678=0,0,SUMIF(매도완료!$J:$J,Sheet2!$B1678,매도완료!$S:$S))+IF(D1678=0,0,SUMIF(ING!$J:$J,Sheet2!$B1678,ING!$S:$S))</f>
        <v>0</v>
      </c>
      <c r="H1678" s="16">
        <f t="shared" si="53"/>
        <v>26941572.785193007</v>
      </c>
    </row>
    <row r="1679" spans="2:8" hidden="1" x14ac:dyDescent="0.4">
      <c r="B1679" s="1">
        <v>44228</v>
      </c>
      <c r="C1679" s="16">
        <f>SUMIF(매도완료!$G:$G,Sheet2!$B1679,매도완료!$P:$P)+SUMIF(ING!$G:$G,Sheet2!$B1679,ING!$P:$P)</f>
        <v>0</v>
      </c>
      <c r="D1679" s="16">
        <f>SUMIF(매도완료!$J:$J,Sheet2!$B1679,매도완료!$P:$P)+SUMIF(ING!$J:$J,Sheet2!$B1679,ING!$P:$P)</f>
        <v>0</v>
      </c>
      <c r="E1679" s="16">
        <f t="shared" si="52"/>
        <v>110093760.11339997</v>
      </c>
      <c r="G1679" s="16">
        <f>IF(D1679=0,0,SUMIF(매도완료!$J:$J,Sheet2!$B1679,매도완료!$S:$S))+IF(D1679=0,0,SUMIF(ING!$J:$J,Sheet2!$B1679,ING!$S:$S))</f>
        <v>0</v>
      </c>
      <c r="H1679" s="16">
        <f t="shared" si="53"/>
        <v>26941572.785193007</v>
      </c>
    </row>
    <row r="1680" spans="2:8" hidden="1" x14ac:dyDescent="0.4">
      <c r="B1680" s="1">
        <v>44229</v>
      </c>
      <c r="C1680" s="16">
        <f>SUMIF(매도완료!$G:$G,Sheet2!$B1680,매도완료!$P:$P)+SUMIF(ING!$G:$G,Sheet2!$B1680,ING!$P:$P)</f>
        <v>0</v>
      </c>
      <c r="D1680" s="16">
        <f>SUMIF(매도완료!$J:$J,Sheet2!$B1680,매도완료!$P:$P)+SUMIF(ING!$J:$J,Sheet2!$B1680,ING!$P:$P)</f>
        <v>1146094.0399999998</v>
      </c>
      <c r="E1680" s="16">
        <f t="shared" si="52"/>
        <v>108947666.07339996</v>
      </c>
      <c r="G1680" s="16">
        <f>IF(D1680=0,0,SUMIF(매도완료!$J:$J,Sheet2!$B1680,매도완료!$S:$S))+IF(D1680=0,0,SUMIF(ING!$J:$J,Sheet2!$B1680,ING!$S:$S))</f>
        <v>362272.1009600003</v>
      </c>
      <c r="H1680" s="16">
        <f t="shared" si="53"/>
        <v>27303844.886153009</v>
      </c>
    </row>
    <row r="1681" spans="2:8" hidden="1" x14ac:dyDescent="0.4">
      <c r="B1681" s="1">
        <v>44230</v>
      </c>
      <c r="C1681" s="16">
        <f>SUMIF(매도완료!$G:$G,Sheet2!$B1681,매도완료!$P:$P)+SUMIF(ING!$G:$G,Sheet2!$B1681,ING!$P:$P)</f>
        <v>1362081.5</v>
      </c>
      <c r="D1681" s="16">
        <f>SUMIF(매도완료!$J:$J,Sheet2!$B1681,매도완료!$P:$P)+SUMIF(ING!$J:$J,Sheet2!$B1681,ING!$P:$P)</f>
        <v>0</v>
      </c>
      <c r="E1681" s="16">
        <f t="shared" si="52"/>
        <v>110309747.57339996</v>
      </c>
      <c r="G1681" s="16">
        <f>IF(D1681=0,0,SUMIF(매도완료!$J:$J,Sheet2!$B1681,매도완료!$S:$S))+IF(D1681=0,0,SUMIF(ING!$J:$J,Sheet2!$B1681,ING!$S:$S))</f>
        <v>0</v>
      </c>
      <c r="H1681" s="16">
        <f t="shared" si="53"/>
        <v>27303844.886153009</v>
      </c>
    </row>
    <row r="1682" spans="2:8" hidden="1" x14ac:dyDescent="0.4">
      <c r="B1682" s="1">
        <v>44231</v>
      </c>
      <c r="C1682" s="16">
        <f>SUMIF(매도완료!$G:$G,Sheet2!$B1682,매도완료!$P:$P)+SUMIF(ING!$G:$G,Sheet2!$B1682,ING!$P:$P)</f>
        <v>0</v>
      </c>
      <c r="D1682" s="16">
        <f>SUMIF(매도완료!$J:$J,Sheet2!$B1682,매도완료!$P:$P)+SUMIF(ING!$J:$J,Sheet2!$B1682,ING!$P:$P)</f>
        <v>0</v>
      </c>
      <c r="E1682" s="16">
        <f t="shared" si="52"/>
        <v>110309747.57339996</v>
      </c>
      <c r="G1682" s="16">
        <f>IF(D1682=0,0,SUMIF(매도완료!$J:$J,Sheet2!$B1682,매도완료!$S:$S))+IF(D1682=0,0,SUMIF(ING!$J:$J,Sheet2!$B1682,ING!$S:$S))</f>
        <v>0</v>
      </c>
      <c r="H1682" s="16">
        <f t="shared" si="53"/>
        <v>27303844.886153009</v>
      </c>
    </row>
    <row r="1683" spans="2:8" hidden="1" x14ac:dyDescent="0.4">
      <c r="B1683" s="1">
        <v>44232</v>
      </c>
      <c r="C1683" s="16">
        <f>SUMIF(매도완료!$G:$G,Sheet2!$B1683,매도완료!$P:$P)+SUMIF(ING!$G:$G,Sheet2!$B1683,ING!$P:$P)</f>
        <v>0</v>
      </c>
      <c r="D1683" s="16">
        <f>SUMIF(매도완료!$J:$J,Sheet2!$B1683,매도완료!$P:$P)+SUMIF(ING!$J:$J,Sheet2!$B1683,ING!$P:$P)</f>
        <v>0</v>
      </c>
      <c r="E1683" s="16">
        <f t="shared" si="52"/>
        <v>110309747.57339996</v>
      </c>
      <c r="G1683" s="16">
        <f>IF(D1683=0,0,SUMIF(매도완료!$J:$J,Sheet2!$B1683,매도완료!$S:$S))+IF(D1683=0,0,SUMIF(ING!$J:$J,Sheet2!$B1683,ING!$S:$S))</f>
        <v>0</v>
      </c>
      <c r="H1683" s="16">
        <f t="shared" si="53"/>
        <v>27303844.886153009</v>
      </c>
    </row>
    <row r="1684" spans="2:8" hidden="1" x14ac:dyDescent="0.4">
      <c r="B1684" s="1">
        <v>44233</v>
      </c>
      <c r="C1684" s="16">
        <f>SUMIF(매도완료!$G:$G,Sheet2!$B1684,매도완료!$P:$P)+SUMIF(ING!$G:$G,Sheet2!$B1684,ING!$P:$P)</f>
        <v>0</v>
      </c>
      <c r="D1684" s="16">
        <f>SUMIF(매도완료!$J:$J,Sheet2!$B1684,매도완료!$P:$P)+SUMIF(ING!$J:$J,Sheet2!$B1684,ING!$P:$P)</f>
        <v>0</v>
      </c>
      <c r="E1684" s="16">
        <f t="shared" si="52"/>
        <v>110309747.57339996</v>
      </c>
      <c r="G1684" s="16">
        <f>IF(D1684=0,0,SUMIF(매도완료!$J:$J,Sheet2!$B1684,매도완료!$S:$S))+IF(D1684=0,0,SUMIF(ING!$J:$J,Sheet2!$B1684,ING!$S:$S))</f>
        <v>0</v>
      </c>
      <c r="H1684" s="16">
        <f t="shared" si="53"/>
        <v>27303844.886153009</v>
      </c>
    </row>
    <row r="1685" spans="2:8" hidden="1" x14ac:dyDescent="0.4">
      <c r="B1685" s="1">
        <v>44234</v>
      </c>
      <c r="C1685" s="16">
        <f>SUMIF(매도완료!$G:$G,Sheet2!$B1685,매도완료!$P:$P)+SUMIF(ING!$G:$G,Sheet2!$B1685,ING!$P:$P)</f>
        <v>0</v>
      </c>
      <c r="D1685" s="16">
        <f>SUMIF(매도완료!$J:$J,Sheet2!$B1685,매도완료!$P:$P)+SUMIF(ING!$J:$J,Sheet2!$B1685,ING!$P:$P)</f>
        <v>0</v>
      </c>
      <c r="E1685" s="16">
        <f t="shared" si="52"/>
        <v>110309747.57339996</v>
      </c>
      <c r="G1685" s="16">
        <f>IF(D1685=0,0,SUMIF(매도완료!$J:$J,Sheet2!$B1685,매도완료!$S:$S))+IF(D1685=0,0,SUMIF(ING!$J:$J,Sheet2!$B1685,ING!$S:$S))</f>
        <v>0</v>
      </c>
      <c r="H1685" s="16">
        <f t="shared" si="53"/>
        <v>27303844.886153009</v>
      </c>
    </row>
    <row r="1686" spans="2:8" hidden="1" x14ac:dyDescent="0.4">
      <c r="B1686" s="1">
        <v>44235</v>
      </c>
      <c r="C1686" s="16">
        <f>SUMIF(매도완료!$G:$G,Sheet2!$B1686,매도완료!$P:$P)+SUMIF(ING!$G:$G,Sheet2!$B1686,ING!$P:$P)</f>
        <v>0</v>
      </c>
      <c r="D1686" s="16">
        <f>SUMIF(매도완료!$J:$J,Sheet2!$B1686,매도완료!$P:$P)+SUMIF(ING!$J:$J,Sheet2!$B1686,ING!$P:$P)</f>
        <v>2861989.2</v>
      </c>
      <c r="E1686" s="16">
        <f t="shared" si="52"/>
        <v>107447758.37339996</v>
      </c>
      <c r="G1686" s="16">
        <f>IF(D1686=0,0,SUMIF(매도완료!$J:$J,Sheet2!$B1686,매도완료!$S:$S))+IF(D1686=0,0,SUMIF(ING!$J:$J,Sheet2!$B1686,ING!$S:$S))</f>
        <v>384437.83500000014</v>
      </c>
      <c r="H1686" s="16">
        <f t="shared" si="53"/>
        <v>27688282.72115301</v>
      </c>
    </row>
    <row r="1687" spans="2:8" hidden="1" x14ac:dyDescent="0.4">
      <c r="B1687" s="1">
        <v>44236</v>
      </c>
      <c r="C1687" s="16">
        <f>SUMIF(매도완료!$G:$G,Sheet2!$B1687,매도완료!$P:$P)+SUMIF(ING!$G:$G,Sheet2!$B1687,ING!$P:$P)</f>
        <v>0</v>
      </c>
      <c r="D1687" s="16">
        <f>SUMIF(매도완료!$J:$J,Sheet2!$B1687,매도완료!$P:$P)+SUMIF(ING!$J:$J,Sheet2!$B1687,ING!$P:$P)</f>
        <v>0</v>
      </c>
      <c r="E1687" s="16">
        <f t="shared" si="52"/>
        <v>107447758.37339996</v>
      </c>
      <c r="G1687" s="16">
        <f>IF(D1687=0,0,SUMIF(매도완료!$J:$J,Sheet2!$B1687,매도완료!$S:$S))+IF(D1687=0,0,SUMIF(ING!$J:$J,Sheet2!$B1687,ING!$S:$S))</f>
        <v>0</v>
      </c>
      <c r="H1687" s="16">
        <f t="shared" si="53"/>
        <v>27688282.72115301</v>
      </c>
    </row>
    <row r="1688" spans="2:8" hidden="1" x14ac:dyDescent="0.4">
      <c r="B1688" s="1">
        <v>44237</v>
      </c>
      <c r="C1688" s="16">
        <f>SUMIF(매도완료!$G:$G,Sheet2!$B1688,매도완료!$P:$P)+SUMIF(ING!$G:$G,Sheet2!$B1688,ING!$P:$P)</f>
        <v>0</v>
      </c>
      <c r="D1688" s="16">
        <f>SUMIF(매도완료!$J:$J,Sheet2!$B1688,매도완료!$P:$P)+SUMIF(ING!$J:$J,Sheet2!$B1688,ING!$P:$P)</f>
        <v>0</v>
      </c>
      <c r="E1688" s="16">
        <f t="shared" si="52"/>
        <v>107447758.37339996</v>
      </c>
      <c r="G1688" s="16">
        <f>IF(D1688=0,0,SUMIF(매도완료!$J:$J,Sheet2!$B1688,매도완료!$S:$S))+IF(D1688=0,0,SUMIF(ING!$J:$J,Sheet2!$B1688,ING!$S:$S))</f>
        <v>0</v>
      </c>
      <c r="H1688" s="16">
        <f t="shared" si="53"/>
        <v>27688282.72115301</v>
      </c>
    </row>
    <row r="1689" spans="2:8" hidden="1" x14ac:dyDescent="0.4">
      <c r="B1689" s="1">
        <v>44238</v>
      </c>
      <c r="C1689" s="16">
        <f>SUMIF(매도완료!$G:$G,Sheet2!$B1689,매도완료!$P:$P)+SUMIF(ING!$G:$G,Sheet2!$B1689,ING!$P:$P)</f>
        <v>0</v>
      </c>
      <c r="D1689" s="16">
        <f>SUMIF(매도완료!$J:$J,Sheet2!$B1689,매도완료!$P:$P)+SUMIF(ING!$J:$J,Sheet2!$B1689,ING!$P:$P)</f>
        <v>2507553.44</v>
      </c>
      <c r="E1689" s="16">
        <f t="shared" si="52"/>
        <v>104940204.93339996</v>
      </c>
      <c r="G1689" s="16">
        <f>IF(D1689=0,0,SUMIF(매도완료!$J:$J,Sheet2!$B1689,매도완료!$S:$S))+IF(D1689=0,0,SUMIF(ING!$J:$J,Sheet2!$B1689,ING!$S:$S))</f>
        <v>495573.11556000024</v>
      </c>
      <c r="H1689" s="16">
        <f t="shared" si="53"/>
        <v>28183855.836713009</v>
      </c>
    </row>
    <row r="1690" spans="2:8" hidden="1" x14ac:dyDescent="0.4">
      <c r="B1690" s="1">
        <v>44239</v>
      </c>
      <c r="C1690" s="16">
        <f>SUMIF(매도완료!$G:$G,Sheet2!$B1690,매도완료!$P:$P)+SUMIF(ING!$G:$G,Sheet2!$B1690,ING!$P:$P)</f>
        <v>0</v>
      </c>
      <c r="D1690" s="16">
        <f>SUMIF(매도완료!$J:$J,Sheet2!$B1690,매도완료!$P:$P)+SUMIF(ING!$J:$J,Sheet2!$B1690,ING!$P:$P)</f>
        <v>0</v>
      </c>
      <c r="E1690" s="16">
        <f t="shared" si="52"/>
        <v>104940204.93339996</v>
      </c>
      <c r="G1690" s="16">
        <f>IF(D1690=0,0,SUMIF(매도완료!$J:$J,Sheet2!$B1690,매도완료!$S:$S))+IF(D1690=0,0,SUMIF(ING!$J:$J,Sheet2!$B1690,ING!$S:$S))</f>
        <v>0</v>
      </c>
      <c r="H1690" s="16">
        <f t="shared" si="53"/>
        <v>28183855.836713009</v>
      </c>
    </row>
    <row r="1691" spans="2:8" hidden="1" x14ac:dyDescent="0.4">
      <c r="B1691" s="1">
        <v>44240</v>
      </c>
      <c r="C1691" s="16">
        <f>SUMIF(매도완료!$G:$G,Sheet2!$B1691,매도완료!$P:$P)+SUMIF(ING!$G:$G,Sheet2!$B1691,ING!$P:$P)</f>
        <v>0</v>
      </c>
      <c r="D1691" s="16">
        <f>SUMIF(매도완료!$J:$J,Sheet2!$B1691,매도완료!$P:$P)+SUMIF(ING!$J:$J,Sheet2!$B1691,ING!$P:$P)</f>
        <v>0</v>
      </c>
      <c r="E1691" s="16">
        <f t="shared" si="52"/>
        <v>104940204.93339996</v>
      </c>
      <c r="G1691" s="16">
        <f>IF(D1691=0,0,SUMIF(매도완료!$J:$J,Sheet2!$B1691,매도완료!$S:$S))+IF(D1691=0,0,SUMIF(ING!$J:$J,Sheet2!$B1691,ING!$S:$S))</f>
        <v>0</v>
      </c>
      <c r="H1691" s="16">
        <f t="shared" si="53"/>
        <v>28183855.836713009</v>
      </c>
    </row>
    <row r="1692" spans="2:8" hidden="1" x14ac:dyDescent="0.4">
      <c r="B1692" s="1">
        <v>44241</v>
      </c>
      <c r="C1692" s="16">
        <f>SUMIF(매도완료!$G:$G,Sheet2!$B1692,매도완료!$P:$P)+SUMIF(ING!$G:$G,Sheet2!$B1692,ING!$P:$P)</f>
        <v>0</v>
      </c>
      <c r="D1692" s="16">
        <f>SUMIF(매도완료!$J:$J,Sheet2!$B1692,매도완료!$P:$P)+SUMIF(ING!$J:$J,Sheet2!$B1692,ING!$P:$P)</f>
        <v>0</v>
      </c>
      <c r="E1692" s="16">
        <f t="shared" si="52"/>
        <v>104940204.93339996</v>
      </c>
      <c r="G1692" s="16">
        <f>IF(D1692=0,0,SUMIF(매도완료!$J:$J,Sheet2!$B1692,매도완료!$S:$S))+IF(D1692=0,0,SUMIF(ING!$J:$J,Sheet2!$B1692,ING!$S:$S))</f>
        <v>0</v>
      </c>
      <c r="H1692" s="16">
        <f t="shared" si="53"/>
        <v>28183855.836713009</v>
      </c>
    </row>
    <row r="1693" spans="2:8" hidden="1" x14ac:dyDescent="0.4">
      <c r="B1693" s="1">
        <v>44242</v>
      </c>
      <c r="C1693" s="16">
        <f>SUMIF(매도완료!$G:$G,Sheet2!$B1693,매도완료!$P:$P)+SUMIF(ING!$G:$G,Sheet2!$B1693,ING!$P:$P)</f>
        <v>0</v>
      </c>
      <c r="D1693" s="16">
        <f>SUMIF(매도완료!$J:$J,Sheet2!$B1693,매도완료!$P:$P)+SUMIF(ING!$J:$J,Sheet2!$B1693,ING!$P:$P)</f>
        <v>0</v>
      </c>
      <c r="E1693" s="16">
        <f t="shared" si="52"/>
        <v>104940204.93339996</v>
      </c>
      <c r="G1693" s="16">
        <f>IF(D1693=0,0,SUMIF(매도완료!$J:$J,Sheet2!$B1693,매도완료!$S:$S))+IF(D1693=0,0,SUMIF(ING!$J:$J,Sheet2!$B1693,ING!$S:$S))</f>
        <v>0</v>
      </c>
      <c r="H1693" s="16">
        <f t="shared" si="53"/>
        <v>28183855.836713009</v>
      </c>
    </row>
    <row r="1694" spans="2:8" hidden="1" x14ac:dyDescent="0.4">
      <c r="B1694" s="1">
        <v>44243</v>
      </c>
      <c r="C1694" s="16">
        <f>SUMIF(매도완료!$G:$G,Sheet2!$B1694,매도완료!$P:$P)+SUMIF(ING!$G:$G,Sheet2!$B1694,ING!$P:$P)</f>
        <v>1572095.7180000001</v>
      </c>
      <c r="D1694" s="16">
        <f>SUMIF(매도완료!$J:$J,Sheet2!$B1694,매도완료!$P:$P)+SUMIF(ING!$J:$J,Sheet2!$B1694,ING!$P:$P)</f>
        <v>0</v>
      </c>
      <c r="E1694" s="16">
        <f t="shared" si="52"/>
        <v>106512300.65139996</v>
      </c>
      <c r="G1694" s="16">
        <f>IF(D1694=0,0,SUMIF(매도완료!$J:$J,Sheet2!$B1694,매도완료!$S:$S))+IF(D1694=0,0,SUMIF(ING!$J:$J,Sheet2!$B1694,ING!$S:$S))</f>
        <v>0</v>
      </c>
      <c r="H1694" s="16">
        <f t="shared" si="53"/>
        <v>28183855.836713009</v>
      </c>
    </row>
    <row r="1695" spans="2:8" hidden="1" x14ac:dyDescent="0.4">
      <c r="B1695" s="1">
        <v>44244</v>
      </c>
      <c r="C1695" s="16">
        <f>SUMIF(매도완료!$G:$G,Sheet2!$B1695,매도완료!$P:$P)+SUMIF(ING!$G:$G,Sheet2!$B1695,ING!$P:$P)</f>
        <v>0</v>
      </c>
      <c r="D1695" s="16">
        <f>SUMIF(매도완료!$J:$J,Sheet2!$B1695,매도완료!$P:$P)+SUMIF(ING!$J:$J,Sheet2!$B1695,ING!$P:$P)</f>
        <v>0</v>
      </c>
      <c r="E1695" s="16">
        <f t="shared" si="52"/>
        <v>106512300.65139996</v>
      </c>
      <c r="G1695" s="16">
        <f>IF(D1695=0,0,SUMIF(매도완료!$J:$J,Sheet2!$B1695,매도완료!$S:$S))+IF(D1695=0,0,SUMIF(ING!$J:$J,Sheet2!$B1695,ING!$S:$S))</f>
        <v>0</v>
      </c>
      <c r="H1695" s="16">
        <f t="shared" si="53"/>
        <v>28183855.836713009</v>
      </c>
    </row>
    <row r="1696" spans="2:8" hidden="1" x14ac:dyDescent="0.4">
      <c r="B1696" s="1">
        <v>44245</v>
      </c>
      <c r="C1696" s="16">
        <f>SUMIF(매도완료!$G:$G,Sheet2!$B1696,매도완료!$P:$P)+SUMIF(ING!$G:$G,Sheet2!$B1696,ING!$P:$P)</f>
        <v>0</v>
      </c>
      <c r="D1696" s="16">
        <f>SUMIF(매도완료!$J:$J,Sheet2!$B1696,매도완료!$P:$P)+SUMIF(ING!$J:$J,Sheet2!$B1696,ING!$P:$P)</f>
        <v>0</v>
      </c>
      <c r="E1696" s="16">
        <f t="shared" si="52"/>
        <v>106512300.65139996</v>
      </c>
      <c r="G1696" s="16">
        <f>IF(D1696=0,0,SUMIF(매도완료!$J:$J,Sheet2!$B1696,매도완료!$S:$S))+IF(D1696=0,0,SUMIF(ING!$J:$J,Sheet2!$B1696,ING!$S:$S))</f>
        <v>0</v>
      </c>
      <c r="H1696" s="16">
        <f t="shared" si="53"/>
        <v>28183855.836713009</v>
      </c>
    </row>
    <row r="1697" spans="2:8" hidden="1" x14ac:dyDescent="0.4">
      <c r="B1697" s="1">
        <v>44246</v>
      </c>
      <c r="C1697" s="16">
        <f>SUMIF(매도완료!$G:$G,Sheet2!$B1697,매도완료!$P:$P)+SUMIF(ING!$G:$G,Sheet2!$B1697,ING!$P:$P)</f>
        <v>0</v>
      </c>
      <c r="D1697" s="16">
        <f>SUMIF(매도완료!$J:$J,Sheet2!$B1697,매도완료!$P:$P)+SUMIF(ING!$J:$J,Sheet2!$B1697,ING!$P:$P)</f>
        <v>0</v>
      </c>
      <c r="E1697" s="16">
        <f t="shared" si="52"/>
        <v>106512300.65139996</v>
      </c>
      <c r="G1697" s="16">
        <f>IF(D1697=0,0,SUMIF(매도완료!$J:$J,Sheet2!$B1697,매도완료!$S:$S))+IF(D1697=0,0,SUMIF(ING!$J:$J,Sheet2!$B1697,ING!$S:$S))</f>
        <v>0</v>
      </c>
      <c r="H1697" s="16">
        <f t="shared" si="53"/>
        <v>28183855.836713009</v>
      </c>
    </row>
    <row r="1698" spans="2:8" hidden="1" x14ac:dyDescent="0.4">
      <c r="B1698" s="1">
        <v>44247</v>
      </c>
      <c r="C1698" s="16">
        <f>SUMIF(매도완료!$G:$G,Sheet2!$B1698,매도완료!$P:$P)+SUMIF(ING!$G:$G,Sheet2!$B1698,ING!$P:$P)</f>
        <v>0</v>
      </c>
      <c r="D1698" s="16">
        <f>SUMIF(매도완료!$J:$J,Sheet2!$B1698,매도완료!$P:$P)+SUMIF(ING!$J:$J,Sheet2!$B1698,ING!$P:$P)</f>
        <v>0</v>
      </c>
      <c r="E1698" s="16">
        <f t="shared" si="52"/>
        <v>106512300.65139996</v>
      </c>
      <c r="G1698" s="16">
        <f>IF(D1698=0,0,SUMIF(매도완료!$J:$J,Sheet2!$B1698,매도완료!$S:$S))+IF(D1698=0,0,SUMIF(ING!$J:$J,Sheet2!$B1698,ING!$S:$S))</f>
        <v>0</v>
      </c>
      <c r="H1698" s="16">
        <f t="shared" si="53"/>
        <v>28183855.836713009</v>
      </c>
    </row>
    <row r="1699" spans="2:8" hidden="1" x14ac:dyDescent="0.4">
      <c r="B1699" s="1">
        <v>44248</v>
      </c>
      <c r="C1699" s="16">
        <f>SUMIF(매도완료!$G:$G,Sheet2!$B1699,매도완료!$P:$P)+SUMIF(ING!$G:$G,Sheet2!$B1699,ING!$P:$P)</f>
        <v>0</v>
      </c>
      <c r="D1699" s="16">
        <f>SUMIF(매도완료!$J:$J,Sheet2!$B1699,매도완료!$P:$P)+SUMIF(ING!$J:$J,Sheet2!$B1699,ING!$P:$P)</f>
        <v>0</v>
      </c>
      <c r="E1699" s="16">
        <f t="shared" si="52"/>
        <v>106512300.65139996</v>
      </c>
      <c r="G1699" s="16">
        <f>IF(D1699=0,0,SUMIF(매도완료!$J:$J,Sheet2!$B1699,매도완료!$S:$S))+IF(D1699=0,0,SUMIF(ING!$J:$J,Sheet2!$B1699,ING!$S:$S))</f>
        <v>0</v>
      </c>
      <c r="H1699" s="16">
        <f t="shared" si="53"/>
        <v>28183855.836713009</v>
      </c>
    </row>
    <row r="1700" spans="2:8" hidden="1" x14ac:dyDescent="0.4">
      <c r="B1700" s="1">
        <v>44249</v>
      </c>
      <c r="C1700" s="16">
        <f>SUMIF(매도완료!$G:$G,Sheet2!$B1700,매도완료!$P:$P)+SUMIF(ING!$G:$G,Sheet2!$B1700,ING!$P:$P)</f>
        <v>0</v>
      </c>
      <c r="D1700" s="16">
        <f>SUMIF(매도완료!$J:$J,Sheet2!$B1700,매도완료!$P:$P)+SUMIF(ING!$J:$J,Sheet2!$B1700,ING!$P:$P)</f>
        <v>0</v>
      </c>
      <c r="E1700" s="16">
        <f t="shared" si="52"/>
        <v>106512300.65139996</v>
      </c>
      <c r="G1700" s="16">
        <f>IF(D1700=0,0,SUMIF(매도완료!$J:$J,Sheet2!$B1700,매도완료!$S:$S))+IF(D1700=0,0,SUMIF(ING!$J:$J,Sheet2!$B1700,ING!$S:$S))</f>
        <v>0</v>
      </c>
      <c r="H1700" s="16">
        <f t="shared" si="53"/>
        <v>28183855.836713009</v>
      </c>
    </row>
    <row r="1701" spans="2:8" hidden="1" x14ac:dyDescent="0.4">
      <c r="B1701" s="1">
        <v>44250</v>
      </c>
      <c r="C1701" s="16">
        <f>SUMIF(매도완료!$G:$G,Sheet2!$B1701,매도완료!$P:$P)+SUMIF(ING!$G:$G,Sheet2!$B1701,ING!$P:$P)</f>
        <v>0</v>
      </c>
      <c r="D1701" s="16">
        <f>SUMIF(매도완료!$J:$J,Sheet2!$B1701,매도완료!$P:$P)+SUMIF(ING!$J:$J,Sheet2!$B1701,ING!$P:$P)</f>
        <v>0</v>
      </c>
      <c r="E1701" s="16">
        <f t="shared" si="52"/>
        <v>106512300.65139996</v>
      </c>
      <c r="G1701" s="16">
        <f>IF(D1701=0,0,SUMIF(매도완료!$J:$J,Sheet2!$B1701,매도완료!$S:$S))+IF(D1701=0,0,SUMIF(ING!$J:$J,Sheet2!$B1701,ING!$S:$S))</f>
        <v>0</v>
      </c>
      <c r="H1701" s="16">
        <f t="shared" si="53"/>
        <v>28183855.836713009</v>
      </c>
    </row>
    <row r="1702" spans="2:8" hidden="1" x14ac:dyDescent="0.4">
      <c r="B1702" s="1">
        <v>44251</v>
      </c>
      <c r="C1702" s="16">
        <f>SUMIF(매도완료!$G:$G,Sheet2!$B1702,매도완료!$P:$P)+SUMIF(ING!$G:$G,Sheet2!$B1702,ING!$P:$P)</f>
        <v>0</v>
      </c>
      <c r="D1702" s="16">
        <f>SUMIF(매도완료!$J:$J,Sheet2!$B1702,매도완료!$P:$P)+SUMIF(ING!$J:$J,Sheet2!$B1702,ING!$P:$P)</f>
        <v>0</v>
      </c>
      <c r="E1702" s="16">
        <f t="shared" si="52"/>
        <v>106512300.65139996</v>
      </c>
      <c r="G1702" s="16">
        <f>IF(D1702=0,0,SUMIF(매도완료!$J:$J,Sheet2!$B1702,매도완료!$S:$S))+IF(D1702=0,0,SUMIF(ING!$J:$J,Sheet2!$B1702,ING!$S:$S))</f>
        <v>0</v>
      </c>
      <c r="H1702" s="16">
        <f t="shared" si="53"/>
        <v>28183855.836713009</v>
      </c>
    </row>
    <row r="1703" spans="2:8" hidden="1" x14ac:dyDescent="0.4">
      <c r="B1703" s="1">
        <v>44252</v>
      </c>
      <c r="C1703" s="16">
        <f>SUMIF(매도완료!$G:$G,Sheet2!$B1703,매도완료!$P:$P)+SUMIF(ING!$G:$G,Sheet2!$B1703,ING!$P:$P)</f>
        <v>1345538</v>
      </c>
      <c r="D1703" s="16">
        <f>SUMIF(매도완료!$J:$J,Sheet2!$B1703,매도완료!$P:$P)+SUMIF(ING!$J:$J,Sheet2!$B1703,ING!$P:$P)</f>
        <v>0</v>
      </c>
      <c r="E1703" s="16">
        <f t="shared" si="52"/>
        <v>107857838.65139996</v>
      </c>
      <c r="G1703" s="16">
        <f>IF(D1703=0,0,SUMIF(매도완료!$J:$J,Sheet2!$B1703,매도완료!$S:$S))+IF(D1703=0,0,SUMIF(ING!$J:$J,Sheet2!$B1703,ING!$S:$S))</f>
        <v>0</v>
      </c>
      <c r="H1703" s="16">
        <f t="shared" si="53"/>
        <v>28183855.836713009</v>
      </c>
    </row>
    <row r="1704" spans="2:8" hidden="1" x14ac:dyDescent="0.4">
      <c r="B1704" s="1">
        <v>44253</v>
      </c>
      <c r="C1704" s="16">
        <f>SUMIF(매도완료!$G:$G,Sheet2!$B1704,매도완료!$P:$P)+SUMIF(ING!$G:$G,Sheet2!$B1704,ING!$P:$P)</f>
        <v>0</v>
      </c>
      <c r="D1704" s="16">
        <f>SUMIF(매도완료!$J:$J,Sheet2!$B1704,매도완료!$P:$P)+SUMIF(ING!$J:$J,Sheet2!$B1704,ING!$P:$P)</f>
        <v>0</v>
      </c>
      <c r="E1704" s="16">
        <f t="shared" si="52"/>
        <v>107857838.65139996</v>
      </c>
      <c r="G1704" s="16">
        <f>IF(D1704=0,0,SUMIF(매도완료!$J:$J,Sheet2!$B1704,매도완료!$S:$S))+IF(D1704=0,0,SUMIF(ING!$J:$J,Sheet2!$B1704,ING!$S:$S))</f>
        <v>0</v>
      </c>
      <c r="H1704" s="16">
        <f t="shared" si="53"/>
        <v>28183855.836713009</v>
      </c>
    </row>
    <row r="1705" spans="2:8" hidden="1" x14ac:dyDescent="0.4">
      <c r="B1705" s="1">
        <v>44254</v>
      </c>
      <c r="C1705" s="16">
        <f>SUMIF(매도완료!$G:$G,Sheet2!$B1705,매도완료!$P:$P)+SUMIF(ING!$G:$G,Sheet2!$B1705,ING!$P:$P)</f>
        <v>0</v>
      </c>
      <c r="D1705" s="16">
        <f>SUMIF(매도완료!$J:$J,Sheet2!$B1705,매도완료!$P:$P)+SUMIF(ING!$J:$J,Sheet2!$B1705,ING!$P:$P)</f>
        <v>0</v>
      </c>
      <c r="E1705" s="16">
        <f t="shared" si="52"/>
        <v>107857838.65139996</v>
      </c>
      <c r="G1705" s="16">
        <f>IF(D1705=0,0,SUMIF(매도완료!$J:$J,Sheet2!$B1705,매도완료!$S:$S))+IF(D1705=0,0,SUMIF(ING!$J:$J,Sheet2!$B1705,ING!$S:$S))</f>
        <v>0</v>
      </c>
      <c r="H1705" s="16">
        <f t="shared" si="53"/>
        <v>28183855.836713009</v>
      </c>
    </row>
    <row r="1706" spans="2:8" hidden="1" x14ac:dyDescent="0.4">
      <c r="B1706" s="1">
        <v>44255</v>
      </c>
      <c r="C1706" s="16">
        <f>SUMIF(매도완료!$G:$G,Sheet2!$B1706,매도완료!$P:$P)+SUMIF(ING!$G:$G,Sheet2!$B1706,ING!$P:$P)</f>
        <v>0</v>
      </c>
      <c r="D1706" s="16">
        <f>SUMIF(매도완료!$J:$J,Sheet2!$B1706,매도완료!$P:$P)+SUMIF(ING!$J:$J,Sheet2!$B1706,ING!$P:$P)</f>
        <v>0</v>
      </c>
      <c r="E1706" s="16">
        <f t="shared" si="52"/>
        <v>107857838.65139996</v>
      </c>
      <c r="G1706" s="16">
        <f>IF(D1706=0,0,SUMIF(매도완료!$J:$J,Sheet2!$B1706,매도완료!$S:$S))+IF(D1706=0,0,SUMIF(ING!$J:$J,Sheet2!$B1706,ING!$S:$S))</f>
        <v>0</v>
      </c>
      <c r="H1706" s="16">
        <f t="shared" si="53"/>
        <v>28183855.836713009</v>
      </c>
    </row>
    <row r="1707" spans="2:8" hidden="1" x14ac:dyDescent="0.4">
      <c r="B1707" s="1">
        <v>44256</v>
      </c>
      <c r="C1707" s="16">
        <f>SUMIF(매도완료!$G:$G,Sheet2!$B1707,매도완료!$P:$P)+SUMIF(ING!$G:$G,Sheet2!$B1707,ING!$P:$P)</f>
        <v>0</v>
      </c>
      <c r="D1707" s="16">
        <f>SUMIF(매도완료!$J:$J,Sheet2!$B1707,매도완료!$P:$P)+SUMIF(ING!$J:$J,Sheet2!$B1707,ING!$P:$P)</f>
        <v>0</v>
      </c>
      <c r="E1707" s="16">
        <f t="shared" si="52"/>
        <v>107857838.65139996</v>
      </c>
      <c r="G1707" s="16">
        <f>IF(D1707=0,0,SUMIF(매도완료!$J:$J,Sheet2!$B1707,매도완료!$S:$S))+IF(D1707=0,0,SUMIF(ING!$J:$J,Sheet2!$B1707,ING!$S:$S))</f>
        <v>0</v>
      </c>
      <c r="H1707" s="16">
        <f t="shared" si="53"/>
        <v>28183855.836713009</v>
      </c>
    </row>
    <row r="1708" spans="2:8" hidden="1" x14ac:dyDescent="0.4">
      <c r="B1708" s="1">
        <v>44257</v>
      </c>
      <c r="C1708" s="16">
        <f>SUMIF(매도완료!$G:$G,Sheet2!$B1708,매도완료!$P:$P)+SUMIF(ING!$G:$G,Sheet2!$B1708,ING!$P:$P)</f>
        <v>0</v>
      </c>
      <c r="D1708" s="16">
        <f>SUMIF(매도완료!$J:$J,Sheet2!$B1708,매도완료!$P:$P)+SUMIF(ING!$J:$J,Sheet2!$B1708,ING!$P:$P)</f>
        <v>0</v>
      </c>
      <c r="E1708" s="16">
        <f t="shared" si="52"/>
        <v>107857838.65139996</v>
      </c>
      <c r="G1708" s="16">
        <f>IF(D1708=0,0,SUMIF(매도완료!$J:$J,Sheet2!$B1708,매도완료!$S:$S))+IF(D1708=0,0,SUMIF(ING!$J:$J,Sheet2!$B1708,ING!$S:$S))</f>
        <v>0</v>
      </c>
      <c r="H1708" s="16">
        <f t="shared" si="53"/>
        <v>28183855.836713009</v>
      </c>
    </row>
    <row r="1709" spans="2:8" hidden="1" x14ac:dyDescent="0.4">
      <c r="B1709" s="1">
        <v>44258</v>
      </c>
      <c r="C1709" s="16">
        <f>SUMIF(매도완료!$G:$G,Sheet2!$B1709,매도완료!$P:$P)+SUMIF(ING!$G:$G,Sheet2!$B1709,ING!$P:$P)</f>
        <v>0</v>
      </c>
      <c r="D1709" s="16">
        <f>SUMIF(매도완료!$J:$J,Sheet2!$B1709,매도완료!$P:$P)+SUMIF(ING!$J:$J,Sheet2!$B1709,ING!$P:$P)</f>
        <v>0</v>
      </c>
      <c r="E1709" s="16">
        <f t="shared" si="52"/>
        <v>107857838.65139996</v>
      </c>
      <c r="G1709" s="16">
        <f>IF(D1709=0,0,SUMIF(매도완료!$J:$J,Sheet2!$B1709,매도완료!$S:$S))+IF(D1709=0,0,SUMIF(ING!$J:$J,Sheet2!$B1709,ING!$S:$S))</f>
        <v>0</v>
      </c>
      <c r="H1709" s="16">
        <f t="shared" si="53"/>
        <v>28183855.836713009</v>
      </c>
    </row>
    <row r="1710" spans="2:8" hidden="1" x14ac:dyDescent="0.4">
      <c r="B1710" s="1">
        <v>44259</v>
      </c>
      <c r="C1710" s="16">
        <f>SUMIF(매도완료!$G:$G,Sheet2!$B1710,매도완료!$P:$P)+SUMIF(ING!$G:$G,Sheet2!$B1710,ING!$P:$P)</f>
        <v>0</v>
      </c>
      <c r="D1710" s="16">
        <f>SUMIF(매도완료!$J:$J,Sheet2!$B1710,매도완료!$P:$P)+SUMIF(ING!$J:$J,Sheet2!$B1710,ING!$P:$P)</f>
        <v>0</v>
      </c>
      <c r="E1710" s="16">
        <f t="shared" si="52"/>
        <v>107857838.65139996</v>
      </c>
      <c r="G1710" s="16">
        <f>IF(D1710=0,0,SUMIF(매도완료!$J:$J,Sheet2!$B1710,매도완료!$S:$S))+IF(D1710=0,0,SUMIF(ING!$J:$J,Sheet2!$B1710,ING!$S:$S))</f>
        <v>0</v>
      </c>
      <c r="H1710" s="16">
        <f t="shared" si="53"/>
        <v>28183855.836713009</v>
      </c>
    </row>
    <row r="1711" spans="2:8" hidden="1" x14ac:dyDescent="0.4">
      <c r="B1711" s="1">
        <v>44260</v>
      </c>
      <c r="C1711" s="16">
        <f>SUMIF(매도완료!$G:$G,Sheet2!$B1711,매도완료!$P:$P)+SUMIF(ING!$G:$G,Sheet2!$B1711,ING!$P:$P)</f>
        <v>0</v>
      </c>
      <c r="D1711" s="16">
        <f>SUMIF(매도완료!$J:$J,Sheet2!$B1711,매도완료!$P:$P)+SUMIF(ING!$J:$J,Sheet2!$B1711,ING!$P:$P)</f>
        <v>0</v>
      </c>
      <c r="E1711" s="16">
        <f t="shared" si="52"/>
        <v>107857838.65139996</v>
      </c>
      <c r="G1711" s="16">
        <f>IF(D1711=0,0,SUMIF(매도완료!$J:$J,Sheet2!$B1711,매도완료!$S:$S))+IF(D1711=0,0,SUMIF(ING!$J:$J,Sheet2!$B1711,ING!$S:$S))</f>
        <v>0</v>
      </c>
      <c r="H1711" s="16">
        <f t="shared" si="53"/>
        <v>28183855.836713009</v>
      </c>
    </row>
    <row r="1712" spans="2:8" hidden="1" x14ac:dyDescent="0.4">
      <c r="B1712" s="1">
        <v>44261</v>
      </c>
      <c r="C1712" s="16">
        <f>SUMIF(매도완료!$G:$G,Sheet2!$B1712,매도완료!$P:$P)+SUMIF(ING!$G:$G,Sheet2!$B1712,ING!$P:$P)</f>
        <v>0</v>
      </c>
      <c r="D1712" s="16">
        <f>SUMIF(매도완료!$J:$J,Sheet2!$B1712,매도완료!$P:$P)+SUMIF(ING!$J:$J,Sheet2!$B1712,ING!$P:$P)</f>
        <v>0</v>
      </c>
      <c r="E1712" s="16">
        <f t="shared" si="52"/>
        <v>107857838.65139996</v>
      </c>
      <c r="G1712" s="16">
        <f>IF(D1712=0,0,SUMIF(매도완료!$J:$J,Sheet2!$B1712,매도완료!$S:$S))+IF(D1712=0,0,SUMIF(ING!$J:$J,Sheet2!$B1712,ING!$S:$S))</f>
        <v>0</v>
      </c>
      <c r="H1712" s="16">
        <f t="shared" si="53"/>
        <v>28183855.836713009</v>
      </c>
    </row>
    <row r="1713" spans="2:8" hidden="1" x14ac:dyDescent="0.4">
      <c r="B1713" s="1">
        <v>44262</v>
      </c>
      <c r="C1713" s="16">
        <f>SUMIF(매도완료!$G:$G,Sheet2!$B1713,매도완료!$P:$P)+SUMIF(ING!$G:$G,Sheet2!$B1713,ING!$P:$P)</f>
        <v>0</v>
      </c>
      <c r="D1713" s="16">
        <f>SUMIF(매도완료!$J:$J,Sheet2!$B1713,매도완료!$P:$P)+SUMIF(ING!$J:$J,Sheet2!$B1713,ING!$P:$P)</f>
        <v>0</v>
      </c>
      <c r="E1713" s="16">
        <f t="shared" si="52"/>
        <v>107857838.65139996</v>
      </c>
      <c r="G1713" s="16">
        <f>IF(D1713=0,0,SUMIF(매도완료!$J:$J,Sheet2!$B1713,매도완료!$S:$S))+IF(D1713=0,0,SUMIF(ING!$J:$J,Sheet2!$B1713,ING!$S:$S))</f>
        <v>0</v>
      </c>
      <c r="H1713" s="16">
        <f t="shared" si="53"/>
        <v>28183855.836713009</v>
      </c>
    </row>
    <row r="1714" spans="2:8" hidden="1" x14ac:dyDescent="0.4">
      <c r="B1714" s="1">
        <v>44263</v>
      </c>
      <c r="C1714" s="16">
        <f>SUMIF(매도완료!$G:$G,Sheet2!$B1714,매도완료!$P:$P)+SUMIF(ING!$G:$G,Sheet2!$B1714,ING!$P:$P)</f>
        <v>0</v>
      </c>
      <c r="D1714" s="16">
        <f>SUMIF(매도완료!$J:$J,Sheet2!$B1714,매도완료!$P:$P)+SUMIF(ING!$J:$J,Sheet2!$B1714,ING!$P:$P)</f>
        <v>0</v>
      </c>
      <c r="E1714" s="16">
        <f t="shared" si="52"/>
        <v>107857838.65139996</v>
      </c>
      <c r="G1714" s="16">
        <f>IF(D1714=0,0,SUMIF(매도완료!$J:$J,Sheet2!$B1714,매도완료!$S:$S))+IF(D1714=0,0,SUMIF(ING!$J:$J,Sheet2!$B1714,ING!$S:$S))</f>
        <v>0</v>
      </c>
      <c r="H1714" s="16">
        <f t="shared" si="53"/>
        <v>28183855.836713009</v>
      </c>
    </row>
    <row r="1715" spans="2:8" hidden="1" x14ac:dyDescent="0.4">
      <c r="B1715" s="1">
        <v>44264</v>
      </c>
      <c r="C1715" s="16">
        <f>SUMIF(매도완료!$G:$G,Sheet2!$B1715,매도완료!$P:$P)+SUMIF(ING!$G:$G,Sheet2!$B1715,ING!$P:$P)</f>
        <v>0</v>
      </c>
      <c r="D1715" s="16">
        <f>SUMIF(매도완료!$J:$J,Sheet2!$B1715,매도완료!$P:$P)+SUMIF(ING!$J:$J,Sheet2!$B1715,ING!$P:$P)</f>
        <v>0</v>
      </c>
      <c r="E1715" s="16">
        <f t="shared" si="52"/>
        <v>107857838.65139996</v>
      </c>
      <c r="G1715" s="16">
        <f>IF(D1715=0,0,SUMIF(매도완료!$J:$J,Sheet2!$B1715,매도완료!$S:$S))+IF(D1715=0,0,SUMIF(ING!$J:$J,Sheet2!$B1715,ING!$S:$S))</f>
        <v>0</v>
      </c>
      <c r="H1715" s="16">
        <f t="shared" si="53"/>
        <v>28183855.836713009</v>
      </c>
    </row>
    <row r="1716" spans="2:8" hidden="1" x14ac:dyDescent="0.4">
      <c r="B1716" s="1">
        <v>44265</v>
      </c>
      <c r="C1716" s="16">
        <f>SUMIF(매도완료!$G:$G,Sheet2!$B1716,매도완료!$P:$P)+SUMIF(ING!$G:$G,Sheet2!$B1716,ING!$P:$P)</f>
        <v>0</v>
      </c>
      <c r="D1716" s="16">
        <f>SUMIF(매도완료!$J:$J,Sheet2!$B1716,매도완료!$P:$P)+SUMIF(ING!$J:$J,Sheet2!$B1716,ING!$P:$P)</f>
        <v>0</v>
      </c>
      <c r="E1716" s="16">
        <f t="shared" si="52"/>
        <v>107857838.65139996</v>
      </c>
      <c r="G1716" s="16">
        <f>IF(D1716=0,0,SUMIF(매도완료!$J:$J,Sheet2!$B1716,매도완료!$S:$S))+IF(D1716=0,0,SUMIF(ING!$J:$J,Sheet2!$B1716,ING!$S:$S))</f>
        <v>0</v>
      </c>
      <c r="H1716" s="16">
        <f t="shared" si="53"/>
        <v>28183855.836713009</v>
      </c>
    </row>
    <row r="1717" spans="2:8" hidden="1" x14ac:dyDescent="0.4">
      <c r="B1717" s="1">
        <v>44266</v>
      </c>
      <c r="C1717" s="16">
        <f>SUMIF(매도완료!$G:$G,Sheet2!$B1717,매도완료!$P:$P)+SUMIF(ING!$G:$G,Sheet2!$B1717,ING!$P:$P)</f>
        <v>0</v>
      </c>
      <c r="D1717" s="16">
        <f>SUMIF(매도완료!$J:$J,Sheet2!$B1717,매도완료!$P:$P)+SUMIF(ING!$J:$J,Sheet2!$B1717,ING!$P:$P)</f>
        <v>0</v>
      </c>
      <c r="E1717" s="16">
        <f t="shared" si="52"/>
        <v>107857838.65139996</v>
      </c>
      <c r="G1717" s="16">
        <f>IF(D1717=0,0,SUMIF(매도완료!$J:$J,Sheet2!$B1717,매도완료!$S:$S))+IF(D1717=0,0,SUMIF(ING!$J:$J,Sheet2!$B1717,ING!$S:$S))</f>
        <v>0</v>
      </c>
      <c r="H1717" s="16">
        <f t="shared" si="53"/>
        <v>28183855.836713009</v>
      </c>
    </row>
    <row r="1718" spans="2:8" hidden="1" x14ac:dyDescent="0.4">
      <c r="B1718" s="1">
        <v>44267</v>
      </c>
      <c r="C1718" s="16">
        <f>SUMIF(매도완료!$G:$G,Sheet2!$B1718,매도완료!$P:$P)+SUMIF(ING!$G:$G,Sheet2!$B1718,ING!$P:$P)</f>
        <v>0</v>
      </c>
      <c r="D1718" s="16">
        <f>SUMIF(매도완료!$J:$J,Sheet2!$B1718,매도완료!$P:$P)+SUMIF(ING!$J:$J,Sheet2!$B1718,ING!$P:$P)</f>
        <v>0</v>
      </c>
      <c r="E1718" s="16">
        <f t="shared" si="52"/>
        <v>107857838.65139996</v>
      </c>
      <c r="G1718" s="16">
        <f>IF(D1718=0,0,SUMIF(매도완료!$J:$J,Sheet2!$B1718,매도완료!$S:$S))+IF(D1718=0,0,SUMIF(ING!$J:$J,Sheet2!$B1718,ING!$S:$S))</f>
        <v>0</v>
      </c>
      <c r="H1718" s="16">
        <f t="shared" si="53"/>
        <v>28183855.836713009</v>
      </c>
    </row>
    <row r="1719" spans="2:8" hidden="1" x14ac:dyDescent="0.4">
      <c r="B1719" s="1">
        <v>44268</v>
      </c>
      <c r="C1719" s="16">
        <f>SUMIF(매도완료!$G:$G,Sheet2!$B1719,매도완료!$P:$P)+SUMIF(ING!$G:$G,Sheet2!$B1719,ING!$P:$P)</f>
        <v>0</v>
      </c>
      <c r="D1719" s="16">
        <f>SUMIF(매도완료!$J:$J,Sheet2!$B1719,매도완료!$P:$P)+SUMIF(ING!$J:$J,Sheet2!$B1719,ING!$P:$P)</f>
        <v>0</v>
      </c>
      <c r="E1719" s="16">
        <f t="shared" si="52"/>
        <v>107857838.65139996</v>
      </c>
      <c r="G1719" s="16">
        <f>IF(D1719=0,0,SUMIF(매도완료!$J:$J,Sheet2!$B1719,매도완료!$S:$S))+IF(D1719=0,0,SUMIF(ING!$J:$J,Sheet2!$B1719,ING!$S:$S))</f>
        <v>0</v>
      </c>
      <c r="H1719" s="16">
        <f t="shared" si="53"/>
        <v>28183855.836713009</v>
      </c>
    </row>
    <row r="1720" spans="2:8" hidden="1" x14ac:dyDescent="0.4">
      <c r="B1720" s="1">
        <v>44269</v>
      </c>
      <c r="C1720" s="16">
        <f>SUMIF(매도완료!$G:$G,Sheet2!$B1720,매도완료!$P:$P)+SUMIF(ING!$G:$G,Sheet2!$B1720,ING!$P:$P)</f>
        <v>0</v>
      </c>
      <c r="D1720" s="16">
        <f>SUMIF(매도완료!$J:$J,Sheet2!$B1720,매도완료!$P:$P)+SUMIF(ING!$J:$J,Sheet2!$B1720,ING!$P:$P)</f>
        <v>0</v>
      </c>
      <c r="E1720" s="16">
        <f t="shared" si="52"/>
        <v>107857838.65139996</v>
      </c>
      <c r="G1720" s="16">
        <f>IF(D1720=0,0,SUMIF(매도완료!$J:$J,Sheet2!$B1720,매도완료!$S:$S))+IF(D1720=0,0,SUMIF(ING!$J:$J,Sheet2!$B1720,ING!$S:$S))</f>
        <v>0</v>
      </c>
      <c r="H1720" s="16">
        <f t="shared" si="53"/>
        <v>28183855.836713009</v>
      </c>
    </row>
    <row r="1721" spans="2:8" hidden="1" x14ac:dyDescent="0.4">
      <c r="B1721" s="1">
        <v>44270</v>
      </c>
      <c r="C1721" s="16">
        <f>SUMIF(매도완료!$G:$G,Sheet2!$B1721,매도완료!$P:$P)+SUMIF(ING!$G:$G,Sheet2!$B1721,ING!$P:$P)</f>
        <v>0</v>
      </c>
      <c r="D1721" s="16">
        <f>SUMIF(매도완료!$J:$J,Sheet2!$B1721,매도완료!$P:$P)+SUMIF(ING!$J:$J,Sheet2!$B1721,ING!$P:$P)</f>
        <v>0</v>
      </c>
      <c r="E1721" s="16">
        <f t="shared" si="52"/>
        <v>107857838.65139996</v>
      </c>
      <c r="G1721" s="16">
        <f>IF(D1721=0,0,SUMIF(매도완료!$J:$J,Sheet2!$B1721,매도완료!$S:$S))+IF(D1721=0,0,SUMIF(ING!$J:$J,Sheet2!$B1721,ING!$S:$S))</f>
        <v>0</v>
      </c>
      <c r="H1721" s="16">
        <f t="shared" si="53"/>
        <v>28183855.836713009</v>
      </c>
    </row>
    <row r="1722" spans="2:8" hidden="1" x14ac:dyDescent="0.4">
      <c r="B1722" s="1">
        <v>44271</v>
      </c>
      <c r="C1722" s="16">
        <f>SUMIF(매도완료!$G:$G,Sheet2!$B1722,매도완료!$P:$P)+SUMIF(ING!$G:$G,Sheet2!$B1722,ING!$P:$P)</f>
        <v>0</v>
      </c>
      <c r="D1722" s="16">
        <f>SUMIF(매도완료!$J:$J,Sheet2!$B1722,매도완료!$P:$P)+SUMIF(ING!$J:$J,Sheet2!$B1722,ING!$P:$P)</f>
        <v>0</v>
      </c>
      <c r="E1722" s="16">
        <f t="shared" si="52"/>
        <v>107857838.65139996</v>
      </c>
      <c r="G1722" s="16">
        <f>IF(D1722=0,0,SUMIF(매도완료!$J:$J,Sheet2!$B1722,매도완료!$S:$S))+IF(D1722=0,0,SUMIF(ING!$J:$J,Sheet2!$B1722,ING!$S:$S))</f>
        <v>0</v>
      </c>
      <c r="H1722" s="16">
        <f t="shared" si="53"/>
        <v>28183855.836713009</v>
      </c>
    </row>
    <row r="1723" spans="2:8" hidden="1" x14ac:dyDescent="0.4">
      <c r="B1723" s="1">
        <v>44272</v>
      </c>
      <c r="C1723" s="16">
        <f>SUMIF(매도완료!$G:$G,Sheet2!$B1723,매도완료!$P:$P)+SUMIF(ING!$G:$G,Sheet2!$B1723,ING!$P:$P)</f>
        <v>0</v>
      </c>
      <c r="D1723" s="16">
        <f>SUMIF(매도완료!$J:$J,Sheet2!$B1723,매도완료!$P:$P)+SUMIF(ING!$J:$J,Sheet2!$B1723,ING!$P:$P)</f>
        <v>0</v>
      </c>
      <c r="E1723" s="16">
        <f t="shared" si="52"/>
        <v>107857838.65139996</v>
      </c>
      <c r="G1723" s="16">
        <f>IF(D1723=0,0,SUMIF(매도완료!$J:$J,Sheet2!$B1723,매도완료!$S:$S))+IF(D1723=0,0,SUMIF(ING!$J:$J,Sheet2!$B1723,ING!$S:$S))</f>
        <v>0</v>
      </c>
      <c r="H1723" s="16">
        <f t="shared" si="53"/>
        <v>28183855.836713009</v>
      </c>
    </row>
    <row r="1724" spans="2:8" hidden="1" x14ac:dyDescent="0.4">
      <c r="B1724" s="1">
        <v>44273</v>
      </c>
      <c r="C1724" s="16">
        <f>SUMIF(매도완료!$G:$G,Sheet2!$B1724,매도완료!$P:$P)+SUMIF(ING!$G:$G,Sheet2!$B1724,ING!$P:$P)</f>
        <v>1054500</v>
      </c>
      <c r="D1724" s="16">
        <f>SUMIF(매도완료!$J:$J,Sheet2!$B1724,매도완료!$P:$P)+SUMIF(ING!$J:$J,Sheet2!$B1724,ING!$P:$P)</f>
        <v>0</v>
      </c>
      <c r="E1724" s="16">
        <f t="shared" si="52"/>
        <v>108912338.65139996</v>
      </c>
      <c r="G1724" s="16">
        <f>IF(D1724=0,0,SUMIF(매도완료!$J:$J,Sheet2!$B1724,매도완료!$S:$S))+IF(D1724=0,0,SUMIF(ING!$J:$J,Sheet2!$B1724,ING!$S:$S))</f>
        <v>0</v>
      </c>
      <c r="H1724" s="16">
        <f t="shared" si="53"/>
        <v>28183855.836713009</v>
      </c>
    </row>
    <row r="1725" spans="2:8" hidden="1" x14ac:dyDescent="0.4">
      <c r="B1725" s="1">
        <v>44274</v>
      </c>
      <c r="C1725" s="16">
        <f>SUMIF(매도완료!$G:$G,Sheet2!$B1725,매도완료!$P:$P)+SUMIF(ING!$G:$G,Sheet2!$B1725,ING!$P:$P)</f>
        <v>0</v>
      </c>
      <c r="D1725" s="16">
        <f>SUMIF(매도완료!$J:$J,Sheet2!$B1725,매도완료!$P:$P)+SUMIF(ING!$J:$J,Sheet2!$B1725,ING!$P:$P)</f>
        <v>0</v>
      </c>
      <c r="E1725" s="16">
        <f t="shared" si="52"/>
        <v>108912338.65139996</v>
      </c>
      <c r="G1725" s="16">
        <f>IF(D1725=0,0,SUMIF(매도완료!$J:$J,Sheet2!$B1725,매도완료!$S:$S))+IF(D1725=0,0,SUMIF(ING!$J:$J,Sheet2!$B1725,ING!$S:$S))</f>
        <v>0</v>
      </c>
      <c r="H1725" s="16">
        <f t="shared" si="53"/>
        <v>28183855.836713009</v>
      </c>
    </row>
    <row r="1726" spans="2:8" hidden="1" x14ac:dyDescent="0.4">
      <c r="B1726" s="1">
        <v>44275</v>
      </c>
      <c r="C1726" s="16">
        <f>SUMIF(매도완료!$G:$G,Sheet2!$B1726,매도완료!$P:$P)+SUMIF(ING!$G:$G,Sheet2!$B1726,ING!$P:$P)</f>
        <v>0</v>
      </c>
      <c r="D1726" s="16">
        <f>SUMIF(매도완료!$J:$J,Sheet2!$B1726,매도완료!$P:$P)+SUMIF(ING!$J:$J,Sheet2!$B1726,ING!$P:$P)</f>
        <v>0</v>
      </c>
      <c r="E1726" s="16">
        <f t="shared" si="52"/>
        <v>108912338.65139996</v>
      </c>
      <c r="G1726" s="16">
        <f>IF(D1726=0,0,SUMIF(매도완료!$J:$J,Sheet2!$B1726,매도완료!$S:$S))+IF(D1726=0,0,SUMIF(ING!$J:$J,Sheet2!$B1726,ING!$S:$S))</f>
        <v>0</v>
      </c>
      <c r="H1726" s="16">
        <f t="shared" si="53"/>
        <v>28183855.836713009</v>
      </c>
    </row>
    <row r="1727" spans="2:8" hidden="1" x14ac:dyDescent="0.4">
      <c r="B1727" s="1">
        <v>44276</v>
      </c>
      <c r="C1727" s="16">
        <f>SUMIF(매도완료!$G:$G,Sheet2!$B1727,매도완료!$P:$P)+SUMIF(ING!$G:$G,Sheet2!$B1727,ING!$P:$P)</f>
        <v>0</v>
      </c>
      <c r="D1727" s="16">
        <f>SUMIF(매도완료!$J:$J,Sheet2!$B1727,매도완료!$P:$P)+SUMIF(ING!$J:$J,Sheet2!$B1727,ING!$P:$P)</f>
        <v>0</v>
      </c>
      <c r="E1727" s="16">
        <f t="shared" si="52"/>
        <v>108912338.65139996</v>
      </c>
      <c r="G1727" s="16">
        <f>IF(D1727=0,0,SUMIF(매도완료!$J:$J,Sheet2!$B1727,매도완료!$S:$S))+IF(D1727=0,0,SUMIF(ING!$J:$J,Sheet2!$B1727,ING!$S:$S))</f>
        <v>0</v>
      </c>
      <c r="H1727" s="16">
        <f t="shared" si="53"/>
        <v>28183855.836713009</v>
      </c>
    </row>
    <row r="1728" spans="2:8" hidden="1" x14ac:dyDescent="0.4">
      <c r="B1728" s="1">
        <v>44277</v>
      </c>
      <c r="C1728" s="16">
        <f>SUMIF(매도완료!$G:$G,Sheet2!$B1728,매도완료!$P:$P)+SUMIF(ING!$G:$G,Sheet2!$B1728,ING!$P:$P)</f>
        <v>0</v>
      </c>
      <c r="D1728" s="16">
        <f>SUMIF(매도완료!$J:$J,Sheet2!$B1728,매도완료!$P:$P)+SUMIF(ING!$J:$J,Sheet2!$B1728,ING!$P:$P)</f>
        <v>0</v>
      </c>
      <c r="E1728" s="16">
        <f t="shared" si="52"/>
        <v>108912338.65139996</v>
      </c>
      <c r="G1728" s="16">
        <f>IF(D1728=0,0,SUMIF(매도완료!$J:$J,Sheet2!$B1728,매도완료!$S:$S))+IF(D1728=0,0,SUMIF(ING!$J:$J,Sheet2!$B1728,ING!$S:$S))</f>
        <v>0</v>
      </c>
      <c r="H1728" s="16">
        <f t="shared" si="53"/>
        <v>28183855.836713009</v>
      </c>
    </row>
    <row r="1729" spans="2:8" hidden="1" x14ac:dyDescent="0.4">
      <c r="B1729" s="1">
        <v>44278</v>
      </c>
      <c r="C1729" s="16">
        <f>SUMIF(매도완료!$G:$G,Sheet2!$B1729,매도완료!$P:$P)+SUMIF(ING!$G:$G,Sheet2!$B1729,ING!$P:$P)</f>
        <v>409400</v>
      </c>
      <c r="D1729" s="16">
        <f>SUMIF(매도완료!$J:$J,Sheet2!$B1729,매도완료!$P:$P)+SUMIF(ING!$J:$J,Sheet2!$B1729,ING!$P:$P)</f>
        <v>0</v>
      </c>
      <c r="E1729" s="16">
        <f t="shared" si="52"/>
        <v>109321738.65139996</v>
      </c>
      <c r="G1729" s="16">
        <f>IF(D1729=0,0,SUMIF(매도완료!$J:$J,Sheet2!$B1729,매도완료!$S:$S))+IF(D1729=0,0,SUMIF(ING!$J:$J,Sheet2!$B1729,ING!$S:$S))</f>
        <v>0</v>
      </c>
      <c r="H1729" s="16">
        <f t="shared" si="53"/>
        <v>28183855.836713009</v>
      </c>
    </row>
    <row r="1730" spans="2:8" hidden="1" x14ac:dyDescent="0.4">
      <c r="B1730" s="1">
        <v>44279</v>
      </c>
      <c r="C1730" s="16">
        <f>SUMIF(매도완료!$G:$G,Sheet2!$B1730,매도완료!$P:$P)+SUMIF(ING!$G:$G,Sheet2!$B1730,ING!$P:$P)</f>
        <v>633000</v>
      </c>
      <c r="D1730" s="16">
        <f>SUMIF(매도완료!$J:$J,Sheet2!$B1730,매도완료!$P:$P)+SUMIF(ING!$J:$J,Sheet2!$B1730,ING!$P:$P)</f>
        <v>2712000</v>
      </c>
      <c r="E1730" s="16">
        <f t="shared" si="52"/>
        <v>107242738.65139996</v>
      </c>
      <c r="G1730" s="16">
        <f>IF(D1730=0,0,SUMIF(매도완료!$J:$J,Sheet2!$B1730,매도완료!$S:$S))+IF(D1730=0,0,SUMIF(ING!$J:$J,Sheet2!$B1730,ING!$S:$S))</f>
        <v>422141.6</v>
      </c>
      <c r="H1730" s="16">
        <f t="shared" si="53"/>
        <v>28605997.43671301</v>
      </c>
    </row>
    <row r="1731" spans="2:8" hidden="1" x14ac:dyDescent="0.4">
      <c r="B1731" s="1">
        <v>44280</v>
      </c>
      <c r="C1731" s="16">
        <f>SUMIF(매도완료!$G:$G,Sheet2!$B1731,매도완료!$P:$P)+SUMIF(ING!$G:$G,Sheet2!$B1731,ING!$P:$P)</f>
        <v>0</v>
      </c>
      <c r="D1731" s="16">
        <f>SUMIF(매도완료!$J:$J,Sheet2!$B1731,매도완료!$P:$P)+SUMIF(ING!$J:$J,Sheet2!$B1731,ING!$P:$P)</f>
        <v>0</v>
      </c>
      <c r="E1731" s="16">
        <f t="shared" si="52"/>
        <v>107242738.65139996</v>
      </c>
      <c r="G1731" s="16">
        <f>IF(D1731=0,0,SUMIF(매도완료!$J:$J,Sheet2!$B1731,매도완료!$S:$S))+IF(D1731=0,0,SUMIF(ING!$J:$J,Sheet2!$B1731,ING!$S:$S))</f>
        <v>0</v>
      </c>
      <c r="H1731" s="16">
        <f t="shared" si="53"/>
        <v>28605997.43671301</v>
      </c>
    </row>
    <row r="1732" spans="2:8" hidden="1" x14ac:dyDescent="0.4">
      <c r="B1732" s="1">
        <v>44281</v>
      </c>
      <c r="C1732" s="16">
        <f>SUMIF(매도완료!$G:$G,Sheet2!$B1732,매도완료!$P:$P)+SUMIF(ING!$G:$G,Sheet2!$B1732,ING!$P:$P)</f>
        <v>0</v>
      </c>
      <c r="D1732" s="16">
        <f>SUMIF(매도완료!$J:$J,Sheet2!$B1732,매도완료!$P:$P)+SUMIF(ING!$J:$J,Sheet2!$B1732,ING!$P:$P)</f>
        <v>0</v>
      </c>
      <c r="E1732" s="16">
        <f t="shared" ref="E1732:E1795" si="54">E1731+C1732-D1732</f>
        <v>107242738.65139996</v>
      </c>
      <c r="G1732" s="16">
        <f>IF(D1732=0,0,SUMIF(매도완료!$J:$J,Sheet2!$B1732,매도완료!$S:$S))+IF(D1732=0,0,SUMIF(ING!$J:$J,Sheet2!$B1732,ING!$S:$S))</f>
        <v>0</v>
      </c>
      <c r="H1732" s="16">
        <f t="shared" ref="H1732:H1795" si="55">H1731+G1732</f>
        <v>28605997.43671301</v>
      </c>
    </row>
    <row r="1733" spans="2:8" hidden="1" x14ac:dyDescent="0.4">
      <c r="B1733" s="1">
        <v>44282</v>
      </c>
      <c r="C1733" s="16">
        <f>SUMIF(매도완료!$G:$G,Sheet2!$B1733,매도완료!$P:$P)+SUMIF(ING!$G:$G,Sheet2!$B1733,ING!$P:$P)</f>
        <v>0</v>
      </c>
      <c r="D1733" s="16">
        <f>SUMIF(매도완료!$J:$J,Sheet2!$B1733,매도완료!$P:$P)+SUMIF(ING!$J:$J,Sheet2!$B1733,ING!$P:$P)</f>
        <v>0</v>
      </c>
      <c r="E1733" s="16">
        <f t="shared" si="54"/>
        <v>107242738.65139996</v>
      </c>
      <c r="G1733" s="16">
        <f>IF(D1733=0,0,SUMIF(매도완료!$J:$J,Sheet2!$B1733,매도완료!$S:$S))+IF(D1733=0,0,SUMIF(ING!$J:$J,Sheet2!$B1733,ING!$S:$S))</f>
        <v>0</v>
      </c>
      <c r="H1733" s="16">
        <f t="shared" si="55"/>
        <v>28605997.43671301</v>
      </c>
    </row>
    <row r="1734" spans="2:8" hidden="1" x14ac:dyDescent="0.4">
      <c r="B1734" s="1">
        <v>44283</v>
      </c>
      <c r="C1734" s="16">
        <f>SUMIF(매도완료!$G:$G,Sheet2!$B1734,매도완료!$P:$P)+SUMIF(ING!$G:$G,Sheet2!$B1734,ING!$P:$P)</f>
        <v>0</v>
      </c>
      <c r="D1734" s="16">
        <f>SUMIF(매도완료!$J:$J,Sheet2!$B1734,매도완료!$P:$P)+SUMIF(ING!$J:$J,Sheet2!$B1734,ING!$P:$P)</f>
        <v>0</v>
      </c>
      <c r="E1734" s="16">
        <f t="shared" si="54"/>
        <v>107242738.65139996</v>
      </c>
      <c r="G1734" s="16">
        <f>IF(D1734=0,0,SUMIF(매도완료!$J:$J,Sheet2!$B1734,매도완료!$S:$S))+IF(D1734=0,0,SUMIF(ING!$J:$J,Sheet2!$B1734,ING!$S:$S))</f>
        <v>0</v>
      </c>
      <c r="H1734" s="16">
        <f t="shared" si="55"/>
        <v>28605997.43671301</v>
      </c>
    </row>
    <row r="1735" spans="2:8" hidden="1" x14ac:dyDescent="0.4">
      <c r="B1735" s="1">
        <v>44284</v>
      </c>
      <c r="C1735" s="16">
        <f>SUMIF(매도완료!$G:$G,Sheet2!$B1735,매도완료!$P:$P)+SUMIF(ING!$G:$G,Sheet2!$B1735,ING!$P:$P)</f>
        <v>0</v>
      </c>
      <c r="D1735" s="16">
        <f>SUMIF(매도완료!$J:$J,Sheet2!$B1735,매도완료!$P:$P)+SUMIF(ING!$J:$J,Sheet2!$B1735,ING!$P:$P)</f>
        <v>0</v>
      </c>
      <c r="E1735" s="16">
        <f t="shared" si="54"/>
        <v>107242738.65139996</v>
      </c>
      <c r="G1735" s="16">
        <f>IF(D1735=0,0,SUMIF(매도완료!$J:$J,Sheet2!$B1735,매도완료!$S:$S))+IF(D1735=0,0,SUMIF(ING!$J:$J,Sheet2!$B1735,ING!$S:$S))</f>
        <v>0</v>
      </c>
      <c r="H1735" s="16">
        <f t="shared" si="55"/>
        <v>28605997.43671301</v>
      </c>
    </row>
    <row r="1736" spans="2:8" hidden="1" x14ac:dyDescent="0.4">
      <c r="B1736" s="1">
        <v>44285</v>
      </c>
      <c r="C1736" s="16">
        <f>SUMIF(매도완료!$G:$G,Sheet2!$B1736,매도완료!$P:$P)+SUMIF(ING!$G:$G,Sheet2!$B1736,ING!$P:$P)</f>
        <v>0</v>
      </c>
      <c r="D1736" s="16">
        <f>SUMIF(매도완료!$J:$J,Sheet2!$B1736,매도완료!$P:$P)+SUMIF(ING!$J:$J,Sheet2!$B1736,ING!$P:$P)</f>
        <v>9750460</v>
      </c>
      <c r="E1736" s="16">
        <f t="shared" si="54"/>
        <v>97492278.651399955</v>
      </c>
      <c r="G1736" s="16">
        <f>IF(D1736=0,0,SUMIF(매도완료!$J:$J,Sheet2!$B1736,매도완료!$S:$S))+IF(D1736=0,0,SUMIF(ING!$J:$J,Sheet2!$B1736,ING!$S:$S))</f>
        <v>4382597.05</v>
      </c>
      <c r="H1736" s="16">
        <f t="shared" si="55"/>
        <v>32988594.486713011</v>
      </c>
    </row>
    <row r="1737" spans="2:8" hidden="1" x14ac:dyDescent="0.4">
      <c r="B1737" s="1">
        <v>44286</v>
      </c>
      <c r="C1737" s="16">
        <f>SUMIF(매도완료!$G:$G,Sheet2!$B1737,매도완료!$P:$P)+SUMIF(ING!$G:$G,Sheet2!$B1737,ING!$P:$P)</f>
        <v>0</v>
      </c>
      <c r="D1737" s="16">
        <f>SUMIF(매도완료!$J:$J,Sheet2!$B1737,매도완료!$P:$P)+SUMIF(ING!$J:$J,Sheet2!$B1737,ING!$P:$P)</f>
        <v>0</v>
      </c>
      <c r="E1737" s="16">
        <f t="shared" si="54"/>
        <v>97492278.651399955</v>
      </c>
      <c r="G1737" s="16">
        <f>IF(D1737=0,0,SUMIF(매도완료!$J:$J,Sheet2!$B1737,매도완료!$S:$S))+IF(D1737=0,0,SUMIF(ING!$J:$J,Sheet2!$B1737,ING!$S:$S))</f>
        <v>0</v>
      </c>
      <c r="H1737" s="16">
        <f t="shared" si="55"/>
        <v>32988594.486713011</v>
      </c>
    </row>
    <row r="1738" spans="2:8" hidden="1" x14ac:dyDescent="0.4">
      <c r="B1738" s="1">
        <v>44287</v>
      </c>
      <c r="C1738" s="16">
        <f>SUMIF(매도완료!$G:$G,Sheet2!$B1738,매도완료!$P:$P)+SUMIF(ING!$G:$G,Sheet2!$B1738,ING!$P:$P)</f>
        <v>0</v>
      </c>
      <c r="D1738" s="16">
        <f>SUMIF(매도완료!$J:$J,Sheet2!$B1738,매도완료!$P:$P)+SUMIF(ING!$J:$J,Sheet2!$B1738,ING!$P:$P)</f>
        <v>0</v>
      </c>
      <c r="E1738" s="16">
        <f t="shared" si="54"/>
        <v>97492278.651399955</v>
      </c>
      <c r="G1738" s="16">
        <f>IF(D1738=0,0,SUMIF(매도완료!$J:$J,Sheet2!$B1738,매도완료!$S:$S))+IF(D1738=0,0,SUMIF(ING!$J:$J,Sheet2!$B1738,ING!$S:$S))</f>
        <v>0</v>
      </c>
      <c r="H1738" s="16">
        <f t="shared" si="55"/>
        <v>32988594.486713011</v>
      </c>
    </row>
    <row r="1739" spans="2:8" hidden="1" x14ac:dyDescent="0.4">
      <c r="B1739" s="1">
        <v>44288</v>
      </c>
      <c r="C1739" s="16">
        <f>SUMIF(매도완료!$G:$G,Sheet2!$B1739,매도완료!$P:$P)+SUMIF(ING!$G:$G,Sheet2!$B1739,ING!$P:$P)</f>
        <v>704000</v>
      </c>
      <c r="D1739" s="16">
        <f>SUMIF(매도완료!$J:$J,Sheet2!$B1739,매도완료!$P:$P)+SUMIF(ING!$J:$J,Sheet2!$B1739,ING!$P:$P)</f>
        <v>0</v>
      </c>
      <c r="E1739" s="16">
        <f t="shared" si="54"/>
        <v>98196278.651399955</v>
      </c>
      <c r="G1739" s="16">
        <f>IF(D1739=0,0,SUMIF(매도완료!$J:$J,Sheet2!$B1739,매도완료!$S:$S))+IF(D1739=0,0,SUMIF(ING!$J:$J,Sheet2!$B1739,ING!$S:$S))</f>
        <v>0</v>
      </c>
      <c r="H1739" s="16">
        <f t="shared" si="55"/>
        <v>32988594.486713011</v>
      </c>
    </row>
    <row r="1740" spans="2:8" hidden="1" x14ac:dyDescent="0.4">
      <c r="B1740" s="1">
        <v>44289</v>
      </c>
      <c r="C1740" s="16">
        <f>SUMIF(매도완료!$G:$G,Sheet2!$B1740,매도완료!$P:$P)+SUMIF(ING!$G:$G,Sheet2!$B1740,ING!$P:$P)</f>
        <v>0</v>
      </c>
      <c r="D1740" s="16">
        <f>SUMIF(매도완료!$J:$J,Sheet2!$B1740,매도완료!$P:$P)+SUMIF(ING!$J:$J,Sheet2!$B1740,ING!$P:$P)</f>
        <v>0</v>
      </c>
      <c r="E1740" s="16">
        <f t="shared" si="54"/>
        <v>98196278.651399955</v>
      </c>
      <c r="G1740" s="16">
        <f>IF(D1740=0,0,SUMIF(매도완료!$J:$J,Sheet2!$B1740,매도완료!$S:$S))+IF(D1740=0,0,SUMIF(ING!$J:$J,Sheet2!$B1740,ING!$S:$S))</f>
        <v>0</v>
      </c>
      <c r="H1740" s="16">
        <f t="shared" si="55"/>
        <v>32988594.486713011</v>
      </c>
    </row>
    <row r="1741" spans="2:8" hidden="1" x14ac:dyDescent="0.4">
      <c r="B1741" s="1">
        <v>44290</v>
      </c>
      <c r="C1741" s="16">
        <f>SUMIF(매도완료!$G:$G,Sheet2!$B1741,매도완료!$P:$P)+SUMIF(ING!$G:$G,Sheet2!$B1741,ING!$P:$P)</f>
        <v>0</v>
      </c>
      <c r="D1741" s="16">
        <f>SUMIF(매도완료!$J:$J,Sheet2!$B1741,매도완료!$P:$P)+SUMIF(ING!$J:$J,Sheet2!$B1741,ING!$P:$P)</f>
        <v>0</v>
      </c>
      <c r="E1741" s="16">
        <f t="shared" si="54"/>
        <v>98196278.651399955</v>
      </c>
      <c r="G1741" s="16">
        <f>IF(D1741=0,0,SUMIF(매도완료!$J:$J,Sheet2!$B1741,매도완료!$S:$S))+IF(D1741=0,0,SUMIF(ING!$J:$J,Sheet2!$B1741,ING!$S:$S))</f>
        <v>0</v>
      </c>
      <c r="H1741" s="16">
        <f t="shared" si="55"/>
        <v>32988594.486713011</v>
      </c>
    </row>
    <row r="1742" spans="2:8" hidden="1" x14ac:dyDescent="0.4">
      <c r="B1742" s="1">
        <v>44291</v>
      </c>
      <c r="C1742" s="16">
        <f>SUMIF(매도완료!$G:$G,Sheet2!$B1742,매도완료!$P:$P)+SUMIF(ING!$G:$G,Sheet2!$B1742,ING!$P:$P)</f>
        <v>8123735.8080000002</v>
      </c>
      <c r="D1742" s="16">
        <f>SUMIF(매도완료!$J:$J,Sheet2!$B1742,매도완료!$P:$P)+SUMIF(ING!$J:$J,Sheet2!$B1742,ING!$P:$P)</f>
        <v>0</v>
      </c>
      <c r="E1742" s="16">
        <f t="shared" si="54"/>
        <v>106320014.45939995</v>
      </c>
      <c r="G1742" s="16">
        <f>IF(D1742=0,0,SUMIF(매도완료!$J:$J,Sheet2!$B1742,매도완료!$S:$S))+IF(D1742=0,0,SUMIF(ING!$J:$J,Sheet2!$B1742,ING!$S:$S))</f>
        <v>0</v>
      </c>
      <c r="H1742" s="16">
        <f t="shared" si="55"/>
        <v>32988594.486713011</v>
      </c>
    </row>
    <row r="1743" spans="2:8" hidden="1" x14ac:dyDescent="0.4">
      <c r="B1743" s="1">
        <v>44292</v>
      </c>
      <c r="C1743" s="16">
        <f>SUMIF(매도완료!$G:$G,Sheet2!$B1743,매도완료!$P:$P)+SUMIF(ING!$G:$G,Sheet2!$B1743,ING!$P:$P)</f>
        <v>0</v>
      </c>
      <c r="D1743" s="16">
        <f>SUMIF(매도완료!$J:$J,Sheet2!$B1743,매도완료!$P:$P)+SUMIF(ING!$J:$J,Sheet2!$B1743,ING!$P:$P)</f>
        <v>0</v>
      </c>
      <c r="E1743" s="16">
        <f t="shared" si="54"/>
        <v>106320014.45939995</v>
      </c>
      <c r="G1743" s="16">
        <f>IF(D1743=0,0,SUMIF(매도완료!$J:$J,Sheet2!$B1743,매도완료!$S:$S))+IF(D1743=0,0,SUMIF(ING!$J:$J,Sheet2!$B1743,ING!$S:$S))</f>
        <v>0</v>
      </c>
      <c r="H1743" s="16">
        <f t="shared" si="55"/>
        <v>32988594.486713011</v>
      </c>
    </row>
    <row r="1744" spans="2:8" hidden="1" x14ac:dyDescent="0.4">
      <c r="B1744" s="1">
        <v>44293</v>
      </c>
      <c r="C1744" s="16">
        <f>SUMIF(매도완료!$G:$G,Sheet2!$B1744,매도완료!$P:$P)+SUMIF(ING!$G:$G,Sheet2!$B1744,ING!$P:$P)</f>
        <v>8144038.824</v>
      </c>
      <c r="D1744" s="16">
        <f>SUMIF(매도완료!$J:$J,Sheet2!$B1744,매도완료!$P:$P)+SUMIF(ING!$J:$J,Sheet2!$B1744,ING!$P:$P)</f>
        <v>0</v>
      </c>
      <c r="E1744" s="16">
        <f t="shared" si="54"/>
        <v>114464053.28339995</v>
      </c>
      <c r="G1744" s="16">
        <f>IF(D1744=0,0,SUMIF(매도완료!$J:$J,Sheet2!$B1744,매도완료!$S:$S))+IF(D1744=0,0,SUMIF(ING!$J:$J,Sheet2!$B1744,ING!$S:$S))</f>
        <v>0</v>
      </c>
      <c r="H1744" s="16">
        <f t="shared" si="55"/>
        <v>32988594.486713011</v>
      </c>
    </row>
    <row r="1745" spans="2:8" hidden="1" x14ac:dyDescent="0.4">
      <c r="B1745" s="1">
        <v>44294</v>
      </c>
      <c r="C1745" s="16">
        <f>SUMIF(매도완료!$G:$G,Sheet2!$B1745,매도완료!$P:$P)+SUMIF(ING!$G:$G,Sheet2!$B1745,ING!$P:$P)</f>
        <v>0</v>
      </c>
      <c r="D1745" s="16">
        <f>SUMIF(매도완료!$J:$J,Sheet2!$B1745,매도완료!$P:$P)+SUMIF(ING!$J:$J,Sheet2!$B1745,ING!$P:$P)</f>
        <v>0</v>
      </c>
      <c r="E1745" s="16">
        <f t="shared" si="54"/>
        <v>114464053.28339995</v>
      </c>
      <c r="G1745" s="16">
        <f>IF(D1745=0,0,SUMIF(매도완료!$J:$J,Sheet2!$B1745,매도완료!$S:$S))+IF(D1745=0,0,SUMIF(ING!$J:$J,Sheet2!$B1745,ING!$S:$S))</f>
        <v>0</v>
      </c>
      <c r="H1745" s="16">
        <f t="shared" si="55"/>
        <v>32988594.486713011</v>
      </c>
    </row>
    <row r="1746" spans="2:8" hidden="1" x14ac:dyDescent="0.4">
      <c r="B1746" s="1">
        <v>44295</v>
      </c>
      <c r="C1746" s="16">
        <f>SUMIF(매도완료!$G:$G,Sheet2!$B1746,매도완료!$P:$P)+SUMIF(ING!$G:$G,Sheet2!$B1746,ING!$P:$P)</f>
        <v>0</v>
      </c>
      <c r="D1746" s="16">
        <f>SUMIF(매도완료!$J:$J,Sheet2!$B1746,매도완료!$P:$P)+SUMIF(ING!$J:$J,Sheet2!$B1746,ING!$P:$P)</f>
        <v>0</v>
      </c>
      <c r="E1746" s="16">
        <f t="shared" si="54"/>
        <v>114464053.28339995</v>
      </c>
      <c r="G1746" s="16">
        <f>IF(D1746=0,0,SUMIF(매도완료!$J:$J,Sheet2!$B1746,매도완료!$S:$S))+IF(D1746=0,0,SUMIF(ING!$J:$J,Sheet2!$B1746,ING!$S:$S))</f>
        <v>0</v>
      </c>
      <c r="H1746" s="16">
        <f t="shared" si="55"/>
        <v>32988594.486713011</v>
      </c>
    </row>
    <row r="1747" spans="2:8" hidden="1" x14ac:dyDescent="0.4">
      <c r="B1747" s="1">
        <v>44296</v>
      </c>
      <c r="C1747" s="16">
        <f>SUMIF(매도완료!$G:$G,Sheet2!$B1747,매도완료!$P:$P)+SUMIF(ING!$G:$G,Sheet2!$B1747,ING!$P:$P)</f>
        <v>0</v>
      </c>
      <c r="D1747" s="16">
        <f>SUMIF(매도완료!$J:$J,Sheet2!$B1747,매도완료!$P:$P)+SUMIF(ING!$J:$J,Sheet2!$B1747,ING!$P:$P)</f>
        <v>0</v>
      </c>
      <c r="E1747" s="16">
        <f t="shared" si="54"/>
        <v>114464053.28339995</v>
      </c>
      <c r="G1747" s="16">
        <f>IF(D1747=0,0,SUMIF(매도완료!$J:$J,Sheet2!$B1747,매도완료!$S:$S))+IF(D1747=0,0,SUMIF(ING!$J:$J,Sheet2!$B1747,ING!$S:$S))</f>
        <v>0</v>
      </c>
      <c r="H1747" s="16">
        <f t="shared" si="55"/>
        <v>32988594.486713011</v>
      </c>
    </row>
    <row r="1748" spans="2:8" hidden="1" x14ac:dyDescent="0.4">
      <c r="B1748" s="1">
        <v>44297</v>
      </c>
      <c r="C1748" s="16">
        <f>SUMIF(매도완료!$G:$G,Sheet2!$B1748,매도완료!$P:$P)+SUMIF(ING!$G:$G,Sheet2!$B1748,ING!$P:$P)</f>
        <v>0</v>
      </c>
      <c r="D1748" s="16">
        <f>SUMIF(매도완료!$J:$J,Sheet2!$B1748,매도완료!$P:$P)+SUMIF(ING!$J:$J,Sheet2!$B1748,ING!$P:$P)</f>
        <v>0</v>
      </c>
      <c r="E1748" s="16">
        <f t="shared" si="54"/>
        <v>114464053.28339995</v>
      </c>
      <c r="G1748" s="16">
        <f>IF(D1748=0,0,SUMIF(매도완료!$J:$J,Sheet2!$B1748,매도완료!$S:$S))+IF(D1748=0,0,SUMIF(ING!$J:$J,Sheet2!$B1748,ING!$S:$S))</f>
        <v>0</v>
      </c>
      <c r="H1748" s="16">
        <f t="shared" si="55"/>
        <v>32988594.486713011</v>
      </c>
    </row>
    <row r="1749" spans="2:8" hidden="1" x14ac:dyDescent="0.4">
      <c r="B1749" s="1">
        <v>44298</v>
      </c>
      <c r="C1749" s="16">
        <f>SUMIF(매도완료!$G:$G,Sheet2!$B1749,매도완료!$P:$P)+SUMIF(ING!$G:$G,Sheet2!$B1749,ING!$P:$P)</f>
        <v>0</v>
      </c>
      <c r="D1749" s="16">
        <f>SUMIF(매도완료!$J:$J,Sheet2!$B1749,매도완료!$P:$P)+SUMIF(ING!$J:$J,Sheet2!$B1749,ING!$P:$P)</f>
        <v>0</v>
      </c>
      <c r="E1749" s="16">
        <f t="shared" si="54"/>
        <v>114464053.28339995</v>
      </c>
      <c r="G1749" s="16">
        <f>IF(D1749=0,0,SUMIF(매도완료!$J:$J,Sheet2!$B1749,매도완료!$S:$S))+IF(D1749=0,0,SUMIF(ING!$J:$J,Sheet2!$B1749,ING!$S:$S))</f>
        <v>0</v>
      </c>
      <c r="H1749" s="16">
        <f t="shared" si="55"/>
        <v>32988594.486713011</v>
      </c>
    </row>
    <row r="1750" spans="2:8" hidden="1" x14ac:dyDescent="0.4">
      <c r="B1750" s="1">
        <v>44299</v>
      </c>
      <c r="C1750" s="16">
        <f>SUMIF(매도완료!$G:$G,Sheet2!$B1750,매도완료!$P:$P)+SUMIF(ING!$G:$G,Sheet2!$B1750,ING!$P:$P)</f>
        <v>0</v>
      </c>
      <c r="D1750" s="16">
        <f>SUMIF(매도완료!$J:$J,Sheet2!$B1750,매도완료!$P:$P)+SUMIF(ING!$J:$J,Sheet2!$B1750,ING!$P:$P)</f>
        <v>0</v>
      </c>
      <c r="E1750" s="16">
        <f t="shared" si="54"/>
        <v>114464053.28339995</v>
      </c>
      <c r="G1750" s="16">
        <f>IF(D1750=0,0,SUMIF(매도완료!$J:$J,Sheet2!$B1750,매도완료!$S:$S))+IF(D1750=0,0,SUMIF(ING!$J:$J,Sheet2!$B1750,ING!$S:$S))</f>
        <v>0</v>
      </c>
      <c r="H1750" s="16">
        <f t="shared" si="55"/>
        <v>32988594.486713011</v>
      </c>
    </row>
    <row r="1751" spans="2:8" hidden="1" x14ac:dyDescent="0.4">
      <c r="B1751" s="1">
        <v>44300</v>
      </c>
      <c r="C1751" s="16">
        <f>SUMIF(매도완료!$G:$G,Sheet2!$B1751,매도완료!$P:$P)+SUMIF(ING!$G:$G,Sheet2!$B1751,ING!$P:$P)</f>
        <v>0</v>
      </c>
      <c r="D1751" s="16">
        <f>SUMIF(매도완료!$J:$J,Sheet2!$B1751,매도완료!$P:$P)+SUMIF(ING!$J:$J,Sheet2!$B1751,ING!$P:$P)</f>
        <v>0</v>
      </c>
      <c r="E1751" s="16">
        <f t="shared" si="54"/>
        <v>114464053.28339995</v>
      </c>
      <c r="G1751" s="16">
        <f>IF(D1751=0,0,SUMIF(매도완료!$J:$J,Sheet2!$B1751,매도완료!$S:$S))+IF(D1751=0,0,SUMIF(ING!$J:$J,Sheet2!$B1751,ING!$S:$S))</f>
        <v>0</v>
      </c>
      <c r="H1751" s="16">
        <f t="shared" si="55"/>
        <v>32988594.486713011</v>
      </c>
    </row>
    <row r="1752" spans="2:8" hidden="1" x14ac:dyDescent="0.4">
      <c r="B1752" s="1">
        <v>44301</v>
      </c>
      <c r="C1752" s="16">
        <f>SUMIF(매도완료!$G:$G,Sheet2!$B1752,매도완료!$P:$P)+SUMIF(ING!$G:$G,Sheet2!$B1752,ING!$P:$P)</f>
        <v>0</v>
      </c>
      <c r="D1752" s="16">
        <f>SUMIF(매도완료!$J:$J,Sheet2!$B1752,매도완료!$P:$P)+SUMIF(ING!$J:$J,Sheet2!$B1752,ING!$P:$P)</f>
        <v>0</v>
      </c>
      <c r="E1752" s="16">
        <f t="shared" si="54"/>
        <v>114464053.28339995</v>
      </c>
      <c r="G1752" s="16">
        <f>IF(D1752=0,0,SUMIF(매도완료!$J:$J,Sheet2!$B1752,매도완료!$S:$S))+IF(D1752=0,0,SUMIF(ING!$J:$J,Sheet2!$B1752,ING!$S:$S))</f>
        <v>0</v>
      </c>
      <c r="H1752" s="16">
        <f t="shared" si="55"/>
        <v>32988594.486713011</v>
      </c>
    </row>
    <row r="1753" spans="2:8" hidden="1" x14ac:dyDescent="0.4">
      <c r="B1753" s="1">
        <v>44302</v>
      </c>
      <c r="C1753" s="16">
        <f>SUMIF(매도완료!$G:$G,Sheet2!$B1753,매도완료!$P:$P)+SUMIF(ING!$G:$G,Sheet2!$B1753,ING!$P:$P)</f>
        <v>0</v>
      </c>
      <c r="D1753" s="16">
        <f>SUMIF(매도완료!$J:$J,Sheet2!$B1753,매도완료!$P:$P)+SUMIF(ING!$J:$J,Sheet2!$B1753,ING!$P:$P)</f>
        <v>0</v>
      </c>
      <c r="E1753" s="16">
        <f t="shared" si="54"/>
        <v>114464053.28339995</v>
      </c>
      <c r="G1753" s="16">
        <f>IF(D1753=0,0,SUMIF(매도완료!$J:$J,Sheet2!$B1753,매도완료!$S:$S))+IF(D1753=0,0,SUMIF(ING!$J:$J,Sheet2!$B1753,ING!$S:$S))</f>
        <v>0</v>
      </c>
      <c r="H1753" s="16">
        <f t="shared" si="55"/>
        <v>32988594.486713011</v>
      </c>
    </row>
    <row r="1754" spans="2:8" hidden="1" x14ac:dyDescent="0.4">
      <c r="B1754" s="1">
        <v>44303</v>
      </c>
      <c r="C1754" s="16">
        <f>SUMIF(매도완료!$G:$G,Sheet2!$B1754,매도완료!$P:$P)+SUMIF(ING!$G:$G,Sheet2!$B1754,ING!$P:$P)</f>
        <v>0</v>
      </c>
      <c r="D1754" s="16">
        <f>SUMIF(매도완료!$J:$J,Sheet2!$B1754,매도완료!$P:$P)+SUMIF(ING!$J:$J,Sheet2!$B1754,ING!$P:$P)</f>
        <v>0</v>
      </c>
      <c r="E1754" s="16">
        <f t="shared" si="54"/>
        <v>114464053.28339995</v>
      </c>
      <c r="G1754" s="16">
        <f>IF(D1754=0,0,SUMIF(매도완료!$J:$J,Sheet2!$B1754,매도완료!$S:$S))+IF(D1754=0,0,SUMIF(ING!$J:$J,Sheet2!$B1754,ING!$S:$S))</f>
        <v>0</v>
      </c>
      <c r="H1754" s="16">
        <f t="shared" si="55"/>
        <v>32988594.486713011</v>
      </c>
    </row>
    <row r="1755" spans="2:8" hidden="1" x14ac:dyDescent="0.4">
      <c r="B1755" s="1">
        <v>44304</v>
      </c>
      <c r="C1755" s="16">
        <f>SUMIF(매도완료!$G:$G,Sheet2!$B1755,매도완료!$P:$P)+SUMIF(ING!$G:$G,Sheet2!$B1755,ING!$P:$P)</f>
        <v>0</v>
      </c>
      <c r="D1755" s="16">
        <f>SUMIF(매도완료!$J:$J,Sheet2!$B1755,매도완료!$P:$P)+SUMIF(ING!$J:$J,Sheet2!$B1755,ING!$P:$P)</f>
        <v>0</v>
      </c>
      <c r="E1755" s="16">
        <f t="shared" si="54"/>
        <v>114464053.28339995</v>
      </c>
      <c r="G1755" s="16">
        <f>IF(D1755=0,0,SUMIF(매도완료!$J:$J,Sheet2!$B1755,매도완료!$S:$S))+IF(D1755=0,0,SUMIF(ING!$J:$J,Sheet2!$B1755,ING!$S:$S))</f>
        <v>0</v>
      </c>
      <c r="H1755" s="16">
        <f t="shared" si="55"/>
        <v>32988594.486713011</v>
      </c>
    </row>
    <row r="1756" spans="2:8" hidden="1" x14ac:dyDescent="0.4">
      <c r="B1756" s="1">
        <v>44305</v>
      </c>
      <c r="C1756" s="16">
        <f>SUMIF(매도완료!$G:$G,Sheet2!$B1756,매도완료!$P:$P)+SUMIF(ING!$G:$G,Sheet2!$B1756,ING!$P:$P)</f>
        <v>0</v>
      </c>
      <c r="D1756" s="16">
        <f>SUMIF(매도완료!$J:$J,Sheet2!$B1756,매도완료!$P:$P)+SUMIF(ING!$J:$J,Sheet2!$B1756,ING!$P:$P)</f>
        <v>0</v>
      </c>
      <c r="E1756" s="16">
        <f t="shared" si="54"/>
        <v>114464053.28339995</v>
      </c>
      <c r="G1756" s="16">
        <f>IF(D1756=0,0,SUMIF(매도완료!$J:$J,Sheet2!$B1756,매도완료!$S:$S))+IF(D1756=0,0,SUMIF(ING!$J:$J,Sheet2!$B1756,ING!$S:$S))</f>
        <v>0</v>
      </c>
      <c r="H1756" s="16">
        <f t="shared" si="55"/>
        <v>32988594.486713011</v>
      </c>
    </row>
    <row r="1757" spans="2:8" hidden="1" x14ac:dyDescent="0.4">
      <c r="B1757" s="1">
        <v>44306</v>
      </c>
      <c r="C1757" s="16">
        <f>SUMIF(매도완료!$G:$G,Sheet2!$B1757,매도완료!$P:$P)+SUMIF(ING!$G:$G,Sheet2!$B1757,ING!$P:$P)</f>
        <v>0</v>
      </c>
      <c r="D1757" s="16">
        <f>SUMIF(매도완료!$J:$J,Sheet2!$B1757,매도완료!$P:$P)+SUMIF(ING!$J:$J,Sheet2!$B1757,ING!$P:$P)</f>
        <v>0</v>
      </c>
      <c r="E1757" s="16">
        <f t="shared" si="54"/>
        <v>114464053.28339995</v>
      </c>
      <c r="G1757" s="16">
        <f>IF(D1757=0,0,SUMIF(매도완료!$J:$J,Sheet2!$B1757,매도완료!$S:$S))+IF(D1757=0,0,SUMIF(ING!$J:$J,Sheet2!$B1757,ING!$S:$S))</f>
        <v>0</v>
      </c>
      <c r="H1757" s="16">
        <f t="shared" si="55"/>
        <v>32988594.486713011</v>
      </c>
    </row>
    <row r="1758" spans="2:8" hidden="1" x14ac:dyDescent="0.4">
      <c r="B1758" s="1">
        <v>44307</v>
      </c>
      <c r="C1758" s="16">
        <f>SUMIF(매도완료!$G:$G,Sheet2!$B1758,매도완료!$P:$P)+SUMIF(ING!$G:$G,Sheet2!$B1758,ING!$P:$P)</f>
        <v>0</v>
      </c>
      <c r="D1758" s="16">
        <f>SUMIF(매도완료!$J:$J,Sheet2!$B1758,매도완료!$P:$P)+SUMIF(ING!$J:$J,Sheet2!$B1758,ING!$P:$P)</f>
        <v>0</v>
      </c>
      <c r="E1758" s="16">
        <f t="shared" si="54"/>
        <v>114464053.28339995</v>
      </c>
      <c r="G1758" s="16">
        <f>IF(D1758=0,0,SUMIF(매도완료!$J:$J,Sheet2!$B1758,매도완료!$S:$S))+IF(D1758=0,0,SUMIF(ING!$J:$J,Sheet2!$B1758,ING!$S:$S))</f>
        <v>0</v>
      </c>
      <c r="H1758" s="16">
        <f t="shared" si="55"/>
        <v>32988594.486713011</v>
      </c>
    </row>
    <row r="1759" spans="2:8" hidden="1" x14ac:dyDescent="0.4">
      <c r="B1759" s="1">
        <v>44308</v>
      </c>
      <c r="C1759" s="16">
        <f>SUMIF(매도완료!$G:$G,Sheet2!$B1759,매도완료!$P:$P)+SUMIF(ING!$G:$G,Sheet2!$B1759,ING!$P:$P)</f>
        <v>0</v>
      </c>
      <c r="D1759" s="16">
        <f>SUMIF(매도완료!$J:$J,Sheet2!$B1759,매도완료!$P:$P)+SUMIF(ING!$J:$J,Sheet2!$B1759,ING!$P:$P)</f>
        <v>0</v>
      </c>
      <c r="E1759" s="16">
        <f t="shared" si="54"/>
        <v>114464053.28339995</v>
      </c>
      <c r="G1759" s="16">
        <f>IF(D1759=0,0,SUMIF(매도완료!$J:$J,Sheet2!$B1759,매도완료!$S:$S))+IF(D1759=0,0,SUMIF(ING!$J:$J,Sheet2!$B1759,ING!$S:$S))</f>
        <v>0</v>
      </c>
      <c r="H1759" s="16">
        <f t="shared" si="55"/>
        <v>32988594.486713011</v>
      </c>
    </row>
    <row r="1760" spans="2:8" hidden="1" x14ac:dyDescent="0.4">
      <c r="B1760" s="1">
        <v>44309</v>
      </c>
      <c r="C1760" s="16">
        <f>SUMIF(매도완료!$G:$G,Sheet2!$B1760,매도완료!$P:$P)+SUMIF(ING!$G:$G,Sheet2!$B1760,ING!$P:$P)</f>
        <v>0</v>
      </c>
      <c r="D1760" s="16">
        <f>SUMIF(매도완료!$J:$J,Sheet2!$B1760,매도완료!$P:$P)+SUMIF(ING!$J:$J,Sheet2!$B1760,ING!$P:$P)</f>
        <v>0</v>
      </c>
      <c r="E1760" s="16">
        <f t="shared" si="54"/>
        <v>114464053.28339995</v>
      </c>
      <c r="G1760" s="16">
        <f>IF(D1760=0,0,SUMIF(매도완료!$J:$J,Sheet2!$B1760,매도완료!$S:$S))+IF(D1760=0,0,SUMIF(ING!$J:$J,Sheet2!$B1760,ING!$S:$S))</f>
        <v>0</v>
      </c>
      <c r="H1760" s="16">
        <f t="shared" si="55"/>
        <v>32988594.486713011</v>
      </c>
    </row>
    <row r="1761" spans="2:8" hidden="1" x14ac:dyDescent="0.4">
      <c r="B1761" s="1">
        <v>44310</v>
      </c>
      <c r="C1761" s="16">
        <f>SUMIF(매도완료!$G:$G,Sheet2!$B1761,매도완료!$P:$P)+SUMIF(ING!$G:$G,Sheet2!$B1761,ING!$P:$P)</f>
        <v>0</v>
      </c>
      <c r="D1761" s="16">
        <f>SUMIF(매도완료!$J:$J,Sheet2!$B1761,매도완료!$P:$P)+SUMIF(ING!$J:$J,Sheet2!$B1761,ING!$P:$P)</f>
        <v>0</v>
      </c>
      <c r="E1761" s="16">
        <f t="shared" si="54"/>
        <v>114464053.28339995</v>
      </c>
      <c r="G1761" s="16">
        <f>IF(D1761=0,0,SUMIF(매도완료!$J:$J,Sheet2!$B1761,매도완료!$S:$S))+IF(D1761=0,0,SUMIF(ING!$J:$J,Sheet2!$B1761,ING!$S:$S))</f>
        <v>0</v>
      </c>
      <c r="H1761" s="16">
        <f t="shared" si="55"/>
        <v>32988594.486713011</v>
      </c>
    </row>
    <row r="1762" spans="2:8" hidden="1" x14ac:dyDescent="0.4">
      <c r="B1762" s="1">
        <v>44311</v>
      </c>
      <c r="C1762" s="16">
        <f>SUMIF(매도완료!$G:$G,Sheet2!$B1762,매도완료!$P:$P)+SUMIF(ING!$G:$G,Sheet2!$B1762,ING!$P:$P)</f>
        <v>0</v>
      </c>
      <c r="D1762" s="16">
        <f>SUMIF(매도완료!$J:$J,Sheet2!$B1762,매도완료!$P:$P)+SUMIF(ING!$J:$J,Sheet2!$B1762,ING!$P:$P)</f>
        <v>0</v>
      </c>
      <c r="E1762" s="16">
        <f t="shared" si="54"/>
        <v>114464053.28339995</v>
      </c>
      <c r="G1762" s="16">
        <f>IF(D1762=0,0,SUMIF(매도완료!$J:$J,Sheet2!$B1762,매도완료!$S:$S))+IF(D1762=0,0,SUMIF(ING!$J:$J,Sheet2!$B1762,ING!$S:$S))</f>
        <v>0</v>
      </c>
      <c r="H1762" s="16">
        <f t="shared" si="55"/>
        <v>32988594.486713011</v>
      </c>
    </row>
    <row r="1763" spans="2:8" hidden="1" x14ac:dyDescent="0.4">
      <c r="B1763" s="1">
        <v>44312</v>
      </c>
      <c r="C1763" s="16">
        <f>SUMIF(매도완료!$G:$G,Sheet2!$B1763,매도완료!$P:$P)+SUMIF(ING!$G:$G,Sheet2!$B1763,ING!$P:$P)</f>
        <v>0</v>
      </c>
      <c r="D1763" s="16">
        <f>SUMIF(매도완료!$J:$J,Sheet2!$B1763,매도완료!$P:$P)+SUMIF(ING!$J:$J,Sheet2!$B1763,ING!$P:$P)</f>
        <v>0</v>
      </c>
      <c r="E1763" s="16">
        <f t="shared" si="54"/>
        <v>114464053.28339995</v>
      </c>
      <c r="G1763" s="16">
        <f>IF(D1763=0,0,SUMIF(매도완료!$J:$J,Sheet2!$B1763,매도완료!$S:$S))+IF(D1763=0,0,SUMIF(ING!$J:$J,Sheet2!$B1763,ING!$S:$S))</f>
        <v>0</v>
      </c>
      <c r="H1763" s="16">
        <f t="shared" si="55"/>
        <v>32988594.486713011</v>
      </c>
    </row>
    <row r="1764" spans="2:8" hidden="1" x14ac:dyDescent="0.4">
      <c r="B1764" s="1">
        <v>44313</v>
      </c>
      <c r="C1764" s="16">
        <f>SUMIF(매도완료!$G:$G,Sheet2!$B1764,매도완료!$P:$P)+SUMIF(ING!$G:$G,Sheet2!$B1764,ING!$P:$P)</f>
        <v>0</v>
      </c>
      <c r="D1764" s="16">
        <f>SUMIF(매도완료!$J:$J,Sheet2!$B1764,매도완료!$P:$P)+SUMIF(ING!$J:$J,Sheet2!$B1764,ING!$P:$P)</f>
        <v>0</v>
      </c>
      <c r="E1764" s="16">
        <f t="shared" si="54"/>
        <v>114464053.28339995</v>
      </c>
      <c r="G1764" s="16">
        <f>IF(D1764=0,0,SUMIF(매도완료!$J:$J,Sheet2!$B1764,매도완료!$S:$S))+IF(D1764=0,0,SUMIF(ING!$J:$J,Sheet2!$B1764,ING!$S:$S))</f>
        <v>0</v>
      </c>
      <c r="H1764" s="16">
        <f t="shared" si="55"/>
        <v>32988594.486713011</v>
      </c>
    </row>
    <row r="1765" spans="2:8" hidden="1" x14ac:dyDescent="0.4">
      <c r="B1765" s="1">
        <v>44314</v>
      </c>
      <c r="C1765" s="16">
        <f>SUMIF(매도완료!$G:$G,Sheet2!$B1765,매도완료!$P:$P)+SUMIF(ING!$G:$G,Sheet2!$B1765,ING!$P:$P)</f>
        <v>0</v>
      </c>
      <c r="D1765" s="16">
        <f>SUMIF(매도완료!$J:$J,Sheet2!$B1765,매도완료!$P:$P)+SUMIF(ING!$J:$J,Sheet2!$B1765,ING!$P:$P)</f>
        <v>0</v>
      </c>
      <c r="E1765" s="16">
        <f t="shared" si="54"/>
        <v>114464053.28339995</v>
      </c>
      <c r="G1765" s="16">
        <f>IF(D1765=0,0,SUMIF(매도완료!$J:$J,Sheet2!$B1765,매도완료!$S:$S))+IF(D1765=0,0,SUMIF(ING!$J:$J,Sheet2!$B1765,ING!$S:$S))</f>
        <v>0</v>
      </c>
      <c r="H1765" s="16">
        <f t="shared" si="55"/>
        <v>32988594.486713011</v>
      </c>
    </row>
    <row r="1766" spans="2:8" hidden="1" x14ac:dyDescent="0.4">
      <c r="B1766" s="1">
        <v>44315</v>
      </c>
      <c r="C1766" s="16">
        <f>SUMIF(매도완료!$G:$G,Sheet2!$B1766,매도완료!$P:$P)+SUMIF(ING!$G:$G,Sheet2!$B1766,ING!$P:$P)</f>
        <v>0</v>
      </c>
      <c r="D1766" s="16">
        <f>SUMIF(매도완료!$J:$J,Sheet2!$B1766,매도완료!$P:$P)+SUMIF(ING!$J:$J,Sheet2!$B1766,ING!$P:$P)</f>
        <v>0</v>
      </c>
      <c r="E1766" s="16">
        <f t="shared" si="54"/>
        <v>114464053.28339995</v>
      </c>
      <c r="G1766" s="16">
        <f>IF(D1766=0,0,SUMIF(매도완료!$J:$J,Sheet2!$B1766,매도완료!$S:$S))+IF(D1766=0,0,SUMIF(ING!$J:$J,Sheet2!$B1766,ING!$S:$S))</f>
        <v>0</v>
      </c>
      <c r="H1766" s="16">
        <f t="shared" si="55"/>
        <v>32988594.486713011</v>
      </c>
    </row>
    <row r="1767" spans="2:8" hidden="1" x14ac:dyDescent="0.4">
      <c r="B1767" s="1">
        <v>44316</v>
      </c>
      <c r="C1767" s="16">
        <f>SUMIF(매도완료!$G:$G,Sheet2!$B1767,매도완료!$P:$P)+SUMIF(ING!$G:$G,Sheet2!$B1767,ING!$P:$P)</f>
        <v>0</v>
      </c>
      <c r="D1767" s="16">
        <f>SUMIF(매도완료!$J:$J,Sheet2!$B1767,매도완료!$P:$P)+SUMIF(ING!$J:$J,Sheet2!$B1767,ING!$P:$P)</f>
        <v>0</v>
      </c>
      <c r="E1767" s="16">
        <f t="shared" si="54"/>
        <v>114464053.28339995</v>
      </c>
      <c r="G1767" s="16">
        <f>IF(D1767=0,0,SUMIF(매도완료!$J:$J,Sheet2!$B1767,매도완료!$S:$S))+IF(D1767=0,0,SUMIF(ING!$J:$J,Sheet2!$B1767,ING!$S:$S))</f>
        <v>0</v>
      </c>
      <c r="H1767" s="16">
        <f t="shared" si="55"/>
        <v>32988594.486713011</v>
      </c>
    </row>
    <row r="1768" spans="2:8" hidden="1" x14ac:dyDescent="0.4">
      <c r="B1768" s="1">
        <v>44317</v>
      </c>
      <c r="C1768" s="16">
        <f>SUMIF(매도완료!$G:$G,Sheet2!$B1768,매도완료!$P:$P)+SUMIF(ING!$G:$G,Sheet2!$B1768,ING!$P:$P)</f>
        <v>0</v>
      </c>
      <c r="D1768" s="16">
        <f>SUMIF(매도완료!$J:$J,Sheet2!$B1768,매도완료!$P:$P)+SUMIF(ING!$J:$J,Sheet2!$B1768,ING!$P:$P)</f>
        <v>0</v>
      </c>
      <c r="E1768" s="16">
        <f t="shared" si="54"/>
        <v>114464053.28339995</v>
      </c>
      <c r="G1768" s="16">
        <f>IF(D1768=0,0,SUMIF(매도완료!$J:$J,Sheet2!$B1768,매도완료!$S:$S))+IF(D1768=0,0,SUMIF(ING!$J:$J,Sheet2!$B1768,ING!$S:$S))</f>
        <v>0</v>
      </c>
      <c r="H1768" s="16">
        <f t="shared" si="55"/>
        <v>32988594.486713011</v>
      </c>
    </row>
    <row r="1769" spans="2:8" hidden="1" x14ac:dyDescent="0.4">
      <c r="B1769" s="1">
        <v>44318</v>
      </c>
      <c r="C1769" s="16">
        <f>SUMIF(매도완료!$G:$G,Sheet2!$B1769,매도완료!$P:$P)+SUMIF(ING!$G:$G,Sheet2!$B1769,ING!$P:$P)</f>
        <v>0</v>
      </c>
      <c r="D1769" s="16">
        <f>SUMIF(매도완료!$J:$J,Sheet2!$B1769,매도완료!$P:$P)+SUMIF(ING!$J:$J,Sheet2!$B1769,ING!$P:$P)</f>
        <v>0</v>
      </c>
      <c r="E1769" s="16">
        <f t="shared" si="54"/>
        <v>114464053.28339995</v>
      </c>
      <c r="G1769" s="16">
        <f>IF(D1769=0,0,SUMIF(매도완료!$J:$J,Sheet2!$B1769,매도완료!$S:$S))+IF(D1769=0,0,SUMIF(ING!$J:$J,Sheet2!$B1769,ING!$S:$S))</f>
        <v>0</v>
      </c>
      <c r="H1769" s="16">
        <f t="shared" si="55"/>
        <v>32988594.486713011</v>
      </c>
    </row>
    <row r="1770" spans="2:8" hidden="1" x14ac:dyDescent="0.4">
      <c r="B1770" s="1">
        <v>44319</v>
      </c>
      <c r="C1770" s="16">
        <f>SUMIF(매도완료!$G:$G,Sheet2!$B1770,매도완료!$P:$P)+SUMIF(ING!$G:$G,Sheet2!$B1770,ING!$P:$P)</f>
        <v>0</v>
      </c>
      <c r="D1770" s="16">
        <f>SUMIF(매도완료!$J:$J,Sheet2!$B1770,매도완료!$P:$P)+SUMIF(ING!$J:$J,Sheet2!$B1770,ING!$P:$P)</f>
        <v>0</v>
      </c>
      <c r="E1770" s="16">
        <f t="shared" si="54"/>
        <v>114464053.28339995</v>
      </c>
      <c r="G1770" s="16">
        <f>IF(D1770=0,0,SUMIF(매도완료!$J:$J,Sheet2!$B1770,매도완료!$S:$S))+IF(D1770=0,0,SUMIF(ING!$J:$J,Sheet2!$B1770,ING!$S:$S))</f>
        <v>0</v>
      </c>
      <c r="H1770" s="16">
        <f t="shared" si="55"/>
        <v>32988594.486713011</v>
      </c>
    </row>
    <row r="1771" spans="2:8" hidden="1" x14ac:dyDescent="0.4">
      <c r="B1771" s="1">
        <v>44320</v>
      </c>
      <c r="C1771" s="16">
        <f>SUMIF(매도완료!$G:$G,Sheet2!$B1771,매도완료!$P:$P)+SUMIF(ING!$G:$G,Sheet2!$B1771,ING!$P:$P)</f>
        <v>0</v>
      </c>
      <c r="D1771" s="16">
        <f>SUMIF(매도완료!$J:$J,Sheet2!$B1771,매도완료!$P:$P)+SUMIF(ING!$J:$J,Sheet2!$B1771,ING!$P:$P)</f>
        <v>0</v>
      </c>
      <c r="E1771" s="16">
        <f t="shared" si="54"/>
        <v>114464053.28339995</v>
      </c>
      <c r="G1771" s="16">
        <f>IF(D1771=0,0,SUMIF(매도완료!$J:$J,Sheet2!$B1771,매도완료!$S:$S))+IF(D1771=0,0,SUMIF(ING!$J:$J,Sheet2!$B1771,ING!$S:$S))</f>
        <v>0</v>
      </c>
      <c r="H1771" s="16">
        <f t="shared" si="55"/>
        <v>32988594.486713011</v>
      </c>
    </row>
    <row r="1772" spans="2:8" hidden="1" x14ac:dyDescent="0.4">
      <c r="B1772" s="1">
        <v>44321</v>
      </c>
      <c r="C1772" s="16">
        <f>SUMIF(매도완료!$G:$G,Sheet2!$B1772,매도완료!$P:$P)+SUMIF(ING!$G:$G,Sheet2!$B1772,ING!$P:$P)</f>
        <v>0</v>
      </c>
      <c r="D1772" s="16">
        <f>SUMIF(매도완료!$J:$J,Sheet2!$B1772,매도완료!$P:$P)+SUMIF(ING!$J:$J,Sheet2!$B1772,ING!$P:$P)</f>
        <v>0</v>
      </c>
      <c r="E1772" s="16">
        <f t="shared" si="54"/>
        <v>114464053.28339995</v>
      </c>
      <c r="G1772" s="16">
        <f>IF(D1772=0,0,SUMIF(매도완료!$J:$J,Sheet2!$B1772,매도완료!$S:$S))+IF(D1772=0,0,SUMIF(ING!$J:$J,Sheet2!$B1772,ING!$S:$S))</f>
        <v>0</v>
      </c>
      <c r="H1772" s="16">
        <f t="shared" si="55"/>
        <v>32988594.486713011</v>
      </c>
    </row>
    <row r="1773" spans="2:8" hidden="1" x14ac:dyDescent="0.4">
      <c r="B1773" s="1">
        <v>44322</v>
      </c>
      <c r="C1773" s="16">
        <f>SUMIF(매도완료!$G:$G,Sheet2!$B1773,매도완료!$P:$P)+SUMIF(ING!$G:$G,Sheet2!$B1773,ING!$P:$P)</f>
        <v>0</v>
      </c>
      <c r="D1773" s="16">
        <f>SUMIF(매도완료!$J:$J,Sheet2!$B1773,매도완료!$P:$P)+SUMIF(ING!$J:$J,Sheet2!$B1773,ING!$P:$P)</f>
        <v>0</v>
      </c>
      <c r="E1773" s="16">
        <f t="shared" si="54"/>
        <v>114464053.28339995</v>
      </c>
      <c r="G1773" s="16">
        <f>IF(D1773=0,0,SUMIF(매도완료!$J:$J,Sheet2!$B1773,매도완료!$S:$S))+IF(D1773=0,0,SUMIF(ING!$J:$J,Sheet2!$B1773,ING!$S:$S))</f>
        <v>0</v>
      </c>
      <c r="H1773" s="16">
        <f t="shared" si="55"/>
        <v>32988594.486713011</v>
      </c>
    </row>
    <row r="1774" spans="2:8" hidden="1" x14ac:dyDescent="0.4">
      <c r="B1774" s="1">
        <v>44323</v>
      </c>
      <c r="C1774" s="16">
        <f>SUMIF(매도완료!$G:$G,Sheet2!$B1774,매도완료!$P:$P)+SUMIF(ING!$G:$G,Sheet2!$B1774,ING!$P:$P)</f>
        <v>0</v>
      </c>
      <c r="D1774" s="16">
        <f>SUMIF(매도완료!$J:$J,Sheet2!$B1774,매도완료!$P:$P)+SUMIF(ING!$J:$J,Sheet2!$B1774,ING!$P:$P)</f>
        <v>0</v>
      </c>
      <c r="E1774" s="16">
        <f t="shared" si="54"/>
        <v>114464053.28339995</v>
      </c>
      <c r="G1774" s="16">
        <f>IF(D1774=0,0,SUMIF(매도완료!$J:$J,Sheet2!$B1774,매도완료!$S:$S))+IF(D1774=0,0,SUMIF(ING!$J:$J,Sheet2!$B1774,ING!$S:$S))</f>
        <v>0</v>
      </c>
      <c r="H1774" s="16">
        <f t="shared" si="55"/>
        <v>32988594.486713011</v>
      </c>
    </row>
    <row r="1775" spans="2:8" hidden="1" x14ac:dyDescent="0.4">
      <c r="B1775" s="1">
        <v>44324</v>
      </c>
      <c r="C1775" s="16">
        <f>SUMIF(매도완료!$G:$G,Sheet2!$B1775,매도완료!$P:$P)+SUMIF(ING!$G:$G,Sheet2!$B1775,ING!$P:$P)</f>
        <v>0</v>
      </c>
      <c r="D1775" s="16">
        <f>SUMIF(매도완료!$J:$J,Sheet2!$B1775,매도완료!$P:$P)+SUMIF(ING!$J:$J,Sheet2!$B1775,ING!$P:$P)</f>
        <v>0</v>
      </c>
      <c r="E1775" s="16">
        <f t="shared" si="54"/>
        <v>114464053.28339995</v>
      </c>
      <c r="G1775" s="16">
        <f>IF(D1775=0,0,SUMIF(매도완료!$J:$J,Sheet2!$B1775,매도완료!$S:$S))+IF(D1775=0,0,SUMIF(ING!$J:$J,Sheet2!$B1775,ING!$S:$S))</f>
        <v>0</v>
      </c>
      <c r="H1775" s="16">
        <f t="shared" si="55"/>
        <v>32988594.486713011</v>
      </c>
    </row>
    <row r="1776" spans="2:8" hidden="1" x14ac:dyDescent="0.4">
      <c r="B1776" s="1">
        <v>44325</v>
      </c>
      <c r="C1776" s="16">
        <f>SUMIF(매도완료!$G:$G,Sheet2!$B1776,매도완료!$P:$P)+SUMIF(ING!$G:$G,Sheet2!$B1776,ING!$P:$P)</f>
        <v>0</v>
      </c>
      <c r="D1776" s="16">
        <f>SUMIF(매도완료!$J:$J,Sheet2!$B1776,매도완료!$P:$P)+SUMIF(ING!$J:$J,Sheet2!$B1776,ING!$P:$P)</f>
        <v>0</v>
      </c>
      <c r="E1776" s="16">
        <f t="shared" si="54"/>
        <v>114464053.28339995</v>
      </c>
      <c r="G1776" s="16">
        <f>IF(D1776=0,0,SUMIF(매도완료!$J:$J,Sheet2!$B1776,매도완료!$S:$S))+IF(D1776=0,0,SUMIF(ING!$J:$J,Sheet2!$B1776,ING!$S:$S))</f>
        <v>0</v>
      </c>
      <c r="H1776" s="16">
        <f t="shared" si="55"/>
        <v>32988594.486713011</v>
      </c>
    </row>
    <row r="1777" spans="2:8" hidden="1" x14ac:dyDescent="0.4">
      <c r="B1777" s="1">
        <v>44326</v>
      </c>
      <c r="C1777" s="16">
        <f>SUMIF(매도완료!$G:$G,Sheet2!$B1777,매도완료!$P:$P)+SUMIF(ING!$G:$G,Sheet2!$B1777,ING!$P:$P)</f>
        <v>0</v>
      </c>
      <c r="D1777" s="16">
        <f>SUMIF(매도완료!$J:$J,Sheet2!$B1777,매도완료!$P:$P)+SUMIF(ING!$J:$J,Sheet2!$B1777,ING!$P:$P)</f>
        <v>0</v>
      </c>
      <c r="E1777" s="16">
        <f t="shared" si="54"/>
        <v>114464053.28339995</v>
      </c>
      <c r="G1777" s="16">
        <f>IF(D1777=0,0,SUMIF(매도완료!$J:$J,Sheet2!$B1777,매도완료!$S:$S))+IF(D1777=0,0,SUMIF(ING!$J:$J,Sheet2!$B1777,ING!$S:$S))</f>
        <v>0</v>
      </c>
      <c r="H1777" s="16">
        <f t="shared" si="55"/>
        <v>32988594.486713011</v>
      </c>
    </row>
    <row r="1778" spans="2:8" hidden="1" x14ac:dyDescent="0.4">
      <c r="B1778" s="1">
        <v>44327</v>
      </c>
      <c r="C1778" s="16">
        <f>SUMIF(매도완료!$G:$G,Sheet2!$B1778,매도완료!$P:$P)+SUMIF(ING!$G:$G,Sheet2!$B1778,ING!$P:$P)</f>
        <v>0</v>
      </c>
      <c r="D1778" s="16">
        <f>SUMIF(매도완료!$J:$J,Sheet2!$B1778,매도완료!$P:$P)+SUMIF(ING!$J:$J,Sheet2!$B1778,ING!$P:$P)</f>
        <v>0</v>
      </c>
      <c r="E1778" s="16">
        <f t="shared" si="54"/>
        <v>114464053.28339995</v>
      </c>
      <c r="G1778" s="16">
        <f>IF(D1778=0,0,SUMIF(매도완료!$J:$J,Sheet2!$B1778,매도완료!$S:$S))+IF(D1778=0,0,SUMIF(ING!$J:$J,Sheet2!$B1778,ING!$S:$S))</f>
        <v>0</v>
      </c>
      <c r="H1778" s="16">
        <f t="shared" si="55"/>
        <v>32988594.486713011</v>
      </c>
    </row>
    <row r="1779" spans="2:8" hidden="1" x14ac:dyDescent="0.4">
      <c r="B1779" s="1">
        <v>44328</v>
      </c>
      <c r="C1779" s="16">
        <f>SUMIF(매도완료!$G:$G,Sheet2!$B1779,매도완료!$P:$P)+SUMIF(ING!$G:$G,Sheet2!$B1779,ING!$P:$P)</f>
        <v>0</v>
      </c>
      <c r="D1779" s="16">
        <f>SUMIF(매도완료!$J:$J,Sheet2!$B1779,매도완료!$P:$P)+SUMIF(ING!$J:$J,Sheet2!$B1779,ING!$P:$P)</f>
        <v>0</v>
      </c>
      <c r="E1779" s="16">
        <f t="shared" si="54"/>
        <v>114464053.28339995</v>
      </c>
      <c r="G1779" s="16">
        <f>IF(D1779=0,0,SUMIF(매도완료!$J:$J,Sheet2!$B1779,매도완료!$S:$S))+IF(D1779=0,0,SUMIF(ING!$J:$J,Sheet2!$B1779,ING!$S:$S))</f>
        <v>0</v>
      </c>
      <c r="H1779" s="16">
        <f t="shared" si="55"/>
        <v>32988594.486713011</v>
      </c>
    </row>
    <row r="1780" spans="2:8" hidden="1" x14ac:dyDescent="0.4">
      <c r="B1780" s="1">
        <v>44329</v>
      </c>
      <c r="C1780" s="16">
        <f>SUMIF(매도완료!$G:$G,Sheet2!$B1780,매도완료!$P:$P)+SUMIF(ING!$G:$G,Sheet2!$B1780,ING!$P:$P)</f>
        <v>0</v>
      </c>
      <c r="D1780" s="16">
        <f>SUMIF(매도완료!$J:$J,Sheet2!$B1780,매도완료!$P:$P)+SUMIF(ING!$J:$J,Sheet2!$B1780,ING!$P:$P)</f>
        <v>0</v>
      </c>
      <c r="E1780" s="16">
        <f t="shared" si="54"/>
        <v>114464053.28339995</v>
      </c>
      <c r="G1780" s="16">
        <f>IF(D1780=0,0,SUMIF(매도완료!$J:$J,Sheet2!$B1780,매도완료!$S:$S))+IF(D1780=0,0,SUMIF(ING!$J:$J,Sheet2!$B1780,ING!$S:$S))</f>
        <v>0</v>
      </c>
      <c r="H1780" s="16">
        <f t="shared" si="55"/>
        <v>32988594.486713011</v>
      </c>
    </row>
    <row r="1781" spans="2:8" hidden="1" x14ac:dyDescent="0.4">
      <c r="B1781" s="1">
        <v>44330</v>
      </c>
      <c r="C1781" s="16">
        <f>SUMIF(매도완료!$G:$G,Sheet2!$B1781,매도완료!$P:$P)+SUMIF(ING!$G:$G,Sheet2!$B1781,ING!$P:$P)</f>
        <v>662650</v>
      </c>
      <c r="D1781" s="16">
        <f>SUMIF(매도완료!$J:$J,Sheet2!$B1781,매도완료!$P:$P)+SUMIF(ING!$J:$J,Sheet2!$B1781,ING!$P:$P)</f>
        <v>662650</v>
      </c>
      <c r="E1781" s="16">
        <f t="shared" si="54"/>
        <v>114464053.28339995</v>
      </c>
      <c r="G1781" s="16">
        <f>IF(D1781=0,0,SUMIF(매도완료!$J:$J,Sheet2!$B1781,매도완료!$S:$S))+IF(D1781=0,0,SUMIF(ING!$J:$J,Sheet2!$B1781,ING!$S:$S))</f>
        <v>31709.200000000001</v>
      </c>
      <c r="H1781" s="16">
        <f t="shared" si="55"/>
        <v>33020303.68671301</v>
      </c>
    </row>
    <row r="1782" spans="2:8" hidden="1" x14ac:dyDescent="0.4">
      <c r="B1782" s="1">
        <v>44331</v>
      </c>
      <c r="C1782" s="16">
        <f>SUMIF(매도완료!$G:$G,Sheet2!$B1782,매도완료!$P:$P)+SUMIF(ING!$G:$G,Sheet2!$B1782,ING!$P:$P)</f>
        <v>0</v>
      </c>
      <c r="D1782" s="16">
        <f>SUMIF(매도완료!$J:$J,Sheet2!$B1782,매도완료!$P:$P)+SUMIF(ING!$J:$J,Sheet2!$B1782,ING!$P:$P)</f>
        <v>0</v>
      </c>
      <c r="E1782" s="16">
        <f t="shared" si="54"/>
        <v>114464053.28339995</v>
      </c>
      <c r="G1782" s="16">
        <f>IF(D1782=0,0,SUMIF(매도완료!$J:$J,Sheet2!$B1782,매도완료!$S:$S))+IF(D1782=0,0,SUMIF(ING!$J:$J,Sheet2!$B1782,ING!$S:$S))</f>
        <v>0</v>
      </c>
      <c r="H1782" s="16">
        <f t="shared" si="55"/>
        <v>33020303.68671301</v>
      </c>
    </row>
    <row r="1783" spans="2:8" hidden="1" x14ac:dyDescent="0.4">
      <c r="B1783" s="1">
        <v>44332</v>
      </c>
      <c r="C1783" s="16">
        <f>SUMIF(매도완료!$G:$G,Sheet2!$B1783,매도완료!$P:$P)+SUMIF(ING!$G:$G,Sheet2!$B1783,ING!$P:$P)</f>
        <v>0</v>
      </c>
      <c r="D1783" s="16">
        <f>SUMIF(매도완료!$J:$J,Sheet2!$B1783,매도완료!$P:$P)+SUMIF(ING!$J:$J,Sheet2!$B1783,ING!$P:$P)</f>
        <v>0</v>
      </c>
      <c r="E1783" s="16">
        <f t="shared" si="54"/>
        <v>114464053.28339995</v>
      </c>
      <c r="G1783" s="16">
        <f>IF(D1783=0,0,SUMIF(매도완료!$J:$J,Sheet2!$B1783,매도완료!$S:$S))+IF(D1783=0,0,SUMIF(ING!$J:$J,Sheet2!$B1783,ING!$S:$S))</f>
        <v>0</v>
      </c>
      <c r="H1783" s="16">
        <f t="shared" si="55"/>
        <v>33020303.68671301</v>
      </c>
    </row>
    <row r="1784" spans="2:8" hidden="1" x14ac:dyDescent="0.4">
      <c r="B1784" s="1">
        <v>44333</v>
      </c>
      <c r="C1784" s="16">
        <f>SUMIF(매도완료!$G:$G,Sheet2!$B1784,매도완료!$P:$P)+SUMIF(ING!$G:$G,Sheet2!$B1784,ING!$P:$P)</f>
        <v>0</v>
      </c>
      <c r="D1784" s="16">
        <f>SUMIF(매도완료!$J:$J,Sheet2!$B1784,매도완료!$P:$P)+SUMIF(ING!$J:$J,Sheet2!$B1784,ING!$P:$P)</f>
        <v>0</v>
      </c>
      <c r="E1784" s="16">
        <f t="shared" si="54"/>
        <v>114464053.28339995</v>
      </c>
      <c r="G1784" s="16">
        <f>IF(D1784=0,0,SUMIF(매도완료!$J:$J,Sheet2!$B1784,매도완료!$S:$S))+IF(D1784=0,0,SUMIF(ING!$J:$J,Sheet2!$B1784,ING!$S:$S))</f>
        <v>0</v>
      </c>
      <c r="H1784" s="16">
        <f t="shared" si="55"/>
        <v>33020303.68671301</v>
      </c>
    </row>
    <row r="1785" spans="2:8" hidden="1" x14ac:dyDescent="0.4">
      <c r="B1785" s="1">
        <v>44334</v>
      </c>
      <c r="C1785" s="16">
        <f>SUMIF(매도완료!$G:$G,Sheet2!$B1785,매도완료!$P:$P)+SUMIF(ING!$G:$G,Sheet2!$B1785,ING!$P:$P)</f>
        <v>0</v>
      </c>
      <c r="D1785" s="16">
        <f>SUMIF(매도완료!$J:$J,Sheet2!$B1785,매도완료!$P:$P)+SUMIF(ING!$J:$J,Sheet2!$B1785,ING!$P:$P)</f>
        <v>0</v>
      </c>
      <c r="E1785" s="16">
        <f t="shared" si="54"/>
        <v>114464053.28339995</v>
      </c>
      <c r="G1785" s="16">
        <f>IF(D1785=0,0,SUMIF(매도완료!$J:$J,Sheet2!$B1785,매도완료!$S:$S))+IF(D1785=0,0,SUMIF(ING!$J:$J,Sheet2!$B1785,ING!$S:$S))</f>
        <v>0</v>
      </c>
      <c r="H1785" s="16">
        <f t="shared" si="55"/>
        <v>33020303.68671301</v>
      </c>
    </row>
    <row r="1786" spans="2:8" hidden="1" x14ac:dyDescent="0.4">
      <c r="B1786" s="1">
        <v>44335</v>
      </c>
      <c r="C1786" s="16">
        <f>SUMIF(매도완료!$G:$G,Sheet2!$B1786,매도완료!$P:$P)+SUMIF(ING!$G:$G,Sheet2!$B1786,ING!$P:$P)</f>
        <v>0</v>
      </c>
      <c r="D1786" s="16">
        <f>SUMIF(매도완료!$J:$J,Sheet2!$B1786,매도완료!$P:$P)+SUMIF(ING!$J:$J,Sheet2!$B1786,ING!$P:$P)</f>
        <v>0</v>
      </c>
      <c r="E1786" s="16">
        <f t="shared" si="54"/>
        <v>114464053.28339995</v>
      </c>
      <c r="G1786" s="16">
        <f>IF(D1786=0,0,SUMIF(매도완료!$J:$J,Sheet2!$B1786,매도완료!$S:$S))+IF(D1786=0,0,SUMIF(ING!$J:$J,Sheet2!$B1786,ING!$S:$S))</f>
        <v>0</v>
      </c>
      <c r="H1786" s="16">
        <f t="shared" si="55"/>
        <v>33020303.68671301</v>
      </c>
    </row>
    <row r="1787" spans="2:8" hidden="1" x14ac:dyDescent="0.4">
      <c r="B1787" s="1">
        <v>44336</v>
      </c>
      <c r="C1787" s="16">
        <f>SUMIF(매도완료!$G:$G,Sheet2!$B1787,매도완료!$P:$P)+SUMIF(ING!$G:$G,Sheet2!$B1787,ING!$P:$P)</f>
        <v>0</v>
      </c>
      <c r="D1787" s="16">
        <f>SUMIF(매도완료!$J:$J,Sheet2!$B1787,매도완료!$P:$P)+SUMIF(ING!$J:$J,Sheet2!$B1787,ING!$P:$P)</f>
        <v>0</v>
      </c>
      <c r="E1787" s="16">
        <f t="shared" si="54"/>
        <v>114464053.28339995</v>
      </c>
      <c r="G1787" s="16">
        <f>IF(D1787=0,0,SUMIF(매도완료!$J:$J,Sheet2!$B1787,매도완료!$S:$S))+IF(D1787=0,0,SUMIF(ING!$J:$J,Sheet2!$B1787,ING!$S:$S))</f>
        <v>0</v>
      </c>
      <c r="H1787" s="16">
        <f t="shared" si="55"/>
        <v>33020303.68671301</v>
      </c>
    </row>
    <row r="1788" spans="2:8" hidden="1" x14ac:dyDescent="0.4">
      <c r="B1788" s="1">
        <v>44337</v>
      </c>
      <c r="C1788" s="16">
        <f>SUMIF(매도완료!$G:$G,Sheet2!$B1788,매도완료!$P:$P)+SUMIF(ING!$G:$G,Sheet2!$B1788,ING!$P:$P)</f>
        <v>0</v>
      </c>
      <c r="D1788" s="16">
        <f>SUMIF(매도완료!$J:$J,Sheet2!$B1788,매도완료!$P:$P)+SUMIF(ING!$J:$J,Sheet2!$B1788,ING!$P:$P)</f>
        <v>0</v>
      </c>
      <c r="E1788" s="16">
        <f t="shared" si="54"/>
        <v>114464053.28339995</v>
      </c>
      <c r="G1788" s="16">
        <f>IF(D1788=0,0,SUMIF(매도완료!$J:$J,Sheet2!$B1788,매도완료!$S:$S))+IF(D1788=0,0,SUMIF(ING!$J:$J,Sheet2!$B1788,ING!$S:$S))</f>
        <v>0</v>
      </c>
      <c r="H1788" s="16">
        <f t="shared" si="55"/>
        <v>33020303.68671301</v>
      </c>
    </row>
    <row r="1789" spans="2:8" hidden="1" x14ac:dyDescent="0.4">
      <c r="B1789" s="1">
        <v>44338</v>
      </c>
      <c r="C1789" s="16">
        <f>SUMIF(매도완료!$G:$G,Sheet2!$B1789,매도완료!$P:$P)+SUMIF(ING!$G:$G,Sheet2!$B1789,ING!$P:$P)</f>
        <v>0</v>
      </c>
      <c r="D1789" s="16">
        <f>SUMIF(매도완료!$J:$J,Sheet2!$B1789,매도완료!$P:$P)+SUMIF(ING!$J:$J,Sheet2!$B1789,ING!$P:$P)</f>
        <v>0</v>
      </c>
      <c r="E1789" s="16">
        <f t="shared" si="54"/>
        <v>114464053.28339995</v>
      </c>
      <c r="G1789" s="16">
        <f>IF(D1789=0,0,SUMIF(매도완료!$J:$J,Sheet2!$B1789,매도완료!$S:$S))+IF(D1789=0,0,SUMIF(ING!$J:$J,Sheet2!$B1789,ING!$S:$S))</f>
        <v>0</v>
      </c>
      <c r="H1789" s="16">
        <f t="shared" si="55"/>
        <v>33020303.68671301</v>
      </c>
    </row>
    <row r="1790" spans="2:8" hidden="1" x14ac:dyDescent="0.4">
      <c r="B1790" s="1">
        <v>44339</v>
      </c>
      <c r="C1790" s="16">
        <f>SUMIF(매도완료!$G:$G,Sheet2!$B1790,매도완료!$P:$P)+SUMIF(ING!$G:$G,Sheet2!$B1790,ING!$P:$P)</f>
        <v>0</v>
      </c>
      <c r="D1790" s="16">
        <f>SUMIF(매도완료!$J:$J,Sheet2!$B1790,매도완료!$P:$P)+SUMIF(ING!$J:$J,Sheet2!$B1790,ING!$P:$P)</f>
        <v>0</v>
      </c>
      <c r="E1790" s="16">
        <f t="shared" si="54"/>
        <v>114464053.28339995</v>
      </c>
      <c r="G1790" s="16">
        <f>IF(D1790=0,0,SUMIF(매도완료!$J:$J,Sheet2!$B1790,매도완료!$S:$S))+IF(D1790=0,0,SUMIF(ING!$J:$J,Sheet2!$B1790,ING!$S:$S))</f>
        <v>0</v>
      </c>
      <c r="H1790" s="16">
        <f t="shared" si="55"/>
        <v>33020303.68671301</v>
      </c>
    </row>
    <row r="1791" spans="2:8" hidden="1" x14ac:dyDescent="0.4">
      <c r="B1791" s="1">
        <v>44340</v>
      </c>
      <c r="C1791" s="16">
        <f>SUMIF(매도완료!$G:$G,Sheet2!$B1791,매도완료!$P:$P)+SUMIF(ING!$G:$G,Sheet2!$B1791,ING!$P:$P)</f>
        <v>0</v>
      </c>
      <c r="D1791" s="16">
        <f>SUMIF(매도완료!$J:$J,Sheet2!$B1791,매도완료!$P:$P)+SUMIF(ING!$J:$J,Sheet2!$B1791,ING!$P:$P)</f>
        <v>0</v>
      </c>
      <c r="E1791" s="16">
        <f t="shared" si="54"/>
        <v>114464053.28339995</v>
      </c>
      <c r="G1791" s="16">
        <f>IF(D1791=0,0,SUMIF(매도완료!$J:$J,Sheet2!$B1791,매도완료!$S:$S))+IF(D1791=0,0,SUMIF(ING!$J:$J,Sheet2!$B1791,ING!$S:$S))</f>
        <v>0</v>
      </c>
      <c r="H1791" s="16">
        <f t="shared" si="55"/>
        <v>33020303.68671301</v>
      </c>
    </row>
    <row r="1792" spans="2:8" hidden="1" x14ac:dyDescent="0.4">
      <c r="B1792" s="1">
        <v>44341</v>
      </c>
      <c r="C1792" s="16">
        <f>SUMIF(매도완료!$G:$G,Sheet2!$B1792,매도완료!$P:$P)+SUMIF(ING!$G:$G,Sheet2!$B1792,ING!$P:$P)</f>
        <v>759600</v>
      </c>
      <c r="D1792" s="16">
        <f>SUMIF(매도완료!$J:$J,Sheet2!$B1792,매도완료!$P:$P)+SUMIF(ING!$J:$J,Sheet2!$B1792,ING!$P:$P)</f>
        <v>759600</v>
      </c>
      <c r="E1792" s="16">
        <f t="shared" si="54"/>
        <v>114464053.28339995</v>
      </c>
      <c r="G1792" s="16">
        <f>IF(D1792=0,0,SUMIF(매도완료!$J:$J,Sheet2!$B1792,매도완료!$S:$S))+IF(D1792=0,0,SUMIF(ING!$J:$J,Sheet2!$B1792,ING!$S:$S))</f>
        <v>-23337.4</v>
      </c>
      <c r="H1792" s="16">
        <f t="shared" si="55"/>
        <v>32996966.286713012</v>
      </c>
    </row>
    <row r="1793" spans="2:8" hidden="1" x14ac:dyDescent="0.4">
      <c r="B1793" s="1">
        <v>44342</v>
      </c>
      <c r="C1793" s="16">
        <f>SUMIF(매도완료!$G:$G,Sheet2!$B1793,매도완료!$P:$P)+SUMIF(ING!$G:$G,Sheet2!$B1793,ING!$P:$P)</f>
        <v>0</v>
      </c>
      <c r="D1793" s="16">
        <f>SUMIF(매도완료!$J:$J,Sheet2!$B1793,매도완료!$P:$P)+SUMIF(ING!$J:$J,Sheet2!$B1793,ING!$P:$P)</f>
        <v>0</v>
      </c>
      <c r="E1793" s="16">
        <f t="shared" si="54"/>
        <v>114464053.28339995</v>
      </c>
      <c r="G1793" s="16">
        <f>IF(D1793=0,0,SUMIF(매도완료!$J:$J,Sheet2!$B1793,매도완료!$S:$S))+IF(D1793=0,0,SUMIF(ING!$J:$J,Sheet2!$B1793,ING!$S:$S))</f>
        <v>0</v>
      </c>
      <c r="H1793" s="16">
        <f t="shared" si="55"/>
        <v>32996966.286713012</v>
      </c>
    </row>
    <row r="1794" spans="2:8" hidden="1" x14ac:dyDescent="0.4">
      <c r="B1794" s="1">
        <v>44343</v>
      </c>
      <c r="C1794" s="16">
        <f>SUMIF(매도완료!$G:$G,Sheet2!$B1794,매도완료!$P:$P)+SUMIF(ING!$G:$G,Sheet2!$B1794,ING!$P:$P)</f>
        <v>0</v>
      </c>
      <c r="D1794" s="16">
        <f>SUMIF(매도완료!$J:$J,Sheet2!$B1794,매도완료!$P:$P)+SUMIF(ING!$J:$J,Sheet2!$B1794,ING!$P:$P)</f>
        <v>0</v>
      </c>
      <c r="E1794" s="16">
        <f t="shared" si="54"/>
        <v>114464053.28339995</v>
      </c>
      <c r="G1794" s="16">
        <f>IF(D1794=0,0,SUMIF(매도완료!$J:$J,Sheet2!$B1794,매도완료!$S:$S))+IF(D1794=0,0,SUMIF(ING!$J:$J,Sheet2!$B1794,ING!$S:$S))</f>
        <v>0</v>
      </c>
      <c r="H1794" s="16">
        <f t="shared" si="55"/>
        <v>32996966.286713012</v>
      </c>
    </row>
    <row r="1795" spans="2:8" hidden="1" x14ac:dyDescent="0.4">
      <c r="B1795" s="1">
        <v>44344</v>
      </c>
      <c r="C1795" s="16">
        <f>SUMIF(매도완료!$G:$G,Sheet2!$B1795,매도완료!$P:$P)+SUMIF(ING!$G:$G,Sheet2!$B1795,ING!$P:$P)</f>
        <v>0</v>
      </c>
      <c r="D1795" s="16">
        <f>SUMIF(매도완료!$J:$J,Sheet2!$B1795,매도완료!$P:$P)+SUMIF(ING!$J:$J,Sheet2!$B1795,ING!$P:$P)</f>
        <v>2840000</v>
      </c>
      <c r="E1795" s="16">
        <f t="shared" si="54"/>
        <v>111624053.28339995</v>
      </c>
      <c r="G1795" s="16">
        <f>IF(D1795=0,0,SUMIF(매도완료!$J:$J,Sheet2!$B1795,매도완료!$S:$S))+IF(D1795=0,0,SUMIF(ING!$J:$J,Sheet2!$B1795,ING!$S:$S))</f>
        <v>502095</v>
      </c>
      <c r="H1795" s="16">
        <f t="shared" si="55"/>
        <v>33499061.286713012</v>
      </c>
    </row>
    <row r="1796" spans="2:8" hidden="1" x14ac:dyDescent="0.4">
      <c r="B1796" s="1">
        <v>44345</v>
      </c>
      <c r="C1796" s="16">
        <f>SUMIF(매도완료!$G:$G,Sheet2!$B1796,매도완료!$P:$P)+SUMIF(ING!$G:$G,Sheet2!$B1796,ING!$P:$P)</f>
        <v>0</v>
      </c>
      <c r="D1796" s="16">
        <f>SUMIF(매도완료!$J:$J,Sheet2!$B1796,매도완료!$P:$P)+SUMIF(ING!$J:$J,Sheet2!$B1796,ING!$P:$P)</f>
        <v>0</v>
      </c>
      <c r="E1796" s="16">
        <f t="shared" ref="E1796:E1859" si="56">E1795+C1796-D1796</f>
        <v>111624053.28339995</v>
      </c>
      <c r="G1796" s="16">
        <f>IF(D1796=0,0,SUMIF(매도완료!$J:$J,Sheet2!$B1796,매도완료!$S:$S))+IF(D1796=0,0,SUMIF(ING!$J:$J,Sheet2!$B1796,ING!$S:$S))</f>
        <v>0</v>
      </c>
      <c r="H1796" s="16">
        <f t="shared" ref="H1796:H1859" si="57">H1795+G1796</f>
        <v>33499061.286713012</v>
      </c>
    </row>
    <row r="1797" spans="2:8" hidden="1" x14ac:dyDescent="0.4">
      <c r="B1797" s="1">
        <v>44346</v>
      </c>
      <c r="C1797" s="16">
        <f>SUMIF(매도완료!$G:$G,Sheet2!$B1797,매도완료!$P:$P)+SUMIF(ING!$G:$G,Sheet2!$B1797,ING!$P:$P)</f>
        <v>0</v>
      </c>
      <c r="D1797" s="16">
        <f>SUMIF(매도완료!$J:$J,Sheet2!$B1797,매도완료!$P:$P)+SUMIF(ING!$J:$J,Sheet2!$B1797,ING!$P:$P)</f>
        <v>0</v>
      </c>
      <c r="E1797" s="16">
        <f t="shared" si="56"/>
        <v>111624053.28339995</v>
      </c>
      <c r="G1797" s="16">
        <f>IF(D1797=0,0,SUMIF(매도완료!$J:$J,Sheet2!$B1797,매도완료!$S:$S))+IF(D1797=0,0,SUMIF(ING!$J:$J,Sheet2!$B1797,ING!$S:$S))</f>
        <v>0</v>
      </c>
      <c r="H1797" s="16">
        <f t="shared" si="57"/>
        <v>33499061.286713012</v>
      </c>
    </row>
    <row r="1798" spans="2:8" hidden="1" x14ac:dyDescent="0.4">
      <c r="B1798" s="1">
        <v>44347</v>
      </c>
      <c r="C1798" s="16">
        <f>SUMIF(매도완료!$G:$G,Sheet2!$B1798,매도완료!$P:$P)+SUMIF(ING!$G:$G,Sheet2!$B1798,ING!$P:$P)</f>
        <v>0</v>
      </c>
      <c r="D1798" s="16">
        <f>SUMIF(매도완료!$J:$J,Sheet2!$B1798,매도완료!$P:$P)+SUMIF(ING!$J:$J,Sheet2!$B1798,ING!$P:$P)</f>
        <v>0</v>
      </c>
      <c r="E1798" s="16">
        <f t="shared" si="56"/>
        <v>111624053.28339995</v>
      </c>
      <c r="G1798" s="16">
        <f>IF(D1798=0,0,SUMIF(매도완료!$J:$J,Sheet2!$B1798,매도완료!$S:$S))+IF(D1798=0,0,SUMIF(ING!$J:$J,Sheet2!$B1798,ING!$S:$S))</f>
        <v>0</v>
      </c>
      <c r="H1798" s="16">
        <f t="shared" si="57"/>
        <v>33499061.286713012</v>
      </c>
    </row>
    <row r="1799" spans="2:8" hidden="1" x14ac:dyDescent="0.4">
      <c r="B1799" s="1">
        <v>44348</v>
      </c>
      <c r="C1799" s="16">
        <f>SUMIF(매도완료!$G:$G,Sheet2!$B1799,매도완료!$P:$P)+SUMIF(ING!$G:$G,Sheet2!$B1799,ING!$P:$P)</f>
        <v>0</v>
      </c>
      <c r="D1799" s="16">
        <f>SUMIF(매도완료!$J:$J,Sheet2!$B1799,매도완료!$P:$P)+SUMIF(ING!$J:$J,Sheet2!$B1799,ING!$P:$P)</f>
        <v>0</v>
      </c>
      <c r="E1799" s="16">
        <f t="shared" si="56"/>
        <v>111624053.28339995</v>
      </c>
      <c r="G1799" s="16">
        <f>IF(D1799=0,0,SUMIF(매도완료!$J:$J,Sheet2!$B1799,매도완료!$S:$S))+IF(D1799=0,0,SUMIF(ING!$J:$J,Sheet2!$B1799,ING!$S:$S))</f>
        <v>0</v>
      </c>
      <c r="H1799" s="16">
        <f t="shared" si="57"/>
        <v>33499061.286713012</v>
      </c>
    </row>
    <row r="1800" spans="2:8" hidden="1" x14ac:dyDescent="0.4">
      <c r="B1800" s="1">
        <v>44349</v>
      </c>
      <c r="C1800" s="16">
        <f>SUMIF(매도완료!$G:$G,Sheet2!$B1800,매도완료!$P:$P)+SUMIF(ING!$G:$G,Sheet2!$B1800,ING!$P:$P)</f>
        <v>1125000</v>
      </c>
      <c r="D1800" s="16">
        <f>SUMIF(매도완료!$J:$J,Sheet2!$B1800,매도완료!$P:$P)+SUMIF(ING!$J:$J,Sheet2!$B1800,ING!$P:$P)</f>
        <v>0</v>
      </c>
      <c r="E1800" s="16">
        <f t="shared" si="56"/>
        <v>112749053.28339995</v>
      </c>
      <c r="G1800" s="16">
        <f>IF(D1800=0,0,SUMIF(매도완료!$J:$J,Sheet2!$B1800,매도완료!$S:$S))+IF(D1800=0,0,SUMIF(ING!$J:$J,Sheet2!$B1800,ING!$S:$S))</f>
        <v>0</v>
      </c>
      <c r="H1800" s="16">
        <f t="shared" si="57"/>
        <v>33499061.286713012</v>
      </c>
    </row>
    <row r="1801" spans="2:8" hidden="1" x14ac:dyDescent="0.4">
      <c r="B1801" s="1">
        <v>44350</v>
      </c>
      <c r="C1801" s="16">
        <f>SUMIF(매도완료!$G:$G,Sheet2!$B1801,매도완료!$P:$P)+SUMIF(ING!$G:$G,Sheet2!$B1801,ING!$P:$P)</f>
        <v>0</v>
      </c>
      <c r="D1801" s="16">
        <f>SUMIF(매도완료!$J:$J,Sheet2!$B1801,매도완료!$P:$P)+SUMIF(ING!$J:$J,Sheet2!$B1801,ING!$P:$P)</f>
        <v>0</v>
      </c>
      <c r="E1801" s="16">
        <f t="shared" si="56"/>
        <v>112749053.28339995</v>
      </c>
      <c r="G1801" s="16">
        <f>IF(D1801=0,0,SUMIF(매도완료!$J:$J,Sheet2!$B1801,매도완료!$S:$S))+IF(D1801=0,0,SUMIF(ING!$J:$J,Sheet2!$B1801,ING!$S:$S))</f>
        <v>0</v>
      </c>
      <c r="H1801" s="16">
        <f t="shared" si="57"/>
        <v>33499061.286713012</v>
      </c>
    </row>
    <row r="1802" spans="2:8" hidden="1" x14ac:dyDescent="0.4">
      <c r="B1802" s="1">
        <v>44351</v>
      </c>
      <c r="C1802" s="16">
        <f>SUMIF(매도완료!$G:$G,Sheet2!$B1802,매도완료!$P:$P)+SUMIF(ING!$G:$G,Sheet2!$B1802,ING!$P:$P)</f>
        <v>263000</v>
      </c>
      <c r="D1802" s="16">
        <f>SUMIF(매도완료!$J:$J,Sheet2!$B1802,매도완료!$P:$P)+SUMIF(ING!$J:$J,Sheet2!$B1802,ING!$P:$P)</f>
        <v>0</v>
      </c>
      <c r="E1802" s="16">
        <f t="shared" si="56"/>
        <v>113012053.28339995</v>
      </c>
      <c r="G1802" s="16">
        <f>IF(D1802=0,0,SUMIF(매도완료!$J:$J,Sheet2!$B1802,매도완료!$S:$S))+IF(D1802=0,0,SUMIF(ING!$J:$J,Sheet2!$B1802,ING!$S:$S))</f>
        <v>0</v>
      </c>
      <c r="H1802" s="16">
        <f t="shared" si="57"/>
        <v>33499061.286713012</v>
      </c>
    </row>
    <row r="1803" spans="2:8" hidden="1" x14ac:dyDescent="0.4">
      <c r="B1803" s="1">
        <v>44352</v>
      </c>
      <c r="C1803" s="16">
        <f>SUMIF(매도완료!$G:$G,Sheet2!$B1803,매도완료!$P:$P)+SUMIF(ING!$G:$G,Sheet2!$B1803,ING!$P:$P)</f>
        <v>0</v>
      </c>
      <c r="D1803" s="16">
        <f>SUMIF(매도완료!$J:$J,Sheet2!$B1803,매도완료!$P:$P)+SUMIF(ING!$J:$J,Sheet2!$B1803,ING!$P:$P)</f>
        <v>0</v>
      </c>
      <c r="E1803" s="16">
        <f t="shared" si="56"/>
        <v>113012053.28339995</v>
      </c>
      <c r="G1803" s="16">
        <f>IF(D1803=0,0,SUMIF(매도완료!$J:$J,Sheet2!$B1803,매도완료!$S:$S))+IF(D1803=0,0,SUMIF(ING!$J:$J,Sheet2!$B1803,ING!$S:$S))</f>
        <v>0</v>
      </c>
      <c r="H1803" s="16">
        <f t="shared" si="57"/>
        <v>33499061.286713012</v>
      </c>
    </row>
    <row r="1804" spans="2:8" hidden="1" x14ac:dyDescent="0.4">
      <c r="B1804" s="1">
        <v>44353</v>
      </c>
      <c r="C1804" s="16">
        <f>SUMIF(매도완료!$G:$G,Sheet2!$B1804,매도완료!$P:$P)+SUMIF(ING!$G:$G,Sheet2!$B1804,ING!$P:$P)</f>
        <v>0</v>
      </c>
      <c r="D1804" s="16">
        <f>SUMIF(매도완료!$J:$J,Sheet2!$B1804,매도완료!$P:$P)+SUMIF(ING!$J:$J,Sheet2!$B1804,ING!$P:$P)</f>
        <v>0</v>
      </c>
      <c r="E1804" s="16">
        <f t="shared" si="56"/>
        <v>113012053.28339995</v>
      </c>
      <c r="G1804" s="16">
        <f>IF(D1804=0,0,SUMIF(매도완료!$J:$J,Sheet2!$B1804,매도완료!$S:$S))+IF(D1804=0,0,SUMIF(ING!$J:$J,Sheet2!$B1804,ING!$S:$S))</f>
        <v>0</v>
      </c>
      <c r="H1804" s="16">
        <f t="shared" si="57"/>
        <v>33499061.286713012</v>
      </c>
    </row>
    <row r="1805" spans="2:8" hidden="1" x14ac:dyDescent="0.4">
      <c r="B1805" s="1">
        <v>44354</v>
      </c>
      <c r="C1805" s="16">
        <f>SUMIF(매도완료!$G:$G,Sheet2!$B1805,매도완료!$P:$P)+SUMIF(ING!$G:$G,Sheet2!$B1805,ING!$P:$P)</f>
        <v>0</v>
      </c>
      <c r="D1805" s="16">
        <f>SUMIF(매도완료!$J:$J,Sheet2!$B1805,매도완료!$P:$P)+SUMIF(ING!$J:$J,Sheet2!$B1805,ING!$P:$P)</f>
        <v>0</v>
      </c>
      <c r="E1805" s="16">
        <f t="shared" si="56"/>
        <v>113012053.28339995</v>
      </c>
      <c r="G1805" s="16">
        <f>IF(D1805=0,0,SUMIF(매도완료!$J:$J,Sheet2!$B1805,매도완료!$S:$S))+IF(D1805=0,0,SUMIF(ING!$J:$J,Sheet2!$B1805,ING!$S:$S))</f>
        <v>0</v>
      </c>
      <c r="H1805" s="16">
        <f t="shared" si="57"/>
        <v>33499061.286713012</v>
      </c>
    </row>
    <row r="1806" spans="2:8" hidden="1" x14ac:dyDescent="0.4">
      <c r="B1806" s="1">
        <v>44355</v>
      </c>
      <c r="C1806" s="16">
        <f>SUMIF(매도완료!$G:$G,Sheet2!$B1806,매도완료!$P:$P)+SUMIF(ING!$G:$G,Sheet2!$B1806,ING!$P:$P)</f>
        <v>0</v>
      </c>
      <c r="D1806" s="16">
        <f>SUMIF(매도완료!$J:$J,Sheet2!$B1806,매도완료!$P:$P)+SUMIF(ING!$J:$J,Sheet2!$B1806,ING!$P:$P)</f>
        <v>0</v>
      </c>
      <c r="E1806" s="16">
        <f t="shared" si="56"/>
        <v>113012053.28339995</v>
      </c>
      <c r="G1806" s="16">
        <f>IF(D1806=0,0,SUMIF(매도완료!$J:$J,Sheet2!$B1806,매도완료!$S:$S))+IF(D1806=0,0,SUMIF(ING!$J:$J,Sheet2!$B1806,ING!$S:$S))</f>
        <v>0</v>
      </c>
      <c r="H1806" s="16">
        <f t="shared" si="57"/>
        <v>33499061.286713012</v>
      </c>
    </row>
    <row r="1807" spans="2:8" hidden="1" x14ac:dyDescent="0.4">
      <c r="B1807" s="1">
        <v>44356</v>
      </c>
      <c r="C1807" s="16">
        <f>SUMIF(매도완료!$G:$G,Sheet2!$B1807,매도완료!$P:$P)+SUMIF(ING!$G:$G,Sheet2!$B1807,ING!$P:$P)</f>
        <v>1500000</v>
      </c>
      <c r="D1807" s="16">
        <f>SUMIF(매도완료!$J:$J,Sheet2!$B1807,매도완료!$P:$P)+SUMIF(ING!$J:$J,Sheet2!$B1807,ING!$P:$P)</f>
        <v>0</v>
      </c>
      <c r="E1807" s="16">
        <f t="shared" si="56"/>
        <v>114512053.28339995</v>
      </c>
      <c r="G1807" s="16">
        <f>IF(D1807=0,0,SUMIF(매도완료!$J:$J,Sheet2!$B1807,매도완료!$S:$S))+IF(D1807=0,0,SUMIF(ING!$J:$J,Sheet2!$B1807,ING!$S:$S))</f>
        <v>0</v>
      </c>
      <c r="H1807" s="16">
        <f t="shared" si="57"/>
        <v>33499061.286713012</v>
      </c>
    </row>
    <row r="1808" spans="2:8" hidden="1" x14ac:dyDescent="0.4">
      <c r="B1808" s="1">
        <v>44357</v>
      </c>
      <c r="C1808" s="16">
        <f>SUMIF(매도완료!$G:$G,Sheet2!$B1808,매도완료!$P:$P)+SUMIF(ING!$G:$G,Sheet2!$B1808,ING!$P:$P)</f>
        <v>0</v>
      </c>
      <c r="D1808" s="16">
        <f>SUMIF(매도완료!$J:$J,Sheet2!$B1808,매도완료!$P:$P)+SUMIF(ING!$J:$J,Sheet2!$B1808,ING!$P:$P)</f>
        <v>0</v>
      </c>
      <c r="E1808" s="16">
        <f t="shared" si="56"/>
        <v>114512053.28339995</v>
      </c>
      <c r="G1808" s="16">
        <f>IF(D1808=0,0,SUMIF(매도완료!$J:$J,Sheet2!$B1808,매도완료!$S:$S))+IF(D1808=0,0,SUMIF(ING!$J:$J,Sheet2!$B1808,ING!$S:$S))</f>
        <v>0</v>
      </c>
      <c r="H1808" s="16">
        <f t="shared" si="57"/>
        <v>33499061.286713012</v>
      </c>
    </row>
    <row r="1809" spans="2:8" hidden="1" x14ac:dyDescent="0.4">
      <c r="B1809" s="1">
        <v>44358</v>
      </c>
      <c r="C1809" s="16">
        <f>SUMIF(매도완료!$G:$G,Sheet2!$B1809,매도완료!$P:$P)+SUMIF(ING!$G:$G,Sheet2!$B1809,ING!$P:$P)</f>
        <v>4450050</v>
      </c>
      <c r="D1809" s="16">
        <f>SUMIF(매도완료!$J:$J,Sheet2!$B1809,매도완료!$P:$P)+SUMIF(ING!$J:$J,Sheet2!$B1809,ING!$P:$P)</f>
        <v>2217000</v>
      </c>
      <c r="E1809" s="16">
        <f t="shared" si="56"/>
        <v>116745103.28339995</v>
      </c>
      <c r="G1809" s="16">
        <f>IF(D1809=0,0,SUMIF(매도완료!$J:$J,Sheet2!$B1809,매도완료!$S:$S))+IF(D1809=0,0,SUMIF(ING!$J:$J,Sheet2!$B1809,ING!$S:$S))</f>
        <v>366883</v>
      </c>
      <c r="H1809" s="16">
        <f t="shared" si="57"/>
        <v>33865944.286713012</v>
      </c>
    </row>
    <row r="1810" spans="2:8" hidden="1" x14ac:dyDescent="0.4">
      <c r="B1810" s="1">
        <v>44359</v>
      </c>
      <c r="C1810" s="16">
        <f>SUMIF(매도완료!$G:$G,Sheet2!$B1810,매도완료!$P:$P)+SUMIF(ING!$G:$G,Sheet2!$B1810,ING!$P:$P)</f>
        <v>0</v>
      </c>
      <c r="D1810" s="16">
        <f>SUMIF(매도완료!$J:$J,Sheet2!$B1810,매도완료!$P:$P)+SUMIF(ING!$J:$J,Sheet2!$B1810,ING!$P:$P)</f>
        <v>0</v>
      </c>
      <c r="E1810" s="16">
        <f t="shared" si="56"/>
        <v>116745103.28339995</v>
      </c>
      <c r="G1810" s="16">
        <f>IF(D1810=0,0,SUMIF(매도완료!$J:$J,Sheet2!$B1810,매도완료!$S:$S))+IF(D1810=0,0,SUMIF(ING!$J:$J,Sheet2!$B1810,ING!$S:$S))</f>
        <v>0</v>
      </c>
      <c r="H1810" s="16">
        <f t="shared" si="57"/>
        <v>33865944.286713012</v>
      </c>
    </row>
    <row r="1811" spans="2:8" hidden="1" x14ac:dyDescent="0.4">
      <c r="B1811" s="1">
        <v>44360</v>
      </c>
      <c r="C1811" s="16">
        <f>SUMIF(매도완료!$G:$G,Sheet2!$B1811,매도완료!$P:$P)+SUMIF(ING!$G:$G,Sheet2!$B1811,ING!$P:$P)</f>
        <v>0</v>
      </c>
      <c r="D1811" s="16">
        <f>SUMIF(매도완료!$J:$J,Sheet2!$B1811,매도완료!$P:$P)+SUMIF(ING!$J:$J,Sheet2!$B1811,ING!$P:$P)</f>
        <v>0</v>
      </c>
      <c r="E1811" s="16">
        <f t="shared" si="56"/>
        <v>116745103.28339995</v>
      </c>
      <c r="G1811" s="16">
        <f>IF(D1811=0,0,SUMIF(매도완료!$J:$J,Sheet2!$B1811,매도완료!$S:$S))+IF(D1811=0,0,SUMIF(ING!$J:$J,Sheet2!$B1811,ING!$S:$S))</f>
        <v>0</v>
      </c>
      <c r="H1811" s="16">
        <f t="shared" si="57"/>
        <v>33865944.286713012</v>
      </c>
    </row>
    <row r="1812" spans="2:8" hidden="1" x14ac:dyDescent="0.4">
      <c r="B1812" s="1">
        <v>44361</v>
      </c>
      <c r="C1812" s="16">
        <f>SUMIF(매도완료!$G:$G,Sheet2!$B1812,매도완료!$P:$P)+SUMIF(ING!$G:$G,Sheet2!$B1812,ING!$P:$P)</f>
        <v>0</v>
      </c>
      <c r="D1812" s="16">
        <f>SUMIF(매도완료!$J:$J,Sheet2!$B1812,매도완료!$P:$P)+SUMIF(ING!$J:$J,Sheet2!$B1812,ING!$P:$P)</f>
        <v>4450050</v>
      </c>
      <c r="E1812" s="16">
        <f t="shared" si="56"/>
        <v>112295053.28339995</v>
      </c>
      <c r="G1812" s="16">
        <f>IF(D1812=0,0,SUMIF(매도완료!$J:$J,Sheet2!$B1812,매도완료!$S:$S))+IF(D1812=0,0,SUMIF(ING!$J:$J,Sheet2!$B1812,ING!$S:$S))</f>
        <v>114706.12</v>
      </c>
      <c r="H1812" s="16">
        <f t="shared" si="57"/>
        <v>33980650.406713009</v>
      </c>
    </row>
    <row r="1813" spans="2:8" hidden="1" x14ac:dyDescent="0.4">
      <c r="B1813" s="1">
        <v>44362</v>
      </c>
      <c r="C1813" s="16">
        <f>SUMIF(매도완료!$G:$G,Sheet2!$B1813,매도완료!$P:$P)+SUMIF(ING!$G:$G,Sheet2!$B1813,ING!$P:$P)</f>
        <v>0</v>
      </c>
      <c r="D1813" s="16">
        <f>SUMIF(매도완료!$J:$J,Sheet2!$B1813,매도완료!$P:$P)+SUMIF(ING!$J:$J,Sheet2!$B1813,ING!$P:$P)</f>
        <v>0</v>
      </c>
      <c r="E1813" s="16">
        <f t="shared" si="56"/>
        <v>112295053.28339995</v>
      </c>
      <c r="G1813" s="16">
        <f>IF(D1813=0,0,SUMIF(매도완료!$J:$J,Sheet2!$B1813,매도완료!$S:$S))+IF(D1813=0,0,SUMIF(ING!$J:$J,Sheet2!$B1813,ING!$S:$S))</f>
        <v>0</v>
      </c>
      <c r="H1813" s="16">
        <f t="shared" si="57"/>
        <v>33980650.406713009</v>
      </c>
    </row>
    <row r="1814" spans="2:8" hidden="1" x14ac:dyDescent="0.4">
      <c r="B1814" s="1">
        <v>44363</v>
      </c>
      <c r="C1814" s="16">
        <f>SUMIF(매도완료!$G:$G,Sheet2!$B1814,매도완료!$P:$P)+SUMIF(ING!$G:$G,Sheet2!$B1814,ING!$P:$P)</f>
        <v>0</v>
      </c>
      <c r="D1814" s="16">
        <f>SUMIF(매도완료!$J:$J,Sheet2!$B1814,매도완료!$P:$P)+SUMIF(ING!$J:$J,Sheet2!$B1814,ING!$P:$P)</f>
        <v>0</v>
      </c>
      <c r="E1814" s="16">
        <f t="shared" si="56"/>
        <v>112295053.28339995</v>
      </c>
      <c r="G1814" s="16">
        <f>IF(D1814=0,0,SUMIF(매도완료!$J:$J,Sheet2!$B1814,매도완료!$S:$S))+IF(D1814=0,0,SUMIF(ING!$J:$J,Sheet2!$B1814,ING!$S:$S))</f>
        <v>0</v>
      </c>
      <c r="H1814" s="16">
        <f t="shared" si="57"/>
        <v>33980650.406713009</v>
      </c>
    </row>
    <row r="1815" spans="2:8" hidden="1" x14ac:dyDescent="0.4">
      <c r="B1815" s="1">
        <v>44364</v>
      </c>
      <c r="C1815" s="16">
        <f>SUMIF(매도완료!$G:$G,Sheet2!$B1815,매도완료!$P:$P)+SUMIF(ING!$G:$G,Sheet2!$B1815,ING!$P:$P)</f>
        <v>1080000</v>
      </c>
      <c r="D1815" s="16">
        <f>SUMIF(매도완료!$J:$J,Sheet2!$B1815,매도완료!$P:$P)+SUMIF(ING!$J:$J,Sheet2!$B1815,ING!$P:$P)</f>
        <v>0</v>
      </c>
      <c r="E1815" s="16">
        <f t="shared" si="56"/>
        <v>113375053.28339995</v>
      </c>
      <c r="G1815" s="16">
        <f>IF(D1815=0,0,SUMIF(매도완료!$J:$J,Sheet2!$B1815,매도완료!$S:$S))+IF(D1815=0,0,SUMIF(ING!$J:$J,Sheet2!$B1815,ING!$S:$S))</f>
        <v>0</v>
      </c>
      <c r="H1815" s="16">
        <f t="shared" si="57"/>
        <v>33980650.406713009</v>
      </c>
    </row>
    <row r="1816" spans="2:8" hidden="1" x14ac:dyDescent="0.4">
      <c r="B1816" s="1">
        <v>44365</v>
      </c>
      <c r="C1816" s="16">
        <f>SUMIF(매도완료!$G:$G,Sheet2!$B1816,매도완료!$P:$P)+SUMIF(ING!$G:$G,Sheet2!$B1816,ING!$P:$P)</f>
        <v>8274063.4199999999</v>
      </c>
      <c r="D1816" s="16">
        <f>SUMIF(매도완료!$J:$J,Sheet2!$B1816,매도완료!$P:$P)+SUMIF(ING!$J:$J,Sheet2!$B1816,ING!$P:$P)</f>
        <v>0</v>
      </c>
      <c r="E1816" s="16">
        <f t="shared" si="56"/>
        <v>121649116.70339996</v>
      </c>
      <c r="G1816" s="16">
        <f>IF(D1816=0,0,SUMIF(매도완료!$J:$J,Sheet2!$B1816,매도완료!$S:$S))+IF(D1816=0,0,SUMIF(ING!$J:$J,Sheet2!$B1816,ING!$S:$S))</f>
        <v>0</v>
      </c>
      <c r="H1816" s="16">
        <f t="shared" si="57"/>
        <v>33980650.406713009</v>
      </c>
    </row>
    <row r="1817" spans="2:8" hidden="1" x14ac:dyDescent="0.4">
      <c r="B1817" s="1">
        <v>44366</v>
      </c>
      <c r="C1817" s="16">
        <f>SUMIF(매도완료!$G:$G,Sheet2!$B1817,매도완료!$P:$P)+SUMIF(ING!$G:$G,Sheet2!$B1817,ING!$P:$P)</f>
        <v>0</v>
      </c>
      <c r="D1817" s="16">
        <f>SUMIF(매도완료!$J:$J,Sheet2!$B1817,매도완료!$P:$P)+SUMIF(ING!$J:$J,Sheet2!$B1817,ING!$P:$P)</f>
        <v>0</v>
      </c>
      <c r="E1817" s="16">
        <f t="shared" si="56"/>
        <v>121649116.70339996</v>
      </c>
      <c r="G1817" s="16">
        <f>IF(D1817=0,0,SUMIF(매도완료!$J:$J,Sheet2!$B1817,매도완료!$S:$S))+IF(D1817=0,0,SUMIF(ING!$J:$J,Sheet2!$B1817,ING!$S:$S))</f>
        <v>0</v>
      </c>
      <c r="H1817" s="16">
        <f t="shared" si="57"/>
        <v>33980650.406713009</v>
      </c>
    </row>
    <row r="1818" spans="2:8" hidden="1" x14ac:dyDescent="0.4">
      <c r="B1818" s="1">
        <v>44367</v>
      </c>
      <c r="C1818" s="16">
        <f>SUMIF(매도완료!$G:$G,Sheet2!$B1818,매도완료!$P:$P)+SUMIF(ING!$G:$G,Sheet2!$B1818,ING!$P:$P)</f>
        <v>0</v>
      </c>
      <c r="D1818" s="16">
        <f>SUMIF(매도완료!$J:$J,Sheet2!$B1818,매도완료!$P:$P)+SUMIF(ING!$J:$J,Sheet2!$B1818,ING!$P:$P)</f>
        <v>850500</v>
      </c>
      <c r="E1818" s="16">
        <f t="shared" si="56"/>
        <v>120798616.70339996</v>
      </c>
      <c r="G1818" s="16">
        <f>IF(D1818=0,0,SUMIF(매도완료!$J:$J,Sheet2!$B1818,매도완료!$S:$S))+IF(D1818=0,0,SUMIF(ING!$J:$J,Sheet2!$B1818,ING!$S:$S))</f>
        <v>321747.5</v>
      </c>
      <c r="H1818" s="16">
        <f t="shared" si="57"/>
        <v>34302397.906713009</v>
      </c>
    </row>
    <row r="1819" spans="2:8" hidden="1" x14ac:dyDescent="0.4">
      <c r="B1819" s="1">
        <v>44368</v>
      </c>
      <c r="C1819" s="16">
        <f>SUMIF(매도완료!$G:$G,Sheet2!$B1819,매도완료!$P:$P)+SUMIF(ING!$G:$G,Sheet2!$B1819,ING!$P:$P)</f>
        <v>0</v>
      </c>
      <c r="D1819" s="16">
        <f>SUMIF(매도완료!$J:$J,Sheet2!$B1819,매도완료!$P:$P)+SUMIF(ING!$J:$J,Sheet2!$B1819,ING!$P:$P)</f>
        <v>0</v>
      </c>
      <c r="E1819" s="16">
        <f t="shared" si="56"/>
        <v>120798616.70339996</v>
      </c>
      <c r="G1819" s="16">
        <f>IF(D1819=0,0,SUMIF(매도완료!$J:$J,Sheet2!$B1819,매도완료!$S:$S))+IF(D1819=0,0,SUMIF(ING!$J:$J,Sheet2!$B1819,ING!$S:$S))</f>
        <v>0</v>
      </c>
      <c r="H1819" s="16">
        <f t="shared" si="57"/>
        <v>34302397.906713009</v>
      </c>
    </row>
    <row r="1820" spans="2:8" hidden="1" x14ac:dyDescent="0.4">
      <c r="B1820" s="1">
        <v>44369</v>
      </c>
      <c r="C1820" s="16">
        <f>SUMIF(매도완료!$G:$G,Sheet2!$B1820,매도완료!$P:$P)+SUMIF(ING!$G:$G,Sheet2!$B1820,ING!$P:$P)</f>
        <v>0</v>
      </c>
      <c r="D1820" s="16">
        <f>SUMIF(매도완료!$J:$J,Sheet2!$B1820,매도완료!$P:$P)+SUMIF(ING!$J:$J,Sheet2!$B1820,ING!$P:$P)</f>
        <v>0</v>
      </c>
      <c r="E1820" s="16">
        <f t="shared" si="56"/>
        <v>120798616.70339996</v>
      </c>
      <c r="G1820" s="16">
        <f>IF(D1820=0,0,SUMIF(매도완료!$J:$J,Sheet2!$B1820,매도완료!$S:$S))+IF(D1820=0,0,SUMIF(ING!$J:$J,Sheet2!$B1820,ING!$S:$S))</f>
        <v>0</v>
      </c>
      <c r="H1820" s="16">
        <f t="shared" si="57"/>
        <v>34302397.906713009</v>
      </c>
    </row>
    <row r="1821" spans="2:8" hidden="1" x14ac:dyDescent="0.4">
      <c r="B1821" s="1">
        <v>44370</v>
      </c>
      <c r="C1821" s="16">
        <f>SUMIF(매도완료!$G:$G,Sheet2!$B1821,매도완료!$P:$P)+SUMIF(ING!$G:$G,Sheet2!$B1821,ING!$P:$P)</f>
        <v>0</v>
      </c>
      <c r="D1821" s="16">
        <f>SUMIF(매도완료!$J:$J,Sheet2!$B1821,매도완료!$P:$P)+SUMIF(ING!$J:$J,Sheet2!$B1821,ING!$P:$P)</f>
        <v>0</v>
      </c>
      <c r="E1821" s="16">
        <f t="shared" si="56"/>
        <v>120798616.70339996</v>
      </c>
      <c r="G1821" s="16">
        <f>IF(D1821=0,0,SUMIF(매도완료!$J:$J,Sheet2!$B1821,매도완료!$S:$S))+IF(D1821=0,0,SUMIF(ING!$J:$J,Sheet2!$B1821,ING!$S:$S))</f>
        <v>0</v>
      </c>
      <c r="H1821" s="16">
        <f t="shared" si="57"/>
        <v>34302397.906713009</v>
      </c>
    </row>
    <row r="1822" spans="2:8" hidden="1" x14ac:dyDescent="0.4">
      <c r="B1822" s="1">
        <v>44371</v>
      </c>
      <c r="C1822" s="16">
        <f>SUMIF(매도완료!$G:$G,Sheet2!$B1822,매도완료!$P:$P)+SUMIF(ING!$G:$G,Sheet2!$B1822,ING!$P:$P)</f>
        <v>0</v>
      </c>
      <c r="D1822" s="16">
        <f>SUMIF(매도완료!$J:$J,Sheet2!$B1822,매도완료!$P:$P)+SUMIF(ING!$J:$J,Sheet2!$B1822,ING!$P:$P)</f>
        <v>0</v>
      </c>
      <c r="E1822" s="16">
        <f t="shared" si="56"/>
        <v>120798616.70339996</v>
      </c>
      <c r="G1822" s="16">
        <f>IF(D1822=0,0,SUMIF(매도완료!$J:$J,Sheet2!$B1822,매도완료!$S:$S))+IF(D1822=0,0,SUMIF(ING!$J:$J,Sheet2!$B1822,ING!$S:$S))</f>
        <v>0</v>
      </c>
      <c r="H1822" s="16">
        <f t="shared" si="57"/>
        <v>34302397.906713009</v>
      </c>
    </row>
    <row r="1823" spans="2:8" hidden="1" x14ac:dyDescent="0.4">
      <c r="B1823" s="1">
        <v>44372</v>
      </c>
      <c r="C1823" s="16">
        <f>SUMIF(매도완료!$G:$G,Sheet2!$B1823,매도완료!$P:$P)+SUMIF(ING!$G:$G,Sheet2!$B1823,ING!$P:$P)</f>
        <v>0</v>
      </c>
      <c r="D1823" s="16">
        <f>SUMIF(매도완료!$J:$J,Sheet2!$B1823,매도완료!$P:$P)+SUMIF(ING!$J:$J,Sheet2!$B1823,ING!$P:$P)</f>
        <v>0</v>
      </c>
      <c r="E1823" s="16">
        <f t="shared" si="56"/>
        <v>120798616.70339996</v>
      </c>
      <c r="G1823" s="16">
        <f>IF(D1823=0,0,SUMIF(매도완료!$J:$J,Sheet2!$B1823,매도완료!$S:$S))+IF(D1823=0,0,SUMIF(ING!$J:$J,Sheet2!$B1823,ING!$S:$S))</f>
        <v>0</v>
      </c>
      <c r="H1823" s="16">
        <f t="shared" si="57"/>
        <v>34302397.906713009</v>
      </c>
    </row>
    <row r="1824" spans="2:8" hidden="1" x14ac:dyDescent="0.4">
      <c r="B1824" s="1">
        <v>44373</v>
      </c>
      <c r="C1824" s="16">
        <f>SUMIF(매도완료!$G:$G,Sheet2!$B1824,매도완료!$P:$P)+SUMIF(ING!$G:$G,Sheet2!$B1824,ING!$P:$P)</f>
        <v>0</v>
      </c>
      <c r="D1824" s="16">
        <f>SUMIF(매도완료!$J:$J,Sheet2!$B1824,매도완료!$P:$P)+SUMIF(ING!$J:$J,Sheet2!$B1824,ING!$P:$P)</f>
        <v>0</v>
      </c>
      <c r="E1824" s="16">
        <f t="shared" si="56"/>
        <v>120798616.70339996</v>
      </c>
      <c r="G1824" s="16">
        <f>IF(D1824=0,0,SUMIF(매도완료!$J:$J,Sheet2!$B1824,매도완료!$S:$S))+IF(D1824=0,0,SUMIF(ING!$J:$J,Sheet2!$B1824,ING!$S:$S))</f>
        <v>0</v>
      </c>
      <c r="H1824" s="16">
        <f t="shared" si="57"/>
        <v>34302397.906713009</v>
      </c>
    </row>
    <row r="1825" spans="2:8" hidden="1" x14ac:dyDescent="0.4">
      <c r="B1825" s="1">
        <v>44374</v>
      </c>
      <c r="C1825" s="16">
        <f>SUMIF(매도완료!$G:$G,Sheet2!$B1825,매도완료!$P:$P)+SUMIF(ING!$G:$G,Sheet2!$B1825,ING!$P:$P)</f>
        <v>0</v>
      </c>
      <c r="D1825" s="16">
        <f>SUMIF(매도완료!$J:$J,Sheet2!$B1825,매도완료!$P:$P)+SUMIF(ING!$J:$J,Sheet2!$B1825,ING!$P:$P)</f>
        <v>0</v>
      </c>
      <c r="E1825" s="16">
        <f t="shared" si="56"/>
        <v>120798616.70339996</v>
      </c>
      <c r="G1825" s="16">
        <f>IF(D1825=0,0,SUMIF(매도완료!$J:$J,Sheet2!$B1825,매도완료!$S:$S))+IF(D1825=0,0,SUMIF(ING!$J:$J,Sheet2!$B1825,ING!$S:$S))</f>
        <v>0</v>
      </c>
      <c r="H1825" s="16">
        <f t="shared" si="57"/>
        <v>34302397.906713009</v>
      </c>
    </row>
    <row r="1826" spans="2:8" hidden="1" x14ac:dyDescent="0.4">
      <c r="B1826" s="1">
        <v>44375</v>
      </c>
      <c r="C1826" s="16">
        <f>SUMIF(매도완료!$G:$G,Sheet2!$B1826,매도완료!$P:$P)+SUMIF(ING!$G:$G,Sheet2!$B1826,ING!$P:$P)</f>
        <v>0</v>
      </c>
      <c r="D1826" s="16">
        <f>SUMIF(매도완료!$J:$J,Sheet2!$B1826,매도완료!$P:$P)+SUMIF(ING!$J:$J,Sheet2!$B1826,ING!$P:$P)</f>
        <v>0</v>
      </c>
      <c r="E1826" s="16">
        <f t="shared" si="56"/>
        <v>120798616.70339996</v>
      </c>
      <c r="G1826" s="16">
        <f>IF(D1826=0,0,SUMIF(매도완료!$J:$J,Sheet2!$B1826,매도완료!$S:$S))+IF(D1826=0,0,SUMIF(ING!$J:$J,Sheet2!$B1826,ING!$S:$S))</f>
        <v>0</v>
      </c>
      <c r="H1826" s="16">
        <f t="shared" si="57"/>
        <v>34302397.906713009</v>
      </c>
    </row>
    <row r="1827" spans="2:8" hidden="1" x14ac:dyDescent="0.4">
      <c r="B1827" s="1">
        <v>44376</v>
      </c>
      <c r="C1827" s="16">
        <f>SUMIF(매도완료!$G:$G,Sheet2!$B1827,매도완료!$P:$P)+SUMIF(ING!$G:$G,Sheet2!$B1827,ING!$P:$P)</f>
        <v>0</v>
      </c>
      <c r="D1827" s="16">
        <f>SUMIF(매도완료!$J:$J,Sheet2!$B1827,매도완료!$P:$P)+SUMIF(ING!$J:$J,Sheet2!$B1827,ING!$P:$P)</f>
        <v>0</v>
      </c>
      <c r="E1827" s="16">
        <f t="shared" si="56"/>
        <v>120798616.70339996</v>
      </c>
      <c r="G1827" s="16">
        <f>IF(D1827=0,0,SUMIF(매도완료!$J:$J,Sheet2!$B1827,매도완료!$S:$S))+IF(D1827=0,0,SUMIF(ING!$J:$J,Sheet2!$B1827,ING!$S:$S))</f>
        <v>0</v>
      </c>
      <c r="H1827" s="16">
        <f t="shared" si="57"/>
        <v>34302397.906713009</v>
      </c>
    </row>
    <row r="1828" spans="2:8" hidden="1" x14ac:dyDescent="0.4">
      <c r="B1828" s="1">
        <v>44377</v>
      </c>
      <c r="C1828" s="16">
        <f>SUMIF(매도완료!$G:$G,Sheet2!$B1828,매도완료!$P:$P)+SUMIF(ING!$G:$G,Sheet2!$B1828,ING!$P:$P)</f>
        <v>0</v>
      </c>
      <c r="D1828" s="16">
        <f>SUMIF(매도완료!$J:$J,Sheet2!$B1828,매도완료!$P:$P)+SUMIF(ING!$J:$J,Sheet2!$B1828,ING!$P:$P)</f>
        <v>0</v>
      </c>
      <c r="E1828" s="16">
        <f t="shared" si="56"/>
        <v>120798616.70339996</v>
      </c>
      <c r="G1828" s="16">
        <f>IF(D1828=0,0,SUMIF(매도완료!$J:$J,Sheet2!$B1828,매도완료!$S:$S))+IF(D1828=0,0,SUMIF(ING!$J:$J,Sheet2!$B1828,ING!$S:$S))</f>
        <v>0</v>
      </c>
      <c r="H1828" s="16">
        <f t="shared" si="57"/>
        <v>34302397.906713009</v>
      </c>
    </row>
    <row r="1829" spans="2:8" hidden="1" x14ac:dyDescent="0.4">
      <c r="B1829" s="1">
        <v>44378</v>
      </c>
      <c r="C1829" s="16">
        <f>SUMIF(매도완료!$G:$G,Sheet2!$B1829,매도완료!$P:$P)+SUMIF(ING!$G:$G,Sheet2!$B1829,ING!$P:$P)</f>
        <v>0</v>
      </c>
      <c r="D1829" s="16">
        <f>SUMIF(매도완료!$J:$J,Sheet2!$B1829,매도완료!$P:$P)+SUMIF(ING!$J:$J,Sheet2!$B1829,ING!$P:$P)</f>
        <v>0</v>
      </c>
      <c r="E1829" s="16">
        <f t="shared" si="56"/>
        <v>120798616.70339996</v>
      </c>
      <c r="G1829" s="16">
        <f>IF(D1829=0,0,SUMIF(매도완료!$J:$J,Sheet2!$B1829,매도완료!$S:$S))+IF(D1829=0,0,SUMIF(ING!$J:$J,Sheet2!$B1829,ING!$S:$S))</f>
        <v>0</v>
      </c>
      <c r="H1829" s="16">
        <f t="shared" si="57"/>
        <v>34302397.906713009</v>
      </c>
    </row>
    <row r="1830" spans="2:8" hidden="1" x14ac:dyDescent="0.4">
      <c r="B1830" s="1">
        <v>44379</v>
      </c>
      <c r="C1830" s="16">
        <f>SUMIF(매도완료!$G:$G,Sheet2!$B1830,매도완료!$P:$P)+SUMIF(ING!$G:$G,Sheet2!$B1830,ING!$P:$P)</f>
        <v>0</v>
      </c>
      <c r="D1830" s="16">
        <f>SUMIF(매도완료!$J:$J,Sheet2!$B1830,매도완료!$P:$P)+SUMIF(ING!$J:$J,Sheet2!$B1830,ING!$P:$P)</f>
        <v>0</v>
      </c>
      <c r="E1830" s="16">
        <f t="shared" si="56"/>
        <v>120798616.70339996</v>
      </c>
      <c r="G1830" s="16">
        <f>IF(D1830=0,0,SUMIF(매도완료!$J:$J,Sheet2!$B1830,매도완료!$S:$S))+IF(D1830=0,0,SUMIF(ING!$J:$J,Sheet2!$B1830,ING!$S:$S))</f>
        <v>0</v>
      </c>
      <c r="H1830" s="16">
        <f t="shared" si="57"/>
        <v>34302397.906713009</v>
      </c>
    </row>
    <row r="1831" spans="2:8" hidden="1" x14ac:dyDescent="0.4">
      <c r="B1831" s="1">
        <v>44380</v>
      </c>
      <c r="C1831" s="16">
        <f>SUMIF(매도완료!$G:$G,Sheet2!$B1831,매도완료!$P:$P)+SUMIF(ING!$G:$G,Sheet2!$B1831,ING!$P:$P)</f>
        <v>0</v>
      </c>
      <c r="D1831" s="16">
        <f>SUMIF(매도완료!$J:$J,Sheet2!$B1831,매도완료!$P:$P)+SUMIF(ING!$J:$J,Sheet2!$B1831,ING!$P:$P)</f>
        <v>0</v>
      </c>
      <c r="E1831" s="16">
        <f t="shared" si="56"/>
        <v>120798616.70339996</v>
      </c>
      <c r="G1831" s="16">
        <f>IF(D1831=0,0,SUMIF(매도완료!$J:$J,Sheet2!$B1831,매도완료!$S:$S))+IF(D1831=0,0,SUMIF(ING!$J:$J,Sheet2!$B1831,ING!$S:$S))</f>
        <v>0</v>
      </c>
      <c r="H1831" s="16">
        <f t="shared" si="57"/>
        <v>34302397.906713009</v>
      </c>
    </row>
    <row r="1832" spans="2:8" hidden="1" x14ac:dyDescent="0.4">
      <c r="B1832" s="1">
        <v>44381</v>
      </c>
      <c r="C1832" s="16">
        <f>SUMIF(매도완료!$G:$G,Sheet2!$B1832,매도완료!$P:$P)+SUMIF(ING!$G:$G,Sheet2!$B1832,ING!$P:$P)</f>
        <v>0</v>
      </c>
      <c r="D1832" s="16">
        <f>SUMIF(매도완료!$J:$J,Sheet2!$B1832,매도완료!$P:$P)+SUMIF(ING!$J:$J,Sheet2!$B1832,ING!$P:$P)</f>
        <v>0</v>
      </c>
      <c r="E1832" s="16">
        <f t="shared" si="56"/>
        <v>120798616.70339996</v>
      </c>
      <c r="G1832" s="16">
        <f>IF(D1832=0,0,SUMIF(매도완료!$J:$J,Sheet2!$B1832,매도완료!$S:$S))+IF(D1832=0,0,SUMIF(ING!$J:$J,Sheet2!$B1832,ING!$S:$S))</f>
        <v>0</v>
      </c>
      <c r="H1832" s="16">
        <f t="shared" si="57"/>
        <v>34302397.906713009</v>
      </c>
    </row>
    <row r="1833" spans="2:8" hidden="1" x14ac:dyDescent="0.4">
      <c r="B1833" s="1">
        <v>44382</v>
      </c>
      <c r="C1833" s="16">
        <f>SUMIF(매도완료!$G:$G,Sheet2!$B1833,매도완료!$P:$P)+SUMIF(ING!$G:$G,Sheet2!$B1833,ING!$P:$P)</f>
        <v>0</v>
      </c>
      <c r="D1833" s="16">
        <f>SUMIF(매도완료!$J:$J,Sheet2!$B1833,매도완료!$P:$P)+SUMIF(ING!$J:$J,Sheet2!$B1833,ING!$P:$P)</f>
        <v>0</v>
      </c>
      <c r="E1833" s="16">
        <f t="shared" si="56"/>
        <v>120798616.70339996</v>
      </c>
      <c r="G1833" s="16">
        <f>IF(D1833=0,0,SUMIF(매도완료!$J:$J,Sheet2!$B1833,매도완료!$S:$S))+IF(D1833=0,0,SUMIF(ING!$J:$J,Sheet2!$B1833,ING!$S:$S))</f>
        <v>0</v>
      </c>
      <c r="H1833" s="16">
        <f t="shared" si="57"/>
        <v>34302397.906713009</v>
      </c>
    </row>
    <row r="1834" spans="2:8" hidden="1" x14ac:dyDescent="0.4">
      <c r="B1834" s="1">
        <v>44383</v>
      </c>
      <c r="C1834" s="16">
        <f>SUMIF(매도완료!$G:$G,Sheet2!$B1834,매도완료!$P:$P)+SUMIF(ING!$G:$G,Sheet2!$B1834,ING!$P:$P)</f>
        <v>0</v>
      </c>
      <c r="D1834" s="16">
        <f>SUMIF(매도완료!$J:$J,Sheet2!$B1834,매도완료!$P:$P)+SUMIF(ING!$J:$J,Sheet2!$B1834,ING!$P:$P)</f>
        <v>0</v>
      </c>
      <c r="E1834" s="16">
        <f t="shared" si="56"/>
        <v>120798616.70339996</v>
      </c>
      <c r="G1834" s="16">
        <f>IF(D1834=0,0,SUMIF(매도완료!$J:$J,Sheet2!$B1834,매도완료!$S:$S))+IF(D1834=0,0,SUMIF(ING!$J:$J,Sheet2!$B1834,ING!$S:$S))</f>
        <v>0</v>
      </c>
      <c r="H1834" s="16">
        <f t="shared" si="57"/>
        <v>34302397.906713009</v>
      </c>
    </row>
    <row r="1835" spans="2:8" hidden="1" x14ac:dyDescent="0.4">
      <c r="B1835" s="1">
        <v>44384</v>
      </c>
      <c r="C1835" s="16">
        <f>SUMIF(매도완료!$G:$G,Sheet2!$B1835,매도완료!$P:$P)+SUMIF(ING!$G:$G,Sheet2!$B1835,ING!$P:$P)</f>
        <v>0</v>
      </c>
      <c r="D1835" s="16">
        <f>SUMIF(매도완료!$J:$J,Sheet2!$B1835,매도완료!$P:$P)+SUMIF(ING!$J:$J,Sheet2!$B1835,ING!$P:$P)</f>
        <v>0</v>
      </c>
      <c r="E1835" s="16">
        <f t="shared" si="56"/>
        <v>120798616.70339996</v>
      </c>
      <c r="G1835" s="16">
        <f>IF(D1835=0,0,SUMIF(매도완료!$J:$J,Sheet2!$B1835,매도완료!$S:$S))+IF(D1835=0,0,SUMIF(ING!$J:$J,Sheet2!$B1835,ING!$S:$S))</f>
        <v>0</v>
      </c>
      <c r="H1835" s="16">
        <f t="shared" si="57"/>
        <v>34302397.906713009</v>
      </c>
    </row>
    <row r="1836" spans="2:8" hidden="1" x14ac:dyDescent="0.4">
      <c r="B1836" s="1">
        <v>44385</v>
      </c>
      <c r="C1836" s="16">
        <f>SUMIF(매도완료!$G:$G,Sheet2!$B1836,매도완료!$P:$P)+SUMIF(ING!$G:$G,Sheet2!$B1836,ING!$P:$P)</f>
        <v>0</v>
      </c>
      <c r="D1836" s="16">
        <f>SUMIF(매도완료!$J:$J,Sheet2!$B1836,매도완료!$P:$P)+SUMIF(ING!$J:$J,Sheet2!$B1836,ING!$P:$P)</f>
        <v>0</v>
      </c>
      <c r="E1836" s="16">
        <f t="shared" si="56"/>
        <v>120798616.70339996</v>
      </c>
      <c r="G1836" s="16">
        <f>IF(D1836=0,0,SUMIF(매도완료!$J:$J,Sheet2!$B1836,매도완료!$S:$S))+IF(D1836=0,0,SUMIF(ING!$J:$J,Sheet2!$B1836,ING!$S:$S))</f>
        <v>0</v>
      </c>
      <c r="H1836" s="16">
        <f t="shared" si="57"/>
        <v>34302397.906713009</v>
      </c>
    </row>
    <row r="1837" spans="2:8" hidden="1" x14ac:dyDescent="0.4">
      <c r="B1837" s="1">
        <v>44386</v>
      </c>
      <c r="C1837" s="16">
        <f>SUMIF(매도완료!$G:$G,Sheet2!$B1837,매도완료!$P:$P)+SUMIF(ING!$G:$G,Sheet2!$B1837,ING!$P:$P)</f>
        <v>0</v>
      </c>
      <c r="D1837" s="16">
        <f>SUMIF(매도완료!$J:$J,Sheet2!$B1837,매도완료!$P:$P)+SUMIF(ING!$J:$J,Sheet2!$B1837,ING!$P:$P)</f>
        <v>0</v>
      </c>
      <c r="E1837" s="16">
        <f t="shared" si="56"/>
        <v>120798616.70339996</v>
      </c>
      <c r="G1837" s="16">
        <f>IF(D1837=0,0,SUMIF(매도완료!$J:$J,Sheet2!$B1837,매도완료!$S:$S))+IF(D1837=0,0,SUMIF(ING!$J:$J,Sheet2!$B1837,ING!$S:$S))</f>
        <v>0</v>
      </c>
      <c r="H1837" s="16">
        <f t="shared" si="57"/>
        <v>34302397.906713009</v>
      </c>
    </row>
    <row r="1838" spans="2:8" hidden="1" x14ac:dyDescent="0.4">
      <c r="B1838" s="1">
        <v>44387</v>
      </c>
      <c r="C1838" s="16">
        <f>SUMIF(매도완료!$G:$G,Sheet2!$B1838,매도완료!$P:$P)+SUMIF(ING!$G:$G,Sheet2!$B1838,ING!$P:$P)</f>
        <v>0</v>
      </c>
      <c r="D1838" s="16">
        <f>SUMIF(매도완료!$J:$J,Sheet2!$B1838,매도완료!$P:$P)+SUMIF(ING!$J:$J,Sheet2!$B1838,ING!$P:$P)</f>
        <v>0</v>
      </c>
      <c r="E1838" s="16">
        <f t="shared" si="56"/>
        <v>120798616.70339996</v>
      </c>
      <c r="G1838" s="16">
        <f>IF(D1838=0,0,SUMIF(매도완료!$J:$J,Sheet2!$B1838,매도완료!$S:$S))+IF(D1838=0,0,SUMIF(ING!$J:$J,Sheet2!$B1838,ING!$S:$S))</f>
        <v>0</v>
      </c>
      <c r="H1838" s="16">
        <f t="shared" si="57"/>
        <v>34302397.906713009</v>
      </c>
    </row>
    <row r="1839" spans="2:8" hidden="1" x14ac:dyDescent="0.4">
      <c r="B1839" s="1">
        <v>44388</v>
      </c>
      <c r="C1839" s="16">
        <f>SUMIF(매도완료!$G:$G,Sheet2!$B1839,매도완료!$P:$P)+SUMIF(ING!$G:$G,Sheet2!$B1839,ING!$P:$P)</f>
        <v>0</v>
      </c>
      <c r="D1839" s="16">
        <f>SUMIF(매도완료!$J:$J,Sheet2!$B1839,매도완료!$P:$P)+SUMIF(ING!$J:$J,Sheet2!$B1839,ING!$P:$P)</f>
        <v>0</v>
      </c>
      <c r="E1839" s="16">
        <f t="shared" si="56"/>
        <v>120798616.70339996</v>
      </c>
      <c r="G1839" s="16">
        <f>IF(D1839=0,0,SUMIF(매도완료!$J:$J,Sheet2!$B1839,매도완료!$S:$S))+IF(D1839=0,0,SUMIF(ING!$J:$J,Sheet2!$B1839,ING!$S:$S))</f>
        <v>0</v>
      </c>
      <c r="H1839" s="16">
        <f t="shared" si="57"/>
        <v>34302397.906713009</v>
      </c>
    </row>
    <row r="1840" spans="2:8" hidden="1" x14ac:dyDescent="0.4">
      <c r="B1840" s="1">
        <v>44389</v>
      </c>
      <c r="C1840" s="16">
        <f>SUMIF(매도완료!$G:$G,Sheet2!$B1840,매도완료!$P:$P)+SUMIF(ING!$G:$G,Sheet2!$B1840,ING!$P:$P)</f>
        <v>0</v>
      </c>
      <c r="D1840" s="16">
        <f>SUMIF(매도완료!$J:$J,Sheet2!$B1840,매도완료!$P:$P)+SUMIF(ING!$J:$J,Sheet2!$B1840,ING!$P:$P)</f>
        <v>0</v>
      </c>
      <c r="E1840" s="16">
        <f t="shared" si="56"/>
        <v>120798616.70339996</v>
      </c>
      <c r="G1840" s="16">
        <f>IF(D1840=0,0,SUMIF(매도완료!$J:$J,Sheet2!$B1840,매도완료!$S:$S))+IF(D1840=0,0,SUMIF(ING!$J:$J,Sheet2!$B1840,ING!$S:$S))</f>
        <v>0</v>
      </c>
      <c r="H1840" s="16">
        <f t="shared" si="57"/>
        <v>34302397.906713009</v>
      </c>
    </row>
    <row r="1841" spans="2:8" hidden="1" x14ac:dyDescent="0.4">
      <c r="B1841" s="1">
        <v>44390</v>
      </c>
      <c r="C1841" s="16">
        <f>SUMIF(매도완료!$G:$G,Sheet2!$B1841,매도완료!$P:$P)+SUMIF(ING!$G:$G,Sheet2!$B1841,ING!$P:$P)</f>
        <v>0</v>
      </c>
      <c r="D1841" s="16">
        <f>SUMIF(매도완료!$J:$J,Sheet2!$B1841,매도완료!$P:$P)+SUMIF(ING!$J:$J,Sheet2!$B1841,ING!$P:$P)</f>
        <v>0</v>
      </c>
      <c r="E1841" s="16">
        <f t="shared" si="56"/>
        <v>120798616.70339996</v>
      </c>
      <c r="G1841" s="16">
        <f>IF(D1841=0,0,SUMIF(매도완료!$J:$J,Sheet2!$B1841,매도완료!$S:$S))+IF(D1841=0,0,SUMIF(ING!$J:$J,Sheet2!$B1841,ING!$S:$S))</f>
        <v>0</v>
      </c>
      <c r="H1841" s="16">
        <f t="shared" si="57"/>
        <v>34302397.906713009</v>
      </c>
    </row>
    <row r="1842" spans="2:8" hidden="1" x14ac:dyDescent="0.4">
      <c r="B1842" s="1">
        <v>44391</v>
      </c>
      <c r="C1842" s="16">
        <f>SUMIF(매도완료!$G:$G,Sheet2!$B1842,매도완료!$P:$P)+SUMIF(ING!$G:$G,Sheet2!$B1842,ING!$P:$P)</f>
        <v>0</v>
      </c>
      <c r="D1842" s="16">
        <f>SUMIF(매도완료!$J:$J,Sheet2!$B1842,매도완료!$P:$P)+SUMIF(ING!$J:$J,Sheet2!$B1842,ING!$P:$P)</f>
        <v>0</v>
      </c>
      <c r="E1842" s="16">
        <f t="shared" si="56"/>
        <v>120798616.70339996</v>
      </c>
      <c r="G1842" s="16">
        <f>IF(D1842=0,0,SUMIF(매도완료!$J:$J,Sheet2!$B1842,매도완료!$S:$S))+IF(D1842=0,0,SUMIF(ING!$J:$J,Sheet2!$B1842,ING!$S:$S))</f>
        <v>0</v>
      </c>
      <c r="H1842" s="16">
        <f t="shared" si="57"/>
        <v>34302397.906713009</v>
      </c>
    </row>
    <row r="1843" spans="2:8" hidden="1" x14ac:dyDescent="0.4">
      <c r="B1843" s="1">
        <v>44392</v>
      </c>
      <c r="C1843" s="16">
        <f>SUMIF(매도완료!$G:$G,Sheet2!$B1843,매도완료!$P:$P)+SUMIF(ING!$G:$G,Sheet2!$B1843,ING!$P:$P)</f>
        <v>0</v>
      </c>
      <c r="D1843" s="16">
        <f>SUMIF(매도완료!$J:$J,Sheet2!$B1843,매도완료!$P:$P)+SUMIF(ING!$J:$J,Sheet2!$B1843,ING!$P:$P)</f>
        <v>0</v>
      </c>
      <c r="E1843" s="16">
        <f t="shared" si="56"/>
        <v>120798616.70339996</v>
      </c>
      <c r="G1843" s="16">
        <f>IF(D1843=0,0,SUMIF(매도완료!$J:$J,Sheet2!$B1843,매도완료!$S:$S))+IF(D1843=0,0,SUMIF(ING!$J:$J,Sheet2!$B1843,ING!$S:$S))</f>
        <v>0</v>
      </c>
      <c r="H1843" s="16">
        <f t="shared" si="57"/>
        <v>34302397.906713009</v>
      </c>
    </row>
    <row r="1844" spans="2:8" hidden="1" x14ac:dyDescent="0.4">
      <c r="B1844" s="1">
        <v>44393</v>
      </c>
      <c r="C1844" s="16">
        <f>SUMIF(매도완료!$G:$G,Sheet2!$B1844,매도완료!$P:$P)+SUMIF(ING!$G:$G,Sheet2!$B1844,ING!$P:$P)</f>
        <v>0</v>
      </c>
      <c r="D1844" s="16">
        <f>SUMIF(매도완료!$J:$J,Sheet2!$B1844,매도완료!$P:$P)+SUMIF(ING!$J:$J,Sheet2!$B1844,ING!$P:$P)</f>
        <v>0</v>
      </c>
      <c r="E1844" s="16">
        <f t="shared" si="56"/>
        <v>120798616.70339996</v>
      </c>
      <c r="G1844" s="16">
        <f>IF(D1844=0,0,SUMIF(매도완료!$J:$J,Sheet2!$B1844,매도완료!$S:$S))+IF(D1844=0,0,SUMIF(ING!$J:$J,Sheet2!$B1844,ING!$S:$S))</f>
        <v>0</v>
      </c>
      <c r="H1844" s="16">
        <f t="shared" si="57"/>
        <v>34302397.906713009</v>
      </c>
    </row>
    <row r="1845" spans="2:8" hidden="1" x14ac:dyDescent="0.4">
      <c r="B1845" s="1">
        <v>44394</v>
      </c>
      <c r="C1845" s="16">
        <f>SUMIF(매도완료!$G:$G,Sheet2!$B1845,매도완료!$P:$P)+SUMIF(ING!$G:$G,Sheet2!$B1845,ING!$P:$P)</f>
        <v>0</v>
      </c>
      <c r="D1845" s="16">
        <f>SUMIF(매도완료!$J:$J,Sheet2!$B1845,매도완료!$P:$P)+SUMIF(ING!$J:$J,Sheet2!$B1845,ING!$P:$P)</f>
        <v>0</v>
      </c>
      <c r="E1845" s="16">
        <f t="shared" si="56"/>
        <v>120798616.70339996</v>
      </c>
      <c r="G1845" s="16">
        <f>IF(D1845=0,0,SUMIF(매도완료!$J:$J,Sheet2!$B1845,매도완료!$S:$S))+IF(D1845=0,0,SUMIF(ING!$J:$J,Sheet2!$B1845,ING!$S:$S))</f>
        <v>0</v>
      </c>
      <c r="H1845" s="16">
        <f t="shared" si="57"/>
        <v>34302397.906713009</v>
      </c>
    </row>
    <row r="1846" spans="2:8" hidden="1" x14ac:dyDescent="0.4">
      <c r="B1846" s="1">
        <v>44395</v>
      </c>
      <c r="C1846" s="16">
        <f>SUMIF(매도완료!$G:$G,Sheet2!$B1846,매도완료!$P:$P)+SUMIF(ING!$G:$G,Sheet2!$B1846,ING!$P:$P)</f>
        <v>0</v>
      </c>
      <c r="D1846" s="16">
        <f>SUMIF(매도완료!$J:$J,Sheet2!$B1846,매도완료!$P:$P)+SUMIF(ING!$J:$J,Sheet2!$B1846,ING!$P:$P)</f>
        <v>0</v>
      </c>
      <c r="E1846" s="16">
        <f t="shared" si="56"/>
        <v>120798616.70339996</v>
      </c>
      <c r="G1846" s="16">
        <f>IF(D1846=0,0,SUMIF(매도완료!$J:$J,Sheet2!$B1846,매도완료!$S:$S))+IF(D1846=0,0,SUMIF(ING!$J:$J,Sheet2!$B1846,ING!$S:$S))</f>
        <v>0</v>
      </c>
      <c r="H1846" s="16">
        <f t="shared" si="57"/>
        <v>34302397.906713009</v>
      </c>
    </row>
    <row r="1847" spans="2:8" hidden="1" x14ac:dyDescent="0.4">
      <c r="B1847" s="1">
        <v>44396</v>
      </c>
      <c r="C1847" s="16">
        <f>SUMIF(매도완료!$G:$G,Sheet2!$B1847,매도완료!$P:$P)+SUMIF(ING!$G:$G,Sheet2!$B1847,ING!$P:$P)</f>
        <v>0</v>
      </c>
      <c r="D1847" s="16">
        <f>SUMIF(매도완료!$J:$J,Sheet2!$B1847,매도완료!$P:$P)+SUMIF(ING!$J:$J,Sheet2!$B1847,ING!$P:$P)</f>
        <v>0</v>
      </c>
      <c r="E1847" s="16">
        <f t="shared" si="56"/>
        <v>120798616.70339996</v>
      </c>
      <c r="G1847" s="16">
        <f>IF(D1847=0,0,SUMIF(매도완료!$J:$J,Sheet2!$B1847,매도완료!$S:$S))+IF(D1847=0,0,SUMIF(ING!$J:$J,Sheet2!$B1847,ING!$S:$S))</f>
        <v>0</v>
      </c>
      <c r="H1847" s="16">
        <f t="shared" si="57"/>
        <v>34302397.906713009</v>
      </c>
    </row>
    <row r="1848" spans="2:8" hidden="1" x14ac:dyDescent="0.4">
      <c r="B1848" s="1">
        <v>44397</v>
      </c>
      <c r="C1848" s="16">
        <f>SUMIF(매도완료!$G:$G,Sheet2!$B1848,매도완료!$P:$P)+SUMIF(ING!$G:$G,Sheet2!$B1848,ING!$P:$P)</f>
        <v>0</v>
      </c>
      <c r="D1848" s="16">
        <f>SUMIF(매도완료!$J:$J,Sheet2!$B1848,매도완료!$P:$P)+SUMIF(ING!$J:$J,Sheet2!$B1848,ING!$P:$P)</f>
        <v>0</v>
      </c>
      <c r="E1848" s="16">
        <f t="shared" si="56"/>
        <v>120798616.70339996</v>
      </c>
      <c r="G1848" s="16">
        <f>IF(D1848=0,0,SUMIF(매도완료!$J:$J,Sheet2!$B1848,매도완료!$S:$S))+IF(D1848=0,0,SUMIF(ING!$J:$J,Sheet2!$B1848,ING!$S:$S))</f>
        <v>0</v>
      </c>
      <c r="H1848" s="16">
        <f t="shared" si="57"/>
        <v>34302397.906713009</v>
      </c>
    </row>
    <row r="1849" spans="2:8" hidden="1" x14ac:dyDescent="0.4">
      <c r="B1849" s="1">
        <v>44398</v>
      </c>
      <c r="C1849" s="16">
        <f>SUMIF(매도완료!$G:$G,Sheet2!$B1849,매도완료!$P:$P)+SUMIF(ING!$G:$G,Sheet2!$B1849,ING!$P:$P)</f>
        <v>0</v>
      </c>
      <c r="D1849" s="16">
        <f>SUMIF(매도완료!$J:$J,Sheet2!$B1849,매도완료!$P:$P)+SUMIF(ING!$J:$J,Sheet2!$B1849,ING!$P:$P)</f>
        <v>0</v>
      </c>
      <c r="E1849" s="16">
        <f t="shared" si="56"/>
        <v>120798616.70339996</v>
      </c>
      <c r="G1849" s="16">
        <f>IF(D1849=0,0,SUMIF(매도완료!$J:$J,Sheet2!$B1849,매도완료!$S:$S))+IF(D1849=0,0,SUMIF(ING!$J:$J,Sheet2!$B1849,ING!$S:$S))</f>
        <v>0</v>
      </c>
      <c r="H1849" s="16">
        <f t="shared" si="57"/>
        <v>34302397.906713009</v>
      </c>
    </row>
    <row r="1850" spans="2:8" hidden="1" x14ac:dyDescent="0.4">
      <c r="B1850" s="1">
        <v>44399</v>
      </c>
      <c r="C1850" s="16">
        <f>SUMIF(매도완료!$G:$G,Sheet2!$B1850,매도완료!$P:$P)+SUMIF(ING!$G:$G,Sheet2!$B1850,ING!$P:$P)</f>
        <v>0</v>
      </c>
      <c r="D1850" s="16">
        <f>SUMIF(매도완료!$J:$J,Sheet2!$B1850,매도완료!$P:$P)+SUMIF(ING!$J:$J,Sheet2!$B1850,ING!$P:$P)</f>
        <v>0</v>
      </c>
      <c r="E1850" s="16">
        <f t="shared" si="56"/>
        <v>120798616.70339996</v>
      </c>
      <c r="G1850" s="16">
        <f>IF(D1850=0,0,SUMIF(매도완료!$J:$J,Sheet2!$B1850,매도완료!$S:$S))+IF(D1850=0,0,SUMIF(ING!$J:$J,Sheet2!$B1850,ING!$S:$S))</f>
        <v>0</v>
      </c>
      <c r="H1850" s="16">
        <f t="shared" si="57"/>
        <v>34302397.906713009</v>
      </c>
    </row>
    <row r="1851" spans="2:8" hidden="1" x14ac:dyDescent="0.4">
      <c r="B1851" s="1">
        <v>44400</v>
      </c>
      <c r="C1851" s="16">
        <f>SUMIF(매도완료!$G:$G,Sheet2!$B1851,매도완료!$P:$P)+SUMIF(ING!$G:$G,Sheet2!$B1851,ING!$P:$P)</f>
        <v>0</v>
      </c>
      <c r="D1851" s="16">
        <f>SUMIF(매도완료!$J:$J,Sheet2!$B1851,매도완료!$P:$P)+SUMIF(ING!$J:$J,Sheet2!$B1851,ING!$P:$P)</f>
        <v>0</v>
      </c>
      <c r="E1851" s="16">
        <f t="shared" si="56"/>
        <v>120798616.70339996</v>
      </c>
      <c r="G1851" s="16">
        <f>IF(D1851=0,0,SUMIF(매도완료!$J:$J,Sheet2!$B1851,매도완료!$S:$S))+IF(D1851=0,0,SUMIF(ING!$J:$J,Sheet2!$B1851,ING!$S:$S))</f>
        <v>0</v>
      </c>
      <c r="H1851" s="16">
        <f t="shared" si="57"/>
        <v>34302397.906713009</v>
      </c>
    </row>
    <row r="1852" spans="2:8" hidden="1" x14ac:dyDescent="0.4">
      <c r="B1852" s="1">
        <v>44401</v>
      </c>
      <c r="C1852" s="16">
        <f>SUMIF(매도완료!$G:$G,Sheet2!$B1852,매도완료!$P:$P)+SUMIF(ING!$G:$G,Sheet2!$B1852,ING!$P:$P)</f>
        <v>0</v>
      </c>
      <c r="D1852" s="16">
        <f>SUMIF(매도완료!$J:$J,Sheet2!$B1852,매도완료!$P:$P)+SUMIF(ING!$J:$J,Sheet2!$B1852,ING!$P:$P)</f>
        <v>0</v>
      </c>
      <c r="E1852" s="16">
        <f t="shared" si="56"/>
        <v>120798616.70339996</v>
      </c>
      <c r="G1852" s="16">
        <f>IF(D1852=0,0,SUMIF(매도완료!$J:$J,Sheet2!$B1852,매도완료!$S:$S))+IF(D1852=0,0,SUMIF(ING!$J:$J,Sheet2!$B1852,ING!$S:$S))</f>
        <v>0</v>
      </c>
      <c r="H1852" s="16">
        <f t="shared" si="57"/>
        <v>34302397.906713009</v>
      </c>
    </row>
    <row r="1853" spans="2:8" hidden="1" x14ac:dyDescent="0.4">
      <c r="B1853" s="1">
        <v>44402</v>
      </c>
      <c r="C1853" s="16">
        <f>SUMIF(매도완료!$G:$G,Sheet2!$B1853,매도완료!$P:$P)+SUMIF(ING!$G:$G,Sheet2!$B1853,ING!$P:$P)</f>
        <v>0</v>
      </c>
      <c r="D1853" s="16">
        <f>SUMIF(매도완료!$J:$J,Sheet2!$B1853,매도완료!$P:$P)+SUMIF(ING!$J:$J,Sheet2!$B1853,ING!$P:$P)</f>
        <v>0</v>
      </c>
      <c r="E1853" s="16">
        <f t="shared" si="56"/>
        <v>120798616.70339996</v>
      </c>
      <c r="G1853" s="16">
        <f>IF(D1853=0,0,SUMIF(매도완료!$J:$J,Sheet2!$B1853,매도완료!$S:$S))+IF(D1853=0,0,SUMIF(ING!$J:$J,Sheet2!$B1853,ING!$S:$S))</f>
        <v>0</v>
      </c>
      <c r="H1853" s="16">
        <f t="shared" si="57"/>
        <v>34302397.906713009</v>
      </c>
    </row>
    <row r="1854" spans="2:8" hidden="1" x14ac:dyDescent="0.4">
      <c r="B1854" s="1">
        <v>44403</v>
      </c>
      <c r="C1854" s="16">
        <f>SUMIF(매도완료!$G:$G,Sheet2!$B1854,매도완료!$P:$P)+SUMIF(ING!$G:$G,Sheet2!$B1854,ING!$P:$P)</f>
        <v>345600</v>
      </c>
      <c r="D1854" s="16">
        <f>SUMIF(매도완료!$J:$J,Sheet2!$B1854,매도완료!$P:$P)+SUMIF(ING!$J:$J,Sheet2!$B1854,ING!$P:$P)</f>
        <v>0</v>
      </c>
      <c r="E1854" s="16">
        <f t="shared" si="56"/>
        <v>121144216.70339996</v>
      </c>
      <c r="G1854" s="16">
        <f>IF(D1854=0,0,SUMIF(매도완료!$J:$J,Sheet2!$B1854,매도완료!$S:$S))+IF(D1854=0,0,SUMIF(ING!$J:$J,Sheet2!$B1854,ING!$S:$S))</f>
        <v>0</v>
      </c>
      <c r="H1854" s="16">
        <f t="shared" si="57"/>
        <v>34302397.906713009</v>
      </c>
    </row>
    <row r="1855" spans="2:8" hidden="1" x14ac:dyDescent="0.4">
      <c r="B1855" s="1">
        <v>44404</v>
      </c>
      <c r="C1855" s="16">
        <f>SUMIF(매도완료!$G:$G,Sheet2!$B1855,매도완료!$P:$P)+SUMIF(ING!$G:$G,Sheet2!$B1855,ING!$P:$P)</f>
        <v>283500</v>
      </c>
      <c r="D1855" s="16">
        <f>SUMIF(매도완료!$J:$J,Sheet2!$B1855,매도완료!$P:$P)+SUMIF(ING!$J:$J,Sheet2!$B1855,ING!$P:$P)</f>
        <v>0</v>
      </c>
      <c r="E1855" s="16">
        <f t="shared" si="56"/>
        <v>121427716.70339996</v>
      </c>
      <c r="G1855" s="16">
        <f>IF(D1855=0,0,SUMIF(매도완료!$J:$J,Sheet2!$B1855,매도완료!$S:$S))+IF(D1855=0,0,SUMIF(ING!$J:$J,Sheet2!$B1855,ING!$S:$S))</f>
        <v>0</v>
      </c>
      <c r="H1855" s="16">
        <f t="shared" si="57"/>
        <v>34302397.906713009</v>
      </c>
    </row>
    <row r="1856" spans="2:8" hidden="1" x14ac:dyDescent="0.4">
      <c r="B1856" s="1">
        <v>44405</v>
      </c>
      <c r="C1856" s="16">
        <f>SUMIF(매도완료!$G:$G,Sheet2!$B1856,매도완료!$P:$P)+SUMIF(ING!$G:$G,Sheet2!$B1856,ING!$P:$P)</f>
        <v>0</v>
      </c>
      <c r="D1856" s="16">
        <f>SUMIF(매도완료!$J:$J,Sheet2!$B1856,매도완료!$P:$P)+SUMIF(ING!$J:$J,Sheet2!$B1856,ING!$P:$P)</f>
        <v>0</v>
      </c>
      <c r="E1856" s="16">
        <f t="shared" si="56"/>
        <v>121427716.70339996</v>
      </c>
      <c r="G1856" s="16">
        <f>IF(D1856=0,0,SUMIF(매도완료!$J:$J,Sheet2!$B1856,매도완료!$S:$S))+IF(D1856=0,0,SUMIF(ING!$J:$J,Sheet2!$B1856,ING!$S:$S))</f>
        <v>0</v>
      </c>
      <c r="H1856" s="16">
        <f t="shared" si="57"/>
        <v>34302397.906713009</v>
      </c>
    </row>
    <row r="1857" spans="2:8" hidden="1" x14ac:dyDescent="0.4">
      <c r="B1857" s="1">
        <v>44406</v>
      </c>
      <c r="C1857" s="16">
        <f>SUMIF(매도완료!$G:$G,Sheet2!$B1857,매도완료!$P:$P)+SUMIF(ING!$G:$G,Sheet2!$B1857,ING!$P:$P)</f>
        <v>0</v>
      </c>
      <c r="D1857" s="16">
        <f>SUMIF(매도완료!$J:$J,Sheet2!$B1857,매도완료!$P:$P)+SUMIF(ING!$J:$J,Sheet2!$B1857,ING!$P:$P)</f>
        <v>0</v>
      </c>
      <c r="E1857" s="16">
        <f t="shared" si="56"/>
        <v>121427716.70339996</v>
      </c>
      <c r="G1857" s="16">
        <f>IF(D1857=0,0,SUMIF(매도완료!$J:$J,Sheet2!$B1857,매도완료!$S:$S))+IF(D1857=0,0,SUMIF(ING!$J:$J,Sheet2!$B1857,ING!$S:$S))</f>
        <v>0</v>
      </c>
      <c r="H1857" s="16">
        <f t="shared" si="57"/>
        <v>34302397.906713009</v>
      </c>
    </row>
    <row r="1858" spans="2:8" hidden="1" x14ac:dyDescent="0.4">
      <c r="B1858" s="1">
        <v>44407</v>
      </c>
      <c r="C1858" s="16">
        <f>SUMIF(매도완료!$G:$G,Sheet2!$B1858,매도완료!$P:$P)+SUMIF(ING!$G:$G,Sheet2!$B1858,ING!$P:$P)</f>
        <v>0</v>
      </c>
      <c r="D1858" s="16">
        <f>SUMIF(매도완료!$J:$J,Sheet2!$B1858,매도완료!$P:$P)+SUMIF(ING!$J:$J,Sheet2!$B1858,ING!$P:$P)</f>
        <v>0</v>
      </c>
      <c r="E1858" s="16">
        <f t="shared" si="56"/>
        <v>121427716.70339996</v>
      </c>
      <c r="G1858" s="16">
        <f>IF(D1858=0,0,SUMIF(매도완료!$J:$J,Sheet2!$B1858,매도완료!$S:$S))+IF(D1858=0,0,SUMIF(ING!$J:$J,Sheet2!$B1858,ING!$S:$S))</f>
        <v>0</v>
      </c>
      <c r="H1858" s="16">
        <f t="shared" si="57"/>
        <v>34302397.906713009</v>
      </c>
    </row>
    <row r="1859" spans="2:8" hidden="1" x14ac:dyDescent="0.4">
      <c r="B1859" s="1">
        <v>44408</v>
      </c>
      <c r="C1859" s="16">
        <f>SUMIF(매도완료!$G:$G,Sheet2!$B1859,매도완료!$P:$P)+SUMIF(ING!$G:$G,Sheet2!$B1859,ING!$P:$P)</f>
        <v>0</v>
      </c>
      <c r="D1859" s="16">
        <f>SUMIF(매도완료!$J:$J,Sheet2!$B1859,매도완료!$P:$P)+SUMIF(ING!$J:$J,Sheet2!$B1859,ING!$P:$P)</f>
        <v>0</v>
      </c>
      <c r="E1859" s="16">
        <f t="shared" si="56"/>
        <v>121427716.70339996</v>
      </c>
      <c r="G1859" s="16">
        <f>IF(D1859=0,0,SUMIF(매도완료!$J:$J,Sheet2!$B1859,매도완료!$S:$S))+IF(D1859=0,0,SUMIF(ING!$J:$J,Sheet2!$B1859,ING!$S:$S))</f>
        <v>0</v>
      </c>
      <c r="H1859" s="16">
        <f t="shared" si="57"/>
        <v>34302397.906713009</v>
      </c>
    </row>
    <row r="1860" spans="2:8" hidden="1" x14ac:dyDescent="0.4">
      <c r="B1860" s="1">
        <v>44409</v>
      </c>
      <c r="C1860" s="16">
        <f>SUMIF(매도완료!$G:$G,Sheet2!$B1860,매도완료!$P:$P)+SUMIF(ING!$G:$G,Sheet2!$B1860,ING!$P:$P)</f>
        <v>0</v>
      </c>
      <c r="D1860" s="16">
        <f>SUMIF(매도완료!$J:$J,Sheet2!$B1860,매도완료!$P:$P)+SUMIF(ING!$J:$J,Sheet2!$B1860,ING!$P:$P)</f>
        <v>0</v>
      </c>
      <c r="E1860" s="16">
        <f t="shared" ref="E1860:E1923" si="58">E1859+C1860-D1860</f>
        <v>121427716.70339996</v>
      </c>
      <c r="G1860" s="16">
        <f>IF(D1860=0,0,SUMIF(매도완료!$J:$J,Sheet2!$B1860,매도완료!$S:$S))+IF(D1860=0,0,SUMIF(ING!$J:$J,Sheet2!$B1860,ING!$S:$S))</f>
        <v>0</v>
      </c>
      <c r="H1860" s="16">
        <f t="shared" ref="H1860:H1923" si="59">H1859+G1860</f>
        <v>34302397.906713009</v>
      </c>
    </row>
    <row r="1861" spans="2:8" hidden="1" x14ac:dyDescent="0.4">
      <c r="B1861" s="1">
        <v>44410</v>
      </c>
      <c r="C1861" s="16">
        <f>SUMIF(매도완료!$G:$G,Sheet2!$B1861,매도완료!$P:$P)+SUMIF(ING!$G:$G,Sheet2!$B1861,ING!$P:$P)</f>
        <v>0</v>
      </c>
      <c r="D1861" s="16">
        <f>SUMIF(매도완료!$J:$J,Sheet2!$B1861,매도완료!$P:$P)+SUMIF(ING!$J:$J,Sheet2!$B1861,ING!$P:$P)</f>
        <v>0</v>
      </c>
      <c r="E1861" s="16">
        <f t="shared" si="58"/>
        <v>121427716.70339996</v>
      </c>
      <c r="G1861" s="16">
        <f>IF(D1861=0,0,SUMIF(매도완료!$J:$J,Sheet2!$B1861,매도완료!$S:$S))+IF(D1861=0,0,SUMIF(ING!$J:$J,Sheet2!$B1861,ING!$S:$S))</f>
        <v>0</v>
      </c>
      <c r="H1861" s="16">
        <f t="shared" si="59"/>
        <v>34302397.906713009</v>
      </c>
    </row>
    <row r="1862" spans="2:8" hidden="1" x14ac:dyDescent="0.4">
      <c r="B1862" s="1">
        <v>44411</v>
      </c>
      <c r="C1862" s="16">
        <f>SUMIF(매도완료!$G:$G,Sheet2!$B1862,매도완료!$P:$P)+SUMIF(ING!$G:$G,Sheet2!$B1862,ING!$P:$P)</f>
        <v>0</v>
      </c>
      <c r="D1862" s="16">
        <f>SUMIF(매도완료!$J:$J,Sheet2!$B1862,매도완료!$P:$P)+SUMIF(ING!$J:$J,Sheet2!$B1862,ING!$P:$P)</f>
        <v>0</v>
      </c>
      <c r="E1862" s="16">
        <f t="shared" si="58"/>
        <v>121427716.70339996</v>
      </c>
      <c r="G1862" s="16">
        <f>IF(D1862=0,0,SUMIF(매도완료!$J:$J,Sheet2!$B1862,매도완료!$S:$S))+IF(D1862=0,0,SUMIF(ING!$J:$J,Sheet2!$B1862,ING!$S:$S))</f>
        <v>0</v>
      </c>
      <c r="H1862" s="16">
        <f t="shared" si="59"/>
        <v>34302397.906713009</v>
      </c>
    </row>
    <row r="1863" spans="2:8" hidden="1" x14ac:dyDescent="0.4">
      <c r="B1863" s="1">
        <v>44412</v>
      </c>
      <c r="C1863" s="16">
        <f>SUMIF(매도완료!$G:$G,Sheet2!$B1863,매도완료!$P:$P)+SUMIF(ING!$G:$G,Sheet2!$B1863,ING!$P:$P)</f>
        <v>0</v>
      </c>
      <c r="D1863" s="16">
        <f>SUMIF(매도완료!$J:$J,Sheet2!$B1863,매도완료!$P:$P)+SUMIF(ING!$J:$J,Sheet2!$B1863,ING!$P:$P)</f>
        <v>0</v>
      </c>
      <c r="E1863" s="16">
        <f t="shared" si="58"/>
        <v>121427716.70339996</v>
      </c>
      <c r="G1863" s="16">
        <f>IF(D1863=0,0,SUMIF(매도완료!$J:$J,Sheet2!$B1863,매도완료!$S:$S))+IF(D1863=0,0,SUMIF(ING!$J:$J,Sheet2!$B1863,ING!$S:$S))</f>
        <v>0</v>
      </c>
      <c r="H1863" s="16">
        <f t="shared" si="59"/>
        <v>34302397.906713009</v>
      </c>
    </row>
    <row r="1864" spans="2:8" hidden="1" x14ac:dyDescent="0.4">
      <c r="B1864" s="1">
        <v>44413</v>
      </c>
      <c r="C1864" s="16">
        <f>SUMIF(매도완료!$G:$G,Sheet2!$B1864,매도완료!$P:$P)+SUMIF(ING!$G:$G,Sheet2!$B1864,ING!$P:$P)</f>
        <v>0</v>
      </c>
      <c r="D1864" s="16">
        <f>SUMIF(매도완료!$J:$J,Sheet2!$B1864,매도완료!$P:$P)+SUMIF(ING!$J:$J,Sheet2!$B1864,ING!$P:$P)</f>
        <v>0</v>
      </c>
      <c r="E1864" s="16">
        <f t="shared" si="58"/>
        <v>121427716.70339996</v>
      </c>
      <c r="G1864" s="16">
        <f>IF(D1864=0,0,SUMIF(매도완료!$J:$J,Sheet2!$B1864,매도완료!$S:$S))+IF(D1864=0,0,SUMIF(ING!$J:$J,Sheet2!$B1864,ING!$S:$S))</f>
        <v>0</v>
      </c>
      <c r="H1864" s="16">
        <f t="shared" si="59"/>
        <v>34302397.906713009</v>
      </c>
    </row>
    <row r="1865" spans="2:8" hidden="1" x14ac:dyDescent="0.4">
      <c r="B1865" s="1">
        <v>44414</v>
      </c>
      <c r="C1865" s="16">
        <f>SUMIF(매도완료!$G:$G,Sheet2!$B1865,매도완료!$P:$P)+SUMIF(ING!$G:$G,Sheet2!$B1865,ING!$P:$P)</f>
        <v>0</v>
      </c>
      <c r="D1865" s="16">
        <f>SUMIF(매도완료!$J:$J,Sheet2!$B1865,매도완료!$P:$P)+SUMIF(ING!$J:$J,Sheet2!$B1865,ING!$P:$P)</f>
        <v>0</v>
      </c>
      <c r="E1865" s="16">
        <f t="shared" si="58"/>
        <v>121427716.70339996</v>
      </c>
      <c r="G1865" s="16">
        <f>IF(D1865=0,0,SUMIF(매도완료!$J:$J,Sheet2!$B1865,매도완료!$S:$S))+IF(D1865=0,0,SUMIF(ING!$J:$J,Sheet2!$B1865,ING!$S:$S))</f>
        <v>0</v>
      </c>
      <c r="H1865" s="16">
        <f t="shared" si="59"/>
        <v>34302397.906713009</v>
      </c>
    </row>
    <row r="1866" spans="2:8" hidden="1" x14ac:dyDescent="0.4">
      <c r="B1866" s="1">
        <v>44415</v>
      </c>
      <c r="C1866" s="16">
        <f>SUMIF(매도완료!$G:$G,Sheet2!$B1866,매도완료!$P:$P)+SUMIF(ING!$G:$G,Sheet2!$B1866,ING!$P:$P)</f>
        <v>0</v>
      </c>
      <c r="D1866" s="16">
        <f>SUMIF(매도완료!$J:$J,Sheet2!$B1866,매도완료!$P:$P)+SUMIF(ING!$J:$J,Sheet2!$B1866,ING!$P:$P)</f>
        <v>0</v>
      </c>
      <c r="E1866" s="16">
        <f t="shared" si="58"/>
        <v>121427716.70339996</v>
      </c>
      <c r="G1866" s="16">
        <f>IF(D1866=0,0,SUMIF(매도완료!$J:$J,Sheet2!$B1866,매도완료!$S:$S))+IF(D1866=0,0,SUMIF(ING!$J:$J,Sheet2!$B1866,ING!$S:$S))</f>
        <v>0</v>
      </c>
      <c r="H1866" s="16">
        <f t="shared" si="59"/>
        <v>34302397.906713009</v>
      </c>
    </row>
    <row r="1867" spans="2:8" hidden="1" x14ac:dyDescent="0.4">
      <c r="B1867" s="1">
        <v>44416</v>
      </c>
      <c r="C1867" s="16">
        <f>SUMIF(매도완료!$G:$G,Sheet2!$B1867,매도완료!$P:$P)+SUMIF(ING!$G:$G,Sheet2!$B1867,ING!$P:$P)</f>
        <v>0</v>
      </c>
      <c r="D1867" s="16">
        <f>SUMIF(매도완료!$J:$J,Sheet2!$B1867,매도완료!$P:$P)+SUMIF(ING!$J:$J,Sheet2!$B1867,ING!$P:$P)</f>
        <v>0</v>
      </c>
      <c r="E1867" s="16">
        <f t="shared" si="58"/>
        <v>121427716.70339996</v>
      </c>
      <c r="G1867" s="16">
        <f>IF(D1867=0,0,SUMIF(매도완료!$J:$J,Sheet2!$B1867,매도완료!$S:$S))+IF(D1867=0,0,SUMIF(ING!$J:$J,Sheet2!$B1867,ING!$S:$S))</f>
        <v>0</v>
      </c>
      <c r="H1867" s="16">
        <f t="shared" si="59"/>
        <v>34302397.906713009</v>
      </c>
    </row>
    <row r="1868" spans="2:8" hidden="1" x14ac:dyDescent="0.4">
      <c r="B1868" s="1">
        <v>44417</v>
      </c>
      <c r="C1868" s="16">
        <f>SUMIF(매도완료!$G:$G,Sheet2!$B1868,매도완료!$P:$P)+SUMIF(ING!$G:$G,Sheet2!$B1868,ING!$P:$P)</f>
        <v>0</v>
      </c>
      <c r="D1868" s="16">
        <f>SUMIF(매도완료!$J:$J,Sheet2!$B1868,매도완료!$P:$P)+SUMIF(ING!$J:$J,Sheet2!$B1868,ING!$P:$P)</f>
        <v>0</v>
      </c>
      <c r="E1868" s="16">
        <f t="shared" si="58"/>
        <v>121427716.70339996</v>
      </c>
      <c r="G1868" s="16">
        <f>IF(D1868=0,0,SUMIF(매도완료!$J:$J,Sheet2!$B1868,매도완료!$S:$S))+IF(D1868=0,0,SUMIF(ING!$J:$J,Sheet2!$B1868,ING!$S:$S))</f>
        <v>0</v>
      </c>
      <c r="H1868" s="16">
        <f t="shared" si="59"/>
        <v>34302397.906713009</v>
      </c>
    </row>
    <row r="1869" spans="2:8" hidden="1" x14ac:dyDescent="0.4">
      <c r="B1869" s="1">
        <v>44418</v>
      </c>
      <c r="C1869" s="16">
        <f>SUMIF(매도완료!$G:$G,Sheet2!$B1869,매도완료!$P:$P)+SUMIF(ING!$G:$G,Sheet2!$B1869,ING!$P:$P)</f>
        <v>0</v>
      </c>
      <c r="D1869" s="16">
        <f>SUMIF(매도완료!$J:$J,Sheet2!$B1869,매도완료!$P:$P)+SUMIF(ING!$J:$J,Sheet2!$B1869,ING!$P:$P)</f>
        <v>0</v>
      </c>
      <c r="E1869" s="16">
        <f t="shared" si="58"/>
        <v>121427716.70339996</v>
      </c>
      <c r="G1869" s="16">
        <f>IF(D1869=0,0,SUMIF(매도완료!$J:$J,Sheet2!$B1869,매도완료!$S:$S))+IF(D1869=0,0,SUMIF(ING!$J:$J,Sheet2!$B1869,ING!$S:$S))</f>
        <v>0</v>
      </c>
      <c r="H1869" s="16">
        <f t="shared" si="59"/>
        <v>34302397.906713009</v>
      </c>
    </row>
    <row r="1870" spans="2:8" hidden="1" x14ac:dyDescent="0.4">
      <c r="B1870" s="1">
        <v>44419</v>
      </c>
      <c r="C1870" s="16">
        <f>SUMIF(매도완료!$G:$G,Sheet2!$B1870,매도완료!$P:$P)+SUMIF(ING!$G:$G,Sheet2!$B1870,ING!$P:$P)</f>
        <v>0</v>
      </c>
      <c r="D1870" s="16">
        <f>SUMIF(매도완료!$J:$J,Sheet2!$B1870,매도완료!$P:$P)+SUMIF(ING!$J:$J,Sheet2!$B1870,ING!$P:$P)</f>
        <v>0</v>
      </c>
      <c r="E1870" s="16">
        <f t="shared" si="58"/>
        <v>121427716.70339996</v>
      </c>
      <c r="G1870" s="16">
        <f>IF(D1870=0,0,SUMIF(매도완료!$J:$J,Sheet2!$B1870,매도완료!$S:$S))+IF(D1870=0,0,SUMIF(ING!$J:$J,Sheet2!$B1870,ING!$S:$S))</f>
        <v>0</v>
      </c>
      <c r="H1870" s="16">
        <f t="shared" si="59"/>
        <v>34302397.906713009</v>
      </c>
    </row>
    <row r="1871" spans="2:8" hidden="1" x14ac:dyDescent="0.4">
      <c r="B1871" s="1">
        <v>44420</v>
      </c>
      <c r="C1871" s="16">
        <f>SUMIF(매도완료!$G:$G,Sheet2!$B1871,매도완료!$P:$P)+SUMIF(ING!$G:$G,Sheet2!$B1871,ING!$P:$P)</f>
        <v>0</v>
      </c>
      <c r="D1871" s="16">
        <f>SUMIF(매도완료!$J:$J,Sheet2!$B1871,매도완료!$P:$P)+SUMIF(ING!$J:$J,Sheet2!$B1871,ING!$P:$P)</f>
        <v>0</v>
      </c>
      <c r="E1871" s="16">
        <f t="shared" si="58"/>
        <v>121427716.70339996</v>
      </c>
      <c r="G1871" s="16">
        <f>IF(D1871=0,0,SUMIF(매도완료!$J:$J,Sheet2!$B1871,매도완료!$S:$S))+IF(D1871=0,0,SUMIF(ING!$J:$J,Sheet2!$B1871,ING!$S:$S))</f>
        <v>0</v>
      </c>
      <c r="H1871" s="16">
        <f t="shared" si="59"/>
        <v>34302397.906713009</v>
      </c>
    </row>
    <row r="1872" spans="2:8" hidden="1" x14ac:dyDescent="0.4">
      <c r="B1872" s="1">
        <v>44421</v>
      </c>
      <c r="C1872" s="16">
        <f>SUMIF(매도완료!$G:$G,Sheet2!$B1872,매도완료!$P:$P)+SUMIF(ING!$G:$G,Sheet2!$B1872,ING!$P:$P)</f>
        <v>0</v>
      </c>
      <c r="D1872" s="16">
        <f>SUMIF(매도완료!$J:$J,Sheet2!$B1872,매도완료!$P:$P)+SUMIF(ING!$J:$J,Sheet2!$B1872,ING!$P:$P)</f>
        <v>0</v>
      </c>
      <c r="E1872" s="16">
        <f t="shared" si="58"/>
        <v>121427716.70339996</v>
      </c>
      <c r="G1872" s="16">
        <f>IF(D1872=0,0,SUMIF(매도완료!$J:$J,Sheet2!$B1872,매도완료!$S:$S))+IF(D1872=0,0,SUMIF(ING!$J:$J,Sheet2!$B1872,ING!$S:$S))</f>
        <v>0</v>
      </c>
      <c r="H1872" s="16">
        <f t="shared" si="59"/>
        <v>34302397.906713009</v>
      </c>
    </row>
    <row r="1873" spans="2:8" hidden="1" x14ac:dyDescent="0.4">
      <c r="B1873" s="1">
        <v>44422</v>
      </c>
      <c r="C1873" s="16">
        <f>SUMIF(매도완료!$G:$G,Sheet2!$B1873,매도완료!$P:$P)+SUMIF(ING!$G:$G,Sheet2!$B1873,ING!$P:$P)</f>
        <v>0</v>
      </c>
      <c r="D1873" s="16">
        <f>SUMIF(매도완료!$J:$J,Sheet2!$B1873,매도완료!$P:$P)+SUMIF(ING!$J:$J,Sheet2!$B1873,ING!$P:$P)</f>
        <v>0</v>
      </c>
      <c r="E1873" s="16">
        <f t="shared" si="58"/>
        <v>121427716.70339996</v>
      </c>
      <c r="G1873" s="16">
        <f>IF(D1873=0,0,SUMIF(매도완료!$J:$J,Sheet2!$B1873,매도완료!$S:$S))+IF(D1873=0,0,SUMIF(ING!$J:$J,Sheet2!$B1873,ING!$S:$S))</f>
        <v>0</v>
      </c>
      <c r="H1873" s="16">
        <f t="shared" si="59"/>
        <v>34302397.906713009</v>
      </c>
    </row>
    <row r="1874" spans="2:8" hidden="1" x14ac:dyDescent="0.4">
      <c r="B1874" s="1">
        <v>44423</v>
      </c>
      <c r="C1874" s="16">
        <f>SUMIF(매도완료!$G:$G,Sheet2!$B1874,매도완료!$P:$P)+SUMIF(ING!$G:$G,Sheet2!$B1874,ING!$P:$P)</f>
        <v>0</v>
      </c>
      <c r="D1874" s="16">
        <f>SUMIF(매도완료!$J:$J,Sheet2!$B1874,매도완료!$P:$P)+SUMIF(ING!$J:$J,Sheet2!$B1874,ING!$P:$P)</f>
        <v>0</v>
      </c>
      <c r="E1874" s="16">
        <f t="shared" si="58"/>
        <v>121427716.70339996</v>
      </c>
      <c r="G1874" s="16">
        <f>IF(D1874=0,0,SUMIF(매도완료!$J:$J,Sheet2!$B1874,매도완료!$S:$S))+IF(D1874=0,0,SUMIF(ING!$J:$J,Sheet2!$B1874,ING!$S:$S))</f>
        <v>0</v>
      </c>
      <c r="H1874" s="16">
        <f t="shared" si="59"/>
        <v>34302397.906713009</v>
      </c>
    </row>
    <row r="1875" spans="2:8" hidden="1" x14ac:dyDescent="0.4">
      <c r="B1875" s="1">
        <v>44424</v>
      </c>
      <c r="C1875" s="16">
        <f>SUMIF(매도완료!$G:$G,Sheet2!$B1875,매도완료!$P:$P)+SUMIF(ING!$G:$G,Sheet2!$B1875,ING!$P:$P)</f>
        <v>0</v>
      </c>
      <c r="D1875" s="16">
        <f>SUMIF(매도완료!$J:$J,Sheet2!$B1875,매도완료!$P:$P)+SUMIF(ING!$J:$J,Sheet2!$B1875,ING!$P:$P)</f>
        <v>0</v>
      </c>
      <c r="E1875" s="16">
        <f t="shared" si="58"/>
        <v>121427716.70339996</v>
      </c>
      <c r="G1875" s="16">
        <f>IF(D1875=0,0,SUMIF(매도완료!$J:$J,Sheet2!$B1875,매도완료!$S:$S))+IF(D1875=0,0,SUMIF(ING!$J:$J,Sheet2!$B1875,ING!$S:$S))</f>
        <v>0</v>
      </c>
      <c r="H1875" s="16">
        <f t="shared" si="59"/>
        <v>34302397.906713009</v>
      </c>
    </row>
    <row r="1876" spans="2:8" hidden="1" x14ac:dyDescent="0.4">
      <c r="B1876" s="1">
        <v>44425</v>
      </c>
      <c r="C1876" s="16">
        <f>SUMIF(매도완료!$G:$G,Sheet2!$B1876,매도완료!$P:$P)+SUMIF(ING!$G:$G,Sheet2!$B1876,ING!$P:$P)</f>
        <v>0</v>
      </c>
      <c r="D1876" s="16">
        <f>SUMIF(매도완료!$J:$J,Sheet2!$B1876,매도완료!$P:$P)+SUMIF(ING!$J:$J,Sheet2!$B1876,ING!$P:$P)</f>
        <v>0</v>
      </c>
      <c r="E1876" s="16">
        <f t="shared" si="58"/>
        <v>121427716.70339996</v>
      </c>
      <c r="G1876" s="16">
        <f>IF(D1876=0,0,SUMIF(매도완료!$J:$J,Sheet2!$B1876,매도완료!$S:$S))+IF(D1876=0,0,SUMIF(ING!$J:$J,Sheet2!$B1876,ING!$S:$S))</f>
        <v>0</v>
      </c>
      <c r="H1876" s="16">
        <f t="shared" si="59"/>
        <v>34302397.906713009</v>
      </c>
    </row>
    <row r="1877" spans="2:8" hidden="1" x14ac:dyDescent="0.4">
      <c r="B1877" s="1">
        <v>44426</v>
      </c>
      <c r="C1877" s="16">
        <f>SUMIF(매도완료!$G:$G,Sheet2!$B1877,매도완료!$P:$P)+SUMIF(ING!$G:$G,Sheet2!$B1877,ING!$P:$P)</f>
        <v>0</v>
      </c>
      <c r="D1877" s="16">
        <f>SUMIF(매도완료!$J:$J,Sheet2!$B1877,매도완료!$P:$P)+SUMIF(ING!$J:$J,Sheet2!$B1877,ING!$P:$P)</f>
        <v>0</v>
      </c>
      <c r="E1877" s="16">
        <f t="shared" si="58"/>
        <v>121427716.70339996</v>
      </c>
      <c r="G1877" s="16">
        <f>IF(D1877=0,0,SUMIF(매도완료!$J:$J,Sheet2!$B1877,매도완료!$S:$S))+IF(D1877=0,0,SUMIF(ING!$J:$J,Sheet2!$B1877,ING!$S:$S))</f>
        <v>0</v>
      </c>
      <c r="H1877" s="16">
        <f t="shared" si="59"/>
        <v>34302397.906713009</v>
      </c>
    </row>
    <row r="1878" spans="2:8" hidden="1" x14ac:dyDescent="0.4">
      <c r="B1878" s="1">
        <v>44427</v>
      </c>
      <c r="C1878" s="16">
        <f>SUMIF(매도완료!$G:$G,Sheet2!$B1878,매도완료!$P:$P)+SUMIF(ING!$G:$G,Sheet2!$B1878,ING!$P:$P)</f>
        <v>0</v>
      </c>
      <c r="D1878" s="16">
        <f>SUMIF(매도완료!$J:$J,Sheet2!$B1878,매도완료!$P:$P)+SUMIF(ING!$J:$J,Sheet2!$B1878,ING!$P:$P)</f>
        <v>0</v>
      </c>
      <c r="E1878" s="16">
        <f t="shared" si="58"/>
        <v>121427716.70339996</v>
      </c>
      <c r="G1878" s="16">
        <f>IF(D1878=0,0,SUMIF(매도완료!$J:$J,Sheet2!$B1878,매도완료!$S:$S))+IF(D1878=0,0,SUMIF(ING!$J:$J,Sheet2!$B1878,ING!$S:$S))</f>
        <v>0</v>
      </c>
      <c r="H1878" s="16">
        <f t="shared" si="59"/>
        <v>34302397.906713009</v>
      </c>
    </row>
    <row r="1879" spans="2:8" hidden="1" x14ac:dyDescent="0.4">
      <c r="B1879" s="1">
        <v>44428</v>
      </c>
      <c r="C1879" s="16">
        <f>SUMIF(매도완료!$G:$G,Sheet2!$B1879,매도완료!$P:$P)+SUMIF(ING!$G:$G,Sheet2!$B1879,ING!$P:$P)</f>
        <v>0</v>
      </c>
      <c r="D1879" s="16">
        <f>SUMIF(매도완료!$J:$J,Sheet2!$B1879,매도완료!$P:$P)+SUMIF(ING!$J:$J,Sheet2!$B1879,ING!$P:$P)</f>
        <v>0</v>
      </c>
      <c r="E1879" s="16">
        <f t="shared" si="58"/>
        <v>121427716.70339996</v>
      </c>
      <c r="G1879" s="16">
        <f>IF(D1879=0,0,SUMIF(매도완료!$J:$J,Sheet2!$B1879,매도완료!$S:$S))+IF(D1879=0,0,SUMIF(ING!$J:$J,Sheet2!$B1879,ING!$S:$S))</f>
        <v>0</v>
      </c>
      <c r="H1879" s="16">
        <f t="shared" si="59"/>
        <v>34302397.906713009</v>
      </c>
    </row>
    <row r="1880" spans="2:8" hidden="1" x14ac:dyDescent="0.4">
      <c r="B1880" s="1">
        <v>44429</v>
      </c>
      <c r="C1880" s="16">
        <f>SUMIF(매도완료!$G:$G,Sheet2!$B1880,매도완료!$P:$P)+SUMIF(ING!$G:$G,Sheet2!$B1880,ING!$P:$P)</f>
        <v>0</v>
      </c>
      <c r="D1880" s="16">
        <f>SUMIF(매도완료!$J:$J,Sheet2!$B1880,매도완료!$P:$P)+SUMIF(ING!$J:$J,Sheet2!$B1880,ING!$P:$P)</f>
        <v>0</v>
      </c>
      <c r="E1880" s="16">
        <f t="shared" si="58"/>
        <v>121427716.70339996</v>
      </c>
      <c r="G1880" s="16">
        <f>IF(D1880=0,0,SUMIF(매도완료!$J:$J,Sheet2!$B1880,매도완료!$S:$S))+IF(D1880=0,0,SUMIF(ING!$J:$J,Sheet2!$B1880,ING!$S:$S))</f>
        <v>0</v>
      </c>
      <c r="H1880" s="16">
        <f t="shared" si="59"/>
        <v>34302397.906713009</v>
      </c>
    </row>
    <row r="1881" spans="2:8" hidden="1" x14ac:dyDescent="0.4">
      <c r="B1881" s="1">
        <v>44430</v>
      </c>
      <c r="C1881" s="16">
        <f>SUMIF(매도완료!$G:$G,Sheet2!$B1881,매도완료!$P:$P)+SUMIF(ING!$G:$G,Sheet2!$B1881,ING!$P:$P)</f>
        <v>0</v>
      </c>
      <c r="D1881" s="16">
        <f>SUMIF(매도완료!$J:$J,Sheet2!$B1881,매도완료!$P:$P)+SUMIF(ING!$J:$J,Sheet2!$B1881,ING!$P:$P)</f>
        <v>0</v>
      </c>
      <c r="E1881" s="16">
        <f t="shared" si="58"/>
        <v>121427716.70339996</v>
      </c>
      <c r="G1881" s="16">
        <f>IF(D1881=0,0,SUMIF(매도완료!$J:$J,Sheet2!$B1881,매도완료!$S:$S))+IF(D1881=0,0,SUMIF(ING!$J:$J,Sheet2!$B1881,ING!$S:$S))</f>
        <v>0</v>
      </c>
      <c r="H1881" s="16">
        <f t="shared" si="59"/>
        <v>34302397.906713009</v>
      </c>
    </row>
    <row r="1882" spans="2:8" hidden="1" x14ac:dyDescent="0.4">
      <c r="B1882" s="1">
        <v>44431</v>
      </c>
      <c r="C1882" s="16">
        <f>SUMIF(매도완료!$G:$G,Sheet2!$B1882,매도완료!$P:$P)+SUMIF(ING!$G:$G,Sheet2!$B1882,ING!$P:$P)</f>
        <v>0</v>
      </c>
      <c r="D1882" s="16">
        <f>SUMIF(매도완료!$J:$J,Sheet2!$B1882,매도완료!$P:$P)+SUMIF(ING!$J:$J,Sheet2!$B1882,ING!$P:$P)</f>
        <v>0</v>
      </c>
      <c r="E1882" s="16">
        <f t="shared" si="58"/>
        <v>121427716.70339996</v>
      </c>
      <c r="G1882" s="16">
        <f>IF(D1882=0,0,SUMIF(매도완료!$J:$J,Sheet2!$B1882,매도완료!$S:$S))+IF(D1882=0,0,SUMIF(ING!$J:$J,Sheet2!$B1882,ING!$S:$S))</f>
        <v>0</v>
      </c>
      <c r="H1882" s="16">
        <f t="shared" si="59"/>
        <v>34302397.906713009</v>
      </c>
    </row>
    <row r="1883" spans="2:8" hidden="1" x14ac:dyDescent="0.4">
      <c r="B1883" s="1">
        <v>44432</v>
      </c>
      <c r="C1883" s="16">
        <f>SUMIF(매도완료!$G:$G,Sheet2!$B1883,매도완료!$P:$P)+SUMIF(ING!$G:$G,Sheet2!$B1883,ING!$P:$P)</f>
        <v>2650900</v>
      </c>
      <c r="D1883" s="16">
        <f>SUMIF(매도완료!$J:$J,Sheet2!$B1883,매도완료!$P:$P)+SUMIF(ING!$J:$J,Sheet2!$B1883,ING!$P:$P)</f>
        <v>0</v>
      </c>
      <c r="E1883" s="16">
        <f t="shared" si="58"/>
        <v>124078616.70339996</v>
      </c>
      <c r="G1883" s="16">
        <f>IF(D1883=0,0,SUMIF(매도완료!$J:$J,Sheet2!$B1883,매도완료!$S:$S))+IF(D1883=0,0,SUMIF(ING!$J:$J,Sheet2!$B1883,ING!$S:$S))</f>
        <v>0</v>
      </c>
      <c r="H1883" s="16">
        <f t="shared" si="59"/>
        <v>34302397.906713009</v>
      </c>
    </row>
    <row r="1884" spans="2:8" hidden="1" x14ac:dyDescent="0.4">
      <c r="B1884" s="1">
        <v>44433</v>
      </c>
      <c r="C1884" s="16">
        <f>SUMIF(매도완료!$G:$G,Sheet2!$B1884,매도완료!$P:$P)+SUMIF(ING!$G:$G,Sheet2!$B1884,ING!$P:$P)</f>
        <v>0</v>
      </c>
      <c r="D1884" s="16">
        <f>SUMIF(매도완료!$J:$J,Sheet2!$B1884,매도완료!$P:$P)+SUMIF(ING!$J:$J,Sheet2!$B1884,ING!$P:$P)</f>
        <v>0</v>
      </c>
      <c r="E1884" s="16">
        <f t="shared" si="58"/>
        <v>124078616.70339996</v>
      </c>
      <c r="G1884" s="16">
        <f>IF(D1884=0,0,SUMIF(매도완료!$J:$J,Sheet2!$B1884,매도완료!$S:$S))+IF(D1884=0,0,SUMIF(ING!$J:$J,Sheet2!$B1884,ING!$S:$S))</f>
        <v>0</v>
      </c>
      <c r="H1884" s="16">
        <f t="shared" si="59"/>
        <v>34302397.906713009</v>
      </c>
    </row>
    <row r="1885" spans="2:8" hidden="1" x14ac:dyDescent="0.4">
      <c r="B1885" s="1">
        <v>44434</v>
      </c>
      <c r="C1885" s="16">
        <f>SUMIF(매도완료!$G:$G,Sheet2!$B1885,매도완료!$P:$P)+SUMIF(ING!$G:$G,Sheet2!$B1885,ING!$P:$P)</f>
        <v>0</v>
      </c>
      <c r="D1885" s="16">
        <f>SUMIF(매도완료!$J:$J,Sheet2!$B1885,매도완료!$P:$P)+SUMIF(ING!$J:$J,Sheet2!$B1885,ING!$P:$P)</f>
        <v>0</v>
      </c>
      <c r="E1885" s="16">
        <f t="shared" si="58"/>
        <v>124078616.70339996</v>
      </c>
      <c r="G1885" s="16">
        <f>IF(D1885=0,0,SUMIF(매도완료!$J:$J,Sheet2!$B1885,매도완료!$S:$S))+IF(D1885=0,0,SUMIF(ING!$J:$J,Sheet2!$B1885,ING!$S:$S))</f>
        <v>0</v>
      </c>
      <c r="H1885" s="16">
        <f t="shared" si="59"/>
        <v>34302397.906713009</v>
      </c>
    </row>
    <row r="1886" spans="2:8" hidden="1" x14ac:dyDescent="0.4">
      <c r="B1886" s="1">
        <v>44435</v>
      </c>
      <c r="C1886" s="16">
        <f>SUMIF(매도완료!$G:$G,Sheet2!$B1886,매도완료!$P:$P)+SUMIF(ING!$G:$G,Sheet2!$B1886,ING!$P:$P)</f>
        <v>0</v>
      </c>
      <c r="D1886" s="16">
        <f>SUMIF(매도완료!$J:$J,Sheet2!$B1886,매도완료!$P:$P)+SUMIF(ING!$J:$J,Sheet2!$B1886,ING!$P:$P)</f>
        <v>0</v>
      </c>
      <c r="E1886" s="16">
        <f t="shared" si="58"/>
        <v>124078616.70339996</v>
      </c>
      <c r="G1886" s="16">
        <f>IF(D1886=0,0,SUMIF(매도완료!$J:$J,Sheet2!$B1886,매도완료!$S:$S))+IF(D1886=0,0,SUMIF(ING!$J:$J,Sheet2!$B1886,ING!$S:$S))</f>
        <v>0</v>
      </c>
      <c r="H1886" s="16">
        <f t="shared" si="59"/>
        <v>34302397.906713009</v>
      </c>
    </row>
    <row r="1887" spans="2:8" hidden="1" x14ac:dyDescent="0.4">
      <c r="B1887" s="1">
        <v>44436</v>
      </c>
      <c r="C1887" s="16">
        <f>SUMIF(매도완료!$G:$G,Sheet2!$B1887,매도완료!$P:$P)+SUMIF(ING!$G:$G,Sheet2!$B1887,ING!$P:$P)</f>
        <v>0</v>
      </c>
      <c r="D1887" s="16">
        <f>SUMIF(매도완료!$J:$J,Sheet2!$B1887,매도완료!$P:$P)+SUMIF(ING!$J:$J,Sheet2!$B1887,ING!$P:$P)</f>
        <v>0</v>
      </c>
      <c r="E1887" s="16">
        <f t="shared" si="58"/>
        <v>124078616.70339996</v>
      </c>
      <c r="G1887" s="16">
        <f>IF(D1887=0,0,SUMIF(매도완료!$J:$J,Sheet2!$B1887,매도완료!$S:$S))+IF(D1887=0,0,SUMIF(ING!$J:$J,Sheet2!$B1887,ING!$S:$S))</f>
        <v>0</v>
      </c>
      <c r="H1887" s="16">
        <f t="shared" si="59"/>
        <v>34302397.906713009</v>
      </c>
    </row>
    <row r="1888" spans="2:8" hidden="1" x14ac:dyDescent="0.4">
      <c r="B1888" s="1">
        <v>44437</v>
      </c>
      <c r="C1888" s="16">
        <f>SUMIF(매도완료!$G:$G,Sheet2!$B1888,매도완료!$P:$P)+SUMIF(ING!$G:$G,Sheet2!$B1888,ING!$P:$P)</f>
        <v>0</v>
      </c>
      <c r="D1888" s="16">
        <f>SUMIF(매도완료!$J:$J,Sheet2!$B1888,매도완료!$P:$P)+SUMIF(ING!$J:$J,Sheet2!$B1888,ING!$P:$P)</f>
        <v>0</v>
      </c>
      <c r="E1888" s="16">
        <f t="shared" si="58"/>
        <v>124078616.70339996</v>
      </c>
      <c r="G1888" s="16">
        <f>IF(D1888=0,0,SUMIF(매도완료!$J:$J,Sheet2!$B1888,매도완료!$S:$S))+IF(D1888=0,0,SUMIF(ING!$J:$J,Sheet2!$B1888,ING!$S:$S))</f>
        <v>0</v>
      </c>
      <c r="H1888" s="16">
        <f t="shared" si="59"/>
        <v>34302397.906713009</v>
      </c>
    </row>
    <row r="1889" spans="2:8" hidden="1" x14ac:dyDescent="0.4">
      <c r="B1889" s="1">
        <v>44438</v>
      </c>
      <c r="C1889" s="16">
        <f>SUMIF(매도완료!$G:$G,Sheet2!$B1889,매도완료!$P:$P)+SUMIF(ING!$G:$G,Sheet2!$B1889,ING!$P:$P)</f>
        <v>0</v>
      </c>
      <c r="D1889" s="16">
        <f>SUMIF(매도완료!$J:$J,Sheet2!$B1889,매도완료!$P:$P)+SUMIF(ING!$J:$J,Sheet2!$B1889,ING!$P:$P)</f>
        <v>0</v>
      </c>
      <c r="E1889" s="16">
        <f t="shared" si="58"/>
        <v>124078616.70339996</v>
      </c>
      <c r="G1889" s="16">
        <f>IF(D1889=0,0,SUMIF(매도완료!$J:$J,Sheet2!$B1889,매도완료!$S:$S))+IF(D1889=0,0,SUMIF(ING!$J:$J,Sheet2!$B1889,ING!$S:$S))</f>
        <v>0</v>
      </c>
      <c r="H1889" s="16">
        <f t="shared" si="59"/>
        <v>34302397.906713009</v>
      </c>
    </row>
    <row r="1890" spans="2:8" hidden="1" x14ac:dyDescent="0.4">
      <c r="B1890" s="1">
        <v>44439</v>
      </c>
      <c r="C1890" s="16">
        <f>SUMIF(매도완료!$G:$G,Sheet2!$B1890,매도완료!$P:$P)+SUMIF(ING!$G:$G,Sheet2!$B1890,ING!$P:$P)</f>
        <v>0</v>
      </c>
      <c r="D1890" s="16">
        <f>SUMIF(매도완료!$J:$J,Sheet2!$B1890,매도완료!$P:$P)+SUMIF(ING!$J:$J,Sheet2!$B1890,ING!$P:$P)</f>
        <v>0</v>
      </c>
      <c r="E1890" s="16">
        <f t="shared" si="58"/>
        <v>124078616.70339996</v>
      </c>
      <c r="G1890" s="16">
        <f>IF(D1890=0,0,SUMIF(매도완료!$J:$J,Sheet2!$B1890,매도완료!$S:$S))+IF(D1890=0,0,SUMIF(ING!$J:$J,Sheet2!$B1890,ING!$S:$S))</f>
        <v>0</v>
      </c>
      <c r="H1890" s="16">
        <f t="shared" si="59"/>
        <v>34302397.906713009</v>
      </c>
    </row>
    <row r="1891" spans="2:8" hidden="1" x14ac:dyDescent="0.4">
      <c r="B1891" s="1">
        <v>44440</v>
      </c>
      <c r="C1891" s="16">
        <f>SUMIF(매도완료!$G:$G,Sheet2!$B1891,매도완료!$P:$P)+SUMIF(ING!$G:$G,Sheet2!$B1891,ING!$P:$P)</f>
        <v>0</v>
      </c>
      <c r="D1891" s="16">
        <f>SUMIF(매도완료!$J:$J,Sheet2!$B1891,매도완료!$P:$P)+SUMIF(ING!$J:$J,Sheet2!$B1891,ING!$P:$P)</f>
        <v>0</v>
      </c>
      <c r="E1891" s="16">
        <f t="shared" si="58"/>
        <v>124078616.70339996</v>
      </c>
      <c r="G1891" s="16">
        <f>IF(D1891=0,0,SUMIF(매도완료!$J:$J,Sheet2!$B1891,매도완료!$S:$S))+IF(D1891=0,0,SUMIF(ING!$J:$J,Sheet2!$B1891,ING!$S:$S))</f>
        <v>0</v>
      </c>
      <c r="H1891" s="16">
        <f t="shared" si="59"/>
        <v>34302397.906713009</v>
      </c>
    </row>
    <row r="1892" spans="2:8" hidden="1" x14ac:dyDescent="0.4">
      <c r="B1892" s="1">
        <v>44441</v>
      </c>
      <c r="C1892" s="16">
        <f>SUMIF(매도완료!$G:$G,Sheet2!$B1892,매도완료!$P:$P)+SUMIF(ING!$G:$G,Sheet2!$B1892,ING!$P:$P)</f>
        <v>0</v>
      </c>
      <c r="D1892" s="16">
        <f>SUMIF(매도완료!$J:$J,Sheet2!$B1892,매도완료!$P:$P)+SUMIF(ING!$J:$J,Sheet2!$B1892,ING!$P:$P)</f>
        <v>0</v>
      </c>
      <c r="E1892" s="16">
        <f t="shared" si="58"/>
        <v>124078616.70339996</v>
      </c>
      <c r="G1892" s="16">
        <f>IF(D1892=0,0,SUMIF(매도완료!$J:$J,Sheet2!$B1892,매도완료!$S:$S))+IF(D1892=0,0,SUMIF(ING!$J:$J,Sheet2!$B1892,ING!$S:$S))</f>
        <v>0</v>
      </c>
      <c r="H1892" s="16">
        <f t="shared" si="59"/>
        <v>34302397.906713009</v>
      </c>
    </row>
    <row r="1893" spans="2:8" hidden="1" x14ac:dyDescent="0.4">
      <c r="B1893" s="1">
        <v>44442</v>
      </c>
      <c r="C1893" s="16">
        <f>SUMIF(매도완료!$G:$G,Sheet2!$B1893,매도완료!$P:$P)+SUMIF(ING!$G:$G,Sheet2!$B1893,ING!$P:$P)</f>
        <v>0</v>
      </c>
      <c r="D1893" s="16">
        <f>SUMIF(매도완료!$J:$J,Sheet2!$B1893,매도완료!$P:$P)+SUMIF(ING!$J:$J,Sheet2!$B1893,ING!$P:$P)</f>
        <v>0</v>
      </c>
      <c r="E1893" s="16">
        <f t="shared" si="58"/>
        <v>124078616.70339996</v>
      </c>
      <c r="G1893" s="16">
        <f>IF(D1893=0,0,SUMIF(매도완료!$J:$J,Sheet2!$B1893,매도완료!$S:$S))+IF(D1893=0,0,SUMIF(ING!$J:$J,Sheet2!$B1893,ING!$S:$S))</f>
        <v>0</v>
      </c>
      <c r="H1893" s="16">
        <f t="shared" si="59"/>
        <v>34302397.906713009</v>
      </c>
    </row>
    <row r="1894" spans="2:8" hidden="1" x14ac:dyDescent="0.4">
      <c r="B1894" s="1">
        <v>44443</v>
      </c>
      <c r="C1894" s="16">
        <f>SUMIF(매도완료!$G:$G,Sheet2!$B1894,매도완료!$P:$P)+SUMIF(ING!$G:$G,Sheet2!$B1894,ING!$P:$P)</f>
        <v>0</v>
      </c>
      <c r="D1894" s="16">
        <f>SUMIF(매도완료!$J:$J,Sheet2!$B1894,매도완료!$P:$P)+SUMIF(ING!$J:$J,Sheet2!$B1894,ING!$P:$P)</f>
        <v>0</v>
      </c>
      <c r="E1894" s="16">
        <f t="shared" si="58"/>
        <v>124078616.70339996</v>
      </c>
      <c r="G1894" s="16">
        <f>IF(D1894=0,0,SUMIF(매도완료!$J:$J,Sheet2!$B1894,매도완료!$S:$S))+IF(D1894=0,0,SUMIF(ING!$J:$J,Sheet2!$B1894,ING!$S:$S))</f>
        <v>0</v>
      </c>
      <c r="H1894" s="16">
        <f t="shared" si="59"/>
        <v>34302397.906713009</v>
      </c>
    </row>
    <row r="1895" spans="2:8" hidden="1" x14ac:dyDescent="0.4">
      <c r="B1895" s="1">
        <v>44444</v>
      </c>
      <c r="C1895" s="16">
        <f>SUMIF(매도완료!$G:$G,Sheet2!$B1895,매도완료!$P:$P)+SUMIF(ING!$G:$G,Sheet2!$B1895,ING!$P:$P)</f>
        <v>0</v>
      </c>
      <c r="D1895" s="16">
        <f>SUMIF(매도완료!$J:$J,Sheet2!$B1895,매도완료!$P:$P)+SUMIF(ING!$J:$J,Sheet2!$B1895,ING!$P:$P)</f>
        <v>0</v>
      </c>
      <c r="E1895" s="16">
        <f t="shared" si="58"/>
        <v>124078616.70339996</v>
      </c>
      <c r="G1895" s="16">
        <f>IF(D1895=0,0,SUMIF(매도완료!$J:$J,Sheet2!$B1895,매도완료!$S:$S))+IF(D1895=0,0,SUMIF(ING!$J:$J,Sheet2!$B1895,ING!$S:$S))</f>
        <v>0</v>
      </c>
      <c r="H1895" s="16">
        <f t="shared" si="59"/>
        <v>34302397.906713009</v>
      </c>
    </row>
    <row r="1896" spans="2:8" hidden="1" x14ac:dyDescent="0.4">
      <c r="B1896" s="1">
        <v>44445</v>
      </c>
      <c r="C1896" s="16">
        <f>SUMIF(매도완료!$G:$G,Sheet2!$B1896,매도완료!$P:$P)+SUMIF(ING!$G:$G,Sheet2!$B1896,ING!$P:$P)</f>
        <v>0</v>
      </c>
      <c r="D1896" s="16">
        <f>SUMIF(매도완료!$J:$J,Sheet2!$B1896,매도완료!$P:$P)+SUMIF(ING!$J:$J,Sheet2!$B1896,ING!$P:$P)</f>
        <v>0</v>
      </c>
      <c r="E1896" s="16">
        <f t="shared" si="58"/>
        <v>124078616.70339996</v>
      </c>
      <c r="G1896" s="16">
        <f>IF(D1896=0,0,SUMIF(매도완료!$J:$J,Sheet2!$B1896,매도완료!$S:$S))+IF(D1896=0,0,SUMIF(ING!$J:$J,Sheet2!$B1896,ING!$S:$S))</f>
        <v>0</v>
      </c>
      <c r="H1896" s="16">
        <f t="shared" si="59"/>
        <v>34302397.906713009</v>
      </c>
    </row>
    <row r="1897" spans="2:8" hidden="1" x14ac:dyDescent="0.4">
      <c r="B1897" s="1">
        <v>44446</v>
      </c>
      <c r="C1897" s="16">
        <f>SUMIF(매도완료!$G:$G,Sheet2!$B1897,매도완료!$P:$P)+SUMIF(ING!$G:$G,Sheet2!$B1897,ING!$P:$P)</f>
        <v>0</v>
      </c>
      <c r="D1897" s="16">
        <f>SUMIF(매도완료!$J:$J,Sheet2!$B1897,매도완료!$P:$P)+SUMIF(ING!$J:$J,Sheet2!$B1897,ING!$P:$P)</f>
        <v>0</v>
      </c>
      <c r="E1897" s="16">
        <f t="shared" si="58"/>
        <v>124078616.70339996</v>
      </c>
      <c r="G1897" s="16">
        <f>IF(D1897=0,0,SUMIF(매도완료!$J:$J,Sheet2!$B1897,매도완료!$S:$S))+IF(D1897=0,0,SUMIF(ING!$J:$J,Sheet2!$B1897,ING!$S:$S))</f>
        <v>0</v>
      </c>
      <c r="H1897" s="16">
        <f t="shared" si="59"/>
        <v>34302397.906713009</v>
      </c>
    </row>
    <row r="1898" spans="2:8" hidden="1" x14ac:dyDescent="0.4">
      <c r="B1898" s="1">
        <v>44447</v>
      </c>
      <c r="C1898" s="16">
        <f>SUMIF(매도완료!$G:$G,Sheet2!$B1898,매도완료!$P:$P)+SUMIF(ING!$G:$G,Sheet2!$B1898,ING!$P:$P)</f>
        <v>0</v>
      </c>
      <c r="D1898" s="16">
        <f>SUMIF(매도완료!$J:$J,Sheet2!$B1898,매도완료!$P:$P)+SUMIF(ING!$J:$J,Sheet2!$B1898,ING!$P:$P)</f>
        <v>0</v>
      </c>
      <c r="E1898" s="16">
        <f t="shared" si="58"/>
        <v>124078616.70339996</v>
      </c>
      <c r="G1898" s="16">
        <f>IF(D1898=0,0,SUMIF(매도완료!$J:$J,Sheet2!$B1898,매도완료!$S:$S))+IF(D1898=0,0,SUMIF(ING!$J:$J,Sheet2!$B1898,ING!$S:$S))</f>
        <v>0</v>
      </c>
      <c r="H1898" s="16">
        <f t="shared" si="59"/>
        <v>34302397.906713009</v>
      </c>
    </row>
    <row r="1899" spans="2:8" hidden="1" x14ac:dyDescent="0.4">
      <c r="B1899" s="1">
        <v>44448</v>
      </c>
      <c r="C1899" s="16">
        <f>SUMIF(매도완료!$G:$G,Sheet2!$B1899,매도완료!$P:$P)+SUMIF(ING!$G:$G,Sheet2!$B1899,ING!$P:$P)</f>
        <v>0</v>
      </c>
      <c r="D1899" s="16">
        <f>SUMIF(매도완료!$J:$J,Sheet2!$B1899,매도완료!$P:$P)+SUMIF(ING!$J:$J,Sheet2!$B1899,ING!$P:$P)</f>
        <v>0</v>
      </c>
      <c r="E1899" s="16">
        <f t="shared" si="58"/>
        <v>124078616.70339996</v>
      </c>
      <c r="G1899" s="16">
        <f>IF(D1899=0,0,SUMIF(매도완료!$J:$J,Sheet2!$B1899,매도완료!$S:$S))+IF(D1899=0,0,SUMIF(ING!$J:$J,Sheet2!$B1899,ING!$S:$S))</f>
        <v>0</v>
      </c>
      <c r="H1899" s="16">
        <f t="shared" si="59"/>
        <v>34302397.906713009</v>
      </c>
    </row>
    <row r="1900" spans="2:8" hidden="1" x14ac:dyDescent="0.4">
      <c r="B1900" s="1">
        <v>44449</v>
      </c>
      <c r="C1900" s="16">
        <f>SUMIF(매도완료!$G:$G,Sheet2!$B1900,매도완료!$P:$P)+SUMIF(ING!$G:$G,Sheet2!$B1900,ING!$P:$P)</f>
        <v>1872000</v>
      </c>
      <c r="D1900" s="16">
        <f>SUMIF(매도완료!$J:$J,Sheet2!$B1900,매도완료!$P:$P)+SUMIF(ING!$J:$J,Sheet2!$B1900,ING!$P:$P)</f>
        <v>0</v>
      </c>
      <c r="E1900" s="16">
        <f t="shared" si="58"/>
        <v>125950616.70339996</v>
      </c>
      <c r="G1900" s="16">
        <f>IF(D1900=0,0,SUMIF(매도완료!$J:$J,Sheet2!$B1900,매도완료!$S:$S))+IF(D1900=0,0,SUMIF(ING!$J:$J,Sheet2!$B1900,ING!$S:$S))</f>
        <v>0</v>
      </c>
      <c r="H1900" s="16">
        <f t="shared" si="59"/>
        <v>34302397.906713009</v>
      </c>
    </row>
    <row r="1901" spans="2:8" hidden="1" x14ac:dyDescent="0.4">
      <c r="B1901" s="1">
        <v>44450</v>
      </c>
      <c r="C1901" s="16">
        <f>SUMIF(매도완료!$G:$G,Sheet2!$B1901,매도완료!$P:$P)+SUMIF(ING!$G:$G,Sheet2!$B1901,ING!$P:$P)</f>
        <v>0</v>
      </c>
      <c r="D1901" s="16">
        <f>SUMIF(매도완료!$J:$J,Sheet2!$B1901,매도완료!$P:$P)+SUMIF(ING!$J:$J,Sheet2!$B1901,ING!$P:$P)</f>
        <v>0</v>
      </c>
      <c r="E1901" s="16">
        <f t="shared" si="58"/>
        <v>125950616.70339996</v>
      </c>
      <c r="G1901" s="16">
        <f>IF(D1901=0,0,SUMIF(매도완료!$J:$J,Sheet2!$B1901,매도완료!$S:$S))+IF(D1901=0,0,SUMIF(ING!$J:$J,Sheet2!$B1901,ING!$S:$S))</f>
        <v>0</v>
      </c>
      <c r="H1901" s="16">
        <f t="shared" si="59"/>
        <v>34302397.906713009</v>
      </c>
    </row>
    <row r="1902" spans="2:8" hidden="1" x14ac:dyDescent="0.4">
      <c r="B1902" s="1">
        <v>44451</v>
      </c>
      <c r="C1902" s="16">
        <f>SUMIF(매도완료!$G:$G,Sheet2!$B1902,매도완료!$P:$P)+SUMIF(ING!$G:$G,Sheet2!$B1902,ING!$P:$P)</f>
        <v>0</v>
      </c>
      <c r="D1902" s="16">
        <f>SUMIF(매도완료!$J:$J,Sheet2!$B1902,매도완료!$P:$P)+SUMIF(ING!$J:$J,Sheet2!$B1902,ING!$P:$P)</f>
        <v>0</v>
      </c>
      <c r="E1902" s="16">
        <f t="shared" si="58"/>
        <v>125950616.70339996</v>
      </c>
      <c r="G1902" s="16">
        <f>IF(D1902=0,0,SUMIF(매도완료!$J:$J,Sheet2!$B1902,매도완료!$S:$S))+IF(D1902=0,0,SUMIF(ING!$J:$J,Sheet2!$B1902,ING!$S:$S))</f>
        <v>0</v>
      </c>
      <c r="H1902" s="16">
        <f t="shared" si="59"/>
        <v>34302397.906713009</v>
      </c>
    </row>
    <row r="1903" spans="2:8" hidden="1" x14ac:dyDescent="0.4">
      <c r="B1903" s="1">
        <v>44452</v>
      </c>
      <c r="C1903" s="16">
        <f>SUMIF(매도완료!$G:$G,Sheet2!$B1903,매도완료!$P:$P)+SUMIF(ING!$G:$G,Sheet2!$B1903,ING!$P:$P)</f>
        <v>0</v>
      </c>
      <c r="D1903" s="16">
        <f>SUMIF(매도완료!$J:$J,Sheet2!$B1903,매도완료!$P:$P)+SUMIF(ING!$J:$J,Sheet2!$B1903,ING!$P:$P)</f>
        <v>0</v>
      </c>
      <c r="E1903" s="16">
        <f t="shared" si="58"/>
        <v>125950616.70339996</v>
      </c>
      <c r="G1903" s="16">
        <f>IF(D1903=0,0,SUMIF(매도완료!$J:$J,Sheet2!$B1903,매도완료!$S:$S))+IF(D1903=0,0,SUMIF(ING!$J:$J,Sheet2!$B1903,ING!$S:$S))</f>
        <v>0</v>
      </c>
      <c r="H1903" s="16">
        <f t="shared" si="59"/>
        <v>34302397.906713009</v>
      </c>
    </row>
    <row r="1904" spans="2:8" hidden="1" x14ac:dyDescent="0.4">
      <c r="B1904" s="1">
        <v>44453</v>
      </c>
      <c r="C1904" s="16">
        <f>SUMIF(매도완료!$G:$G,Sheet2!$B1904,매도완료!$P:$P)+SUMIF(ING!$G:$G,Sheet2!$B1904,ING!$P:$P)</f>
        <v>0</v>
      </c>
      <c r="D1904" s="16">
        <f>SUMIF(매도완료!$J:$J,Sheet2!$B1904,매도완료!$P:$P)+SUMIF(ING!$J:$J,Sheet2!$B1904,ING!$P:$P)</f>
        <v>0</v>
      </c>
      <c r="E1904" s="16">
        <f t="shared" si="58"/>
        <v>125950616.70339996</v>
      </c>
      <c r="G1904" s="16">
        <f>IF(D1904=0,0,SUMIF(매도완료!$J:$J,Sheet2!$B1904,매도완료!$S:$S))+IF(D1904=0,0,SUMIF(ING!$J:$J,Sheet2!$B1904,ING!$S:$S))</f>
        <v>0</v>
      </c>
      <c r="H1904" s="16">
        <f t="shared" si="59"/>
        <v>34302397.906713009</v>
      </c>
    </row>
    <row r="1905" spans="2:8" hidden="1" x14ac:dyDescent="0.4">
      <c r="B1905" s="1">
        <v>44454</v>
      </c>
      <c r="C1905" s="16">
        <f>SUMIF(매도완료!$G:$G,Sheet2!$B1905,매도완료!$P:$P)+SUMIF(ING!$G:$G,Sheet2!$B1905,ING!$P:$P)</f>
        <v>0</v>
      </c>
      <c r="D1905" s="16">
        <f>SUMIF(매도완료!$J:$J,Sheet2!$B1905,매도완료!$P:$P)+SUMIF(ING!$J:$J,Sheet2!$B1905,ING!$P:$P)</f>
        <v>0</v>
      </c>
      <c r="E1905" s="16">
        <f t="shared" si="58"/>
        <v>125950616.70339996</v>
      </c>
      <c r="G1905" s="16">
        <f>IF(D1905=0,0,SUMIF(매도완료!$J:$J,Sheet2!$B1905,매도완료!$S:$S))+IF(D1905=0,0,SUMIF(ING!$J:$J,Sheet2!$B1905,ING!$S:$S))</f>
        <v>0</v>
      </c>
      <c r="H1905" s="16">
        <f t="shared" si="59"/>
        <v>34302397.906713009</v>
      </c>
    </row>
    <row r="1906" spans="2:8" hidden="1" x14ac:dyDescent="0.4">
      <c r="B1906" s="1">
        <v>44455</v>
      </c>
      <c r="C1906" s="16">
        <f>SUMIF(매도완료!$G:$G,Sheet2!$B1906,매도완료!$P:$P)+SUMIF(ING!$G:$G,Sheet2!$B1906,ING!$P:$P)</f>
        <v>0</v>
      </c>
      <c r="D1906" s="16">
        <f>SUMIF(매도완료!$J:$J,Sheet2!$B1906,매도완료!$P:$P)+SUMIF(ING!$J:$J,Sheet2!$B1906,ING!$P:$P)</f>
        <v>0</v>
      </c>
      <c r="E1906" s="16">
        <f t="shared" si="58"/>
        <v>125950616.70339996</v>
      </c>
      <c r="G1906" s="16">
        <f>IF(D1906=0,0,SUMIF(매도완료!$J:$J,Sheet2!$B1906,매도완료!$S:$S))+IF(D1906=0,0,SUMIF(ING!$J:$J,Sheet2!$B1906,ING!$S:$S))</f>
        <v>0</v>
      </c>
      <c r="H1906" s="16">
        <f t="shared" si="59"/>
        <v>34302397.906713009</v>
      </c>
    </row>
    <row r="1907" spans="2:8" hidden="1" x14ac:dyDescent="0.4">
      <c r="B1907" s="1">
        <v>44456</v>
      </c>
      <c r="C1907" s="16">
        <f>SUMIF(매도완료!$G:$G,Sheet2!$B1907,매도완료!$P:$P)+SUMIF(ING!$G:$G,Sheet2!$B1907,ING!$P:$P)</f>
        <v>0</v>
      </c>
      <c r="D1907" s="16">
        <f>SUMIF(매도완료!$J:$J,Sheet2!$B1907,매도완료!$P:$P)+SUMIF(ING!$J:$J,Sheet2!$B1907,ING!$P:$P)</f>
        <v>0</v>
      </c>
      <c r="E1907" s="16">
        <f t="shared" si="58"/>
        <v>125950616.70339996</v>
      </c>
      <c r="G1907" s="16">
        <f>IF(D1907=0,0,SUMIF(매도완료!$J:$J,Sheet2!$B1907,매도완료!$S:$S))+IF(D1907=0,0,SUMIF(ING!$J:$J,Sheet2!$B1907,ING!$S:$S))</f>
        <v>0</v>
      </c>
      <c r="H1907" s="16">
        <f t="shared" si="59"/>
        <v>34302397.906713009</v>
      </c>
    </row>
    <row r="1908" spans="2:8" hidden="1" x14ac:dyDescent="0.4">
      <c r="B1908" s="1">
        <v>44457</v>
      </c>
      <c r="C1908" s="16">
        <f>SUMIF(매도완료!$G:$G,Sheet2!$B1908,매도완료!$P:$P)+SUMIF(ING!$G:$G,Sheet2!$B1908,ING!$P:$P)</f>
        <v>0</v>
      </c>
      <c r="D1908" s="16">
        <f>SUMIF(매도완료!$J:$J,Sheet2!$B1908,매도완료!$P:$P)+SUMIF(ING!$J:$J,Sheet2!$B1908,ING!$P:$P)</f>
        <v>0</v>
      </c>
      <c r="E1908" s="16">
        <f t="shared" si="58"/>
        <v>125950616.70339996</v>
      </c>
      <c r="G1908" s="16">
        <f>IF(D1908=0,0,SUMIF(매도완료!$J:$J,Sheet2!$B1908,매도완료!$S:$S))+IF(D1908=0,0,SUMIF(ING!$J:$J,Sheet2!$B1908,ING!$S:$S))</f>
        <v>0</v>
      </c>
      <c r="H1908" s="16">
        <f t="shared" si="59"/>
        <v>34302397.906713009</v>
      </c>
    </row>
    <row r="1909" spans="2:8" hidden="1" x14ac:dyDescent="0.4">
      <c r="B1909" s="1">
        <v>44458</v>
      </c>
      <c r="C1909" s="16">
        <f>SUMIF(매도완료!$G:$G,Sheet2!$B1909,매도완료!$P:$P)+SUMIF(ING!$G:$G,Sheet2!$B1909,ING!$P:$P)</f>
        <v>0</v>
      </c>
      <c r="D1909" s="16">
        <f>SUMIF(매도완료!$J:$J,Sheet2!$B1909,매도완료!$P:$P)+SUMIF(ING!$J:$J,Sheet2!$B1909,ING!$P:$P)</f>
        <v>0</v>
      </c>
      <c r="E1909" s="16">
        <f t="shared" si="58"/>
        <v>125950616.70339996</v>
      </c>
      <c r="G1909" s="16">
        <f>IF(D1909=0,0,SUMIF(매도완료!$J:$J,Sheet2!$B1909,매도완료!$S:$S))+IF(D1909=0,0,SUMIF(ING!$J:$J,Sheet2!$B1909,ING!$S:$S))</f>
        <v>0</v>
      </c>
      <c r="H1909" s="16">
        <f t="shared" si="59"/>
        <v>34302397.906713009</v>
      </c>
    </row>
    <row r="1910" spans="2:8" hidden="1" x14ac:dyDescent="0.4">
      <c r="B1910" s="1">
        <v>44459</v>
      </c>
      <c r="C1910" s="16">
        <f>SUMIF(매도완료!$G:$G,Sheet2!$B1910,매도완료!$P:$P)+SUMIF(ING!$G:$G,Sheet2!$B1910,ING!$P:$P)</f>
        <v>0</v>
      </c>
      <c r="D1910" s="16">
        <f>SUMIF(매도완료!$J:$J,Sheet2!$B1910,매도완료!$P:$P)+SUMIF(ING!$J:$J,Sheet2!$B1910,ING!$P:$P)</f>
        <v>0</v>
      </c>
      <c r="E1910" s="16">
        <f t="shared" si="58"/>
        <v>125950616.70339996</v>
      </c>
      <c r="G1910" s="16">
        <f>IF(D1910=0,0,SUMIF(매도완료!$J:$J,Sheet2!$B1910,매도완료!$S:$S))+IF(D1910=0,0,SUMIF(ING!$J:$J,Sheet2!$B1910,ING!$S:$S))</f>
        <v>0</v>
      </c>
      <c r="H1910" s="16">
        <f t="shared" si="59"/>
        <v>34302397.906713009</v>
      </c>
    </row>
    <row r="1911" spans="2:8" hidden="1" x14ac:dyDescent="0.4">
      <c r="B1911" s="1">
        <v>44460</v>
      </c>
      <c r="C1911" s="16">
        <f>SUMIF(매도완료!$G:$G,Sheet2!$B1911,매도완료!$P:$P)+SUMIF(ING!$G:$G,Sheet2!$B1911,ING!$P:$P)</f>
        <v>0</v>
      </c>
      <c r="D1911" s="16">
        <f>SUMIF(매도완료!$J:$J,Sheet2!$B1911,매도완료!$P:$P)+SUMIF(ING!$J:$J,Sheet2!$B1911,ING!$P:$P)</f>
        <v>0</v>
      </c>
      <c r="E1911" s="16">
        <f t="shared" si="58"/>
        <v>125950616.70339996</v>
      </c>
      <c r="G1911" s="16">
        <f>IF(D1911=0,0,SUMIF(매도완료!$J:$J,Sheet2!$B1911,매도완료!$S:$S))+IF(D1911=0,0,SUMIF(ING!$J:$J,Sheet2!$B1911,ING!$S:$S))</f>
        <v>0</v>
      </c>
      <c r="H1911" s="16">
        <f t="shared" si="59"/>
        <v>34302397.906713009</v>
      </c>
    </row>
    <row r="1912" spans="2:8" hidden="1" x14ac:dyDescent="0.4">
      <c r="B1912" s="1">
        <v>44461</v>
      </c>
      <c r="C1912" s="16">
        <f>SUMIF(매도완료!$G:$G,Sheet2!$B1912,매도완료!$P:$P)+SUMIF(ING!$G:$G,Sheet2!$B1912,ING!$P:$P)</f>
        <v>0</v>
      </c>
      <c r="D1912" s="16">
        <f>SUMIF(매도완료!$J:$J,Sheet2!$B1912,매도완료!$P:$P)+SUMIF(ING!$J:$J,Sheet2!$B1912,ING!$P:$P)</f>
        <v>0</v>
      </c>
      <c r="E1912" s="16">
        <f t="shared" si="58"/>
        <v>125950616.70339996</v>
      </c>
      <c r="G1912" s="16">
        <f>IF(D1912=0,0,SUMIF(매도완료!$J:$J,Sheet2!$B1912,매도완료!$S:$S))+IF(D1912=0,0,SUMIF(ING!$J:$J,Sheet2!$B1912,ING!$S:$S))</f>
        <v>0</v>
      </c>
      <c r="H1912" s="16">
        <f t="shared" si="59"/>
        <v>34302397.906713009</v>
      </c>
    </row>
    <row r="1913" spans="2:8" hidden="1" x14ac:dyDescent="0.4">
      <c r="B1913" s="1">
        <v>44462</v>
      </c>
      <c r="C1913" s="16">
        <f>SUMIF(매도완료!$G:$G,Sheet2!$B1913,매도완료!$P:$P)+SUMIF(ING!$G:$G,Sheet2!$B1913,ING!$P:$P)</f>
        <v>0</v>
      </c>
      <c r="D1913" s="16">
        <f>SUMIF(매도완료!$J:$J,Sheet2!$B1913,매도완료!$P:$P)+SUMIF(ING!$J:$J,Sheet2!$B1913,ING!$P:$P)</f>
        <v>0</v>
      </c>
      <c r="E1913" s="16">
        <f t="shared" si="58"/>
        <v>125950616.70339996</v>
      </c>
      <c r="G1913" s="16">
        <f>IF(D1913=0,0,SUMIF(매도완료!$J:$J,Sheet2!$B1913,매도완료!$S:$S))+IF(D1913=0,0,SUMIF(ING!$J:$J,Sheet2!$B1913,ING!$S:$S))</f>
        <v>0</v>
      </c>
      <c r="H1913" s="16">
        <f t="shared" si="59"/>
        <v>34302397.906713009</v>
      </c>
    </row>
    <row r="1914" spans="2:8" hidden="1" x14ac:dyDescent="0.4">
      <c r="B1914" s="1">
        <v>44463</v>
      </c>
      <c r="C1914" s="16">
        <f>SUMIF(매도완료!$G:$G,Sheet2!$B1914,매도완료!$P:$P)+SUMIF(ING!$G:$G,Sheet2!$B1914,ING!$P:$P)</f>
        <v>0</v>
      </c>
      <c r="D1914" s="16">
        <f>SUMIF(매도완료!$J:$J,Sheet2!$B1914,매도완료!$P:$P)+SUMIF(ING!$J:$J,Sheet2!$B1914,ING!$P:$P)</f>
        <v>0</v>
      </c>
      <c r="E1914" s="16">
        <f t="shared" si="58"/>
        <v>125950616.70339996</v>
      </c>
      <c r="G1914" s="16">
        <f>IF(D1914=0,0,SUMIF(매도완료!$J:$J,Sheet2!$B1914,매도완료!$S:$S))+IF(D1914=0,0,SUMIF(ING!$J:$J,Sheet2!$B1914,ING!$S:$S))</f>
        <v>0</v>
      </c>
      <c r="H1914" s="16">
        <f t="shared" si="59"/>
        <v>34302397.906713009</v>
      </c>
    </row>
    <row r="1915" spans="2:8" hidden="1" x14ac:dyDescent="0.4">
      <c r="B1915" s="1">
        <v>44464</v>
      </c>
      <c r="C1915" s="16">
        <f>SUMIF(매도완료!$G:$G,Sheet2!$B1915,매도완료!$P:$P)+SUMIF(ING!$G:$G,Sheet2!$B1915,ING!$P:$P)</f>
        <v>0</v>
      </c>
      <c r="D1915" s="16">
        <f>SUMIF(매도완료!$J:$J,Sheet2!$B1915,매도완료!$P:$P)+SUMIF(ING!$J:$J,Sheet2!$B1915,ING!$P:$P)</f>
        <v>0</v>
      </c>
      <c r="E1915" s="16">
        <f t="shared" si="58"/>
        <v>125950616.70339996</v>
      </c>
      <c r="G1915" s="16">
        <f>IF(D1915=0,0,SUMIF(매도완료!$J:$J,Sheet2!$B1915,매도완료!$S:$S))+IF(D1915=0,0,SUMIF(ING!$J:$J,Sheet2!$B1915,ING!$S:$S))</f>
        <v>0</v>
      </c>
      <c r="H1915" s="16">
        <f t="shared" si="59"/>
        <v>34302397.906713009</v>
      </c>
    </row>
    <row r="1916" spans="2:8" hidden="1" x14ac:dyDescent="0.4">
      <c r="B1916" s="1">
        <v>44465</v>
      </c>
      <c r="C1916" s="16">
        <f>SUMIF(매도완료!$G:$G,Sheet2!$B1916,매도완료!$P:$P)+SUMIF(ING!$G:$G,Sheet2!$B1916,ING!$P:$P)</f>
        <v>0</v>
      </c>
      <c r="D1916" s="16">
        <f>SUMIF(매도완료!$J:$J,Sheet2!$B1916,매도완료!$P:$P)+SUMIF(ING!$J:$J,Sheet2!$B1916,ING!$P:$P)</f>
        <v>0</v>
      </c>
      <c r="E1916" s="16">
        <f t="shared" si="58"/>
        <v>125950616.70339996</v>
      </c>
      <c r="G1916" s="16">
        <f>IF(D1916=0,0,SUMIF(매도완료!$J:$J,Sheet2!$B1916,매도완료!$S:$S))+IF(D1916=0,0,SUMIF(ING!$J:$J,Sheet2!$B1916,ING!$S:$S))</f>
        <v>0</v>
      </c>
      <c r="H1916" s="16">
        <f t="shared" si="59"/>
        <v>34302397.906713009</v>
      </c>
    </row>
    <row r="1917" spans="2:8" hidden="1" x14ac:dyDescent="0.4">
      <c r="B1917" s="1">
        <v>44466</v>
      </c>
      <c r="C1917" s="16">
        <f>SUMIF(매도완료!$G:$G,Sheet2!$B1917,매도완료!$P:$P)+SUMIF(ING!$G:$G,Sheet2!$B1917,ING!$P:$P)</f>
        <v>0</v>
      </c>
      <c r="D1917" s="16">
        <f>SUMIF(매도완료!$J:$J,Sheet2!$B1917,매도완료!$P:$P)+SUMIF(ING!$J:$J,Sheet2!$B1917,ING!$P:$P)</f>
        <v>0</v>
      </c>
      <c r="E1917" s="16">
        <f t="shared" si="58"/>
        <v>125950616.70339996</v>
      </c>
      <c r="G1917" s="16">
        <f>IF(D1917=0,0,SUMIF(매도완료!$J:$J,Sheet2!$B1917,매도완료!$S:$S))+IF(D1917=0,0,SUMIF(ING!$J:$J,Sheet2!$B1917,ING!$S:$S))</f>
        <v>0</v>
      </c>
      <c r="H1917" s="16">
        <f t="shared" si="59"/>
        <v>34302397.906713009</v>
      </c>
    </row>
    <row r="1918" spans="2:8" hidden="1" x14ac:dyDescent="0.4">
      <c r="B1918" s="1">
        <v>44467</v>
      </c>
      <c r="C1918" s="16">
        <f>SUMIF(매도완료!$G:$G,Sheet2!$B1918,매도완료!$P:$P)+SUMIF(ING!$G:$G,Sheet2!$B1918,ING!$P:$P)</f>
        <v>0</v>
      </c>
      <c r="D1918" s="16">
        <f>SUMIF(매도완료!$J:$J,Sheet2!$B1918,매도완료!$P:$P)+SUMIF(ING!$J:$J,Sheet2!$B1918,ING!$P:$P)</f>
        <v>0</v>
      </c>
      <c r="E1918" s="16">
        <f t="shared" si="58"/>
        <v>125950616.70339996</v>
      </c>
      <c r="G1918" s="16">
        <f>IF(D1918=0,0,SUMIF(매도완료!$J:$J,Sheet2!$B1918,매도완료!$S:$S))+IF(D1918=0,0,SUMIF(ING!$J:$J,Sheet2!$B1918,ING!$S:$S))</f>
        <v>0</v>
      </c>
      <c r="H1918" s="16">
        <f t="shared" si="59"/>
        <v>34302397.906713009</v>
      </c>
    </row>
    <row r="1919" spans="2:8" hidden="1" x14ac:dyDescent="0.4">
      <c r="B1919" s="1">
        <v>44468</v>
      </c>
      <c r="C1919" s="16">
        <f>SUMIF(매도완료!$G:$G,Sheet2!$B1919,매도완료!$P:$P)+SUMIF(ING!$G:$G,Sheet2!$B1919,ING!$P:$P)</f>
        <v>0</v>
      </c>
      <c r="D1919" s="16">
        <f>SUMIF(매도완료!$J:$J,Sheet2!$B1919,매도완료!$P:$P)+SUMIF(ING!$J:$J,Sheet2!$B1919,ING!$P:$P)</f>
        <v>0</v>
      </c>
      <c r="E1919" s="16">
        <f t="shared" si="58"/>
        <v>125950616.70339996</v>
      </c>
      <c r="G1919" s="16">
        <f>IF(D1919=0,0,SUMIF(매도완료!$J:$J,Sheet2!$B1919,매도완료!$S:$S))+IF(D1919=0,0,SUMIF(ING!$J:$J,Sheet2!$B1919,ING!$S:$S))</f>
        <v>0</v>
      </c>
      <c r="H1919" s="16">
        <f t="shared" si="59"/>
        <v>34302397.906713009</v>
      </c>
    </row>
    <row r="1920" spans="2:8" hidden="1" x14ac:dyDescent="0.4">
      <c r="B1920" s="1">
        <v>44469</v>
      </c>
      <c r="C1920" s="16">
        <f>SUMIF(매도완료!$G:$G,Sheet2!$B1920,매도완료!$P:$P)+SUMIF(ING!$G:$G,Sheet2!$B1920,ING!$P:$P)</f>
        <v>0</v>
      </c>
      <c r="D1920" s="16">
        <f>SUMIF(매도완료!$J:$J,Sheet2!$B1920,매도완료!$P:$P)+SUMIF(ING!$J:$J,Sheet2!$B1920,ING!$P:$P)</f>
        <v>0</v>
      </c>
      <c r="E1920" s="16">
        <f t="shared" si="58"/>
        <v>125950616.70339996</v>
      </c>
      <c r="G1920" s="16">
        <f>IF(D1920=0,0,SUMIF(매도완료!$J:$J,Sheet2!$B1920,매도완료!$S:$S))+IF(D1920=0,0,SUMIF(ING!$J:$J,Sheet2!$B1920,ING!$S:$S))</f>
        <v>0</v>
      </c>
      <c r="H1920" s="16">
        <f t="shared" si="59"/>
        <v>34302397.906713009</v>
      </c>
    </row>
    <row r="1921" spans="2:8" hidden="1" x14ac:dyDescent="0.4">
      <c r="B1921" s="1">
        <v>44470</v>
      </c>
      <c r="C1921" s="16">
        <f>SUMIF(매도완료!$G:$G,Sheet2!$B1921,매도완료!$P:$P)+SUMIF(ING!$G:$G,Sheet2!$B1921,ING!$P:$P)</f>
        <v>0</v>
      </c>
      <c r="D1921" s="16">
        <f>SUMIF(매도완료!$J:$J,Sheet2!$B1921,매도완료!$P:$P)+SUMIF(ING!$J:$J,Sheet2!$B1921,ING!$P:$P)</f>
        <v>0</v>
      </c>
      <c r="E1921" s="16">
        <f t="shared" si="58"/>
        <v>125950616.70339996</v>
      </c>
      <c r="G1921" s="16">
        <f>IF(D1921=0,0,SUMIF(매도완료!$J:$J,Sheet2!$B1921,매도완료!$S:$S))+IF(D1921=0,0,SUMIF(ING!$J:$J,Sheet2!$B1921,ING!$S:$S))</f>
        <v>0</v>
      </c>
      <c r="H1921" s="16">
        <f t="shared" si="59"/>
        <v>34302397.906713009</v>
      </c>
    </row>
    <row r="1922" spans="2:8" hidden="1" x14ac:dyDescent="0.4">
      <c r="B1922" s="1">
        <v>44471</v>
      </c>
      <c r="C1922" s="16">
        <f>SUMIF(매도완료!$G:$G,Sheet2!$B1922,매도완료!$P:$P)+SUMIF(ING!$G:$G,Sheet2!$B1922,ING!$P:$P)</f>
        <v>0</v>
      </c>
      <c r="D1922" s="16">
        <f>SUMIF(매도완료!$J:$J,Sheet2!$B1922,매도완료!$P:$P)+SUMIF(ING!$J:$J,Sheet2!$B1922,ING!$P:$P)</f>
        <v>0</v>
      </c>
      <c r="E1922" s="16">
        <f t="shared" si="58"/>
        <v>125950616.70339996</v>
      </c>
      <c r="G1922" s="16">
        <f>IF(D1922=0,0,SUMIF(매도완료!$J:$J,Sheet2!$B1922,매도완료!$S:$S))+IF(D1922=0,0,SUMIF(ING!$J:$J,Sheet2!$B1922,ING!$S:$S))</f>
        <v>0</v>
      </c>
      <c r="H1922" s="16">
        <f t="shared" si="59"/>
        <v>34302397.906713009</v>
      </c>
    </row>
    <row r="1923" spans="2:8" hidden="1" x14ac:dyDescent="0.4">
      <c r="B1923" s="1">
        <v>44472</v>
      </c>
      <c r="C1923" s="16">
        <f>SUMIF(매도완료!$G:$G,Sheet2!$B1923,매도완료!$P:$P)+SUMIF(ING!$G:$G,Sheet2!$B1923,ING!$P:$P)</f>
        <v>0</v>
      </c>
      <c r="D1923" s="16">
        <f>SUMIF(매도완료!$J:$J,Sheet2!$B1923,매도완료!$P:$P)+SUMIF(ING!$J:$J,Sheet2!$B1923,ING!$P:$P)</f>
        <v>0</v>
      </c>
      <c r="E1923" s="16">
        <f t="shared" si="58"/>
        <v>125950616.70339996</v>
      </c>
      <c r="G1923" s="16">
        <f>IF(D1923=0,0,SUMIF(매도완료!$J:$J,Sheet2!$B1923,매도완료!$S:$S))+IF(D1923=0,0,SUMIF(ING!$J:$J,Sheet2!$B1923,ING!$S:$S))</f>
        <v>0</v>
      </c>
      <c r="H1923" s="16">
        <f t="shared" si="59"/>
        <v>34302397.906713009</v>
      </c>
    </row>
    <row r="1924" spans="2:8" hidden="1" x14ac:dyDescent="0.4">
      <c r="B1924" s="1">
        <v>44473</v>
      </c>
      <c r="C1924" s="16">
        <f>SUMIF(매도완료!$G:$G,Sheet2!$B1924,매도완료!$P:$P)+SUMIF(ING!$G:$G,Sheet2!$B1924,ING!$P:$P)</f>
        <v>0</v>
      </c>
      <c r="D1924" s="16">
        <f>SUMIF(매도완료!$J:$J,Sheet2!$B1924,매도완료!$P:$P)+SUMIF(ING!$J:$J,Sheet2!$B1924,ING!$P:$P)</f>
        <v>0</v>
      </c>
      <c r="E1924" s="16">
        <f t="shared" ref="E1924:E1987" si="60">E1923+C1924-D1924</f>
        <v>125950616.70339996</v>
      </c>
      <c r="G1924" s="16">
        <f>IF(D1924=0,0,SUMIF(매도완료!$J:$J,Sheet2!$B1924,매도완료!$S:$S))+IF(D1924=0,0,SUMIF(ING!$J:$J,Sheet2!$B1924,ING!$S:$S))</f>
        <v>0</v>
      </c>
      <c r="H1924" s="16">
        <f t="shared" ref="H1924:H1987" si="61">H1923+G1924</f>
        <v>34302397.906713009</v>
      </c>
    </row>
    <row r="1925" spans="2:8" hidden="1" x14ac:dyDescent="0.4">
      <c r="B1925" s="1">
        <v>44474</v>
      </c>
      <c r="C1925" s="16">
        <f>SUMIF(매도완료!$G:$G,Sheet2!$B1925,매도완료!$P:$P)+SUMIF(ING!$G:$G,Sheet2!$B1925,ING!$P:$P)</f>
        <v>0</v>
      </c>
      <c r="D1925" s="16">
        <f>SUMIF(매도완료!$J:$J,Sheet2!$B1925,매도완료!$P:$P)+SUMIF(ING!$J:$J,Sheet2!$B1925,ING!$P:$P)</f>
        <v>0</v>
      </c>
      <c r="E1925" s="16">
        <f t="shared" si="60"/>
        <v>125950616.70339996</v>
      </c>
      <c r="G1925" s="16">
        <f>IF(D1925=0,0,SUMIF(매도완료!$J:$J,Sheet2!$B1925,매도완료!$S:$S))+IF(D1925=0,0,SUMIF(ING!$J:$J,Sheet2!$B1925,ING!$S:$S))</f>
        <v>0</v>
      </c>
      <c r="H1925" s="16">
        <f t="shared" si="61"/>
        <v>34302397.906713009</v>
      </c>
    </row>
    <row r="1926" spans="2:8" hidden="1" x14ac:dyDescent="0.4">
      <c r="B1926" s="1">
        <v>44475</v>
      </c>
      <c r="C1926" s="16">
        <f>SUMIF(매도완료!$G:$G,Sheet2!$B1926,매도완료!$P:$P)+SUMIF(ING!$G:$G,Sheet2!$B1926,ING!$P:$P)</f>
        <v>0</v>
      </c>
      <c r="D1926" s="16">
        <f>SUMIF(매도완료!$J:$J,Sheet2!$B1926,매도완료!$P:$P)+SUMIF(ING!$J:$J,Sheet2!$B1926,ING!$P:$P)</f>
        <v>0</v>
      </c>
      <c r="E1926" s="16">
        <f t="shared" si="60"/>
        <v>125950616.70339996</v>
      </c>
      <c r="G1926" s="16">
        <f>IF(D1926=0,0,SUMIF(매도완료!$J:$J,Sheet2!$B1926,매도완료!$S:$S))+IF(D1926=0,0,SUMIF(ING!$J:$J,Sheet2!$B1926,ING!$S:$S))</f>
        <v>0</v>
      </c>
      <c r="H1926" s="16">
        <f t="shared" si="61"/>
        <v>34302397.906713009</v>
      </c>
    </row>
    <row r="1927" spans="2:8" hidden="1" x14ac:dyDescent="0.4">
      <c r="B1927" s="1">
        <v>44476</v>
      </c>
      <c r="C1927" s="16">
        <f>SUMIF(매도완료!$G:$G,Sheet2!$B1927,매도완료!$P:$P)+SUMIF(ING!$G:$G,Sheet2!$B1927,ING!$P:$P)</f>
        <v>0</v>
      </c>
      <c r="D1927" s="16">
        <f>SUMIF(매도완료!$J:$J,Sheet2!$B1927,매도완료!$P:$P)+SUMIF(ING!$J:$J,Sheet2!$B1927,ING!$P:$P)</f>
        <v>0</v>
      </c>
      <c r="E1927" s="16">
        <f t="shared" si="60"/>
        <v>125950616.70339996</v>
      </c>
      <c r="G1927" s="16">
        <f>IF(D1927=0,0,SUMIF(매도완료!$J:$J,Sheet2!$B1927,매도완료!$S:$S))+IF(D1927=0,0,SUMIF(ING!$J:$J,Sheet2!$B1927,ING!$S:$S))</f>
        <v>0</v>
      </c>
      <c r="H1927" s="16">
        <f t="shared" si="61"/>
        <v>34302397.906713009</v>
      </c>
    </row>
    <row r="1928" spans="2:8" hidden="1" x14ac:dyDescent="0.4">
      <c r="B1928" s="1">
        <v>44477</v>
      </c>
      <c r="C1928" s="16">
        <f>SUMIF(매도완료!$G:$G,Sheet2!$B1928,매도완료!$P:$P)+SUMIF(ING!$G:$G,Sheet2!$B1928,ING!$P:$P)</f>
        <v>0</v>
      </c>
      <c r="D1928" s="16">
        <f>SUMIF(매도완료!$J:$J,Sheet2!$B1928,매도완료!$P:$P)+SUMIF(ING!$J:$J,Sheet2!$B1928,ING!$P:$P)</f>
        <v>0</v>
      </c>
      <c r="E1928" s="16">
        <f t="shared" si="60"/>
        <v>125950616.70339996</v>
      </c>
      <c r="G1928" s="16">
        <f>IF(D1928=0,0,SUMIF(매도완료!$J:$J,Sheet2!$B1928,매도완료!$S:$S))+IF(D1928=0,0,SUMIF(ING!$J:$J,Sheet2!$B1928,ING!$S:$S))</f>
        <v>0</v>
      </c>
      <c r="H1928" s="16">
        <f t="shared" si="61"/>
        <v>34302397.906713009</v>
      </c>
    </row>
    <row r="1929" spans="2:8" hidden="1" x14ac:dyDescent="0.4">
      <c r="B1929" s="1">
        <v>44478</v>
      </c>
      <c r="C1929" s="16">
        <f>SUMIF(매도완료!$G:$G,Sheet2!$B1929,매도완료!$P:$P)+SUMIF(ING!$G:$G,Sheet2!$B1929,ING!$P:$P)</f>
        <v>0</v>
      </c>
      <c r="D1929" s="16">
        <f>SUMIF(매도완료!$J:$J,Sheet2!$B1929,매도완료!$P:$P)+SUMIF(ING!$J:$J,Sheet2!$B1929,ING!$P:$P)</f>
        <v>0</v>
      </c>
      <c r="E1929" s="16">
        <f t="shared" si="60"/>
        <v>125950616.70339996</v>
      </c>
      <c r="G1929" s="16">
        <f>IF(D1929=0,0,SUMIF(매도완료!$J:$J,Sheet2!$B1929,매도완료!$S:$S))+IF(D1929=0,0,SUMIF(ING!$J:$J,Sheet2!$B1929,ING!$S:$S))</f>
        <v>0</v>
      </c>
      <c r="H1929" s="16">
        <f t="shared" si="61"/>
        <v>34302397.906713009</v>
      </c>
    </row>
    <row r="1930" spans="2:8" hidden="1" x14ac:dyDescent="0.4">
      <c r="B1930" s="1">
        <v>44479</v>
      </c>
      <c r="C1930" s="16">
        <f>SUMIF(매도완료!$G:$G,Sheet2!$B1930,매도완료!$P:$P)+SUMIF(ING!$G:$G,Sheet2!$B1930,ING!$P:$P)</f>
        <v>0</v>
      </c>
      <c r="D1930" s="16">
        <f>SUMIF(매도완료!$J:$J,Sheet2!$B1930,매도완료!$P:$P)+SUMIF(ING!$J:$J,Sheet2!$B1930,ING!$P:$P)</f>
        <v>0</v>
      </c>
      <c r="E1930" s="16">
        <f t="shared" si="60"/>
        <v>125950616.70339996</v>
      </c>
      <c r="G1930" s="16">
        <f>IF(D1930=0,0,SUMIF(매도완료!$J:$J,Sheet2!$B1930,매도완료!$S:$S))+IF(D1930=0,0,SUMIF(ING!$J:$J,Sheet2!$B1930,ING!$S:$S))</f>
        <v>0</v>
      </c>
      <c r="H1930" s="16">
        <f t="shared" si="61"/>
        <v>34302397.906713009</v>
      </c>
    </row>
    <row r="1931" spans="2:8" hidden="1" x14ac:dyDescent="0.4">
      <c r="B1931" s="1">
        <v>44480</v>
      </c>
      <c r="C1931" s="16">
        <f>SUMIF(매도완료!$G:$G,Sheet2!$B1931,매도완료!$P:$P)+SUMIF(ING!$G:$G,Sheet2!$B1931,ING!$P:$P)</f>
        <v>0</v>
      </c>
      <c r="D1931" s="16">
        <f>SUMIF(매도완료!$J:$J,Sheet2!$B1931,매도완료!$P:$P)+SUMIF(ING!$J:$J,Sheet2!$B1931,ING!$P:$P)</f>
        <v>0</v>
      </c>
      <c r="E1931" s="16">
        <f t="shared" si="60"/>
        <v>125950616.70339996</v>
      </c>
      <c r="G1931" s="16">
        <f>IF(D1931=0,0,SUMIF(매도완료!$J:$J,Sheet2!$B1931,매도완료!$S:$S))+IF(D1931=0,0,SUMIF(ING!$J:$J,Sheet2!$B1931,ING!$S:$S))</f>
        <v>0</v>
      </c>
      <c r="H1931" s="16">
        <f t="shared" si="61"/>
        <v>34302397.906713009</v>
      </c>
    </row>
    <row r="1932" spans="2:8" hidden="1" x14ac:dyDescent="0.4">
      <c r="B1932" s="1">
        <v>44481</v>
      </c>
      <c r="C1932" s="16">
        <f>SUMIF(매도완료!$G:$G,Sheet2!$B1932,매도완료!$P:$P)+SUMIF(ING!$G:$G,Sheet2!$B1932,ING!$P:$P)</f>
        <v>0</v>
      </c>
      <c r="D1932" s="16">
        <f>SUMIF(매도완료!$J:$J,Sheet2!$B1932,매도완료!$P:$P)+SUMIF(ING!$J:$J,Sheet2!$B1932,ING!$P:$P)</f>
        <v>0</v>
      </c>
      <c r="E1932" s="16">
        <f t="shared" si="60"/>
        <v>125950616.70339996</v>
      </c>
      <c r="G1932" s="16">
        <f>IF(D1932=0,0,SUMIF(매도완료!$J:$J,Sheet2!$B1932,매도완료!$S:$S))+IF(D1932=0,0,SUMIF(ING!$J:$J,Sheet2!$B1932,ING!$S:$S))</f>
        <v>0</v>
      </c>
      <c r="H1932" s="16">
        <f t="shared" si="61"/>
        <v>34302397.906713009</v>
      </c>
    </row>
    <row r="1933" spans="2:8" hidden="1" x14ac:dyDescent="0.4">
      <c r="B1933" s="1">
        <v>44482</v>
      </c>
      <c r="C1933" s="16">
        <f>SUMIF(매도완료!$G:$G,Sheet2!$B1933,매도완료!$P:$P)+SUMIF(ING!$G:$G,Sheet2!$B1933,ING!$P:$P)</f>
        <v>0</v>
      </c>
      <c r="D1933" s="16">
        <f>SUMIF(매도완료!$J:$J,Sheet2!$B1933,매도완료!$P:$P)+SUMIF(ING!$J:$J,Sheet2!$B1933,ING!$P:$P)</f>
        <v>0</v>
      </c>
      <c r="E1933" s="16">
        <f t="shared" si="60"/>
        <v>125950616.70339996</v>
      </c>
      <c r="G1933" s="16">
        <f>IF(D1933=0,0,SUMIF(매도완료!$J:$J,Sheet2!$B1933,매도완료!$S:$S))+IF(D1933=0,0,SUMIF(ING!$J:$J,Sheet2!$B1933,ING!$S:$S))</f>
        <v>0</v>
      </c>
      <c r="H1933" s="16">
        <f t="shared" si="61"/>
        <v>34302397.906713009</v>
      </c>
    </row>
    <row r="1934" spans="2:8" hidden="1" x14ac:dyDescent="0.4">
      <c r="B1934" s="1">
        <v>44483</v>
      </c>
      <c r="C1934" s="16">
        <f>SUMIF(매도완료!$G:$G,Sheet2!$B1934,매도완료!$P:$P)+SUMIF(ING!$G:$G,Sheet2!$B1934,ING!$P:$P)</f>
        <v>0</v>
      </c>
      <c r="D1934" s="16">
        <f>SUMIF(매도완료!$J:$J,Sheet2!$B1934,매도완료!$P:$P)+SUMIF(ING!$J:$J,Sheet2!$B1934,ING!$P:$P)</f>
        <v>0</v>
      </c>
      <c r="E1934" s="16">
        <f t="shared" si="60"/>
        <v>125950616.70339996</v>
      </c>
      <c r="G1934" s="16">
        <f>IF(D1934=0,0,SUMIF(매도완료!$J:$J,Sheet2!$B1934,매도완료!$S:$S))+IF(D1934=0,0,SUMIF(ING!$J:$J,Sheet2!$B1934,ING!$S:$S))</f>
        <v>0</v>
      </c>
      <c r="H1934" s="16">
        <f t="shared" si="61"/>
        <v>34302397.906713009</v>
      </c>
    </row>
    <row r="1935" spans="2:8" hidden="1" x14ac:dyDescent="0.4">
      <c r="B1935" s="1">
        <v>44484</v>
      </c>
      <c r="C1935" s="16">
        <f>SUMIF(매도완료!$G:$G,Sheet2!$B1935,매도완료!$P:$P)+SUMIF(ING!$G:$G,Sheet2!$B1935,ING!$P:$P)</f>
        <v>0</v>
      </c>
      <c r="D1935" s="16">
        <f>SUMIF(매도완료!$J:$J,Sheet2!$B1935,매도완료!$P:$P)+SUMIF(ING!$J:$J,Sheet2!$B1935,ING!$P:$P)</f>
        <v>0</v>
      </c>
      <c r="E1935" s="16">
        <f t="shared" si="60"/>
        <v>125950616.70339996</v>
      </c>
      <c r="G1935" s="16">
        <f>IF(D1935=0,0,SUMIF(매도완료!$J:$J,Sheet2!$B1935,매도완료!$S:$S))+IF(D1935=0,0,SUMIF(ING!$J:$J,Sheet2!$B1935,ING!$S:$S))</f>
        <v>0</v>
      </c>
      <c r="H1935" s="16">
        <f t="shared" si="61"/>
        <v>34302397.906713009</v>
      </c>
    </row>
    <row r="1936" spans="2:8" hidden="1" x14ac:dyDescent="0.4">
      <c r="B1936" s="1">
        <v>44485</v>
      </c>
      <c r="C1936" s="16">
        <f>SUMIF(매도완료!$G:$G,Sheet2!$B1936,매도완료!$P:$P)+SUMIF(ING!$G:$G,Sheet2!$B1936,ING!$P:$P)</f>
        <v>0</v>
      </c>
      <c r="D1936" s="16">
        <f>SUMIF(매도완료!$J:$J,Sheet2!$B1936,매도완료!$P:$P)+SUMIF(ING!$J:$J,Sheet2!$B1936,ING!$P:$P)</f>
        <v>0</v>
      </c>
      <c r="E1936" s="16">
        <f t="shared" si="60"/>
        <v>125950616.70339996</v>
      </c>
      <c r="G1936" s="16">
        <f>IF(D1936=0,0,SUMIF(매도완료!$J:$J,Sheet2!$B1936,매도완료!$S:$S))+IF(D1936=0,0,SUMIF(ING!$J:$J,Sheet2!$B1936,ING!$S:$S))</f>
        <v>0</v>
      </c>
      <c r="H1936" s="16">
        <f t="shared" si="61"/>
        <v>34302397.906713009</v>
      </c>
    </row>
    <row r="1937" spans="2:8" hidden="1" x14ac:dyDescent="0.4">
      <c r="B1937" s="1">
        <v>44486</v>
      </c>
      <c r="C1937" s="16">
        <f>SUMIF(매도완료!$G:$G,Sheet2!$B1937,매도완료!$P:$P)+SUMIF(ING!$G:$G,Sheet2!$B1937,ING!$P:$P)</f>
        <v>0</v>
      </c>
      <c r="D1937" s="16">
        <f>SUMIF(매도완료!$J:$J,Sheet2!$B1937,매도완료!$P:$P)+SUMIF(ING!$J:$J,Sheet2!$B1937,ING!$P:$P)</f>
        <v>0</v>
      </c>
      <c r="E1937" s="16">
        <f t="shared" si="60"/>
        <v>125950616.70339996</v>
      </c>
      <c r="G1937" s="16">
        <f>IF(D1937=0,0,SUMIF(매도완료!$J:$J,Sheet2!$B1937,매도완료!$S:$S))+IF(D1937=0,0,SUMIF(ING!$J:$J,Sheet2!$B1937,ING!$S:$S))</f>
        <v>0</v>
      </c>
      <c r="H1937" s="16">
        <f t="shared" si="61"/>
        <v>34302397.906713009</v>
      </c>
    </row>
    <row r="1938" spans="2:8" hidden="1" x14ac:dyDescent="0.4">
      <c r="B1938" s="1">
        <v>44487</v>
      </c>
      <c r="C1938" s="16">
        <f>SUMIF(매도완료!$G:$G,Sheet2!$B1938,매도완료!$P:$P)+SUMIF(ING!$G:$G,Sheet2!$B1938,ING!$P:$P)</f>
        <v>0</v>
      </c>
      <c r="D1938" s="16">
        <f>SUMIF(매도완료!$J:$J,Sheet2!$B1938,매도완료!$P:$P)+SUMIF(ING!$J:$J,Sheet2!$B1938,ING!$P:$P)</f>
        <v>0</v>
      </c>
      <c r="E1938" s="16">
        <f t="shared" si="60"/>
        <v>125950616.70339996</v>
      </c>
      <c r="G1938" s="16">
        <f>IF(D1938=0,0,SUMIF(매도완료!$J:$J,Sheet2!$B1938,매도완료!$S:$S))+IF(D1938=0,0,SUMIF(ING!$J:$J,Sheet2!$B1938,ING!$S:$S))</f>
        <v>0</v>
      </c>
      <c r="H1938" s="16">
        <f t="shared" si="61"/>
        <v>34302397.906713009</v>
      </c>
    </row>
    <row r="1939" spans="2:8" hidden="1" x14ac:dyDescent="0.4">
      <c r="B1939" s="1">
        <v>44488</v>
      </c>
      <c r="C1939" s="16">
        <f>SUMIF(매도완료!$G:$G,Sheet2!$B1939,매도완료!$P:$P)+SUMIF(ING!$G:$G,Sheet2!$B1939,ING!$P:$P)</f>
        <v>0</v>
      </c>
      <c r="D1939" s="16">
        <f>SUMIF(매도완료!$J:$J,Sheet2!$B1939,매도완료!$P:$P)+SUMIF(ING!$J:$J,Sheet2!$B1939,ING!$P:$P)</f>
        <v>0</v>
      </c>
      <c r="E1939" s="16">
        <f t="shared" si="60"/>
        <v>125950616.70339996</v>
      </c>
      <c r="G1939" s="16">
        <f>IF(D1939=0,0,SUMIF(매도완료!$J:$J,Sheet2!$B1939,매도완료!$S:$S))+IF(D1939=0,0,SUMIF(ING!$J:$J,Sheet2!$B1939,ING!$S:$S))</f>
        <v>0</v>
      </c>
      <c r="H1939" s="16">
        <f t="shared" si="61"/>
        <v>34302397.906713009</v>
      </c>
    </row>
    <row r="1940" spans="2:8" hidden="1" x14ac:dyDescent="0.4">
      <c r="B1940" s="1">
        <v>44489</v>
      </c>
      <c r="C1940" s="16">
        <f>SUMIF(매도완료!$G:$G,Sheet2!$B1940,매도완료!$P:$P)+SUMIF(ING!$G:$G,Sheet2!$B1940,ING!$P:$P)</f>
        <v>0</v>
      </c>
      <c r="D1940" s="16">
        <f>SUMIF(매도완료!$J:$J,Sheet2!$B1940,매도완료!$P:$P)+SUMIF(ING!$J:$J,Sheet2!$B1940,ING!$P:$P)</f>
        <v>0</v>
      </c>
      <c r="E1940" s="16">
        <f t="shared" si="60"/>
        <v>125950616.70339996</v>
      </c>
      <c r="G1940" s="16">
        <f>IF(D1940=0,0,SUMIF(매도완료!$J:$J,Sheet2!$B1940,매도완료!$S:$S))+IF(D1940=0,0,SUMIF(ING!$J:$J,Sheet2!$B1940,ING!$S:$S))</f>
        <v>0</v>
      </c>
      <c r="H1940" s="16">
        <f t="shared" si="61"/>
        <v>34302397.906713009</v>
      </c>
    </row>
    <row r="1941" spans="2:8" hidden="1" x14ac:dyDescent="0.4">
      <c r="B1941" s="1">
        <v>44490</v>
      </c>
      <c r="C1941" s="16">
        <f>SUMIF(매도완료!$G:$G,Sheet2!$B1941,매도완료!$P:$P)+SUMIF(ING!$G:$G,Sheet2!$B1941,ING!$P:$P)</f>
        <v>0</v>
      </c>
      <c r="D1941" s="16">
        <f>SUMIF(매도완료!$J:$J,Sheet2!$B1941,매도완료!$P:$P)+SUMIF(ING!$J:$J,Sheet2!$B1941,ING!$P:$P)</f>
        <v>0</v>
      </c>
      <c r="E1941" s="16">
        <f t="shared" si="60"/>
        <v>125950616.70339996</v>
      </c>
      <c r="G1941" s="16">
        <f>IF(D1941=0,0,SUMIF(매도완료!$J:$J,Sheet2!$B1941,매도완료!$S:$S))+IF(D1941=0,0,SUMIF(ING!$J:$J,Sheet2!$B1941,ING!$S:$S))</f>
        <v>0</v>
      </c>
      <c r="H1941" s="16">
        <f t="shared" si="61"/>
        <v>34302397.906713009</v>
      </c>
    </row>
    <row r="1942" spans="2:8" hidden="1" x14ac:dyDescent="0.4">
      <c r="B1942" s="1">
        <v>44491</v>
      </c>
      <c r="C1942" s="16">
        <f>SUMIF(매도완료!$G:$G,Sheet2!$B1942,매도완료!$P:$P)+SUMIF(ING!$G:$G,Sheet2!$B1942,ING!$P:$P)</f>
        <v>0</v>
      </c>
      <c r="D1942" s="16">
        <f>SUMIF(매도완료!$J:$J,Sheet2!$B1942,매도완료!$P:$P)+SUMIF(ING!$J:$J,Sheet2!$B1942,ING!$P:$P)</f>
        <v>0</v>
      </c>
      <c r="E1942" s="16">
        <f t="shared" si="60"/>
        <v>125950616.70339996</v>
      </c>
      <c r="G1942" s="16">
        <f>IF(D1942=0,0,SUMIF(매도완료!$J:$J,Sheet2!$B1942,매도완료!$S:$S))+IF(D1942=0,0,SUMIF(ING!$J:$J,Sheet2!$B1942,ING!$S:$S))</f>
        <v>0</v>
      </c>
      <c r="H1942" s="16">
        <f t="shared" si="61"/>
        <v>34302397.906713009</v>
      </c>
    </row>
    <row r="1943" spans="2:8" hidden="1" x14ac:dyDescent="0.4">
      <c r="B1943" s="1">
        <v>44492</v>
      </c>
      <c r="C1943" s="16">
        <f>SUMIF(매도완료!$G:$G,Sheet2!$B1943,매도완료!$P:$P)+SUMIF(ING!$G:$G,Sheet2!$B1943,ING!$P:$P)</f>
        <v>0</v>
      </c>
      <c r="D1943" s="16">
        <f>SUMIF(매도완료!$J:$J,Sheet2!$B1943,매도완료!$P:$P)+SUMIF(ING!$J:$J,Sheet2!$B1943,ING!$P:$P)</f>
        <v>0</v>
      </c>
      <c r="E1943" s="16">
        <f t="shared" si="60"/>
        <v>125950616.70339996</v>
      </c>
      <c r="G1943" s="16">
        <f>IF(D1943=0,0,SUMIF(매도완료!$J:$J,Sheet2!$B1943,매도완료!$S:$S))+IF(D1943=0,0,SUMIF(ING!$J:$J,Sheet2!$B1943,ING!$S:$S))</f>
        <v>0</v>
      </c>
      <c r="H1943" s="16">
        <f t="shared" si="61"/>
        <v>34302397.906713009</v>
      </c>
    </row>
    <row r="1944" spans="2:8" hidden="1" x14ac:dyDescent="0.4">
      <c r="B1944" s="1">
        <v>44493</v>
      </c>
      <c r="C1944" s="16">
        <f>SUMIF(매도완료!$G:$G,Sheet2!$B1944,매도완료!$P:$P)+SUMIF(ING!$G:$G,Sheet2!$B1944,ING!$P:$P)</f>
        <v>0</v>
      </c>
      <c r="D1944" s="16">
        <f>SUMIF(매도완료!$J:$J,Sheet2!$B1944,매도완료!$P:$P)+SUMIF(ING!$J:$J,Sheet2!$B1944,ING!$P:$P)</f>
        <v>0</v>
      </c>
      <c r="E1944" s="16">
        <f t="shared" si="60"/>
        <v>125950616.70339996</v>
      </c>
      <c r="G1944" s="16">
        <f>IF(D1944=0,0,SUMIF(매도완료!$J:$J,Sheet2!$B1944,매도완료!$S:$S))+IF(D1944=0,0,SUMIF(ING!$J:$J,Sheet2!$B1944,ING!$S:$S))</f>
        <v>0</v>
      </c>
      <c r="H1944" s="16">
        <f t="shared" si="61"/>
        <v>34302397.906713009</v>
      </c>
    </row>
    <row r="1945" spans="2:8" hidden="1" x14ac:dyDescent="0.4">
      <c r="B1945" s="1">
        <v>44494</v>
      </c>
      <c r="C1945" s="16">
        <f>SUMIF(매도완료!$G:$G,Sheet2!$B1945,매도완료!$P:$P)+SUMIF(ING!$G:$G,Sheet2!$B1945,ING!$P:$P)</f>
        <v>0</v>
      </c>
      <c r="D1945" s="16">
        <f>SUMIF(매도완료!$J:$J,Sheet2!$B1945,매도완료!$P:$P)+SUMIF(ING!$J:$J,Sheet2!$B1945,ING!$P:$P)</f>
        <v>0</v>
      </c>
      <c r="E1945" s="16">
        <f t="shared" si="60"/>
        <v>125950616.70339996</v>
      </c>
      <c r="G1945" s="16">
        <f>IF(D1945=0,0,SUMIF(매도완료!$J:$J,Sheet2!$B1945,매도완료!$S:$S))+IF(D1945=0,0,SUMIF(ING!$J:$J,Sheet2!$B1945,ING!$S:$S))</f>
        <v>0</v>
      </c>
      <c r="H1945" s="16">
        <f t="shared" si="61"/>
        <v>34302397.906713009</v>
      </c>
    </row>
    <row r="1946" spans="2:8" hidden="1" x14ac:dyDescent="0.4">
      <c r="B1946" s="1">
        <v>44495</v>
      </c>
      <c r="C1946" s="16">
        <f>SUMIF(매도완료!$G:$G,Sheet2!$B1946,매도완료!$P:$P)+SUMIF(ING!$G:$G,Sheet2!$B1946,ING!$P:$P)</f>
        <v>0</v>
      </c>
      <c r="D1946" s="16">
        <f>SUMIF(매도완료!$J:$J,Sheet2!$B1946,매도완료!$P:$P)+SUMIF(ING!$J:$J,Sheet2!$B1946,ING!$P:$P)</f>
        <v>0</v>
      </c>
      <c r="E1946" s="16">
        <f t="shared" si="60"/>
        <v>125950616.70339996</v>
      </c>
      <c r="G1946" s="16">
        <f>IF(D1946=0,0,SUMIF(매도완료!$J:$J,Sheet2!$B1946,매도완료!$S:$S))+IF(D1946=0,0,SUMIF(ING!$J:$J,Sheet2!$B1946,ING!$S:$S))</f>
        <v>0</v>
      </c>
      <c r="H1946" s="16">
        <f t="shared" si="61"/>
        <v>34302397.906713009</v>
      </c>
    </row>
    <row r="1947" spans="2:8" hidden="1" x14ac:dyDescent="0.4">
      <c r="B1947" s="1">
        <v>44496</v>
      </c>
      <c r="C1947" s="16">
        <f>SUMIF(매도완료!$G:$G,Sheet2!$B1947,매도완료!$P:$P)+SUMIF(ING!$G:$G,Sheet2!$B1947,ING!$P:$P)</f>
        <v>0</v>
      </c>
      <c r="D1947" s="16">
        <f>SUMIF(매도완료!$J:$J,Sheet2!$B1947,매도완료!$P:$P)+SUMIF(ING!$J:$J,Sheet2!$B1947,ING!$P:$P)</f>
        <v>0</v>
      </c>
      <c r="E1947" s="16">
        <f t="shared" si="60"/>
        <v>125950616.70339996</v>
      </c>
      <c r="G1947" s="16">
        <f>IF(D1947=0,0,SUMIF(매도완료!$J:$J,Sheet2!$B1947,매도완료!$S:$S))+IF(D1947=0,0,SUMIF(ING!$J:$J,Sheet2!$B1947,ING!$S:$S))</f>
        <v>0</v>
      </c>
      <c r="H1947" s="16">
        <f t="shared" si="61"/>
        <v>34302397.906713009</v>
      </c>
    </row>
    <row r="1948" spans="2:8" hidden="1" x14ac:dyDescent="0.4">
      <c r="B1948" s="1">
        <v>44497</v>
      </c>
      <c r="C1948" s="16">
        <f>SUMIF(매도완료!$G:$G,Sheet2!$B1948,매도완료!$P:$P)+SUMIF(ING!$G:$G,Sheet2!$B1948,ING!$P:$P)</f>
        <v>0</v>
      </c>
      <c r="D1948" s="16">
        <f>SUMIF(매도완료!$J:$J,Sheet2!$B1948,매도완료!$P:$P)+SUMIF(ING!$J:$J,Sheet2!$B1948,ING!$P:$P)</f>
        <v>0</v>
      </c>
      <c r="E1948" s="16">
        <f t="shared" si="60"/>
        <v>125950616.70339996</v>
      </c>
      <c r="G1948" s="16">
        <f>IF(D1948=0,0,SUMIF(매도완료!$J:$J,Sheet2!$B1948,매도완료!$S:$S))+IF(D1948=0,0,SUMIF(ING!$J:$J,Sheet2!$B1948,ING!$S:$S))</f>
        <v>0</v>
      </c>
      <c r="H1948" s="16">
        <f t="shared" si="61"/>
        <v>34302397.906713009</v>
      </c>
    </row>
    <row r="1949" spans="2:8" hidden="1" x14ac:dyDescent="0.4">
      <c r="B1949" s="1">
        <v>44498</v>
      </c>
      <c r="C1949" s="16">
        <f>SUMIF(매도완료!$G:$G,Sheet2!$B1949,매도완료!$P:$P)+SUMIF(ING!$G:$G,Sheet2!$B1949,ING!$P:$P)</f>
        <v>0</v>
      </c>
      <c r="D1949" s="16">
        <f>SUMIF(매도완료!$J:$J,Sheet2!$B1949,매도완료!$P:$P)+SUMIF(ING!$J:$J,Sheet2!$B1949,ING!$P:$P)</f>
        <v>2205000</v>
      </c>
      <c r="E1949" s="16">
        <f t="shared" si="60"/>
        <v>123745616.70339996</v>
      </c>
      <c r="G1949" s="16">
        <f>IF(D1949=0,0,SUMIF(매도완료!$J:$J,Sheet2!$B1949,매도완료!$S:$S))+IF(D1949=0,0,SUMIF(ING!$J:$J,Sheet2!$B1949,ING!$S:$S))</f>
        <v>216187.60345049069</v>
      </c>
      <c r="H1949" s="16">
        <f t="shared" si="61"/>
        <v>34518585.510163501</v>
      </c>
    </row>
    <row r="1950" spans="2:8" hidden="1" x14ac:dyDescent="0.4">
      <c r="B1950" s="1">
        <v>44499</v>
      </c>
      <c r="C1950" s="16">
        <f>SUMIF(매도완료!$G:$G,Sheet2!$B1950,매도완료!$P:$P)+SUMIF(ING!$G:$G,Sheet2!$B1950,ING!$P:$P)</f>
        <v>0</v>
      </c>
      <c r="D1950" s="16">
        <f>SUMIF(매도완료!$J:$J,Sheet2!$B1950,매도완료!$P:$P)+SUMIF(ING!$J:$J,Sheet2!$B1950,ING!$P:$P)</f>
        <v>0</v>
      </c>
      <c r="E1950" s="16">
        <f t="shared" si="60"/>
        <v>123745616.70339996</v>
      </c>
      <c r="G1950" s="16">
        <f>IF(D1950=0,0,SUMIF(매도완료!$J:$J,Sheet2!$B1950,매도완료!$S:$S))+IF(D1950=0,0,SUMIF(ING!$J:$J,Sheet2!$B1950,ING!$S:$S))</f>
        <v>0</v>
      </c>
      <c r="H1950" s="16">
        <f t="shared" si="61"/>
        <v>34518585.510163501</v>
      </c>
    </row>
    <row r="1951" spans="2:8" hidden="1" x14ac:dyDescent="0.4">
      <c r="B1951" s="1">
        <v>44500</v>
      </c>
      <c r="C1951" s="16">
        <f>SUMIF(매도완료!$G:$G,Sheet2!$B1951,매도완료!$P:$P)+SUMIF(ING!$G:$G,Sheet2!$B1951,ING!$P:$P)</f>
        <v>0</v>
      </c>
      <c r="D1951" s="16">
        <f>SUMIF(매도완료!$J:$J,Sheet2!$B1951,매도완료!$P:$P)+SUMIF(ING!$J:$J,Sheet2!$B1951,ING!$P:$P)</f>
        <v>0</v>
      </c>
      <c r="E1951" s="16">
        <f t="shared" si="60"/>
        <v>123745616.70339996</v>
      </c>
      <c r="G1951" s="16">
        <f>IF(D1951=0,0,SUMIF(매도완료!$J:$J,Sheet2!$B1951,매도완료!$S:$S))+IF(D1951=0,0,SUMIF(ING!$J:$J,Sheet2!$B1951,ING!$S:$S))</f>
        <v>0</v>
      </c>
      <c r="H1951" s="16">
        <f t="shared" si="61"/>
        <v>34518585.510163501</v>
      </c>
    </row>
    <row r="1952" spans="2:8" ht="15.75" hidden="1" customHeight="1" x14ac:dyDescent="0.4">
      <c r="B1952" s="1">
        <v>44501</v>
      </c>
      <c r="C1952" s="16">
        <f>SUMIF(매도완료!$G:$G,Sheet2!$B1952,매도완료!$P:$P)+SUMIF(ING!$G:$G,Sheet2!$B1952,ING!$P:$P)</f>
        <v>799700</v>
      </c>
      <c r="D1952" s="16">
        <f>SUMIF(매도완료!$J:$J,Sheet2!$B1952,매도완료!$P:$P)+SUMIF(ING!$J:$J,Sheet2!$B1952,ING!$P:$P)</f>
        <v>0</v>
      </c>
      <c r="E1952" s="16">
        <f t="shared" si="60"/>
        <v>124545316.70339996</v>
      </c>
      <c r="G1952" s="16">
        <f>IF(D1952=0,0,SUMIF(매도완료!$J:$J,Sheet2!$B1952,매도완료!$S:$S))+IF(D1952=0,0,SUMIF(ING!$J:$J,Sheet2!$B1952,ING!$S:$S))</f>
        <v>0</v>
      </c>
      <c r="H1952" s="16">
        <f t="shared" si="61"/>
        <v>34518585.510163501</v>
      </c>
    </row>
    <row r="1953" spans="2:8" hidden="1" x14ac:dyDescent="0.4">
      <c r="B1953" s="1">
        <v>44502</v>
      </c>
      <c r="C1953" s="16">
        <f>SUMIF(매도완료!$G:$G,Sheet2!$B1953,매도완료!$P:$P)+SUMIF(ING!$G:$G,Sheet2!$B1953,ING!$P:$P)</f>
        <v>0</v>
      </c>
      <c r="D1953" s="16">
        <f>SUMIF(매도완료!$J:$J,Sheet2!$B1953,매도완료!$P:$P)+SUMIF(ING!$J:$J,Sheet2!$B1953,ING!$P:$P)</f>
        <v>0</v>
      </c>
      <c r="E1953" s="16">
        <f t="shared" si="60"/>
        <v>124545316.70339996</v>
      </c>
      <c r="G1953" s="16">
        <f>IF(D1953=0,0,SUMIF(매도완료!$J:$J,Sheet2!$B1953,매도완료!$S:$S))+IF(D1953=0,0,SUMIF(ING!$J:$J,Sheet2!$B1953,ING!$S:$S))</f>
        <v>0</v>
      </c>
      <c r="H1953" s="16">
        <f t="shared" si="61"/>
        <v>34518585.510163501</v>
      </c>
    </row>
    <row r="1954" spans="2:8" hidden="1" x14ac:dyDescent="0.4">
      <c r="B1954" s="1">
        <v>44503</v>
      </c>
      <c r="C1954" s="16">
        <f>SUMIF(매도완료!$G:$G,Sheet2!$B1954,매도완료!$P:$P)+SUMIF(ING!$G:$G,Sheet2!$B1954,ING!$P:$P)</f>
        <v>0</v>
      </c>
      <c r="D1954" s="16">
        <f>SUMIF(매도완료!$J:$J,Sheet2!$B1954,매도완료!$P:$P)+SUMIF(ING!$J:$J,Sheet2!$B1954,ING!$P:$P)</f>
        <v>0</v>
      </c>
      <c r="E1954" s="16">
        <f t="shared" si="60"/>
        <v>124545316.70339996</v>
      </c>
      <c r="G1954" s="16">
        <f>IF(D1954=0,0,SUMIF(매도완료!$J:$J,Sheet2!$B1954,매도완료!$S:$S))+IF(D1954=0,0,SUMIF(ING!$J:$J,Sheet2!$B1954,ING!$S:$S))</f>
        <v>0</v>
      </c>
      <c r="H1954" s="16">
        <f t="shared" si="61"/>
        <v>34518585.510163501</v>
      </c>
    </row>
    <row r="1955" spans="2:8" hidden="1" x14ac:dyDescent="0.4">
      <c r="B1955" s="1">
        <v>44504</v>
      </c>
      <c r="C1955" s="16">
        <f>SUMIF(매도완료!$G:$G,Sheet2!$B1955,매도완료!$P:$P)+SUMIF(ING!$G:$G,Sheet2!$B1955,ING!$P:$P)</f>
        <v>0</v>
      </c>
      <c r="D1955" s="16">
        <f>SUMIF(매도완료!$J:$J,Sheet2!$B1955,매도완료!$P:$P)+SUMIF(ING!$J:$J,Sheet2!$B1955,ING!$P:$P)</f>
        <v>0</v>
      </c>
      <c r="E1955" s="16">
        <f t="shared" si="60"/>
        <v>124545316.70339996</v>
      </c>
      <c r="G1955" s="16">
        <f>IF(D1955=0,0,SUMIF(매도완료!$J:$J,Sheet2!$B1955,매도완료!$S:$S))+IF(D1955=0,0,SUMIF(ING!$J:$J,Sheet2!$B1955,ING!$S:$S))</f>
        <v>0</v>
      </c>
      <c r="H1955" s="16">
        <f t="shared" si="61"/>
        <v>34518585.510163501</v>
      </c>
    </row>
    <row r="1956" spans="2:8" hidden="1" x14ac:dyDescent="0.4">
      <c r="B1956" s="1">
        <v>44505</v>
      </c>
      <c r="C1956" s="16">
        <f>SUMIF(매도완료!$G:$G,Sheet2!$B1956,매도완료!$P:$P)+SUMIF(ING!$G:$G,Sheet2!$B1956,ING!$P:$P)</f>
        <v>7663786.966</v>
      </c>
      <c r="D1956" s="16">
        <f>SUMIF(매도완료!$J:$J,Sheet2!$B1956,매도완료!$P:$P)+SUMIF(ING!$J:$J,Sheet2!$B1956,ING!$P:$P)</f>
        <v>0</v>
      </c>
      <c r="E1956" s="16">
        <f t="shared" si="60"/>
        <v>132209103.66939996</v>
      </c>
      <c r="G1956" s="16">
        <f>IF(D1956=0,0,SUMIF(매도완료!$J:$J,Sheet2!$B1956,매도완료!$S:$S))+IF(D1956=0,0,SUMIF(ING!$J:$J,Sheet2!$B1956,ING!$S:$S))</f>
        <v>0</v>
      </c>
      <c r="H1956" s="16">
        <f t="shared" si="61"/>
        <v>34518585.510163501</v>
      </c>
    </row>
    <row r="1957" spans="2:8" hidden="1" x14ac:dyDescent="0.4">
      <c r="B1957" s="1">
        <v>44506</v>
      </c>
      <c r="C1957" s="16">
        <f>SUMIF(매도완료!$G:$G,Sheet2!$B1957,매도완료!$P:$P)+SUMIF(ING!$G:$G,Sheet2!$B1957,ING!$P:$P)</f>
        <v>0</v>
      </c>
      <c r="D1957" s="16">
        <f>SUMIF(매도완료!$J:$J,Sheet2!$B1957,매도완료!$P:$P)+SUMIF(ING!$J:$J,Sheet2!$B1957,ING!$P:$P)</f>
        <v>0</v>
      </c>
      <c r="E1957" s="16">
        <f t="shared" si="60"/>
        <v>132209103.66939996</v>
      </c>
      <c r="G1957" s="16">
        <f>IF(D1957=0,0,SUMIF(매도완료!$J:$J,Sheet2!$B1957,매도완료!$S:$S))+IF(D1957=0,0,SUMIF(ING!$J:$J,Sheet2!$B1957,ING!$S:$S))</f>
        <v>0</v>
      </c>
      <c r="H1957" s="16">
        <f t="shared" si="61"/>
        <v>34518585.510163501</v>
      </c>
    </row>
    <row r="1958" spans="2:8" hidden="1" x14ac:dyDescent="0.4">
      <c r="B1958" s="1">
        <v>44507</v>
      </c>
      <c r="C1958" s="16">
        <f>SUMIF(매도완료!$G:$G,Sheet2!$B1958,매도완료!$P:$P)+SUMIF(ING!$G:$G,Sheet2!$B1958,ING!$P:$P)</f>
        <v>0</v>
      </c>
      <c r="D1958" s="16">
        <f>SUMIF(매도완료!$J:$J,Sheet2!$B1958,매도완료!$P:$P)+SUMIF(ING!$J:$J,Sheet2!$B1958,ING!$P:$P)</f>
        <v>0</v>
      </c>
      <c r="E1958" s="16">
        <f t="shared" si="60"/>
        <v>132209103.66939996</v>
      </c>
      <c r="G1958" s="16">
        <f>IF(D1958=0,0,SUMIF(매도완료!$J:$J,Sheet2!$B1958,매도완료!$S:$S))+IF(D1958=0,0,SUMIF(ING!$J:$J,Sheet2!$B1958,ING!$S:$S))</f>
        <v>0</v>
      </c>
      <c r="H1958" s="16">
        <f t="shared" si="61"/>
        <v>34518585.510163501</v>
      </c>
    </row>
    <row r="1959" spans="2:8" hidden="1" x14ac:dyDescent="0.4">
      <c r="B1959" s="1">
        <v>44508</v>
      </c>
      <c r="C1959" s="16">
        <f>SUMIF(매도완료!$G:$G,Sheet2!$B1959,매도완료!$P:$P)+SUMIF(ING!$G:$G,Sheet2!$B1959,ING!$P:$P)</f>
        <v>309700</v>
      </c>
      <c r="D1959" s="16">
        <f>SUMIF(매도완료!$J:$J,Sheet2!$B1959,매도완료!$P:$P)+SUMIF(ING!$J:$J,Sheet2!$B1959,ING!$P:$P)</f>
        <v>3827536.32</v>
      </c>
      <c r="E1959" s="16">
        <f t="shared" si="60"/>
        <v>128691267.34939997</v>
      </c>
      <c r="G1959" s="16">
        <f>IF(D1959=0,0,SUMIF(매도완료!$J:$J,Sheet2!$B1959,매도완료!$S:$S))+IF(D1959=0,0,SUMIF(ING!$J:$J,Sheet2!$B1959,ING!$S:$S))</f>
        <v>-1620406.5583545598</v>
      </c>
      <c r="H1959" s="16">
        <f t="shared" si="61"/>
        <v>32898178.951808941</v>
      </c>
    </row>
    <row r="1960" spans="2:8" hidden="1" x14ac:dyDescent="0.4">
      <c r="B1960" s="1">
        <v>44509</v>
      </c>
      <c r="C1960" s="16">
        <f>SUMIF(매도완료!$G:$G,Sheet2!$B1960,매도완료!$P:$P)+SUMIF(ING!$G:$G,Sheet2!$B1960,ING!$P:$P)</f>
        <v>0</v>
      </c>
      <c r="D1960" s="16">
        <f>SUMIF(매도완료!$J:$J,Sheet2!$B1960,매도완료!$P:$P)+SUMIF(ING!$J:$J,Sheet2!$B1960,ING!$P:$P)</f>
        <v>0</v>
      </c>
      <c r="E1960" s="16">
        <f t="shared" si="60"/>
        <v>128691267.34939997</v>
      </c>
      <c r="G1960" s="16">
        <f>IF(D1960=0,0,SUMIF(매도완료!$J:$J,Sheet2!$B1960,매도완료!$S:$S))+IF(D1960=0,0,SUMIF(ING!$J:$J,Sheet2!$B1960,ING!$S:$S))</f>
        <v>0</v>
      </c>
      <c r="H1960" s="16">
        <f t="shared" si="61"/>
        <v>32898178.951808941</v>
      </c>
    </row>
    <row r="1961" spans="2:8" hidden="1" x14ac:dyDescent="0.4">
      <c r="B1961" s="1">
        <v>44510</v>
      </c>
      <c r="C1961" s="16">
        <f>SUMIF(매도완료!$G:$G,Sheet2!$B1961,매도완료!$P:$P)+SUMIF(ING!$G:$G,Sheet2!$B1961,ING!$P:$P)</f>
        <v>0</v>
      </c>
      <c r="D1961" s="16">
        <f>SUMIF(매도완료!$J:$J,Sheet2!$B1961,매도완료!$P:$P)+SUMIF(ING!$J:$J,Sheet2!$B1961,ING!$P:$P)</f>
        <v>0</v>
      </c>
      <c r="E1961" s="16">
        <f t="shared" si="60"/>
        <v>128691267.34939997</v>
      </c>
      <c r="G1961" s="16">
        <f>IF(D1961=0,0,SUMIF(매도완료!$J:$J,Sheet2!$B1961,매도완료!$S:$S))+IF(D1961=0,0,SUMIF(ING!$J:$J,Sheet2!$B1961,ING!$S:$S))</f>
        <v>0</v>
      </c>
      <c r="H1961" s="16">
        <f t="shared" si="61"/>
        <v>32898178.951808941</v>
      </c>
    </row>
    <row r="1962" spans="2:8" hidden="1" x14ac:dyDescent="0.4">
      <c r="B1962" s="1">
        <v>44511</v>
      </c>
      <c r="C1962" s="16">
        <f>SUMIF(매도완료!$G:$G,Sheet2!$B1962,매도완료!$P:$P)+SUMIF(ING!$G:$G,Sheet2!$B1962,ING!$P:$P)</f>
        <v>0</v>
      </c>
      <c r="D1962" s="16">
        <f>SUMIF(매도완료!$J:$J,Sheet2!$B1962,매도완료!$P:$P)+SUMIF(ING!$J:$J,Sheet2!$B1962,ING!$P:$P)</f>
        <v>0</v>
      </c>
      <c r="E1962" s="16">
        <f t="shared" si="60"/>
        <v>128691267.34939997</v>
      </c>
      <c r="G1962" s="16">
        <f>IF(D1962=0,0,SUMIF(매도완료!$J:$J,Sheet2!$B1962,매도완료!$S:$S))+IF(D1962=0,0,SUMIF(ING!$J:$J,Sheet2!$B1962,ING!$S:$S))</f>
        <v>0</v>
      </c>
      <c r="H1962" s="16">
        <f t="shared" si="61"/>
        <v>32898178.951808941</v>
      </c>
    </row>
    <row r="1963" spans="2:8" hidden="1" x14ac:dyDescent="0.4">
      <c r="B1963" s="1">
        <v>44512</v>
      </c>
      <c r="C1963" s="16">
        <f>SUMIF(매도완료!$G:$G,Sheet2!$B1963,매도완료!$P:$P)+SUMIF(ING!$G:$G,Sheet2!$B1963,ING!$P:$P)</f>
        <v>0</v>
      </c>
      <c r="D1963" s="16">
        <f>SUMIF(매도완료!$J:$J,Sheet2!$B1963,매도완료!$P:$P)+SUMIF(ING!$J:$J,Sheet2!$B1963,ING!$P:$P)</f>
        <v>0</v>
      </c>
      <c r="E1963" s="16">
        <f t="shared" si="60"/>
        <v>128691267.34939997</v>
      </c>
      <c r="G1963" s="16">
        <f>IF(D1963=0,0,SUMIF(매도완료!$J:$J,Sheet2!$B1963,매도완료!$S:$S))+IF(D1963=0,0,SUMIF(ING!$J:$J,Sheet2!$B1963,ING!$S:$S))</f>
        <v>0</v>
      </c>
      <c r="H1963" s="16">
        <f t="shared" si="61"/>
        <v>32898178.951808941</v>
      </c>
    </row>
    <row r="1964" spans="2:8" hidden="1" x14ac:dyDescent="0.4">
      <c r="B1964" s="1">
        <v>44513</v>
      </c>
      <c r="C1964" s="16">
        <f>SUMIF(매도완료!$G:$G,Sheet2!$B1964,매도완료!$P:$P)+SUMIF(ING!$G:$G,Sheet2!$B1964,ING!$P:$P)</f>
        <v>0</v>
      </c>
      <c r="D1964" s="16">
        <f>SUMIF(매도완료!$J:$J,Sheet2!$B1964,매도완료!$P:$P)+SUMIF(ING!$J:$J,Sheet2!$B1964,ING!$P:$P)</f>
        <v>0</v>
      </c>
      <c r="E1964" s="16">
        <f t="shared" si="60"/>
        <v>128691267.34939997</v>
      </c>
      <c r="G1964" s="16">
        <f>IF(D1964=0,0,SUMIF(매도완료!$J:$J,Sheet2!$B1964,매도완료!$S:$S))+IF(D1964=0,0,SUMIF(ING!$J:$J,Sheet2!$B1964,ING!$S:$S))</f>
        <v>0</v>
      </c>
      <c r="H1964" s="16">
        <f t="shared" si="61"/>
        <v>32898178.951808941</v>
      </c>
    </row>
    <row r="1965" spans="2:8" hidden="1" x14ac:dyDescent="0.4">
      <c r="B1965" s="1">
        <v>44514</v>
      </c>
      <c r="C1965" s="16">
        <f>SUMIF(매도완료!$G:$G,Sheet2!$B1965,매도완료!$P:$P)+SUMIF(ING!$G:$G,Sheet2!$B1965,ING!$P:$P)</f>
        <v>0</v>
      </c>
      <c r="D1965" s="16">
        <f>SUMIF(매도완료!$J:$J,Sheet2!$B1965,매도완료!$P:$P)+SUMIF(ING!$J:$J,Sheet2!$B1965,ING!$P:$P)</f>
        <v>0</v>
      </c>
      <c r="E1965" s="16">
        <f t="shared" si="60"/>
        <v>128691267.34939997</v>
      </c>
      <c r="G1965" s="16">
        <f>IF(D1965=0,0,SUMIF(매도완료!$J:$J,Sheet2!$B1965,매도완료!$S:$S))+IF(D1965=0,0,SUMIF(ING!$J:$J,Sheet2!$B1965,ING!$S:$S))</f>
        <v>0</v>
      </c>
      <c r="H1965" s="16">
        <f t="shared" si="61"/>
        <v>32898178.951808941</v>
      </c>
    </row>
    <row r="1966" spans="2:8" hidden="1" x14ac:dyDescent="0.4">
      <c r="B1966" s="1">
        <v>44515</v>
      </c>
      <c r="C1966" s="16">
        <f>SUMIF(매도완료!$G:$G,Sheet2!$B1966,매도완료!$P:$P)+SUMIF(ING!$G:$G,Sheet2!$B1966,ING!$P:$P)</f>
        <v>0</v>
      </c>
      <c r="D1966" s="16">
        <f>SUMIF(매도완료!$J:$J,Sheet2!$B1966,매도완료!$P:$P)+SUMIF(ING!$J:$J,Sheet2!$B1966,ING!$P:$P)</f>
        <v>0</v>
      </c>
      <c r="E1966" s="16">
        <f t="shared" si="60"/>
        <v>128691267.34939997</v>
      </c>
      <c r="G1966" s="16">
        <f>IF(D1966=0,0,SUMIF(매도완료!$J:$J,Sheet2!$B1966,매도완료!$S:$S))+IF(D1966=0,0,SUMIF(ING!$J:$J,Sheet2!$B1966,ING!$S:$S))</f>
        <v>0</v>
      </c>
      <c r="H1966" s="16">
        <f t="shared" si="61"/>
        <v>32898178.951808941</v>
      </c>
    </row>
    <row r="1967" spans="2:8" hidden="1" x14ac:dyDescent="0.4">
      <c r="B1967" s="1">
        <v>44516</v>
      </c>
      <c r="C1967" s="16">
        <f>SUMIF(매도완료!$G:$G,Sheet2!$B1967,매도완료!$P:$P)+SUMIF(ING!$G:$G,Sheet2!$B1967,ING!$P:$P)</f>
        <v>0</v>
      </c>
      <c r="D1967" s="16">
        <f>SUMIF(매도완료!$J:$J,Sheet2!$B1967,매도완료!$P:$P)+SUMIF(ING!$J:$J,Sheet2!$B1967,ING!$P:$P)</f>
        <v>0</v>
      </c>
      <c r="E1967" s="16">
        <f t="shared" si="60"/>
        <v>128691267.34939997</v>
      </c>
      <c r="G1967" s="16">
        <f>IF(D1967=0,0,SUMIF(매도완료!$J:$J,Sheet2!$B1967,매도완료!$S:$S))+IF(D1967=0,0,SUMIF(ING!$J:$J,Sheet2!$B1967,ING!$S:$S))</f>
        <v>0</v>
      </c>
      <c r="H1967" s="16">
        <f t="shared" si="61"/>
        <v>32898178.951808941</v>
      </c>
    </row>
    <row r="1968" spans="2:8" hidden="1" x14ac:dyDescent="0.4">
      <c r="B1968" s="1">
        <v>44517</v>
      </c>
      <c r="C1968" s="16">
        <f>SUMIF(매도완료!$G:$G,Sheet2!$B1968,매도완료!$P:$P)+SUMIF(ING!$G:$G,Sheet2!$B1968,ING!$P:$P)</f>
        <v>0</v>
      </c>
      <c r="D1968" s="16">
        <f>SUMIF(매도완료!$J:$J,Sheet2!$B1968,매도완료!$P:$P)+SUMIF(ING!$J:$J,Sheet2!$B1968,ING!$P:$P)</f>
        <v>0</v>
      </c>
      <c r="E1968" s="16">
        <f t="shared" si="60"/>
        <v>128691267.34939997</v>
      </c>
      <c r="G1968" s="16">
        <f>IF(D1968=0,0,SUMIF(매도완료!$J:$J,Sheet2!$B1968,매도완료!$S:$S))+IF(D1968=0,0,SUMIF(ING!$J:$J,Sheet2!$B1968,ING!$S:$S))</f>
        <v>0</v>
      </c>
      <c r="H1968" s="16">
        <f t="shared" si="61"/>
        <v>32898178.951808941</v>
      </c>
    </row>
    <row r="1969" spans="2:8" hidden="1" x14ac:dyDescent="0.4">
      <c r="B1969" s="1">
        <v>44518</v>
      </c>
      <c r="C1969" s="16">
        <f>SUMIF(매도완료!$G:$G,Sheet2!$B1969,매도완료!$P:$P)+SUMIF(ING!$G:$G,Sheet2!$B1969,ING!$P:$P)</f>
        <v>0</v>
      </c>
      <c r="D1969" s="16">
        <f>SUMIF(매도완료!$J:$J,Sheet2!$B1969,매도완료!$P:$P)+SUMIF(ING!$J:$J,Sheet2!$B1969,ING!$P:$P)</f>
        <v>0</v>
      </c>
      <c r="E1969" s="16">
        <f t="shared" si="60"/>
        <v>128691267.34939997</v>
      </c>
      <c r="G1969" s="16">
        <f>IF(D1969=0,0,SUMIF(매도완료!$J:$J,Sheet2!$B1969,매도완료!$S:$S))+IF(D1969=0,0,SUMIF(ING!$J:$J,Sheet2!$B1969,ING!$S:$S))</f>
        <v>0</v>
      </c>
      <c r="H1969" s="16">
        <f t="shared" si="61"/>
        <v>32898178.951808941</v>
      </c>
    </row>
    <row r="1970" spans="2:8" hidden="1" x14ac:dyDescent="0.4">
      <c r="B1970" s="1">
        <v>44519</v>
      </c>
      <c r="C1970" s="16">
        <f>SUMIF(매도완료!$G:$G,Sheet2!$B1970,매도완료!$P:$P)+SUMIF(ING!$G:$G,Sheet2!$B1970,ING!$P:$P)</f>
        <v>0</v>
      </c>
      <c r="D1970" s="16">
        <f>SUMIF(매도완료!$J:$J,Sheet2!$B1970,매도완료!$P:$P)+SUMIF(ING!$J:$J,Sheet2!$B1970,ING!$P:$P)</f>
        <v>0</v>
      </c>
      <c r="E1970" s="16">
        <f t="shared" si="60"/>
        <v>128691267.34939997</v>
      </c>
      <c r="G1970" s="16">
        <f>IF(D1970=0,0,SUMIF(매도완료!$J:$J,Sheet2!$B1970,매도완료!$S:$S))+IF(D1970=0,0,SUMIF(ING!$J:$J,Sheet2!$B1970,ING!$S:$S))</f>
        <v>0</v>
      </c>
      <c r="H1970" s="16">
        <f t="shared" si="61"/>
        <v>32898178.951808941</v>
      </c>
    </row>
    <row r="1971" spans="2:8" hidden="1" x14ac:dyDescent="0.4">
      <c r="B1971" s="1">
        <v>44520</v>
      </c>
      <c r="C1971" s="16">
        <f>SUMIF(매도완료!$G:$G,Sheet2!$B1971,매도완료!$P:$P)+SUMIF(ING!$G:$G,Sheet2!$B1971,ING!$P:$P)</f>
        <v>0</v>
      </c>
      <c r="D1971" s="16">
        <f>SUMIF(매도완료!$J:$J,Sheet2!$B1971,매도완료!$P:$P)+SUMIF(ING!$J:$J,Sheet2!$B1971,ING!$P:$P)</f>
        <v>0</v>
      </c>
      <c r="E1971" s="16">
        <f t="shared" si="60"/>
        <v>128691267.34939997</v>
      </c>
      <c r="G1971" s="16">
        <f>IF(D1971=0,0,SUMIF(매도완료!$J:$J,Sheet2!$B1971,매도완료!$S:$S))+IF(D1971=0,0,SUMIF(ING!$J:$J,Sheet2!$B1971,ING!$S:$S))</f>
        <v>0</v>
      </c>
      <c r="H1971" s="16">
        <f t="shared" si="61"/>
        <v>32898178.951808941</v>
      </c>
    </row>
    <row r="1972" spans="2:8" hidden="1" x14ac:dyDescent="0.4">
      <c r="B1972" s="1">
        <v>44521</v>
      </c>
      <c r="C1972" s="16">
        <f>SUMIF(매도완료!$G:$G,Sheet2!$B1972,매도완료!$P:$P)+SUMIF(ING!$G:$G,Sheet2!$B1972,ING!$P:$P)</f>
        <v>0</v>
      </c>
      <c r="D1972" s="16">
        <f>SUMIF(매도완료!$J:$J,Sheet2!$B1972,매도완료!$P:$P)+SUMIF(ING!$J:$J,Sheet2!$B1972,ING!$P:$P)</f>
        <v>0</v>
      </c>
      <c r="E1972" s="16">
        <f t="shared" si="60"/>
        <v>128691267.34939997</v>
      </c>
      <c r="G1972" s="16">
        <f>IF(D1972=0,0,SUMIF(매도완료!$J:$J,Sheet2!$B1972,매도완료!$S:$S))+IF(D1972=0,0,SUMIF(ING!$J:$J,Sheet2!$B1972,ING!$S:$S))</f>
        <v>0</v>
      </c>
      <c r="H1972" s="16">
        <f t="shared" si="61"/>
        <v>32898178.951808941</v>
      </c>
    </row>
    <row r="1973" spans="2:8" hidden="1" x14ac:dyDescent="0.4">
      <c r="B1973" s="1">
        <v>44522</v>
      </c>
      <c r="C1973" s="16">
        <f>SUMIF(매도완료!$G:$G,Sheet2!$B1973,매도완료!$P:$P)+SUMIF(ING!$G:$G,Sheet2!$B1973,ING!$P:$P)</f>
        <v>0</v>
      </c>
      <c r="D1973" s="16">
        <f>SUMIF(매도완료!$J:$J,Sheet2!$B1973,매도완료!$P:$P)+SUMIF(ING!$J:$J,Sheet2!$B1973,ING!$P:$P)</f>
        <v>0</v>
      </c>
      <c r="E1973" s="16">
        <f t="shared" si="60"/>
        <v>128691267.34939997</v>
      </c>
      <c r="G1973" s="16">
        <f>IF(D1973=0,0,SUMIF(매도완료!$J:$J,Sheet2!$B1973,매도완료!$S:$S))+IF(D1973=0,0,SUMIF(ING!$J:$J,Sheet2!$B1973,ING!$S:$S))</f>
        <v>0</v>
      </c>
      <c r="H1973" s="16">
        <f t="shared" si="61"/>
        <v>32898178.951808941</v>
      </c>
    </row>
    <row r="1974" spans="2:8" hidden="1" x14ac:dyDescent="0.4">
      <c r="B1974" s="1">
        <v>44523</v>
      </c>
      <c r="C1974" s="16">
        <f>SUMIF(매도완료!$G:$G,Sheet2!$B1974,매도완료!$P:$P)+SUMIF(ING!$G:$G,Sheet2!$B1974,ING!$P:$P)</f>
        <v>0</v>
      </c>
      <c r="D1974" s="16">
        <f>SUMIF(매도완료!$J:$J,Sheet2!$B1974,매도완료!$P:$P)+SUMIF(ING!$J:$J,Sheet2!$B1974,ING!$P:$P)</f>
        <v>0</v>
      </c>
      <c r="E1974" s="16">
        <f t="shared" si="60"/>
        <v>128691267.34939997</v>
      </c>
      <c r="G1974" s="16">
        <f>IF(D1974=0,0,SUMIF(매도완료!$J:$J,Sheet2!$B1974,매도완료!$S:$S))+IF(D1974=0,0,SUMIF(ING!$J:$J,Sheet2!$B1974,ING!$S:$S))</f>
        <v>0</v>
      </c>
      <c r="H1974" s="16">
        <f t="shared" si="61"/>
        <v>32898178.951808941</v>
      </c>
    </row>
    <row r="1975" spans="2:8" hidden="1" x14ac:dyDescent="0.4">
      <c r="B1975" s="1">
        <v>44524</v>
      </c>
      <c r="C1975" s="16">
        <f>SUMIF(매도완료!$G:$G,Sheet2!$B1975,매도완료!$P:$P)+SUMIF(ING!$G:$G,Sheet2!$B1975,ING!$P:$P)</f>
        <v>0</v>
      </c>
      <c r="D1975" s="16">
        <f>SUMIF(매도완료!$J:$J,Sheet2!$B1975,매도완료!$P:$P)+SUMIF(ING!$J:$J,Sheet2!$B1975,ING!$P:$P)</f>
        <v>0</v>
      </c>
      <c r="E1975" s="16">
        <f t="shared" si="60"/>
        <v>128691267.34939997</v>
      </c>
      <c r="G1975" s="16">
        <f>IF(D1975=0,0,SUMIF(매도완료!$J:$J,Sheet2!$B1975,매도완료!$S:$S))+IF(D1975=0,0,SUMIF(ING!$J:$J,Sheet2!$B1975,ING!$S:$S))</f>
        <v>0</v>
      </c>
      <c r="H1975" s="16">
        <f t="shared" si="61"/>
        <v>32898178.951808941</v>
      </c>
    </row>
    <row r="1976" spans="2:8" hidden="1" x14ac:dyDescent="0.4">
      <c r="B1976" s="1">
        <v>44525</v>
      </c>
      <c r="C1976" s="16">
        <f>SUMIF(매도완료!$G:$G,Sheet2!$B1976,매도완료!$P:$P)+SUMIF(ING!$G:$G,Sheet2!$B1976,ING!$P:$P)</f>
        <v>0</v>
      </c>
      <c r="D1976" s="16">
        <f>SUMIF(매도완료!$J:$J,Sheet2!$B1976,매도완료!$P:$P)+SUMIF(ING!$J:$J,Sheet2!$B1976,ING!$P:$P)</f>
        <v>0</v>
      </c>
      <c r="E1976" s="16">
        <f t="shared" si="60"/>
        <v>128691267.34939997</v>
      </c>
      <c r="G1976" s="16">
        <f>IF(D1976=0,0,SUMIF(매도완료!$J:$J,Sheet2!$B1976,매도완료!$S:$S))+IF(D1976=0,0,SUMIF(ING!$J:$J,Sheet2!$B1976,ING!$S:$S))</f>
        <v>0</v>
      </c>
      <c r="H1976" s="16">
        <f t="shared" si="61"/>
        <v>32898178.951808941</v>
      </c>
    </row>
    <row r="1977" spans="2:8" hidden="1" x14ac:dyDescent="0.4">
      <c r="B1977" s="1">
        <v>44526</v>
      </c>
      <c r="C1977" s="16">
        <f>SUMIF(매도완료!$G:$G,Sheet2!$B1977,매도완료!$P:$P)+SUMIF(ING!$G:$G,Sheet2!$B1977,ING!$P:$P)</f>
        <v>0</v>
      </c>
      <c r="D1977" s="16">
        <f>SUMIF(매도완료!$J:$J,Sheet2!$B1977,매도완료!$P:$P)+SUMIF(ING!$J:$J,Sheet2!$B1977,ING!$P:$P)</f>
        <v>88172.312999999995</v>
      </c>
      <c r="E1977" s="16">
        <f t="shared" si="60"/>
        <v>128603095.03639998</v>
      </c>
      <c r="G1977" s="16">
        <f>IF(D1977=0,0,SUMIF(매도완료!$J:$J,Sheet2!$B1977,매도완료!$S:$S))+IF(D1977=0,0,SUMIF(ING!$J:$J,Sheet2!$B1977,ING!$S:$S))</f>
        <v>-3579.42</v>
      </c>
      <c r="H1977" s="16">
        <f t="shared" si="61"/>
        <v>32894599.531808939</v>
      </c>
    </row>
    <row r="1978" spans="2:8" hidden="1" x14ac:dyDescent="0.4">
      <c r="B1978" s="1">
        <v>44527</v>
      </c>
      <c r="C1978" s="16">
        <f>SUMIF(매도완료!$G:$G,Sheet2!$B1978,매도완료!$P:$P)+SUMIF(ING!$G:$G,Sheet2!$B1978,ING!$P:$P)</f>
        <v>0</v>
      </c>
      <c r="D1978" s="16">
        <f>SUMIF(매도완료!$J:$J,Sheet2!$B1978,매도완료!$P:$P)+SUMIF(ING!$J:$J,Sheet2!$B1978,ING!$P:$P)</f>
        <v>0</v>
      </c>
      <c r="E1978" s="16">
        <f t="shared" si="60"/>
        <v>128603095.03639998</v>
      </c>
      <c r="G1978" s="16">
        <f>IF(D1978=0,0,SUMIF(매도완료!$J:$J,Sheet2!$B1978,매도완료!$S:$S))+IF(D1978=0,0,SUMIF(ING!$J:$J,Sheet2!$B1978,ING!$S:$S))</f>
        <v>0</v>
      </c>
      <c r="H1978" s="16">
        <f t="shared" si="61"/>
        <v>32894599.531808939</v>
      </c>
    </row>
    <row r="1979" spans="2:8" hidden="1" x14ac:dyDescent="0.4">
      <c r="B1979" s="1">
        <v>44528</v>
      </c>
      <c r="C1979" s="16">
        <f>SUMIF(매도완료!$G:$G,Sheet2!$B1979,매도완료!$P:$P)+SUMIF(ING!$G:$G,Sheet2!$B1979,ING!$P:$P)</f>
        <v>0</v>
      </c>
      <c r="D1979" s="16">
        <f>SUMIF(매도완료!$J:$J,Sheet2!$B1979,매도완료!$P:$P)+SUMIF(ING!$J:$J,Sheet2!$B1979,ING!$P:$P)</f>
        <v>0</v>
      </c>
      <c r="E1979" s="16">
        <f t="shared" si="60"/>
        <v>128603095.03639998</v>
      </c>
      <c r="G1979" s="16">
        <f>IF(D1979=0,0,SUMIF(매도완료!$J:$J,Sheet2!$B1979,매도완료!$S:$S))+IF(D1979=0,0,SUMIF(ING!$J:$J,Sheet2!$B1979,ING!$S:$S))</f>
        <v>0</v>
      </c>
      <c r="H1979" s="16">
        <f t="shared" si="61"/>
        <v>32894599.531808939</v>
      </c>
    </row>
    <row r="1980" spans="2:8" hidden="1" x14ac:dyDescent="0.4">
      <c r="B1980" s="1">
        <v>44529</v>
      </c>
      <c r="C1980" s="16">
        <f>SUMIF(매도완료!$G:$G,Sheet2!$B1980,매도완료!$P:$P)+SUMIF(ING!$G:$G,Sheet2!$B1980,ING!$P:$P)</f>
        <v>0</v>
      </c>
      <c r="D1980" s="16">
        <f>SUMIF(매도완료!$J:$J,Sheet2!$B1980,매도완료!$P:$P)+SUMIF(ING!$J:$J,Sheet2!$B1980,ING!$P:$P)</f>
        <v>0</v>
      </c>
      <c r="E1980" s="16">
        <f t="shared" si="60"/>
        <v>128603095.03639998</v>
      </c>
      <c r="G1980" s="16">
        <f>IF(D1980=0,0,SUMIF(매도완료!$J:$J,Sheet2!$B1980,매도완료!$S:$S))+IF(D1980=0,0,SUMIF(ING!$J:$J,Sheet2!$B1980,ING!$S:$S))</f>
        <v>0</v>
      </c>
      <c r="H1980" s="16">
        <f t="shared" si="61"/>
        <v>32894599.531808939</v>
      </c>
    </row>
    <row r="1981" spans="2:8" hidden="1" x14ac:dyDescent="0.4">
      <c r="B1981" s="1">
        <v>44530</v>
      </c>
      <c r="C1981" s="16">
        <f>SUMIF(매도완료!$G:$G,Sheet2!$B1981,매도완료!$P:$P)+SUMIF(ING!$G:$G,Sheet2!$B1981,ING!$P:$P)</f>
        <v>0</v>
      </c>
      <c r="D1981" s="16">
        <f>SUMIF(매도완료!$J:$J,Sheet2!$B1981,매도완료!$P:$P)+SUMIF(ING!$J:$J,Sheet2!$B1981,ING!$P:$P)</f>
        <v>0</v>
      </c>
      <c r="E1981" s="16">
        <f t="shared" si="60"/>
        <v>128603095.03639998</v>
      </c>
      <c r="G1981" s="16">
        <f>IF(D1981=0,0,SUMIF(매도완료!$J:$J,Sheet2!$B1981,매도완료!$S:$S))+IF(D1981=0,0,SUMIF(ING!$J:$J,Sheet2!$B1981,ING!$S:$S))</f>
        <v>0</v>
      </c>
      <c r="H1981" s="16">
        <f t="shared" si="61"/>
        <v>32894599.531808939</v>
      </c>
    </row>
    <row r="1982" spans="2:8" hidden="1" x14ac:dyDescent="0.4">
      <c r="B1982" s="1">
        <v>44531</v>
      </c>
      <c r="C1982" s="16">
        <f>SUMIF(매도완료!$G:$G,Sheet2!$B1982,매도완료!$P:$P)+SUMIF(ING!$G:$G,Sheet2!$B1982,ING!$P:$P)</f>
        <v>0</v>
      </c>
      <c r="D1982" s="16">
        <f>SUMIF(매도완료!$J:$J,Sheet2!$B1982,매도완료!$P:$P)+SUMIF(ING!$J:$J,Sheet2!$B1982,ING!$P:$P)</f>
        <v>0</v>
      </c>
      <c r="E1982" s="16">
        <f t="shared" si="60"/>
        <v>128603095.03639998</v>
      </c>
      <c r="G1982" s="16">
        <f>IF(D1982=0,0,SUMIF(매도완료!$J:$J,Sheet2!$B1982,매도완료!$S:$S))+IF(D1982=0,0,SUMIF(ING!$J:$J,Sheet2!$B1982,ING!$S:$S))</f>
        <v>0</v>
      </c>
      <c r="H1982" s="16">
        <f t="shared" si="61"/>
        <v>32894599.531808939</v>
      </c>
    </row>
    <row r="1983" spans="2:8" hidden="1" x14ac:dyDescent="0.4">
      <c r="B1983" s="1">
        <v>44532</v>
      </c>
      <c r="C1983" s="16">
        <f>SUMIF(매도완료!$G:$G,Sheet2!$B1983,매도완료!$P:$P)+SUMIF(ING!$G:$G,Sheet2!$B1983,ING!$P:$P)</f>
        <v>0</v>
      </c>
      <c r="D1983" s="16">
        <f>SUMIF(매도완료!$J:$J,Sheet2!$B1983,매도완료!$P:$P)+SUMIF(ING!$J:$J,Sheet2!$B1983,ING!$P:$P)</f>
        <v>0</v>
      </c>
      <c r="E1983" s="16">
        <f t="shared" si="60"/>
        <v>128603095.03639998</v>
      </c>
      <c r="G1983" s="16">
        <f>IF(D1983=0,0,SUMIF(매도완료!$J:$J,Sheet2!$B1983,매도완료!$S:$S))+IF(D1983=0,0,SUMIF(ING!$J:$J,Sheet2!$B1983,ING!$S:$S))</f>
        <v>0</v>
      </c>
      <c r="H1983" s="16">
        <f t="shared" si="61"/>
        <v>32894599.531808939</v>
      </c>
    </row>
    <row r="1984" spans="2:8" hidden="1" x14ac:dyDescent="0.4">
      <c r="B1984" s="1">
        <v>44533</v>
      </c>
      <c r="C1984" s="16">
        <f>SUMIF(매도완료!$G:$G,Sheet2!$B1984,매도완료!$P:$P)+SUMIF(ING!$G:$G,Sheet2!$B1984,ING!$P:$P)</f>
        <v>0</v>
      </c>
      <c r="D1984" s="16">
        <f>SUMIF(매도완료!$J:$J,Sheet2!$B1984,매도완료!$P:$P)+SUMIF(ING!$J:$J,Sheet2!$B1984,ING!$P:$P)</f>
        <v>0</v>
      </c>
      <c r="E1984" s="16">
        <f t="shared" si="60"/>
        <v>128603095.03639998</v>
      </c>
      <c r="G1984" s="16">
        <f>IF(D1984=0,0,SUMIF(매도완료!$J:$J,Sheet2!$B1984,매도완료!$S:$S))+IF(D1984=0,0,SUMIF(ING!$J:$J,Sheet2!$B1984,ING!$S:$S))</f>
        <v>0</v>
      </c>
      <c r="H1984" s="16">
        <f t="shared" si="61"/>
        <v>32894599.531808939</v>
      </c>
    </row>
    <row r="1985" spans="2:8" hidden="1" x14ac:dyDescent="0.4">
      <c r="B1985" s="1">
        <v>44534</v>
      </c>
      <c r="C1985" s="16">
        <f>SUMIF(매도완료!$G:$G,Sheet2!$B1985,매도완료!$P:$P)+SUMIF(ING!$G:$G,Sheet2!$B1985,ING!$P:$P)</f>
        <v>0</v>
      </c>
      <c r="D1985" s="16">
        <f>SUMIF(매도완료!$J:$J,Sheet2!$B1985,매도완료!$P:$P)+SUMIF(ING!$J:$J,Sheet2!$B1985,ING!$P:$P)</f>
        <v>0</v>
      </c>
      <c r="E1985" s="16">
        <f t="shared" si="60"/>
        <v>128603095.03639998</v>
      </c>
      <c r="G1985" s="16">
        <f>IF(D1985=0,0,SUMIF(매도완료!$J:$J,Sheet2!$B1985,매도완료!$S:$S))+IF(D1985=0,0,SUMIF(ING!$J:$J,Sheet2!$B1985,ING!$S:$S))</f>
        <v>0</v>
      </c>
      <c r="H1985" s="16">
        <f t="shared" si="61"/>
        <v>32894599.531808939</v>
      </c>
    </row>
    <row r="1986" spans="2:8" hidden="1" x14ac:dyDescent="0.4">
      <c r="B1986" s="1">
        <v>44535</v>
      </c>
      <c r="C1986" s="16">
        <f>SUMIF(매도완료!$G:$G,Sheet2!$B1986,매도완료!$P:$P)+SUMIF(ING!$G:$G,Sheet2!$B1986,ING!$P:$P)</f>
        <v>0</v>
      </c>
      <c r="D1986" s="16">
        <f>SUMIF(매도완료!$J:$J,Sheet2!$B1986,매도완료!$P:$P)+SUMIF(ING!$J:$J,Sheet2!$B1986,ING!$P:$P)</f>
        <v>0</v>
      </c>
      <c r="E1986" s="16">
        <f t="shared" si="60"/>
        <v>128603095.03639998</v>
      </c>
      <c r="G1986" s="16">
        <f>IF(D1986=0,0,SUMIF(매도완료!$J:$J,Sheet2!$B1986,매도완료!$S:$S))+IF(D1986=0,0,SUMIF(ING!$J:$J,Sheet2!$B1986,ING!$S:$S))</f>
        <v>0</v>
      </c>
      <c r="H1986" s="16">
        <f t="shared" si="61"/>
        <v>32894599.531808939</v>
      </c>
    </row>
    <row r="1987" spans="2:8" hidden="1" x14ac:dyDescent="0.4">
      <c r="B1987" s="1">
        <v>44536</v>
      </c>
      <c r="C1987" s="16">
        <f>SUMIF(매도완료!$G:$G,Sheet2!$B1987,매도완료!$P:$P)+SUMIF(ING!$G:$G,Sheet2!$B1987,ING!$P:$P)</f>
        <v>0</v>
      </c>
      <c r="D1987" s="16">
        <f>SUMIF(매도완료!$J:$J,Sheet2!$B1987,매도완료!$P:$P)+SUMIF(ING!$J:$J,Sheet2!$B1987,ING!$P:$P)</f>
        <v>3016387.352</v>
      </c>
      <c r="E1987" s="16">
        <f t="shared" si="60"/>
        <v>125586707.68439998</v>
      </c>
      <c r="G1987" s="16">
        <f>IF(D1987=0,0,SUMIF(매도완료!$J:$J,Sheet2!$B1987,매도완료!$S:$S))+IF(D1987=0,0,SUMIF(ING!$J:$J,Sheet2!$B1987,ING!$S:$S))</f>
        <v>162048.66200000001</v>
      </c>
      <c r="H1987" s="16">
        <f t="shared" si="61"/>
        <v>33056648.193808939</v>
      </c>
    </row>
    <row r="1988" spans="2:8" hidden="1" x14ac:dyDescent="0.4">
      <c r="B1988" s="1">
        <v>44537</v>
      </c>
      <c r="C1988" s="16">
        <f>SUMIF(매도완료!$G:$G,Sheet2!$B1988,매도완료!$P:$P)+SUMIF(ING!$G:$G,Sheet2!$B1988,ING!$P:$P)</f>
        <v>0</v>
      </c>
      <c r="D1988" s="16">
        <f>SUMIF(매도완료!$J:$J,Sheet2!$B1988,매도완료!$P:$P)+SUMIF(ING!$J:$J,Sheet2!$B1988,ING!$P:$P)</f>
        <v>0</v>
      </c>
      <c r="E1988" s="16">
        <f t="shared" ref="E1988:E2051" si="62">E1987+C1988-D1988</f>
        <v>125586707.68439998</v>
      </c>
      <c r="G1988" s="16">
        <f>IF(D1988=0,0,SUMIF(매도완료!$J:$J,Sheet2!$B1988,매도완료!$S:$S))+IF(D1988=0,0,SUMIF(ING!$J:$J,Sheet2!$B1988,ING!$S:$S))</f>
        <v>0</v>
      </c>
      <c r="H1988" s="16">
        <f t="shared" ref="H1988:H2051" si="63">H1987+G1988</f>
        <v>33056648.193808939</v>
      </c>
    </row>
    <row r="1989" spans="2:8" hidden="1" x14ac:dyDescent="0.4">
      <c r="B1989" s="1">
        <v>44538</v>
      </c>
      <c r="C1989" s="16">
        <f>SUMIF(매도완료!$G:$G,Sheet2!$B1989,매도완료!$P:$P)+SUMIF(ING!$G:$G,Sheet2!$B1989,ING!$P:$P)</f>
        <v>0</v>
      </c>
      <c r="D1989" s="16">
        <f>SUMIF(매도완료!$J:$J,Sheet2!$B1989,매도완료!$P:$P)+SUMIF(ING!$J:$J,Sheet2!$B1989,ING!$P:$P)</f>
        <v>0</v>
      </c>
      <c r="E1989" s="16">
        <f t="shared" si="62"/>
        <v>125586707.68439998</v>
      </c>
      <c r="G1989" s="16">
        <f>IF(D1989=0,0,SUMIF(매도완료!$J:$J,Sheet2!$B1989,매도완료!$S:$S))+IF(D1989=0,0,SUMIF(ING!$J:$J,Sheet2!$B1989,ING!$S:$S))</f>
        <v>0</v>
      </c>
      <c r="H1989" s="16">
        <f t="shared" si="63"/>
        <v>33056648.193808939</v>
      </c>
    </row>
    <row r="1990" spans="2:8" hidden="1" x14ac:dyDescent="0.4">
      <c r="B1990" s="1">
        <v>44539</v>
      </c>
      <c r="C1990" s="16">
        <f>SUMIF(매도완료!$G:$G,Sheet2!$B1990,매도완료!$P:$P)+SUMIF(ING!$G:$G,Sheet2!$B1990,ING!$P:$P)</f>
        <v>0</v>
      </c>
      <c r="D1990" s="16">
        <f>SUMIF(매도완료!$J:$J,Sheet2!$B1990,매도완료!$P:$P)+SUMIF(ING!$J:$J,Sheet2!$B1990,ING!$P:$P)</f>
        <v>0</v>
      </c>
      <c r="E1990" s="16">
        <f t="shared" si="62"/>
        <v>125586707.68439998</v>
      </c>
      <c r="G1990" s="16">
        <f>IF(D1990=0,0,SUMIF(매도완료!$J:$J,Sheet2!$B1990,매도완료!$S:$S))+IF(D1990=0,0,SUMIF(ING!$J:$J,Sheet2!$B1990,ING!$S:$S))</f>
        <v>0</v>
      </c>
      <c r="H1990" s="16">
        <f t="shared" si="63"/>
        <v>33056648.193808939</v>
      </c>
    </row>
    <row r="1991" spans="2:8" hidden="1" x14ac:dyDescent="0.4">
      <c r="B1991" s="1">
        <v>44540</v>
      </c>
      <c r="C1991" s="16">
        <f>SUMIF(매도완료!$G:$G,Sheet2!$B1991,매도완료!$P:$P)+SUMIF(ING!$G:$G,Sheet2!$B1991,ING!$P:$P)</f>
        <v>0</v>
      </c>
      <c r="D1991" s="16">
        <f>SUMIF(매도완료!$J:$J,Sheet2!$B1991,매도완료!$P:$P)+SUMIF(ING!$J:$J,Sheet2!$B1991,ING!$P:$P)</f>
        <v>0</v>
      </c>
      <c r="E1991" s="16">
        <f t="shared" si="62"/>
        <v>125586707.68439998</v>
      </c>
      <c r="G1991" s="16">
        <f>IF(D1991=0,0,SUMIF(매도완료!$J:$J,Sheet2!$B1991,매도완료!$S:$S))+IF(D1991=0,0,SUMIF(ING!$J:$J,Sheet2!$B1991,ING!$S:$S))</f>
        <v>0</v>
      </c>
      <c r="H1991" s="16">
        <f t="shared" si="63"/>
        <v>33056648.193808939</v>
      </c>
    </row>
    <row r="1992" spans="2:8" hidden="1" x14ac:dyDescent="0.4">
      <c r="B1992" s="1">
        <v>44541</v>
      </c>
      <c r="C1992" s="16">
        <f>SUMIF(매도완료!$G:$G,Sheet2!$B1992,매도완료!$P:$P)+SUMIF(ING!$G:$G,Sheet2!$B1992,ING!$P:$P)</f>
        <v>0</v>
      </c>
      <c r="D1992" s="16">
        <f>SUMIF(매도완료!$J:$J,Sheet2!$B1992,매도완료!$P:$P)+SUMIF(ING!$J:$J,Sheet2!$B1992,ING!$P:$P)</f>
        <v>0</v>
      </c>
      <c r="E1992" s="16">
        <f t="shared" si="62"/>
        <v>125586707.68439998</v>
      </c>
      <c r="G1992" s="16">
        <f>IF(D1992=0,0,SUMIF(매도완료!$J:$J,Sheet2!$B1992,매도완료!$S:$S))+IF(D1992=0,0,SUMIF(ING!$J:$J,Sheet2!$B1992,ING!$S:$S))</f>
        <v>0</v>
      </c>
      <c r="H1992" s="16">
        <f t="shared" si="63"/>
        <v>33056648.193808939</v>
      </c>
    </row>
    <row r="1993" spans="2:8" hidden="1" x14ac:dyDescent="0.4">
      <c r="B1993" s="1">
        <v>44542</v>
      </c>
      <c r="C1993" s="16">
        <f>SUMIF(매도완료!$G:$G,Sheet2!$B1993,매도완료!$P:$P)+SUMIF(ING!$G:$G,Sheet2!$B1993,ING!$P:$P)</f>
        <v>0</v>
      </c>
      <c r="D1993" s="16">
        <f>SUMIF(매도완료!$J:$J,Sheet2!$B1993,매도완료!$P:$P)+SUMIF(ING!$J:$J,Sheet2!$B1993,ING!$P:$P)</f>
        <v>0</v>
      </c>
      <c r="E1993" s="16">
        <f t="shared" si="62"/>
        <v>125586707.68439998</v>
      </c>
      <c r="G1993" s="16">
        <f>IF(D1993=0,0,SUMIF(매도완료!$J:$J,Sheet2!$B1993,매도완료!$S:$S))+IF(D1993=0,0,SUMIF(ING!$J:$J,Sheet2!$B1993,ING!$S:$S))</f>
        <v>0</v>
      </c>
      <c r="H1993" s="16">
        <f t="shared" si="63"/>
        <v>33056648.193808939</v>
      </c>
    </row>
    <row r="1994" spans="2:8" hidden="1" x14ac:dyDescent="0.4">
      <c r="B1994" s="1">
        <v>44543</v>
      </c>
      <c r="C1994" s="16">
        <f>SUMIF(매도완료!$G:$G,Sheet2!$B1994,매도완료!$P:$P)+SUMIF(ING!$G:$G,Sheet2!$B1994,ING!$P:$P)</f>
        <v>0</v>
      </c>
      <c r="D1994" s="16">
        <f>SUMIF(매도완료!$J:$J,Sheet2!$B1994,매도완료!$P:$P)+SUMIF(ING!$J:$J,Sheet2!$B1994,ING!$P:$P)</f>
        <v>0</v>
      </c>
      <c r="E1994" s="16">
        <f t="shared" si="62"/>
        <v>125586707.68439998</v>
      </c>
      <c r="G1994" s="16">
        <f>IF(D1994=0,0,SUMIF(매도완료!$J:$J,Sheet2!$B1994,매도완료!$S:$S))+IF(D1994=0,0,SUMIF(ING!$J:$J,Sheet2!$B1994,ING!$S:$S))</f>
        <v>0</v>
      </c>
      <c r="H1994" s="16">
        <f t="shared" si="63"/>
        <v>33056648.193808939</v>
      </c>
    </row>
    <row r="1995" spans="2:8" hidden="1" x14ac:dyDescent="0.4">
      <c r="B1995" s="1">
        <v>44544</v>
      </c>
      <c r="C1995" s="16">
        <f>SUMIF(매도완료!$G:$G,Sheet2!$B1995,매도완료!$P:$P)+SUMIF(ING!$G:$G,Sheet2!$B1995,ING!$P:$P)</f>
        <v>0</v>
      </c>
      <c r="D1995" s="16">
        <f>SUMIF(매도완료!$J:$J,Sheet2!$B1995,매도완료!$P:$P)+SUMIF(ING!$J:$J,Sheet2!$B1995,ING!$P:$P)</f>
        <v>0</v>
      </c>
      <c r="E1995" s="16">
        <f t="shared" si="62"/>
        <v>125586707.68439998</v>
      </c>
      <c r="G1995" s="16">
        <f>IF(D1995=0,0,SUMIF(매도완료!$J:$J,Sheet2!$B1995,매도완료!$S:$S))+IF(D1995=0,0,SUMIF(ING!$J:$J,Sheet2!$B1995,ING!$S:$S))</f>
        <v>0</v>
      </c>
      <c r="H1995" s="16">
        <f t="shared" si="63"/>
        <v>33056648.193808939</v>
      </c>
    </row>
    <row r="1996" spans="2:8" hidden="1" x14ac:dyDescent="0.4">
      <c r="B1996" s="1">
        <v>44545</v>
      </c>
      <c r="C1996" s="16">
        <f>SUMIF(매도완료!$G:$G,Sheet2!$B1996,매도완료!$P:$P)+SUMIF(ING!$G:$G,Sheet2!$B1996,ING!$P:$P)</f>
        <v>0</v>
      </c>
      <c r="D1996" s="16">
        <f>SUMIF(매도완료!$J:$J,Sheet2!$B1996,매도완료!$P:$P)+SUMIF(ING!$J:$J,Sheet2!$B1996,ING!$P:$P)</f>
        <v>0</v>
      </c>
      <c r="E1996" s="16">
        <f t="shared" si="62"/>
        <v>125586707.68439998</v>
      </c>
      <c r="G1996" s="16">
        <f>IF(D1996=0,0,SUMIF(매도완료!$J:$J,Sheet2!$B1996,매도완료!$S:$S))+IF(D1996=0,0,SUMIF(ING!$J:$J,Sheet2!$B1996,ING!$S:$S))</f>
        <v>0</v>
      </c>
      <c r="H1996" s="16">
        <f t="shared" si="63"/>
        <v>33056648.193808939</v>
      </c>
    </row>
    <row r="1997" spans="2:8" hidden="1" x14ac:dyDescent="0.4">
      <c r="B1997" s="1">
        <v>44546</v>
      </c>
      <c r="C1997" s="16">
        <f>SUMIF(매도완료!$G:$G,Sheet2!$B1997,매도완료!$P:$P)+SUMIF(ING!$G:$G,Sheet2!$B1997,ING!$P:$P)</f>
        <v>0</v>
      </c>
      <c r="D1997" s="16">
        <f>SUMIF(매도완료!$J:$J,Sheet2!$B1997,매도완료!$P:$P)+SUMIF(ING!$J:$J,Sheet2!$B1997,ING!$P:$P)</f>
        <v>0</v>
      </c>
      <c r="E1997" s="16">
        <f t="shared" si="62"/>
        <v>125586707.68439998</v>
      </c>
      <c r="G1997" s="16">
        <f>IF(D1997=0,0,SUMIF(매도완료!$J:$J,Sheet2!$B1997,매도완료!$S:$S))+IF(D1997=0,0,SUMIF(ING!$J:$J,Sheet2!$B1997,ING!$S:$S))</f>
        <v>0</v>
      </c>
      <c r="H1997" s="16">
        <f t="shared" si="63"/>
        <v>33056648.193808939</v>
      </c>
    </row>
    <row r="1998" spans="2:8" hidden="1" x14ac:dyDescent="0.4">
      <c r="B1998" s="1">
        <v>44547</v>
      </c>
      <c r="C1998" s="16">
        <f>SUMIF(매도완료!$G:$G,Sheet2!$B1998,매도완료!$P:$P)+SUMIF(ING!$G:$G,Sheet2!$B1998,ING!$P:$P)</f>
        <v>0</v>
      </c>
      <c r="D1998" s="16">
        <f>SUMIF(매도완료!$J:$J,Sheet2!$B1998,매도완료!$P:$P)+SUMIF(ING!$J:$J,Sheet2!$B1998,ING!$P:$P)</f>
        <v>0</v>
      </c>
      <c r="E1998" s="16">
        <f t="shared" si="62"/>
        <v>125586707.68439998</v>
      </c>
      <c r="G1998" s="16">
        <f>IF(D1998=0,0,SUMIF(매도완료!$J:$J,Sheet2!$B1998,매도완료!$S:$S))+IF(D1998=0,0,SUMIF(ING!$J:$J,Sheet2!$B1998,ING!$S:$S))</f>
        <v>0</v>
      </c>
      <c r="H1998" s="16">
        <f t="shared" si="63"/>
        <v>33056648.193808939</v>
      </c>
    </row>
    <row r="1999" spans="2:8" hidden="1" x14ac:dyDescent="0.4">
      <c r="B1999" s="1">
        <v>44548</v>
      </c>
      <c r="C1999" s="16">
        <f>SUMIF(매도완료!$G:$G,Sheet2!$B1999,매도완료!$P:$P)+SUMIF(ING!$G:$G,Sheet2!$B1999,ING!$P:$P)</f>
        <v>0</v>
      </c>
      <c r="D1999" s="16">
        <f>SUMIF(매도완료!$J:$J,Sheet2!$B1999,매도완료!$P:$P)+SUMIF(ING!$J:$J,Sheet2!$B1999,ING!$P:$P)</f>
        <v>0</v>
      </c>
      <c r="E1999" s="16">
        <f t="shared" si="62"/>
        <v>125586707.68439998</v>
      </c>
      <c r="G1999" s="16">
        <f>IF(D1999=0,0,SUMIF(매도완료!$J:$J,Sheet2!$B1999,매도완료!$S:$S))+IF(D1999=0,0,SUMIF(ING!$J:$J,Sheet2!$B1999,ING!$S:$S))</f>
        <v>0</v>
      </c>
      <c r="H1999" s="16">
        <f t="shared" si="63"/>
        <v>33056648.193808939</v>
      </c>
    </row>
    <row r="2000" spans="2:8" hidden="1" x14ac:dyDescent="0.4">
      <c r="B2000" s="1">
        <v>44549</v>
      </c>
      <c r="C2000" s="16">
        <f>SUMIF(매도완료!$G:$G,Sheet2!$B2000,매도완료!$P:$P)+SUMIF(ING!$G:$G,Sheet2!$B2000,ING!$P:$P)</f>
        <v>0</v>
      </c>
      <c r="D2000" s="16">
        <f>SUMIF(매도완료!$J:$J,Sheet2!$B2000,매도완료!$P:$P)+SUMIF(ING!$J:$J,Sheet2!$B2000,ING!$P:$P)</f>
        <v>0</v>
      </c>
      <c r="E2000" s="16">
        <f t="shared" si="62"/>
        <v>125586707.68439998</v>
      </c>
      <c r="G2000" s="16">
        <f>IF(D2000=0,0,SUMIF(매도완료!$J:$J,Sheet2!$B2000,매도완료!$S:$S))+IF(D2000=0,0,SUMIF(ING!$J:$J,Sheet2!$B2000,ING!$S:$S))</f>
        <v>0</v>
      </c>
      <c r="H2000" s="16">
        <f t="shared" si="63"/>
        <v>33056648.193808939</v>
      </c>
    </row>
    <row r="2001" spans="2:8" hidden="1" x14ac:dyDescent="0.4">
      <c r="B2001" s="1">
        <v>44550</v>
      </c>
      <c r="C2001" s="16">
        <f>SUMIF(매도완료!$G:$G,Sheet2!$B2001,매도완료!$P:$P)+SUMIF(ING!$G:$G,Sheet2!$B2001,ING!$P:$P)</f>
        <v>0</v>
      </c>
      <c r="D2001" s="16">
        <f>SUMIF(매도완료!$J:$J,Sheet2!$B2001,매도완료!$P:$P)+SUMIF(ING!$J:$J,Sheet2!$B2001,ING!$P:$P)</f>
        <v>0</v>
      </c>
      <c r="E2001" s="16">
        <f t="shared" si="62"/>
        <v>125586707.68439998</v>
      </c>
      <c r="G2001" s="16">
        <f>IF(D2001=0,0,SUMIF(매도완료!$J:$J,Sheet2!$B2001,매도완료!$S:$S))+IF(D2001=0,0,SUMIF(ING!$J:$J,Sheet2!$B2001,ING!$S:$S))</f>
        <v>0</v>
      </c>
      <c r="H2001" s="16">
        <f t="shared" si="63"/>
        <v>33056648.193808939</v>
      </c>
    </row>
    <row r="2002" spans="2:8" hidden="1" x14ac:dyDescent="0.4">
      <c r="B2002" s="1">
        <v>44551</v>
      </c>
      <c r="C2002" s="16">
        <f>SUMIF(매도완료!$G:$G,Sheet2!$B2002,매도완료!$P:$P)+SUMIF(ING!$G:$G,Sheet2!$B2002,ING!$P:$P)</f>
        <v>0</v>
      </c>
      <c r="D2002" s="16">
        <f>SUMIF(매도완료!$J:$J,Sheet2!$B2002,매도완료!$P:$P)+SUMIF(ING!$J:$J,Sheet2!$B2002,ING!$P:$P)</f>
        <v>0</v>
      </c>
      <c r="E2002" s="16">
        <f t="shared" si="62"/>
        <v>125586707.68439998</v>
      </c>
      <c r="G2002" s="16">
        <f>IF(D2002=0,0,SUMIF(매도완료!$J:$J,Sheet2!$B2002,매도완료!$S:$S))+IF(D2002=0,0,SUMIF(ING!$J:$J,Sheet2!$B2002,ING!$S:$S))</f>
        <v>0</v>
      </c>
      <c r="H2002" s="16">
        <f t="shared" si="63"/>
        <v>33056648.193808939</v>
      </c>
    </row>
    <row r="2003" spans="2:8" hidden="1" x14ac:dyDescent="0.4">
      <c r="B2003" s="1">
        <v>44552</v>
      </c>
      <c r="C2003" s="16">
        <f>SUMIF(매도완료!$G:$G,Sheet2!$B2003,매도완료!$P:$P)+SUMIF(ING!$G:$G,Sheet2!$B2003,ING!$P:$P)</f>
        <v>0</v>
      </c>
      <c r="D2003" s="16">
        <f>SUMIF(매도완료!$J:$J,Sheet2!$B2003,매도완료!$P:$P)+SUMIF(ING!$J:$J,Sheet2!$B2003,ING!$P:$P)</f>
        <v>0</v>
      </c>
      <c r="E2003" s="16">
        <f t="shared" si="62"/>
        <v>125586707.68439998</v>
      </c>
      <c r="G2003" s="16">
        <f>IF(D2003=0,0,SUMIF(매도완료!$J:$J,Sheet2!$B2003,매도완료!$S:$S))+IF(D2003=0,0,SUMIF(ING!$J:$J,Sheet2!$B2003,ING!$S:$S))</f>
        <v>0</v>
      </c>
      <c r="H2003" s="16">
        <f t="shared" si="63"/>
        <v>33056648.193808939</v>
      </c>
    </row>
    <row r="2004" spans="2:8" hidden="1" x14ac:dyDescent="0.4">
      <c r="B2004" s="1">
        <v>44553</v>
      </c>
      <c r="C2004" s="16">
        <f>SUMIF(매도완료!$G:$G,Sheet2!$B2004,매도완료!$P:$P)+SUMIF(ING!$G:$G,Sheet2!$B2004,ING!$P:$P)</f>
        <v>0</v>
      </c>
      <c r="D2004" s="16">
        <f>SUMIF(매도완료!$J:$J,Sheet2!$B2004,매도완료!$P:$P)+SUMIF(ING!$J:$J,Sheet2!$B2004,ING!$P:$P)</f>
        <v>0</v>
      </c>
      <c r="E2004" s="16">
        <f t="shared" si="62"/>
        <v>125586707.68439998</v>
      </c>
      <c r="G2004" s="16">
        <f>IF(D2004=0,0,SUMIF(매도완료!$J:$J,Sheet2!$B2004,매도완료!$S:$S))+IF(D2004=0,0,SUMIF(ING!$J:$J,Sheet2!$B2004,ING!$S:$S))</f>
        <v>0</v>
      </c>
      <c r="H2004" s="16">
        <f t="shared" si="63"/>
        <v>33056648.193808939</v>
      </c>
    </row>
    <row r="2005" spans="2:8" hidden="1" x14ac:dyDescent="0.4">
      <c r="B2005" s="1">
        <v>44554</v>
      </c>
      <c r="C2005" s="16">
        <f>SUMIF(매도완료!$G:$G,Sheet2!$B2005,매도완료!$P:$P)+SUMIF(ING!$G:$G,Sheet2!$B2005,ING!$P:$P)</f>
        <v>0</v>
      </c>
      <c r="D2005" s="16">
        <f>SUMIF(매도완료!$J:$J,Sheet2!$B2005,매도완료!$P:$P)+SUMIF(ING!$J:$J,Sheet2!$B2005,ING!$P:$P)</f>
        <v>0</v>
      </c>
      <c r="E2005" s="16">
        <f t="shared" si="62"/>
        <v>125586707.68439998</v>
      </c>
      <c r="G2005" s="16">
        <f>IF(D2005=0,0,SUMIF(매도완료!$J:$J,Sheet2!$B2005,매도완료!$S:$S))+IF(D2005=0,0,SUMIF(ING!$J:$J,Sheet2!$B2005,ING!$S:$S))</f>
        <v>0</v>
      </c>
      <c r="H2005" s="16">
        <f t="shared" si="63"/>
        <v>33056648.193808939</v>
      </c>
    </row>
    <row r="2006" spans="2:8" hidden="1" x14ac:dyDescent="0.4">
      <c r="B2006" s="1">
        <v>44555</v>
      </c>
      <c r="C2006" s="16">
        <f>SUMIF(매도완료!$G:$G,Sheet2!$B2006,매도완료!$P:$P)+SUMIF(ING!$G:$G,Sheet2!$B2006,ING!$P:$P)</f>
        <v>0</v>
      </c>
      <c r="D2006" s="16">
        <f>SUMIF(매도완료!$J:$J,Sheet2!$B2006,매도완료!$P:$P)+SUMIF(ING!$J:$J,Sheet2!$B2006,ING!$P:$P)</f>
        <v>0</v>
      </c>
      <c r="E2006" s="16">
        <f t="shared" si="62"/>
        <v>125586707.68439998</v>
      </c>
      <c r="G2006" s="16">
        <f>IF(D2006=0,0,SUMIF(매도완료!$J:$J,Sheet2!$B2006,매도완료!$S:$S))+IF(D2006=0,0,SUMIF(ING!$J:$J,Sheet2!$B2006,ING!$S:$S))</f>
        <v>0</v>
      </c>
      <c r="H2006" s="16">
        <f t="shared" si="63"/>
        <v>33056648.193808939</v>
      </c>
    </row>
    <row r="2007" spans="2:8" hidden="1" x14ac:dyDescent="0.4">
      <c r="B2007" s="1">
        <v>44556</v>
      </c>
      <c r="C2007" s="16">
        <f>SUMIF(매도완료!$G:$G,Sheet2!$B2007,매도완료!$P:$P)+SUMIF(ING!$G:$G,Sheet2!$B2007,ING!$P:$P)</f>
        <v>0</v>
      </c>
      <c r="D2007" s="16">
        <f>SUMIF(매도완료!$J:$J,Sheet2!$B2007,매도완료!$P:$P)+SUMIF(ING!$J:$J,Sheet2!$B2007,ING!$P:$P)</f>
        <v>0</v>
      </c>
      <c r="E2007" s="16">
        <f t="shared" si="62"/>
        <v>125586707.68439998</v>
      </c>
      <c r="G2007" s="16">
        <f>IF(D2007=0,0,SUMIF(매도완료!$J:$J,Sheet2!$B2007,매도완료!$S:$S))+IF(D2007=0,0,SUMIF(ING!$J:$J,Sheet2!$B2007,ING!$S:$S))</f>
        <v>0</v>
      </c>
      <c r="H2007" s="16">
        <f t="shared" si="63"/>
        <v>33056648.193808939</v>
      </c>
    </row>
    <row r="2008" spans="2:8" hidden="1" x14ac:dyDescent="0.4">
      <c r="B2008" s="1">
        <v>44557</v>
      </c>
      <c r="C2008" s="16">
        <f>SUMIF(매도완료!$G:$G,Sheet2!$B2008,매도완료!$P:$P)+SUMIF(ING!$G:$G,Sheet2!$B2008,ING!$P:$P)</f>
        <v>0</v>
      </c>
      <c r="D2008" s="16">
        <f>SUMIF(매도완료!$J:$J,Sheet2!$B2008,매도완료!$P:$P)+SUMIF(ING!$J:$J,Sheet2!$B2008,ING!$P:$P)</f>
        <v>0</v>
      </c>
      <c r="E2008" s="16">
        <f t="shared" si="62"/>
        <v>125586707.68439998</v>
      </c>
      <c r="G2008" s="16">
        <f>IF(D2008=0,0,SUMIF(매도완료!$J:$J,Sheet2!$B2008,매도완료!$S:$S))+IF(D2008=0,0,SUMIF(ING!$J:$J,Sheet2!$B2008,ING!$S:$S))</f>
        <v>0</v>
      </c>
      <c r="H2008" s="16">
        <f t="shared" si="63"/>
        <v>33056648.193808939</v>
      </c>
    </row>
    <row r="2009" spans="2:8" hidden="1" x14ac:dyDescent="0.4">
      <c r="B2009" s="1">
        <v>44558</v>
      </c>
      <c r="C2009" s="16">
        <f>SUMIF(매도완료!$G:$G,Sheet2!$B2009,매도완료!$P:$P)+SUMIF(ING!$G:$G,Sheet2!$B2009,ING!$P:$P)</f>
        <v>0</v>
      </c>
      <c r="D2009" s="16">
        <f>SUMIF(매도완료!$J:$J,Sheet2!$B2009,매도완료!$P:$P)+SUMIF(ING!$J:$J,Sheet2!$B2009,ING!$P:$P)</f>
        <v>0</v>
      </c>
      <c r="E2009" s="16">
        <f t="shared" si="62"/>
        <v>125586707.68439998</v>
      </c>
      <c r="G2009" s="16">
        <f>IF(D2009=0,0,SUMIF(매도완료!$J:$J,Sheet2!$B2009,매도완료!$S:$S))+IF(D2009=0,0,SUMIF(ING!$J:$J,Sheet2!$B2009,ING!$S:$S))</f>
        <v>0</v>
      </c>
      <c r="H2009" s="16">
        <f t="shared" si="63"/>
        <v>33056648.193808939</v>
      </c>
    </row>
    <row r="2010" spans="2:8" hidden="1" x14ac:dyDescent="0.4">
      <c r="B2010" s="1">
        <v>44559</v>
      </c>
      <c r="C2010" s="16">
        <f>SUMIF(매도완료!$G:$G,Sheet2!$B2010,매도완료!$P:$P)+SUMIF(ING!$G:$G,Sheet2!$B2010,ING!$P:$P)</f>
        <v>0</v>
      </c>
      <c r="D2010" s="16">
        <f>SUMIF(매도완료!$J:$J,Sheet2!$B2010,매도완료!$P:$P)+SUMIF(ING!$J:$J,Sheet2!$B2010,ING!$P:$P)</f>
        <v>0</v>
      </c>
      <c r="E2010" s="16">
        <f t="shared" si="62"/>
        <v>125586707.68439998</v>
      </c>
      <c r="G2010" s="16">
        <f>IF(D2010=0,0,SUMIF(매도완료!$J:$J,Sheet2!$B2010,매도완료!$S:$S))+IF(D2010=0,0,SUMIF(ING!$J:$J,Sheet2!$B2010,ING!$S:$S))</f>
        <v>0</v>
      </c>
      <c r="H2010" s="16">
        <f t="shared" si="63"/>
        <v>33056648.193808939</v>
      </c>
    </row>
    <row r="2011" spans="2:8" hidden="1" x14ac:dyDescent="0.4">
      <c r="B2011" s="1">
        <v>44560</v>
      </c>
      <c r="C2011" s="16">
        <f>SUMIF(매도완료!$G:$G,Sheet2!$B2011,매도완료!$P:$P)+SUMIF(ING!$G:$G,Sheet2!$B2011,ING!$P:$P)</f>
        <v>0</v>
      </c>
      <c r="D2011" s="16">
        <f>SUMIF(매도완료!$J:$J,Sheet2!$B2011,매도완료!$P:$P)+SUMIF(ING!$J:$J,Sheet2!$B2011,ING!$P:$P)</f>
        <v>0</v>
      </c>
      <c r="E2011" s="16">
        <f t="shared" si="62"/>
        <v>125586707.68439998</v>
      </c>
      <c r="G2011" s="16">
        <f>IF(D2011=0,0,SUMIF(매도완료!$J:$J,Sheet2!$B2011,매도완료!$S:$S))+IF(D2011=0,0,SUMIF(ING!$J:$J,Sheet2!$B2011,ING!$S:$S))</f>
        <v>0</v>
      </c>
      <c r="H2011" s="16">
        <f t="shared" si="63"/>
        <v>33056648.193808939</v>
      </c>
    </row>
    <row r="2012" spans="2:8" hidden="1" x14ac:dyDescent="0.4">
      <c r="B2012" s="1">
        <v>44561</v>
      </c>
      <c r="C2012" s="16">
        <f>SUMIF(매도완료!$G:$G,Sheet2!$B2012,매도완료!$P:$P)+SUMIF(ING!$G:$G,Sheet2!$B2012,ING!$P:$P)</f>
        <v>0</v>
      </c>
      <c r="D2012" s="16">
        <f>SUMIF(매도완료!$J:$J,Sheet2!$B2012,매도완료!$P:$P)+SUMIF(ING!$J:$J,Sheet2!$B2012,ING!$P:$P)</f>
        <v>0</v>
      </c>
      <c r="E2012" s="16">
        <f t="shared" si="62"/>
        <v>125586707.68439998</v>
      </c>
      <c r="G2012" s="16">
        <f>IF(D2012=0,0,SUMIF(매도완료!$J:$J,Sheet2!$B2012,매도완료!$S:$S))+IF(D2012=0,0,SUMIF(ING!$J:$J,Sheet2!$B2012,ING!$S:$S))</f>
        <v>0</v>
      </c>
      <c r="H2012" s="16">
        <f t="shared" si="63"/>
        <v>33056648.193808939</v>
      </c>
    </row>
    <row r="2013" spans="2:8" x14ac:dyDescent="0.4">
      <c r="B2013" s="1">
        <v>44562</v>
      </c>
      <c r="C2013" s="16">
        <f>SUMIF(매도완료!$G:$G,Sheet2!$B2013,매도완료!$P:$P)+SUMIF(ING!$G:$G,Sheet2!$B2013,ING!$P:$P)</f>
        <v>0</v>
      </c>
      <c r="D2013" s="16">
        <f>SUMIF(매도완료!$J:$J,Sheet2!$B2013,매도완료!$P:$P)+SUMIF(ING!$J:$J,Sheet2!$B2013,ING!$P:$P)</f>
        <v>0</v>
      </c>
      <c r="E2013" s="16">
        <f t="shared" si="62"/>
        <v>125586707.68439998</v>
      </c>
      <c r="G2013" s="16">
        <f>IF(D2013=0,0,SUMIF(매도완료!$J:$J,Sheet2!$B2013,매도완료!$S:$S))+IF(D2013=0,0,SUMIF(ING!$J:$J,Sheet2!$B2013,ING!$S:$S))</f>
        <v>0</v>
      </c>
      <c r="H2013" s="16">
        <f t="shared" si="63"/>
        <v>33056648.193808939</v>
      </c>
    </row>
    <row r="2014" spans="2:8" hidden="1" x14ac:dyDescent="0.4">
      <c r="B2014" s="1">
        <v>44563</v>
      </c>
      <c r="C2014" s="16">
        <f>SUMIF(매도완료!$G:$G,Sheet2!$B2014,매도완료!$P:$P)+SUMIF(ING!$G:$G,Sheet2!$B2014,ING!$P:$P)</f>
        <v>0</v>
      </c>
      <c r="D2014" s="16">
        <f>SUMIF(매도완료!$J:$J,Sheet2!$B2014,매도완료!$P:$P)+SUMIF(ING!$J:$J,Sheet2!$B2014,ING!$P:$P)</f>
        <v>0</v>
      </c>
      <c r="E2014" s="16">
        <f t="shared" si="62"/>
        <v>125586707.68439998</v>
      </c>
      <c r="G2014" s="16">
        <f>IF(D2014=0,0,SUMIF(매도완료!$J:$J,Sheet2!$B2014,매도완료!$S:$S))+IF(D2014=0,0,SUMIF(ING!$J:$J,Sheet2!$B2014,ING!$S:$S))</f>
        <v>0</v>
      </c>
      <c r="H2014" s="16">
        <f t="shared" si="63"/>
        <v>33056648.193808939</v>
      </c>
    </row>
    <row r="2015" spans="2:8" hidden="1" x14ac:dyDescent="0.4">
      <c r="B2015" s="1">
        <v>44564</v>
      </c>
      <c r="C2015" s="16">
        <f>SUMIF(매도완료!$G:$G,Sheet2!$B2015,매도완료!$P:$P)+SUMIF(ING!$G:$G,Sheet2!$B2015,ING!$P:$P)</f>
        <v>0</v>
      </c>
      <c r="D2015" s="16">
        <f>SUMIF(매도완료!$J:$J,Sheet2!$B2015,매도완료!$P:$P)+SUMIF(ING!$J:$J,Sheet2!$B2015,ING!$P:$P)</f>
        <v>0</v>
      </c>
      <c r="E2015" s="16">
        <f t="shared" si="62"/>
        <v>125586707.68439998</v>
      </c>
      <c r="G2015" s="16">
        <f>IF(D2015=0,0,SUMIF(매도완료!$J:$J,Sheet2!$B2015,매도완료!$S:$S))+IF(D2015=0,0,SUMIF(ING!$J:$J,Sheet2!$B2015,ING!$S:$S))</f>
        <v>0</v>
      </c>
      <c r="H2015" s="16">
        <f t="shared" si="63"/>
        <v>33056648.193808939</v>
      </c>
    </row>
    <row r="2016" spans="2:8" hidden="1" x14ac:dyDescent="0.4">
      <c r="B2016" s="1">
        <v>44565</v>
      </c>
      <c r="C2016" s="16">
        <f>SUMIF(매도완료!$G:$G,Sheet2!$B2016,매도완료!$P:$P)+SUMIF(ING!$G:$G,Sheet2!$B2016,ING!$P:$P)</f>
        <v>0</v>
      </c>
      <c r="D2016" s="16">
        <f>SUMIF(매도완료!$J:$J,Sheet2!$B2016,매도완료!$P:$P)+SUMIF(ING!$J:$J,Sheet2!$B2016,ING!$P:$P)</f>
        <v>0</v>
      </c>
      <c r="E2016" s="16">
        <f t="shared" si="62"/>
        <v>125586707.68439998</v>
      </c>
      <c r="G2016" s="16">
        <f>IF(D2016=0,0,SUMIF(매도완료!$J:$J,Sheet2!$B2016,매도완료!$S:$S))+IF(D2016=0,0,SUMIF(ING!$J:$J,Sheet2!$B2016,ING!$S:$S))</f>
        <v>0</v>
      </c>
      <c r="H2016" s="16">
        <f t="shared" si="63"/>
        <v>33056648.193808939</v>
      </c>
    </row>
    <row r="2017" spans="2:8" hidden="1" x14ac:dyDescent="0.4">
      <c r="B2017" s="1">
        <v>44566</v>
      </c>
      <c r="C2017" s="16">
        <f>SUMIF(매도완료!$G:$G,Sheet2!$B2017,매도완료!$P:$P)+SUMIF(ING!$G:$G,Sheet2!$B2017,ING!$P:$P)</f>
        <v>0</v>
      </c>
      <c r="D2017" s="16">
        <f>SUMIF(매도완료!$J:$J,Sheet2!$B2017,매도완료!$P:$P)+SUMIF(ING!$J:$J,Sheet2!$B2017,ING!$P:$P)</f>
        <v>0</v>
      </c>
      <c r="E2017" s="16">
        <f t="shared" si="62"/>
        <v>125586707.68439998</v>
      </c>
      <c r="G2017" s="16">
        <f>IF(D2017=0,0,SUMIF(매도완료!$J:$J,Sheet2!$B2017,매도완료!$S:$S))+IF(D2017=0,0,SUMIF(ING!$J:$J,Sheet2!$B2017,ING!$S:$S))</f>
        <v>0</v>
      </c>
      <c r="H2017" s="16">
        <f t="shared" si="63"/>
        <v>33056648.193808939</v>
      </c>
    </row>
    <row r="2018" spans="2:8" hidden="1" x14ac:dyDescent="0.4">
      <c r="B2018" s="1">
        <v>44567</v>
      </c>
      <c r="C2018" s="16">
        <f>SUMIF(매도완료!$G:$G,Sheet2!$B2018,매도완료!$P:$P)+SUMIF(ING!$G:$G,Sheet2!$B2018,ING!$P:$P)</f>
        <v>0</v>
      </c>
      <c r="D2018" s="16">
        <f>SUMIF(매도완료!$J:$J,Sheet2!$B2018,매도완료!$P:$P)+SUMIF(ING!$J:$J,Sheet2!$B2018,ING!$P:$P)</f>
        <v>0</v>
      </c>
      <c r="E2018" s="16">
        <f t="shared" si="62"/>
        <v>125586707.68439998</v>
      </c>
      <c r="G2018" s="16">
        <f>IF(D2018=0,0,SUMIF(매도완료!$J:$J,Sheet2!$B2018,매도완료!$S:$S))+IF(D2018=0,0,SUMIF(ING!$J:$J,Sheet2!$B2018,ING!$S:$S))</f>
        <v>0</v>
      </c>
      <c r="H2018" s="16">
        <f t="shared" si="63"/>
        <v>33056648.193808939</v>
      </c>
    </row>
    <row r="2019" spans="2:8" hidden="1" x14ac:dyDescent="0.4">
      <c r="B2019" s="1">
        <v>44568</v>
      </c>
      <c r="C2019" s="16">
        <f>SUMIF(매도완료!$G:$G,Sheet2!$B2019,매도완료!$P:$P)+SUMIF(ING!$G:$G,Sheet2!$B2019,ING!$P:$P)</f>
        <v>0</v>
      </c>
      <c r="D2019" s="16">
        <f>SUMIF(매도완료!$J:$J,Sheet2!$B2019,매도완료!$P:$P)+SUMIF(ING!$J:$J,Sheet2!$B2019,ING!$P:$P)</f>
        <v>0</v>
      </c>
      <c r="E2019" s="16">
        <f t="shared" si="62"/>
        <v>125586707.68439998</v>
      </c>
      <c r="G2019" s="16">
        <f>IF(D2019=0,0,SUMIF(매도완료!$J:$J,Sheet2!$B2019,매도완료!$S:$S))+IF(D2019=0,0,SUMIF(ING!$J:$J,Sheet2!$B2019,ING!$S:$S))</f>
        <v>0</v>
      </c>
      <c r="H2019" s="16">
        <f t="shared" si="63"/>
        <v>33056648.193808939</v>
      </c>
    </row>
    <row r="2020" spans="2:8" hidden="1" x14ac:dyDescent="0.4">
      <c r="B2020" s="1">
        <v>44569</v>
      </c>
      <c r="C2020" s="16">
        <f>SUMIF(매도완료!$G:$G,Sheet2!$B2020,매도완료!$P:$P)+SUMIF(ING!$G:$G,Sheet2!$B2020,ING!$P:$P)</f>
        <v>0</v>
      </c>
      <c r="D2020" s="16">
        <f>SUMIF(매도완료!$J:$J,Sheet2!$B2020,매도완료!$P:$P)+SUMIF(ING!$J:$J,Sheet2!$B2020,ING!$P:$P)</f>
        <v>0</v>
      </c>
      <c r="E2020" s="16">
        <f t="shared" si="62"/>
        <v>125586707.68439998</v>
      </c>
      <c r="G2020" s="16">
        <f>IF(D2020=0,0,SUMIF(매도완료!$J:$J,Sheet2!$B2020,매도완료!$S:$S))+IF(D2020=0,0,SUMIF(ING!$J:$J,Sheet2!$B2020,ING!$S:$S))</f>
        <v>0</v>
      </c>
      <c r="H2020" s="16">
        <f t="shared" si="63"/>
        <v>33056648.193808939</v>
      </c>
    </row>
    <row r="2021" spans="2:8" hidden="1" x14ac:dyDescent="0.4">
      <c r="B2021" s="1">
        <v>44570</v>
      </c>
      <c r="C2021" s="16">
        <f>SUMIF(매도완료!$G:$G,Sheet2!$B2021,매도완료!$P:$P)+SUMIF(ING!$G:$G,Sheet2!$B2021,ING!$P:$P)</f>
        <v>0</v>
      </c>
      <c r="D2021" s="16">
        <f>SUMIF(매도완료!$J:$J,Sheet2!$B2021,매도완료!$P:$P)+SUMIF(ING!$J:$J,Sheet2!$B2021,ING!$P:$P)</f>
        <v>0</v>
      </c>
      <c r="E2021" s="16">
        <f t="shared" si="62"/>
        <v>125586707.68439998</v>
      </c>
      <c r="G2021" s="16">
        <f>IF(D2021=0,0,SUMIF(매도완료!$J:$J,Sheet2!$B2021,매도완료!$S:$S))+IF(D2021=0,0,SUMIF(ING!$J:$J,Sheet2!$B2021,ING!$S:$S))</f>
        <v>0</v>
      </c>
      <c r="H2021" s="16">
        <f t="shared" si="63"/>
        <v>33056648.193808939</v>
      </c>
    </row>
    <row r="2022" spans="2:8" hidden="1" x14ac:dyDescent="0.4">
      <c r="B2022" s="1">
        <v>44571</v>
      </c>
      <c r="C2022" s="16">
        <f>SUMIF(매도완료!$G:$G,Sheet2!$B2022,매도완료!$P:$P)+SUMIF(ING!$G:$G,Sheet2!$B2022,ING!$P:$P)</f>
        <v>0</v>
      </c>
      <c r="D2022" s="16">
        <f>SUMIF(매도완료!$J:$J,Sheet2!$B2022,매도완료!$P:$P)+SUMIF(ING!$J:$J,Sheet2!$B2022,ING!$P:$P)</f>
        <v>0</v>
      </c>
      <c r="E2022" s="16">
        <f t="shared" si="62"/>
        <v>125586707.68439998</v>
      </c>
      <c r="G2022" s="16">
        <f>IF(D2022=0,0,SUMIF(매도완료!$J:$J,Sheet2!$B2022,매도완료!$S:$S))+IF(D2022=0,0,SUMIF(ING!$J:$J,Sheet2!$B2022,ING!$S:$S))</f>
        <v>0</v>
      </c>
      <c r="H2022" s="16">
        <f t="shared" si="63"/>
        <v>33056648.193808939</v>
      </c>
    </row>
    <row r="2023" spans="2:8" hidden="1" x14ac:dyDescent="0.4">
      <c r="B2023" s="1">
        <v>44572</v>
      </c>
      <c r="C2023" s="16">
        <f>SUMIF(매도완료!$G:$G,Sheet2!$B2023,매도완료!$P:$P)+SUMIF(ING!$G:$G,Sheet2!$B2023,ING!$P:$P)</f>
        <v>0</v>
      </c>
      <c r="D2023" s="16">
        <f>SUMIF(매도완료!$J:$J,Sheet2!$B2023,매도완료!$P:$P)+SUMIF(ING!$J:$J,Sheet2!$B2023,ING!$P:$P)</f>
        <v>0</v>
      </c>
      <c r="E2023" s="16">
        <f t="shared" si="62"/>
        <v>125586707.68439998</v>
      </c>
      <c r="G2023" s="16">
        <f>IF(D2023=0,0,SUMIF(매도완료!$J:$J,Sheet2!$B2023,매도완료!$S:$S))+IF(D2023=0,0,SUMIF(ING!$J:$J,Sheet2!$B2023,ING!$S:$S))</f>
        <v>0</v>
      </c>
      <c r="H2023" s="16">
        <f t="shared" si="63"/>
        <v>33056648.193808939</v>
      </c>
    </row>
    <row r="2024" spans="2:8" hidden="1" x14ac:dyDescent="0.4">
      <c r="B2024" s="1">
        <v>44573</v>
      </c>
      <c r="C2024" s="16">
        <f>SUMIF(매도완료!$G:$G,Sheet2!$B2024,매도완료!$P:$P)+SUMIF(ING!$G:$G,Sheet2!$B2024,ING!$P:$P)</f>
        <v>0</v>
      </c>
      <c r="D2024" s="16">
        <f>SUMIF(매도완료!$J:$J,Sheet2!$B2024,매도완료!$P:$P)+SUMIF(ING!$J:$J,Sheet2!$B2024,ING!$P:$P)</f>
        <v>0</v>
      </c>
      <c r="E2024" s="16">
        <f t="shared" si="62"/>
        <v>125586707.68439998</v>
      </c>
      <c r="G2024" s="16">
        <f>IF(D2024=0,0,SUMIF(매도완료!$J:$J,Sheet2!$B2024,매도완료!$S:$S))+IF(D2024=0,0,SUMIF(ING!$J:$J,Sheet2!$B2024,ING!$S:$S))</f>
        <v>0</v>
      </c>
      <c r="H2024" s="16">
        <f t="shared" si="63"/>
        <v>33056648.193808939</v>
      </c>
    </row>
    <row r="2025" spans="2:8" hidden="1" x14ac:dyDescent="0.4">
      <c r="B2025" s="1">
        <v>44574</v>
      </c>
      <c r="C2025" s="16">
        <f>SUMIF(매도완료!$G:$G,Sheet2!$B2025,매도완료!$P:$P)+SUMIF(ING!$G:$G,Sheet2!$B2025,ING!$P:$P)</f>
        <v>0</v>
      </c>
      <c r="D2025" s="16">
        <f>SUMIF(매도완료!$J:$J,Sheet2!$B2025,매도완료!$P:$P)+SUMIF(ING!$J:$J,Sheet2!$B2025,ING!$P:$P)</f>
        <v>0</v>
      </c>
      <c r="E2025" s="16">
        <f t="shared" si="62"/>
        <v>125586707.68439998</v>
      </c>
      <c r="G2025" s="16">
        <f>IF(D2025=0,0,SUMIF(매도완료!$J:$J,Sheet2!$B2025,매도완료!$S:$S))+IF(D2025=0,0,SUMIF(ING!$J:$J,Sheet2!$B2025,ING!$S:$S))</f>
        <v>0</v>
      </c>
      <c r="H2025" s="16">
        <f t="shared" si="63"/>
        <v>33056648.193808939</v>
      </c>
    </row>
    <row r="2026" spans="2:8" hidden="1" x14ac:dyDescent="0.4">
      <c r="B2026" s="1">
        <v>44575</v>
      </c>
      <c r="C2026" s="16">
        <f>SUMIF(매도완료!$G:$G,Sheet2!$B2026,매도완료!$P:$P)+SUMIF(ING!$G:$G,Sheet2!$B2026,ING!$P:$P)</f>
        <v>0</v>
      </c>
      <c r="D2026" s="16">
        <f>SUMIF(매도완료!$J:$J,Sheet2!$B2026,매도완료!$P:$P)+SUMIF(ING!$J:$J,Sheet2!$B2026,ING!$P:$P)</f>
        <v>0</v>
      </c>
      <c r="E2026" s="16">
        <f t="shared" si="62"/>
        <v>125586707.68439998</v>
      </c>
      <c r="G2026" s="16">
        <f>IF(D2026=0,0,SUMIF(매도완료!$J:$J,Sheet2!$B2026,매도완료!$S:$S))+IF(D2026=0,0,SUMIF(ING!$J:$J,Sheet2!$B2026,ING!$S:$S))</f>
        <v>0</v>
      </c>
      <c r="H2026" s="16">
        <f t="shared" si="63"/>
        <v>33056648.193808939</v>
      </c>
    </row>
    <row r="2027" spans="2:8" hidden="1" x14ac:dyDescent="0.4">
      <c r="B2027" s="1">
        <v>44576</v>
      </c>
      <c r="C2027" s="16">
        <f>SUMIF(매도완료!$G:$G,Sheet2!$B2027,매도완료!$P:$P)+SUMIF(ING!$G:$G,Sheet2!$B2027,ING!$P:$P)</f>
        <v>0</v>
      </c>
      <c r="D2027" s="16">
        <f>SUMIF(매도완료!$J:$J,Sheet2!$B2027,매도완료!$P:$P)+SUMIF(ING!$J:$J,Sheet2!$B2027,ING!$P:$P)</f>
        <v>0</v>
      </c>
      <c r="E2027" s="16">
        <f t="shared" si="62"/>
        <v>125586707.68439998</v>
      </c>
      <c r="G2027" s="16">
        <f>IF(D2027=0,0,SUMIF(매도완료!$J:$J,Sheet2!$B2027,매도완료!$S:$S))+IF(D2027=0,0,SUMIF(ING!$J:$J,Sheet2!$B2027,ING!$S:$S))</f>
        <v>0</v>
      </c>
      <c r="H2027" s="16">
        <f t="shared" si="63"/>
        <v>33056648.193808939</v>
      </c>
    </row>
    <row r="2028" spans="2:8" hidden="1" x14ac:dyDescent="0.4">
      <c r="B2028" s="1">
        <v>44577</v>
      </c>
      <c r="C2028" s="16">
        <f>SUMIF(매도완료!$G:$G,Sheet2!$B2028,매도완료!$P:$P)+SUMIF(ING!$G:$G,Sheet2!$B2028,ING!$P:$P)</f>
        <v>0</v>
      </c>
      <c r="D2028" s="16">
        <f>SUMIF(매도완료!$J:$J,Sheet2!$B2028,매도완료!$P:$P)+SUMIF(ING!$J:$J,Sheet2!$B2028,ING!$P:$P)</f>
        <v>0</v>
      </c>
      <c r="E2028" s="16">
        <f t="shared" si="62"/>
        <v>125586707.68439998</v>
      </c>
      <c r="G2028" s="16">
        <f>IF(D2028=0,0,SUMIF(매도완료!$J:$J,Sheet2!$B2028,매도완료!$S:$S))+IF(D2028=0,0,SUMIF(ING!$J:$J,Sheet2!$B2028,ING!$S:$S))</f>
        <v>0</v>
      </c>
      <c r="H2028" s="16">
        <f t="shared" si="63"/>
        <v>33056648.193808939</v>
      </c>
    </row>
    <row r="2029" spans="2:8" hidden="1" x14ac:dyDescent="0.4">
      <c r="B2029" s="1">
        <v>44578</v>
      </c>
      <c r="C2029" s="16">
        <f>SUMIF(매도완료!$G:$G,Sheet2!$B2029,매도완료!$P:$P)+SUMIF(ING!$G:$G,Sheet2!$B2029,ING!$P:$P)</f>
        <v>0</v>
      </c>
      <c r="D2029" s="16">
        <f>SUMIF(매도완료!$J:$J,Sheet2!$B2029,매도완료!$P:$P)+SUMIF(ING!$J:$J,Sheet2!$B2029,ING!$P:$P)</f>
        <v>0</v>
      </c>
      <c r="E2029" s="16">
        <f t="shared" si="62"/>
        <v>125586707.68439998</v>
      </c>
      <c r="G2029" s="16">
        <f>IF(D2029=0,0,SUMIF(매도완료!$J:$J,Sheet2!$B2029,매도완료!$S:$S))+IF(D2029=0,0,SUMIF(ING!$J:$J,Sheet2!$B2029,ING!$S:$S))</f>
        <v>0</v>
      </c>
      <c r="H2029" s="16">
        <f t="shared" si="63"/>
        <v>33056648.193808939</v>
      </c>
    </row>
    <row r="2030" spans="2:8" hidden="1" x14ac:dyDescent="0.4">
      <c r="B2030" s="1">
        <v>44579</v>
      </c>
      <c r="C2030" s="16">
        <f>SUMIF(매도완료!$G:$G,Sheet2!$B2030,매도완료!$P:$P)+SUMIF(ING!$G:$G,Sheet2!$B2030,ING!$P:$P)</f>
        <v>0</v>
      </c>
      <c r="D2030" s="16">
        <f>SUMIF(매도완료!$J:$J,Sheet2!$B2030,매도완료!$P:$P)+SUMIF(ING!$J:$J,Sheet2!$B2030,ING!$P:$P)</f>
        <v>0</v>
      </c>
      <c r="E2030" s="16">
        <f t="shared" si="62"/>
        <v>125586707.68439998</v>
      </c>
      <c r="G2030" s="16">
        <f>IF(D2030=0,0,SUMIF(매도완료!$J:$J,Sheet2!$B2030,매도완료!$S:$S))+IF(D2030=0,0,SUMIF(ING!$J:$J,Sheet2!$B2030,ING!$S:$S))</f>
        <v>0</v>
      </c>
      <c r="H2030" s="16">
        <f t="shared" si="63"/>
        <v>33056648.193808939</v>
      </c>
    </row>
    <row r="2031" spans="2:8" hidden="1" x14ac:dyDescent="0.4">
      <c r="B2031" s="1">
        <v>44580</v>
      </c>
      <c r="C2031" s="16">
        <f>SUMIF(매도완료!$G:$G,Sheet2!$B2031,매도완료!$P:$P)+SUMIF(ING!$G:$G,Sheet2!$B2031,ING!$P:$P)</f>
        <v>0</v>
      </c>
      <c r="D2031" s="16">
        <f>SUMIF(매도완료!$J:$J,Sheet2!$B2031,매도완료!$P:$P)+SUMIF(ING!$J:$J,Sheet2!$B2031,ING!$P:$P)</f>
        <v>0</v>
      </c>
      <c r="E2031" s="16">
        <f t="shared" si="62"/>
        <v>125586707.68439998</v>
      </c>
      <c r="G2031" s="16">
        <f>IF(D2031=0,0,SUMIF(매도완료!$J:$J,Sheet2!$B2031,매도완료!$S:$S))+IF(D2031=0,0,SUMIF(ING!$J:$J,Sheet2!$B2031,ING!$S:$S))</f>
        <v>0</v>
      </c>
      <c r="H2031" s="16">
        <f t="shared" si="63"/>
        <v>33056648.193808939</v>
      </c>
    </row>
    <row r="2032" spans="2:8" hidden="1" x14ac:dyDescent="0.4">
      <c r="B2032" s="1">
        <v>44581</v>
      </c>
      <c r="C2032" s="16">
        <f>SUMIF(매도완료!$G:$G,Sheet2!$B2032,매도완료!$P:$P)+SUMIF(ING!$G:$G,Sheet2!$B2032,ING!$P:$P)</f>
        <v>0</v>
      </c>
      <c r="D2032" s="16">
        <f>SUMIF(매도완료!$J:$J,Sheet2!$B2032,매도완료!$P:$P)+SUMIF(ING!$J:$J,Sheet2!$B2032,ING!$P:$P)</f>
        <v>0</v>
      </c>
      <c r="E2032" s="16">
        <f t="shared" si="62"/>
        <v>125586707.68439998</v>
      </c>
      <c r="G2032" s="16">
        <f>IF(D2032=0,0,SUMIF(매도완료!$J:$J,Sheet2!$B2032,매도완료!$S:$S))+IF(D2032=0,0,SUMIF(ING!$J:$J,Sheet2!$B2032,ING!$S:$S))</f>
        <v>0</v>
      </c>
      <c r="H2032" s="16">
        <f t="shared" si="63"/>
        <v>33056648.193808939</v>
      </c>
    </row>
    <row r="2033" spans="2:8" hidden="1" x14ac:dyDescent="0.4">
      <c r="B2033" s="1">
        <v>44582</v>
      </c>
      <c r="C2033" s="16">
        <f>SUMIF(매도완료!$G:$G,Sheet2!$B2033,매도완료!$P:$P)+SUMIF(ING!$G:$G,Sheet2!$B2033,ING!$P:$P)</f>
        <v>0</v>
      </c>
      <c r="D2033" s="16">
        <f>SUMIF(매도완료!$J:$J,Sheet2!$B2033,매도완료!$P:$P)+SUMIF(ING!$J:$J,Sheet2!$B2033,ING!$P:$P)</f>
        <v>0</v>
      </c>
      <c r="E2033" s="16">
        <f t="shared" si="62"/>
        <v>125586707.68439998</v>
      </c>
      <c r="G2033" s="16">
        <f>IF(D2033=0,0,SUMIF(매도완료!$J:$J,Sheet2!$B2033,매도완료!$S:$S))+IF(D2033=0,0,SUMIF(ING!$J:$J,Sheet2!$B2033,ING!$S:$S))</f>
        <v>0</v>
      </c>
      <c r="H2033" s="16">
        <f t="shared" si="63"/>
        <v>33056648.193808939</v>
      </c>
    </row>
    <row r="2034" spans="2:8" hidden="1" x14ac:dyDescent="0.4">
      <c r="B2034" s="1">
        <v>44583</v>
      </c>
      <c r="C2034" s="16">
        <f>SUMIF(매도완료!$G:$G,Sheet2!$B2034,매도완료!$P:$P)+SUMIF(ING!$G:$G,Sheet2!$B2034,ING!$P:$P)</f>
        <v>0</v>
      </c>
      <c r="D2034" s="16">
        <f>SUMIF(매도완료!$J:$J,Sheet2!$B2034,매도완료!$P:$P)+SUMIF(ING!$J:$J,Sheet2!$B2034,ING!$P:$P)</f>
        <v>0</v>
      </c>
      <c r="E2034" s="16">
        <f t="shared" si="62"/>
        <v>125586707.68439998</v>
      </c>
      <c r="G2034" s="16">
        <f>IF(D2034=0,0,SUMIF(매도완료!$J:$J,Sheet2!$B2034,매도완료!$S:$S))+IF(D2034=0,0,SUMIF(ING!$J:$J,Sheet2!$B2034,ING!$S:$S))</f>
        <v>0</v>
      </c>
      <c r="H2034" s="16">
        <f t="shared" si="63"/>
        <v>33056648.193808939</v>
      </c>
    </row>
    <row r="2035" spans="2:8" hidden="1" x14ac:dyDescent="0.4">
      <c r="B2035" s="1">
        <v>44584</v>
      </c>
      <c r="C2035" s="16">
        <f>SUMIF(매도완료!$G:$G,Sheet2!$B2035,매도완료!$P:$P)+SUMIF(ING!$G:$G,Sheet2!$B2035,ING!$P:$P)</f>
        <v>0</v>
      </c>
      <c r="D2035" s="16">
        <f>SUMIF(매도완료!$J:$J,Sheet2!$B2035,매도완료!$P:$P)+SUMIF(ING!$J:$J,Sheet2!$B2035,ING!$P:$P)</f>
        <v>0</v>
      </c>
      <c r="E2035" s="16">
        <f t="shared" si="62"/>
        <v>125586707.68439998</v>
      </c>
      <c r="G2035" s="16">
        <f>IF(D2035=0,0,SUMIF(매도완료!$J:$J,Sheet2!$B2035,매도완료!$S:$S))+IF(D2035=0,0,SUMIF(ING!$J:$J,Sheet2!$B2035,ING!$S:$S))</f>
        <v>0</v>
      </c>
      <c r="H2035" s="16">
        <f t="shared" si="63"/>
        <v>33056648.193808939</v>
      </c>
    </row>
    <row r="2036" spans="2:8" hidden="1" x14ac:dyDescent="0.4">
      <c r="B2036" s="1">
        <v>44585</v>
      </c>
      <c r="C2036" s="16">
        <f>SUMIF(매도완료!$G:$G,Sheet2!$B2036,매도완료!$P:$P)+SUMIF(ING!$G:$G,Sheet2!$B2036,ING!$P:$P)</f>
        <v>0</v>
      </c>
      <c r="D2036" s="16">
        <f>SUMIF(매도완료!$J:$J,Sheet2!$B2036,매도완료!$P:$P)+SUMIF(ING!$J:$J,Sheet2!$B2036,ING!$P:$P)</f>
        <v>0</v>
      </c>
      <c r="E2036" s="16">
        <f t="shared" si="62"/>
        <v>125586707.68439998</v>
      </c>
      <c r="G2036" s="16">
        <f>IF(D2036=0,0,SUMIF(매도완료!$J:$J,Sheet2!$B2036,매도완료!$S:$S))+IF(D2036=0,0,SUMIF(ING!$J:$J,Sheet2!$B2036,ING!$S:$S))</f>
        <v>0</v>
      </c>
      <c r="H2036" s="16">
        <f t="shared" si="63"/>
        <v>33056648.193808939</v>
      </c>
    </row>
    <row r="2037" spans="2:8" hidden="1" x14ac:dyDescent="0.4">
      <c r="B2037" s="1">
        <v>44586</v>
      </c>
      <c r="C2037" s="16">
        <f>SUMIF(매도완료!$G:$G,Sheet2!$B2037,매도완료!$P:$P)+SUMIF(ING!$G:$G,Sheet2!$B2037,ING!$P:$P)</f>
        <v>0</v>
      </c>
      <c r="D2037" s="16">
        <f>SUMIF(매도완료!$J:$J,Sheet2!$B2037,매도완료!$P:$P)+SUMIF(ING!$J:$J,Sheet2!$B2037,ING!$P:$P)</f>
        <v>0</v>
      </c>
      <c r="E2037" s="16">
        <f t="shared" si="62"/>
        <v>125586707.68439998</v>
      </c>
      <c r="G2037" s="16">
        <f>IF(D2037=0,0,SUMIF(매도완료!$J:$J,Sheet2!$B2037,매도완료!$S:$S))+IF(D2037=0,0,SUMIF(ING!$J:$J,Sheet2!$B2037,ING!$S:$S))</f>
        <v>0</v>
      </c>
      <c r="H2037" s="16">
        <f t="shared" si="63"/>
        <v>33056648.193808939</v>
      </c>
    </row>
    <row r="2038" spans="2:8" hidden="1" x14ac:dyDescent="0.4">
      <c r="B2038" s="1">
        <v>44587</v>
      </c>
      <c r="C2038" s="16">
        <f>SUMIF(매도완료!$G:$G,Sheet2!$B2038,매도완료!$P:$P)+SUMIF(ING!$G:$G,Sheet2!$B2038,ING!$P:$P)</f>
        <v>0</v>
      </c>
      <c r="D2038" s="16">
        <f>SUMIF(매도완료!$J:$J,Sheet2!$B2038,매도완료!$P:$P)+SUMIF(ING!$J:$J,Sheet2!$B2038,ING!$P:$P)</f>
        <v>0</v>
      </c>
      <c r="E2038" s="16">
        <f t="shared" si="62"/>
        <v>125586707.68439998</v>
      </c>
      <c r="G2038" s="16">
        <f>IF(D2038=0,0,SUMIF(매도완료!$J:$J,Sheet2!$B2038,매도완료!$S:$S))+IF(D2038=0,0,SUMIF(ING!$J:$J,Sheet2!$B2038,ING!$S:$S))</f>
        <v>0</v>
      </c>
      <c r="H2038" s="16">
        <f t="shared" si="63"/>
        <v>33056648.193808939</v>
      </c>
    </row>
    <row r="2039" spans="2:8" hidden="1" x14ac:dyDescent="0.4">
      <c r="B2039" s="1">
        <v>44588</v>
      </c>
      <c r="C2039" s="16">
        <f>SUMIF(매도완료!$G:$G,Sheet2!$B2039,매도완료!$P:$P)+SUMIF(ING!$G:$G,Sheet2!$B2039,ING!$P:$P)</f>
        <v>600000</v>
      </c>
      <c r="D2039" s="16">
        <f>SUMIF(매도완료!$J:$J,Sheet2!$B2039,매도완료!$P:$P)+SUMIF(ING!$J:$J,Sheet2!$B2039,ING!$P:$P)</f>
        <v>0</v>
      </c>
      <c r="E2039" s="16">
        <f t="shared" si="62"/>
        <v>126186707.68439998</v>
      </c>
      <c r="G2039" s="16">
        <f>IF(D2039=0,0,SUMIF(매도완료!$J:$J,Sheet2!$B2039,매도완료!$S:$S))+IF(D2039=0,0,SUMIF(ING!$J:$J,Sheet2!$B2039,ING!$S:$S))</f>
        <v>0</v>
      </c>
      <c r="H2039" s="16">
        <f t="shared" si="63"/>
        <v>33056648.193808939</v>
      </c>
    </row>
    <row r="2040" spans="2:8" hidden="1" x14ac:dyDescent="0.4">
      <c r="B2040" s="1">
        <v>44589</v>
      </c>
      <c r="C2040" s="16">
        <f>SUMIF(매도완료!$G:$G,Sheet2!$B2040,매도완료!$P:$P)+SUMIF(ING!$G:$G,Sheet2!$B2040,ING!$P:$P)</f>
        <v>0</v>
      </c>
      <c r="D2040" s="16">
        <f>SUMIF(매도완료!$J:$J,Sheet2!$B2040,매도완료!$P:$P)+SUMIF(ING!$J:$J,Sheet2!$B2040,ING!$P:$P)</f>
        <v>0</v>
      </c>
      <c r="E2040" s="16">
        <f t="shared" si="62"/>
        <v>126186707.68439998</v>
      </c>
      <c r="G2040" s="16">
        <f>IF(D2040=0,0,SUMIF(매도완료!$J:$J,Sheet2!$B2040,매도완료!$S:$S))+IF(D2040=0,0,SUMIF(ING!$J:$J,Sheet2!$B2040,ING!$S:$S))</f>
        <v>0</v>
      </c>
      <c r="H2040" s="16">
        <f t="shared" si="63"/>
        <v>33056648.193808939</v>
      </c>
    </row>
    <row r="2041" spans="2:8" hidden="1" x14ac:dyDescent="0.4">
      <c r="B2041" s="1">
        <v>44590</v>
      </c>
      <c r="C2041" s="16">
        <f>SUMIF(매도완료!$G:$G,Sheet2!$B2041,매도완료!$P:$P)+SUMIF(ING!$G:$G,Sheet2!$B2041,ING!$P:$P)</f>
        <v>0</v>
      </c>
      <c r="D2041" s="16">
        <f>SUMIF(매도완료!$J:$J,Sheet2!$B2041,매도완료!$P:$P)+SUMIF(ING!$J:$J,Sheet2!$B2041,ING!$P:$P)</f>
        <v>0</v>
      </c>
      <c r="E2041" s="16">
        <f t="shared" si="62"/>
        <v>126186707.68439998</v>
      </c>
      <c r="G2041" s="16">
        <f>IF(D2041=0,0,SUMIF(매도완료!$J:$J,Sheet2!$B2041,매도완료!$S:$S))+IF(D2041=0,0,SUMIF(ING!$J:$J,Sheet2!$B2041,ING!$S:$S))</f>
        <v>0</v>
      </c>
      <c r="H2041" s="16">
        <f t="shared" si="63"/>
        <v>33056648.193808939</v>
      </c>
    </row>
    <row r="2042" spans="2:8" hidden="1" x14ac:dyDescent="0.4">
      <c r="B2042" s="1">
        <v>44591</v>
      </c>
      <c r="C2042" s="16">
        <f>SUMIF(매도완료!$G:$G,Sheet2!$B2042,매도완료!$P:$P)+SUMIF(ING!$G:$G,Sheet2!$B2042,ING!$P:$P)</f>
        <v>0</v>
      </c>
      <c r="D2042" s="16">
        <f>SUMIF(매도완료!$J:$J,Sheet2!$B2042,매도완료!$P:$P)+SUMIF(ING!$J:$J,Sheet2!$B2042,ING!$P:$P)</f>
        <v>0</v>
      </c>
      <c r="E2042" s="16">
        <f t="shared" si="62"/>
        <v>126186707.68439998</v>
      </c>
      <c r="G2042" s="16">
        <f>IF(D2042=0,0,SUMIF(매도완료!$J:$J,Sheet2!$B2042,매도완료!$S:$S))+IF(D2042=0,0,SUMIF(ING!$J:$J,Sheet2!$B2042,ING!$S:$S))</f>
        <v>0</v>
      </c>
      <c r="H2042" s="16">
        <f t="shared" si="63"/>
        <v>33056648.193808939</v>
      </c>
    </row>
    <row r="2043" spans="2:8" hidden="1" x14ac:dyDescent="0.4">
      <c r="B2043" s="1">
        <v>44592</v>
      </c>
      <c r="C2043" s="16">
        <f>SUMIF(매도완료!$G:$G,Sheet2!$B2043,매도완료!$P:$P)+SUMIF(ING!$G:$G,Sheet2!$B2043,ING!$P:$P)</f>
        <v>0</v>
      </c>
      <c r="D2043" s="16">
        <f>SUMIF(매도완료!$J:$J,Sheet2!$B2043,매도완료!$P:$P)+SUMIF(ING!$J:$J,Sheet2!$B2043,ING!$P:$P)</f>
        <v>0</v>
      </c>
      <c r="E2043" s="16">
        <f t="shared" si="62"/>
        <v>126186707.68439998</v>
      </c>
      <c r="G2043" s="16">
        <f>IF(D2043=0,0,SUMIF(매도완료!$J:$J,Sheet2!$B2043,매도완료!$S:$S))+IF(D2043=0,0,SUMIF(ING!$J:$J,Sheet2!$B2043,ING!$S:$S))</f>
        <v>0</v>
      </c>
      <c r="H2043" s="16">
        <f t="shared" si="63"/>
        <v>33056648.193808939</v>
      </c>
    </row>
    <row r="2044" spans="2:8" hidden="1" x14ac:dyDescent="0.4">
      <c r="B2044" s="1">
        <v>44593</v>
      </c>
      <c r="C2044" s="16">
        <f>SUMIF(매도완료!$G:$G,Sheet2!$B2044,매도완료!$P:$P)+SUMIF(ING!$G:$G,Sheet2!$B2044,ING!$P:$P)</f>
        <v>0</v>
      </c>
      <c r="D2044" s="16">
        <f>SUMIF(매도완료!$J:$J,Sheet2!$B2044,매도완료!$P:$P)+SUMIF(ING!$J:$J,Sheet2!$B2044,ING!$P:$P)</f>
        <v>0</v>
      </c>
      <c r="E2044" s="16">
        <f t="shared" si="62"/>
        <v>126186707.68439998</v>
      </c>
      <c r="G2044" s="16">
        <f>IF(D2044=0,0,SUMIF(매도완료!$J:$J,Sheet2!$B2044,매도완료!$S:$S))+IF(D2044=0,0,SUMIF(ING!$J:$J,Sheet2!$B2044,ING!$S:$S))</f>
        <v>0</v>
      </c>
      <c r="H2044" s="16">
        <f t="shared" si="63"/>
        <v>33056648.193808939</v>
      </c>
    </row>
    <row r="2045" spans="2:8" hidden="1" x14ac:dyDescent="0.4">
      <c r="B2045" s="1">
        <v>44594</v>
      </c>
      <c r="C2045" s="16">
        <f>SUMIF(매도완료!$G:$G,Sheet2!$B2045,매도완료!$P:$P)+SUMIF(ING!$G:$G,Sheet2!$B2045,ING!$P:$P)</f>
        <v>0</v>
      </c>
      <c r="D2045" s="16">
        <f>SUMIF(매도완료!$J:$J,Sheet2!$B2045,매도완료!$P:$P)+SUMIF(ING!$J:$J,Sheet2!$B2045,ING!$P:$P)</f>
        <v>0</v>
      </c>
      <c r="E2045" s="16">
        <f t="shared" si="62"/>
        <v>126186707.68439998</v>
      </c>
      <c r="G2045" s="16">
        <f>IF(D2045=0,0,SUMIF(매도완료!$J:$J,Sheet2!$B2045,매도완료!$S:$S))+IF(D2045=0,0,SUMIF(ING!$J:$J,Sheet2!$B2045,ING!$S:$S))</f>
        <v>0</v>
      </c>
      <c r="H2045" s="16">
        <f t="shared" si="63"/>
        <v>33056648.193808939</v>
      </c>
    </row>
    <row r="2046" spans="2:8" hidden="1" x14ac:dyDescent="0.4">
      <c r="B2046" s="1">
        <v>44595</v>
      </c>
      <c r="C2046" s="16">
        <f>SUMIF(매도완료!$G:$G,Sheet2!$B2046,매도완료!$P:$P)+SUMIF(ING!$G:$G,Sheet2!$B2046,ING!$P:$P)</f>
        <v>0</v>
      </c>
      <c r="D2046" s="16">
        <f>SUMIF(매도완료!$J:$J,Sheet2!$B2046,매도완료!$P:$P)+SUMIF(ING!$J:$J,Sheet2!$B2046,ING!$P:$P)</f>
        <v>0</v>
      </c>
      <c r="E2046" s="16">
        <f t="shared" si="62"/>
        <v>126186707.68439998</v>
      </c>
      <c r="G2046" s="16">
        <f>IF(D2046=0,0,SUMIF(매도완료!$J:$J,Sheet2!$B2046,매도완료!$S:$S))+IF(D2046=0,0,SUMIF(ING!$J:$J,Sheet2!$B2046,ING!$S:$S))</f>
        <v>0</v>
      </c>
      <c r="H2046" s="16">
        <f t="shared" si="63"/>
        <v>33056648.193808939</v>
      </c>
    </row>
    <row r="2047" spans="2:8" hidden="1" x14ac:dyDescent="0.4">
      <c r="B2047" s="1">
        <v>44596</v>
      </c>
      <c r="C2047" s="16">
        <f>SUMIF(매도완료!$G:$G,Sheet2!$B2047,매도완료!$P:$P)+SUMIF(ING!$G:$G,Sheet2!$B2047,ING!$P:$P)</f>
        <v>0</v>
      </c>
      <c r="D2047" s="16">
        <f>SUMIF(매도완료!$J:$J,Sheet2!$B2047,매도완료!$P:$P)+SUMIF(ING!$J:$J,Sheet2!$B2047,ING!$P:$P)</f>
        <v>0</v>
      </c>
      <c r="E2047" s="16">
        <f t="shared" si="62"/>
        <v>126186707.68439998</v>
      </c>
      <c r="G2047" s="16">
        <f>IF(D2047=0,0,SUMIF(매도완료!$J:$J,Sheet2!$B2047,매도완료!$S:$S))+IF(D2047=0,0,SUMIF(ING!$J:$J,Sheet2!$B2047,ING!$S:$S))</f>
        <v>0</v>
      </c>
      <c r="H2047" s="16">
        <f t="shared" si="63"/>
        <v>33056648.193808939</v>
      </c>
    </row>
    <row r="2048" spans="2:8" hidden="1" x14ac:dyDescent="0.4">
      <c r="B2048" s="1">
        <v>44597</v>
      </c>
      <c r="C2048" s="16">
        <f>SUMIF(매도완료!$G:$G,Sheet2!$B2048,매도완료!$P:$P)+SUMIF(ING!$G:$G,Sheet2!$B2048,ING!$P:$P)</f>
        <v>0</v>
      </c>
      <c r="D2048" s="16">
        <f>SUMIF(매도완료!$J:$J,Sheet2!$B2048,매도완료!$P:$P)+SUMIF(ING!$J:$J,Sheet2!$B2048,ING!$P:$P)</f>
        <v>0</v>
      </c>
      <c r="E2048" s="16">
        <f t="shared" si="62"/>
        <v>126186707.68439998</v>
      </c>
      <c r="G2048" s="16">
        <f>IF(D2048=0,0,SUMIF(매도완료!$J:$J,Sheet2!$B2048,매도완료!$S:$S))+IF(D2048=0,0,SUMIF(ING!$J:$J,Sheet2!$B2048,ING!$S:$S))</f>
        <v>0</v>
      </c>
      <c r="H2048" s="16">
        <f t="shared" si="63"/>
        <v>33056648.193808939</v>
      </c>
    </row>
    <row r="2049" spans="2:8" hidden="1" x14ac:dyDescent="0.4">
      <c r="B2049" s="1">
        <v>44598</v>
      </c>
      <c r="C2049" s="16">
        <f>SUMIF(매도완료!$G:$G,Sheet2!$B2049,매도완료!$P:$P)+SUMIF(ING!$G:$G,Sheet2!$B2049,ING!$P:$P)</f>
        <v>0</v>
      </c>
      <c r="D2049" s="16">
        <f>SUMIF(매도완료!$J:$J,Sheet2!$B2049,매도완료!$P:$P)+SUMIF(ING!$J:$J,Sheet2!$B2049,ING!$P:$P)</f>
        <v>0</v>
      </c>
      <c r="E2049" s="16">
        <f t="shared" si="62"/>
        <v>126186707.68439998</v>
      </c>
      <c r="G2049" s="16">
        <f>IF(D2049=0,0,SUMIF(매도완료!$J:$J,Sheet2!$B2049,매도완료!$S:$S))+IF(D2049=0,0,SUMIF(ING!$J:$J,Sheet2!$B2049,ING!$S:$S))</f>
        <v>0</v>
      </c>
      <c r="H2049" s="16">
        <f t="shared" si="63"/>
        <v>33056648.193808939</v>
      </c>
    </row>
    <row r="2050" spans="2:8" hidden="1" x14ac:dyDescent="0.4">
      <c r="B2050" s="1">
        <v>44599</v>
      </c>
      <c r="C2050" s="16">
        <f>SUMIF(매도완료!$G:$G,Sheet2!$B2050,매도완료!$P:$P)+SUMIF(ING!$G:$G,Sheet2!$B2050,ING!$P:$P)</f>
        <v>0</v>
      </c>
      <c r="D2050" s="16">
        <f>SUMIF(매도완료!$J:$J,Sheet2!$B2050,매도완료!$P:$P)+SUMIF(ING!$J:$J,Sheet2!$B2050,ING!$P:$P)</f>
        <v>0</v>
      </c>
      <c r="E2050" s="16">
        <f t="shared" si="62"/>
        <v>126186707.68439998</v>
      </c>
      <c r="G2050" s="16">
        <f>IF(D2050=0,0,SUMIF(매도완료!$J:$J,Sheet2!$B2050,매도완료!$S:$S))+IF(D2050=0,0,SUMIF(ING!$J:$J,Sheet2!$B2050,ING!$S:$S))</f>
        <v>0</v>
      </c>
      <c r="H2050" s="16">
        <f t="shared" si="63"/>
        <v>33056648.193808939</v>
      </c>
    </row>
    <row r="2051" spans="2:8" hidden="1" x14ac:dyDescent="0.4">
      <c r="B2051" s="1">
        <v>44600</v>
      </c>
      <c r="C2051" s="16">
        <f>SUMIF(매도완료!$G:$G,Sheet2!$B2051,매도완료!$P:$P)+SUMIF(ING!$G:$G,Sheet2!$B2051,ING!$P:$P)</f>
        <v>2166600</v>
      </c>
      <c r="D2051" s="16">
        <f>SUMIF(매도완료!$J:$J,Sheet2!$B2051,매도완료!$P:$P)+SUMIF(ING!$J:$J,Sheet2!$B2051,ING!$P:$P)</f>
        <v>0</v>
      </c>
      <c r="E2051" s="16">
        <f t="shared" si="62"/>
        <v>128353307.68439998</v>
      </c>
      <c r="G2051" s="16">
        <f>IF(D2051=0,0,SUMIF(매도완료!$J:$J,Sheet2!$B2051,매도완료!$S:$S))+IF(D2051=0,0,SUMIF(ING!$J:$J,Sheet2!$B2051,ING!$S:$S))</f>
        <v>0</v>
      </c>
      <c r="H2051" s="16">
        <f t="shared" si="63"/>
        <v>33056648.193808939</v>
      </c>
    </row>
    <row r="2052" spans="2:8" hidden="1" x14ac:dyDescent="0.4">
      <c r="B2052" s="1">
        <v>44601</v>
      </c>
      <c r="C2052" s="16">
        <f>SUMIF(매도완료!$G:$G,Sheet2!$B2052,매도완료!$P:$P)+SUMIF(ING!$G:$G,Sheet2!$B2052,ING!$P:$P)</f>
        <v>0</v>
      </c>
      <c r="D2052" s="16">
        <f>SUMIF(매도완료!$J:$J,Sheet2!$B2052,매도완료!$P:$P)+SUMIF(ING!$J:$J,Sheet2!$B2052,ING!$P:$P)</f>
        <v>0</v>
      </c>
      <c r="E2052" s="16">
        <f t="shared" ref="E2052:E2115" si="64">E2051+C2052-D2052</f>
        <v>128353307.68439998</v>
      </c>
      <c r="G2052" s="16">
        <f>IF(D2052=0,0,SUMIF(매도완료!$J:$J,Sheet2!$B2052,매도완료!$S:$S))+IF(D2052=0,0,SUMIF(ING!$J:$J,Sheet2!$B2052,ING!$S:$S))</f>
        <v>0</v>
      </c>
      <c r="H2052" s="16">
        <f t="shared" ref="H2052:H2115" si="65">H2051+G2052</f>
        <v>33056648.193808939</v>
      </c>
    </row>
    <row r="2053" spans="2:8" hidden="1" x14ac:dyDescent="0.4">
      <c r="B2053" s="1">
        <v>44602</v>
      </c>
      <c r="C2053" s="16">
        <f>SUMIF(매도완료!$G:$G,Sheet2!$B2053,매도완료!$P:$P)+SUMIF(ING!$G:$G,Sheet2!$B2053,ING!$P:$P)</f>
        <v>0</v>
      </c>
      <c r="D2053" s="16">
        <f>SUMIF(매도완료!$J:$J,Sheet2!$B2053,매도완료!$P:$P)+SUMIF(ING!$J:$J,Sheet2!$B2053,ING!$P:$P)</f>
        <v>0</v>
      </c>
      <c r="E2053" s="16">
        <f t="shared" si="64"/>
        <v>128353307.68439998</v>
      </c>
      <c r="G2053" s="16">
        <f>IF(D2053=0,0,SUMIF(매도완료!$J:$J,Sheet2!$B2053,매도완료!$S:$S))+IF(D2053=0,0,SUMIF(ING!$J:$J,Sheet2!$B2053,ING!$S:$S))</f>
        <v>0</v>
      </c>
      <c r="H2053" s="16">
        <f t="shared" si="65"/>
        <v>33056648.193808939</v>
      </c>
    </row>
    <row r="2054" spans="2:8" hidden="1" x14ac:dyDescent="0.4">
      <c r="B2054" s="1">
        <v>44603</v>
      </c>
      <c r="C2054" s="16">
        <f>SUMIF(매도완료!$G:$G,Sheet2!$B2054,매도완료!$P:$P)+SUMIF(ING!$G:$G,Sheet2!$B2054,ING!$P:$P)</f>
        <v>0</v>
      </c>
      <c r="D2054" s="16">
        <f>SUMIF(매도완료!$J:$J,Sheet2!$B2054,매도완료!$P:$P)+SUMIF(ING!$J:$J,Sheet2!$B2054,ING!$P:$P)</f>
        <v>0</v>
      </c>
      <c r="E2054" s="16">
        <f t="shared" si="64"/>
        <v>128353307.68439998</v>
      </c>
      <c r="G2054" s="16">
        <f>IF(D2054=0,0,SUMIF(매도완료!$J:$J,Sheet2!$B2054,매도완료!$S:$S))+IF(D2054=0,0,SUMIF(ING!$J:$J,Sheet2!$B2054,ING!$S:$S))</f>
        <v>0</v>
      </c>
      <c r="H2054" s="16">
        <f t="shared" si="65"/>
        <v>33056648.193808939</v>
      </c>
    </row>
    <row r="2055" spans="2:8" hidden="1" x14ac:dyDescent="0.4">
      <c r="B2055" s="1">
        <v>44604</v>
      </c>
      <c r="C2055" s="16">
        <f>SUMIF(매도완료!$G:$G,Sheet2!$B2055,매도완료!$P:$P)+SUMIF(ING!$G:$G,Sheet2!$B2055,ING!$P:$P)</f>
        <v>0</v>
      </c>
      <c r="D2055" s="16">
        <f>SUMIF(매도완료!$J:$J,Sheet2!$B2055,매도완료!$P:$P)+SUMIF(ING!$J:$J,Sheet2!$B2055,ING!$P:$P)</f>
        <v>0</v>
      </c>
      <c r="E2055" s="16">
        <f t="shared" si="64"/>
        <v>128353307.68439998</v>
      </c>
      <c r="G2055" s="16">
        <f>IF(D2055=0,0,SUMIF(매도완료!$J:$J,Sheet2!$B2055,매도완료!$S:$S))+IF(D2055=0,0,SUMIF(ING!$J:$J,Sheet2!$B2055,ING!$S:$S))</f>
        <v>0</v>
      </c>
      <c r="H2055" s="16">
        <f t="shared" si="65"/>
        <v>33056648.193808939</v>
      </c>
    </row>
    <row r="2056" spans="2:8" hidden="1" x14ac:dyDescent="0.4">
      <c r="B2056" s="1">
        <v>44605</v>
      </c>
      <c r="C2056" s="16">
        <f>SUMIF(매도완료!$G:$G,Sheet2!$B2056,매도완료!$P:$P)+SUMIF(ING!$G:$G,Sheet2!$B2056,ING!$P:$P)</f>
        <v>0</v>
      </c>
      <c r="D2056" s="16">
        <f>SUMIF(매도완료!$J:$J,Sheet2!$B2056,매도완료!$P:$P)+SUMIF(ING!$J:$J,Sheet2!$B2056,ING!$P:$P)</f>
        <v>0</v>
      </c>
      <c r="E2056" s="16">
        <f t="shared" si="64"/>
        <v>128353307.68439998</v>
      </c>
      <c r="G2056" s="16">
        <f>IF(D2056=0,0,SUMIF(매도완료!$J:$J,Sheet2!$B2056,매도완료!$S:$S))+IF(D2056=0,0,SUMIF(ING!$J:$J,Sheet2!$B2056,ING!$S:$S))</f>
        <v>0</v>
      </c>
      <c r="H2056" s="16">
        <f t="shared" si="65"/>
        <v>33056648.193808939</v>
      </c>
    </row>
    <row r="2057" spans="2:8" hidden="1" x14ac:dyDescent="0.4">
      <c r="B2057" s="1">
        <v>44606</v>
      </c>
      <c r="C2057" s="16">
        <f>SUMIF(매도완료!$G:$G,Sheet2!$B2057,매도완료!$P:$P)+SUMIF(ING!$G:$G,Sheet2!$B2057,ING!$P:$P)</f>
        <v>0</v>
      </c>
      <c r="D2057" s="16">
        <f>SUMIF(매도완료!$J:$J,Sheet2!$B2057,매도완료!$P:$P)+SUMIF(ING!$J:$J,Sheet2!$B2057,ING!$P:$P)</f>
        <v>0</v>
      </c>
      <c r="E2057" s="16">
        <f t="shared" si="64"/>
        <v>128353307.68439998</v>
      </c>
      <c r="G2057" s="16">
        <f>IF(D2057=0,0,SUMIF(매도완료!$J:$J,Sheet2!$B2057,매도완료!$S:$S))+IF(D2057=0,0,SUMIF(ING!$J:$J,Sheet2!$B2057,ING!$S:$S))</f>
        <v>0</v>
      </c>
      <c r="H2057" s="16">
        <f t="shared" si="65"/>
        <v>33056648.193808939</v>
      </c>
    </row>
    <row r="2058" spans="2:8" hidden="1" x14ac:dyDescent="0.4">
      <c r="B2058" s="1">
        <v>44607</v>
      </c>
      <c r="C2058" s="16">
        <f>SUMIF(매도완료!$G:$G,Sheet2!$B2058,매도완료!$P:$P)+SUMIF(ING!$G:$G,Sheet2!$B2058,ING!$P:$P)</f>
        <v>0</v>
      </c>
      <c r="D2058" s="16">
        <f>SUMIF(매도완료!$J:$J,Sheet2!$B2058,매도완료!$P:$P)+SUMIF(ING!$J:$J,Sheet2!$B2058,ING!$P:$P)</f>
        <v>0</v>
      </c>
      <c r="E2058" s="16">
        <f t="shared" si="64"/>
        <v>128353307.68439998</v>
      </c>
      <c r="G2058" s="16">
        <f>IF(D2058=0,0,SUMIF(매도완료!$J:$J,Sheet2!$B2058,매도완료!$S:$S))+IF(D2058=0,0,SUMIF(ING!$J:$J,Sheet2!$B2058,ING!$S:$S))</f>
        <v>0</v>
      </c>
      <c r="H2058" s="16">
        <f t="shared" si="65"/>
        <v>33056648.193808939</v>
      </c>
    </row>
    <row r="2059" spans="2:8" hidden="1" x14ac:dyDescent="0.4">
      <c r="B2059" s="1">
        <v>44608</v>
      </c>
      <c r="C2059" s="16">
        <f>SUMIF(매도완료!$G:$G,Sheet2!$B2059,매도완료!$P:$P)+SUMIF(ING!$G:$G,Sheet2!$B2059,ING!$P:$P)</f>
        <v>0</v>
      </c>
      <c r="D2059" s="16">
        <f>SUMIF(매도완료!$J:$J,Sheet2!$B2059,매도완료!$P:$P)+SUMIF(ING!$J:$J,Sheet2!$B2059,ING!$P:$P)</f>
        <v>0</v>
      </c>
      <c r="E2059" s="16">
        <f t="shared" si="64"/>
        <v>128353307.68439998</v>
      </c>
      <c r="G2059" s="16">
        <f>IF(D2059=0,0,SUMIF(매도완료!$J:$J,Sheet2!$B2059,매도완료!$S:$S))+IF(D2059=0,0,SUMIF(ING!$J:$J,Sheet2!$B2059,ING!$S:$S))</f>
        <v>0</v>
      </c>
      <c r="H2059" s="16">
        <f t="shared" si="65"/>
        <v>33056648.193808939</v>
      </c>
    </row>
    <row r="2060" spans="2:8" hidden="1" x14ac:dyDescent="0.4">
      <c r="B2060" s="1">
        <v>44609</v>
      </c>
      <c r="C2060" s="16">
        <f>SUMIF(매도완료!$G:$G,Sheet2!$B2060,매도완료!$P:$P)+SUMIF(ING!$G:$G,Sheet2!$B2060,ING!$P:$P)</f>
        <v>0</v>
      </c>
      <c r="D2060" s="16">
        <f>SUMIF(매도완료!$J:$J,Sheet2!$B2060,매도완료!$P:$P)+SUMIF(ING!$J:$J,Sheet2!$B2060,ING!$P:$P)</f>
        <v>0</v>
      </c>
      <c r="E2060" s="16">
        <f t="shared" si="64"/>
        <v>128353307.68439998</v>
      </c>
      <c r="G2060" s="16">
        <f>IF(D2060=0,0,SUMIF(매도완료!$J:$J,Sheet2!$B2060,매도완료!$S:$S))+IF(D2060=0,0,SUMIF(ING!$J:$J,Sheet2!$B2060,ING!$S:$S))</f>
        <v>0</v>
      </c>
      <c r="H2060" s="16">
        <f t="shared" si="65"/>
        <v>33056648.193808939</v>
      </c>
    </row>
    <row r="2061" spans="2:8" hidden="1" x14ac:dyDescent="0.4">
      <c r="B2061" s="1">
        <v>44610</v>
      </c>
      <c r="C2061" s="16">
        <f>SUMIF(매도완료!$G:$G,Sheet2!$B2061,매도완료!$P:$P)+SUMIF(ING!$G:$G,Sheet2!$B2061,ING!$P:$P)</f>
        <v>0</v>
      </c>
      <c r="D2061" s="16">
        <f>SUMIF(매도완료!$J:$J,Sheet2!$B2061,매도완료!$P:$P)+SUMIF(ING!$J:$J,Sheet2!$B2061,ING!$P:$P)</f>
        <v>0</v>
      </c>
      <c r="E2061" s="16">
        <f t="shared" si="64"/>
        <v>128353307.68439998</v>
      </c>
      <c r="G2061" s="16">
        <f>IF(D2061=0,0,SUMIF(매도완료!$J:$J,Sheet2!$B2061,매도완료!$S:$S))+IF(D2061=0,0,SUMIF(ING!$J:$J,Sheet2!$B2061,ING!$S:$S))</f>
        <v>0</v>
      </c>
      <c r="H2061" s="16">
        <f t="shared" si="65"/>
        <v>33056648.193808939</v>
      </c>
    </row>
    <row r="2062" spans="2:8" hidden="1" x14ac:dyDescent="0.4">
      <c r="B2062" s="1">
        <v>44611</v>
      </c>
      <c r="C2062" s="16">
        <f>SUMIF(매도완료!$G:$G,Sheet2!$B2062,매도완료!$P:$P)+SUMIF(ING!$G:$G,Sheet2!$B2062,ING!$P:$P)</f>
        <v>0</v>
      </c>
      <c r="D2062" s="16">
        <f>SUMIF(매도완료!$J:$J,Sheet2!$B2062,매도완료!$P:$P)+SUMIF(ING!$J:$J,Sheet2!$B2062,ING!$P:$P)</f>
        <v>0</v>
      </c>
      <c r="E2062" s="16">
        <f t="shared" si="64"/>
        <v>128353307.68439998</v>
      </c>
      <c r="G2062" s="16">
        <f>IF(D2062=0,0,SUMIF(매도완료!$J:$J,Sheet2!$B2062,매도완료!$S:$S))+IF(D2062=0,0,SUMIF(ING!$J:$J,Sheet2!$B2062,ING!$S:$S))</f>
        <v>0</v>
      </c>
      <c r="H2062" s="16">
        <f t="shared" si="65"/>
        <v>33056648.193808939</v>
      </c>
    </row>
    <row r="2063" spans="2:8" hidden="1" x14ac:dyDescent="0.4">
      <c r="B2063" s="1">
        <v>44612</v>
      </c>
      <c r="C2063" s="16">
        <f>SUMIF(매도완료!$G:$G,Sheet2!$B2063,매도완료!$P:$P)+SUMIF(ING!$G:$G,Sheet2!$B2063,ING!$P:$P)</f>
        <v>0</v>
      </c>
      <c r="D2063" s="16">
        <f>SUMIF(매도완료!$J:$J,Sheet2!$B2063,매도완료!$P:$P)+SUMIF(ING!$J:$J,Sheet2!$B2063,ING!$P:$P)</f>
        <v>0</v>
      </c>
      <c r="E2063" s="16">
        <f t="shared" si="64"/>
        <v>128353307.68439998</v>
      </c>
      <c r="G2063" s="16">
        <f>IF(D2063=0,0,SUMIF(매도완료!$J:$J,Sheet2!$B2063,매도완료!$S:$S))+IF(D2063=0,0,SUMIF(ING!$J:$J,Sheet2!$B2063,ING!$S:$S))</f>
        <v>0</v>
      </c>
      <c r="H2063" s="16">
        <f t="shared" si="65"/>
        <v>33056648.193808939</v>
      </c>
    </row>
    <row r="2064" spans="2:8" hidden="1" x14ac:dyDescent="0.4">
      <c r="B2064" s="1">
        <v>44613</v>
      </c>
      <c r="C2064" s="16">
        <f>SUMIF(매도완료!$G:$G,Sheet2!$B2064,매도완료!$P:$P)+SUMIF(ING!$G:$G,Sheet2!$B2064,ING!$P:$P)</f>
        <v>0</v>
      </c>
      <c r="D2064" s="16">
        <f>SUMIF(매도완료!$J:$J,Sheet2!$B2064,매도완료!$P:$P)+SUMIF(ING!$J:$J,Sheet2!$B2064,ING!$P:$P)</f>
        <v>0</v>
      </c>
      <c r="E2064" s="16">
        <f t="shared" si="64"/>
        <v>128353307.68439998</v>
      </c>
      <c r="G2064" s="16">
        <f>IF(D2064=0,0,SUMIF(매도완료!$J:$J,Sheet2!$B2064,매도완료!$S:$S))+IF(D2064=0,0,SUMIF(ING!$J:$J,Sheet2!$B2064,ING!$S:$S))</f>
        <v>0</v>
      </c>
      <c r="H2064" s="16">
        <f t="shared" si="65"/>
        <v>33056648.193808939</v>
      </c>
    </row>
    <row r="2065" spans="2:8" hidden="1" x14ac:dyDescent="0.4">
      <c r="B2065" s="1">
        <v>44614</v>
      </c>
      <c r="C2065" s="16">
        <f>SUMIF(매도완료!$G:$G,Sheet2!$B2065,매도완료!$P:$P)+SUMIF(ING!$G:$G,Sheet2!$B2065,ING!$P:$P)</f>
        <v>0</v>
      </c>
      <c r="D2065" s="16">
        <f>SUMIF(매도완료!$J:$J,Sheet2!$B2065,매도완료!$P:$P)+SUMIF(ING!$J:$J,Sheet2!$B2065,ING!$P:$P)</f>
        <v>0</v>
      </c>
      <c r="E2065" s="16">
        <f t="shared" si="64"/>
        <v>128353307.68439998</v>
      </c>
      <c r="G2065" s="16">
        <f>IF(D2065=0,0,SUMIF(매도완료!$J:$J,Sheet2!$B2065,매도완료!$S:$S))+IF(D2065=0,0,SUMIF(ING!$J:$J,Sheet2!$B2065,ING!$S:$S))</f>
        <v>0</v>
      </c>
      <c r="H2065" s="16">
        <f t="shared" si="65"/>
        <v>33056648.193808939</v>
      </c>
    </row>
    <row r="2066" spans="2:8" hidden="1" x14ac:dyDescent="0.4">
      <c r="B2066" s="1">
        <v>44615</v>
      </c>
      <c r="C2066" s="16">
        <f>SUMIF(매도완료!$G:$G,Sheet2!$B2066,매도완료!$P:$P)+SUMIF(ING!$G:$G,Sheet2!$B2066,ING!$P:$P)</f>
        <v>0</v>
      </c>
      <c r="D2066" s="16">
        <f>SUMIF(매도완료!$J:$J,Sheet2!$B2066,매도완료!$P:$P)+SUMIF(ING!$J:$J,Sheet2!$B2066,ING!$P:$P)</f>
        <v>0</v>
      </c>
      <c r="E2066" s="16">
        <f t="shared" si="64"/>
        <v>128353307.68439998</v>
      </c>
      <c r="G2066" s="16">
        <f>IF(D2066=0,0,SUMIF(매도완료!$J:$J,Sheet2!$B2066,매도완료!$S:$S))+IF(D2066=0,0,SUMIF(ING!$J:$J,Sheet2!$B2066,ING!$S:$S))</f>
        <v>0</v>
      </c>
      <c r="H2066" s="16">
        <f t="shared" si="65"/>
        <v>33056648.193808939</v>
      </c>
    </row>
    <row r="2067" spans="2:8" hidden="1" x14ac:dyDescent="0.4">
      <c r="B2067" s="1">
        <v>44616</v>
      </c>
      <c r="C2067" s="16">
        <f>SUMIF(매도완료!$G:$G,Sheet2!$B2067,매도완료!$P:$P)+SUMIF(ING!$G:$G,Sheet2!$B2067,ING!$P:$P)</f>
        <v>0</v>
      </c>
      <c r="D2067" s="16">
        <f>SUMIF(매도완료!$J:$J,Sheet2!$B2067,매도완료!$P:$P)+SUMIF(ING!$J:$J,Sheet2!$B2067,ING!$P:$P)</f>
        <v>0</v>
      </c>
      <c r="E2067" s="16">
        <f t="shared" si="64"/>
        <v>128353307.68439998</v>
      </c>
      <c r="G2067" s="16">
        <f>IF(D2067=0,0,SUMIF(매도완료!$J:$J,Sheet2!$B2067,매도완료!$S:$S))+IF(D2067=0,0,SUMIF(ING!$J:$J,Sheet2!$B2067,ING!$S:$S))</f>
        <v>0</v>
      </c>
      <c r="H2067" s="16">
        <f t="shared" si="65"/>
        <v>33056648.193808939</v>
      </c>
    </row>
    <row r="2068" spans="2:8" hidden="1" x14ac:dyDescent="0.4">
      <c r="B2068" s="1">
        <v>44617</v>
      </c>
      <c r="C2068" s="16">
        <f>SUMIF(매도완료!$G:$G,Sheet2!$B2068,매도완료!$P:$P)+SUMIF(ING!$G:$G,Sheet2!$B2068,ING!$P:$P)</f>
        <v>0</v>
      </c>
      <c r="D2068" s="16">
        <f>SUMIF(매도완료!$J:$J,Sheet2!$B2068,매도완료!$P:$P)+SUMIF(ING!$J:$J,Sheet2!$B2068,ING!$P:$P)</f>
        <v>0</v>
      </c>
      <c r="E2068" s="16">
        <f t="shared" si="64"/>
        <v>128353307.68439998</v>
      </c>
      <c r="G2068" s="16">
        <f>IF(D2068=0,0,SUMIF(매도완료!$J:$J,Sheet2!$B2068,매도완료!$S:$S))+IF(D2068=0,0,SUMIF(ING!$J:$J,Sheet2!$B2068,ING!$S:$S))</f>
        <v>0</v>
      </c>
      <c r="H2068" s="16">
        <f t="shared" si="65"/>
        <v>33056648.193808939</v>
      </c>
    </row>
    <row r="2069" spans="2:8" hidden="1" x14ac:dyDescent="0.4">
      <c r="B2069" s="1">
        <v>44618</v>
      </c>
      <c r="C2069" s="16">
        <f>SUMIF(매도완료!$G:$G,Sheet2!$B2069,매도완료!$P:$P)+SUMIF(ING!$G:$G,Sheet2!$B2069,ING!$P:$P)</f>
        <v>0</v>
      </c>
      <c r="D2069" s="16">
        <f>SUMIF(매도완료!$J:$J,Sheet2!$B2069,매도완료!$P:$P)+SUMIF(ING!$J:$J,Sheet2!$B2069,ING!$P:$P)</f>
        <v>0</v>
      </c>
      <c r="E2069" s="16">
        <f t="shared" si="64"/>
        <v>128353307.68439998</v>
      </c>
      <c r="G2069" s="16">
        <f>IF(D2069=0,0,SUMIF(매도완료!$J:$J,Sheet2!$B2069,매도완료!$S:$S))+IF(D2069=0,0,SUMIF(ING!$J:$J,Sheet2!$B2069,ING!$S:$S))</f>
        <v>0</v>
      </c>
      <c r="H2069" s="16">
        <f t="shared" si="65"/>
        <v>33056648.193808939</v>
      </c>
    </row>
    <row r="2070" spans="2:8" hidden="1" x14ac:dyDescent="0.4">
      <c r="B2070" s="1">
        <v>44619</v>
      </c>
      <c r="C2070" s="16">
        <f>SUMIF(매도완료!$G:$G,Sheet2!$B2070,매도완료!$P:$P)+SUMIF(ING!$G:$G,Sheet2!$B2070,ING!$P:$P)</f>
        <v>0</v>
      </c>
      <c r="D2070" s="16">
        <f>SUMIF(매도완료!$J:$J,Sheet2!$B2070,매도완료!$P:$P)+SUMIF(ING!$J:$J,Sheet2!$B2070,ING!$P:$P)</f>
        <v>0</v>
      </c>
      <c r="E2070" s="16">
        <f t="shared" si="64"/>
        <v>128353307.68439998</v>
      </c>
      <c r="G2070" s="16">
        <f>IF(D2070=0,0,SUMIF(매도완료!$J:$J,Sheet2!$B2070,매도완료!$S:$S))+IF(D2070=0,0,SUMIF(ING!$J:$J,Sheet2!$B2070,ING!$S:$S))</f>
        <v>0</v>
      </c>
      <c r="H2070" s="16">
        <f t="shared" si="65"/>
        <v>33056648.193808939</v>
      </c>
    </row>
    <row r="2071" spans="2:8" hidden="1" x14ac:dyDescent="0.4">
      <c r="B2071" s="1">
        <v>44620</v>
      </c>
      <c r="C2071" s="16">
        <f>SUMIF(매도완료!$G:$G,Sheet2!$B2071,매도완료!$P:$P)+SUMIF(ING!$G:$G,Sheet2!$B2071,ING!$P:$P)</f>
        <v>0</v>
      </c>
      <c r="D2071" s="16">
        <f>SUMIF(매도완료!$J:$J,Sheet2!$B2071,매도완료!$P:$P)+SUMIF(ING!$J:$J,Sheet2!$B2071,ING!$P:$P)</f>
        <v>0</v>
      </c>
      <c r="E2071" s="16">
        <f t="shared" si="64"/>
        <v>128353307.68439998</v>
      </c>
      <c r="G2071" s="16">
        <f>IF(D2071=0,0,SUMIF(매도완료!$J:$J,Sheet2!$B2071,매도완료!$S:$S))+IF(D2071=0,0,SUMIF(ING!$J:$J,Sheet2!$B2071,ING!$S:$S))</f>
        <v>0</v>
      </c>
      <c r="H2071" s="16">
        <f t="shared" si="65"/>
        <v>33056648.193808939</v>
      </c>
    </row>
    <row r="2072" spans="2:8" hidden="1" x14ac:dyDescent="0.4">
      <c r="B2072" s="1">
        <v>44621</v>
      </c>
      <c r="C2072" s="16">
        <f>SUMIF(매도완료!$G:$G,Sheet2!$B2072,매도완료!$P:$P)+SUMIF(ING!$G:$G,Sheet2!$B2072,ING!$P:$P)</f>
        <v>0</v>
      </c>
      <c r="D2072" s="16">
        <f>SUMIF(매도완료!$J:$J,Sheet2!$B2072,매도완료!$P:$P)+SUMIF(ING!$J:$J,Sheet2!$B2072,ING!$P:$P)</f>
        <v>0</v>
      </c>
      <c r="E2072" s="16">
        <f t="shared" si="64"/>
        <v>128353307.68439998</v>
      </c>
      <c r="G2072" s="16">
        <f>IF(D2072=0,0,SUMIF(매도완료!$J:$J,Sheet2!$B2072,매도완료!$S:$S))+IF(D2072=0,0,SUMIF(ING!$J:$J,Sheet2!$B2072,ING!$S:$S))</f>
        <v>0</v>
      </c>
      <c r="H2072" s="16">
        <f t="shared" si="65"/>
        <v>33056648.193808939</v>
      </c>
    </row>
    <row r="2073" spans="2:8" hidden="1" x14ac:dyDescent="0.4">
      <c r="B2073" s="1">
        <v>44622</v>
      </c>
      <c r="C2073" s="16">
        <f>SUMIF(매도완료!$G:$G,Sheet2!$B2073,매도완료!$P:$P)+SUMIF(ING!$G:$G,Sheet2!$B2073,ING!$P:$P)</f>
        <v>0</v>
      </c>
      <c r="D2073" s="16">
        <f>SUMIF(매도완료!$J:$J,Sheet2!$B2073,매도완료!$P:$P)+SUMIF(ING!$J:$J,Sheet2!$B2073,ING!$P:$P)</f>
        <v>0</v>
      </c>
      <c r="E2073" s="16">
        <f t="shared" si="64"/>
        <v>128353307.68439998</v>
      </c>
      <c r="G2073" s="16">
        <f>IF(D2073=0,0,SUMIF(매도완료!$J:$J,Sheet2!$B2073,매도완료!$S:$S))+IF(D2073=0,0,SUMIF(ING!$J:$J,Sheet2!$B2073,ING!$S:$S))</f>
        <v>0</v>
      </c>
      <c r="H2073" s="16">
        <f t="shared" si="65"/>
        <v>33056648.193808939</v>
      </c>
    </row>
    <row r="2074" spans="2:8" hidden="1" x14ac:dyDescent="0.4">
      <c r="B2074" s="1">
        <v>44623</v>
      </c>
      <c r="C2074" s="16">
        <f>SUMIF(매도완료!$G:$G,Sheet2!$B2074,매도완료!$P:$P)+SUMIF(ING!$G:$G,Sheet2!$B2074,ING!$P:$P)</f>
        <v>0</v>
      </c>
      <c r="D2074" s="16">
        <f>SUMIF(매도완료!$J:$J,Sheet2!$B2074,매도완료!$P:$P)+SUMIF(ING!$J:$J,Sheet2!$B2074,ING!$P:$P)</f>
        <v>0</v>
      </c>
      <c r="E2074" s="16">
        <f t="shared" si="64"/>
        <v>128353307.68439998</v>
      </c>
      <c r="G2074" s="16">
        <f>IF(D2074=0,0,SUMIF(매도완료!$J:$J,Sheet2!$B2074,매도완료!$S:$S))+IF(D2074=0,0,SUMIF(ING!$J:$J,Sheet2!$B2074,ING!$S:$S))</f>
        <v>0</v>
      </c>
      <c r="H2074" s="16">
        <f t="shared" si="65"/>
        <v>33056648.193808939</v>
      </c>
    </row>
    <row r="2075" spans="2:8" hidden="1" x14ac:dyDescent="0.4">
      <c r="B2075" s="1">
        <v>44624</v>
      </c>
      <c r="C2075" s="16">
        <f>SUMIF(매도완료!$G:$G,Sheet2!$B2075,매도완료!$P:$P)+SUMIF(ING!$G:$G,Sheet2!$B2075,ING!$P:$P)</f>
        <v>0</v>
      </c>
      <c r="D2075" s="16">
        <f>SUMIF(매도완료!$J:$J,Sheet2!$B2075,매도완료!$P:$P)+SUMIF(ING!$J:$J,Sheet2!$B2075,ING!$P:$P)</f>
        <v>0</v>
      </c>
      <c r="E2075" s="16">
        <f t="shared" si="64"/>
        <v>128353307.68439998</v>
      </c>
      <c r="G2075" s="16">
        <f>IF(D2075=0,0,SUMIF(매도완료!$J:$J,Sheet2!$B2075,매도완료!$S:$S))+IF(D2075=0,0,SUMIF(ING!$J:$J,Sheet2!$B2075,ING!$S:$S))</f>
        <v>0</v>
      </c>
      <c r="H2075" s="16">
        <f t="shared" si="65"/>
        <v>33056648.193808939</v>
      </c>
    </row>
    <row r="2076" spans="2:8" hidden="1" x14ac:dyDescent="0.4">
      <c r="B2076" s="1">
        <v>44625</v>
      </c>
      <c r="C2076" s="16">
        <f>SUMIF(매도완료!$G:$G,Sheet2!$B2076,매도완료!$P:$P)+SUMIF(ING!$G:$G,Sheet2!$B2076,ING!$P:$P)</f>
        <v>0</v>
      </c>
      <c r="D2076" s="16">
        <f>SUMIF(매도완료!$J:$J,Sheet2!$B2076,매도완료!$P:$P)+SUMIF(ING!$J:$J,Sheet2!$B2076,ING!$P:$P)</f>
        <v>0</v>
      </c>
      <c r="E2076" s="16">
        <f t="shared" si="64"/>
        <v>128353307.68439998</v>
      </c>
      <c r="G2076" s="16">
        <f>IF(D2076=0,0,SUMIF(매도완료!$J:$J,Sheet2!$B2076,매도완료!$S:$S))+IF(D2076=0,0,SUMIF(ING!$J:$J,Sheet2!$B2076,ING!$S:$S))</f>
        <v>0</v>
      </c>
      <c r="H2076" s="16">
        <f t="shared" si="65"/>
        <v>33056648.193808939</v>
      </c>
    </row>
    <row r="2077" spans="2:8" hidden="1" x14ac:dyDescent="0.4">
      <c r="B2077" s="1">
        <v>44626</v>
      </c>
      <c r="C2077" s="16">
        <f>SUMIF(매도완료!$G:$G,Sheet2!$B2077,매도완료!$P:$P)+SUMIF(ING!$G:$G,Sheet2!$B2077,ING!$P:$P)</f>
        <v>0</v>
      </c>
      <c r="D2077" s="16">
        <f>SUMIF(매도완료!$J:$J,Sheet2!$B2077,매도완료!$P:$P)+SUMIF(ING!$J:$J,Sheet2!$B2077,ING!$P:$P)</f>
        <v>0</v>
      </c>
      <c r="E2077" s="16">
        <f t="shared" si="64"/>
        <v>128353307.68439998</v>
      </c>
      <c r="G2077" s="16">
        <f>IF(D2077=0,0,SUMIF(매도완료!$J:$J,Sheet2!$B2077,매도완료!$S:$S))+IF(D2077=0,0,SUMIF(ING!$J:$J,Sheet2!$B2077,ING!$S:$S))</f>
        <v>0</v>
      </c>
      <c r="H2077" s="16">
        <f t="shared" si="65"/>
        <v>33056648.193808939</v>
      </c>
    </row>
    <row r="2078" spans="2:8" hidden="1" x14ac:dyDescent="0.4">
      <c r="B2078" s="1">
        <v>44627</v>
      </c>
      <c r="C2078" s="16">
        <f>SUMIF(매도완료!$G:$G,Sheet2!$B2078,매도완료!$P:$P)+SUMIF(ING!$G:$G,Sheet2!$B2078,ING!$P:$P)</f>
        <v>0</v>
      </c>
      <c r="D2078" s="16">
        <f>SUMIF(매도완료!$J:$J,Sheet2!$B2078,매도완료!$P:$P)+SUMIF(ING!$J:$J,Sheet2!$B2078,ING!$P:$P)</f>
        <v>0</v>
      </c>
      <c r="E2078" s="16">
        <f t="shared" si="64"/>
        <v>128353307.68439998</v>
      </c>
      <c r="G2078" s="16">
        <f>IF(D2078=0,0,SUMIF(매도완료!$J:$J,Sheet2!$B2078,매도완료!$S:$S))+IF(D2078=0,0,SUMIF(ING!$J:$J,Sheet2!$B2078,ING!$S:$S))</f>
        <v>0</v>
      </c>
      <c r="H2078" s="16">
        <f t="shared" si="65"/>
        <v>33056648.193808939</v>
      </c>
    </row>
    <row r="2079" spans="2:8" hidden="1" x14ac:dyDescent="0.4">
      <c r="B2079" s="1">
        <v>44628</v>
      </c>
      <c r="C2079" s="16">
        <f>SUMIF(매도완료!$G:$G,Sheet2!$B2079,매도완료!$P:$P)+SUMIF(ING!$G:$G,Sheet2!$B2079,ING!$P:$P)</f>
        <v>0</v>
      </c>
      <c r="D2079" s="16">
        <f>SUMIF(매도완료!$J:$J,Sheet2!$B2079,매도완료!$P:$P)+SUMIF(ING!$J:$J,Sheet2!$B2079,ING!$P:$P)</f>
        <v>0</v>
      </c>
      <c r="E2079" s="16">
        <f t="shared" si="64"/>
        <v>128353307.68439998</v>
      </c>
      <c r="G2079" s="16">
        <f>IF(D2079=0,0,SUMIF(매도완료!$J:$J,Sheet2!$B2079,매도완료!$S:$S))+IF(D2079=0,0,SUMIF(ING!$J:$J,Sheet2!$B2079,ING!$S:$S))</f>
        <v>0</v>
      </c>
      <c r="H2079" s="16">
        <f t="shared" si="65"/>
        <v>33056648.193808939</v>
      </c>
    </row>
    <row r="2080" spans="2:8" hidden="1" x14ac:dyDescent="0.4">
      <c r="B2080" s="1">
        <v>44629</v>
      </c>
      <c r="C2080" s="16">
        <f>SUMIF(매도완료!$G:$G,Sheet2!$B2080,매도완료!$P:$P)+SUMIF(ING!$G:$G,Sheet2!$B2080,ING!$P:$P)</f>
        <v>0</v>
      </c>
      <c r="D2080" s="16">
        <f>SUMIF(매도완료!$J:$J,Sheet2!$B2080,매도완료!$P:$P)+SUMIF(ING!$J:$J,Sheet2!$B2080,ING!$P:$P)</f>
        <v>0</v>
      </c>
      <c r="E2080" s="16">
        <f t="shared" si="64"/>
        <v>128353307.68439998</v>
      </c>
      <c r="G2080" s="16">
        <f>IF(D2080=0,0,SUMIF(매도완료!$J:$J,Sheet2!$B2080,매도완료!$S:$S))+IF(D2080=0,0,SUMIF(ING!$J:$J,Sheet2!$B2080,ING!$S:$S))</f>
        <v>0</v>
      </c>
      <c r="H2080" s="16">
        <f t="shared" si="65"/>
        <v>33056648.193808939</v>
      </c>
    </row>
    <row r="2081" spans="2:8" hidden="1" x14ac:dyDescent="0.4">
      <c r="B2081" s="1">
        <v>44630</v>
      </c>
      <c r="C2081" s="16">
        <f>SUMIF(매도완료!$G:$G,Sheet2!$B2081,매도완료!$P:$P)+SUMIF(ING!$G:$G,Sheet2!$B2081,ING!$P:$P)</f>
        <v>0</v>
      </c>
      <c r="D2081" s="16">
        <f>SUMIF(매도완료!$J:$J,Sheet2!$B2081,매도완료!$P:$P)+SUMIF(ING!$J:$J,Sheet2!$B2081,ING!$P:$P)</f>
        <v>0</v>
      </c>
      <c r="E2081" s="16">
        <f t="shared" si="64"/>
        <v>128353307.68439998</v>
      </c>
      <c r="G2081" s="16">
        <f>IF(D2081=0,0,SUMIF(매도완료!$J:$J,Sheet2!$B2081,매도완료!$S:$S))+IF(D2081=0,0,SUMIF(ING!$J:$J,Sheet2!$B2081,ING!$S:$S))</f>
        <v>0</v>
      </c>
      <c r="H2081" s="16">
        <f t="shared" si="65"/>
        <v>33056648.193808939</v>
      </c>
    </row>
    <row r="2082" spans="2:8" hidden="1" x14ac:dyDescent="0.4">
      <c r="B2082" s="1">
        <v>44631</v>
      </c>
      <c r="C2082" s="16">
        <f>SUMIF(매도완료!$G:$G,Sheet2!$B2082,매도완료!$P:$P)+SUMIF(ING!$G:$G,Sheet2!$B2082,ING!$P:$P)</f>
        <v>0</v>
      </c>
      <c r="D2082" s="16">
        <f>SUMIF(매도완료!$J:$J,Sheet2!$B2082,매도완료!$P:$P)+SUMIF(ING!$J:$J,Sheet2!$B2082,ING!$P:$P)</f>
        <v>0</v>
      </c>
      <c r="E2082" s="16">
        <f t="shared" si="64"/>
        <v>128353307.68439998</v>
      </c>
      <c r="G2082" s="16">
        <f>IF(D2082=0,0,SUMIF(매도완료!$J:$J,Sheet2!$B2082,매도완료!$S:$S))+IF(D2082=0,0,SUMIF(ING!$J:$J,Sheet2!$B2082,ING!$S:$S))</f>
        <v>0</v>
      </c>
      <c r="H2082" s="16">
        <f t="shared" si="65"/>
        <v>33056648.193808939</v>
      </c>
    </row>
    <row r="2083" spans="2:8" hidden="1" x14ac:dyDescent="0.4">
      <c r="B2083" s="1">
        <v>44632</v>
      </c>
      <c r="C2083" s="16">
        <f>SUMIF(매도완료!$G:$G,Sheet2!$B2083,매도완료!$P:$P)+SUMIF(ING!$G:$G,Sheet2!$B2083,ING!$P:$P)</f>
        <v>0</v>
      </c>
      <c r="D2083" s="16">
        <f>SUMIF(매도완료!$J:$J,Sheet2!$B2083,매도완료!$P:$P)+SUMIF(ING!$J:$J,Sheet2!$B2083,ING!$P:$P)</f>
        <v>0</v>
      </c>
      <c r="E2083" s="16">
        <f t="shared" si="64"/>
        <v>128353307.68439998</v>
      </c>
      <c r="G2083" s="16">
        <f>IF(D2083=0,0,SUMIF(매도완료!$J:$J,Sheet2!$B2083,매도완료!$S:$S))+IF(D2083=0,0,SUMIF(ING!$J:$J,Sheet2!$B2083,ING!$S:$S))</f>
        <v>0</v>
      </c>
      <c r="H2083" s="16">
        <f t="shared" si="65"/>
        <v>33056648.193808939</v>
      </c>
    </row>
    <row r="2084" spans="2:8" hidden="1" x14ac:dyDescent="0.4">
      <c r="B2084" s="1">
        <v>44633</v>
      </c>
      <c r="C2084" s="16">
        <f>SUMIF(매도완료!$G:$G,Sheet2!$B2084,매도완료!$P:$P)+SUMIF(ING!$G:$G,Sheet2!$B2084,ING!$P:$P)</f>
        <v>0</v>
      </c>
      <c r="D2084" s="16">
        <f>SUMIF(매도완료!$J:$J,Sheet2!$B2084,매도완료!$P:$P)+SUMIF(ING!$J:$J,Sheet2!$B2084,ING!$P:$P)</f>
        <v>0</v>
      </c>
      <c r="E2084" s="16">
        <f t="shared" si="64"/>
        <v>128353307.68439998</v>
      </c>
      <c r="G2084" s="16">
        <f>IF(D2084=0,0,SUMIF(매도완료!$J:$J,Sheet2!$B2084,매도완료!$S:$S))+IF(D2084=0,0,SUMIF(ING!$J:$J,Sheet2!$B2084,ING!$S:$S))</f>
        <v>0</v>
      </c>
      <c r="H2084" s="16">
        <f t="shared" si="65"/>
        <v>33056648.193808939</v>
      </c>
    </row>
    <row r="2085" spans="2:8" hidden="1" x14ac:dyDescent="0.4">
      <c r="B2085" s="1">
        <v>44634</v>
      </c>
      <c r="C2085" s="16">
        <f>SUMIF(매도완료!$G:$G,Sheet2!$B2085,매도완료!$P:$P)+SUMIF(ING!$G:$G,Sheet2!$B2085,ING!$P:$P)</f>
        <v>0</v>
      </c>
      <c r="D2085" s="16">
        <f>SUMIF(매도완료!$J:$J,Sheet2!$B2085,매도완료!$P:$P)+SUMIF(ING!$J:$J,Sheet2!$B2085,ING!$P:$P)</f>
        <v>0</v>
      </c>
      <c r="E2085" s="16">
        <f t="shared" si="64"/>
        <v>128353307.68439998</v>
      </c>
      <c r="G2085" s="16">
        <f>IF(D2085=0,0,SUMIF(매도완료!$J:$J,Sheet2!$B2085,매도완료!$S:$S))+IF(D2085=0,0,SUMIF(ING!$J:$J,Sheet2!$B2085,ING!$S:$S))</f>
        <v>0</v>
      </c>
      <c r="H2085" s="16">
        <f t="shared" si="65"/>
        <v>33056648.193808939</v>
      </c>
    </row>
    <row r="2086" spans="2:8" hidden="1" x14ac:dyDescent="0.4">
      <c r="B2086" s="1">
        <v>44635</v>
      </c>
      <c r="C2086" s="16">
        <f>SUMIF(매도완료!$G:$G,Sheet2!$B2086,매도완료!$P:$P)+SUMIF(ING!$G:$G,Sheet2!$B2086,ING!$P:$P)</f>
        <v>0</v>
      </c>
      <c r="D2086" s="16">
        <f>SUMIF(매도완료!$J:$J,Sheet2!$B2086,매도완료!$P:$P)+SUMIF(ING!$J:$J,Sheet2!$B2086,ING!$P:$P)</f>
        <v>0</v>
      </c>
      <c r="E2086" s="16">
        <f t="shared" si="64"/>
        <v>128353307.68439998</v>
      </c>
      <c r="G2086" s="16">
        <f>IF(D2086=0,0,SUMIF(매도완료!$J:$J,Sheet2!$B2086,매도완료!$S:$S))+IF(D2086=0,0,SUMIF(ING!$J:$J,Sheet2!$B2086,ING!$S:$S))</f>
        <v>0</v>
      </c>
      <c r="H2086" s="16">
        <f t="shared" si="65"/>
        <v>33056648.193808939</v>
      </c>
    </row>
    <row r="2087" spans="2:8" hidden="1" x14ac:dyDescent="0.4">
      <c r="B2087" s="1">
        <v>44636</v>
      </c>
      <c r="C2087" s="16">
        <f>SUMIF(매도완료!$G:$G,Sheet2!$B2087,매도완료!$P:$P)+SUMIF(ING!$G:$G,Sheet2!$B2087,ING!$P:$P)</f>
        <v>0</v>
      </c>
      <c r="D2087" s="16">
        <f>SUMIF(매도완료!$J:$J,Sheet2!$B2087,매도완료!$P:$P)+SUMIF(ING!$J:$J,Sheet2!$B2087,ING!$P:$P)</f>
        <v>0</v>
      </c>
      <c r="E2087" s="16">
        <f t="shared" si="64"/>
        <v>128353307.68439998</v>
      </c>
      <c r="G2087" s="16">
        <f>IF(D2087=0,0,SUMIF(매도완료!$J:$J,Sheet2!$B2087,매도완료!$S:$S))+IF(D2087=0,0,SUMIF(ING!$J:$J,Sheet2!$B2087,ING!$S:$S))</f>
        <v>0</v>
      </c>
      <c r="H2087" s="16">
        <f t="shared" si="65"/>
        <v>33056648.193808939</v>
      </c>
    </row>
    <row r="2088" spans="2:8" hidden="1" x14ac:dyDescent="0.4">
      <c r="B2088" s="1">
        <v>44637</v>
      </c>
      <c r="C2088" s="16">
        <f>SUMIF(매도완료!$G:$G,Sheet2!$B2088,매도완료!$P:$P)+SUMIF(ING!$G:$G,Sheet2!$B2088,ING!$P:$P)</f>
        <v>0</v>
      </c>
      <c r="D2088" s="16">
        <f>SUMIF(매도완료!$J:$J,Sheet2!$B2088,매도완료!$P:$P)+SUMIF(ING!$J:$J,Sheet2!$B2088,ING!$P:$P)</f>
        <v>0</v>
      </c>
      <c r="E2088" s="16">
        <f t="shared" si="64"/>
        <v>128353307.68439998</v>
      </c>
      <c r="G2088" s="16">
        <f>IF(D2088=0,0,SUMIF(매도완료!$J:$J,Sheet2!$B2088,매도완료!$S:$S))+IF(D2088=0,0,SUMIF(ING!$J:$J,Sheet2!$B2088,ING!$S:$S))</f>
        <v>0</v>
      </c>
      <c r="H2088" s="16">
        <f t="shared" si="65"/>
        <v>33056648.193808939</v>
      </c>
    </row>
    <row r="2089" spans="2:8" hidden="1" x14ac:dyDescent="0.4">
      <c r="B2089" s="1">
        <v>44638</v>
      </c>
      <c r="C2089" s="16">
        <f>SUMIF(매도완료!$G:$G,Sheet2!$B2089,매도완료!$P:$P)+SUMIF(ING!$G:$G,Sheet2!$B2089,ING!$P:$P)</f>
        <v>0</v>
      </c>
      <c r="D2089" s="16">
        <f>SUMIF(매도완료!$J:$J,Sheet2!$B2089,매도완료!$P:$P)+SUMIF(ING!$J:$J,Sheet2!$B2089,ING!$P:$P)</f>
        <v>0</v>
      </c>
      <c r="E2089" s="16">
        <f t="shared" si="64"/>
        <v>128353307.68439998</v>
      </c>
      <c r="G2089" s="16">
        <f>IF(D2089=0,0,SUMIF(매도완료!$J:$J,Sheet2!$B2089,매도완료!$S:$S))+IF(D2089=0,0,SUMIF(ING!$J:$J,Sheet2!$B2089,ING!$S:$S))</f>
        <v>0</v>
      </c>
      <c r="H2089" s="16">
        <f t="shared" si="65"/>
        <v>33056648.193808939</v>
      </c>
    </row>
    <row r="2090" spans="2:8" hidden="1" x14ac:dyDescent="0.4">
      <c r="B2090" s="1">
        <v>44639</v>
      </c>
      <c r="C2090" s="16">
        <f>SUMIF(매도완료!$G:$G,Sheet2!$B2090,매도완료!$P:$P)+SUMIF(ING!$G:$G,Sheet2!$B2090,ING!$P:$P)</f>
        <v>0</v>
      </c>
      <c r="D2090" s="16">
        <f>SUMIF(매도완료!$J:$J,Sheet2!$B2090,매도완료!$P:$P)+SUMIF(ING!$J:$J,Sheet2!$B2090,ING!$P:$P)</f>
        <v>0</v>
      </c>
      <c r="E2090" s="16">
        <f t="shared" si="64"/>
        <v>128353307.68439998</v>
      </c>
      <c r="G2090" s="16">
        <f>IF(D2090=0,0,SUMIF(매도완료!$J:$J,Sheet2!$B2090,매도완료!$S:$S))+IF(D2090=0,0,SUMIF(ING!$J:$J,Sheet2!$B2090,ING!$S:$S))</f>
        <v>0</v>
      </c>
      <c r="H2090" s="16">
        <f t="shared" si="65"/>
        <v>33056648.193808939</v>
      </c>
    </row>
    <row r="2091" spans="2:8" hidden="1" x14ac:dyDescent="0.4">
      <c r="B2091" s="1">
        <v>44640</v>
      </c>
      <c r="C2091" s="16">
        <f>SUMIF(매도완료!$G:$G,Sheet2!$B2091,매도완료!$P:$P)+SUMIF(ING!$G:$G,Sheet2!$B2091,ING!$P:$P)</f>
        <v>0</v>
      </c>
      <c r="D2091" s="16">
        <f>SUMIF(매도완료!$J:$J,Sheet2!$B2091,매도완료!$P:$P)+SUMIF(ING!$J:$J,Sheet2!$B2091,ING!$P:$P)</f>
        <v>0</v>
      </c>
      <c r="E2091" s="16">
        <f t="shared" si="64"/>
        <v>128353307.68439998</v>
      </c>
      <c r="G2091" s="16">
        <f>IF(D2091=0,0,SUMIF(매도완료!$J:$J,Sheet2!$B2091,매도완료!$S:$S))+IF(D2091=0,0,SUMIF(ING!$J:$J,Sheet2!$B2091,ING!$S:$S))</f>
        <v>0</v>
      </c>
      <c r="H2091" s="16">
        <f t="shared" si="65"/>
        <v>33056648.193808939</v>
      </c>
    </row>
    <row r="2092" spans="2:8" hidden="1" x14ac:dyDescent="0.4">
      <c r="B2092" s="1">
        <v>44641</v>
      </c>
      <c r="C2092" s="16">
        <f>SUMIF(매도완료!$G:$G,Sheet2!$B2092,매도완료!$P:$P)+SUMIF(ING!$G:$G,Sheet2!$B2092,ING!$P:$P)</f>
        <v>0</v>
      </c>
      <c r="D2092" s="16">
        <f>SUMIF(매도완료!$J:$J,Sheet2!$B2092,매도완료!$P:$P)+SUMIF(ING!$J:$J,Sheet2!$B2092,ING!$P:$P)</f>
        <v>0</v>
      </c>
      <c r="E2092" s="16">
        <f t="shared" si="64"/>
        <v>128353307.68439998</v>
      </c>
      <c r="G2092" s="16">
        <f>IF(D2092=0,0,SUMIF(매도완료!$J:$J,Sheet2!$B2092,매도완료!$S:$S))+IF(D2092=0,0,SUMIF(ING!$J:$J,Sheet2!$B2092,ING!$S:$S))</f>
        <v>0</v>
      </c>
      <c r="H2092" s="16">
        <f t="shared" si="65"/>
        <v>33056648.193808939</v>
      </c>
    </row>
    <row r="2093" spans="2:8" hidden="1" x14ac:dyDescent="0.4">
      <c r="B2093" s="1">
        <v>44642</v>
      </c>
      <c r="C2093" s="16">
        <f>SUMIF(매도완료!$G:$G,Sheet2!$B2093,매도완료!$P:$P)+SUMIF(ING!$G:$G,Sheet2!$B2093,ING!$P:$P)</f>
        <v>0</v>
      </c>
      <c r="D2093" s="16">
        <f>SUMIF(매도완료!$J:$J,Sheet2!$B2093,매도완료!$P:$P)+SUMIF(ING!$J:$J,Sheet2!$B2093,ING!$P:$P)</f>
        <v>0</v>
      </c>
      <c r="E2093" s="16">
        <f t="shared" si="64"/>
        <v>128353307.68439998</v>
      </c>
      <c r="G2093" s="16">
        <f>IF(D2093=0,0,SUMIF(매도완료!$J:$J,Sheet2!$B2093,매도완료!$S:$S))+IF(D2093=0,0,SUMIF(ING!$J:$J,Sheet2!$B2093,ING!$S:$S))</f>
        <v>0</v>
      </c>
      <c r="H2093" s="16">
        <f t="shared" si="65"/>
        <v>33056648.193808939</v>
      </c>
    </row>
    <row r="2094" spans="2:8" hidden="1" x14ac:dyDescent="0.4">
      <c r="B2094" s="1">
        <v>44643</v>
      </c>
      <c r="C2094" s="16">
        <f>SUMIF(매도완료!$G:$G,Sheet2!$B2094,매도완료!$P:$P)+SUMIF(ING!$G:$G,Sheet2!$B2094,ING!$P:$P)</f>
        <v>0</v>
      </c>
      <c r="D2094" s="16">
        <f>SUMIF(매도완료!$J:$J,Sheet2!$B2094,매도완료!$P:$P)+SUMIF(ING!$J:$J,Sheet2!$B2094,ING!$P:$P)</f>
        <v>0</v>
      </c>
      <c r="E2094" s="16">
        <f t="shared" si="64"/>
        <v>128353307.68439998</v>
      </c>
      <c r="G2094" s="16">
        <f>IF(D2094=0,0,SUMIF(매도완료!$J:$J,Sheet2!$B2094,매도완료!$S:$S))+IF(D2094=0,0,SUMIF(ING!$J:$J,Sheet2!$B2094,ING!$S:$S))</f>
        <v>0</v>
      </c>
      <c r="H2094" s="16">
        <f t="shared" si="65"/>
        <v>33056648.193808939</v>
      </c>
    </row>
    <row r="2095" spans="2:8" hidden="1" x14ac:dyDescent="0.4">
      <c r="B2095" s="1">
        <v>44644</v>
      </c>
      <c r="C2095" s="16">
        <f>SUMIF(매도완료!$G:$G,Sheet2!$B2095,매도완료!$P:$P)+SUMIF(ING!$G:$G,Sheet2!$B2095,ING!$P:$P)</f>
        <v>0</v>
      </c>
      <c r="D2095" s="16">
        <f>SUMIF(매도완료!$J:$J,Sheet2!$B2095,매도완료!$P:$P)+SUMIF(ING!$J:$J,Sheet2!$B2095,ING!$P:$P)</f>
        <v>0</v>
      </c>
      <c r="E2095" s="16">
        <f t="shared" si="64"/>
        <v>128353307.68439998</v>
      </c>
      <c r="G2095" s="16">
        <f>IF(D2095=0,0,SUMIF(매도완료!$J:$J,Sheet2!$B2095,매도완료!$S:$S))+IF(D2095=0,0,SUMIF(ING!$J:$J,Sheet2!$B2095,ING!$S:$S))</f>
        <v>0</v>
      </c>
      <c r="H2095" s="16">
        <f t="shared" si="65"/>
        <v>33056648.193808939</v>
      </c>
    </row>
    <row r="2096" spans="2:8" hidden="1" x14ac:dyDescent="0.4">
      <c r="B2096" s="1">
        <v>44645</v>
      </c>
      <c r="C2096" s="16">
        <f>SUMIF(매도완료!$G:$G,Sheet2!$B2096,매도완료!$P:$P)+SUMIF(ING!$G:$G,Sheet2!$B2096,ING!$P:$P)</f>
        <v>0</v>
      </c>
      <c r="D2096" s="16">
        <f>SUMIF(매도완료!$J:$J,Sheet2!$B2096,매도완료!$P:$P)+SUMIF(ING!$J:$J,Sheet2!$B2096,ING!$P:$P)</f>
        <v>0</v>
      </c>
      <c r="E2096" s="16">
        <f t="shared" si="64"/>
        <v>128353307.68439998</v>
      </c>
      <c r="G2096" s="16">
        <f>IF(D2096=0,0,SUMIF(매도완료!$J:$J,Sheet2!$B2096,매도완료!$S:$S))+IF(D2096=0,0,SUMIF(ING!$J:$J,Sheet2!$B2096,ING!$S:$S))</f>
        <v>0</v>
      </c>
      <c r="H2096" s="16">
        <f t="shared" si="65"/>
        <v>33056648.193808939</v>
      </c>
    </row>
    <row r="2097" spans="2:8" hidden="1" x14ac:dyDescent="0.4">
      <c r="B2097" s="1">
        <v>44646</v>
      </c>
      <c r="C2097" s="16">
        <f>SUMIF(매도완료!$G:$G,Sheet2!$B2097,매도완료!$P:$P)+SUMIF(ING!$G:$G,Sheet2!$B2097,ING!$P:$P)</f>
        <v>0</v>
      </c>
      <c r="D2097" s="16">
        <f>SUMIF(매도완료!$J:$J,Sheet2!$B2097,매도완료!$P:$P)+SUMIF(ING!$J:$J,Sheet2!$B2097,ING!$P:$P)</f>
        <v>0</v>
      </c>
      <c r="E2097" s="16">
        <f t="shared" si="64"/>
        <v>128353307.68439998</v>
      </c>
      <c r="G2097" s="16">
        <f>IF(D2097=0,0,SUMIF(매도완료!$J:$J,Sheet2!$B2097,매도완료!$S:$S))+IF(D2097=0,0,SUMIF(ING!$J:$J,Sheet2!$B2097,ING!$S:$S))</f>
        <v>0</v>
      </c>
      <c r="H2097" s="16">
        <f t="shared" si="65"/>
        <v>33056648.193808939</v>
      </c>
    </row>
    <row r="2098" spans="2:8" hidden="1" x14ac:dyDescent="0.4">
      <c r="B2098" s="1">
        <v>44647</v>
      </c>
      <c r="C2098" s="16">
        <f>SUMIF(매도완료!$G:$G,Sheet2!$B2098,매도완료!$P:$P)+SUMIF(ING!$G:$G,Sheet2!$B2098,ING!$P:$P)</f>
        <v>0</v>
      </c>
      <c r="D2098" s="16">
        <f>SUMIF(매도완료!$J:$J,Sheet2!$B2098,매도완료!$P:$P)+SUMIF(ING!$J:$J,Sheet2!$B2098,ING!$P:$P)</f>
        <v>0</v>
      </c>
      <c r="E2098" s="16">
        <f t="shared" si="64"/>
        <v>128353307.68439998</v>
      </c>
      <c r="G2098" s="16">
        <f>IF(D2098=0,0,SUMIF(매도완료!$J:$J,Sheet2!$B2098,매도완료!$S:$S))+IF(D2098=0,0,SUMIF(ING!$J:$J,Sheet2!$B2098,ING!$S:$S))</f>
        <v>0</v>
      </c>
      <c r="H2098" s="16">
        <f t="shared" si="65"/>
        <v>33056648.193808939</v>
      </c>
    </row>
    <row r="2099" spans="2:8" hidden="1" x14ac:dyDescent="0.4">
      <c r="B2099" s="1">
        <v>44648</v>
      </c>
      <c r="C2099" s="16">
        <f>SUMIF(매도완료!$G:$G,Sheet2!$B2099,매도완료!$P:$P)+SUMIF(ING!$G:$G,Sheet2!$B2099,ING!$P:$P)</f>
        <v>0</v>
      </c>
      <c r="D2099" s="16">
        <f>SUMIF(매도완료!$J:$J,Sheet2!$B2099,매도완료!$P:$P)+SUMIF(ING!$J:$J,Sheet2!$B2099,ING!$P:$P)</f>
        <v>0</v>
      </c>
      <c r="E2099" s="16">
        <f t="shared" si="64"/>
        <v>128353307.68439998</v>
      </c>
      <c r="G2099" s="16">
        <f>IF(D2099=0,0,SUMIF(매도완료!$J:$J,Sheet2!$B2099,매도완료!$S:$S))+IF(D2099=0,0,SUMIF(ING!$J:$J,Sheet2!$B2099,ING!$S:$S))</f>
        <v>0</v>
      </c>
      <c r="H2099" s="16">
        <f t="shared" si="65"/>
        <v>33056648.193808939</v>
      </c>
    </row>
    <row r="2100" spans="2:8" hidden="1" x14ac:dyDescent="0.4">
      <c r="B2100" s="1">
        <v>44649</v>
      </c>
      <c r="C2100" s="16">
        <f>SUMIF(매도완료!$G:$G,Sheet2!$B2100,매도완료!$P:$P)+SUMIF(ING!$G:$G,Sheet2!$B2100,ING!$P:$P)</f>
        <v>0</v>
      </c>
      <c r="D2100" s="16">
        <f>SUMIF(매도완료!$J:$J,Sheet2!$B2100,매도완료!$P:$P)+SUMIF(ING!$J:$J,Sheet2!$B2100,ING!$P:$P)</f>
        <v>0</v>
      </c>
      <c r="E2100" s="16">
        <f t="shared" si="64"/>
        <v>128353307.68439998</v>
      </c>
      <c r="G2100" s="16">
        <f>IF(D2100=0,0,SUMIF(매도완료!$J:$J,Sheet2!$B2100,매도완료!$S:$S))+IF(D2100=0,0,SUMIF(ING!$J:$J,Sheet2!$B2100,ING!$S:$S))</f>
        <v>0</v>
      </c>
      <c r="H2100" s="16">
        <f t="shared" si="65"/>
        <v>33056648.193808939</v>
      </c>
    </row>
    <row r="2101" spans="2:8" hidden="1" x14ac:dyDescent="0.4">
      <c r="B2101" s="1">
        <v>44650</v>
      </c>
      <c r="C2101" s="16">
        <f>SUMIF(매도완료!$G:$G,Sheet2!$B2101,매도완료!$P:$P)+SUMIF(ING!$G:$G,Sheet2!$B2101,ING!$P:$P)</f>
        <v>0</v>
      </c>
      <c r="D2101" s="16">
        <f>SUMIF(매도완료!$J:$J,Sheet2!$B2101,매도완료!$P:$P)+SUMIF(ING!$J:$J,Sheet2!$B2101,ING!$P:$P)</f>
        <v>0</v>
      </c>
      <c r="E2101" s="16">
        <f t="shared" si="64"/>
        <v>128353307.68439998</v>
      </c>
      <c r="G2101" s="16">
        <f>IF(D2101=0,0,SUMIF(매도완료!$J:$J,Sheet2!$B2101,매도완료!$S:$S))+IF(D2101=0,0,SUMIF(ING!$J:$J,Sheet2!$B2101,ING!$S:$S))</f>
        <v>0</v>
      </c>
      <c r="H2101" s="16">
        <f t="shared" si="65"/>
        <v>33056648.193808939</v>
      </c>
    </row>
    <row r="2102" spans="2:8" hidden="1" x14ac:dyDescent="0.4">
      <c r="B2102" s="1">
        <v>44651</v>
      </c>
      <c r="C2102" s="16">
        <f>SUMIF(매도완료!$G:$G,Sheet2!$B2102,매도완료!$P:$P)+SUMIF(ING!$G:$G,Sheet2!$B2102,ING!$P:$P)</f>
        <v>0</v>
      </c>
      <c r="D2102" s="16">
        <f>SUMIF(매도완료!$J:$J,Sheet2!$B2102,매도완료!$P:$P)+SUMIF(ING!$J:$J,Sheet2!$B2102,ING!$P:$P)</f>
        <v>0</v>
      </c>
      <c r="E2102" s="16">
        <f t="shared" si="64"/>
        <v>128353307.68439998</v>
      </c>
      <c r="G2102" s="16">
        <f>IF(D2102=0,0,SUMIF(매도완료!$J:$J,Sheet2!$B2102,매도완료!$S:$S))+IF(D2102=0,0,SUMIF(ING!$J:$J,Sheet2!$B2102,ING!$S:$S))</f>
        <v>0</v>
      </c>
      <c r="H2102" s="16">
        <f t="shared" si="65"/>
        <v>33056648.193808939</v>
      </c>
    </row>
    <row r="2103" spans="2:8" hidden="1" x14ac:dyDescent="0.4">
      <c r="B2103" s="1">
        <v>44652</v>
      </c>
      <c r="C2103" s="16">
        <f>SUMIF(매도완료!$G:$G,Sheet2!$B2103,매도완료!$P:$P)+SUMIF(ING!$G:$G,Sheet2!$B2103,ING!$P:$P)</f>
        <v>0</v>
      </c>
      <c r="D2103" s="16">
        <f>SUMIF(매도완료!$J:$J,Sheet2!$B2103,매도완료!$P:$P)+SUMIF(ING!$J:$J,Sheet2!$B2103,ING!$P:$P)</f>
        <v>0</v>
      </c>
      <c r="E2103" s="16">
        <f t="shared" si="64"/>
        <v>128353307.68439998</v>
      </c>
      <c r="G2103" s="16">
        <f>IF(D2103=0,0,SUMIF(매도완료!$J:$J,Sheet2!$B2103,매도완료!$S:$S))+IF(D2103=0,0,SUMIF(ING!$J:$J,Sheet2!$B2103,ING!$S:$S))</f>
        <v>0</v>
      </c>
      <c r="H2103" s="16">
        <f t="shared" si="65"/>
        <v>33056648.193808939</v>
      </c>
    </row>
    <row r="2104" spans="2:8" hidden="1" x14ac:dyDescent="0.4">
      <c r="B2104" s="1">
        <v>44653</v>
      </c>
      <c r="C2104" s="16">
        <f>SUMIF(매도완료!$G:$G,Sheet2!$B2104,매도완료!$P:$P)+SUMIF(ING!$G:$G,Sheet2!$B2104,ING!$P:$P)</f>
        <v>0</v>
      </c>
      <c r="D2104" s="16">
        <f>SUMIF(매도완료!$J:$J,Sheet2!$B2104,매도완료!$P:$P)+SUMIF(ING!$J:$J,Sheet2!$B2104,ING!$P:$P)</f>
        <v>0</v>
      </c>
      <c r="E2104" s="16">
        <f t="shared" si="64"/>
        <v>128353307.68439998</v>
      </c>
      <c r="G2104" s="16">
        <f>IF(D2104=0,0,SUMIF(매도완료!$J:$J,Sheet2!$B2104,매도완료!$S:$S))+IF(D2104=0,0,SUMIF(ING!$J:$J,Sheet2!$B2104,ING!$S:$S))</f>
        <v>0</v>
      </c>
      <c r="H2104" s="16">
        <f t="shared" si="65"/>
        <v>33056648.193808939</v>
      </c>
    </row>
    <row r="2105" spans="2:8" hidden="1" x14ac:dyDescent="0.4">
      <c r="B2105" s="1">
        <v>44654</v>
      </c>
      <c r="C2105" s="16">
        <f>SUMIF(매도완료!$G:$G,Sheet2!$B2105,매도완료!$P:$P)+SUMIF(ING!$G:$G,Sheet2!$B2105,ING!$P:$P)</f>
        <v>0</v>
      </c>
      <c r="D2105" s="16">
        <f>SUMIF(매도완료!$J:$J,Sheet2!$B2105,매도완료!$P:$P)+SUMIF(ING!$J:$J,Sheet2!$B2105,ING!$P:$P)</f>
        <v>0</v>
      </c>
      <c r="E2105" s="16">
        <f t="shared" si="64"/>
        <v>128353307.68439998</v>
      </c>
      <c r="G2105" s="16">
        <f>IF(D2105=0,0,SUMIF(매도완료!$J:$J,Sheet2!$B2105,매도완료!$S:$S))+IF(D2105=0,0,SUMIF(ING!$J:$J,Sheet2!$B2105,ING!$S:$S))</f>
        <v>0</v>
      </c>
      <c r="H2105" s="16">
        <f t="shared" si="65"/>
        <v>33056648.193808939</v>
      </c>
    </row>
    <row r="2106" spans="2:8" hidden="1" x14ac:dyDescent="0.4">
      <c r="B2106" s="1">
        <v>44655</v>
      </c>
      <c r="C2106" s="16">
        <f>SUMIF(매도완료!$G:$G,Sheet2!$B2106,매도완료!$P:$P)+SUMIF(ING!$G:$G,Sheet2!$B2106,ING!$P:$P)</f>
        <v>0</v>
      </c>
      <c r="D2106" s="16">
        <f>SUMIF(매도완료!$J:$J,Sheet2!$B2106,매도완료!$P:$P)+SUMIF(ING!$J:$J,Sheet2!$B2106,ING!$P:$P)</f>
        <v>0</v>
      </c>
      <c r="E2106" s="16">
        <f t="shared" si="64"/>
        <v>128353307.68439998</v>
      </c>
      <c r="G2106" s="16">
        <f>IF(D2106=0,0,SUMIF(매도완료!$J:$J,Sheet2!$B2106,매도완료!$S:$S))+IF(D2106=0,0,SUMIF(ING!$J:$J,Sheet2!$B2106,ING!$S:$S))</f>
        <v>0</v>
      </c>
      <c r="H2106" s="16">
        <f t="shared" si="65"/>
        <v>33056648.193808939</v>
      </c>
    </row>
    <row r="2107" spans="2:8" hidden="1" x14ac:dyDescent="0.4">
      <c r="B2107" s="1">
        <v>44656</v>
      </c>
      <c r="C2107" s="16">
        <f>SUMIF(매도완료!$G:$G,Sheet2!$B2107,매도완료!$P:$P)+SUMIF(ING!$G:$G,Sheet2!$B2107,ING!$P:$P)</f>
        <v>0</v>
      </c>
      <c r="D2107" s="16">
        <f>SUMIF(매도완료!$J:$J,Sheet2!$B2107,매도완료!$P:$P)+SUMIF(ING!$J:$J,Sheet2!$B2107,ING!$P:$P)</f>
        <v>0</v>
      </c>
      <c r="E2107" s="16">
        <f t="shared" si="64"/>
        <v>128353307.68439998</v>
      </c>
      <c r="G2107" s="16">
        <f>IF(D2107=0,0,SUMIF(매도완료!$J:$J,Sheet2!$B2107,매도완료!$S:$S))+IF(D2107=0,0,SUMIF(ING!$J:$J,Sheet2!$B2107,ING!$S:$S))</f>
        <v>0</v>
      </c>
      <c r="H2107" s="16">
        <f t="shared" si="65"/>
        <v>33056648.193808939</v>
      </c>
    </row>
    <row r="2108" spans="2:8" hidden="1" x14ac:dyDescent="0.4">
      <c r="B2108" s="1">
        <v>44657</v>
      </c>
      <c r="C2108" s="16">
        <f>SUMIF(매도완료!$G:$G,Sheet2!$B2108,매도완료!$P:$P)+SUMIF(ING!$G:$G,Sheet2!$B2108,ING!$P:$P)</f>
        <v>0</v>
      </c>
      <c r="D2108" s="16">
        <f>SUMIF(매도완료!$J:$J,Sheet2!$B2108,매도완료!$P:$P)+SUMIF(ING!$J:$J,Sheet2!$B2108,ING!$P:$P)</f>
        <v>0</v>
      </c>
      <c r="E2108" s="16">
        <f t="shared" si="64"/>
        <v>128353307.68439998</v>
      </c>
      <c r="G2108" s="16">
        <f>IF(D2108=0,0,SUMIF(매도완료!$J:$J,Sheet2!$B2108,매도완료!$S:$S))+IF(D2108=0,0,SUMIF(ING!$J:$J,Sheet2!$B2108,ING!$S:$S))</f>
        <v>0</v>
      </c>
      <c r="H2108" s="16">
        <f t="shared" si="65"/>
        <v>33056648.193808939</v>
      </c>
    </row>
    <row r="2109" spans="2:8" hidden="1" x14ac:dyDescent="0.4">
      <c r="B2109" s="1">
        <v>44658</v>
      </c>
      <c r="C2109" s="16">
        <f>SUMIF(매도완료!$G:$G,Sheet2!$B2109,매도완료!$P:$P)+SUMIF(ING!$G:$G,Sheet2!$B2109,ING!$P:$P)</f>
        <v>0</v>
      </c>
      <c r="D2109" s="16">
        <f>SUMIF(매도완료!$J:$J,Sheet2!$B2109,매도완료!$P:$P)+SUMIF(ING!$J:$J,Sheet2!$B2109,ING!$P:$P)</f>
        <v>0</v>
      </c>
      <c r="E2109" s="16">
        <f t="shared" si="64"/>
        <v>128353307.68439998</v>
      </c>
      <c r="G2109" s="16">
        <f>IF(D2109=0,0,SUMIF(매도완료!$J:$J,Sheet2!$B2109,매도완료!$S:$S))+IF(D2109=0,0,SUMIF(ING!$J:$J,Sheet2!$B2109,ING!$S:$S))</f>
        <v>0</v>
      </c>
      <c r="H2109" s="16">
        <f t="shared" si="65"/>
        <v>33056648.193808939</v>
      </c>
    </row>
    <row r="2110" spans="2:8" hidden="1" x14ac:dyDescent="0.4">
      <c r="B2110" s="1">
        <v>44659</v>
      </c>
      <c r="C2110" s="16">
        <f>SUMIF(매도완료!$G:$G,Sheet2!$B2110,매도완료!$P:$P)+SUMIF(ING!$G:$G,Sheet2!$B2110,ING!$P:$P)</f>
        <v>0</v>
      </c>
      <c r="D2110" s="16">
        <f>SUMIF(매도완료!$J:$J,Sheet2!$B2110,매도완료!$P:$P)+SUMIF(ING!$J:$J,Sheet2!$B2110,ING!$P:$P)</f>
        <v>0</v>
      </c>
      <c r="E2110" s="16">
        <f t="shared" si="64"/>
        <v>128353307.68439998</v>
      </c>
      <c r="G2110" s="16">
        <f>IF(D2110=0,0,SUMIF(매도완료!$J:$J,Sheet2!$B2110,매도완료!$S:$S))+IF(D2110=0,0,SUMIF(ING!$J:$J,Sheet2!$B2110,ING!$S:$S))</f>
        <v>0</v>
      </c>
      <c r="H2110" s="16">
        <f t="shared" si="65"/>
        <v>33056648.193808939</v>
      </c>
    </row>
    <row r="2111" spans="2:8" hidden="1" x14ac:dyDescent="0.4">
      <c r="B2111" s="1">
        <v>44660</v>
      </c>
      <c r="C2111" s="16">
        <f>SUMIF(매도완료!$G:$G,Sheet2!$B2111,매도완료!$P:$P)+SUMIF(ING!$G:$G,Sheet2!$B2111,ING!$P:$P)</f>
        <v>0</v>
      </c>
      <c r="D2111" s="16">
        <f>SUMIF(매도완료!$J:$J,Sheet2!$B2111,매도완료!$P:$P)+SUMIF(ING!$J:$J,Sheet2!$B2111,ING!$P:$P)</f>
        <v>0</v>
      </c>
      <c r="E2111" s="16">
        <f t="shared" si="64"/>
        <v>128353307.68439998</v>
      </c>
      <c r="G2111" s="16">
        <f>IF(D2111=0,0,SUMIF(매도완료!$J:$J,Sheet2!$B2111,매도완료!$S:$S))+IF(D2111=0,0,SUMIF(ING!$J:$J,Sheet2!$B2111,ING!$S:$S))</f>
        <v>0</v>
      </c>
      <c r="H2111" s="16">
        <f t="shared" si="65"/>
        <v>33056648.193808939</v>
      </c>
    </row>
    <row r="2112" spans="2:8" hidden="1" x14ac:dyDescent="0.4">
      <c r="B2112" s="1">
        <v>44661</v>
      </c>
      <c r="C2112" s="16">
        <f>SUMIF(매도완료!$G:$G,Sheet2!$B2112,매도완료!$P:$P)+SUMIF(ING!$G:$G,Sheet2!$B2112,ING!$P:$P)</f>
        <v>0</v>
      </c>
      <c r="D2112" s="16">
        <f>SUMIF(매도완료!$J:$J,Sheet2!$B2112,매도완료!$P:$P)+SUMIF(ING!$J:$J,Sheet2!$B2112,ING!$P:$P)</f>
        <v>0</v>
      </c>
      <c r="E2112" s="16">
        <f t="shared" si="64"/>
        <v>128353307.68439998</v>
      </c>
      <c r="G2112" s="16">
        <f>IF(D2112=0,0,SUMIF(매도완료!$J:$J,Sheet2!$B2112,매도완료!$S:$S))+IF(D2112=0,0,SUMIF(ING!$J:$J,Sheet2!$B2112,ING!$S:$S))</f>
        <v>0</v>
      </c>
      <c r="H2112" s="16">
        <f t="shared" si="65"/>
        <v>33056648.193808939</v>
      </c>
    </row>
    <row r="2113" spans="2:8" hidden="1" x14ac:dyDescent="0.4">
      <c r="B2113" s="1">
        <v>44662</v>
      </c>
      <c r="C2113" s="16">
        <f>SUMIF(매도완료!$G:$G,Sheet2!$B2113,매도완료!$P:$P)+SUMIF(ING!$G:$G,Sheet2!$B2113,ING!$P:$P)</f>
        <v>0</v>
      </c>
      <c r="D2113" s="16">
        <f>SUMIF(매도완료!$J:$J,Sheet2!$B2113,매도완료!$P:$P)+SUMIF(ING!$J:$J,Sheet2!$B2113,ING!$P:$P)</f>
        <v>0</v>
      </c>
      <c r="E2113" s="16">
        <f t="shared" si="64"/>
        <v>128353307.68439998</v>
      </c>
      <c r="G2113" s="16">
        <f>IF(D2113=0,0,SUMIF(매도완료!$J:$J,Sheet2!$B2113,매도완료!$S:$S))+IF(D2113=0,0,SUMIF(ING!$J:$J,Sheet2!$B2113,ING!$S:$S))</f>
        <v>0</v>
      </c>
      <c r="H2113" s="16">
        <f t="shared" si="65"/>
        <v>33056648.193808939</v>
      </c>
    </row>
    <row r="2114" spans="2:8" hidden="1" x14ac:dyDescent="0.4">
      <c r="B2114" s="1">
        <v>44663</v>
      </c>
      <c r="C2114" s="16">
        <f>SUMIF(매도완료!$G:$G,Sheet2!$B2114,매도완료!$P:$P)+SUMIF(ING!$G:$G,Sheet2!$B2114,ING!$P:$P)</f>
        <v>0</v>
      </c>
      <c r="D2114" s="16">
        <f>SUMIF(매도완료!$J:$J,Sheet2!$B2114,매도완료!$P:$P)+SUMIF(ING!$J:$J,Sheet2!$B2114,ING!$P:$P)</f>
        <v>0</v>
      </c>
      <c r="E2114" s="16">
        <f t="shared" si="64"/>
        <v>128353307.68439998</v>
      </c>
      <c r="G2114" s="16">
        <f>IF(D2114=0,0,SUMIF(매도완료!$J:$J,Sheet2!$B2114,매도완료!$S:$S))+IF(D2114=0,0,SUMIF(ING!$J:$J,Sheet2!$B2114,ING!$S:$S))</f>
        <v>0</v>
      </c>
      <c r="H2114" s="16">
        <f t="shared" si="65"/>
        <v>33056648.193808939</v>
      </c>
    </row>
    <row r="2115" spans="2:8" hidden="1" x14ac:dyDescent="0.4">
      <c r="B2115" s="1">
        <v>44664</v>
      </c>
      <c r="C2115" s="16">
        <f>SUMIF(매도완료!$G:$G,Sheet2!$B2115,매도완료!$P:$P)+SUMIF(ING!$G:$G,Sheet2!$B2115,ING!$P:$P)</f>
        <v>0</v>
      </c>
      <c r="D2115" s="16">
        <f>SUMIF(매도완료!$J:$J,Sheet2!$B2115,매도완료!$P:$P)+SUMIF(ING!$J:$J,Sheet2!$B2115,ING!$P:$P)</f>
        <v>0</v>
      </c>
      <c r="E2115" s="16">
        <f t="shared" si="64"/>
        <v>128353307.68439998</v>
      </c>
      <c r="G2115" s="16">
        <f>IF(D2115=0,0,SUMIF(매도완료!$J:$J,Sheet2!$B2115,매도완료!$S:$S))+IF(D2115=0,0,SUMIF(ING!$J:$J,Sheet2!$B2115,ING!$S:$S))</f>
        <v>0</v>
      </c>
      <c r="H2115" s="16">
        <f t="shared" si="65"/>
        <v>33056648.193808939</v>
      </c>
    </row>
    <row r="2116" spans="2:8" hidden="1" x14ac:dyDescent="0.4">
      <c r="B2116" s="1">
        <v>44665</v>
      </c>
      <c r="C2116" s="16">
        <f>SUMIF(매도완료!$G:$G,Sheet2!$B2116,매도완료!$P:$P)+SUMIF(ING!$G:$G,Sheet2!$B2116,ING!$P:$P)</f>
        <v>0</v>
      </c>
      <c r="D2116" s="16">
        <f>SUMIF(매도완료!$J:$J,Sheet2!$B2116,매도완료!$P:$P)+SUMIF(ING!$J:$J,Sheet2!$B2116,ING!$P:$P)</f>
        <v>0</v>
      </c>
      <c r="E2116" s="16">
        <f t="shared" ref="E2116:E2179" si="66">E2115+C2116-D2116</f>
        <v>128353307.68439998</v>
      </c>
      <c r="G2116" s="16">
        <f>IF(D2116=0,0,SUMIF(매도완료!$J:$J,Sheet2!$B2116,매도완료!$S:$S))+IF(D2116=0,0,SUMIF(ING!$J:$J,Sheet2!$B2116,ING!$S:$S))</f>
        <v>0</v>
      </c>
      <c r="H2116" s="16">
        <f t="shared" ref="H2116:H2179" si="67">H2115+G2116</f>
        <v>33056648.193808939</v>
      </c>
    </row>
    <row r="2117" spans="2:8" hidden="1" x14ac:dyDescent="0.4">
      <c r="B2117" s="1">
        <v>44666</v>
      </c>
      <c r="C2117" s="16">
        <f>SUMIF(매도완료!$G:$G,Sheet2!$B2117,매도완료!$P:$P)+SUMIF(ING!$G:$G,Sheet2!$B2117,ING!$P:$P)</f>
        <v>0</v>
      </c>
      <c r="D2117" s="16">
        <f>SUMIF(매도완료!$J:$J,Sheet2!$B2117,매도완료!$P:$P)+SUMIF(ING!$J:$J,Sheet2!$B2117,ING!$P:$P)</f>
        <v>0</v>
      </c>
      <c r="E2117" s="16">
        <f t="shared" si="66"/>
        <v>128353307.68439998</v>
      </c>
      <c r="G2117" s="16">
        <f>IF(D2117=0,0,SUMIF(매도완료!$J:$J,Sheet2!$B2117,매도완료!$S:$S))+IF(D2117=0,0,SUMIF(ING!$J:$J,Sheet2!$B2117,ING!$S:$S))</f>
        <v>0</v>
      </c>
      <c r="H2117" s="16">
        <f t="shared" si="67"/>
        <v>33056648.193808939</v>
      </c>
    </row>
    <row r="2118" spans="2:8" hidden="1" x14ac:dyDescent="0.4">
      <c r="B2118" s="1">
        <v>44667</v>
      </c>
      <c r="C2118" s="16">
        <f>SUMIF(매도완료!$G:$G,Sheet2!$B2118,매도완료!$P:$P)+SUMIF(ING!$G:$G,Sheet2!$B2118,ING!$P:$P)</f>
        <v>0</v>
      </c>
      <c r="D2118" s="16">
        <f>SUMIF(매도완료!$J:$J,Sheet2!$B2118,매도완료!$P:$P)+SUMIF(ING!$J:$J,Sheet2!$B2118,ING!$P:$P)</f>
        <v>0</v>
      </c>
      <c r="E2118" s="16">
        <f t="shared" si="66"/>
        <v>128353307.68439998</v>
      </c>
      <c r="G2118" s="16">
        <f>IF(D2118=0,0,SUMIF(매도완료!$J:$J,Sheet2!$B2118,매도완료!$S:$S))+IF(D2118=0,0,SUMIF(ING!$J:$J,Sheet2!$B2118,ING!$S:$S))</f>
        <v>0</v>
      </c>
      <c r="H2118" s="16">
        <f t="shared" si="67"/>
        <v>33056648.193808939</v>
      </c>
    </row>
    <row r="2119" spans="2:8" hidden="1" x14ac:dyDescent="0.4">
      <c r="B2119" s="1">
        <v>44668</v>
      </c>
      <c r="C2119" s="16">
        <f>SUMIF(매도완료!$G:$G,Sheet2!$B2119,매도완료!$P:$P)+SUMIF(ING!$G:$G,Sheet2!$B2119,ING!$P:$P)</f>
        <v>0</v>
      </c>
      <c r="D2119" s="16">
        <f>SUMIF(매도완료!$J:$J,Sheet2!$B2119,매도완료!$P:$P)+SUMIF(ING!$J:$J,Sheet2!$B2119,ING!$P:$P)</f>
        <v>0</v>
      </c>
      <c r="E2119" s="16">
        <f t="shared" si="66"/>
        <v>128353307.68439998</v>
      </c>
      <c r="G2119" s="16">
        <f>IF(D2119=0,0,SUMIF(매도완료!$J:$J,Sheet2!$B2119,매도완료!$S:$S))+IF(D2119=0,0,SUMIF(ING!$J:$J,Sheet2!$B2119,ING!$S:$S))</f>
        <v>0</v>
      </c>
      <c r="H2119" s="16">
        <f t="shared" si="67"/>
        <v>33056648.193808939</v>
      </c>
    </row>
    <row r="2120" spans="2:8" hidden="1" x14ac:dyDescent="0.4">
      <c r="B2120" s="1">
        <v>44669</v>
      </c>
      <c r="C2120" s="16">
        <f>SUMIF(매도완료!$G:$G,Sheet2!$B2120,매도완료!$P:$P)+SUMIF(ING!$G:$G,Sheet2!$B2120,ING!$P:$P)</f>
        <v>0</v>
      </c>
      <c r="D2120" s="16">
        <f>SUMIF(매도완료!$J:$J,Sheet2!$B2120,매도완료!$P:$P)+SUMIF(ING!$J:$J,Sheet2!$B2120,ING!$P:$P)</f>
        <v>0</v>
      </c>
      <c r="E2120" s="16">
        <f t="shared" si="66"/>
        <v>128353307.68439998</v>
      </c>
      <c r="G2120" s="16">
        <f>IF(D2120=0,0,SUMIF(매도완료!$J:$J,Sheet2!$B2120,매도완료!$S:$S))+IF(D2120=0,0,SUMIF(ING!$J:$J,Sheet2!$B2120,ING!$S:$S))</f>
        <v>0</v>
      </c>
      <c r="H2120" s="16">
        <f t="shared" si="67"/>
        <v>33056648.193808939</v>
      </c>
    </row>
    <row r="2121" spans="2:8" hidden="1" x14ac:dyDescent="0.4">
      <c r="B2121" s="1">
        <v>44670</v>
      </c>
      <c r="C2121" s="16">
        <f>SUMIF(매도완료!$G:$G,Sheet2!$B2121,매도완료!$P:$P)+SUMIF(ING!$G:$G,Sheet2!$B2121,ING!$P:$P)</f>
        <v>0</v>
      </c>
      <c r="D2121" s="16">
        <f>SUMIF(매도완료!$J:$J,Sheet2!$B2121,매도완료!$P:$P)+SUMIF(ING!$J:$J,Sheet2!$B2121,ING!$P:$P)</f>
        <v>0</v>
      </c>
      <c r="E2121" s="16">
        <f t="shared" si="66"/>
        <v>128353307.68439998</v>
      </c>
      <c r="G2121" s="16">
        <f>IF(D2121=0,0,SUMIF(매도완료!$J:$J,Sheet2!$B2121,매도완료!$S:$S))+IF(D2121=0,0,SUMIF(ING!$J:$J,Sheet2!$B2121,ING!$S:$S))</f>
        <v>0</v>
      </c>
      <c r="H2121" s="16">
        <f t="shared" si="67"/>
        <v>33056648.193808939</v>
      </c>
    </row>
    <row r="2122" spans="2:8" hidden="1" x14ac:dyDescent="0.4">
      <c r="B2122" s="1">
        <v>44671</v>
      </c>
      <c r="C2122" s="16">
        <f>SUMIF(매도완료!$G:$G,Sheet2!$B2122,매도완료!$P:$P)+SUMIF(ING!$G:$G,Sheet2!$B2122,ING!$P:$P)</f>
        <v>0</v>
      </c>
      <c r="D2122" s="16">
        <f>SUMIF(매도완료!$J:$J,Sheet2!$B2122,매도완료!$P:$P)+SUMIF(ING!$J:$J,Sheet2!$B2122,ING!$P:$P)</f>
        <v>0</v>
      </c>
      <c r="E2122" s="16">
        <f t="shared" si="66"/>
        <v>128353307.68439998</v>
      </c>
      <c r="G2122" s="16">
        <f>IF(D2122=0,0,SUMIF(매도완료!$J:$J,Sheet2!$B2122,매도완료!$S:$S))+IF(D2122=0,0,SUMIF(ING!$J:$J,Sheet2!$B2122,ING!$S:$S))</f>
        <v>0</v>
      </c>
      <c r="H2122" s="16">
        <f t="shared" si="67"/>
        <v>33056648.193808939</v>
      </c>
    </row>
    <row r="2123" spans="2:8" hidden="1" x14ac:dyDescent="0.4">
      <c r="B2123" s="1">
        <v>44672</v>
      </c>
      <c r="C2123" s="16">
        <f>SUMIF(매도완료!$G:$G,Sheet2!$B2123,매도완료!$P:$P)+SUMIF(ING!$G:$G,Sheet2!$B2123,ING!$P:$P)</f>
        <v>0</v>
      </c>
      <c r="D2123" s="16">
        <f>SUMIF(매도완료!$J:$J,Sheet2!$B2123,매도완료!$P:$P)+SUMIF(ING!$J:$J,Sheet2!$B2123,ING!$P:$P)</f>
        <v>0</v>
      </c>
      <c r="E2123" s="16">
        <f t="shared" si="66"/>
        <v>128353307.68439998</v>
      </c>
      <c r="G2123" s="16">
        <f>IF(D2123=0,0,SUMIF(매도완료!$J:$J,Sheet2!$B2123,매도완료!$S:$S))+IF(D2123=0,0,SUMIF(ING!$J:$J,Sheet2!$B2123,ING!$S:$S))</f>
        <v>0</v>
      </c>
      <c r="H2123" s="16">
        <f t="shared" si="67"/>
        <v>33056648.193808939</v>
      </c>
    </row>
    <row r="2124" spans="2:8" hidden="1" x14ac:dyDescent="0.4">
      <c r="B2124" s="1">
        <v>44673</v>
      </c>
      <c r="C2124" s="16">
        <f>SUMIF(매도완료!$G:$G,Sheet2!$B2124,매도완료!$P:$P)+SUMIF(ING!$G:$G,Sheet2!$B2124,ING!$P:$P)</f>
        <v>0</v>
      </c>
      <c r="D2124" s="16">
        <f>SUMIF(매도완료!$J:$J,Sheet2!$B2124,매도완료!$P:$P)+SUMIF(ING!$J:$J,Sheet2!$B2124,ING!$P:$P)</f>
        <v>0</v>
      </c>
      <c r="E2124" s="16">
        <f t="shared" si="66"/>
        <v>128353307.68439998</v>
      </c>
      <c r="G2124" s="16">
        <f>IF(D2124=0,0,SUMIF(매도완료!$J:$J,Sheet2!$B2124,매도완료!$S:$S))+IF(D2124=0,0,SUMIF(ING!$J:$J,Sheet2!$B2124,ING!$S:$S))</f>
        <v>0</v>
      </c>
      <c r="H2124" s="16">
        <f t="shared" si="67"/>
        <v>33056648.193808939</v>
      </c>
    </row>
    <row r="2125" spans="2:8" hidden="1" x14ac:dyDescent="0.4">
      <c r="B2125" s="1">
        <v>44674</v>
      </c>
      <c r="C2125" s="16">
        <f>SUMIF(매도완료!$G:$G,Sheet2!$B2125,매도완료!$P:$P)+SUMIF(ING!$G:$G,Sheet2!$B2125,ING!$P:$P)</f>
        <v>0</v>
      </c>
      <c r="D2125" s="16">
        <f>SUMIF(매도완료!$J:$J,Sheet2!$B2125,매도완료!$P:$P)+SUMIF(ING!$J:$J,Sheet2!$B2125,ING!$P:$P)</f>
        <v>0</v>
      </c>
      <c r="E2125" s="16">
        <f t="shared" si="66"/>
        <v>128353307.68439998</v>
      </c>
      <c r="G2125" s="16">
        <f>IF(D2125=0,0,SUMIF(매도완료!$J:$J,Sheet2!$B2125,매도완료!$S:$S))+IF(D2125=0,0,SUMIF(ING!$J:$J,Sheet2!$B2125,ING!$S:$S))</f>
        <v>0</v>
      </c>
      <c r="H2125" s="16">
        <f t="shared" si="67"/>
        <v>33056648.193808939</v>
      </c>
    </row>
    <row r="2126" spans="2:8" hidden="1" x14ac:dyDescent="0.4">
      <c r="B2126" s="1">
        <v>44675</v>
      </c>
      <c r="C2126" s="16">
        <f>SUMIF(매도완료!$G:$G,Sheet2!$B2126,매도완료!$P:$P)+SUMIF(ING!$G:$G,Sheet2!$B2126,ING!$P:$P)</f>
        <v>0</v>
      </c>
      <c r="D2126" s="16">
        <f>SUMIF(매도완료!$J:$J,Sheet2!$B2126,매도완료!$P:$P)+SUMIF(ING!$J:$J,Sheet2!$B2126,ING!$P:$P)</f>
        <v>0</v>
      </c>
      <c r="E2126" s="16">
        <f t="shared" si="66"/>
        <v>128353307.68439998</v>
      </c>
      <c r="G2126" s="16">
        <f>IF(D2126=0,0,SUMIF(매도완료!$J:$J,Sheet2!$B2126,매도완료!$S:$S))+IF(D2126=0,0,SUMIF(ING!$J:$J,Sheet2!$B2126,ING!$S:$S))</f>
        <v>0</v>
      </c>
      <c r="H2126" s="16">
        <f t="shared" si="67"/>
        <v>33056648.193808939</v>
      </c>
    </row>
    <row r="2127" spans="2:8" hidden="1" x14ac:dyDescent="0.4">
      <c r="B2127" s="1">
        <v>44676</v>
      </c>
      <c r="C2127" s="16">
        <f>SUMIF(매도완료!$G:$G,Sheet2!$B2127,매도완료!$P:$P)+SUMIF(ING!$G:$G,Sheet2!$B2127,ING!$P:$P)</f>
        <v>0</v>
      </c>
      <c r="D2127" s="16">
        <f>SUMIF(매도완료!$J:$J,Sheet2!$B2127,매도완료!$P:$P)+SUMIF(ING!$J:$J,Sheet2!$B2127,ING!$P:$P)</f>
        <v>0</v>
      </c>
      <c r="E2127" s="16">
        <f t="shared" si="66"/>
        <v>128353307.68439998</v>
      </c>
      <c r="G2127" s="16">
        <f>IF(D2127=0,0,SUMIF(매도완료!$J:$J,Sheet2!$B2127,매도완료!$S:$S))+IF(D2127=0,0,SUMIF(ING!$J:$J,Sheet2!$B2127,ING!$S:$S))</f>
        <v>0</v>
      </c>
      <c r="H2127" s="16">
        <f t="shared" si="67"/>
        <v>33056648.193808939</v>
      </c>
    </row>
    <row r="2128" spans="2:8" hidden="1" x14ac:dyDescent="0.4">
      <c r="B2128" s="1">
        <v>44677</v>
      </c>
      <c r="C2128" s="16">
        <f>SUMIF(매도완료!$G:$G,Sheet2!$B2128,매도완료!$P:$P)+SUMIF(ING!$G:$G,Sheet2!$B2128,ING!$P:$P)</f>
        <v>0</v>
      </c>
      <c r="D2128" s="16">
        <f>SUMIF(매도완료!$J:$J,Sheet2!$B2128,매도완료!$P:$P)+SUMIF(ING!$J:$J,Sheet2!$B2128,ING!$P:$P)</f>
        <v>0</v>
      </c>
      <c r="E2128" s="16">
        <f t="shared" si="66"/>
        <v>128353307.68439998</v>
      </c>
      <c r="G2128" s="16">
        <f>IF(D2128=0,0,SUMIF(매도완료!$J:$J,Sheet2!$B2128,매도완료!$S:$S))+IF(D2128=0,0,SUMIF(ING!$J:$J,Sheet2!$B2128,ING!$S:$S))</f>
        <v>0</v>
      </c>
      <c r="H2128" s="16">
        <f t="shared" si="67"/>
        <v>33056648.193808939</v>
      </c>
    </row>
    <row r="2129" spans="2:8" hidden="1" x14ac:dyDescent="0.4">
      <c r="B2129" s="1">
        <v>44678</v>
      </c>
      <c r="C2129" s="16">
        <f>SUMIF(매도완료!$G:$G,Sheet2!$B2129,매도완료!$P:$P)+SUMIF(ING!$G:$G,Sheet2!$B2129,ING!$P:$P)</f>
        <v>1003000</v>
      </c>
      <c r="D2129" s="16">
        <f>SUMIF(매도완료!$J:$J,Sheet2!$B2129,매도완료!$P:$P)+SUMIF(ING!$J:$J,Sheet2!$B2129,ING!$P:$P)</f>
        <v>0</v>
      </c>
      <c r="E2129" s="16">
        <f t="shared" si="66"/>
        <v>129356307.68439998</v>
      </c>
      <c r="G2129" s="16">
        <f>IF(D2129=0,0,SUMIF(매도완료!$J:$J,Sheet2!$B2129,매도완료!$S:$S))+IF(D2129=0,0,SUMIF(ING!$J:$J,Sheet2!$B2129,ING!$S:$S))</f>
        <v>0</v>
      </c>
      <c r="H2129" s="16">
        <f t="shared" si="67"/>
        <v>33056648.193808939</v>
      </c>
    </row>
    <row r="2130" spans="2:8" hidden="1" x14ac:dyDescent="0.4">
      <c r="B2130" s="1">
        <v>44679</v>
      </c>
      <c r="C2130" s="16">
        <f>SUMIF(매도완료!$G:$G,Sheet2!$B2130,매도완료!$P:$P)+SUMIF(ING!$G:$G,Sheet2!$B2130,ING!$P:$P)</f>
        <v>0</v>
      </c>
      <c r="D2130" s="16">
        <f>SUMIF(매도완료!$J:$J,Sheet2!$B2130,매도완료!$P:$P)+SUMIF(ING!$J:$J,Sheet2!$B2130,ING!$P:$P)</f>
        <v>0</v>
      </c>
      <c r="E2130" s="16">
        <f t="shared" si="66"/>
        <v>129356307.68439998</v>
      </c>
      <c r="G2130" s="16">
        <f>IF(D2130=0,0,SUMIF(매도완료!$J:$J,Sheet2!$B2130,매도완료!$S:$S))+IF(D2130=0,0,SUMIF(ING!$J:$J,Sheet2!$B2130,ING!$S:$S))</f>
        <v>0</v>
      </c>
      <c r="H2130" s="16">
        <f t="shared" si="67"/>
        <v>33056648.193808939</v>
      </c>
    </row>
    <row r="2131" spans="2:8" hidden="1" x14ac:dyDescent="0.4">
      <c r="B2131" s="1">
        <v>44680</v>
      </c>
      <c r="C2131" s="16">
        <f>SUMIF(매도완료!$G:$G,Sheet2!$B2131,매도완료!$P:$P)+SUMIF(ING!$G:$G,Sheet2!$B2131,ING!$P:$P)</f>
        <v>0</v>
      </c>
      <c r="D2131" s="16">
        <f>SUMIF(매도완료!$J:$J,Sheet2!$B2131,매도완료!$P:$P)+SUMIF(ING!$J:$J,Sheet2!$B2131,ING!$P:$P)</f>
        <v>0</v>
      </c>
      <c r="E2131" s="16">
        <f t="shared" si="66"/>
        <v>129356307.68439998</v>
      </c>
      <c r="G2131" s="16">
        <f>IF(D2131=0,0,SUMIF(매도완료!$J:$J,Sheet2!$B2131,매도완료!$S:$S))+IF(D2131=0,0,SUMIF(ING!$J:$J,Sheet2!$B2131,ING!$S:$S))</f>
        <v>0</v>
      </c>
      <c r="H2131" s="16">
        <f t="shared" si="67"/>
        <v>33056648.193808939</v>
      </c>
    </row>
    <row r="2132" spans="2:8" hidden="1" x14ac:dyDescent="0.4">
      <c r="B2132" s="1">
        <v>44681</v>
      </c>
      <c r="C2132" s="16">
        <f>SUMIF(매도완료!$G:$G,Sheet2!$B2132,매도완료!$P:$P)+SUMIF(ING!$G:$G,Sheet2!$B2132,ING!$P:$P)</f>
        <v>0</v>
      </c>
      <c r="D2132" s="16">
        <f>SUMIF(매도완료!$J:$J,Sheet2!$B2132,매도완료!$P:$P)+SUMIF(ING!$J:$J,Sheet2!$B2132,ING!$P:$P)</f>
        <v>0</v>
      </c>
      <c r="E2132" s="16">
        <f t="shared" si="66"/>
        <v>129356307.68439998</v>
      </c>
      <c r="G2132" s="16">
        <f>IF(D2132=0,0,SUMIF(매도완료!$J:$J,Sheet2!$B2132,매도완료!$S:$S))+IF(D2132=0,0,SUMIF(ING!$J:$J,Sheet2!$B2132,ING!$S:$S))</f>
        <v>0</v>
      </c>
      <c r="H2132" s="16">
        <f t="shared" si="67"/>
        <v>33056648.193808939</v>
      </c>
    </row>
    <row r="2133" spans="2:8" hidden="1" x14ac:dyDescent="0.4">
      <c r="B2133" s="1">
        <v>44682</v>
      </c>
      <c r="C2133" s="16">
        <f>SUMIF(매도완료!$G:$G,Sheet2!$B2133,매도완료!$P:$P)+SUMIF(ING!$G:$G,Sheet2!$B2133,ING!$P:$P)</f>
        <v>0</v>
      </c>
      <c r="D2133" s="16">
        <f>SUMIF(매도완료!$J:$J,Sheet2!$B2133,매도완료!$P:$P)+SUMIF(ING!$J:$J,Sheet2!$B2133,ING!$P:$P)</f>
        <v>0</v>
      </c>
      <c r="E2133" s="16">
        <f t="shared" si="66"/>
        <v>129356307.68439998</v>
      </c>
      <c r="G2133" s="16">
        <f>IF(D2133=0,0,SUMIF(매도완료!$J:$J,Sheet2!$B2133,매도완료!$S:$S))+IF(D2133=0,0,SUMIF(ING!$J:$J,Sheet2!$B2133,ING!$S:$S))</f>
        <v>0</v>
      </c>
      <c r="H2133" s="16">
        <f t="shared" si="67"/>
        <v>33056648.193808939</v>
      </c>
    </row>
    <row r="2134" spans="2:8" hidden="1" x14ac:dyDescent="0.4">
      <c r="B2134" s="1">
        <v>44683</v>
      </c>
      <c r="C2134" s="16">
        <f>SUMIF(매도완료!$G:$G,Sheet2!$B2134,매도완료!$P:$P)+SUMIF(ING!$G:$G,Sheet2!$B2134,ING!$P:$P)</f>
        <v>0</v>
      </c>
      <c r="D2134" s="16">
        <f>SUMIF(매도완료!$J:$J,Sheet2!$B2134,매도완료!$P:$P)+SUMIF(ING!$J:$J,Sheet2!$B2134,ING!$P:$P)</f>
        <v>0</v>
      </c>
      <c r="E2134" s="16">
        <f t="shared" si="66"/>
        <v>129356307.68439998</v>
      </c>
      <c r="G2134" s="16">
        <f>IF(D2134=0,0,SUMIF(매도완료!$J:$J,Sheet2!$B2134,매도완료!$S:$S))+IF(D2134=0,0,SUMIF(ING!$J:$J,Sheet2!$B2134,ING!$S:$S))</f>
        <v>0</v>
      </c>
      <c r="H2134" s="16">
        <f t="shared" si="67"/>
        <v>33056648.193808939</v>
      </c>
    </row>
    <row r="2135" spans="2:8" hidden="1" x14ac:dyDescent="0.4">
      <c r="B2135" s="1">
        <v>44684</v>
      </c>
      <c r="C2135" s="16">
        <f>SUMIF(매도완료!$G:$G,Sheet2!$B2135,매도완료!$P:$P)+SUMIF(ING!$G:$G,Sheet2!$B2135,ING!$P:$P)</f>
        <v>0</v>
      </c>
      <c r="D2135" s="16">
        <f>SUMIF(매도완료!$J:$J,Sheet2!$B2135,매도완료!$P:$P)+SUMIF(ING!$J:$J,Sheet2!$B2135,ING!$P:$P)</f>
        <v>0</v>
      </c>
      <c r="E2135" s="16">
        <f t="shared" si="66"/>
        <v>129356307.68439998</v>
      </c>
      <c r="G2135" s="16">
        <f>IF(D2135=0,0,SUMIF(매도완료!$J:$J,Sheet2!$B2135,매도완료!$S:$S))+IF(D2135=0,0,SUMIF(ING!$J:$J,Sheet2!$B2135,ING!$S:$S))</f>
        <v>0</v>
      </c>
      <c r="H2135" s="16">
        <f t="shared" si="67"/>
        <v>33056648.193808939</v>
      </c>
    </row>
    <row r="2136" spans="2:8" hidden="1" x14ac:dyDescent="0.4">
      <c r="B2136" s="1">
        <v>44685</v>
      </c>
      <c r="C2136" s="16">
        <f>SUMIF(매도완료!$G:$G,Sheet2!$B2136,매도완료!$P:$P)+SUMIF(ING!$G:$G,Sheet2!$B2136,ING!$P:$P)</f>
        <v>0</v>
      </c>
      <c r="D2136" s="16">
        <f>SUMIF(매도완료!$J:$J,Sheet2!$B2136,매도완료!$P:$P)+SUMIF(ING!$J:$J,Sheet2!$B2136,ING!$P:$P)</f>
        <v>0</v>
      </c>
      <c r="E2136" s="16">
        <f t="shared" si="66"/>
        <v>129356307.68439998</v>
      </c>
      <c r="G2136" s="16">
        <f>IF(D2136=0,0,SUMIF(매도완료!$J:$J,Sheet2!$B2136,매도완료!$S:$S))+IF(D2136=0,0,SUMIF(ING!$J:$J,Sheet2!$B2136,ING!$S:$S))</f>
        <v>0</v>
      </c>
      <c r="H2136" s="16">
        <f t="shared" si="67"/>
        <v>33056648.193808939</v>
      </c>
    </row>
    <row r="2137" spans="2:8" hidden="1" x14ac:dyDescent="0.4">
      <c r="B2137" s="1">
        <v>44686</v>
      </c>
      <c r="C2137" s="16">
        <f>SUMIF(매도완료!$G:$G,Sheet2!$B2137,매도완료!$P:$P)+SUMIF(ING!$G:$G,Sheet2!$B2137,ING!$P:$P)</f>
        <v>0</v>
      </c>
      <c r="D2137" s="16">
        <f>SUMIF(매도완료!$J:$J,Sheet2!$B2137,매도완료!$P:$P)+SUMIF(ING!$J:$J,Sheet2!$B2137,ING!$P:$P)</f>
        <v>0</v>
      </c>
      <c r="E2137" s="16">
        <f t="shared" si="66"/>
        <v>129356307.68439998</v>
      </c>
      <c r="G2137" s="16">
        <f>IF(D2137=0,0,SUMIF(매도완료!$J:$J,Sheet2!$B2137,매도완료!$S:$S))+IF(D2137=0,0,SUMIF(ING!$J:$J,Sheet2!$B2137,ING!$S:$S))</f>
        <v>0</v>
      </c>
      <c r="H2137" s="16">
        <f t="shared" si="67"/>
        <v>33056648.193808939</v>
      </c>
    </row>
    <row r="2138" spans="2:8" hidden="1" x14ac:dyDescent="0.4">
      <c r="B2138" s="1">
        <v>44687</v>
      </c>
      <c r="C2138" s="16">
        <f>SUMIF(매도완료!$G:$G,Sheet2!$B2138,매도완료!$P:$P)+SUMIF(ING!$G:$G,Sheet2!$B2138,ING!$P:$P)</f>
        <v>0</v>
      </c>
      <c r="D2138" s="16">
        <f>SUMIF(매도완료!$J:$J,Sheet2!$B2138,매도완료!$P:$P)+SUMIF(ING!$J:$J,Sheet2!$B2138,ING!$P:$P)</f>
        <v>0</v>
      </c>
      <c r="E2138" s="16">
        <f t="shared" si="66"/>
        <v>129356307.68439998</v>
      </c>
      <c r="G2138" s="16">
        <f>IF(D2138=0,0,SUMIF(매도완료!$J:$J,Sheet2!$B2138,매도완료!$S:$S))+IF(D2138=0,0,SUMIF(ING!$J:$J,Sheet2!$B2138,ING!$S:$S))</f>
        <v>0</v>
      </c>
      <c r="H2138" s="16">
        <f t="shared" si="67"/>
        <v>33056648.193808939</v>
      </c>
    </row>
    <row r="2139" spans="2:8" hidden="1" x14ac:dyDescent="0.4">
      <c r="B2139" s="1">
        <v>44688</v>
      </c>
      <c r="C2139" s="16">
        <f>SUMIF(매도완료!$G:$G,Sheet2!$B2139,매도완료!$P:$P)+SUMIF(ING!$G:$G,Sheet2!$B2139,ING!$P:$P)</f>
        <v>0</v>
      </c>
      <c r="D2139" s="16">
        <f>SUMIF(매도완료!$J:$J,Sheet2!$B2139,매도완료!$P:$P)+SUMIF(ING!$J:$J,Sheet2!$B2139,ING!$P:$P)</f>
        <v>0</v>
      </c>
      <c r="E2139" s="16">
        <f t="shared" si="66"/>
        <v>129356307.68439998</v>
      </c>
      <c r="G2139" s="16">
        <f>IF(D2139=0,0,SUMIF(매도완료!$J:$J,Sheet2!$B2139,매도완료!$S:$S))+IF(D2139=0,0,SUMIF(ING!$J:$J,Sheet2!$B2139,ING!$S:$S))</f>
        <v>0</v>
      </c>
      <c r="H2139" s="16">
        <f t="shared" si="67"/>
        <v>33056648.193808939</v>
      </c>
    </row>
    <row r="2140" spans="2:8" hidden="1" x14ac:dyDescent="0.4">
      <c r="B2140" s="1">
        <v>44689</v>
      </c>
      <c r="C2140" s="16">
        <f>SUMIF(매도완료!$G:$G,Sheet2!$B2140,매도완료!$P:$P)+SUMIF(ING!$G:$G,Sheet2!$B2140,ING!$P:$P)</f>
        <v>0</v>
      </c>
      <c r="D2140" s="16">
        <f>SUMIF(매도완료!$J:$J,Sheet2!$B2140,매도완료!$P:$P)+SUMIF(ING!$J:$J,Sheet2!$B2140,ING!$P:$P)</f>
        <v>0</v>
      </c>
      <c r="E2140" s="16">
        <f t="shared" si="66"/>
        <v>129356307.68439998</v>
      </c>
      <c r="G2140" s="16">
        <f>IF(D2140=0,0,SUMIF(매도완료!$J:$J,Sheet2!$B2140,매도완료!$S:$S))+IF(D2140=0,0,SUMIF(ING!$J:$J,Sheet2!$B2140,ING!$S:$S))</f>
        <v>0</v>
      </c>
      <c r="H2140" s="16">
        <f t="shared" si="67"/>
        <v>33056648.193808939</v>
      </c>
    </row>
    <row r="2141" spans="2:8" hidden="1" x14ac:dyDescent="0.4">
      <c r="B2141" s="1">
        <v>44690</v>
      </c>
      <c r="C2141" s="16">
        <f>SUMIF(매도완료!$G:$G,Sheet2!$B2141,매도완료!$P:$P)+SUMIF(ING!$G:$G,Sheet2!$B2141,ING!$P:$P)</f>
        <v>0</v>
      </c>
      <c r="D2141" s="16">
        <f>SUMIF(매도완료!$J:$J,Sheet2!$B2141,매도완료!$P:$P)+SUMIF(ING!$J:$J,Sheet2!$B2141,ING!$P:$P)</f>
        <v>0</v>
      </c>
      <c r="E2141" s="16">
        <f t="shared" si="66"/>
        <v>129356307.68439998</v>
      </c>
      <c r="G2141" s="16">
        <f>IF(D2141=0,0,SUMIF(매도완료!$J:$J,Sheet2!$B2141,매도완료!$S:$S))+IF(D2141=0,0,SUMIF(ING!$J:$J,Sheet2!$B2141,ING!$S:$S))</f>
        <v>0</v>
      </c>
      <c r="H2141" s="16">
        <f t="shared" si="67"/>
        <v>33056648.193808939</v>
      </c>
    </row>
    <row r="2142" spans="2:8" hidden="1" x14ac:dyDescent="0.4">
      <c r="B2142" s="1">
        <v>44691</v>
      </c>
      <c r="C2142" s="16">
        <f>SUMIF(매도완료!$G:$G,Sheet2!$B2142,매도완료!$P:$P)+SUMIF(ING!$G:$G,Sheet2!$B2142,ING!$P:$P)</f>
        <v>0</v>
      </c>
      <c r="D2142" s="16">
        <f>SUMIF(매도완료!$J:$J,Sheet2!$B2142,매도완료!$P:$P)+SUMIF(ING!$J:$J,Sheet2!$B2142,ING!$P:$P)</f>
        <v>0</v>
      </c>
      <c r="E2142" s="16">
        <f t="shared" si="66"/>
        <v>129356307.68439998</v>
      </c>
      <c r="G2142" s="16">
        <f>IF(D2142=0,0,SUMIF(매도완료!$J:$J,Sheet2!$B2142,매도완료!$S:$S))+IF(D2142=0,0,SUMIF(ING!$J:$J,Sheet2!$B2142,ING!$S:$S))</f>
        <v>0</v>
      </c>
      <c r="H2142" s="16">
        <f t="shared" si="67"/>
        <v>33056648.193808939</v>
      </c>
    </row>
    <row r="2143" spans="2:8" hidden="1" x14ac:dyDescent="0.4">
      <c r="B2143" s="1">
        <v>44692</v>
      </c>
      <c r="C2143" s="16">
        <f>SUMIF(매도완료!$G:$G,Sheet2!$B2143,매도완료!$P:$P)+SUMIF(ING!$G:$G,Sheet2!$B2143,ING!$P:$P)</f>
        <v>0</v>
      </c>
      <c r="D2143" s="16">
        <f>SUMIF(매도완료!$J:$J,Sheet2!$B2143,매도완료!$P:$P)+SUMIF(ING!$J:$J,Sheet2!$B2143,ING!$P:$P)</f>
        <v>0</v>
      </c>
      <c r="E2143" s="16">
        <f t="shared" si="66"/>
        <v>129356307.68439998</v>
      </c>
      <c r="G2143" s="16">
        <f>IF(D2143=0,0,SUMIF(매도완료!$J:$J,Sheet2!$B2143,매도완료!$S:$S))+IF(D2143=0,0,SUMIF(ING!$J:$J,Sheet2!$B2143,ING!$S:$S))</f>
        <v>0</v>
      </c>
      <c r="H2143" s="16">
        <f t="shared" si="67"/>
        <v>33056648.193808939</v>
      </c>
    </row>
    <row r="2144" spans="2:8" hidden="1" x14ac:dyDescent="0.4">
      <c r="B2144" s="1">
        <v>44693</v>
      </c>
      <c r="C2144" s="16">
        <f>SUMIF(매도완료!$G:$G,Sheet2!$B2144,매도완료!$P:$P)+SUMIF(ING!$G:$G,Sheet2!$B2144,ING!$P:$P)</f>
        <v>0</v>
      </c>
      <c r="D2144" s="16">
        <f>SUMIF(매도완료!$J:$J,Sheet2!$B2144,매도완료!$P:$P)+SUMIF(ING!$J:$J,Sheet2!$B2144,ING!$P:$P)</f>
        <v>0</v>
      </c>
      <c r="E2144" s="16">
        <f t="shared" si="66"/>
        <v>129356307.68439998</v>
      </c>
      <c r="G2144" s="16">
        <f>IF(D2144=0,0,SUMIF(매도완료!$J:$J,Sheet2!$B2144,매도완료!$S:$S))+IF(D2144=0,0,SUMIF(ING!$J:$J,Sheet2!$B2144,ING!$S:$S))</f>
        <v>0</v>
      </c>
      <c r="H2144" s="16">
        <f t="shared" si="67"/>
        <v>33056648.193808939</v>
      </c>
    </row>
    <row r="2145" spans="2:8" hidden="1" x14ac:dyDescent="0.4">
      <c r="B2145" s="1">
        <v>44694</v>
      </c>
      <c r="C2145" s="16">
        <f>SUMIF(매도완료!$G:$G,Sheet2!$B2145,매도완료!$P:$P)+SUMIF(ING!$G:$G,Sheet2!$B2145,ING!$P:$P)</f>
        <v>0</v>
      </c>
      <c r="D2145" s="16">
        <f>SUMIF(매도완료!$J:$J,Sheet2!$B2145,매도완료!$P:$P)+SUMIF(ING!$J:$J,Sheet2!$B2145,ING!$P:$P)</f>
        <v>0</v>
      </c>
      <c r="E2145" s="16">
        <f t="shared" si="66"/>
        <v>129356307.68439998</v>
      </c>
      <c r="G2145" s="16">
        <f>IF(D2145=0,0,SUMIF(매도완료!$J:$J,Sheet2!$B2145,매도완료!$S:$S))+IF(D2145=0,0,SUMIF(ING!$J:$J,Sheet2!$B2145,ING!$S:$S))</f>
        <v>0</v>
      </c>
      <c r="H2145" s="16">
        <f t="shared" si="67"/>
        <v>33056648.193808939</v>
      </c>
    </row>
    <row r="2146" spans="2:8" hidden="1" x14ac:dyDescent="0.4">
      <c r="B2146" s="1">
        <v>44695</v>
      </c>
      <c r="C2146" s="16">
        <f>SUMIF(매도완료!$G:$G,Sheet2!$B2146,매도완료!$P:$P)+SUMIF(ING!$G:$G,Sheet2!$B2146,ING!$P:$P)</f>
        <v>0</v>
      </c>
      <c r="D2146" s="16">
        <f>SUMIF(매도완료!$J:$J,Sheet2!$B2146,매도완료!$P:$P)+SUMIF(ING!$J:$J,Sheet2!$B2146,ING!$P:$P)</f>
        <v>0</v>
      </c>
      <c r="E2146" s="16">
        <f t="shared" si="66"/>
        <v>129356307.68439998</v>
      </c>
      <c r="G2146" s="16">
        <f>IF(D2146=0,0,SUMIF(매도완료!$J:$J,Sheet2!$B2146,매도완료!$S:$S))+IF(D2146=0,0,SUMIF(ING!$J:$J,Sheet2!$B2146,ING!$S:$S))</f>
        <v>0</v>
      </c>
      <c r="H2146" s="16">
        <f t="shared" si="67"/>
        <v>33056648.193808939</v>
      </c>
    </row>
    <row r="2147" spans="2:8" hidden="1" x14ac:dyDescent="0.4">
      <c r="B2147" s="1">
        <v>44696</v>
      </c>
      <c r="C2147" s="16">
        <f>SUMIF(매도완료!$G:$G,Sheet2!$B2147,매도완료!$P:$P)+SUMIF(ING!$G:$G,Sheet2!$B2147,ING!$P:$P)</f>
        <v>0</v>
      </c>
      <c r="D2147" s="16">
        <f>SUMIF(매도완료!$J:$J,Sheet2!$B2147,매도완료!$P:$P)+SUMIF(ING!$J:$J,Sheet2!$B2147,ING!$P:$P)</f>
        <v>0</v>
      </c>
      <c r="E2147" s="16">
        <f t="shared" si="66"/>
        <v>129356307.68439998</v>
      </c>
      <c r="G2147" s="16">
        <f>IF(D2147=0,0,SUMIF(매도완료!$J:$J,Sheet2!$B2147,매도완료!$S:$S))+IF(D2147=0,0,SUMIF(ING!$J:$J,Sheet2!$B2147,ING!$S:$S))</f>
        <v>0</v>
      </c>
      <c r="H2147" s="16">
        <f t="shared" si="67"/>
        <v>33056648.193808939</v>
      </c>
    </row>
    <row r="2148" spans="2:8" hidden="1" x14ac:dyDescent="0.4">
      <c r="B2148" s="1">
        <v>44697</v>
      </c>
      <c r="C2148" s="16">
        <f>SUMIF(매도완료!$G:$G,Sheet2!$B2148,매도완료!$P:$P)+SUMIF(ING!$G:$G,Sheet2!$B2148,ING!$P:$P)</f>
        <v>0</v>
      </c>
      <c r="D2148" s="16">
        <f>SUMIF(매도완료!$J:$J,Sheet2!$B2148,매도완료!$P:$P)+SUMIF(ING!$J:$J,Sheet2!$B2148,ING!$P:$P)</f>
        <v>0</v>
      </c>
      <c r="E2148" s="16">
        <f t="shared" si="66"/>
        <v>129356307.68439998</v>
      </c>
      <c r="G2148" s="16">
        <f>IF(D2148=0,0,SUMIF(매도완료!$J:$J,Sheet2!$B2148,매도완료!$S:$S))+IF(D2148=0,0,SUMIF(ING!$J:$J,Sheet2!$B2148,ING!$S:$S))</f>
        <v>0</v>
      </c>
      <c r="H2148" s="16">
        <f t="shared" si="67"/>
        <v>33056648.193808939</v>
      </c>
    </row>
    <row r="2149" spans="2:8" hidden="1" x14ac:dyDescent="0.4">
      <c r="B2149" s="1">
        <v>44698</v>
      </c>
      <c r="C2149" s="16">
        <f>SUMIF(매도완료!$G:$G,Sheet2!$B2149,매도완료!$P:$P)+SUMIF(ING!$G:$G,Sheet2!$B2149,ING!$P:$P)</f>
        <v>0</v>
      </c>
      <c r="D2149" s="16">
        <f>SUMIF(매도완료!$J:$J,Sheet2!$B2149,매도완료!$P:$P)+SUMIF(ING!$J:$J,Sheet2!$B2149,ING!$P:$P)</f>
        <v>0</v>
      </c>
      <c r="E2149" s="16">
        <f t="shared" si="66"/>
        <v>129356307.68439998</v>
      </c>
      <c r="G2149" s="16">
        <f>IF(D2149=0,0,SUMIF(매도완료!$J:$J,Sheet2!$B2149,매도완료!$S:$S))+IF(D2149=0,0,SUMIF(ING!$J:$J,Sheet2!$B2149,ING!$S:$S))</f>
        <v>0</v>
      </c>
      <c r="H2149" s="16">
        <f t="shared" si="67"/>
        <v>33056648.193808939</v>
      </c>
    </row>
    <row r="2150" spans="2:8" hidden="1" x14ac:dyDescent="0.4">
      <c r="B2150" s="1">
        <v>44699</v>
      </c>
      <c r="C2150" s="16">
        <f>SUMIF(매도완료!$G:$G,Sheet2!$B2150,매도완료!$P:$P)+SUMIF(ING!$G:$G,Sheet2!$B2150,ING!$P:$P)</f>
        <v>0</v>
      </c>
      <c r="D2150" s="16">
        <f>SUMIF(매도완료!$J:$J,Sheet2!$B2150,매도완료!$P:$P)+SUMIF(ING!$J:$J,Sheet2!$B2150,ING!$P:$P)</f>
        <v>0</v>
      </c>
      <c r="E2150" s="16">
        <f t="shared" si="66"/>
        <v>129356307.68439998</v>
      </c>
      <c r="G2150" s="16">
        <f>IF(D2150=0,0,SUMIF(매도완료!$J:$J,Sheet2!$B2150,매도완료!$S:$S))+IF(D2150=0,0,SUMIF(ING!$J:$J,Sheet2!$B2150,ING!$S:$S))</f>
        <v>0</v>
      </c>
      <c r="H2150" s="16">
        <f t="shared" si="67"/>
        <v>33056648.193808939</v>
      </c>
    </row>
    <row r="2151" spans="2:8" hidden="1" x14ac:dyDescent="0.4">
      <c r="B2151" s="1">
        <v>44700</v>
      </c>
      <c r="C2151" s="16">
        <f>SUMIF(매도완료!$G:$G,Sheet2!$B2151,매도완료!$P:$P)+SUMIF(ING!$G:$G,Sheet2!$B2151,ING!$P:$P)</f>
        <v>0</v>
      </c>
      <c r="D2151" s="16">
        <f>SUMIF(매도완료!$J:$J,Sheet2!$B2151,매도완료!$P:$P)+SUMIF(ING!$J:$J,Sheet2!$B2151,ING!$P:$P)</f>
        <v>0</v>
      </c>
      <c r="E2151" s="16">
        <f t="shared" si="66"/>
        <v>129356307.68439998</v>
      </c>
      <c r="G2151" s="16">
        <f>IF(D2151=0,0,SUMIF(매도완료!$J:$J,Sheet2!$B2151,매도완료!$S:$S))+IF(D2151=0,0,SUMIF(ING!$J:$J,Sheet2!$B2151,ING!$S:$S))</f>
        <v>0</v>
      </c>
      <c r="H2151" s="16">
        <f t="shared" si="67"/>
        <v>33056648.193808939</v>
      </c>
    </row>
    <row r="2152" spans="2:8" hidden="1" x14ac:dyDescent="0.4">
      <c r="B2152" s="1">
        <v>44701</v>
      </c>
      <c r="C2152" s="16">
        <f>SUMIF(매도완료!$G:$G,Sheet2!$B2152,매도완료!$P:$P)+SUMIF(ING!$G:$G,Sheet2!$B2152,ING!$P:$P)</f>
        <v>0</v>
      </c>
      <c r="D2152" s="16">
        <f>SUMIF(매도완료!$J:$J,Sheet2!$B2152,매도완료!$P:$P)+SUMIF(ING!$J:$J,Sheet2!$B2152,ING!$P:$P)</f>
        <v>0</v>
      </c>
      <c r="E2152" s="16">
        <f t="shared" si="66"/>
        <v>129356307.68439998</v>
      </c>
      <c r="G2152" s="16">
        <f>IF(D2152=0,0,SUMIF(매도완료!$J:$J,Sheet2!$B2152,매도완료!$S:$S))+IF(D2152=0,0,SUMIF(ING!$J:$J,Sheet2!$B2152,ING!$S:$S))</f>
        <v>0</v>
      </c>
      <c r="H2152" s="16">
        <f t="shared" si="67"/>
        <v>33056648.193808939</v>
      </c>
    </row>
    <row r="2153" spans="2:8" hidden="1" x14ac:dyDescent="0.4">
      <c r="B2153" s="1">
        <v>44702</v>
      </c>
      <c r="C2153" s="16">
        <f>SUMIF(매도완료!$G:$G,Sheet2!$B2153,매도완료!$P:$P)+SUMIF(ING!$G:$G,Sheet2!$B2153,ING!$P:$P)</f>
        <v>0</v>
      </c>
      <c r="D2153" s="16">
        <f>SUMIF(매도완료!$J:$J,Sheet2!$B2153,매도완료!$P:$P)+SUMIF(ING!$J:$J,Sheet2!$B2153,ING!$P:$P)</f>
        <v>0</v>
      </c>
      <c r="E2153" s="16">
        <f t="shared" si="66"/>
        <v>129356307.68439998</v>
      </c>
      <c r="G2153" s="16">
        <f>IF(D2153=0,0,SUMIF(매도완료!$J:$J,Sheet2!$B2153,매도완료!$S:$S))+IF(D2153=0,0,SUMIF(ING!$J:$J,Sheet2!$B2153,ING!$S:$S))</f>
        <v>0</v>
      </c>
      <c r="H2153" s="16">
        <f t="shared" si="67"/>
        <v>33056648.193808939</v>
      </c>
    </row>
    <row r="2154" spans="2:8" hidden="1" x14ac:dyDescent="0.4">
      <c r="B2154" s="1">
        <v>44703</v>
      </c>
      <c r="C2154" s="16">
        <f>SUMIF(매도완료!$G:$G,Sheet2!$B2154,매도완료!$P:$P)+SUMIF(ING!$G:$G,Sheet2!$B2154,ING!$P:$P)</f>
        <v>0</v>
      </c>
      <c r="D2154" s="16">
        <f>SUMIF(매도완료!$J:$J,Sheet2!$B2154,매도완료!$P:$P)+SUMIF(ING!$J:$J,Sheet2!$B2154,ING!$P:$P)</f>
        <v>0</v>
      </c>
      <c r="E2154" s="16">
        <f t="shared" si="66"/>
        <v>129356307.68439998</v>
      </c>
      <c r="G2154" s="16">
        <f>IF(D2154=0,0,SUMIF(매도완료!$J:$J,Sheet2!$B2154,매도완료!$S:$S))+IF(D2154=0,0,SUMIF(ING!$J:$J,Sheet2!$B2154,ING!$S:$S))</f>
        <v>0</v>
      </c>
      <c r="H2154" s="16">
        <f t="shared" si="67"/>
        <v>33056648.193808939</v>
      </c>
    </row>
    <row r="2155" spans="2:8" hidden="1" x14ac:dyDescent="0.4">
      <c r="B2155" s="1">
        <v>44704</v>
      </c>
      <c r="C2155" s="16">
        <f>SUMIF(매도완료!$G:$G,Sheet2!$B2155,매도완료!$P:$P)+SUMIF(ING!$G:$G,Sheet2!$B2155,ING!$P:$P)</f>
        <v>0</v>
      </c>
      <c r="D2155" s="16">
        <f>SUMIF(매도완료!$J:$J,Sheet2!$B2155,매도완료!$P:$P)+SUMIF(ING!$J:$J,Sheet2!$B2155,ING!$P:$P)</f>
        <v>0</v>
      </c>
      <c r="E2155" s="16">
        <f t="shared" si="66"/>
        <v>129356307.68439998</v>
      </c>
      <c r="G2155" s="16">
        <f>IF(D2155=0,0,SUMIF(매도완료!$J:$J,Sheet2!$B2155,매도완료!$S:$S))+IF(D2155=0,0,SUMIF(ING!$J:$J,Sheet2!$B2155,ING!$S:$S))</f>
        <v>0</v>
      </c>
      <c r="H2155" s="16">
        <f t="shared" si="67"/>
        <v>33056648.193808939</v>
      </c>
    </row>
    <row r="2156" spans="2:8" hidden="1" x14ac:dyDescent="0.4">
      <c r="B2156" s="1">
        <v>44705</v>
      </c>
      <c r="C2156" s="16">
        <f>SUMIF(매도완료!$G:$G,Sheet2!$B2156,매도완료!$P:$P)+SUMIF(ING!$G:$G,Sheet2!$B2156,ING!$P:$P)</f>
        <v>0</v>
      </c>
      <c r="D2156" s="16">
        <f>SUMIF(매도완료!$J:$J,Sheet2!$B2156,매도완료!$P:$P)+SUMIF(ING!$J:$J,Sheet2!$B2156,ING!$P:$P)</f>
        <v>0</v>
      </c>
      <c r="E2156" s="16">
        <f t="shared" si="66"/>
        <v>129356307.68439998</v>
      </c>
      <c r="G2156" s="16">
        <f>IF(D2156=0,0,SUMIF(매도완료!$J:$J,Sheet2!$B2156,매도완료!$S:$S))+IF(D2156=0,0,SUMIF(ING!$J:$J,Sheet2!$B2156,ING!$S:$S))</f>
        <v>0</v>
      </c>
      <c r="H2156" s="16">
        <f t="shared" si="67"/>
        <v>33056648.193808939</v>
      </c>
    </row>
    <row r="2157" spans="2:8" hidden="1" x14ac:dyDescent="0.4">
      <c r="B2157" s="1">
        <v>44706</v>
      </c>
      <c r="C2157" s="16">
        <f>SUMIF(매도완료!$G:$G,Sheet2!$B2157,매도완료!$P:$P)+SUMIF(ING!$G:$G,Sheet2!$B2157,ING!$P:$P)</f>
        <v>0</v>
      </c>
      <c r="D2157" s="16">
        <f>SUMIF(매도완료!$J:$J,Sheet2!$B2157,매도완료!$P:$P)+SUMIF(ING!$J:$J,Sheet2!$B2157,ING!$P:$P)</f>
        <v>0</v>
      </c>
      <c r="E2157" s="16">
        <f t="shared" si="66"/>
        <v>129356307.68439998</v>
      </c>
      <c r="G2157" s="16">
        <f>IF(D2157=0,0,SUMIF(매도완료!$J:$J,Sheet2!$B2157,매도완료!$S:$S))+IF(D2157=0,0,SUMIF(ING!$J:$J,Sheet2!$B2157,ING!$S:$S))</f>
        <v>0</v>
      </c>
      <c r="H2157" s="16">
        <f t="shared" si="67"/>
        <v>33056648.193808939</v>
      </c>
    </row>
    <row r="2158" spans="2:8" hidden="1" x14ac:dyDescent="0.4">
      <c r="B2158" s="1">
        <v>44707</v>
      </c>
      <c r="C2158" s="16">
        <f>SUMIF(매도완료!$G:$G,Sheet2!$B2158,매도완료!$P:$P)+SUMIF(ING!$G:$G,Sheet2!$B2158,ING!$P:$P)</f>
        <v>0</v>
      </c>
      <c r="D2158" s="16">
        <f>SUMIF(매도완료!$J:$J,Sheet2!$B2158,매도완료!$P:$P)+SUMIF(ING!$J:$J,Sheet2!$B2158,ING!$P:$P)</f>
        <v>0</v>
      </c>
      <c r="E2158" s="16">
        <f t="shared" si="66"/>
        <v>129356307.68439998</v>
      </c>
      <c r="G2158" s="16">
        <f>IF(D2158=0,0,SUMIF(매도완료!$J:$J,Sheet2!$B2158,매도완료!$S:$S))+IF(D2158=0,0,SUMIF(ING!$J:$J,Sheet2!$B2158,ING!$S:$S))</f>
        <v>0</v>
      </c>
      <c r="H2158" s="16">
        <f t="shared" si="67"/>
        <v>33056648.193808939</v>
      </c>
    </row>
    <row r="2159" spans="2:8" hidden="1" x14ac:dyDescent="0.4">
      <c r="B2159" s="1">
        <v>44708</v>
      </c>
      <c r="C2159" s="16">
        <f>SUMIF(매도완료!$G:$G,Sheet2!$B2159,매도완료!$P:$P)+SUMIF(ING!$G:$G,Sheet2!$B2159,ING!$P:$P)</f>
        <v>0</v>
      </c>
      <c r="D2159" s="16">
        <f>SUMIF(매도완료!$J:$J,Sheet2!$B2159,매도완료!$P:$P)+SUMIF(ING!$J:$J,Sheet2!$B2159,ING!$P:$P)</f>
        <v>0</v>
      </c>
      <c r="E2159" s="16">
        <f t="shared" si="66"/>
        <v>129356307.68439998</v>
      </c>
      <c r="G2159" s="16">
        <f>IF(D2159=0,0,SUMIF(매도완료!$J:$J,Sheet2!$B2159,매도완료!$S:$S))+IF(D2159=0,0,SUMIF(ING!$J:$J,Sheet2!$B2159,ING!$S:$S))</f>
        <v>0</v>
      </c>
      <c r="H2159" s="16">
        <f t="shared" si="67"/>
        <v>33056648.193808939</v>
      </c>
    </row>
    <row r="2160" spans="2:8" hidden="1" x14ac:dyDescent="0.4">
      <c r="B2160" s="1">
        <v>44709</v>
      </c>
      <c r="C2160" s="16">
        <f>SUMIF(매도완료!$G:$G,Sheet2!$B2160,매도완료!$P:$P)+SUMIF(ING!$G:$G,Sheet2!$B2160,ING!$P:$P)</f>
        <v>0</v>
      </c>
      <c r="D2160" s="16">
        <f>SUMIF(매도완료!$J:$J,Sheet2!$B2160,매도완료!$P:$P)+SUMIF(ING!$J:$J,Sheet2!$B2160,ING!$P:$P)</f>
        <v>0</v>
      </c>
      <c r="E2160" s="16">
        <f t="shared" si="66"/>
        <v>129356307.68439998</v>
      </c>
      <c r="G2160" s="16">
        <f>IF(D2160=0,0,SUMIF(매도완료!$J:$J,Sheet2!$B2160,매도완료!$S:$S))+IF(D2160=0,0,SUMIF(ING!$J:$J,Sheet2!$B2160,ING!$S:$S))</f>
        <v>0</v>
      </c>
      <c r="H2160" s="16">
        <f t="shared" si="67"/>
        <v>33056648.193808939</v>
      </c>
    </row>
    <row r="2161" spans="2:8" hidden="1" x14ac:dyDescent="0.4">
      <c r="B2161" s="1">
        <v>44710</v>
      </c>
      <c r="C2161" s="16">
        <f>SUMIF(매도완료!$G:$G,Sheet2!$B2161,매도완료!$P:$P)+SUMIF(ING!$G:$G,Sheet2!$B2161,ING!$P:$P)</f>
        <v>0</v>
      </c>
      <c r="D2161" s="16">
        <f>SUMIF(매도완료!$J:$J,Sheet2!$B2161,매도완료!$P:$P)+SUMIF(ING!$J:$J,Sheet2!$B2161,ING!$P:$P)</f>
        <v>0</v>
      </c>
      <c r="E2161" s="16">
        <f t="shared" si="66"/>
        <v>129356307.68439998</v>
      </c>
      <c r="G2161" s="16">
        <f>IF(D2161=0,0,SUMIF(매도완료!$J:$J,Sheet2!$B2161,매도완료!$S:$S))+IF(D2161=0,0,SUMIF(ING!$J:$J,Sheet2!$B2161,ING!$S:$S))</f>
        <v>0</v>
      </c>
      <c r="H2161" s="16">
        <f t="shared" si="67"/>
        <v>33056648.193808939</v>
      </c>
    </row>
    <row r="2162" spans="2:8" hidden="1" x14ac:dyDescent="0.4">
      <c r="B2162" s="1">
        <v>44711</v>
      </c>
      <c r="C2162" s="16">
        <f>SUMIF(매도완료!$G:$G,Sheet2!$B2162,매도완료!$P:$P)+SUMIF(ING!$G:$G,Sheet2!$B2162,ING!$P:$P)</f>
        <v>0</v>
      </c>
      <c r="D2162" s="16">
        <f>SUMIF(매도완료!$J:$J,Sheet2!$B2162,매도완료!$P:$P)+SUMIF(ING!$J:$J,Sheet2!$B2162,ING!$P:$P)</f>
        <v>0</v>
      </c>
      <c r="E2162" s="16">
        <f t="shared" si="66"/>
        <v>129356307.68439998</v>
      </c>
      <c r="G2162" s="16">
        <f>IF(D2162=0,0,SUMIF(매도완료!$J:$J,Sheet2!$B2162,매도완료!$S:$S))+IF(D2162=0,0,SUMIF(ING!$J:$J,Sheet2!$B2162,ING!$S:$S))</f>
        <v>0</v>
      </c>
      <c r="H2162" s="16">
        <f t="shared" si="67"/>
        <v>33056648.193808939</v>
      </c>
    </row>
    <row r="2163" spans="2:8" hidden="1" x14ac:dyDescent="0.4">
      <c r="B2163" s="1">
        <v>44712</v>
      </c>
      <c r="C2163" s="16">
        <f>SUMIF(매도완료!$G:$G,Sheet2!$B2163,매도완료!$P:$P)+SUMIF(ING!$G:$G,Sheet2!$B2163,ING!$P:$P)</f>
        <v>0</v>
      </c>
      <c r="D2163" s="16">
        <f>SUMIF(매도완료!$J:$J,Sheet2!$B2163,매도완료!$P:$P)+SUMIF(ING!$J:$J,Sheet2!$B2163,ING!$P:$P)</f>
        <v>0</v>
      </c>
      <c r="E2163" s="16">
        <f t="shared" si="66"/>
        <v>129356307.68439998</v>
      </c>
      <c r="G2163" s="16">
        <f>IF(D2163=0,0,SUMIF(매도완료!$J:$J,Sheet2!$B2163,매도완료!$S:$S))+IF(D2163=0,0,SUMIF(ING!$J:$J,Sheet2!$B2163,ING!$S:$S))</f>
        <v>0</v>
      </c>
      <c r="H2163" s="16">
        <f t="shared" si="67"/>
        <v>33056648.193808939</v>
      </c>
    </row>
    <row r="2164" spans="2:8" hidden="1" x14ac:dyDescent="0.4">
      <c r="B2164" s="1">
        <v>44713</v>
      </c>
      <c r="C2164" s="16">
        <f>SUMIF(매도완료!$G:$G,Sheet2!$B2164,매도완료!$P:$P)+SUMIF(ING!$G:$G,Sheet2!$B2164,ING!$P:$P)</f>
        <v>0</v>
      </c>
      <c r="D2164" s="16">
        <f>SUMIF(매도완료!$J:$J,Sheet2!$B2164,매도완료!$P:$P)+SUMIF(ING!$J:$J,Sheet2!$B2164,ING!$P:$P)</f>
        <v>0</v>
      </c>
      <c r="E2164" s="16">
        <f t="shared" si="66"/>
        <v>129356307.68439998</v>
      </c>
      <c r="G2164" s="16">
        <f>IF(D2164=0,0,SUMIF(매도완료!$J:$J,Sheet2!$B2164,매도완료!$S:$S))+IF(D2164=0,0,SUMIF(ING!$J:$J,Sheet2!$B2164,ING!$S:$S))</f>
        <v>0</v>
      </c>
      <c r="H2164" s="16">
        <f t="shared" si="67"/>
        <v>33056648.193808939</v>
      </c>
    </row>
    <row r="2165" spans="2:8" hidden="1" x14ac:dyDescent="0.4">
      <c r="B2165" s="1">
        <v>44714</v>
      </c>
      <c r="C2165" s="16">
        <f>SUMIF(매도완료!$G:$G,Sheet2!$B2165,매도완료!$P:$P)+SUMIF(ING!$G:$G,Sheet2!$B2165,ING!$P:$P)</f>
        <v>0</v>
      </c>
      <c r="D2165" s="16">
        <f>SUMIF(매도완료!$J:$J,Sheet2!$B2165,매도완료!$P:$P)+SUMIF(ING!$J:$J,Sheet2!$B2165,ING!$P:$P)</f>
        <v>0</v>
      </c>
      <c r="E2165" s="16">
        <f t="shared" si="66"/>
        <v>129356307.68439998</v>
      </c>
      <c r="G2165" s="16">
        <f>IF(D2165=0,0,SUMIF(매도완료!$J:$J,Sheet2!$B2165,매도완료!$S:$S))+IF(D2165=0,0,SUMIF(ING!$J:$J,Sheet2!$B2165,ING!$S:$S))</f>
        <v>0</v>
      </c>
      <c r="H2165" s="16">
        <f t="shared" si="67"/>
        <v>33056648.193808939</v>
      </c>
    </row>
    <row r="2166" spans="2:8" hidden="1" x14ac:dyDescent="0.4">
      <c r="B2166" s="1">
        <v>44715</v>
      </c>
      <c r="C2166" s="16">
        <f>SUMIF(매도완료!$G:$G,Sheet2!$B2166,매도완료!$P:$P)+SUMIF(ING!$G:$G,Sheet2!$B2166,ING!$P:$P)</f>
        <v>0</v>
      </c>
      <c r="D2166" s="16">
        <f>SUMIF(매도완료!$J:$J,Sheet2!$B2166,매도완료!$P:$P)+SUMIF(ING!$J:$J,Sheet2!$B2166,ING!$P:$P)</f>
        <v>0</v>
      </c>
      <c r="E2166" s="16">
        <f t="shared" si="66"/>
        <v>129356307.68439998</v>
      </c>
      <c r="G2166" s="16">
        <f>IF(D2166=0,0,SUMIF(매도완료!$J:$J,Sheet2!$B2166,매도완료!$S:$S))+IF(D2166=0,0,SUMIF(ING!$J:$J,Sheet2!$B2166,ING!$S:$S))</f>
        <v>0</v>
      </c>
      <c r="H2166" s="16">
        <f t="shared" si="67"/>
        <v>33056648.193808939</v>
      </c>
    </row>
    <row r="2167" spans="2:8" hidden="1" x14ac:dyDescent="0.4">
      <c r="B2167" s="1">
        <v>44716</v>
      </c>
      <c r="C2167" s="16">
        <f>SUMIF(매도완료!$G:$G,Sheet2!$B2167,매도완료!$P:$P)+SUMIF(ING!$G:$G,Sheet2!$B2167,ING!$P:$P)</f>
        <v>0</v>
      </c>
      <c r="D2167" s="16">
        <f>SUMIF(매도완료!$J:$J,Sheet2!$B2167,매도완료!$P:$P)+SUMIF(ING!$J:$J,Sheet2!$B2167,ING!$P:$P)</f>
        <v>0</v>
      </c>
      <c r="E2167" s="16">
        <f t="shared" si="66"/>
        <v>129356307.68439998</v>
      </c>
      <c r="G2167" s="16">
        <f>IF(D2167=0,0,SUMIF(매도완료!$J:$J,Sheet2!$B2167,매도완료!$S:$S))+IF(D2167=0,0,SUMIF(ING!$J:$J,Sheet2!$B2167,ING!$S:$S))</f>
        <v>0</v>
      </c>
      <c r="H2167" s="16">
        <f t="shared" si="67"/>
        <v>33056648.193808939</v>
      </c>
    </row>
    <row r="2168" spans="2:8" hidden="1" x14ac:dyDescent="0.4">
      <c r="B2168" s="1">
        <v>44717</v>
      </c>
      <c r="C2168" s="16">
        <f>SUMIF(매도완료!$G:$G,Sheet2!$B2168,매도완료!$P:$P)+SUMIF(ING!$G:$G,Sheet2!$B2168,ING!$P:$P)</f>
        <v>0</v>
      </c>
      <c r="D2168" s="16">
        <f>SUMIF(매도완료!$J:$J,Sheet2!$B2168,매도완료!$P:$P)+SUMIF(ING!$J:$J,Sheet2!$B2168,ING!$P:$P)</f>
        <v>0</v>
      </c>
      <c r="E2168" s="16">
        <f t="shared" si="66"/>
        <v>129356307.68439998</v>
      </c>
      <c r="G2168" s="16">
        <f>IF(D2168=0,0,SUMIF(매도완료!$J:$J,Sheet2!$B2168,매도완료!$S:$S))+IF(D2168=0,0,SUMIF(ING!$J:$J,Sheet2!$B2168,ING!$S:$S))</f>
        <v>0</v>
      </c>
      <c r="H2168" s="16">
        <f t="shared" si="67"/>
        <v>33056648.193808939</v>
      </c>
    </row>
    <row r="2169" spans="2:8" hidden="1" x14ac:dyDescent="0.4">
      <c r="B2169" s="1">
        <v>44718</v>
      </c>
      <c r="C2169" s="16">
        <f>SUMIF(매도완료!$G:$G,Sheet2!$B2169,매도완료!$P:$P)+SUMIF(ING!$G:$G,Sheet2!$B2169,ING!$P:$P)</f>
        <v>0</v>
      </c>
      <c r="D2169" s="16">
        <f>SUMIF(매도완료!$J:$J,Sheet2!$B2169,매도완료!$P:$P)+SUMIF(ING!$J:$J,Sheet2!$B2169,ING!$P:$P)</f>
        <v>0</v>
      </c>
      <c r="E2169" s="16">
        <f t="shared" si="66"/>
        <v>129356307.68439998</v>
      </c>
      <c r="G2169" s="16">
        <f>IF(D2169=0,0,SUMIF(매도완료!$J:$J,Sheet2!$B2169,매도완료!$S:$S))+IF(D2169=0,0,SUMIF(ING!$J:$J,Sheet2!$B2169,ING!$S:$S))</f>
        <v>0</v>
      </c>
      <c r="H2169" s="16">
        <f t="shared" si="67"/>
        <v>33056648.193808939</v>
      </c>
    </row>
    <row r="2170" spans="2:8" hidden="1" x14ac:dyDescent="0.4">
      <c r="B2170" s="1">
        <v>44719</v>
      </c>
      <c r="C2170" s="16">
        <f>SUMIF(매도완료!$G:$G,Sheet2!$B2170,매도완료!$P:$P)+SUMIF(ING!$G:$G,Sheet2!$B2170,ING!$P:$P)</f>
        <v>0</v>
      </c>
      <c r="D2170" s="16">
        <f>SUMIF(매도완료!$J:$J,Sheet2!$B2170,매도완료!$P:$P)+SUMIF(ING!$J:$J,Sheet2!$B2170,ING!$P:$P)</f>
        <v>0</v>
      </c>
      <c r="E2170" s="16">
        <f t="shared" si="66"/>
        <v>129356307.68439998</v>
      </c>
      <c r="G2170" s="16">
        <f>IF(D2170=0,0,SUMIF(매도완료!$J:$J,Sheet2!$B2170,매도완료!$S:$S))+IF(D2170=0,0,SUMIF(ING!$J:$J,Sheet2!$B2170,ING!$S:$S))</f>
        <v>0</v>
      </c>
      <c r="H2170" s="16">
        <f t="shared" si="67"/>
        <v>33056648.193808939</v>
      </c>
    </row>
    <row r="2171" spans="2:8" hidden="1" x14ac:dyDescent="0.4">
      <c r="B2171" s="1">
        <v>44720</v>
      </c>
      <c r="C2171" s="16">
        <f>SUMIF(매도완료!$G:$G,Sheet2!$B2171,매도완료!$P:$P)+SUMIF(ING!$G:$G,Sheet2!$B2171,ING!$P:$P)</f>
        <v>0</v>
      </c>
      <c r="D2171" s="16">
        <f>SUMIF(매도완료!$J:$J,Sheet2!$B2171,매도완료!$P:$P)+SUMIF(ING!$J:$J,Sheet2!$B2171,ING!$P:$P)</f>
        <v>0</v>
      </c>
      <c r="E2171" s="16">
        <f t="shared" si="66"/>
        <v>129356307.68439998</v>
      </c>
      <c r="G2171" s="16">
        <f>IF(D2171=0,0,SUMIF(매도완료!$J:$J,Sheet2!$B2171,매도완료!$S:$S))+IF(D2171=0,0,SUMIF(ING!$J:$J,Sheet2!$B2171,ING!$S:$S))</f>
        <v>0</v>
      </c>
      <c r="H2171" s="16">
        <f t="shared" si="67"/>
        <v>33056648.193808939</v>
      </c>
    </row>
    <row r="2172" spans="2:8" hidden="1" x14ac:dyDescent="0.4">
      <c r="B2172" s="1">
        <v>44721</v>
      </c>
      <c r="C2172" s="16">
        <f>SUMIF(매도완료!$G:$G,Sheet2!$B2172,매도완료!$P:$P)+SUMIF(ING!$G:$G,Sheet2!$B2172,ING!$P:$P)</f>
        <v>0</v>
      </c>
      <c r="D2172" s="16">
        <f>SUMIF(매도완료!$J:$J,Sheet2!$B2172,매도완료!$P:$P)+SUMIF(ING!$J:$J,Sheet2!$B2172,ING!$P:$P)</f>
        <v>0</v>
      </c>
      <c r="E2172" s="16">
        <f t="shared" si="66"/>
        <v>129356307.68439998</v>
      </c>
      <c r="G2172" s="16">
        <f>IF(D2172=0,0,SUMIF(매도완료!$J:$J,Sheet2!$B2172,매도완료!$S:$S))+IF(D2172=0,0,SUMIF(ING!$J:$J,Sheet2!$B2172,ING!$S:$S))</f>
        <v>0</v>
      </c>
      <c r="H2172" s="16">
        <f t="shared" si="67"/>
        <v>33056648.193808939</v>
      </c>
    </row>
    <row r="2173" spans="2:8" hidden="1" x14ac:dyDescent="0.4">
      <c r="B2173" s="1">
        <v>44722</v>
      </c>
      <c r="C2173" s="16">
        <f>SUMIF(매도완료!$G:$G,Sheet2!$B2173,매도완료!$P:$P)+SUMIF(ING!$G:$G,Sheet2!$B2173,ING!$P:$P)</f>
        <v>0</v>
      </c>
      <c r="D2173" s="16">
        <f>SUMIF(매도완료!$J:$J,Sheet2!$B2173,매도완료!$P:$P)+SUMIF(ING!$J:$J,Sheet2!$B2173,ING!$P:$P)</f>
        <v>0</v>
      </c>
      <c r="E2173" s="16">
        <f t="shared" si="66"/>
        <v>129356307.68439998</v>
      </c>
      <c r="G2173" s="16">
        <f>IF(D2173=0,0,SUMIF(매도완료!$J:$J,Sheet2!$B2173,매도완료!$S:$S))+IF(D2173=0,0,SUMIF(ING!$J:$J,Sheet2!$B2173,ING!$S:$S))</f>
        <v>0</v>
      </c>
      <c r="H2173" s="16">
        <f t="shared" si="67"/>
        <v>33056648.193808939</v>
      </c>
    </row>
    <row r="2174" spans="2:8" hidden="1" x14ac:dyDescent="0.4">
      <c r="B2174" s="1">
        <v>44723</v>
      </c>
      <c r="C2174" s="16">
        <f>SUMIF(매도완료!$G:$G,Sheet2!$B2174,매도완료!$P:$P)+SUMIF(ING!$G:$G,Sheet2!$B2174,ING!$P:$P)</f>
        <v>0</v>
      </c>
      <c r="D2174" s="16">
        <f>SUMIF(매도완료!$J:$J,Sheet2!$B2174,매도완료!$P:$P)+SUMIF(ING!$J:$J,Sheet2!$B2174,ING!$P:$P)</f>
        <v>0</v>
      </c>
      <c r="E2174" s="16">
        <f t="shared" si="66"/>
        <v>129356307.68439998</v>
      </c>
      <c r="G2174" s="16">
        <f>IF(D2174=0,0,SUMIF(매도완료!$J:$J,Sheet2!$B2174,매도완료!$S:$S))+IF(D2174=0,0,SUMIF(ING!$J:$J,Sheet2!$B2174,ING!$S:$S))</f>
        <v>0</v>
      </c>
      <c r="H2174" s="16">
        <f t="shared" si="67"/>
        <v>33056648.193808939</v>
      </c>
    </row>
    <row r="2175" spans="2:8" hidden="1" x14ac:dyDescent="0.4">
      <c r="B2175" s="1">
        <v>44724</v>
      </c>
      <c r="C2175" s="16">
        <f>SUMIF(매도완료!$G:$G,Sheet2!$B2175,매도완료!$P:$P)+SUMIF(ING!$G:$G,Sheet2!$B2175,ING!$P:$P)</f>
        <v>0</v>
      </c>
      <c r="D2175" s="16">
        <f>SUMIF(매도완료!$J:$J,Sheet2!$B2175,매도완료!$P:$P)+SUMIF(ING!$J:$J,Sheet2!$B2175,ING!$P:$P)</f>
        <v>0</v>
      </c>
      <c r="E2175" s="16">
        <f t="shared" si="66"/>
        <v>129356307.68439998</v>
      </c>
      <c r="G2175" s="16">
        <f>IF(D2175=0,0,SUMIF(매도완료!$J:$J,Sheet2!$B2175,매도완료!$S:$S))+IF(D2175=0,0,SUMIF(ING!$J:$J,Sheet2!$B2175,ING!$S:$S))</f>
        <v>0</v>
      </c>
      <c r="H2175" s="16">
        <f t="shared" si="67"/>
        <v>33056648.193808939</v>
      </c>
    </row>
    <row r="2176" spans="2:8" hidden="1" x14ac:dyDescent="0.4">
      <c r="B2176" s="1">
        <v>44725</v>
      </c>
      <c r="C2176" s="16">
        <f>SUMIF(매도완료!$G:$G,Sheet2!$B2176,매도완료!$P:$P)+SUMIF(ING!$G:$G,Sheet2!$B2176,ING!$P:$P)</f>
        <v>0</v>
      </c>
      <c r="D2176" s="16">
        <f>SUMIF(매도완료!$J:$J,Sheet2!$B2176,매도완료!$P:$P)+SUMIF(ING!$J:$J,Sheet2!$B2176,ING!$P:$P)</f>
        <v>0</v>
      </c>
      <c r="E2176" s="16">
        <f t="shared" si="66"/>
        <v>129356307.68439998</v>
      </c>
      <c r="G2176" s="16">
        <f>IF(D2176=0,0,SUMIF(매도완료!$J:$J,Sheet2!$B2176,매도완료!$S:$S))+IF(D2176=0,0,SUMIF(ING!$J:$J,Sheet2!$B2176,ING!$S:$S))</f>
        <v>0</v>
      </c>
      <c r="H2176" s="16">
        <f t="shared" si="67"/>
        <v>33056648.193808939</v>
      </c>
    </row>
    <row r="2177" spans="2:8" hidden="1" x14ac:dyDescent="0.4">
      <c r="B2177" s="1">
        <v>44726</v>
      </c>
      <c r="C2177" s="16">
        <f>SUMIF(매도완료!$G:$G,Sheet2!$B2177,매도완료!$P:$P)+SUMIF(ING!$G:$G,Sheet2!$B2177,ING!$P:$P)</f>
        <v>0</v>
      </c>
      <c r="D2177" s="16">
        <f>SUMIF(매도완료!$J:$J,Sheet2!$B2177,매도완료!$P:$P)+SUMIF(ING!$J:$J,Sheet2!$B2177,ING!$P:$P)</f>
        <v>0</v>
      </c>
      <c r="E2177" s="16">
        <f t="shared" si="66"/>
        <v>129356307.68439998</v>
      </c>
      <c r="G2177" s="16">
        <f>IF(D2177=0,0,SUMIF(매도완료!$J:$J,Sheet2!$B2177,매도완료!$S:$S))+IF(D2177=0,0,SUMIF(ING!$J:$J,Sheet2!$B2177,ING!$S:$S))</f>
        <v>0</v>
      </c>
      <c r="H2177" s="16">
        <f t="shared" si="67"/>
        <v>33056648.193808939</v>
      </c>
    </row>
    <row r="2178" spans="2:8" hidden="1" x14ac:dyDescent="0.4">
      <c r="B2178" s="1">
        <v>44727</v>
      </c>
      <c r="C2178" s="16">
        <f>SUMIF(매도완료!$G:$G,Sheet2!$B2178,매도완료!$P:$P)+SUMIF(ING!$G:$G,Sheet2!$B2178,ING!$P:$P)</f>
        <v>0</v>
      </c>
      <c r="D2178" s="16">
        <f>SUMIF(매도완료!$J:$J,Sheet2!$B2178,매도완료!$P:$P)+SUMIF(ING!$J:$J,Sheet2!$B2178,ING!$P:$P)</f>
        <v>0</v>
      </c>
      <c r="E2178" s="16">
        <f t="shared" si="66"/>
        <v>129356307.68439998</v>
      </c>
      <c r="G2178" s="16">
        <f>IF(D2178=0,0,SUMIF(매도완료!$J:$J,Sheet2!$B2178,매도완료!$S:$S))+IF(D2178=0,0,SUMIF(ING!$J:$J,Sheet2!$B2178,ING!$S:$S))</f>
        <v>0</v>
      </c>
      <c r="H2178" s="16">
        <f t="shared" si="67"/>
        <v>33056648.193808939</v>
      </c>
    </row>
    <row r="2179" spans="2:8" hidden="1" x14ac:dyDescent="0.4">
      <c r="B2179" s="1">
        <v>44728</v>
      </c>
      <c r="C2179" s="16">
        <f>SUMIF(매도완료!$G:$G,Sheet2!$B2179,매도완료!$P:$P)+SUMIF(ING!$G:$G,Sheet2!$B2179,ING!$P:$P)</f>
        <v>0</v>
      </c>
      <c r="D2179" s="16">
        <f>SUMIF(매도완료!$J:$J,Sheet2!$B2179,매도완료!$P:$P)+SUMIF(ING!$J:$J,Sheet2!$B2179,ING!$P:$P)</f>
        <v>0</v>
      </c>
      <c r="E2179" s="16">
        <f t="shared" si="66"/>
        <v>129356307.68439998</v>
      </c>
      <c r="G2179" s="16">
        <f>IF(D2179=0,0,SUMIF(매도완료!$J:$J,Sheet2!$B2179,매도완료!$S:$S))+IF(D2179=0,0,SUMIF(ING!$J:$J,Sheet2!$B2179,ING!$S:$S))</f>
        <v>0</v>
      </c>
      <c r="H2179" s="16">
        <f t="shared" si="67"/>
        <v>33056648.193808939</v>
      </c>
    </row>
    <row r="2180" spans="2:8" hidden="1" x14ac:dyDescent="0.4">
      <c r="B2180" s="1">
        <v>44729</v>
      </c>
      <c r="C2180" s="16">
        <f>SUMIF(매도완료!$G:$G,Sheet2!$B2180,매도완료!$P:$P)+SUMIF(ING!$G:$G,Sheet2!$B2180,ING!$P:$P)</f>
        <v>0</v>
      </c>
      <c r="D2180" s="16">
        <f>SUMIF(매도완료!$J:$J,Sheet2!$B2180,매도완료!$P:$P)+SUMIF(ING!$J:$J,Sheet2!$B2180,ING!$P:$P)</f>
        <v>0</v>
      </c>
      <c r="E2180" s="16">
        <f t="shared" ref="E2180:E2243" si="68">E2179+C2180-D2180</f>
        <v>129356307.68439998</v>
      </c>
      <c r="G2180" s="16">
        <f>IF(D2180=0,0,SUMIF(매도완료!$J:$J,Sheet2!$B2180,매도완료!$S:$S))+IF(D2180=0,0,SUMIF(ING!$J:$J,Sheet2!$B2180,ING!$S:$S))</f>
        <v>0</v>
      </c>
      <c r="H2180" s="16">
        <f t="shared" ref="H2180:H2243" si="69">H2179+G2180</f>
        <v>33056648.193808939</v>
      </c>
    </row>
    <row r="2181" spans="2:8" hidden="1" x14ac:dyDescent="0.4">
      <c r="B2181" s="1">
        <v>44730</v>
      </c>
      <c r="C2181" s="16">
        <f>SUMIF(매도완료!$G:$G,Sheet2!$B2181,매도완료!$P:$P)+SUMIF(ING!$G:$G,Sheet2!$B2181,ING!$P:$P)</f>
        <v>0</v>
      </c>
      <c r="D2181" s="16">
        <f>SUMIF(매도완료!$J:$J,Sheet2!$B2181,매도완료!$P:$P)+SUMIF(ING!$J:$J,Sheet2!$B2181,ING!$P:$P)</f>
        <v>0</v>
      </c>
      <c r="E2181" s="16">
        <f t="shared" si="68"/>
        <v>129356307.68439998</v>
      </c>
      <c r="G2181" s="16">
        <f>IF(D2181=0,0,SUMIF(매도완료!$J:$J,Sheet2!$B2181,매도완료!$S:$S))+IF(D2181=0,0,SUMIF(ING!$J:$J,Sheet2!$B2181,ING!$S:$S))</f>
        <v>0</v>
      </c>
      <c r="H2181" s="16">
        <f t="shared" si="69"/>
        <v>33056648.193808939</v>
      </c>
    </row>
    <row r="2182" spans="2:8" hidden="1" x14ac:dyDescent="0.4">
      <c r="B2182" s="1">
        <v>44731</v>
      </c>
      <c r="C2182" s="16">
        <f>SUMIF(매도완료!$G:$G,Sheet2!$B2182,매도완료!$P:$P)+SUMIF(ING!$G:$G,Sheet2!$B2182,ING!$P:$P)</f>
        <v>0</v>
      </c>
      <c r="D2182" s="16">
        <f>SUMIF(매도완료!$J:$J,Sheet2!$B2182,매도완료!$P:$P)+SUMIF(ING!$J:$J,Sheet2!$B2182,ING!$P:$P)</f>
        <v>0</v>
      </c>
      <c r="E2182" s="16">
        <f t="shared" si="68"/>
        <v>129356307.68439998</v>
      </c>
      <c r="G2182" s="16">
        <f>IF(D2182=0,0,SUMIF(매도완료!$J:$J,Sheet2!$B2182,매도완료!$S:$S))+IF(D2182=0,0,SUMIF(ING!$J:$J,Sheet2!$B2182,ING!$S:$S))</f>
        <v>0</v>
      </c>
      <c r="H2182" s="16">
        <f t="shared" si="69"/>
        <v>33056648.193808939</v>
      </c>
    </row>
    <row r="2183" spans="2:8" hidden="1" x14ac:dyDescent="0.4">
      <c r="B2183" s="1">
        <v>44732</v>
      </c>
      <c r="C2183" s="16">
        <f>SUMIF(매도완료!$G:$G,Sheet2!$B2183,매도완료!$P:$P)+SUMIF(ING!$G:$G,Sheet2!$B2183,ING!$P:$P)</f>
        <v>0</v>
      </c>
      <c r="D2183" s="16">
        <f>SUMIF(매도완료!$J:$J,Sheet2!$B2183,매도완료!$P:$P)+SUMIF(ING!$J:$J,Sheet2!$B2183,ING!$P:$P)</f>
        <v>0</v>
      </c>
      <c r="E2183" s="16">
        <f t="shared" si="68"/>
        <v>129356307.68439998</v>
      </c>
      <c r="G2183" s="16">
        <f>IF(D2183=0,0,SUMIF(매도완료!$J:$J,Sheet2!$B2183,매도완료!$S:$S))+IF(D2183=0,0,SUMIF(ING!$J:$J,Sheet2!$B2183,ING!$S:$S))</f>
        <v>0</v>
      </c>
      <c r="H2183" s="16">
        <f t="shared" si="69"/>
        <v>33056648.193808939</v>
      </c>
    </row>
    <row r="2184" spans="2:8" hidden="1" x14ac:dyDescent="0.4">
      <c r="B2184" s="1">
        <v>44733</v>
      </c>
      <c r="C2184" s="16">
        <f>SUMIF(매도완료!$G:$G,Sheet2!$B2184,매도완료!$P:$P)+SUMIF(ING!$G:$G,Sheet2!$B2184,ING!$P:$P)</f>
        <v>0</v>
      </c>
      <c r="D2184" s="16">
        <f>SUMIF(매도완료!$J:$J,Sheet2!$B2184,매도완료!$P:$P)+SUMIF(ING!$J:$J,Sheet2!$B2184,ING!$P:$P)</f>
        <v>0</v>
      </c>
      <c r="E2184" s="16">
        <f t="shared" si="68"/>
        <v>129356307.68439998</v>
      </c>
      <c r="G2184" s="16">
        <f>IF(D2184=0,0,SUMIF(매도완료!$J:$J,Sheet2!$B2184,매도완료!$S:$S))+IF(D2184=0,0,SUMIF(ING!$J:$J,Sheet2!$B2184,ING!$S:$S))</f>
        <v>0</v>
      </c>
      <c r="H2184" s="16">
        <f t="shared" si="69"/>
        <v>33056648.193808939</v>
      </c>
    </row>
    <row r="2185" spans="2:8" hidden="1" x14ac:dyDescent="0.4">
      <c r="B2185" s="1">
        <v>44734</v>
      </c>
      <c r="C2185" s="16">
        <f>SUMIF(매도완료!$G:$G,Sheet2!$B2185,매도완료!$P:$P)+SUMIF(ING!$G:$G,Sheet2!$B2185,ING!$P:$P)</f>
        <v>0</v>
      </c>
      <c r="D2185" s="16">
        <f>SUMIF(매도완료!$J:$J,Sheet2!$B2185,매도완료!$P:$P)+SUMIF(ING!$J:$J,Sheet2!$B2185,ING!$P:$P)</f>
        <v>0</v>
      </c>
      <c r="E2185" s="16">
        <f t="shared" si="68"/>
        <v>129356307.68439998</v>
      </c>
      <c r="G2185" s="16">
        <f>IF(D2185=0,0,SUMIF(매도완료!$J:$J,Sheet2!$B2185,매도완료!$S:$S))+IF(D2185=0,0,SUMIF(ING!$J:$J,Sheet2!$B2185,ING!$S:$S))</f>
        <v>0</v>
      </c>
      <c r="H2185" s="16">
        <f t="shared" si="69"/>
        <v>33056648.193808939</v>
      </c>
    </row>
    <row r="2186" spans="2:8" hidden="1" x14ac:dyDescent="0.4">
      <c r="B2186" s="1">
        <v>44735</v>
      </c>
      <c r="C2186" s="16">
        <f>SUMIF(매도완료!$G:$G,Sheet2!$B2186,매도완료!$P:$P)+SUMIF(ING!$G:$G,Sheet2!$B2186,ING!$P:$P)</f>
        <v>0</v>
      </c>
      <c r="D2186" s="16">
        <f>SUMIF(매도완료!$J:$J,Sheet2!$B2186,매도완료!$P:$P)+SUMIF(ING!$J:$J,Sheet2!$B2186,ING!$P:$P)</f>
        <v>0</v>
      </c>
      <c r="E2186" s="16">
        <f t="shared" si="68"/>
        <v>129356307.68439998</v>
      </c>
      <c r="G2186" s="16">
        <f>IF(D2186=0,0,SUMIF(매도완료!$J:$J,Sheet2!$B2186,매도완료!$S:$S))+IF(D2186=0,0,SUMIF(ING!$J:$J,Sheet2!$B2186,ING!$S:$S))</f>
        <v>0</v>
      </c>
      <c r="H2186" s="16">
        <f t="shared" si="69"/>
        <v>33056648.193808939</v>
      </c>
    </row>
    <row r="2187" spans="2:8" hidden="1" x14ac:dyDescent="0.4">
      <c r="B2187" s="1">
        <v>44736</v>
      </c>
      <c r="C2187" s="16">
        <f>SUMIF(매도완료!$G:$G,Sheet2!$B2187,매도완료!$P:$P)+SUMIF(ING!$G:$G,Sheet2!$B2187,ING!$P:$P)</f>
        <v>0</v>
      </c>
      <c r="D2187" s="16">
        <f>SUMIF(매도완료!$J:$J,Sheet2!$B2187,매도완료!$P:$P)+SUMIF(ING!$J:$J,Sheet2!$B2187,ING!$P:$P)</f>
        <v>0</v>
      </c>
      <c r="E2187" s="16">
        <f t="shared" si="68"/>
        <v>129356307.68439998</v>
      </c>
      <c r="G2187" s="16">
        <f>IF(D2187=0,0,SUMIF(매도완료!$J:$J,Sheet2!$B2187,매도완료!$S:$S))+IF(D2187=0,0,SUMIF(ING!$J:$J,Sheet2!$B2187,ING!$S:$S))</f>
        <v>0</v>
      </c>
      <c r="H2187" s="16">
        <f t="shared" si="69"/>
        <v>33056648.193808939</v>
      </c>
    </row>
    <row r="2188" spans="2:8" hidden="1" x14ac:dyDescent="0.4">
      <c r="B2188" s="1">
        <v>44737</v>
      </c>
      <c r="C2188" s="16">
        <f>SUMIF(매도완료!$G:$G,Sheet2!$B2188,매도완료!$P:$P)+SUMIF(ING!$G:$G,Sheet2!$B2188,ING!$P:$P)</f>
        <v>0</v>
      </c>
      <c r="D2188" s="16">
        <f>SUMIF(매도완료!$J:$J,Sheet2!$B2188,매도완료!$P:$P)+SUMIF(ING!$J:$J,Sheet2!$B2188,ING!$P:$P)</f>
        <v>0</v>
      </c>
      <c r="E2188" s="16">
        <f t="shared" si="68"/>
        <v>129356307.68439998</v>
      </c>
      <c r="G2188" s="16">
        <f>IF(D2188=0,0,SUMIF(매도완료!$J:$J,Sheet2!$B2188,매도완료!$S:$S))+IF(D2188=0,0,SUMIF(ING!$J:$J,Sheet2!$B2188,ING!$S:$S))</f>
        <v>0</v>
      </c>
      <c r="H2188" s="16">
        <f t="shared" si="69"/>
        <v>33056648.193808939</v>
      </c>
    </row>
    <row r="2189" spans="2:8" hidden="1" x14ac:dyDescent="0.4">
      <c r="B2189" s="1">
        <v>44738</v>
      </c>
      <c r="C2189" s="16">
        <f>SUMIF(매도완료!$G:$G,Sheet2!$B2189,매도완료!$P:$P)+SUMIF(ING!$G:$G,Sheet2!$B2189,ING!$P:$P)</f>
        <v>0</v>
      </c>
      <c r="D2189" s="16">
        <f>SUMIF(매도완료!$J:$J,Sheet2!$B2189,매도완료!$P:$P)+SUMIF(ING!$J:$J,Sheet2!$B2189,ING!$P:$P)</f>
        <v>0</v>
      </c>
      <c r="E2189" s="16">
        <f t="shared" si="68"/>
        <v>129356307.68439998</v>
      </c>
      <c r="G2189" s="16">
        <f>IF(D2189=0,0,SUMIF(매도완료!$J:$J,Sheet2!$B2189,매도완료!$S:$S))+IF(D2189=0,0,SUMIF(ING!$J:$J,Sheet2!$B2189,ING!$S:$S))</f>
        <v>0</v>
      </c>
      <c r="H2189" s="16">
        <f t="shared" si="69"/>
        <v>33056648.193808939</v>
      </c>
    </row>
    <row r="2190" spans="2:8" hidden="1" x14ac:dyDescent="0.4">
      <c r="B2190" s="1">
        <v>44739</v>
      </c>
      <c r="C2190" s="16">
        <f>SUMIF(매도완료!$G:$G,Sheet2!$B2190,매도완료!$P:$P)+SUMIF(ING!$G:$G,Sheet2!$B2190,ING!$P:$P)</f>
        <v>0</v>
      </c>
      <c r="D2190" s="16">
        <f>SUMIF(매도완료!$J:$J,Sheet2!$B2190,매도완료!$P:$P)+SUMIF(ING!$J:$J,Sheet2!$B2190,ING!$P:$P)</f>
        <v>0</v>
      </c>
      <c r="E2190" s="16">
        <f t="shared" si="68"/>
        <v>129356307.68439998</v>
      </c>
      <c r="G2190" s="16">
        <f>IF(D2190=0,0,SUMIF(매도완료!$J:$J,Sheet2!$B2190,매도완료!$S:$S))+IF(D2190=0,0,SUMIF(ING!$J:$J,Sheet2!$B2190,ING!$S:$S))</f>
        <v>0</v>
      </c>
      <c r="H2190" s="16">
        <f t="shared" si="69"/>
        <v>33056648.193808939</v>
      </c>
    </row>
    <row r="2191" spans="2:8" hidden="1" x14ac:dyDescent="0.4">
      <c r="B2191" s="1">
        <v>44740</v>
      </c>
      <c r="C2191" s="16">
        <f>SUMIF(매도완료!$G:$G,Sheet2!$B2191,매도완료!$P:$P)+SUMIF(ING!$G:$G,Sheet2!$B2191,ING!$P:$P)</f>
        <v>0</v>
      </c>
      <c r="D2191" s="16">
        <f>SUMIF(매도완료!$J:$J,Sheet2!$B2191,매도완료!$P:$P)+SUMIF(ING!$J:$J,Sheet2!$B2191,ING!$P:$P)</f>
        <v>0</v>
      </c>
      <c r="E2191" s="16">
        <f t="shared" si="68"/>
        <v>129356307.68439998</v>
      </c>
      <c r="G2191" s="16">
        <f>IF(D2191=0,0,SUMIF(매도완료!$J:$J,Sheet2!$B2191,매도완료!$S:$S))+IF(D2191=0,0,SUMIF(ING!$J:$J,Sheet2!$B2191,ING!$S:$S))</f>
        <v>0</v>
      </c>
      <c r="H2191" s="16">
        <f t="shared" si="69"/>
        <v>33056648.193808939</v>
      </c>
    </row>
    <row r="2192" spans="2:8" hidden="1" x14ac:dyDescent="0.4">
      <c r="B2192" s="1">
        <v>44741</v>
      </c>
      <c r="C2192" s="16">
        <f>SUMIF(매도완료!$G:$G,Sheet2!$B2192,매도완료!$P:$P)+SUMIF(ING!$G:$G,Sheet2!$B2192,ING!$P:$P)</f>
        <v>0</v>
      </c>
      <c r="D2192" s="16">
        <f>SUMIF(매도완료!$J:$J,Sheet2!$B2192,매도완료!$P:$P)+SUMIF(ING!$J:$J,Sheet2!$B2192,ING!$P:$P)</f>
        <v>0</v>
      </c>
      <c r="E2192" s="16">
        <f t="shared" si="68"/>
        <v>129356307.68439998</v>
      </c>
      <c r="G2192" s="16">
        <f>IF(D2192=0,0,SUMIF(매도완료!$J:$J,Sheet2!$B2192,매도완료!$S:$S))+IF(D2192=0,0,SUMIF(ING!$J:$J,Sheet2!$B2192,ING!$S:$S))</f>
        <v>0</v>
      </c>
      <c r="H2192" s="16">
        <f t="shared" si="69"/>
        <v>33056648.193808939</v>
      </c>
    </row>
    <row r="2193" spans="2:8" hidden="1" x14ac:dyDescent="0.4">
      <c r="B2193" s="1">
        <v>44742</v>
      </c>
      <c r="C2193" s="16">
        <f>SUMIF(매도완료!$G:$G,Sheet2!$B2193,매도완료!$P:$P)+SUMIF(ING!$G:$G,Sheet2!$B2193,ING!$P:$P)</f>
        <v>0</v>
      </c>
      <c r="D2193" s="16">
        <f>SUMIF(매도완료!$J:$J,Sheet2!$B2193,매도완료!$P:$P)+SUMIF(ING!$J:$J,Sheet2!$B2193,ING!$P:$P)</f>
        <v>0</v>
      </c>
      <c r="E2193" s="16">
        <f t="shared" si="68"/>
        <v>129356307.68439998</v>
      </c>
      <c r="G2193" s="16">
        <f>IF(D2193=0,0,SUMIF(매도완료!$J:$J,Sheet2!$B2193,매도완료!$S:$S))+IF(D2193=0,0,SUMIF(ING!$J:$J,Sheet2!$B2193,ING!$S:$S))</f>
        <v>0</v>
      </c>
      <c r="H2193" s="16">
        <f t="shared" si="69"/>
        <v>33056648.193808939</v>
      </c>
    </row>
    <row r="2194" spans="2:8" hidden="1" x14ac:dyDescent="0.4">
      <c r="B2194" s="1">
        <v>44743</v>
      </c>
      <c r="C2194" s="16">
        <f>SUMIF(매도완료!$G:$G,Sheet2!$B2194,매도완료!$P:$P)+SUMIF(ING!$G:$G,Sheet2!$B2194,ING!$P:$P)</f>
        <v>0</v>
      </c>
      <c r="D2194" s="16">
        <f>SUMIF(매도완료!$J:$J,Sheet2!$B2194,매도완료!$P:$P)+SUMIF(ING!$J:$J,Sheet2!$B2194,ING!$P:$P)</f>
        <v>0</v>
      </c>
      <c r="E2194" s="16">
        <f t="shared" si="68"/>
        <v>129356307.68439998</v>
      </c>
      <c r="G2194" s="16">
        <f>IF(D2194=0,0,SUMIF(매도완료!$J:$J,Sheet2!$B2194,매도완료!$S:$S))+IF(D2194=0,0,SUMIF(ING!$J:$J,Sheet2!$B2194,ING!$S:$S))</f>
        <v>0</v>
      </c>
      <c r="H2194" s="16">
        <f t="shared" si="69"/>
        <v>33056648.193808939</v>
      </c>
    </row>
    <row r="2195" spans="2:8" hidden="1" x14ac:dyDescent="0.4">
      <c r="B2195" s="1">
        <v>44744</v>
      </c>
      <c r="C2195" s="16">
        <f>SUMIF(매도완료!$G:$G,Sheet2!$B2195,매도완료!$P:$P)+SUMIF(ING!$G:$G,Sheet2!$B2195,ING!$P:$P)</f>
        <v>0</v>
      </c>
      <c r="D2195" s="16">
        <f>SUMIF(매도완료!$J:$J,Sheet2!$B2195,매도완료!$P:$P)+SUMIF(ING!$J:$J,Sheet2!$B2195,ING!$P:$P)</f>
        <v>0</v>
      </c>
      <c r="E2195" s="16">
        <f t="shared" si="68"/>
        <v>129356307.68439998</v>
      </c>
      <c r="G2195" s="16">
        <f>IF(D2195=0,0,SUMIF(매도완료!$J:$J,Sheet2!$B2195,매도완료!$S:$S))+IF(D2195=0,0,SUMIF(ING!$J:$J,Sheet2!$B2195,ING!$S:$S))</f>
        <v>0</v>
      </c>
      <c r="H2195" s="16">
        <f t="shared" si="69"/>
        <v>33056648.193808939</v>
      </c>
    </row>
    <row r="2196" spans="2:8" hidden="1" x14ac:dyDescent="0.4">
      <c r="B2196" s="1">
        <v>44745</v>
      </c>
      <c r="C2196" s="16">
        <f>SUMIF(매도완료!$G:$G,Sheet2!$B2196,매도완료!$P:$P)+SUMIF(ING!$G:$G,Sheet2!$B2196,ING!$P:$P)</f>
        <v>0</v>
      </c>
      <c r="D2196" s="16">
        <f>SUMIF(매도완료!$J:$J,Sheet2!$B2196,매도완료!$P:$P)+SUMIF(ING!$J:$J,Sheet2!$B2196,ING!$P:$P)</f>
        <v>0</v>
      </c>
      <c r="E2196" s="16">
        <f t="shared" si="68"/>
        <v>129356307.68439998</v>
      </c>
      <c r="G2196" s="16">
        <f>IF(D2196=0,0,SUMIF(매도완료!$J:$J,Sheet2!$B2196,매도완료!$S:$S))+IF(D2196=0,0,SUMIF(ING!$J:$J,Sheet2!$B2196,ING!$S:$S))</f>
        <v>0</v>
      </c>
      <c r="H2196" s="16">
        <f t="shared" si="69"/>
        <v>33056648.193808939</v>
      </c>
    </row>
    <row r="2197" spans="2:8" hidden="1" x14ac:dyDescent="0.4">
      <c r="B2197" s="1">
        <v>44746</v>
      </c>
      <c r="C2197" s="16">
        <f>SUMIF(매도완료!$G:$G,Sheet2!$B2197,매도완료!$P:$P)+SUMIF(ING!$G:$G,Sheet2!$B2197,ING!$P:$P)</f>
        <v>0</v>
      </c>
      <c r="D2197" s="16">
        <f>SUMIF(매도완료!$J:$J,Sheet2!$B2197,매도완료!$P:$P)+SUMIF(ING!$J:$J,Sheet2!$B2197,ING!$P:$P)</f>
        <v>0</v>
      </c>
      <c r="E2197" s="16">
        <f t="shared" si="68"/>
        <v>129356307.68439998</v>
      </c>
      <c r="G2197" s="16">
        <f>IF(D2197=0,0,SUMIF(매도완료!$J:$J,Sheet2!$B2197,매도완료!$S:$S))+IF(D2197=0,0,SUMIF(ING!$J:$J,Sheet2!$B2197,ING!$S:$S))</f>
        <v>0</v>
      </c>
      <c r="H2197" s="16">
        <f t="shared" si="69"/>
        <v>33056648.193808939</v>
      </c>
    </row>
    <row r="2198" spans="2:8" hidden="1" x14ac:dyDescent="0.4">
      <c r="B2198" s="1">
        <v>44747</v>
      </c>
      <c r="C2198" s="16">
        <f>SUMIF(매도완료!$G:$G,Sheet2!$B2198,매도완료!$P:$P)+SUMIF(ING!$G:$G,Sheet2!$B2198,ING!$P:$P)</f>
        <v>0</v>
      </c>
      <c r="D2198" s="16">
        <f>SUMIF(매도완료!$J:$J,Sheet2!$B2198,매도완료!$P:$P)+SUMIF(ING!$J:$J,Sheet2!$B2198,ING!$P:$P)</f>
        <v>0</v>
      </c>
      <c r="E2198" s="16">
        <f t="shared" si="68"/>
        <v>129356307.68439998</v>
      </c>
      <c r="G2198" s="16">
        <f>IF(D2198=0,0,SUMIF(매도완료!$J:$J,Sheet2!$B2198,매도완료!$S:$S))+IF(D2198=0,0,SUMIF(ING!$J:$J,Sheet2!$B2198,ING!$S:$S))</f>
        <v>0</v>
      </c>
      <c r="H2198" s="16">
        <f t="shared" si="69"/>
        <v>33056648.193808939</v>
      </c>
    </row>
    <row r="2199" spans="2:8" hidden="1" x14ac:dyDescent="0.4">
      <c r="B2199" s="1">
        <v>44748</v>
      </c>
      <c r="C2199" s="16">
        <f>SUMIF(매도완료!$G:$G,Sheet2!$B2199,매도완료!$P:$P)+SUMIF(ING!$G:$G,Sheet2!$B2199,ING!$P:$P)</f>
        <v>0</v>
      </c>
      <c r="D2199" s="16">
        <f>SUMIF(매도완료!$J:$J,Sheet2!$B2199,매도완료!$P:$P)+SUMIF(ING!$J:$J,Sheet2!$B2199,ING!$P:$P)</f>
        <v>0</v>
      </c>
      <c r="E2199" s="16">
        <f t="shared" si="68"/>
        <v>129356307.68439998</v>
      </c>
      <c r="G2199" s="16">
        <f>IF(D2199=0,0,SUMIF(매도완료!$J:$J,Sheet2!$B2199,매도완료!$S:$S))+IF(D2199=0,0,SUMIF(ING!$J:$J,Sheet2!$B2199,ING!$S:$S))</f>
        <v>0</v>
      </c>
      <c r="H2199" s="16">
        <f t="shared" si="69"/>
        <v>33056648.193808939</v>
      </c>
    </row>
    <row r="2200" spans="2:8" hidden="1" x14ac:dyDescent="0.4">
      <c r="B2200" s="1">
        <v>44749</v>
      </c>
      <c r="C2200" s="16">
        <f>SUMIF(매도완료!$G:$G,Sheet2!$B2200,매도완료!$P:$P)+SUMIF(ING!$G:$G,Sheet2!$B2200,ING!$P:$P)</f>
        <v>0</v>
      </c>
      <c r="D2200" s="16">
        <f>SUMIF(매도완료!$J:$J,Sheet2!$B2200,매도완료!$P:$P)+SUMIF(ING!$J:$J,Sheet2!$B2200,ING!$P:$P)</f>
        <v>0</v>
      </c>
      <c r="E2200" s="16">
        <f t="shared" si="68"/>
        <v>129356307.68439998</v>
      </c>
      <c r="G2200" s="16">
        <f>IF(D2200=0,0,SUMIF(매도완료!$J:$J,Sheet2!$B2200,매도완료!$S:$S))+IF(D2200=0,0,SUMIF(ING!$J:$J,Sheet2!$B2200,ING!$S:$S))</f>
        <v>0</v>
      </c>
      <c r="H2200" s="16">
        <f t="shared" si="69"/>
        <v>33056648.193808939</v>
      </c>
    </row>
    <row r="2201" spans="2:8" hidden="1" x14ac:dyDescent="0.4">
      <c r="B2201" s="1">
        <v>44750</v>
      </c>
      <c r="C2201" s="16">
        <f>SUMIF(매도완료!$G:$G,Sheet2!$B2201,매도완료!$P:$P)+SUMIF(ING!$G:$G,Sheet2!$B2201,ING!$P:$P)</f>
        <v>1302.7</v>
      </c>
      <c r="D2201" s="16">
        <f>SUMIF(매도완료!$J:$J,Sheet2!$B2201,매도완료!$P:$P)+SUMIF(ING!$J:$J,Sheet2!$B2201,ING!$P:$P)</f>
        <v>0</v>
      </c>
      <c r="E2201" s="16">
        <f t="shared" si="68"/>
        <v>129357610.38439998</v>
      </c>
      <c r="G2201" s="16">
        <f>IF(D2201=0,0,SUMIF(매도완료!$J:$J,Sheet2!$B2201,매도완료!$S:$S))+IF(D2201=0,0,SUMIF(ING!$J:$J,Sheet2!$B2201,ING!$S:$S))</f>
        <v>0</v>
      </c>
      <c r="H2201" s="16">
        <f t="shared" si="69"/>
        <v>33056648.193808939</v>
      </c>
    </row>
    <row r="2202" spans="2:8" hidden="1" x14ac:dyDescent="0.4">
      <c r="B2202" s="1">
        <v>44751</v>
      </c>
      <c r="C2202" s="16">
        <f>SUMIF(매도완료!$G:$G,Sheet2!$B2202,매도완료!$P:$P)+SUMIF(ING!$G:$G,Sheet2!$B2202,ING!$P:$P)</f>
        <v>0</v>
      </c>
      <c r="D2202" s="16">
        <f>SUMIF(매도완료!$J:$J,Sheet2!$B2202,매도완료!$P:$P)+SUMIF(ING!$J:$J,Sheet2!$B2202,ING!$P:$P)</f>
        <v>0</v>
      </c>
      <c r="E2202" s="16">
        <f t="shared" si="68"/>
        <v>129357610.38439998</v>
      </c>
      <c r="G2202" s="16">
        <f>IF(D2202=0,0,SUMIF(매도완료!$J:$J,Sheet2!$B2202,매도완료!$S:$S))+IF(D2202=0,0,SUMIF(ING!$J:$J,Sheet2!$B2202,ING!$S:$S))</f>
        <v>0</v>
      </c>
      <c r="H2202" s="16">
        <f t="shared" si="69"/>
        <v>33056648.193808939</v>
      </c>
    </row>
    <row r="2203" spans="2:8" hidden="1" x14ac:dyDescent="0.4">
      <c r="B2203" s="1">
        <v>44752</v>
      </c>
      <c r="C2203" s="16">
        <f>SUMIF(매도완료!$G:$G,Sheet2!$B2203,매도완료!$P:$P)+SUMIF(ING!$G:$G,Sheet2!$B2203,ING!$P:$P)</f>
        <v>0</v>
      </c>
      <c r="D2203" s="16">
        <f>SUMIF(매도완료!$J:$J,Sheet2!$B2203,매도완료!$P:$P)+SUMIF(ING!$J:$J,Sheet2!$B2203,ING!$P:$P)</f>
        <v>0</v>
      </c>
      <c r="E2203" s="16">
        <f t="shared" si="68"/>
        <v>129357610.38439998</v>
      </c>
      <c r="G2203" s="16">
        <f>IF(D2203=0,0,SUMIF(매도완료!$J:$J,Sheet2!$B2203,매도완료!$S:$S))+IF(D2203=0,0,SUMIF(ING!$J:$J,Sheet2!$B2203,ING!$S:$S))</f>
        <v>0</v>
      </c>
      <c r="H2203" s="16">
        <f t="shared" si="69"/>
        <v>33056648.193808939</v>
      </c>
    </row>
    <row r="2204" spans="2:8" hidden="1" x14ac:dyDescent="0.4">
      <c r="B2204" s="1">
        <v>44753</v>
      </c>
      <c r="C2204" s="16">
        <f>SUMIF(매도완료!$G:$G,Sheet2!$B2204,매도완료!$P:$P)+SUMIF(ING!$G:$G,Sheet2!$B2204,ING!$P:$P)</f>
        <v>0</v>
      </c>
      <c r="D2204" s="16">
        <f>SUMIF(매도완료!$J:$J,Sheet2!$B2204,매도완료!$P:$P)+SUMIF(ING!$J:$J,Sheet2!$B2204,ING!$P:$P)</f>
        <v>0</v>
      </c>
      <c r="E2204" s="16">
        <f t="shared" si="68"/>
        <v>129357610.38439998</v>
      </c>
      <c r="G2204" s="16">
        <f>IF(D2204=0,0,SUMIF(매도완료!$J:$J,Sheet2!$B2204,매도완료!$S:$S))+IF(D2204=0,0,SUMIF(ING!$J:$J,Sheet2!$B2204,ING!$S:$S))</f>
        <v>0</v>
      </c>
      <c r="H2204" s="16">
        <f t="shared" si="69"/>
        <v>33056648.193808939</v>
      </c>
    </row>
    <row r="2205" spans="2:8" hidden="1" x14ac:dyDescent="0.4">
      <c r="B2205" s="1">
        <v>44754</v>
      </c>
      <c r="C2205" s="16">
        <f>SUMIF(매도완료!$G:$G,Sheet2!$B2205,매도완료!$P:$P)+SUMIF(ING!$G:$G,Sheet2!$B2205,ING!$P:$P)</f>
        <v>0</v>
      </c>
      <c r="D2205" s="16">
        <f>SUMIF(매도완료!$J:$J,Sheet2!$B2205,매도완료!$P:$P)+SUMIF(ING!$J:$J,Sheet2!$B2205,ING!$P:$P)</f>
        <v>0</v>
      </c>
      <c r="E2205" s="16">
        <f t="shared" si="68"/>
        <v>129357610.38439998</v>
      </c>
      <c r="G2205" s="16">
        <f>IF(D2205=0,0,SUMIF(매도완료!$J:$J,Sheet2!$B2205,매도완료!$S:$S))+IF(D2205=0,0,SUMIF(ING!$J:$J,Sheet2!$B2205,ING!$S:$S))</f>
        <v>0</v>
      </c>
      <c r="H2205" s="16">
        <f t="shared" si="69"/>
        <v>33056648.193808939</v>
      </c>
    </row>
    <row r="2206" spans="2:8" hidden="1" x14ac:dyDescent="0.4">
      <c r="B2206" s="1">
        <v>44755</v>
      </c>
      <c r="C2206" s="16">
        <f>SUMIF(매도완료!$G:$G,Sheet2!$B2206,매도완료!$P:$P)+SUMIF(ING!$G:$G,Sheet2!$B2206,ING!$P:$P)</f>
        <v>0</v>
      </c>
      <c r="D2206" s="16">
        <f>SUMIF(매도완료!$J:$J,Sheet2!$B2206,매도완료!$P:$P)+SUMIF(ING!$J:$J,Sheet2!$B2206,ING!$P:$P)</f>
        <v>0</v>
      </c>
      <c r="E2206" s="16">
        <f t="shared" si="68"/>
        <v>129357610.38439998</v>
      </c>
      <c r="G2206" s="16">
        <f>IF(D2206=0,0,SUMIF(매도완료!$J:$J,Sheet2!$B2206,매도완료!$S:$S))+IF(D2206=0,0,SUMIF(ING!$J:$J,Sheet2!$B2206,ING!$S:$S))</f>
        <v>0</v>
      </c>
      <c r="H2206" s="16">
        <f t="shared" si="69"/>
        <v>33056648.193808939</v>
      </c>
    </row>
    <row r="2207" spans="2:8" hidden="1" x14ac:dyDescent="0.4">
      <c r="B2207" s="1">
        <v>44756</v>
      </c>
      <c r="C2207" s="16">
        <f>SUMIF(매도완료!$G:$G,Sheet2!$B2207,매도완료!$P:$P)+SUMIF(ING!$G:$G,Sheet2!$B2207,ING!$P:$P)</f>
        <v>0</v>
      </c>
      <c r="D2207" s="16">
        <f>SUMIF(매도완료!$J:$J,Sheet2!$B2207,매도완료!$P:$P)+SUMIF(ING!$J:$J,Sheet2!$B2207,ING!$P:$P)</f>
        <v>0</v>
      </c>
      <c r="E2207" s="16">
        <f t="shared" si="68"/>
        <v>129357610.38439998</v>
      </c>
      <c r="G2207" s="16">
        <f>IF(D2207=0,0,SUMIF(매도완료!$J:$J,Sheet2!$B2207,매도완료!$S:$S))+IF(D2207=0,0,SUMIF(ING!$J:$J,Sheet2!$B2207,ING!$S:$S))</f>
        <v>0</v>
      </c>
      <c r="H2207" s="16">
        <f t="shared" si="69"/>
        <v>33056648.193808939</v>
      </c>
    </row>
    <row r="2208" spans="2:8" hidden="1" x14ac:dyDescent="0.4">
      <c r="B2208" s="1">
        <v>44757</v>
      </c>
      <c r="C2208" s="16">
        <f>SUMIF(매도완료!$G:$G,Sheet2!$B2208,매도완료!$P:$P)+SUMIF(ING!$G:$G,Sheet2!$B2208,ING!$P:$P)</f>
        <v>0</v>
      </c>
      <c r="D2208" s="16">
        <f>SUMIF(매도완료!$J:$J,Sheet2!$B2208,매도완료!$P:$P)+SUMIF(ING!$J:$J,Sheet2!$B2208,ING!$P:$P)</f>
        <v>0</v>
      </c>
      <c r="E2208" s="16">
        <f t="shared" si="68"/>
        <v>129357610.38439998</v>
      </c>
      <c r="G2208" s="16">
        <f>IF(D2208=0,0,SUMIF(매도완료!$J:$J,Sheet2!$B2208,매도완료!$S:$S))+IF(D2208=0,0,SUMIF(ING!$J:$J,Sheet2!$B2208,ING!$S:$S))</f>
        <v>0</v>
      </c>
      <c r="H2208" s="16">
        <f t="shared" si="69"/>
        <v>33056648.193808939</v>
      </c>
    </row>
    <row r="2209" spans="2:8" hidden="1" x14ac:dyDescent="0.4">
      <c r="B2209" s="1">
        <v>44758</v>
      </c>
      <c r="C2209" s="16">
        <f>SUMIF(매도완료!$G:$G,Sheet2!$B2209,매도완료!$P:$P)+SUMIF(ING!$G:$G,Sheet2!$B2209,ING!$P:$P)</f>
        <v>0</v>
      </c>
      <c r="D2209" s="16">
        <f>SUMIF(매도완료!$J:$J,Sheet2!$B2209,매도완료!$P:$P)+SUMIF(ING!$J:$J,Sheet2!$B2209,ING!$P:$P)</f>
        <v>0</v>
      </c>
      <c r="E2209" s="16">
        <f t="shared" si="68"/>
        <v>129357610.38439998</v>
      </c>
      <c r="G2209" s="16">
        <f>IF(D2209=0,0,SUMIF(매도완료!$J:$J,Sheet2!$B2209,매도완료!$S:$S))+IF(D2209=0,0,SUMIF(ING!$J:$J,Sheet2!$B2209,ING!$S:$S))</f>
        <v>0</v>
      </c>
      <c r="H2209" s="16">
        <f t="shared" si="69"/>
        <v>33056648.193808939</v>
      </c>
    </row>
    <row r="2210" spans="2:8" hidden="1" x14ac:dyDescent="0.4">
      <c r="B2210" s="1">
        <v>44759</v>
      </c>
      <c r="C2210" s="16">
        <f>SUMIF(매도완료!$G:$G,Sheet2!$B2210,매도완료!$P:$P)+SUMIF(ING!$G:$G,Sheet2!$B2210,ING!$P:$P)</f>
        <v>0</v>
      </c>
      <c r="D2210" s="16">
        <f>SUMIF(매도완료!$J:$J,Sheet2!$B2210,매도완료!$P:$P)+SUMIF(ING!$J:$J,Sheet2!$B2210,ING!$P:$P)</f>
        <v>0</v>
      </c>
      <c r="E2210" s="16">
        <f t="shared" si="68"/>
        <v>129357610.38439998</v>
      </c>
      <c r="G2210" s="16">
        <f>IF(D2210=0,0,SUMIF(매도완료!$J:$J,Sheet2!$B2210,매도완료!$S:$S))+IF(D2210=0,0,SUMIF(ING!$J:$J,Sheet2!$B2210,ING!$S:$S))</f>
        <v>0</v>
      </c>
      <c r="H2210" s="16">
        <f t="shared" si="69"/>
        <v>33056648.193808939</v>
      </c>
    </row>
    <row r="2211" spans="2:8" hidden="1" x14ac:dyDescent="0.4">
      <c r="B2211" s="1">
        <v>44760</v>
      </c>
      <c r="C2211" s="16">
        <f>SUMIF(매도완료!$G:$G,Sheet2!$B2211,매도완료!$P:$P)+SUMIF(ING!$G:$G,Sheet2!$B2211,ING!$P:$P)</f>
        <v>0</v>
      </c>
      <c r="D2211" s="16">
        <f>SUMIF(매도완료!$J:$J,Sheet2!$B2211,매도완료!$P:$P)+SUMIF(ING!$J:$J,Sheet2!$B2211,ING!$P:$P)</f>
        <v>0</v>
      </c>
      <c r="E2211" s="16">
        <f t="shared" si="68"/>
        <v>129357610.38439998</v>
      </c>
      <c r="G2211" s="16">
        <f>IF(D2211=0,0,SUMIF(매도완료!$J:$J,Sheet2!$B2211,매도완료!$S:$S))+IF(D2211=0,0,SUMIF(ING!$J:$J,Sheet2!$B2211,ING!$S:$S))</f>
        <v>0</v>
      </c>
      <c r="H2211" s="16">
        <f t="shared" si="69"/>
        <v>33056648.193808939</v>
      </c>
    </row>
    <row r="2212" spans="2:8" hidden="1" x14ac:dyDescent="0.4">
      <c r="B2212" s="1">
        <v>44761</v>
      </c>
      <c r="C2212" s="16">
        <f>SUMIF(매도완료!$G:$G,Sheet2!$B2212,매도완료!$P:$P)+SUMIF(ING!$G:$G,Sheet2!$B2212,ING!$P:$P)</f>
        <v>0</v>
      </c>
      <c r="D2212" s="16">
        <f>SUMIF(매도완료!$J:$J,Sheet2!$B2212,매도완료!$P:$P)+SUMIF(ING!$J:$J,Sheet2!$B2212,ING!$P:$P)</f>
        <v>0</v>
      </c>
      <c r="E2212" s="16">
        <f t="shared" si="68"/>
        <v>129357610.38439998</v>
      </c>
      <c r="G2212" s="16">
        <f>IF(D2212=0,0,SUMIF(매도완료!$J:$J,Sheet2!$B2212,매도완료!$S:$S))+IF(D2212=0,0,SUMIF(ING!$J:$J,Sheet2!$B2212,ING!$S:$S))</f>
        <v>0</v>
      </c>
      <c r="H2212" s="16">
        <f t="shared" si="69"/>
        <v>33056648.193808939</v>
      </c>
    </row>
    <row r="2213" spans="2:8" hidden="1" x14ac:dyDescent="0.4">
      <c r="B2213" s="1">
        <v>44762</v>
      </c>
      <c r="C2213" s="16">
        <f>SUMIF(매도완료!$G:$G,Sheet2!$B2213,매도완료!$P:$P)+SUMIF(ING!$G:$G,Sheet2!$B2213,ING!$P:$P)</f>
        <v>0</v>
      </c>
      <c r="D2213" s="16">
        <f>SUMIF(매도완료!$J:$J,Sheet2!$B2213,매도완료!$P:$P)+SUMIF(ING!$J:$J,Sheet2!$B2213,ING!$P:$P)</f>
        <v>0</v>
      </c>
      <c r="E2213" s="16">
        <f t="shared" si="68"/>
        <v>129357610.38439998</v>
      </c>
      <c r="G2213" s="16">
        <f>IF(D2213=0,0,SUMIF(매도완료!$J:$J,Sheet2!$B2213,매도완료!$S:$S))+IF(D2213=0,0,SUMIF(ING!$J:$J,Sheet2!$B2213,ING!$S:$S))</f>
        <v>0</v>
      </c>
      <c r="H2213" s="16">
        <f t="shared" si="69"/>
        <v>33056648.193808939</v>
      </c>
    </row>
    <row r="2214" spans="2:8" hidden="1" x14ac:dyDescent="0.4">
      <c r="B2214" s="1">
        <v>44763</v>
      </c>
      <c r="C2214" s="16">
        <f>SUMIF(매도완료!$G:$G,Sheet2!$B2214,매도완료!$P:$P)+SUMIF(ING!$G:$G,Sheet2!$B2214,ING!$P:$P)</f>
        <v>0</v>
      </c>
      <c r="D2214" s="16">
        <f>SUMIF(매도완료!$J:$J,Sheet2!$B2214,매도완료!$P:$P)+SUMIF(ING!$J:$J,Sheet2!$B2214,ING!$P:$P)</f>
        <v>0</v>
      </c>
      <c r="E2214" s="16">
        <f t="shared" si="68"/>
        <v>129357610.38439998</v>
      </c>
      <c r="G2214" s="16">
        <f>IF(D2214=0,0,SUMIF(매도완료!$J:$J,Sheet2!$B2214,매도완료!$S:$S))+IF(D2214=0,0,SUMIF(ING!$J:$J,Sheet2!$B2214,ING!$S:$S))</f>
        <v>0</v>
      </c>
      <c r="H2214" s="16">
        <f t="shared" si="69"/>
        <v>33056648.193808939</v>
      </c>
    </row>
    <row r="2215" spans="2:8" hidden="1" x14ac:dyDescent="0.4">
      <c r="B2215" s="1">
        <v>44764</v>
      </c>
      <c r="C2215" s="16">
        <f>SUMIF(매도완료!$G:$G,Sheet2!$B2215,매도완료!$P:$P)+SUMIF(ING!$G:$G,Sheet2!$B2215,ING!$P:$P)</f>
        <v>0</v>
      </c>
      <c r="D2215" s="16">
        <f>SUMIF(매도완료!$J:$J,Sheet2!$B2215,매도완료!$P:$P)+SUMIF(ING!$J:$J,Sheet2!$B2215,ING!$P:$P)</f>
        <v>0</v>
      </c>
      <c r="E2215" s="16">
        <f t="shared" si="68"/>
        <v>129357610.38439998</v>
      </c>
      <c r="G2215" s="16">
        <f>IF(D2215=0,0,SUMIF(매도완료!$J:$J,Sheet2!$B2215,매도완료!$S:$S))+IF(D2215=0,0,SUMIF(ING!$J:$J,Sheet2!$B2215,ING!$S:$S))</f>
        <v>0</v>
      </c>
      <c r="H2215" s="16">
        <f t="shared" si="69"/>
        <v>33056648.193808939</v>
      </c>
    </row>
    <row r="2216" spans="2:8" hidden="1" x14ac:dyDescent="0.4">
      <c r="B2216" s="1">
        <v>44765</v>
      </c>
      <c r="C2216" s="16">
        <f>SUMIF(매도완료!$G:$G,Sheet2!$B2216,매도완료!$P:$P)+SUMIF(ING!$G:$G,Sheet2!$B2216,ING!$P:$P)</f>
        <v>0</v>
      </c>
      <c r="D2216" s="16">
        <f>SUMIF(매도완료!$J:$J,Sheet2!$B2216,매도완료!$P:$P)+SUMIF(ING!$J:$J,Sheet2!$B2216,ING!$P:$P)</f>
        <v>0</v>
      </c>
      <c r="E2216" s="16">
        <f t="shared" si="68"/>
        <v>129357610.38439998</v>
      </c>
      <c r="G2216" s="16">
        <f>IF(D2216=0,0,SUMIF(매도완료!$J:$J,Sheet2!$B2216,매도완료!$S:$S))+IF(D2216=0,0,SUMIF(ING!$J:$J,Sheet2!$B2216,ING!$S:$S))</f>
        <v>0</v>
      </c>
      <c r="H2216" s="16">
        <f t="shared" si="69"/>
        <v>33056648.193808939</v>
      </c>
    </row>
    <row r="2217" spans="2:8" hidden="1" x14ac:dyDescent="0.4">
      <c r="B2217" s="1">
        <v>44766</v>
      </c>
      <c r="C2217" s="16">
        <f>SUMIF(매도완료!$G:$G,Sheet2!$B2217,매도완료!$P:$P)+SUMIF(ING!$G:$G,Sheet2!$B2217,ING!$P:$P)</f>
        <v>0</v>
      </c>
      <c r="D2217" s="16">
        <f>SUMIF(매도완료!$J:$J,Sheet2!$B2217,매도완료!$P:$P)+SUMIF(ING!$J:$J,Sheet2!$B2217,ING!$P:$P)</f>
        <v>0</v>
      </c>
      <c r="E2217" s="16">
        <f t="shared" si="68"/>
        <v>129357610.38439998</v>
      </c>
      <c r="G2217" s="16">
        <f>IF(D2217=0,0,SUMIF(매도완료!$J:$J,Sheet2!$B2217,매도완료!$S:$S))+IF(D2217=0,0,SUMIF(ING!$J:$J,Sheet2!$B2217,ING!$S:$S))</f>
        <v>0</v>
      </c>
      <c r="H2217" s="16">
        <f t="shared" si="69"/>
        <v>33056648.193808939</v>
      </c>
    </row>
    <row r="2218" spans="2:8" hidden="1" x14ac:dyDescent="0.4">
      <c r="B2218" s="1">
        <v>44767</v>
      </c>
      <c r="C2218" s="16">
        <f>SUMIF(매도완료!$G:$G,Sheet2!$B2218,매도완료!$P:$P)+SUMIF(ING!$G:$G,Sheet2!$B2218,ING!$P:$P)</f>
        <v>0</v>
      </c>
      <c r="D2218" s="16">
        <f>SUMIF(매도완료!$J:$J,Sheet2!$B2218,매도완료!$P:$P)+SUMIF(ING!$J:$J,Sheet2!$B2218,ING!$P:$P)</f>
        <v>0</v>
      </c>
      <c r="E2218" s="16">
        <f t="shared" si="68"/>
        <v>129357610.38439998</v>
      </c>
      <c r="G2218" s="16">
        <f>IF(D2218=0,0,SUMIF(매도완료!$J:$J,Sheet2!$B2218,매도완료!$S:$S))+IF(D2218=0,0,SUMIF(ING!$J:$J,Sheet2!$B2218,ING!$S:$S))</f>
        <v>0</v>
      </c>
      <c r="H2218" s="16">
        <f t="shared" si="69"/>
        <v>33056648.193808939</v>
      </c>
    </row>
    <row r="2219" spans="2:8" hidden="1" x14ac:dyDescent="0.4">
      <c r="B2219" s="1">
        <v>44768</v>
      </c>
      <c r="C2219" s="16">
        <f>SUMIF(매도완료!$G:$G,Sheet2!$B2219,매도완료!$P:$P)+SUMIF(ING!$G:$G,Sheet2!$B2219,ING!$P:$P)</f>
        <v>0</v>
      </c>
      <c r="D2219" s="16">
        <f>SUMIF(매도완료!$J:$J,Sheet2!$B2219,매도완료!$P:$P)+SUMIF(ING!$J:$J,Sheet2!$B2219,ING!$P:$P)</f>
        <v>0</v>
      </c>
      <c r="E2219" s="16">
        <f t="shared" si="68"/>
        <v>129357610.38439998</v>
      </c>
      <c r="G2219" s="16">
        <f>IF(D2219=0,0,SUMIF(매도완료!$J:$J,Sheet2!$B2219,매도완료!$S:$S))+IF(D2219=0,0,SUMIF(ING!$J:$J,Sheet2!$B2219,ING!$S:$S))</f>
        <v>0</v>
      </c>
      <c r="H2219" s="16">
        <f t="shared" si="69"/>
        <v>33056648.193808939</v>
      </c>
    </row>
    <row r="2220" spans="2:8" hidden="1" x14ac:dyDescent="0.4">
      <c r="B2220" s="1">
        <v>44769</v>
      </c>
      <c r="C2220" s="16">
        <f>SUMIF(매도완료!$G:$G,Sheet2!$B2220,매도완료!$P:$P)+SUMIF(ING!$G:$G,Sheet2!$B2220,ING!$P:$P)</f>
        <v>0</v>
      </c>
      <c r="D2220" s="16">
        <f>SUMIF(매도완료!$J:$J,Sheet2!$B2220,매도완료!$P:$P)+SUMIF(ING!$J:$J,Sheet2!$B2220,ING!$P:$P)</f>
        <v>0</v>
      </c>
      <c r="E2220" s="16">
        <f t="shared" si="68"/>
        <v>129357610.38439998</v>
      </c>
      <c r="G2220" s="16">
        <f>IF(D2220=0,0,SUMIF(매도완료!$J:$J,Sheet2!$B2220,매도완료!$S:$S))+IF(D2220=0,0,SUMIF(ING!$J:$J,Sheet2!$B2220,ING!$S:$S))</f>
        <v>0</v>
      </c>
      <c r="H2220" s="16">
        <f t="shared" si="69"/>
        <v>33056648.193808939</v>
      </c>
    </row>
    <row r="2221" spans="2:8" hidden="1" x14ac:dyDescent="0.4">
      <c r="B2221" s="1">
        <v>44770</v>
      </c>
      <c r="C2221" s="16">
        <f>SUMIF(매도완료!$G:$G,Sheet2!$B2221,매도완료!$P:$P)+SUMIF(ING!$G:$G,Sheet2!$B2221,ING!$P:$P)</f>
        <v>0</v>
      </c>
      <c r="D2221" s="16">
        <f>SUMIF(매도완료!$J:$J,Sheet2!$B2221,매도완료!$P:$P)+SUMIF(ING!$J:$J,Sheet2!$B2221,ING!$P:$P)</f>
        <v>0</v>
      </c>
      <c r="E2221" s="16">
        <f t="shared" si="68"/>
        <v>129357610.38439998</v>
      </c>
      <c r="G2221" s="16">
        <f>IF(D2221=0,0,SUMIF(매도완료!$J:$J,Sheet2!$B2221,매도완료!$S:$S))+IF(D2221=0,0,SUMIF(ING!$J:$J,Sheet2!$B2221,ING!$S:$S))</f>
        <v>0</v>
      </c>
      <c r="H2221" s="16">
        <f t="shared" si="69"/>
        <v>33056648.193808939</v>
      </c>
    </row>
    <row r="2222" spans="2:8" hidden="1" x14ac:dyDescent="0.4">
      <c r="B2222" s="1">
        <v>44771</v>
      </c>
      <c r="C2222" s="16">
        <f>SUMIF(매도완료!$G:$G,Sheet2!$B2222,매도완료!$P:$P)+SUMIF(ING!$G:$G,Sheet2!$B2222,ING!$P:$P)</f>
        <v>0</v>
      </c>
      <c r="D2222" s="16">
        <f>SUMIF(매도완료!$J:$J,Sheet2!$B2222,매도완료!$P:$P)+SUMIF(ING!$J:$J,Sheet2!$B2222,ING!$P:$P)</f>
        <v>0</v>
      </c>
      <c r="E2222" s="16">
        <f t="shared" si="68"/>
        <v>129357610.38439998</v>
      </c>
      <c r="G2222" s="16">
        <f>IF(D2222=0,0,SUMIF(매도완료!$J:$J,Sheet2!$B2222,매도완료!$S:$S))+IF(D2222=0,0,SUMIF(ING!$J:$J,Sheet2!$B2222,ING!$S:$S))</f>
        <v>0</v>
      </c>
      <c r="H2222" s="16">
        <f t="shared" si="69"/>
        <v>33056648.193808939</v>
      </c>
    </row>
    <row r="2223" spans="2:8" hidden="1" x14ac:dyDescent="0.4">
      <c r="B2223" s="1">
        <v>44772</v>
      </c>
      <c r="C2223" s="16">
        <f>SUMIF(매도완료!$G:$G,Sheet2!$B2223,매도완료!$P:$P)+SUMIF(ING!$G:$G,Sheet2!$B2223,ING!$P:$P)</f>
        <v>0</v>
      </c>
      <c r="D2223" s="16">
        <f>SUMIF(매도완료!$J:$J,Sheet2!$B2223,매도완료!$P:$P)+SUMIF(ING!$J:$J,Sheet2!$B2223,ING!$P:$P)</f>
        <v>0</v>
      </c>
      <c r="E2223" s="16">
        <f t="shared" si="68"/>
        <v>129357610.38439998</v>
      </c>
      <c r="G2223" s="16">
        <f>IF(D2223=0,0,SUMIF(매도완료!$J:$J,Sheet2!$B2223,매도완료!$S:$S))+IF(D2223=0,0,SUMIF(ING!$J:$J,Sheet2!$B2223,ING!$S:$S))</f>
        <v>0</v>
      </c>
      <c r="H2223" s="16">
        <f t="shared" si="69"/>
        <v>33056648.193808939</v>
      </c>
    </row>
    <row r="2224" spans="2:8" hidden="1" x14ac:dyDescent="0.4">
      <c r="B2224" s="1">
        <v>44773</v>
      </c>
      <c r="C2224" s="16">
        <f>SUMIF(매도완료!$G:$G,Sheet2!$B2224,매도완료!$P:$P)+SUMIF(ING!$G:$G,Sheet2!$B2224,ING!$P:$P)</f>
        <v>0</v>
      </c>
      <c r="D2224" s="16">
        <f>SUMIF(매도완료!$J:$J,Sheet2!$B2224,매도완료!$P:$P)+SUMIF(ING!$J:$J,Sheet2!$B2224,ING!$P:$P)</f>
        <v>0</v>
      </c>
      <c r="E2224" s="16">
        <f t="shared" si="68"/>
        <v>129357610.38439998</v>
      </c>
      <c r="G2224" s="16">
        <f>IF(D2224=0,0,SUMIF(매도완료!$J:$J,Sheet2!$B2224,매도완료!$S:$S))+IF(D2224=0,0,SUMIF(ING!$J:$J,Sheet2!$B2224,ING!$S:$S))</f>
        <v>0</v>
      </c>
      <c r="H2224" s="16">
        <f t="shared" si="69"/>
        <v>33056648.193808939</v>
      </c>
    </row>
    <row r="2225" spans="2:8" hidden="1" x14ac:dyDescent="0.4">
      <c r="B2225" s="1">
        <v>44774</v>
      </c>
      <c r="C2225" s="16">
        <f>SUMIF(매도완료!$G:$G,Sheet2!$B2225,매도완료!$P:$P)+SUMIF(ING!$G:$G,Sheet2!$B2225,ING!$P:$P)</f>
        <v>0</v>
      </c>
      <c r="D2225" s="16">
        <f>SUMIF(매도완료!$J:$J,Sheet2!$B2225,매도완료!$P:$P)+SUMIF(ING!$J:$J,Sheet2!$B2225,ING!$P:$P)</f>
        <v>0</v>
      </c>
      <c r="E2225" s="16">
        <f t="shared" si="68"/>
        <v>129357610.38439998</v>
      </c>
      <c r="G2225" s="16">
        <f>IF(D2225=0,0,SUMIF(매도완료!$J:$J,Sheet2!$B2225,매도완료!$S:$S))+IF(D2225=0,0,SUMIF(ING!$J:$J,Sheet2!$B2225,ING!$S:$S))</f>
        <v>0</v>
      </c>
      <c r="H2225" s="16">
        <f t="shared" si="69"/>
        <v>33056648.193808939</v>
      </c>
    </row>
    <row r="2226" spans="2:8" hidden="1" x14ac:dyDescent="0.4">
      <c r="B2226" s="1">
        <v>44775</v>
      </c>
      <c r="C2226" s="16">
        <f>SUMIF(매도완료!$G:$G,Sheet2!$B2226,매도완료!$P:$P)+SUMIF(ING!$G:$G,Sheet2!$B2226,ING!$P:$P)</f>
        <v>0</v>
      </c>
      <c r="D2226" s="16">
        <f>SUMIF(매도완료!$J:$J,Sheet2!$B2226,매도완료!$P:$P)+SUMIF(ING!$J:$J,Sheet2!$B2226,ING!$P:$P)</f>
        <v>0</v>
      </c>
      <c r="E2226" s="16">
        <f t="shared" si="68"/>
        <v>129357610.38439998</v>
      </c>
      <c r="G2226" s="16">
        <f>IF(D2226=0,0,SUMIF(매도완료!$J:$J,Sheet2!$B2226,매도완료!$S:$S))+IF(D2226=0,0,SUMIF(ING!$J:$J,Sheet2!$B2226,ING!$S:$S))</f>
        <v>0</v>
      </c>
      <c r="H2226" s="16">
        <f t="shared" si="69"/>
        <v>33056648.193808939</v>
      </c>
    </row>
    <row r="2227" spans="2:8" hidden="1" x14ac:dyDescent="0.4">
      <c r="B2227" s="1">
        <v>44776</v>
      </c>
      <c r="C2227" s="16">
        <f>SUMIF(매도완료!$G:$G,Sheet2!$B2227,매도완료!$P:$P)+SUMIF(ING!$G:$G,Sheet2!$B2227,ING!$P:$P)</f>
        <v>0</v>
      </c>
      <c r="D2227" s="16">
        <f>SUMIF(매도완료!$J:$J,Sheet2!$B2227,매도완료!$P:$P)+SUMIF(ING!$J:$J,Sheet2!$B2227,ING!$P:$P)</f>
        <v>0</v>
      </c>
      <c r="E2227" s="16">
        <f t="shared" si="68"/>
        <v>129357610.38439998</v>
      </c>
      <c r="G2227" s="16">
        <f>IF(D2227=0,0,SUMIF(매도완료!$J:$J,Sheet2!$B2227,매도완료!$S:$S))+IF(D2227=0,0,SUMIF(ING!$J:$J,Sheet2!$B2227,ING!$S:$S))</f>
        <v>0</v>
      </c>
      <c r="H2227" s="16">
        <f t="shared" si="69"/>
        <v>33056648.193808939</v>
      </c>
    </row>
    <row r="2228" spans="2:8" hidden="1" x14ac:dyDescent="0.4">
      <c r="B2228" s="1">
        <v>44777</v>
      </c>
      <c r="C2228" s="16">
        <f>SUMIF(매도완료!$G:$G,Sheet2!$B2228,매도완료!$P:$P)+SUMIF(ING!$G:$G,Sheet2!$B2228,ING!$P:$P)</f>
        <v>0</v>
      </c>
      <c r="D2228" s="16">
        <f>SUMIF(매도완료!$J:$J,Sheet2!$B2228,매도완료!$P:$P)+SUMIF(ING!$J:$J,Sheet2!$B2228,ING!$P:$P)</f>
        <v>0</v>
      </c>
      <c r="E2228" s="16">
        <f t="shared" si="68"/>
        <v>129357610.38439998</v>
      </c>
      <c r="G2228" s="16">
        <f>IF(D2228=0,0,SUMIF(매도완료!$J:$J,Sheet2!$B2228,매도완료!$S:$S))+IF(D2228=0,0,SUMIF(ING!$J:$J,Sheet2!$B2228,ING!$S:$S))</f>
        <v>0</v>
      </c>
      <c r="H2228" s="16">
        <f t="shared" si="69"/>
        <v>33056648.193808939</v>
      </c>
    </row>
    <row r="2229" spans="2:8" hidden="1" x14ac:dyDescent="0.4">
      <c r="B2229" s="1">
        <v>44778</v>
      </c>
      <c r="C2229" s="16">
        <f>SUMIF(매도완료!$G:$G,Sheet2!$B2229,매도완료!$P:$P)+SUMIF(ING!$G:$G,Sheet2!$B2229,ING!$P:$P)</f>
        <v>0</v>
      </c>
      <c r="D2229" s="16">
        <f>SUMIF(매도완료!$J:$J,Sheet2!$B2229,매도완료!$P:$P)+SUMIF(ING!$J:$J,Sheet2!$B2229,ING!$P:$P)</f>
        <v>0</v>
      </c>
      <c r="E2229" s="16">
        <f t="shared" si="68"/>
        <v>129357610.38439998</v>
      </c>
      <c r="G2229" s="16">
        <f>IF(D2229=0,0,SUMIF(매도완료!$J:$J,Sheet2!$B2229,매도완료!$S:$S))+IF(D2229=0,0,SUMIF(ING!$J:$J,Sheet2!$B2229,ING!$S:$S))</f>
        <v>0</v>
      </c>
      <c r="H2229" s="16">
        <f t="shared" si="69"/>
        <v>33056648.193808939</v>
      </c>
    </row>
    <row r="2230" spans="2:8" hidden="1" x14ac:dyDescent="0.4">
      <c r="B2230" s="1">
        <v>44779</v>
      </c>
      <c r="C2230" s="16">
        <f>SUMIF(매도완료!$G:$G,Sheet2!$B2230,매도완료!$P:$P)+SUMIF(ING!$G:$G,Sheet2!$B2230,ING!$P:$P)</f>
        <v>0</v>
      </c>
      <c r="D2230" s="16">
        <f>SUMIF(매도완료!$J:$J,Sheet2!$B2230,매도완료!$P:$P)+SUMIF(ING!$J:$J,Sheet2!$B2230,ING!$P:$P)</f>
        <v>0</v>
      </c>
      <c r="E2230" s="16">
        <f t="shared" si="68"/>
        <v>129357610.38439998</v>
      </c>
      <c r="G2230" s="16">
        <f>IF(D2230=0,0,SUMIF(매도완료!$J:$J,Sheet2!$B2230,매도완료!$S:$S))+IF(D2230=0,0,SUMIF(ING!$J:$J,Sheet2!$B2230,ING!$S:$S))</f>
        <v>0</v>
      </c>
      <c r="H2230" s="16">
        <f t="shared" si="69"/>
        <v>33056648.193808939</v>
      </c>
    </row>
    <row r="2231" spans="2:8" hidden="1" x14ac:dyDescent="0.4">
      <c r="B2231" s="1">
        <v>44780</v>
      </c>
      <c r="C2231" s="16">
        <f>SUMIF(매도완료!$G:$G,Sheet2!$B2231,매도완료!$P:$P)+SUMIF(ING!$G:$G,Sheet2!$B2231,ING!$P:$P)</f>
        <v>0</v>
      </c>
      <c r="D2231" s="16">
        <f>SUMIF(매도완료!$J:$J,Sheet2!$B2231,매도완료!$P:$P)+SUMIF(ING!$J:$J,Sheet2!$B2231,ING!$P:$P)</f>
        <v>0</v>
      </c>
      <c r="E2231" s="16">
        <f t="shared" si="68"/>
        <v>129357610.38439998</v>
      </c>
      <c r="G2231" s="16">
        <f>IF(D2231=0,0,SUMIF(매도완료!$J:$J,Sheet2!$B2231,매도완료!$S:$S))+IF(D2231=0,0,SUMIF(ING!$J:$J,Sheet2!$B2231,ING!$S:$S))</f>
        <v>0</v>
      </c>
      <c r="H2231" s="16">
        <f t="shared" si="69"/>
        <v>33056648.193808939</v>
      </c>
    </row>
    <row r="2232" spans="2:8" hidden="1" x14ac:dyDescent="0.4">
      <c r="B2232" s="1">
        <v>44781</v>
      </c>
      <c r="C2232" s="16">
        <f>SUMIF(매도완료!$G:$G,Sheet2!$B2232,매도완료!$P:$P)+SUMIF(ING!$G:$G,Sheet2!$B2232,ING!$P:$P)</f>
        <v>0</v>
      </c>
      <c r="D2232" s="16">
        <f>SUMIF(매도완료!$J:$J,Sheet2!$B2232,매도완료!$P:$P)+SUMIF(ING!$J:$J,Sheet2!$B2232,ING!$P:$P)</f>
        <v>0</v>
      </c>
      <c r="E2232" s="16">
        <f t="shared" si="68"/>
        <v>129357610.38439998</v>
      </c>
      <c r="G2232" s="16">
        <f>IF(D2232=0,0,SUMIF(매도완료!$J:$J,Sheet2!$B2232,매도완료!$S:$S))+IF(D2232=0,0,SUMIF(ING!$J:$J,Sheet2!$B2232,ING!$S:$S))</f>
        <v>0</v>
      </c>
      <c r="H2232" s="16">
        <f t="shared" si="69"/>
        <v>33056648.193808939</v>
      </c>
    </row>
    <row r="2233" spans="2:8" hidden="1" x14ac:dyDescent="0.4">
      <c r="B2233" s="1">
        <v>44782</v>
      </c>
      <c r="C2233" s="16">
        <f>SUMIF(매도완료!$G:$G,Sheet2!$B2233,매도완료!$P:$P)+SUMIF(ING!$G:$G,Sheet2!$B2233,ING!$P:$P)</f>
        <v>0</v>
      </c>
      <c r="D2233" s="16">
        <f>SUMIF(매도완료!$J:$J,Sheet2!$B2233,매도완료!$P:$P)+SUMIF(ING!$J:$J,Sheet2!$B2233,ING!$P:$P)</f>
        <v>0</v>
      </c>
      <c r="E2233" s="16">
        <f t="shared" si="68"/>
        <v>129357610.38439998</v>
      </c>
      <c r="G2233" s="16">
        <f>IF(D2233=0,0,SUMIF(매도완료!$J:$J,Sheet2!$B2233,매도완료!$S:$S))+IF(D2233=0,0,SUMIF(ING!$J:$J,Sheet2!$B2233,ING!$S:$S))</f>
        <v>0</v>
      </c>
      <c r="H2233" s="16">
        <f t="shared" si="69"/>
        <v>33056648.193808939</v>
      </c>
    </row>
    <row r="2234" spans="2:8" hidden="1" x14ac:dyDescent="0.4">
      <c r="B2234" s="1">
        <v>44783</v>
      </c>
      <c r="C2234" s="16">
        <f>SUMIF(매도완료!$G:$G,Sheet2!$B2234,매도완료!$P:$P)+SUMIF(ING!$G:$G,Sheet2!$B2234,ING!$P:$P)</f>
        <v>0</v>
      </c>
      <c r="D2234" s="16">
        <f>SUMIF(매도완료!$J:$J,Sheet2!$B2234,매도완료!$P:$P)+SUMIF(ING!$J:$J,Sheet2!$B2234,ING!$P:$P)</f>
        <v>0</v>
      </c>
      <c r="E2234" s="16">
        <f t="shared" si="68"/>
        <v>129357610.38439998</v>
      </c>
      <c r="G2234" s="16">
        <f>IF(D2234=0,0,SUMIF(매도완료!$J:$J,Sheet2!$B2234,매도완료!$S:$S))+IF(D2234=0,0,SUMIF(ING!$J:$J,Sheet2!$B2234,ING!$S:$S))</f>
        <v>0</v>
      </c>
      <c r="H2234" s="16">
        <f t="shared" si="69"/>
        <v>33056648.193808939</v>
      </c>
    </row>
    <row r="2235" spans="2:8" hidden="1" x14ac:dyDescent="0.4">
      <c r="B2235" s="1">
        <v>44784</v>
      </c>
      <c r="C2235" s="16">
        <f>SUMIF(매도완료!$G:$G,Sheet2!$B2235,매도완료!$P:$P)+SUMIF(ING!$G:$G,Sheet2!$B2235,ING!$P:$P)</f>
        <v>0</v>
      </c>
      <c r="D2235" s="16">
        <f>SUMIF(매도완료!$J:$J,Sheet2!$B2235,매도완료!$P:$P)+SUMIF(ING!$J:$J,Sheet2!$B2235,ING!$P:$P)</f>
        <v>0</v>
      </c>
      <c r="E2235" s="16">
        <f t="shared" si="68"/>
        <v>129357610.38439998</v>
      </c>
      <c r="G2235" s="16">
        <f>IF(D2235=0,0,SUMIF(매도완료!$J:$J,Sheet2!$B2235,매도완료!$S:$S))+IF(D2235=0,0,SUMIF(ING!$J:$J,Sheet2!$B2235,ING!$S:$S))</f>
        <v>0</v>
      </c>
      <c r="H2235" s="16">
        <f t="shared" si="69"/>
        <v>33056648.193808939</v>
      </c>
    </row>
    <row r="2236" spans="2:8" hidden="1" x14ac:dyDescent="0.4">
      <c r="B2236" s="1">
        <v>44785</v>
      </c>
      <c r="C2236" s="16">
        <f>SUMIF(매도완료!$G:$G,Sheet2!$B2236,매도완료!$P:$P)+SUMIF(ING!$G:$G,Sheet2!$B2236,ING!$P:$P)</f>
        <v>0</v>
      </c>
      <c r="D2236" s="16">
        <f>SUMIF(매도완료!$J:$J,Sheet2!$B2236,매도완료!$P:$P)+SUMIF(ING!$J:$J,Sheet2!$B2236,ING!$P:$P)</f>
        <v>0</v>
      </c>
      <c r="E2236" s="16">
        <f t="shared" si="68"/>
        <v>129357610.38439998</v>
      </c>
      <c r="G2236" s="16">
        <f>IF(D2236=0,0,SUMIF(매도완료!$J:$J,Sheet2!$B2236,매도완료!$S:$S))+IF(D2236=0,0,SUMIF(ING!$J:$J,Sheet2!$B2236,ING!$S:$S))</f>
        <v>0</v>
      </c>
      <c r="H2236" s="16">
        <f t="shared" si="69"/>
        <v>33056648.193808939</v>
      </c>
    </row>
    <row r="2237" spans="2:8" hidden="1" x14ac:dyDescent="0.4">
      <c r="B2237" s="1">
        <v>44786</v>
      </c>
      <c r="C2237" s="16">
        <f>SUMIF(매도완료!$G:$G,Sheet2!$B2237,매도완료!$P:$P)+SUMIF(ING!$G:$G,Sheet2!$B2237,ING!$P:$P)</f>
        <v>0</v>
      </c>
      <c r="D2237" s="16">
        <f>SUMIF(매도완료!$J:$J,Sheet2!$B2237,매도완료!$P:$P)+SUMIF(ING!$J:$J,Sheet2!$B2237,ING!$P:$P)</f>
        <v>0</v>
      </c>
      <c r="E2237" s="16">
        <f t="shared" si="68"/>
        <v>129357610.38439998</v>
      </c>
      <c r="G2237" s="16">
        <f>IF(D2237=0,0,SUMIF(매도완료!$J:$J,Sheet2!$B2237,매도완료!$S:$S))+IF(D2237=0,0,SUMIF(ING!$J:$J,Sheet2!$B2237,ING!$S:$S))</f>
        <v>0</v>
      </c>
      <c r="H2237" s="16">
        <f t="shared" si="69"/>
        <v>33056648.193808939</v>
      </c>
    </row>
    <row r="2238" spans="2:8" hidden="1" x14ac:dyDescent="0.4">
      <c r="B2238" s="1">
        <v>44787</v>
      </c>
      <c r="C2238" s="16">
        <f>SUMIF(매도완료!$G:$G,Sheet2!$B2238,매도완료!$P:$P)+SUMIF(ING!$G:$G,Sheet2!$B2238,ING!$P:$P)</f>
        <v>0</v>
      </c>
      <c r="D2238" s="16">
        <f>SUMIF(매도완료!$J:$J,Sheet2!$B2238,매도완료!$P:$P)+SUMIF(ING!$J:$J,Sheet2!$B2238,ING!$P:$P)</f>
        <v>0</v>
      </c>
      <c r="E2238" s="16">
        <f t="shared" si="68"/>
        <v>129357610.38439998</v>
      </c>
      <c r="G2238" s="16">
        <f>IF(D2238=0,0,SUMIF(매도완료!$J:$J,Sheet2!$B2238,매도완료!$S:$S))+IF(D2238=0,0,SUMIF(ING!$J:$J,Sheet2!$B2238,ING!$S:$S))</f>
        <v>0</v>
      </c>
      <c r="H2238" s="16">
        <f t="shared" si="69"/>
        <v>33056648.193808939</v>
      </c>
    </row>
    <row r="2239" spans="2:8" hidden="1" x14ac:dyDescent="0.4">
      <c r="B2239" s="1">
        <v>44788</v>
      </c>
      <c r="C2239" s="16">
        <f>SUMIF(매도완료!$G:$G,Sheet2!$B2239,매도완료!$P:$P)+SUMIF(ING!$G:$G,Sheet2!$B2239,ING!$P:$P)</f>
        <v>0</v>
      </c>
      <c r="D2239" s="16">
        <f>SUMIF(매도완료!$J:$J,Sheet2!$B2239,매도완료!$P:$P)+SUMIF(ING!$J:$J,Sheet2!$B2239,ING!$P:$P)</f>
        <v>0</v>
      </c>
      <c r="E2239" s="16">
        <f t="shared" si="68"/>
        <v>129357610.38439998</v>
      </c>
      <c r="G2239" s="16">
        <f>IF(D2239=0,0,SUMIF(매도완료!$J:$J,Sheet2!$B2239,매도완료!$S:$S))+IF(D2239=0,0,SUMIF(ING!$J:$J,Sheet2!$B2239,ING!$S:$S))</f>
        <v>0</v>
      </c>
      <c r="H2239" s="16">
        <f t="shared" si="69"/>
        <v>33056648.193808939</v>
      </c>
    </row>
    <row r="2240" spans="2:8" hidden="1" x14ac:dyDescent="0.4">
      <c r="B2240" s="1">
        <v>44789</v>
      </c>
      <c r="C2240" s="16">
        <f>SUMIF(매도완료!$G:$G,Sheet2!$B2240,매도완료!$P:$P)+SUMIF(ING!$G:$G,Sheet2!$B2240,ING!$P:$P)</f>
        <v>0</v>
      </c>
      <c r="D2240" s="16">
        <f>SUMIF(매도완료!$J:$J,Sheet2!$B2240,매도완료!$P:$P)+SUMIF(ING!$J:$J,Sheet2!$B2240,ING!$P:$P)</f>
        <v>0</v>
      </c>
      <c r="E2240" s="16">
        <f t="shared" si="68"/>
        <v>129357610.38439998</v>
      </c>
      <c r="G2240" s="16">
        <f>IF(D2240=0,0,SUMIF(매도완료!$J:$J,Sheet2!$B2240,매도완료!$S:$S))+IF(D2240=0,0,SUMIF(ING!$J:$J,Sheet2!$B2240,ING!$S:$S))</f>
        <v>0</v>
      </c>
      <c r="H2240" s="16">
        <f t="shared" si="69"/>
        <v>33056648.193808939</v>
      </c>
    </row>
    <row r="2241" spans="2:8" hidden="1" x14ac:dyDescent="0.4">
      <c r="B2241" s="1">
        <v>44790</v>
      </c>
      <c r="C2241" s="16">
        <f>SUMIF(매도완료!$G:$G,Sheet2!$B2241,매도완료!$P:$P)+SUMIF(ING!$G:$G,Sheet2!$B2241,ING!$P:$P)</f>
        <v>0</v>
      </c>
      <c r="D2241" s="16">
        <f>SUMIF(매도완료!$J:$J,Sheet2!$B2241,매도완료!$P:$P)+SUMIF(ING!$J:$J,Sheet2!$B2241,ING!$P:$P)</f>
        <v>0</v>
      </c>
      <c r="E2241" s="16">
        <f t="shared" si="68"/>
        <v>129357610.38439998</v>
      </c>
      <c r="G2241" s="16">
        <f>IF(D2241=0,0,SUMIF(매도완료!$J:$J,Sheet2!$B2241,매도완료!$S:$S))+IF(D2241=0,0,SUMIF(ING!$J:$J,Sheet2!$B2241,ING!$S:$S))</f>
        <v>0</v>
      </c>
      <c r="H2241" s="16">
        <f t="shared" si="69"/>
        <v>33056648.193808939</v>
      </c>
    </row>
    <row r="2242" spans="2:8" hidden="1" x14ac:dyDescent="0.4">
      <c r="B2242" s="1">
        <v>44791</v>
      </c>
      <c r="C2242" s="16">
        <f>SUMIF(매도완료!$G:$G,Sheet2!$B2242,매도완료!$P:$P)+SUMIF(ING!$G:$G,Sheet2!$B2242,ING!$P:$P)</f>
        <v>0</v>
      </c>
      <c r="D2242" s="16">
        <f>SUMIF(매도완료!$J:$J,Sheet2!$B2242,매도완료!$P:$P)+SUMIF(ING!$J:$J,Sheet2!$B2242,ING!$P:$P)</f>
        <v>0</v>
      </c>
      <c r="E2242" s="16">
        <f t="shared" si="68"/>
        <v>129357610.38439998</v>
      </c>
      <c r="G2242" s="16">
        <f>IF(D2242=0,0,SUMIF(매도완료!$J:$J,Sheet2!$B2242,매도완료!$S:$S))+IF(D2242=0,0,SUMIF(ING!$J:$J,Sheet2!$B2242,ING!$S:$S))</f>
        <v>0</v>
      </c>
      <c r="H2242" s="16">
        <f t="shared" si="69"/>
        <v>33056648.193808939</v>
      </c>
    </row>
    <row r="2243" spans="2:8" hidden="1" x14ac:dyDescent="0.4">
      <c r="B2243" s="1">
        <v>44792</v>
      </c>
      <c r="C2243" s="16">
        <f>SUMIF(매도완료!$G:$G,Sheet2!$B2243,매도완료!$P:$P)+SUMIF(ING!$G:$G,Sheet2!$B2243,ING!$P:$P)</f>
        <v>0</v>
      </c>
      <c r="D2243" s="16">
        <f>SUMIF(매도완료!$J:$J,Sheet2!$B2243,매도완료!$P:$P)+SUMIF(ING!$J:$J,Sheet2!$B2243,ING!$P:$P)</f>
        <v>0</v>
      </c>
      <c r="E2243" s="16">
        <f t="shared" si="68"/>
        <v>129357610.38439998</v>
      </c>
      <c r="G2243" s="16">
        <f>IF(D2243=0,0,SUMIF(매도완료!$J:$J,Sheet2!$B2243,매도완료!$S:$S))+IF(D2243=0,0,SUMIF(ING!$J:$J,Sheet2!$B2243,ING!$S:$S))</f>
        <v>0</v>
      </c>
      <c r="H2243" s="16">
        <f t="shared" si="69"/>
        <v>33056648.193808939</v>
      </c>
    </row>
    <row r="2244" spans="2:8" hidden="1" x14ac:dyDescent="0.4">
      <c r="B2244" s="1">
        <v>44793</v>
      </c>
      <c r="C2244" s="16">
        <f>SUMIF(매도완료!$G:$G,Sheet2!$B2244,매도완료!$P:$P)+SUMIF(ING!$G:$G,Sheet2!$B2244,ING!$P:$P)</f>
        <v>0</v>
      </c>
      <c r="D2244" s="16">
        <f>SUMIF(매도완료!$J:$J,Sheet2!$B2244,매도완료!$P:$P)+SUMIF(ING!$J:$J,Sheet2!$B2244,ING!$P:$P)</f>
        <v>0</v>
      </c>
      <c r="E2244" s="16">
        <f t="shared" ref="E2244:E2307" si="70">E2243+C2244-D2244</f>
        <v>129357610.38439998</v>
      </c>
      <c r="G2244" s="16">
        <f>IF(D2244=0,0,SUMIF(매도완료!$J:$J,Sheet2!$B2244,매도완료!$S:$S))+IF(D2244=0,0,SUMIF(ING!$J:$J,Sheet2!$B2244,ING!$S:$S))</f>
        <v>0</v>
      </c>
      <c r="H2244" s="16">
        <f t="shared" ref="H2244:H2307" si="71">H2243+G2244</f>
        <v>33056648.193808939</v>
      </c>
    </row>
    <row r="2245" spans="2:8" hidden="1" x14ac:dyDescent="0.4">
      <c r="B2245" s="1">
        <v>44794</v>
      </c>
      <c r="C2245" s="16">
        <f>SUMIF(매도완료!$G:$G,Sheet2!$B2245,매도완료!$P:$P)+SUMIF(ING!$G:$G,Sheet2!$B2245,ING!$P:$P)</f>
        <v>0</v>
      </c>
      <c r="D2245" s="16">
        <f>SUMIF(매도완료!$J:$J,Sheet2!$B2245,매도완료!$P:$P)+SUMIF(ING!$J:$J,Sheet2!$B2245,ING!$P:$P)</f>
        <v>0</v>
      </c>
      <c r="E2245" s="16">
        <f t="shared" si="70"/>
        <v>129357610.38439998</v>
      </c>
      <c r="G2245" s="16">
        <f>IF(D2245=0,0,SUMIF(매도완료!$J:$J,Sheet2!$B2245,매도완료!$S:$S))+IF(D2245=0,0,SUMIF(ING!$J:$J,Sheet2!$B2245,ING!$S:$S))</f>
        <v>0</v>
      </c>
      <c r="H2245" s="16">
        <f t="shared" si="71"/>
        <v>33056648.193808939</v>
      </c>
    </row>
    <row r="2246" spans="2:8" hidden="1" x14ac:dyDescent="0.4">
      <c r="B2246" s="1">
        <v>44795</v>
      </c>
      <c r="C2246" s="16">
        <f>SUMIF(매도완료!$G:$G,Sheet2!$B2246,매도완료!$P:$P)+SUMIF(ING!$G:$G,Sheet2!$B2246,ING!$P:$P)</f>
        <v>0</v>
      </c>
      <c r="D2246" s="16">
        <f>SUMIF(매도완료!$J:$J,Sheet2!$B2246,매도완료!$P:$P)+SUMIF(ING!$J:$J,Sheet2!$B2246,ING!$P:$P)</f>
        <v>0</v>
      </c>
      <c r="E2246" s="16">
        <f t="shared" si="70"/>
        <v>129357610.38439998</v>
      </c>
      <c r="G2246" s="16">
        <f>IF(D2246=0,0,SUMIF(매도완료!$J:$J,Sheet2!$B2246,매도완료!$S:$S))+IF(D2246=0,0,SUMIF(ING!$J:$J,Sheet2!$B2246,ING!$S:$S))</f>
        <v>0</v>
      </c>
      <c r="H2246" s="16">
        <f t="shared" si="71"/>
        <v>33056648.193808939</v>
      </c>
    </row>
    <row r="2247" spans="2:8" hidden="1" x14ac:dyDescent="0.4">
      <c r="B2247" s="1">
        <v>44796</v>
      </c>
      <c r="C2247" s="16">
        <f>SUMIF(매도완료!$G:$G,Sheet2!$B2247,매도완료!$P:$P)+SUMIF(ING!$G:$G,Sheet2!$B2247,ING!$P:$P)</f>
        <v>0</v>
      </c>
      <c r="D2247" s="16">
        <f>SUMIF(매도완료!$J:$J,Sheet2!$B2247,매도완료!$P:$P)+SUMIF(ING!$J:$J,Sheet2!$B2247,ING!$P:$P)</f>
        <v>0</v>
      </c>
      <c r="E2247" s="16">
        <f t="shared" si="70"/>
        <v>129357610.38439998</v>
      </c>
      <c r="G2247" s="16">
        <f>IF(D2247=0,0,SUMIF(매도완료!$J:$J,Sheet2!$B2247,매도완료!$S:$S))+IF(D2247=0,0,SUMIF(ING!$J:$J,Sheet2!$B2247,ING!$S:$S))</f>
        <v>0</v>
      </c>
      <c r="H2247" s="16">
        <f t="shared" si="71"/>
        <v>33056648.193808939</v>
      </c>
    </row>
    <row r="2248" spans="2:8" hidden="1" x14ac:dyDescent="0.4">
      <c r="B2248" s="1">
        <v>44797</v>
      </c>
      <c r="C2248" s="16">
        <f>SUMIF(매도완료!$G:$G,Sheet2!$B2248,매도완료!$P:$P)+SUMIF(ING!$G:$G,Sheet2!$B2248,ING!$P:$P)</f>
        <v>0</v>
      </c>
      <c r="D2248" s="16">
        <f>SUMIF(매도완료!$J:$J,Sheet2!$B2248,매도완료!$P:$P)+SUMIF(ING!$J:$J,Sheet2!$B2248,ING!$P:$P)</f>
        <v>0</v>
      </c>
      <c r="E2248" s="16">
        <f t="shared" si="70"/>
        <v>129357610.38439998</v>
      </c>
      <c r="G2248" s="16">
        <f>IF(D2248=0,0,SUMIF(매도완료!$J:$J,Sheet2!$B2248,매도완료!$S:$S))+IF(D2248=0,0,SUMIF(ING!$J:$J,Sheet2!$B2248,ING!$S:$S))</f>
        <v>0</v>
      </c>
      <c r="H2248" s="16">
        <f t="shared" si="71"/>
        <v>33056648.193808939</v>
      </c>
    </row>
    <row r="2249" spans="2:8" hidden="1" x14ac:dyDescent="0.4">
      <c r="B2249" s="1">
        <v>44798</v>
      </c>
      <c r="C2249" s="16">
        <f>SUMIF(매도완료!$G:$G,Sheet2!$B2249,매도완료!$P:$P)+SUMIF(ING!$G:$G,Sheet2!$B2249,ING!$P:$P)</f>
        <v>0</v>
      </c>
      <c r="D2249" s="16">
        <f>SUMIF(매도완료!$J:$J,Sheet2!$B2249,매도완료!$P:$P)+SUMIF(ING!$J:$J,Sheet2!$B2249,ING!$P:$P)</f>
        <v>0</v>
      </c>
      <c r="E2249" s="16">
        <f t="shared" si="70"/>
        <v>129357610.38439998</v>
      </c>
      <c r="G2249" s="16">
        <f>IF(D2249=0,0,SUMIF(매도완료!$J:$J,Sheet2!$B2249,매도완료!$S:$S))+IF(D2249=0,0,SUMIF(ING!$J:$J,Sheet2!$B2249,ING!$S:$S))</f>
        <v>0</v>
      </c>
      <c r="H2249" s="16">
        <f t="shared" si="71"/>
        <v>33056648.193808939</v>
      </c>
    </row>
    <row r="2250" spans="2:8" hidden="1" x14ac:dyDescent="0.4">
      <c r="B2250" s="1">
        <v>44799</v>
      </c>
      <c r="C2250" s="16">
        <f>SUMIF(매도완료!$G:$G,Sheet2!$B2250,매도완료!$P:$P)+SUMIF(ING!$G:$G,Sheet2!$B2250,ING!$P:$P)</f>
        <v>0</v>
      </c>
      <c r="D2250" s="16">
        <f>SUMIF(매도완료!$J:$J,Sheet2!$B2250,매도완료!$P:$P)+SUMIF(ING!$J:$J,Sheet2!$B2250,ING!$P:$P)</f>
        <v>0</v>
      </c>
      <c r="E2250" s="16">
        <f t="shared" si="70"/>
        <v>129357610.38439998</v>
      </c>
      <c r="G2250" s="16">
        <f>IF(D2250=0,0,SUMIF(매도완료!$J:$J,Sheet2!$B2250,매도완료!$S:$S))+IF(D2250=0,0,SUMIF(ING!$J:$J,Sheet2!$B2250,ING!$S:$S))</f>
        <v>0</v>
      </c>
      <c r="H2250" s="16">
        <f t="shared" si="71"/>
        <v>33056648.193808939</v>
      </c>
    </row>
    <row r="2251" spans="2:8" hidden="1" x14ac:dyDescent="0.4">
      <c r="B2251" s="1">
        <v>44800</v>
      </c>
      <c r="C2251" s="16">
        <f>SUMIF(매도완료!$G:$G,Sheet2!$B2251,매도완료!$P:$P)+SUMIF(ING!$G:$G,Sheet2!$B2251,ING!$P:$P)</f>
        <v>0</v>
      </c>
      <c r="D2251" s="16">
        <f>SUMIF(매도완료!$J:$J,Sheet2!$B2251,매도완료!$P:$P)+SUMIF(ING!$J:$J,Sheet2!$B2251,ING!$P:$P)</f>
        <v>0</v>
      </c>
      <c r="E2251" s="16">
        <f t="shared" si="70"/>
        <v>129357610.38439998</v>
      </c>
      <c r="G2251" s="16">
        <f>IF(D2251=0,0,SUMIF(매도완료!$J:$J,Sheet2!$B2251,매도완료!$S:$S))+IF(D2251=0,0,SUMIF(ING!$J:$J,Sheet2!$B2251,ING!$S:$S))</f>
        <v>0</v>
      </c>
      <c r="H2251" s="16">
        <f t="shared" si="71"/>
        <v>33056648.193808939</v>
      </c>
    </row>
    <row r="2252" spans="2:8" hidden="1" x14ac:dyDescent="0.4">
      <c r="B2252" s="1">
        <v>44801</v>
      </c>
      <c r="C2252" s="16">
        <f>SUMIF(매도완료!$G:$G,Sheet2!$B2252,매도완료!$P:$P)+SUMIF(ING!$G:$G,Sheet2!$B2252,ING!$P:$P)</f>
        <v>0</v>
      </c>
      <c r="D2252" s="16">
        <f>SUMIF(매도완료!$J:$J,Sheet2!$B2252,매도완료!$P:$P)+SUMIF(ING!$J:$J,Sheet2!$B2252,ING!$P:$P)</f>
        <v>0</v>
      </c>
      <c r="E2252" s="16">
        <f t="shared" si="70"/>
        <v>129357610.38439998</v>
      </c>
      <c r="G2252" s="16">
        <f>IF(D2252=0,0,SUMIF(매도완료!$J:$J,Sheet2!$B2252,매도완료!$S:$S))+IF(D2252=0,0,SUMIF(ING!$J:$J,Sheet2!$B2252,ING!$S:$S))</f>
        <v>0</v>
      </c>
      <c r="H2252" s="16">
        <f t="shared" si="71"/>
        <v>33056648.193808939</v>
      </c>
    </row>
    <row r="2253" spans="2:8" hidden="1" x14ac:dyDescent="0.4">
      <c r="B2253" s="1">
        <v>44802</v>
      </c>
      <c r="C2253" s="16">
        <f>SUMIF(매도완료!$G:$G,Sheet2!$B2253,매도완료!$P:$P)+SUMIF(ING!$G:$G,Sheet2!$B2253,ING!$P:$P)</f>
        <v>0</v>
      </c>
      <c r="D2253" s="16">
        <f>SUMIF(매도완료!$J:$J,Sheet2!$B2253,매도완료!$P:$P)+SUMIF(ING!$J:$J,Sheet2!$B2253,ING!$P:$P)</f>
        <v>0</v>
      </c>
      <c r="E2253" s="16">
        <f t="shared" si="70"/>
        <v>129357610.38439998</v>
      </c>
      <c r="G2253" s="16">
        <f>IF(D2253=0,0,SUMIF(매도완료!$J:$J,Sheet2!$B2253,매도완료!$S:$S))+IF(D2253=0,0,SUMIF(ING!$J:$J,Sheet2!$B2253,ING!$S:$S))</f>
        <v>0</v>
      </c>
      <c r="H2253" s="16">
        <f t="shared" si="71"/>
        <v>33056648.193808939</v>
      </c>
    </row>
    <row r="2254" spans="2:8" hidden="1" x14ac:dyDescent="0.4">
      <c r="B2254" s="1">
        <v>44803</v>
      </c>
      <c r="C2254" s="16">
        <f>SUMIF(매도완료!$G:$G,Sheet2!$B2254,매도완료!$P:$P)+SUMIF(ING!$G:$G,Sheet2!$B2254,ING!$P:$P)</f>
        <v>0</v>
      </c>
      <c r="D2254" s="16">
        <f>SUMIF(매도완료!$J:$J,Sheet2!$B2254,매도완료!$P:$P)+SUMIF(ING!$J:$J,Sheet2!$B2254,ING!$P:$P)</f>
        <v>0</v>
      </c>
      <c r="E2254" s="16">
        <f t="shared" si="70"/>
        <v>129357610.38439998</v>
      </c>
      <c r="G2254" s="16">
        <f>IF(D2254=0,0,SUMIF(매도완료!$J:$J,Sheet2!$B2254,매도완료!$S:$S))+IF(D2254=0,0,SUMIF(ING!$J:$J,Sheet2!$B2254,ING!$S:$S))</f>
        <v>0</v>
      </c>
      <c r="H2254" s="16">
        <f t="shared" si="71"/>
        <v>33056648.193808939</v>
      </c>
    </row>
    <row r="2255" spans="2:8" hidden="1" x14ac:dyDescent="0.4">
      <c r="B2255" s="1">
        <v>44804</v>
      </c>
      <c r="C2255" s="16">
        <f>SUMIF(매도완료!$G:$G,Sheet2!$B2255,매도완료!$P:$P)+SUMIF(ING!$G:$G,Sheet2!$B2255,ING!$P:$P)</f>
        <v>0</v>
      </c>
      <c r="D2255" s="16">
        <f>SUMIF(매도완료!$J:$J,Sheet2!$B2255,매도완료!$P:$P)+SUMIF(ING!$J:$J,Sheet2!$B2255,ING!$P:$P)</f>
        <v>0</v>
      </c>
      <c r="E2255" s="16">
        <f t="shared" si="70"/>
        <v>129357610.38439998</v>
      </c>
      <c r="G2255" s="16">
        <f>IF(D2255=0,0,SUMIF(매도완료!$J:$J,Sheet2!$B2255,매도완료!$S:$S))+IF(D2255=0,0,SUMIF(ING!$J:$J,Sheet2!$B2255,ING!$S:$S))</f>
        <v>0</v>
      </c>
      <c r="H2255" s="16">
        <f t="shared" si="71"/>
        <v>33056648.193808939</v>
      </c>
    </row>
    <row r="2256" spans="2:8" hidden="1" x14ac:dyDescent="0.4">
      <c r="B2256" s="1">
        <v>44805</v>
      </c>
      <c r="C2256" s="16">
        <f>SUMIF(매도완료!$G:$G,Sheet2!$B2256,매도완료!$P:$P)+SUMIF(ING!$G:$G,Sheet2!$B2256,ING!$P:$P)</f>
        <v>0</v>
      </c>
      <c r="D2256" s="16">
        <f>SUMIF(매도완료!$J:$J,Sheet2!$B2256,매도완료!$P:$P)+SUMIF(ING!$J:$J,Sheet2!$B2256,ING!$P:$P)</f>
        <v>0</v>
      </c>
      <c r="E2256" s="16">
        <f t="shared" si="70"/>
        <v>129357610.38439998</v>
      </c>
      <c r="G2256" s="16">
        <f>IF(D2256=0,0,SUMIF(매도완료!$J:$J,Sheet2!$B2256,매도완료!$S:$S))+IF(D2256=0,0,SUMIF(ING!$J:$J,Sheet2!$B2256,ING!$S:$S))</f>
        <v>0</v>
      </c>
      <c r="H2256" s="16">
        <f t="shared" si="71"/>
        <v>33056648.193808939</v>
      </c>
    </row>
    <row r="2257" spans="2:8" hidden="1" x14ac:dyDescent="0.4">
      <c r="B2257" s="1">
        <v>44806</v>
      </c>
      <c r="C2257" s="16">
        <f>SUMIF(매도완료!$G:$G,Sheet2!$B2257,매도완료!$P:$P)+SUMIF(ING!$G:$G,Sheet2!$B2257,ING!$P:$P)</f>
        <v>0</v>
      </c>
      <c r="D2257" s="16">
        <f>SUMIF(매도완료!$J:$J,Sheet2!$B2257,매도완료!$P:$P)+SUMIF(ING!$J:$J,Sheet2!$B2257,ING!$P:$P)</f>
        <v>0</v>
      </c>
      <c r="E2257" s="16">
        <f t="shared" si="70"/>
        <v>129357610.38439998</v>
      </c>
      <c r="G2257" s="16">
        <f>IF(D2257=0,0,SUMIF(매도완료!$J:$J,Sheet2!$B2257,매도완료!$S:$S))+IF(D2257=0,0,SUMIF(ING!$J:$J,Sheet2!$B2257,ING!$S:$S))</f>
        <v>0</v>
      </c>
      <c r="H2257" s="16">
        <f t="shared" si="71"/>
        <v>33056648.193808939</v>
      </c>
    </row>
    <row r="2258" spans="2:8" hidden="1" x14ac:dyDescent="0.4">
      <c r="B2258" s="1">
        <v>44807</v>
      </c>
      <c r="C2258" s="16">
        <f>SUMIF(매도완료!$G:$G,Sheet2!$B2258,매도완료!$P:$P)+SUMIF(ING!$G:$G,Sheet2!$B2258,ING!$P:$P)</f>
        <v>0</v>
      </c>
      <c r="D2258" s="16">
        <f>SUMIF(매도완료!$J:$J,Sheet2!$B2258,매도완료!$P:$P)+SUMIF(ING!$J:$J,Sheet2!$B2258,ING!$P:$P)</f>
        <v>0</v>
      </c>
      <c r="E2258" s="16">
        <f t="shared" si="70"/>
        <v>129357610.38439998</v>
      </c>
      <c r="G2258" s="16">
        <f>IF(D2258=0,0,SUMIF(매도완료!$J:$J,Sheet2!$B2258,매도완료!$S:$S))+IF(D2258=0,0,SUMIF(ING!$J:$J,Sheet2!$B2258,ING!$S:$S))</f>
        <v>0</v>
      </c>
      <c r="H2258" s="16">
        <f t="shared" si="71"/>
        <v>33056648.193808939</v>
      </c>
    </row>
    <row r="2259" spans="2:8" hidden="1" x14ac:dyDescent="0.4">
      <c r="B2259" s="1">
        <v>44808</v>
      </c>
      <c r="C2259" s="16">
        <f>SUMIF(매도완료!$G:$G,Sheet2!$B2259,매도완료!$P:$P)+SUMIF(ING!$G:$G,Sheet2!$B2259,ING!$P:$P)</f>
        <v>0</v>
      </c>
      <c r="D2259" s="16">
        <f>SUMIF(매도완료!$J:$J,Sheet2!$B2259,매도완료!$P:$P)+SUMIF(ING!$J:$J,Sheet2!$B2259,ING!$P:$P)</f>
        <v>0</v>
      </c>
      <c r="E2259" s="16">
        <f t="shared" si="70"/>
        <v>129357610.38439998</v>
      </c>
      <c r="G2259" s="16">
        <f>IF(D2259=0,0,SUMIF(매도완료!$J:$J,Sheet2!$B2259,매도완료!$S:$S))+IF(D2259=0,0,SUMIF(ING!$J:$J,Sheet2!$B2259,ING!$S:$S))</f>
        <v>0</v>
      </c>
      <c r="H2259" s="16">
        <f t="shared" si="71"/>
        <v>33056648.193808939</v>
      </c>
    </row>
    <row r="2260" spans="2:8" hidden="1" x14ac:dyDescent="0.4">
      <c r="B2260" s="1">
        <v>44809</v>
      </c>
      <c r="C2260" s="16">
        <f>SUMIF(매도완료!$G:$G,Sheet2!$B2260,매도완료!$P:$P)+SUMIF(ING!$G:$G,Sheet2!$B2260,ING!$P:$P)</f>
        <v>0</v>
      </c>
      <c r="D2260" s="16">
        <f>SUMIF(매도완료!$J:$J,Sheet2!$B2260,매도완료!$P:$P)+SUMIF(ING!$J:$J,Sheet2!$B2260,ING!$P:$P)</f>
        <v>0</v>
      </c>
      <c r="E2260" s="16">
        <f t="shared" si="70"/>
        <v>129357610.38439998</v>
      </c>
      <c r="G2260" s="16">
        <f>IF(D2260=0,0,SUMIF(매도완료!$J:$J,Sheet2!$B2260,매도완료!$S:$S))+IF(D2260=0,0,SUMIF(ING!$J:$J,Sheet2!$B2260,ING!$S:$S))</f>
        <v>0</v>
      </c>
      <c r="H2260" s="16">
        <f t="shared" si="71"/>
        <v>33056648.193808939</v>
      </c>
    </row>
    <row r="2261" spans="2:8" hidden="1" x14ac:dyDescent="0.4">
      <c r="B2261" s="1">
        <v>44810</v>
      </c>
      <c r="C2261" s="16">
        <f>SUMIF(매도완료!$G:$G,Sheet2!$B2261,매도완료!$P:$P)+SUMIF(ING!$G:$G,Sheet2!$B2261,ING!$P:$P)</f>
        <v>0</v>
      </c>
      <c r="D2261" s="16">
        <f>SUMIF(매도완료!$J:$J,Sheet2!$B2261,매도완료!$P:$P)+SUMIF(ING!$J:$J,Sheet2!$B2261,ING!$P:$P)</f>
        <v>0</v>
      </c>
      <c r="E2261" s="16">
        <f t="shared" si="70"/>
        <v>129357610.38439998</v>
      </c>
      <c r="G2261" s="16">
        <f>IF(D2261=0,0,SUMIF(매도완료!$J:$J,Sheet2!$B2261,매도완료!$S:$S))+IF(D2261=0,0,SUMIF(ING!$J:$J,Sheet2!$B2261,ING!$S:$S))</f>
        <v>0</v>
      </c>
      <c r="H2261" s="16">
        <f t="shared" si="71"/>
        <v>33056648.193808939</v>
      </c>
    </row>
    <row r="2262" spans="2:8" hidden="1" x14ac:dyDescent="0.4">
      <c r="B2262" s="1">
        <v>44811</v>
      </c>
      <c r="C2262" s="16">
        <f>SUMIF(매도완료!$G:$G,Sheet2!$B2262,매도완료!$P:$P)+SUMIF(ING!$G:$G,Sheet2!$B2262,ING!$P:$P)</f>
        <v>0</v>
      </c>
      <c r="D2262" s="16">
        <f>SUMIF(매도완료!$J:$J,Sheet2!$B2262,매도완료!$P:$P)+SUMIF(ING!$J:$J,Sheet2!$B2262,ING!$P:$P)</f>
        <v>0</v>
      </c>
      <c r="E2262" s="16">
        <f t="shared" si="70"/>
        <v>129357610.38439998</v>
      </c>
      <c r="G2262" s="16">
        <f>IF(D2262=0,0,SUMIF(매도완료!$J:$J,Sheet2!$B2262,매도완료!$S:$S))+IF(D2262=0,0,SUMIF(ING!$J:$J,Sheet2!$B2262,ING!$S:$S))</f>
        <v>0</v>
      </c>
      <c r="H2262" s="16">
        <f t="shared" si="71"/>
        <v>33056648.193808939</v>
      </c>
    </row>
    <row r="2263" spans="2:8" hidden="1" x14ac:dyDescent="0.4">
      <c r="B2263" s="1">
        <v>44812</v>
      </c>
      <c r="C2263" s="16">
        <f>SUMIF(매도완료!$G:$G,Sheet2!$B2263,매도완료!$P:$P)+SUMIF(ING!$G:$G,Sheet2!$B2263,ING!$P:$P)</f>
        <v>0</v>
      </c>
      <c r="D2263" s="16">
        <f>SUMIF(매도완료!$J:$J,Sheet2!$B2263,매도완료!$P:$P)+SUMIF(ING!$J:$J,Sheet2!$B2263,ING!$P:$P)</f>
        <v>0</v>
      </c>
      <c r="E2263" s="16">
        <f t="shared" si="70"/>
        <v>129357610.38439998</v>
      </c>
      <c r="G2263" s="16">
        <f>IF(D2263=0,0,SUMIF(매도완료!$J:$J,Sheet2!$B2263,매도완료!$S:$S))+IF(D2263=0,0,SUMIF(ING!$J:$J,Sheet2!$B2263,ING!$S:$S))</f>
        <v>0</v>
      </c>
      <c r="H2263" s="16">
        <f t="shared" si="71"/>
        <v>33056648.193808939</v>
      </c>
    </row>
    <row r="2264" spans="2:8" hidden="1" x14ac:dyDescent="0.4">
      <c r="B2264" s="1">
        <v>44813</v>
      </c>
      <c r="C2264" s="16">
        <f>SUMIF(매도완료!$G:$G,Sheet2!$B2264,매도완료!$P:$P)+SUMIF(ING!$G:$G,Sheet2!$B2264,ING!$P:$P)</f>
        <v>0</v>
      </c>
      <c r="D2264" s="16">
        <f>SUMIF(매도완료!$J:$J,Sheet2!$B2264,매도완료!$P:$P)+SUMIF(ING!$J:$J,Sheet2!$B2264,ING!$P:$P)</f>
        <v>0</v>
      </c>
      <c r="E2264" s="16">
        <f t="shared" si="70"/>
        <v>129357610.38439998</v>
      </c>
      <c r="G2264" s="16">
        <f>IF(D2264=0,0,SUMIF(매도완료!$J:$J,Sheet2!$B2264,매도완료!$S:$S))+IF(D2264=0,0,SUMIF(ING!$J:$J,Sheet2!$B2264,ING!$S:$S))</f>
        <v>0</v>
      </c>
      <c r="H2264" s="16">
        <f t="shared" si="71"/>
        <v>33056648.193808939</v>
      </c>
    </row>
    <row r="2265" spans="2:8" hidden="1" x14ac:dyDescent="0.4">
      <c r="B2265" s="1">
        <v>44814</v>
      </c>
      <c r="C2265" s="16">
        <f>SUMIF(매도완료!$G:$G,Sheet2!$B2265,매도완료!$P:$P)+SUMIF(ING!$G:$G,Sheet2!$B2265,ING!$P:$P)</f>
        <v>0</v>
      </c>
      <c r="D2265" s="16">
        <f>SUMIF(매도완료!$J:$J,Sheet2!$B2265,매도완료!$P:$P)+SUMIF(ING!$J:$J,Sheet2!$B2265,ING!$P:$P)</f>
        <v>0</v>
      </c>
      <c r="E2265" s="16">
        <f t="shared" si="70"/>
        <v>129357610.38439998</v>
      </c>
      <c r="G2265" s="16">
        <f>IF(D2265=0,0,SUMIF(매도완료!$J:$J,Sheet2!$B2265,매도완료!$S:$S))+IF(D2265=0,0,SUMIF(ING!$J:$J,Sheet2!$B2265,ING!$S:$S))</f>
        <v>0</v>
      </c>
      <c r="H2265" s="16">
        <f t="shared" si="71"/>
        <v>33056648.193808939</v>
      </c>
    </row>
    <row r="2266" spans="2:8" hidden="1" x14ac:dyDescent="0.4">
      <c r="B2266" s="1">
        <v>44815</v>
      </c>
      <c r="C2266" s="16">
        <f>SUMIF(매도완료!$G:$G,Sheet2!$B2266,매도완료!$P:$P)+SUMIF(ING!$G:$G,Sheet2!$B2266,ING!$P:$P)</f>
        <v>0</v>
      </c>
      <c r="D2266" s="16">
        <f>SUMIF(매도완료!$J:$J,Sheet2!$B2266,매도완료!$P:$P)+SUMIF(ING!$J:$J,Sheet2!$B2266,ING!$P:$P)</f>
        <v>0</v>
      </c>
      <c r="E2266" s="16">
        <f t="shared" si="70"/>
        <v>129357610.38439998</v>
      </c>
      <c r="G2266" s="16">
        <f>IF(D2266=0,0,SUMIF(매도완료!$J:$J,Sheet2!$B2266,매도완료!$S:$S))+IF(D2266=0,0,SUMIF(ING!$J:$J,Sheet2!$B2266,ING!$S:$S))</f>
        <v>0</v>
      </c>
      <c r="H2266" s="16">
        <f t="shared" si="71"/>
        <v>33056648.193808939</v>
      </c>
    </row>
    <row r="2267" spans="2:8" hidden="1" x14ac:dyDescent="0.4">
      <c r="B2267" s="1">
        <v>44816</v>
      </c>
      <c r="C2267" s="16">
        <f>SUMIF(매도완료!$G:$G,Sheet2!$B2267,매도완료!$P:$P)+SUMIF(ING!$G:$G,Sheet2!$B2267,ING!$P:$P)</f>
        <v>0</v>
      </c>
      <c r="D2267" s="16">
        <f>SUMIF(매도완료!$J:$J,Sheet2!$B2267,매도완료!$P:$P)+SUMIF(ING!$J:$J,Sheet2!$B2267,ING!$P:$P)</f>
        <v>0</v>
      </c>
      <c r="E2267" s="16">
        <f t="shared" si="70"/>
        <v>129357610.38439998</v>
      </c>
      <c r="G2267" s="16">
        <f>IF(D2267=0,0,SUMIF(매도완료!$J:$J,Sheet2!$B2267,매도완료!$S:$S))+IF(D2267=0,0,SUMIF(ING!$J:$J,Sheet2!$B2267,ING!$S:$S))</f>
        <v>0</v>
      </c>
      <c r="H2267" s="16">
        <f t="shared" si="71"/>
        <v>33056648.193808939</v>
      </c>
    </row>
    <row r="2268" spans="2:8" hidden="1" x14ac:dyDescent="0.4">
      <c r="B2268" s="1">
        <v>44817</v>
      </c>
      <c r="C2268" s="16">
        <f>SUMIF(매도완료!$G:$G,Sheet2!$B2268,매도완료!$P:$P)+SUMIF(ING!$G:$G,Sheet2!$B2268,ING!$P:$P)</f>
        <v>0</v>
      </c>
      <c r="D2268" s="16">
        <f>SUMIF(매도완료!$J:$J,Sheet2!$B2268,매도완료!$P:$P)+SUMIF(ING!$J:$J,Sheet2!$B2268,ING!$P:$P)</f>
        <v>0</v>
      </c>
      <c r="E2268" s="16">
        <f t="shared" si="70"/>
        <v>129357610.38439998</v>
      </c>
      <c r="G2268" s="16">
        <f>IF(D2268=0,0,SUMIF(매도완료!$J:$J,Sheet2!$B2268,매도완료!$S:$S))+IF(D2268=0,0,SUMIF(ING!$J:$J,Sheet2!$B2268,ING!$S:$S))</f>
        <v>0</v>
      </c>
      <c r="H2268" s="16">
        <f t="shared" si="71"/>
        <v>33056648.193808939</v>
      </c>
    </row>
    <row r="2269" spans="2:8" hidden="1" x14ac:dyDescent="0.4">
      <c r="B2269" s="1">
        <v>44818</v>
      </c>
      <c r="C2269" s="16">
        <f>SUMIF(매도완료!$G:$G,Sheet2!$B2269,매도완료!$P:$P)+SUMIF(ING!$G:$G,Sheet2!$B2269,ING!$P:$P)</f>
        <v>0</v>
      </c>
      <c r="D2269" s="16">
        <f>SUMIF(매도완료!$J:$J,Sheet2!$B2269,매도완료!$P:$P)+SUMIF(ING!$J:$J,Sheet2!$B2269,ING!$P:$P)</f>
        <v>0</v>
      </c>
      <c r="E2269" s="16">
        <f t="shared" si="70"/>
        <v>129357610.38439998</v>
      </c>
      <c r="G2269" s="16">
        <f>IF(D2269=0,0,SUMIF(매도완료!$J:$J,Sheet2!$B2269,매도완료!$S:$S))+IF(D2269=0,0,SUMIF(ING!$J:$J,Sheet2!$B2269,ING!$S:$S))</f>
        <v>0</v>
      </c>
      <c r="H2269" s="16">
        <f t="shared" si="71"/>
        <v>33056648.193808939</v>
      </c>
    </row>
    <row r="2270" spans="2:8" hidden="1" x14ac:dyDescent="0.4">
      <c r="B2270" s="1">
        <v>44819</v>
      </c>
      <c r="C2270" s="16">
        <f>SUMIF(매도완료!$G:$G,Sheet2!$B2270,매도완료!$P:$P)+SUMIF(ING!$G:$G,Sheet2!$B2270,ING!$P:$P)</f>
        <v>0</v>
      </c>
      <c r="D2270" s="16">
        <f>SUMIF(매도완료!$J:$J,Sheet2!$B2270,매도완료!$P:$P)+SUMIF(ING!$J:$J,Sheet2!$B2270,ING!$P:$P)</f>
        <v>0</v>
      </c>
      <c r="E2270" s="16">
        <f t="shared" si="70"/>
        <v>129357610.38439998</v>
      </c>
      <c r="G2270" s="16">
        <f>IF(D2270=0,0,SUMIF(매도완료!$J:$J,Sheet2!$B2270,매도완료!$S:$S))+IF(D2270=0,0,SUMIF(ING!$J:$J,Sheet2!$B2270,ING!$S:$S))</f>
        <v>0</v>
      </c>
      <c r="H2270" s="16">
        <f t="shared" si="71"/>
        <v>33056648.193808939</v>
      </c>
    </row>
    <row r="2271" spans="2:8" hidden="1" x14ac:dyDescent="0.4">
      <c r="B2271" s="1">
        <v>44820</v>
      </c>
      <c r="C2271" s="16">
        <f>SUMIF(매도완료!$G:$G,Sheet2!$B2271,매도완료!$P:$P)+SUMIF(ING!$G:$G,Sheet2!$B2271,ING!$P:$P)</f>
        <v>0</v>
      </c>
      <c r="D2271" s="16">
        <f>SUMIF(매도완료!$J:$J,Sheet2!$B2271,매도완료!$P:$P)+SUMIF(ING!$J:$J,Sheet2!$B2271,ING!$P:$P)</f>
        <v>0</v>
      </c>
      <c r="E2271" s="16">
        <f t="shared" si="70"/>
        <v>129357610.38439998</v>
      </c>
      <c r="G2271" s="16">
        <f>IF(D2271=0,0,SUMIF(매도완료!$J:$J,Sheet2!$B2271,매도완료!$S:$S))+IF(D2271=0,0,SUMIF(ING!$J:$J,Sheet2!$B2271,ING!$S:$S))</f>
        <v>0</v>
      </c>
      <c r="H2271" s="16">
        <f t="shared" si="71"/>
        <v>33056648.193808939</v>
      </c>
    </row>
    <row r="2272" spans="2:8" hidden="1" x14ac:dyDescent="0.4">
      <c r="B2272" s="1">
        <v>44821</v>
      </c>
      <c r="C2272" s="16">
        <f>SUMIF(매도완료!$G:$G,Sheet2!$B2272,매도완료!$P:$P)+SUMIF(ING!$G:$G,Sheet2!$B2272,ING!$P:$P)</f>
        <v>0</v>
      </c>
      <c r="D2272" s="16">
        <f>SUMIF(매도완료!$J:$J,Sheet2!$B2272,매도완료!$P:$P)+SUMIF(ING!$J:$J,Sheet2!$B2272,ING!$P:$P)</f>
        <v>0</v>
      </c>
      <c r="E2272" s="16">
        <f t="shared" si="70"/>
        <v>129357610.38439998</v>
      </c>
      <c r="G2272" s="16">
        <f>IF(D2272=0,0,SUMIF(매도완료!$J:$J,Sheet2!$B2272,매도완료!$S:$S))+IF(D2272=0,0,SUMIF(ING!$J:$J,Sheet2!$B2272,ING!$S:$S))</f>
        <v>0</v>
      </c>
      <c r="H2272" s="16">
        <f t="shared" si="71"/>
        <v>33056648.193808939</v>
      </c>
    </row>
    <row r="2273" spans="2:8" hidden="1" x14ac:dyDescent="0.4">
      <c r="B2273" s="1">
        <v>44822</v>
      </c>
      <c r="C2273" s="16">
        <f>SUMIF(매도완료!$G:$G,Sheet2!$B2273,매도완료!$P:$P)+SUMIF(ING!$G:$G,Sheet2!$B2273,ING!$P:$P)</f>
        <v>0</v>
      </c>
      <c r="D2273" s="16">
        <f>SUMIF(매도완료!$J:$J,Sheet2!$B2273,매도완료!$P:$P)+SUMIF(ING!$J:$J,Sheet2!$B2273,ING!$P:$P)</f>
        <v>0</v>
      </c>
      <c r="E2273" s="16">
        <f t="shared" si="70"/>
        <v>129357610.38439998</v>
      </c>
      <c r="G2273" s="16">
        <f>IF(D2273=0,0,SUMIF(매도완료!$J:$J,Sheet2!$B2273,매도완료!$S:$S))+IF(D2273=0,0,SUMIF(ING!$J:$J,Sheet2!$B2273,ING!$S:$S))</f>
        <v>0</v>
      </c>
      <c r="H2273" s="16">
        <f t="shared" si="71"/>
        <v>33056648.193808939</v>
      </c>
    </row>
    <row r="2274" spans="2:8" hidden="1" x14ac:dyDescent="0.4">
      <c r="B2274" s="1">
        <v>44823</v>
      </c>
      <c r="C2274" s="16">
        <f>SUMIF(매도완료!$G:$G,Sheet2!$B2274,매도완료!$P:$P)+SUMIF(ING!$G:$G,Sheet2!$B2274,ING!$P:$P)</f>
        <v>0</v>
      </c>
      <c r="D2274" s="16">
        <f>SUMIF(매도완료!$J:$J,Sheet2!$B2274,매도완료!$P:$P)+SUMIF(ING!$J:$J,Sheet2!$B2274,ING!$P:$P)</f>
        <v>0</v>
      </c>
      <c r="E2274" s="16">
        <f t="shared" si="70"/>
        <v>129357610.38439998</v>
      </c>
      <c r="G2274" s="16">
        <f>IF(D2274=0,0,SUMIF(매도완료!$J:$J,Sheet2!$B2274,매도완료!$S:$S))+IF(D2274=0,0,SUMIF(ING!$J:$J,Sheet2!$B2274,ING!$S:$S))</f>
        <v>0</v>
      </c>
      <c r="H2274" s="16">
        <f t="shared" si="71"/>
        <v>33056648.193808939</v>
      </c>
    </row>
    <row r="2275" spans="2:8" hidden="1" x14ac:dyDescent="0.4">
      <c r="B2275" s="1">
        <v>44824</v>
      </c>
      <c r="C2275" s="16">
        <f>SUMIF(매도완료!$G:$G,Sheet2!$B2275,매도완료!$P:$P)+SUMIF(ING!$G:$G,Sheet2!$B2275,ING!$P:$P)</f>
        <v>0</v>
      </c>
      <c r="D2275" s="16">
        <f>SUMIF(매도완료!$J:$J,Sheet2!$B2275,매도완료!$P:$P)+SUMIF(ING!$J:$J,Sheet2!$B2275,ING!$P:$P)</f>
        <v>992610.00000000012</v>
      </c>
      <c r="E2275" s="16">
        <f t="shared" si="70"/>
        <v>128365000.38439998</v>
      </c>
      <c r="G2275" s="16">
        <f>IF(D2275=0,0,SUMIF(매도완료!$J:$J,Sheet2!$B2275,매도완료!$S:$S))+IF(D2275=0,0,SUMIF(ING!$J:$J,Sheet2!$B2275,ING!$S:$S))</f>
        <v>40961.705999999976</v>
      </c>
      <c r="H2275" s="16">
        <f t="shared" si="71"/>
        <v>33097609.89980894</v>
      </c>
    </row>
    <row r="2276" spans="2:8" hidden="1" x14ac:dyDescent="0.4">
      <c r="B2276" s="1">
        <v>44825</v>
      </c>
      <c r="C2276" s="16">
        <f>SUMIF(매도완료!$G:$G,Sheet2!$B2276,매도완료!$P:$P)+SUMIF(ING!$G:$G,Sheet2!$B2276,ING!$P:$P)</f>
        <v>0</v>
      </c>
      <c r="D2276" s="16">
        <f>SUMIF(매도완료!$J:$J,Sheet2!$B2276,매도완료!$P:$P)+SUMIF(ING!$J:$J,Sheet2!$B2276,ING!$P:$P)</f>
        <v>0</v>
      </c>
      <c r="E2276" s="16">
        <f t="shared" si="70"/>
        <v>128365000.38439998</v>
      </c>
      <c r="G2276" s="16">
        <f>IF(D2276=0,0,SUMIF(매도완료!$J:$J,Sheet2!$B2276,매도완료!$S:$S))+IF(D2276=0,0,SUMIF(ING!$J:$J,Sheet2!$B2276,ING!$S:$S))</f>
        <v>0</v>
      </c>
      <c r="H2276" s="16">
        <f t="shared" si="71"/>
        <v>33097609.89980894</v>
      </c>
    </row>
    <row r="2277" spans="2:8" hidden="1" x14ac:dyDescent="0.4">
      <c r="B2277" s="1">
        <v>44826</v>
      </c>
      <c r="C2277" s="16">
        <f>SUMIF(매도완료!$G:$G,Sheet2!$B2277,매도완료!$P:$P)+SUMIF(ING!$G:$G,Sheet2!$B2277,ING!$P:$P)</f>
        <v>0</v>
      </c>
      <c r="D2277" s="16">
        <f>SUMIF(매도완료!$J:$J,Sheet2!$B2277,매도완료!$P:$P)+SUMIF(ING!$J:$J,Sheet2!$B2277,ING!$P:$P)</f>
        <v>0</v>
      </c>
      <c r="E2277" s="16">
        <f t="shared" si="70"/>
        <v>128365000.38439998</v>
      </c>
      <c r="G2277" s="16">
        <f>IF(D2277=0,0,SUMIF(매도완료!$J:$J,Sheet2!$B2277,매도완료!$S:$S))+IF(D2277=0,0,SUMIF(ING!$J:$J,Sheet2!$B2277,ING!$S:$S))</f>
        <v>0</v>
      </c>
      <c r="H2277" s="16">
        <f t="shared" si="71"/>
        <v>33097609.89980894</v>
      </c>
    </row>
    <row r="2278" spans="2:8" hidden="1" x14ac:dyDescent="0.4">
      <c r="B2278" s="1">
        <v>44827</v>
      </c>
      <c r="C2278" s="16">
        <f>SUMIF(매도완료!$G:$G,Sheet2!$B2278,매도완료!$P:$P)+SUMIF(ING!$G:$G,Sheet2!$B2278,ING!$P:$P)</f>
        <v>0</v>
      </c>
      <c r="D2278" s="16">
        <f>SUMIF(매도완료!$J:$J,Sheet2!$B2278,매도완료!$P:$P)+SUMIF(ING!$J:$J,Sheet2!$B2278,ING!$P:$P)</f>
        <v>0</v>
      </c>
      <c r="E2278" s="16">
        <f t="shared" si="70"/>
        <v>128365000.38439998</v>
      </c>
      <c r="G2278" s="16">
        <f>IF(D2278=0,0,SUMIF(매도완료!$J:$J,Sheet2!$B2278,매도완료!$S:$S))+IF(D2278=0,0,SUMIF(ING!$J:$J,Sheet2!$B2278,ING!$S:$S))</f>
        <v>0</v>
      </c>
      <c r="H2278" s="16">
        <f t="shared" si="71"/>
        <v>33097609.89980894</v>
      </c>
    </row>
    <row r="2279" spans="2:8" hidden="1" x14ac:dyDescent="0.4">
      <c r="B2279" s="1">
        <v>44828</v>
      </c>
      <c r="C2279" s="16">
        <f>SUMIF(매도완료!$G:$G,Sheet2!$B2279,매도완료!$P:$P)+SUMIF(ING!$G:$G,Sheet2!$B2279,ING!$P:$P)</f>
        <v>0</v>
      </c>
      <c r="D2279" s="16">
        <f>SUMIF(매도완료!$J:$J,Sheet2!$B2279,매도완료!$P:$P)+SUMIF(ING!$J:$J,Sheet2!$B2279,ING!$P:$P)</f>
        <v>0</v>
      </c>
      <c r="E2279" s="16">
        <f t="shared" si="70"/>
        <v>128365000.38439998</v>
      </c>
      <c r="G2279" s="16">
        <f>IF(D2279=0,0,SUMIF(매도완료!$J:$J,Sheet2!$B2279,매도완료!$S:$S))+IF(D2279=0,0,SUMIF(ING!$J:$J,Sheet2!$B2279,ING!$S:$S))</f>
        <v>0</v>
      </c>
      <c r="H2279" s="16">
        <f t="shared" si="71"/>
        <v>33097609.89980894</v>
      </c>
    </row>
    <row r="2280" spans="2:8" hidden="1" x14ac:dyDescent="0.4">
      <c r="B2280" s="1">
        <v>44829</v>
      </c>
      <c r="C2280" s="16">
        <f>SUMIF(매도완료!$G:$G,Sheet2!$B2280,매도완료!$P:$P)+SUMIF(ING!$G:$G,Sheet2!$B2280,ING!$P:$P)</f>
        <v>0</v>
      </c>
      <c r="D2280" s="16">
        <f>SUMIF(매도완료!$J:$J,Sheet2!$B2280,매도완료!$P:$P)+SUMIF(ING!$J:$J,Sheet2!$B2280,ING!$P:$P)</f>
        <v>0</v>
      </c>
      <c r="E2280" s="16">
        <f t="shared" si="70"/>
        <v>128365000.38439998</v>
      </c>
      <c r="G2280" s="16">
        <f>IF(D2280=0,0,SUMIF(매도완료!$J:$J,Sheet2!$B2280,매도완료!$S:$S))+IF(D2280=0,0,SUMIF(ING!$J:$J,Sheet2!$B2280,ING!$S:$S))</f>
        <v>0</v>
      </c>
      <c r="H2280" s="16">
        <f t="shared" si="71"/>
        <v>33097609.89980894</v>
      </c>
    </row>
    <row r="2281" spans="2:8" hidden="1" x14ac:dyDescent="0.4">
      <c r="B2281" s="1">
        <v>44830</v>
      </c>
      <c r="C2281" s="16">
        <f>SUMIF(매도완료!$G:$G,Sheet2!$B2281,매도완료!$P:$P)+SUMIF(ING!$G:$G,Sheet2!$B2281,ING!$P:$P)</f>
        <v>0</v>
      </c>
      <c r="D2281" s="16">
        <f>SUMIF(매도완료!$J:$J,Sheet2!$B2281,매도완료!$P:$P)+SUMIF(ING!$J:$J,Sheet2!$B2281,ING!$P:$P)</f>
        <v>1155008.652</v>
      </c>
      <c r="E2281" s="16">
        <f t="shared" si="70"/>
        <v>127209991.73239999</v>
      </c>
      <c r="G2281" s="16">
        <f>IF(D2281=0,0,SUMIF(매도완료!$J:$J,Sheet2!$B2281,매도완료!$S:$S))+IF(D2281=0,0,SUMIF(ING!$J:$J,Sheet2!$B2281,ING!$S:$S))</f>
        <v>176914.34400000004</v>
      </c>
      <c r="H2281" s="16">
        <f t="shared" si="71"/>
        <v>33274524.24380894</v>
      </c>
    </row>
    <row r="2282" spans="2:8" hidden="1" x14ac:dyDescent="0.4">
      <c r="B2282" s="1">
        <v>44831</v>
      </c>
      <c r="C2282" s="16">
        <f>SUMIF(매도완료!$G:$G,Sheet2!$B2282,매도완료!$P:$P)+SUMIF(ING!$G:$G,Sheet2!$B2282,ING!$P:$P)</f>
        <v>0</v>
      </c>
      <c r="D2282" s="16">
        <f>SUMIF(매도완료!$J:$J,Sheet2!$B2282,매도완료!$P:$P)+SUMIF(ING!$J:$J,Sheet2!$B2282,ING!$P:$P)</f>
        <v>0</v>
      </c>
      <c r="E2282" s="16">
        <f t="shared" si="70"/>
        <v>127209991.73239999</v>
      </c>
      <c r="G2282" s="16">
        <f>IF(D2282=0,0,SUMIF(매도완료!$J:$J,Sheet2!$B2282,매도완료!$S:$S))+IF(D2282=0,0,SUMIF(ING!$J:$J,Sheet2!$B2282,ING!$S:$S))</f>
        <v>0</v>
      </c>
      <c r="H2282" s="16">
        <f t="shared" si="71"/>
        <v>33274524.24380894</v>
      </c>
    </row>
    <row r="2283" spans="2:8" hidden="1" x14ac:dyDescent="0.4">
      <c r="B2283" s="1">
        <v>44832</v>
      </c>
      <c r="C2283" s="16">
        <f>SUMIF(매도완료!$G:$G,Sheet2!$B2283,매도완료!$P:$P)+SUMIF(ING!$G:$G,Sheet2!$B2283,ING!$P:$P)</f>
        <v>0</v>
      </c>
      <c r="D2283" s="16">
        <f>SUMIF(매도완료!$J:$J,Sheet2!$B2283,매도완료!$P:$P)+SUMIF(ING!$J:$J,Sheet2!$B2283,ING!$P:$P)</f>
        <v>1040000</v>
      </c>
      <c r="E2283" s="16">
        <f t="shared" si="70"/>
        <v>126169991.73239999</v>
      </c>
      <c r="G2283" s="16">
        <f>IF(D2283=0,0,SUMIF(매도완료!$J:$J,Sheet2!$B2283,매도완료!$S:$S))+IF(D2283=0,0,SUMIF(ING!$J:$J,Sheet2!$B2283,ING!$S:$S))</f>
        <v>133720</v>
      </c>
      <c r="H2283" s="16">
        <f t="shared" si="71"/>
        <v>33408244.24380894</v>
      </c>
    </row>
    <row r="2284" spans="2:8" hidden="1" x14ac:dyDescent="0.4">
      <c r="B2284" s="1">
        <v>44833</v>
      </c>
      <c r="C2284" s="16">
        <f>SUMIF(매도완료!$G:$G,Sheet2!$B2284,매도완료!$P:$P)+SUMIF(ING!$G:$G,Sheet2!$B2284,ING!$P:$P)</f>
        <v>0</v>
      </c>
      <c r="D2284" s="16">
        <f>SUMIF(매도완료!$J:$J,Sheet2!$B2284,매도완료!$P:$P)+SUMIF(ING!$J:$J,Sheet2!$B2284,ING!$P:$P)</f>
        <v>0</v>
      </c>
      <c r="E2284" s="16">
        <f t="shared" si="70"/>
        <v>126169991.73239999</v>
      </c>
      <c r="G2284" s="16">
        <f>IF(D2284=0,0,SUMIF(매도완료!$J:$J,Sheet2!$B2284,매도완료!$S:$S))+IF(D2284=0,0,SUMIF(ING!$J:$J,Sheet2!$B2284,ING!$S:$S))</f>
        <v>0</v>
      </c>
      <c r="H2284" s="16">
        <f t="shared" si="71"/>
        <v>33408244.24380894</v>
      </c>
    </row>
    <row r="2285" spans="2:8" hidden="1" x14ac:dyDescent="0.4">
      <c r="B2285" s="1">
        <v>44834</v>
      </c>
      <c r="C2285" s="16">
        <f>SUMIF(매도완료!$G:$G,Sheet2!$B2285,매도완료!$P:$P)+SUMIF(ING!$G:$G,Sheet2!$B2285,ING!$P:$P)</f>
        <v>0</v>
      </c>
      <c r="D2285" s="16">
        <f>SUMIF(매도완료!$J:$J,Sheet2!$B2285,매도완료!$P:$P)+SUMIF(ING!$J:$J,Sheet2!$B2285,ING!$P:$P)</f>
        <v>0</v>
      </c>
      <c r="E2285" s="16">
        <f t="shared" si="70"/>
        <v>126169991.73239999</v>
      </c>
      <c r="G2285" s="16">
        <f>IF(D2285=0,0,SUMIF(매도완료!$J:$J,Sheet2!$B2285,매도완료!$S:$S))+IF(D2285=0,0,SUMIF(ING!$J:$J,Sheet2!$B2285,ING!$S:$S))</f>
        <v>0</v>
      </c>
      <c r="H2285" s="16">
        <f t="shared" si="71"/>
        <v>33408244.24380894</v>
      </c>
    </row>
    <row r="2286" spans="2:8" hidden="1" x14ac:dyDescent="0.4">
      <c r="B2286" s="1">
        <v>44835</v>
      </c>
      <c r="C2286" s="16">
        <f>SUMIF(매도완료!$G:$G,Sheet2!$B2286,매도완료!$P:$P)+SUMIF(ING!$G:$G,Sheet2!$B2286,ING!$P:$P)</f>
        <v>0</v>
      </c>
      <c r="D2286" s="16">
        <f>SUMIF(매도완료!$J:$J,Sheet2!$B2286,매도완료!$P:$P)+SUMIF(ING!$J:$J,Sheet2!$B2286,ING!$P:$P)</f>
        <v>0</v>
      </c>
      <c r="E2286" s="16">
        <f t="shared" si="70"/>
        <v>126169991.73239999</v>
      </c>
      <c r="G2286" s="16">
        <f>IF(D2286=0,0,SUMIF(매도완료!$J:$J,Sheet2!$B2286,매도완료!$S:$S))+IF(D2286=0,0,SUMIF(ING!$J:$J,Sheet2!$B2286,ING!$S:$S))</f>
        <v>0</v>
      </c>
      <c r="H2286" s="16">
        <f t="shared" si="71"/>
        <v>33408244.24380894</v>
      </c>
    </row>
    <row r="2287" spans="2:8" hidden="1" x14ac:dyDescent="0.4">
      <c r="B2287" s="1">
        <v>44836</v>
      </c>
      <c r="C2287" s="16">
        <f>SUMIF(매도완료!$G:$G,Sheet2!$B2287,매도완료!$P:$P)+SUMIF(ING!$G:$G,Sheet2!$B2287,ING!$P:$P)</f>
        <v>0</v>
      </c>
      <c r="D2287" s="16">
        <f>SUMIF(매도완료!$J:$J,Sheet2!$B2287,매도완료!$P:$P)+SUMIF(ING!$J:$J,Sheet2!$B2287,ING!$P:$P)</f>
        <v>0</v>
      </c>
      <c r="E2287" s="16">
        <f t="shared" si="70"/>
        <v>126169991.73239999</v>
      </c>
      <c r="G2287" s="16">
        <f>IF(D2287=0,0,SUMIF(매도완료!$J:$J,Sheet2!$B2287,매도완료!$S:$S))+IF(D2287=0,0,SUMIF(ING!$J:$J,Sheet2!$B2287,ING!$S:$S))</f>
        <v>0</v>
      </c>
      <c r="H2287" s="16">
        <f t="shared" si="71"/>
        <v>33408244.24380894</v>
      </c>
    </row>
    <row r="2288" spans="2:8" hidden="1" x14ac:dyDescent="0.4">
      <c r="B2288" s="1">
        <v>44837</v>
      </c>
      <c r="C2288" s="16">
        <f>SUMIF(매도완료!$G:$G,Sheet2!$B2288,매도완료!$P:$P)+SUMIF(ING!$G:$G,Sheet2!$B2288,ING!$P:$P)</f>
        <v>0</v>
      </c>
      <c r="D2288" s="16">
        <f>SUMIF(매도완료!$J:$J,Sheet2!$B2288,매도완료!$P:$P)+SUMIF(ING!$J:$J,Sheet2!$B2288,ING!$P:$P)</f>
        <v>0</v>
      </c>
      <c r="E2288" s="16">
        <f t="shared" si="70"/>
        <v>126169991.73239999</v>
      </c>
      <c r="G2288" s="16">
        <f>IF(D2288=0,0,SUMIF(매도완료!$J:$J,Sheet2!$B2288,매도완료!$S:$S))+IF(D2288=0,0,SUMIF(ING!$J:$J,Sheet2!$B2288,ING!$S:$S))</f>
        <v>0</v>
      </c>
      <c r="H2288" s="16">
        <f t="shared" si="71"/>
        <v>33408244.24380894</v>
      </c>
    </row>
    <row r="2289" spans="2:8" hidden="1" x14ac:dyDescent="0.4">
      <c r="B2289" s="1">
        <v>44838</v>
      </c>
      <c r="C2289" s="16">
        <f>SUMIF(매도완료!$G:$G,Sheet2!$B2289,매도완료!$P:$P)+SUMIF(ING!$G:$G,Sheet2!$B2289,ING!$P:$P)</f>
        <v>0</v>
      </c>
      <c r="D2289" s="16">
        <f>SUMIF(매도완료!$J:$J,Sheet2!$B2289,매도완료!$P:$P)+SUMIF(ING!$J:$J,Sheet2!$B2289,ING!$P:$P)</f>
        <v>0</v>
      </c>
      <c r="E2289" s="16">
        <f t="shared" si="70"/>
        <v>126169991.73239999</v>
      </c>
      <c r="G2289" s="16">
        <f>IF(D2289=0,0,SUMIF(매도완료!$J:$J,Sheet2!$B2289,매도완료!$S:$S))+IF(D2289=0,0,SUMIF(ING!$J:$J,Sheet2!$B2289,ING!$S:$S))</f>
        <v>0</v>
      </c>
      <c r="H2289" s="16">
        <f t="shared" si="71"/>
        <v>33408244.24380894</v>
      </c>
    </row>
    <row r="2290" spans="2:8" hidden="1" x14ac:dyDescent="0.4">
      <c r="B2290" s="1">
        <v>44839</v>
      </c>
      <c r="C2290" s="16">
        <f>SUMIF(매도완료!$G:$G,Sheet2!$B2290,매도완료!$P:$P)+SUMIF(ING!$G:$G,Sheet2!$B2290,ING!$P:$P)</f>
        <v>0</v>
      </c>
      <c r="D2290" s="16">
        <f>SUMIF(매도완료!$J:$J,Sheet2!$B2290,매도완료!$P:$P)+SUMIF(ING!$J:$J,Sheet2!$B2290,ING!$P:$P)</f>
        <v>0</v>
      </c>
      <c r="E2290" s="16">
        <f t="shared" si="70"/>
        <v>126169991.73239999</v>
      </c>
      <c r="G2290" s="16">
        <f>IF(D2290=0,0,SUMIF(매도완료!$J:$J,Sheet2!$B2290,매도완료!$S:$S))+IF(D2290=0,0,SUMIF(ING!$J:$J,Sheet2!$B2290,ING!$S:$S))</f>
        <v>0</v>
      </c>
      <c r="H2290" s="16">
        <f t="shared" si="71"/>
        <v>33408244.24380894</v>
      </c>
    </row>
    <row r="2291" spans="2:8" hidden="1" x14ac:dyDescent="0.4">
      <c r="B2291" s="1">
        <v>44840</v>
      </c>
      <c r="C2291" s="16">
        <f>SUMIF(매도완료!$G:$G,Sheet2!$B2291,매도완료!$P:$P)+SUMIF(ING!$G:$G,Sheet2!$B2291,ING!$P:$P)</f>
        <v>0</v>
      </c>
      <c r="D2291" s="16">
        <f>SUMIF(매도완료!$J:$J,Sheet2!$B2291,매도완료!$P:$P)+SUMIF(ING!$J:$J,Sheet2!$B2291,ING!$P:$P)</f>
        <v>0</v>
      </c>
      <c r="E2291" s="16">
        <f t="shared" si="70"/>
        <v>126169991.73239999</v>
      </c>
      <c r="G2291" s="16">
        <f>IF(D2291=0,0,SUMIF(매도완료!$J:$J,Sheet2!$B2291,매도완료!$S:$S))+IF(D2291=0,0,SUMIF(ING!$J:$J,Sheet2!$B2291,ING!$S:$S))</f>
        <v>0</v>
      </c>
      <c r="H2291" s="16">
        <f t="shared" si="71"/>
        <v>33408244.24380894</v>
      </c>
    </row>
    <row r="2292" spans="2:8" hidden="1" x14ac:dyDescent="0.4">
      <c r="B2292" s="1">
        <v>44841</v>
      </c>
      <c r="C2292" s="16">
        <f>SUMIF(매도완료!$G:$G,Sheet2!$B2292,매도완료!$P:$P)+SUMIF(ING!$G:$G,Sheet2!$B2292,ING!$P:$P)</f>
        <v>0</v>
      </c>
      <c r="D2292" s="16">
        <f>SUMIF(매도완료!$J:$J,Sheet2!$B2292,매도완료!$P:$P)+SUMIF(ING!$J:$J,Sheet2!$B2292,ING!$P:$P)</f>
        <v>0</v>
      </c>
      <c r="E2292" s="16">
        <f t="shared" si="70"/>
        <v>126169991.73239999</v>
      </c>
      <c r="G2292" s="16">
        <f>IF(D2292=0,0,SUMIF(매도완료!$J:$J,Sheet2!$B2292,매도완료!$S:$S))+IF(D2292=0,0,SUMIF(ING!$J:$J,Sheet2!$B2292,ING!$S:$S))</f>
        <v>0</v>
      </c>
      <c r="H2292" s="16">
        <f t="shared" si="71"/>
        <v>33408244.24380894</v>
      </c>
    </row>
    <row r="2293" spans="2:8" hidden="1" x14ac:dyDescent="0.4">
      <c r="B2293" s="1">
        <v>44842</v>
      </c>
      <c r="C2293" s="16">
        <f>SUMIF(매도완료!$G:$G,Sheet2!$B2293,매도완료!$P:$P)+SUMIF(ING!$G:$G,Sheet2!$B2293,ING!$P:$P)</f>
        <v>0</v>
      </c>
      <c r="D2293" s="16">
        <f>SUMIF(매도완료!$J:$J,Sheet2!$B2293,매도완료!$P:$P)+SUMIF(ING!$J:$J,Sheet2!$B2293,ING!$P:$P)</f>
        <v>0</v>
      </c>
      <c r="E2293" s="16">
        <f t="shared" si="70"/>
        <v>126169991.73239999</v>
      </c>
      <c r="G2293" s="16">
        <f>IF(D2293=0,0,SUMIF(매도완료!$J:$J,Sheet2!$B2293,매도완료!$S:$S))+IF(D2293=0,0,SUMIF(ING!$J:$J,Sheet2!$B2293,ING!$S:$S))</f>
        <v>0</v>
      </c>
      <c r="H2293" s="16">
        <f t="shared" si="71"/>
        <v>33408244.24380894</v>
      </c>
    </row>
    <row r="2294" spans="2:8" hidden="1" x14ac:dyDescent="0.4">
      <c r="B2294" s="1">
        <v>44843</v>
      </c>
      <c r="C2294" s="16">
        <f>SUMIF(매도완료!$G:$G,Sheet2!$B2294,매도완료!$P:$P)+SUMIF(ING!$G:$G,Sheet2!$B2294,ING!$P:$P)</f>
        <v>0</v>
      </c>
      <c r="D2294" s="16">
        <f>SUMIF(매도완료!$J:$J,Sheet2!$B2294,매도완료!$P:$P)+SUMIF(ING!$J:$J,Sheet2!$B2294,ING!$P:$P)</f>
        <v>0</v>
      </c>
      <c r="E2294" s="16">
        <f t="shared" si="70"/>
        <v>126169991.73239999</v>
      </c>
      <c r="G2294" s="16">
        <f>IF(D2294=0,0,SUMIF(매도완료!$J:$J,Sheet2!$B2294,매도완료!$S:$S))+IF(D2294=0,0,SUMIF(ING!$J:$J,Sheet2!$B2294,ING!$S:$S))</f>
        <v>0</v>
      </c>
      <c r="H2294" s="16">
        <f t="shared" si="71"/>
        <v>33408244.24380894</v>
      </c>
    </row>
    <row r="2295" spans="2:8" hidden="1" x14ac:dyDescent="0.4">
      <c r="B2295" s="1">
        <v>44844</v>
      </c>
      <c r="C2295" s="16">
        <f>SUMIF(매도완료!$G:$G,Sheet2!$B2295,매도완료!$P:$P)+SUMIF(ING!$G:$G,Sheet2!$B2295,ING!$P:$P)</f>
        <v>0</v>
      </c>
      <c r="D2295" s="16">
        <f>SUMIF(매도완료!$J:$J,Sheet2!$B2295,매도완료!$P:$P)+SUMIF(ING!$J:$J,Sheet2!$B2295,ING!$P:$P)</f>
        <v>0</v>
      </c>
      <c r="E2295" s="16">
        <f t="shared" si="70"/>
        <v>126169991.73239999</v>
      </c>
      <c r="G2295" s="16">
        <f>IF(D2295=0,0,SUMIF(매도완료!$J:$J,Sheet2!$B2295,매도완료!$S:$S))+IF(D2295=0,0,SUMIF(ING!$J:$J,Sheet2!$B2295,ING!$S:$S))</f>
        <v>0</v>
      </c>
      <c r="H2295" s="16">
        <f t="shared" si="71"/>
        <v>33408244.24380894</v>
      </c>
    </row>
    <row r="2296" spans="2:8" hidden="1" x14ac:dyDescent="0.4">
      <c r="B2296" s="1">
        <v>44845</v>
      </c>
      <c r="C2296" s="16">
        <f>SUMIF(매도완료!$G:$G,Sheet2!$B2296,매도완료!$P:$P)+SUMIF(ING!$G:$G,Sheet2!$B2296,ING!$P:$P)</f>
        <v>0</v>
      </c>
      <c r="D2296" s="16">
        <f>SUMIF(매도완료!$J:$J,Sheet2!$B2296,매도완료!$P:$P)+SUMIF(ING!$J:$J,Sheet2!$B2296,ING!$P:$P)</f>
        <v>0</v>
      </c>
      <c r="E2296" s="16">
        <f t="shared" si="70"/>
        <v>126169991.73239999</v>
      </c>
      <c r="G2296" s="16">
        <f>IF(D2296=0,0,SUMIF(매도완료!$J:$J,Sheet2!$B2296,매도완료!$S:$S))+IF(D2296=0,0,SUMIF(ING!$J:$J,Sheet2!$B2296,ING!$S:$S))</f>
        <v>0</v>
      </c>
      <c r="H2296" s="16">
        <f t="shared" si="71"/>
        <v>33408244.24380894</v>
      </c>
    </row>
    <row r="2297" spans="2:8" hidden="1" x14ac:dyDescent="0.4">
      <c r="B2297" s="1">
        <v>44846</v>
      </c>
      <c r="C2297" s="16">
        <f>SUMIF(매도완료!$G:$G,Sheet2!$B2297,매도완료!$P:$P)+SUMIF(ING!$G:$G,Sheet2!$B2297,ING!$P:$P)</f>
        <v>0</v>
      </c>
      <c r="D2297" s="16">
        <f>SUMIF(매도완료!$J:$J,Sheet2!$B2297,매도완료!$P:$P)+SUMIF(ING!$J:$J,Sheet2!$B2297,ING!$P:$P)</f>
        <v>0</v>
      </c>
      <c r="E2297" s="16">
        <f t="shared" si="70"/>
        <v>126169991.73239999</v>
      </c>
      <c r="G2297" s="16">
        <f>IF(D2297=0,0,SUMIF(매도완료!$J:$J,Sheet2!$B2297,매도완료!$S:$S))+IF(D2297=0,0,SUMIF(ING!$J:$J,Sheet2!$B2297,ING!$S:$S))</f>
        <v>0</v>
      </c>
      <c r="H2297" s="16">
        <f t="shared" si="71"/>
        <v>33408244.24380894</v>
      </c>
    </row>
    <row r="2298" spans="2:8" hidden="1" x14ac:dyDescent="0.4">
      <c r="B2298" s="1">
        <v>44847</v>
      </c>
      <c r="C2298" s="16">
        <f>SUMIF(매도완료!$G:$G,Sheet2!$B2298,매도완료!$P:$P)+SUMIF(ING!$G:$G,Sheet2!$B2298,ING!$P:$P)</f>
        <v>0</v>
      </c>
      <c r="D2298" s="16">
        <f>SUMIF(매도완료!$J:$J,Sheet2!$B2298,매도완료!$P:$P)+SUMIF(ING!$J:$J,Sheet2!$B2298,ING!$P:$P)</f>
        <v>0</v>
      </c>
      <c r="E2298" s="16">
        <f t="shared" si="70"/>
        <v>126169991.73239999</v>
      </c>
      <c r="G2298" s="16">
        <f>IF(D2298=0,0,SUMIF(매도완료!$J:$J,Sheet2!$B2298,매도완료!$S:$S))+IF(D2298=0,0,SUMIF(ING!$J:$J,Sheet2!$B2298,ING!$S:$S))</f>
        <v>0</v>
      </c>
      <c r="H2298" s="16">
        <f t="shared" si="71"/>
        <v>33408244.24380894</v>
      </c>
    </row>
    <row r="2299" spans="2:8" hidden="1" x14ac:dyDescent="0.4">
      <c r="B2299" s="1">
        <v>44848</v>
      </c>
      <c r="C2299" s="16">
        <f>SUMIF(매도완료!$G:$G,Sheet2!$B2299,매도완료!$P:$P)+SUMIF(ING!$G:$G,Sheet2!$B2299,ING!$P:$P)</f>
        <v>0</v>
      </c>
      <c r="D2299" s="16">
        <f>SUMIF(매도완료!$J:$J,Sheet2!$B2299,매도완료!$P:$P)+SUMIF(ING!$J:$J,Sheet2!$B2299,ING!$P:$P)</f>
        <v>0</v>
      </c>
      <c r="E2299" s="16">
        <f t="shared" si="70"/>
        <v>126169991.73239999</v>
      </c>
      <c r="G2299" s="16">
        <f>IF(D2299=0,0,SUMIF(매도완료!$J:$J,Sheet2!$B2299,매도완료!$S:$S))+IF(D2299=0,0,SUMIF(ING!$J:$J,Sheet2!$B2299,ING!$S:$S))</f>
        <v>0</v>
      </c>
      <c r="H2299" s="16">
        <f t="shared" si="71"/>
        <v>33408244.24380894</v>
      </c>
    </row>
    <row r="2300" spans="2:8" hidden="1" x14ac:dyDescent="0.4">
      <c r="B2300" s="1">
        <v>44849</v>
      </c>
      <c r="C2300" s="16">
        <f>SUMIF(매도완료!$G:$G,Sheet2!$B2300,매도완료!$P:$P)+SUMIF(ING!$G:$G,Sheet2!$B2300,ING!$P:$P)</f>
        <v>0</v>
      </c>
      <c r="D2300" s="16">
        <f>SUMIF(매도완료!$J:$J,Sheet2!$B2300,매도완료!$P:$P)+SUMIF(ING!$J:$J,Sheet2!$B2300,ING!$P:$P)</f>
        <v>0</v>
      </c>
      <c r="E2300" s="16">
        <f t="shared" si="70"/>
        <v>126169991.73239999</v>
      </c>
      <c r="G2300" s="16">
        <f>IF(D2300=0,0,SUMIF(매도완료!$J:$J,Sheet2!$B2300,매도완료!$S:$S))+IF(D2300=0,0,SUMIF(ING!$J:$J,Sheet2!$B2300,ING!$S:$S))</f>
        <v>0</v>
      </c>
      <c r="H2300" s="16">
        <f t="shared" si="71"/>
        <v>33408244.24380894</v>
      </c>
    </row>
    <row r="2301" spans="2:8" hidden="1" x14ac:dyDescent="0.4">
      <c r="B2301" s="1">
        <v>44850</v>
      </c>
      <c r="C2301" s="16">
        <f>SUMIF(매도완료!$G:$G,Sheet2!$B2301,매도완료!$P:$P)+SUMIF(ING!$G:$G,Sheet2!$B2301,ING!$P:$P)</f>
        <v>0</v>
      </c>
      <c r="D2301" s="16">
        <f>SUMIF(매도완료!$J:$J,Sheet2!$B2301,매도완료!$P:$P)+SUMIF(ING!$J:$J,Sheet2!$B2301,ING!$P:$P)</f>
        <v>0</v>
      </c>
      <c r="E2301" s="16">
        <f t="shared" si="70"/>
        <v>126169991.73239999</v>
      </c>
      <c r="G2301" s="16">
        <f>IF(D2301=0,0,SUMIF(매도완료!$J:$J,Sheet2!$B2301,매도완료!$S:$S))+IF(D2301=0,0,SUMIF(ING!$J:$J,Sheet2!$B2301,ING!$S:$S))</f>
        <v>0</v>
      </c>
      <c r="H2301" s="16">
        <f t="shared" si="71"/>
        <v>33408244.24380894</v>
      </c>
    </row>
    <row r="2302" spans="2:8" hidden="1" x14ac:dyDescent="0.4">
      <c r="B2302" s="1">
        <v>44851</v>
      </c>
      <c r="C2302" s="16">
        <f>SUMIF(매도완료!$G:$G,Sheet2!$B2302,매도완료!$P:$P)+SUMIF(ING!$G:$G,Sheet2!$B2302,ING!$P:$P)</f>
        <v>0</v>
      </c>
      <c r="D2302" s="16">
        <f>SUMIF(매도완료!$J:$J,Sheet2!$B2302,매도완료!$P:$P)+SUMIF(ING!$J:$J,Sheet2!$B2302,ING!$P:$P)</f>
        <v>0</v>
      </c>
      <c r="E2302" s="16">
        <f t="shared" si="70"/>
        <v>126169991.73239999</v>
      </c>
      <c r="G2302" s="16">
        <f>IF(D2302=0,0,SUMIF(매도완료!$J:$J,Sheet2!$B2302,매도완료!$S:$S))+IF(D2302=0,0,SUMIF(ING!$J:$J,Sheet2!$B2302,ING!$S:$S))</f>
        <v>0</v>
      </c>
      <c r="H2302" s="16">
        <f t="shared" si="71"/>
        <v>33408244.24380894</v>
      </c>
    </row>
    <row r="2303" spans="2:8" hidden="1" x14ac:dyDescent="0.4">
      <c r="B2303" s="1">
        <v>44852</v>
      </c>
      <c r="C2303" s="16">
        <f>SUMIF(매도완료!$G:$G,Sheet2!$B2303,매도완료!$P:$P)+SUMIF(ING!$G:$G,Sheet2!$B2303,ING!$P:$P)</f>
        <v>0</v>
      </c>
      <c r="D2303" s="16">
        <f>SUMIF(매도완료!$J:$J,Sheet2!$B2303,매도완료!$P:$P)+SUMIF(ING!$J:$J,Sheet2!$B2303,ING!$P:$P)</f>
        <v>0</v>
      </c>
      <c r="E2303" s="16">
        <f t="shared" si="70"/>
        <v>126169991.73239999</v>
      </c>
      <c r="G2303" s="16">
        <f>IF(D2303=0,0,SUMIF(매도완료!$J:$J,Sheet2!$B2303,매도완료!$S:$S))+IF(D2303=0,0,SUMIF(ING!$J:$J,Sheet2!$B2303,ING!$S:$S))</f>
        <v>0</v>
      </c>
      <c r="H2303" s="16">
        <f t="shared" si="71"/>
        <v>33408244.24380894</v>
      </c>
    </row>
    <row r="2304" spans="2:8" hidden="1" x14ac:dyDescent="0.4">
      <c r="B2304" s="1">
        <v>44853</v>
      </c>
      <c r="C2304" s="16">
        <f>SUMIF(매도완료!$G:$G,Sheet2!$B2304,매도완료!$P:$P)+SUMIF(ING!$G:$G,Sheet2!$B2304,ING!$P:$P)</f>
        <v>0</v>
      </c>
      <c r="D2304" s="16">
        <f>SUMIF(매도완료!$J:$J,Sheet2!$B2304,매도완료!$P:$P)+SUMIF(ING!$J:$J,Sheet2!$B2304,ING!$P:$P)</f>
        <v>0</v>
      </c>
      <c r="E2304" s="16">
        <f t="shared" si="70"/>
        <v>126169991.73239999</v>
      </c>
      <c r="G2304" s="16">
        <f>IF(D2304=0,0,SUMIF(매도완료!$J:$J,Sheet2!$B2304,매도완료!$S:$S))+IF(D2304=0,0,SUMIF(ING!$J:$J,Sheet2!$B2304,ING!$S:$S))</f>
        <v>0</v>
      </c>
      <c r="H2304" s="16">
        <f t="shared" si="71"/>
        <v>33408244.24380894</v>
      </c>
    </row>
    <row r="2305" spans="2:8" hidden="1" x14ac:dyDescent="0.4">
      <c r="B2305" s="1">
        <v>44854</v>
      </c>
      <c r="C2305" s="16">
        <f>SUMIF(매도완료!$G:$G,Sheet2!$B2305,매도완료!$P:$P)+SUMIF(ING!$G:$G,Sheet2!$B2305,ING!$P:$P)</f>
        <v>0</v>
      </c>
      <c r="D2305" s="16">
        <f>SUMIF(매도완료!$J:$J,Sheet2!$B2305,매도완료!$P:$P)+SUMIF(ING!$J:$J,Sheet2!$B2305,ING!$P:$P)</f>
        <v>0</v>
      </c>
      <c r="E2305" s="16">
        <f t="shared" si="70"/>
        <v>126169991.73239999</v>
      </c>
      <c r="G2305" s="16">
        <f>IF(D2305=0,0,SUMIF(매도완료!$J:$J,Sheet2!$B2305,매도완료!$S:$S))+IF(D2305=0,0,SUMIF(ING!$J:$J,Sheet2!$B2305,ING!$S:$S))</f>
        <v>0</v>
      </c>
      <c r="H2305" s="16">
        <f t="shared" si="71"/>
        <v>33408244.24380894</v>
      </c>
    </row>
    <row r="2306" spans="2:8" hidden="1" x14ac:dyDescent="0.4">
      <c r="B2306" s="1">
        <v>44855</v>
      </c>
      <c r="C2306" s="16">
        <f>SUMIF(매도완료!$G:$G,Sheet2!$B2306,매도완료!$P:$P)+SUMIF(ING!$G:$G,Sheet2!$B2306,ING!$P:$P)</f>
        <v>0</v>
      </c>
      <c r="D2306" s="16">
        <f>SUMIF(매도완료!$J:$J,Sheet2!$B2306,매도완료!$P:$P)+SUMIF(ING!$J:$J,Sheet2!$B2306,ING!$P:$P)</f>
        <v>0</v>
      </c>
      <c r="E2306" s="16">
        <f t="shared" si="70"/>
        <v>126169991.73239999</v>
      </c>
      <c r="G2306" s="16">
        <f>IF(D2306=0,0,SUMIF(매도완료!$J:$J,Sheet2!$B2306,매도완료!$S:$S))+IF(D2306=0,0,SUMIF(ING!$J:$J,Sheet2!$B2306,ING!$S:$S))</f>
        <v>0</v>
      </c>
      <c r="H2306" s="16">
        <f t="shared" si="71"/>
        <v>33408244.24380894</v>
      </c>
    </row>
    <row r="2307" spans="2:8" hidden="1" x14ac:dyDescent="0.4">
      <c r="B2307" s="1">
        <v>44856</v>
      </c>
      <c r="C2307" s="16">
        <f>SUMIF(매도완료!$G:$G,Sheet2!$B2307,매도완료!$P:$P)+SUMIF(ING!$G:$G,Sheet2!$B2307,ING!$P:$P)</f>
        <v>0</v>
      </c>
      <c r="D2307" s="16">
        <f>SUMIF(매도완료!$J:$J,Sheet2!$B2307,매도완료!$P:$P)+SUMIF(ING!$J:$J,Sheet2!$B2307,ING!$P:$P)</f>
        <v>0</v>
      </c>
      <c r="E2307" s="16">
        <f t="shared" si="70"/>
        <v>126169991.73239999</v>
      </c>
      <c r="G2307" s="16">
        <f>IF(D2307=0,0,SUMIF(매도완료!$J:$J,Sheet2!$B2307,매도완료!$S:$S))+IF(D2307=0,0,SUMIF(ING!$J:$J,Sheet2!$B2307,ING!$S:$S))</f>
        <v>0</v>
      </c>
      <c r="H2307" s="16">
        <f t="shared" si="71"/>
        <v>33408244.24380894</v>
      </c>
    </row>
    <row r="2308" spans="2:8" hidden="1" x14ac:dyDescent="0.4">
      <c r="B2308" s="1">
        <v>44857</v>
      </c>
      <c r="C2308" s="16">
        <f>SUMIF(매도완료!$G:$G,Sheet2!$B2308,매도완료!$P:$P)+SUMIF(ING!$G:$G,Sheet2!$B2308,ING!$P:$P)</f>
        <v>0</v>
      </c>
      <c r="D2308" s="16">
        <f>SUMIF(매도완료!$J:$J,Sheet2!$B2308,매도완료!$P:$P)+SUMIF(ING!$J:$J,Sheet2!$B2308,ING!$P:$P)</f>
        <v>0</v>
      </c>
      <c r="E2308" s="16">
        <f t="shared" ref="E2308:E2371" si="72">E2307+C2308-D2308</f>
        <v>126169991.73239999</v>
      </c>
      <c r="G2308" s="16">
        <f>IF(D2308=0,0,SUMIF(매도완료!$J:$J,Sheet2!$B2308,매도완료!$S:$S))+IF(D2308=0,0,SUMIF(ING!$J:$J,Sheet2!$B2308,ING!$S:$S))</f>
        <v>0</v>
      </c>
      <c r="H2308" s="16">
        <f t="shared" ref="H2308:H2371" si="73">H2307+G2308</f>
        <v>33408244.24380894</v>
      </c>
    </row>
    <row r="2309" spans="2:8" hidden="1" x14ac:dyDescent="0.4">
      <c r="B2309" s="1">
        <v>44858</v>
      </c>
      <c r="C2309" s="16">
        <f>SUMIF(매도완료!$G:$G,Sheet2!$B2309,매도완료!$P:$P)+SUMIF(ING!$G:$G,Sheet2!$B2309,ING!$P:$P)</f>
        <v>0</v>
      </c>
      <c r="D2309" s="16">
        <f>SUMIF(매도완료!$J:$J,Sheet2!$B2309,매도완료!$P:$P)+SUMIF(ING!$J:$J,Sheet2!$B2309,ING!$P:$P)</f>
        <v>600000</v>
      </c>
      <c r="E2309" s="16">
        <f t="shared" si="72"/>
        <v>125569991.73239999</v>
      </c>
      <c r="G2309" s="16">
        <f>IF(D2309=0,0,SUMIF(매도완료!$J:$J,Sheet2!$B2309,매도완료!$S:$S))+IF(D2309=0,0,SUMIF(ING!$J:$J,Sheet2!$B2309,ING!$S:$S))</f>
        <v>417624</v>
      </c>
      <c r="H2309" s="16">
        <f t="shared" si="73"/>
        <v>33825868.24380894</v>
      </c>
    </row>
    <row r="2310" spans="2:8" hidden="1" x14ac:dyDescent="0.4">
      <c r="B2310" s="1">
        <v>44859</v>
      </c>
      <c r="C2310" s="16">
        <f>SUMIF(매도완료!$G:$G,Sheet2!$B2310,매도완료!$P:$P)+SUMIF(ING!$G:$G,Sheet2!$B2310,ING!$P:$P)</f>
        <v>0</v>
      </c>
      <c r="D2310" s="16">
        <f>SUMIF(매도완료!$J:$J,Sheet2!$B2310,매도완료!$P:$P)+SUMIF(ING!$J:$J,Sheet2!$B2310,ING!$P:$P)</f>
        <v>0</v>
      </c>
      <c r="E2310" s="16">
        <f t="shared" si="72"/>
        <v>125569991.73239999</v>
      </c>
      <c r="G2310" s="16">
        <f>IF(D2310=0,0,SUMIF(매도완료!$J:$J,Sheet2!$B2310,매도완료!$S:$S))+IF(D2310=0,0,SUMIF(ING!$J:$J,Sheet2!$B2310,ING!$S:$S))</f>
        <v>0</v>
      </c>
      <c r="H2310" s="16">
        <f t="shared" si="73"/>
        <v>33825868.24380894</v>
      </c>
    </row>
    <row r="2311" spans="2:8" hidden="1" x14ac:dyDescent="0.4">
      <c r="B2311" s="1">
        <v>44860</v>
      </c>
      <c r="C2311" s="16">
        <f>SUMIF(매도완료!$G:$G,Sheet2!$B2311,매도완료!$P:$P)+SUMIF(ING!$G:$G,Sheet2!$B2311,ING!$P:$P)</f>
        <v>0</v>
      </c>
      <c r="D2311" s="16">
        <f>SUMIF(매도완료!$J:$J,Sheet2!$B2311,매도완료!$P:$P)+SUMIF(ING!$J:$J,Sheet2!$B2311,ING!$P:$P)</f>
        <v>0</v>
      </c>
      <c r="E2311" s="16">
        <f t="shared" si="72"/>
        <v>125569991.73239999</v>
      </c>
      <c r="G2311" s="16">
        <f>IF(D2311=0,0,SUMIF(매도완료!$J:$J,Sheet2!$B2311,매도완료!$S:$S))+IF(D2311=0,0,SUMIF(ING!$J:$J,Sheet2!$B2311,ING!$S:$S))</f>
        <v>0</v>
      </c>
      <c r="H2311" s="16">
        <f t="shared" si="73"/>
        <v>33825868.24380894</v>
      </c>
    </row>
    <row r="2312" spans="2:8" hidden="1" x14ac:dyDescent="0.4">
      <c r="B2312" s="1">
        <v>44861</v>
      </c>
      <c r="C2312" s="16">
        <f>SUMIF(매도완료!$G:$G,Sheet2!$B2312,매도완료!$P:$P)+SUMIF(ING!$G:$G,Sheet2!$B2312,ING!$P:$P)</f>
        <v>0</v>
      </c>
      <c r="D2312" s="16">
        <f>SUMIF(매도완료!$J:$J,Sheet2!$B2312,매도완료!$P:$P)+SUMIF(ING!$J:$J,Sheet2!$B2312,ING!$P:$P)</f>
        <v>0</v>
      </c>
      <c r="E2312" s="16">
        <f t="shared" si="72"/>
        <v>125569991.73239999</v>
      </c>
      <c r="G2312" s="16">
        <f>IF(D2312=0,0,SUMIF(매도완료!$J:$J,Sheet2!$B2312,매도완료!$S:$S))+IF(D2312=0,0,SUMIF(ING!$J:$J,Sheet2!$B2312,ING!$S:$S))</f>
        <v>0</v>
      </c>
      <c r="H2312" s="16">
        <f t="shared" si="73"/>
        <v>33825868.24380894</v>
      </c>
    </row>
    <row r="2313" spans="2:8" hidden="1" x14ac:dyDescent="0.4">
      <c r="B2313" s="1">
        <v>44862</v>
      </c>
      <c r="C2313" s="16">
        <f>SUMIF(매도완료!$G:$G,Sheet2!$B2313,매도완료!$P:$P)+SUMIF(ING!$G:$G,Sheet2!$B2313,ING!$P:$P)</f>
        <v>0</v>
      </c>
      <c r="D2313" s="16">
        <f>SUMIF(매도완료!$J:$J,Sheet2!$B2313,매도완료!$P:$P)+SUMIF(ING!$J:$J,Sheet2!$B2313,ING!$P:$P)</f>
        <v>0</v>
      </c>
      <c r="E2313" s="16">
        <f t="shared" si="72"/>
        <v>125569991.73239999</v>
      </c>
      <c r="G2313" s="16">
        <f>IF(D2313=0,0,SUMIF(매도완료!$J:$J,Sheet2!$B2313,매도완료!$S:$S))+IF(D2313=0,0,SUMIF(ING!$J:$J,Sheet2!$B2313,ING!$S:$S))</f>
        <v>0</v>
      </c>
      <c r="H2313" s="16">
        <f t="shared" si="73"/>
        <v>33825868.24380894</v>
      </c>
    </row>
    <row r="2314" spans="2:8" hidden="1" x14ac:dyDescent="0.4">
      <c r="B2314" s="1">
        <v>44863</v>
      </c>
      <c r="C2314" s="16">
        <f>SUMIF(매도완료!$G:$G,Sheet2!$B2314,매도완료!$P:$P)+SUMIF(ING!$G:$G,Sheet2!$B2314,ING!$P:$P)</f>
        <v>0</v>
      </c>
      <c r="D2314" s="16">
        <f>SUMIF(매도완료!$J:$J,Sheet2!$B2314,매도완료!$P:$P)+SUMIF(ING!$J:$J,Sheet2!$B2314,ING!$P:$P)</f>
        <v>0</v>
      </c>
      <c r="E2314" s="16">
        <f t="shared" si="72"/>
        <v>125569991.73239999</v>
      </c>
      <c r="G2314" s="16">
        <f>IF(D2314=0,0,SUMIF(매도완료!$J:$J,Sheet2!$B2314,매도완료!$S:$S))+IF(D2314=0,0,SUMIF(ING!$J:$J,Sheet2!$B2314,ING!$S:$S))</f>
        <v>0</v>
      </c>
      <c r="H2314" s="16">
        <f t="shared" si="73"/>
        <v>33825868.24380894</v>
      </c>
    </row>
    <row r="2315" spans="2:8" hidden="1" x14ac:dyDescent="0.4">
      <c r="B2315" s="1">
        <v>44864</v>
      </c>
      <c r="C2315" s="16">
        <f>SUMIF(매도완료!$G:$G,Sheet2!$B2315,매도완료!$P:$P)+SUMIF(ING!$G:$G,Sheet2!$B2315,ING!$P:$P)</f>
        <v>0</v>
      </c>
      <c r="D2315" s="16">
        <f>SUMIF(매도완료!$J:$J,Sheet2!$B2315,매도완료!$P:$P)+SUMIF(ING!$J:$J,Sheet2!$B2315,ING!$P:$P)</f>
        <v>0</v>
      </c>
      <c r="E2315" s="16">
        <f t="shared" si="72"/>
        <v>125569991.73239999</v>
      </c>
      <c r="G2315" s="16">
        <f>IF(D2315=0,0,SUMIF(매도완료!$J:$J,Sheet2!$B2315,매도완료!$S:$S))+IF(D2315=0,0,SUMIF(ING!$J:$J,Sheet2!$B2315,ING!$S:$S))</f>
        <v>0</v>
      </c>
      <c r="H2315" s="16">
        <f t="shared" si="73"/>
        <v>33825868.24380894</v>
      </c>
    </row>
    <row r="2316" spans="2:8" hidden="1" x14ac:dyDescent="0.4">
      <c r="B2316" s="1">
        <v>44865</v>
      </c>
      <c r="C2316" s="16">
        <f>SUMIF(매도완료!$G:$G,Sheet2!$B2316,매도완료!$P:$P)+SUMIF(ING!$G:$G,Sheet2!$B2316,ING!$P:$P)</f>
        <v>0</v>
      </c>
      <c r="D2316" s="16">
        <f>SUMIF(매도완료!$J:$J,Sheet2!$B2316,매도완료!$P:$P)+SUMIF(ING!$J:$J,Sheet2!$B2316,ING!$P:$P)</f>
        <v>0</v>
      </c>
      <c r="E2316" s="16">
        <f t="shared" si="72"/>
        <v>125569991.73239999</v>
      </c>
      <c r="G2316" s="16">
        <f>IF(D2316=0,0,SUMIF(매도완료!$J:$J,Sheet2!$B2316,매도완료!$S:$S))+IF(D2316=0,0,SUMIF(ING!$J:$J,Sheet2!$B2316,ING!$S:$S))</f>
        <v>0</v>
      </c>
      <c r="H2316" s="16">
        <f t="shared" si="73"/>
        <v>33825868.24380894</v>
      </c>
    </row>
    <row r="2317" spans="2:8" hidden="1" x14ac:dyDescent="0.4">
      <c r="B2317" s="1">
        <v>44866</v>
      </c>
      <c r="C2317" s="16">
        <f>SUMIF(매도완료!$G:$G,Sheet2!$B2317,매도완료!$P:$P)+SUMIF(ING!$G:$G,Sheet2!$B2317,ING!$P:$P)</f>
        <v>0</v>
      </c>
      <c r="D2317" s="16">
        <f>SUMIF(매도완료!$J:$J,Sheet2!$B2317,매도완료!$P:$P)+SUMIF(ING!$J:$J,Sheet2!$B2317,ING!$P:$P)</f>
        <v>0</v>
      </c>
      <c r="E2317" s="16">
        <f t="shared" si="72"/>
        <v>125569991.73239999</v>
      </c>
      <c r="G2317" s="16">
        <f>IF(D2317=0,0,SUMIF(매도완료!$J:$J,Sheet2!$B2317,매도완료!$S:$S))+IF(D2317=0,0,SUMIF(ING!$J:$J,Sheet2!$B2317,ING!$S:$S))</f>
        <v>0</v>
      </c>
      <c r="H2317" s="16">
        <f t="shared" si="73"/>
        <v>33825868.24380894</v>
      </c>
    </row>
    <row r="2318" spans="2:8" hidden="1" x14ac:dyDescent="0.4">
      <c r="B2318" s="1">
        <v>44867</v>
      </c>
      <c r="C2318" s="16">
        <f>SUMIF(매도완료!$G:$G,Sheet2!$B2318,매도완료!$P:$P)+SUMIF(ING!$G:$G,Sheet2!$B2318,ING!$P:$P)</f>
        <v>0</v>
      </c>
      <c r="D2318" s="16">
        <f>SUMIF(매도완료!$J:$J,Sheet2!$B2318,매도완료!$P:$P)+SUMIF(ING!$J:$J,Sheet2!$B2318,ING!$P:$P)</f>
        <v>0</v>
      </c>
      <c r="E2318" s="16">
        <f t="shared" si="72"/>
        <v>125569991.73239999</v>
      </c>
      <c r="G2318" s="16">
        <f>IF(D2318=0,0,SUMIF(매도완료!$J:$J,Sheet2!$B2318,매도완료!$S:$S))+IF(D2318=0,0,SUMIF(ING!$J:$J,Sheet2!$B2318,ING!$S:$S))</f>
        <v>0</v>
      </c>
      <c r="H2318" s="16">
        <f t="shared" si="73"/>
        <v>33825868.24380894</v>
      </c>
    </row>
    <row r="2319" spans="2:8" hidden="1" x14ac:dyDescent="0.4">
      <c r="B2319" s="1">
        <v>44868</v>
      </c>
      <c r="C2319" s="16">
        <f>SUMIF(매도완료!$G:$G,Sheet2!$B2319,매도완료!$P:$P)+SUMIF(ING!$G:$G,Sheet2!$B2319,ING!$P:$P)</f>
        <v>0</v>
      </c>
      <c r="D2319" s="16">
        <f>SUMIF(매도완료!$J:$J,Sheet2!$B2319,매도완료!$P:$P)+SUMIF(ING!$J:$J,Sheet2!$B2319,ING!$P:$P)</f>
        <v>0</v>
      </c>
      <c r="E2319" s="16">
        <f t="shared" si="72"/>
        <v>125569991.73239999</v>
      </c>
      <c r="G2319" s="16">
        <f>IF(D2319=0,0,SUMIF(매도완료!$J:$J,Sheet2!$B2319,매도완료!$S:$S))+IF(D2319=0,0,SUMIF(ING!$J:$J,Sheet2!$B2319,ING!$S:$S))</f>
        <v>0</v>
      </c>
      <c r="H2319" s="16">
        <f t="shared" si="73"/>
        <v>33825868.24380894</v>
      </c>
    </row>
    <row r="2320" spans="2:8" hidden="1" x14ac:dyDescent="0.4">
      <c r="B2320" s="1">
        <v>44869</v>
      </c>
      <c r="C2320" s="16">
        <f>SUMIF(매도완료!$G:$G,Sheet2!$B2320,매도완료!$P:$P)+SUMIF(ING!$G:$G,Sheet2!$B2320,ING!$P:$P)</f>
        <v>0</v>
      </c>
      <c r="D2320" s="16">
        <f>SUMIF(매도완료!$J:$J,Sheet2!$B2320,매도완료!$P:$P)+SUMIF(ING!$J:$J,Sheet2!$B2320,ING!$P:$P)</f>
        <v>34825000</v>
      </c>
      <c r="E2320" s="16">
        <f t="shared" si="72"/>
        <v>90744991.732399985</v>
      </c>
      <c r="G2320" s="16">
        <f>IF(D2320=0,0,SUMIF(매도완료!$J:$J,Sheet2!$B2320,매도완료!$S:$S))+IF(D2320=0,0,SUMIF(ING!$J:$J,Sheet2!$B2320,ING!$S:$S))</f>
        <v>-34875401.002999999</v>
      </c>
      <c r="H2320" s="16">
        <f t="shared" si="73"/>
        <v>-1049532.7591910586</v>
      </c>
    </row>
    <row r="2321" spans="2:8" hidden="1" x14ac:dyDescent="0.4">
      <c r="B2321" s="1">
        <v>44870</v>
      </c>
      <c r="C2321" s="16">
        <f>SUMIF(매도완료!$G:$G,Sheet2!$B2321,매도완료!$P:$P)+SUMIF(ING!$G:$G,Sheet2!$B2321,ING!$P:$P)</f>
        <v>0</v>
      </c>
      <c r="D2321" s="16">
        <f>SUMIF(매도완료!$J:$J,Sheet2!$B2321,매도완료!$P:$P)+SUMIF(ING!$J:$J,Sheet2!$B2321,ING!$P:$P)</f>
        <v>0</v>
      </c>
      <c r="E2321" s="16">
        <f t="shared" si="72"/>
        <v>90744991.732399985</v>
      </c>
      <c r="G2321" s="16">
        <f>IF(D2321=0,0,SUMIF(매도완료!$J:$J,Sheet2!$B2321,매도완료!$S:$S))+IF(D2321=0,0,SUMIF(ING!$J:$J,Sheet2!$B2321,ING!$S:$S))</f>
        <v>0</v>
      </c>
      <c r="H2321" s="16">
        <f t="shared" si="73"/>
        <v>-1049532.7591910586</v>
      </c>
    </row>
    <row r="2322" spans="2:8" hidden="1" x14ac:dyDescent="0.4">
      <c r="B2322" s="1">
        <v>44871</v>
      </c>
      <c r="C2322" s="16">
        <f>SUMIF(매도완료!$G:$G,Sheet2!$B2322,매도완료!$P:$P)+SUMIF(ING!$G:$G,Sheet2!$B2322,ING!$P:$P)</f>
        <v>0</v>
      </c>
      <c r="D2322" s="16">
        <f>SUMIF(매도완료!$J:$J,Sheet2!$B2322,매도완료!$P:$P)+SUMIF(ING!$J:$J,Sheet2!$B2322,ING!$P:$P)</f>
        <v>0</v>
      </c>
      <c r="E2322" s="16">
        <f t="shared" si="72"/>
        <v>90744991.732399985</v>
      </c>
      <c r="G2322" s="16">
        <f>IF(D2322=0,0,SUMIF(매도완료!$J:$J,Sheet2!$B2322,매도완료!$S:$S))+IF(D2322=0,0,SUMIF(ING!$J:$J,Sheet2!$B2322,ING!$S:$S))</f>
        <v>0</v>
      </c>
      <c r="H2322" s="16">
        <f t="shared" si="73"/>
        <v>-1049532.7591910586</v>
      </c>
    </row>
    <row r="2323" spans="2:8" hidden="1" x14ac:dyDescent="0.4">
      <c r="B2323" s="1">
        <v>44872</v>
      </c>
      <c r="C2323" s="16">
        <f>SUMIF(매도완료!$G:$G,Sheet2!$B2323,매도완료!$P:$P)+SUMIF(ING!$G:$G,Sheet2!$B2323,ING!$P:$P)</f>
        <v>0</v>
      </c>
      <c r="D2323" s="16">
        <f>SUMIF(매도완료!$J:$J,Sheet2!$B2323,매도완료!$P:$P)+SUMIF(ING!$J:$J,Sheet2!$B2323,ING!$P:$P)</f>
        <v>0</v>
      </c>
      <c r="E2323" s="16">
        <f t="shared" si="72"/>
        <v>90744991.732399985</v>
      </c>
      <c r="G2323" s="16">
        <f>IF(D2323=0,0,SUMIF(매도완료!$J:$J,Sheet2!$B2323,매도완료!$S:$S))+IF(D2323=0,0,SUMIF(ING!$J:$J,Sheet2!$B2323,ING!$S:$S))</f>
        <v>0</v>
      </c>
      <c r="H2323" s="16">
        <f t="shared" si="73"/>
        <v>-1049532.7591910586</v>
      </c>
    </row>
    <row r="2324" spans="2:8" hidden="1" x14ac:dyDescent="0.4">
      <c r="B2324" s="1">
        <v>44873</v>
      </c>
      <c r="C2324" s="16">
        <f>SUMIF(매도완료!$G:$G,Sheet2!$B2324,매도완료!$P:$P)+SUMIF(ING!$G:$G,Sheet2!$B2324,ING!$P:$P)</f>
        <v>0</v>
      </c>
      <c r="D2324" s="16">
        <f>SUMIF(매도완료!$J:$J,Sheet2!$B2324,매도완료!$P:$P)+SUMIF(ING!$J:$J,Sheet2!$B2324,ING!$P:$P)</f>
        <v>0</v>
      </c>
      <c r="E2324" s="16">
        <f t="shared" si="72"/>
        <v>90744991.732399985</v>
      </c>
      <c r="G2324" s="16">
        <f>IF(D2324=0,0,SUMIF(매도완료!$J:$J,Sheet2!$B2324,매도완료!$S:$S))+IF(D2324=0,0,SUMIF(ING!$J:$J,Sheet2!$B2324,ING!$S:$S))</f>
        <v>0</v>
      </c>
      <c r="H2324" s="16">
        <f t="shared" si="73"/>
        <v>-1049532.7591910586</v>
      </c>
    </row>
    <row r="2325" spans="2:8" hidden="1" x14ac:dyDescent="0.4">
      <c r="B2325" s="1">
        <v>44874</v>
      </c>
      <c r="C2325" s="16">
        <f>SUMIF(매도완료!$G:$G,Sheet2!$B2325,매도완료!$P:$P)+SUMIF(ING!$G:$G,Sheet2!$B2325,ING!$P:$P)</f>
        <v>0</v>
      </c>
      <c r="D2325" s="16">
        <f>SUMIF(매도완료!$J:$J,Sheet2!$B2325,매도완료!$P:$P)+SUMIF(ING!$J:$J,Sheet2!$B2325,ING!$P:$P)</f>
        <v>0</v>
      </c>
      <c r="E2325" s="16">
        <f t="shared" si="72"/>
        <v>90744991.732399985</v>
      </c>
      <c r="G2325" s="16">
        <f>IF(D2325=0,0,SUMIF(매도완료!$J:$J,Sheet2!$B2325,매도완료!$S:$S))+IF(D2325=0,0,SUMIF(ING!$J:$J,Sheet2!$B2325,ING!$S:$S))</f>
        <v>0</v>
      </c>
      <c r="H2325" s="16">
        <f t="shared" si="73"/>
        <v>-1049532.7591910586</v>
      </c>
    </row>
    <row r="2326" spans="2:8" hidden="1" x14ac:dyDescent="0.4">
      <c r="B2326" s="1">
        <v>44875</v>
      </c>
      <c r="C2326" s="16">
        <f>SUMIF(매도완료!$G:$G,Sheet2!$B2326,매도완료!$P:$P)+SUMIF(ING!$G:$G,Sheet2!$B2326,ING!$P:$P)</f>
        <v>0</v>
      </c>
      <c r="D2326" s="16">
        <f>SUMIF(매도완료!$J:$J,Sheet2!$B2326,매도완료!$P:$P)+SUMIF(ING!$J:$J,Sheet2!$B2326,ING!$P:$P)</f>
        <v>0</v>
      </c>
      <c r="E2326" s="16">
        <f t="shared" si="72"/>
        <v>90744991.732399985</v>
      </c>
      <c r="G2326" s="16">
        <f>IF(D2326=0,0,SUMIF(매도완료!$J:$J,Sheet2!$B2326,매도완료!$S:$S))+IF(D2326=0,0,SUMIF(ING!$J:$J,Sheet2!$B2326,ING!$S:$S))</f>
        <v>0</v>
      </c>
      <c r="H2326" s="16">
        <f t="shared" si="73"/>
        <v>-1049532.7591910586</v>
      </c>
    </row>
    <row r="2327" spans="2:8" hidden="1" x14ac:dyDescent="0.4">
      <c r="B2327" s="1">
        <v>44876</v>
      </c>
      <c r="C2327" s="16">
        <f>SUMIF(매도완료!$G:$G,Sheet2!$B2327,매도완료!$P:$P)+SUMIF(ING!$G:$G,Sheet2!$B2327,ING!$P:$P)</f>
        <v>0</v>
      </c>
      <c r="D2327" s="16">
        <f>SUMIF(매도완료!$J:$J,Sheet2!$B2327,매도완료!$P:$P)+SUMIF(ING!$J:$J,Sheet2!$B2327,ING!$P:$P)</f>
        <v>0</v>
      </c>
      <c r="E2327" s="16">
        <f t="shared" si="72"/>
        <v>90744991.732399985</v>
      </c>
      <c r="G2327" s="16">
        <f>IF(D2327=0,0,SUMIF(매도완료!$J:$J,Sheet2!$B2327,매도완료!$S:$S))+IF(D2327=0,0,SUMIF(ING!$J:$J,Sheet2!$B2327,ING!$S:$S))</f>
        <v>0</v>
      </c>
      <c r="H2327" s="16">
        <f t="shared" si="73"/>
        <v>-1049532.7591910586</v>
      </c>
    </row>
    <row r="2328" spans="2:8" hidden="1" x14ac:dyDescent="0.4">
      <c r="B2328" s="1">
        <v>44877</v>
      </c>
      <c r="C2328" s="16">
        <f>SUMIF(매도완료!$G:$G,Sheet2!$B2328,매도완료!$P:$P)+SUMIF(ING!$G:$G,Sheet2!$B2328,ING!$P:$P)</f>
        <v>0</v>
      </c>
      <c r="D2328" s="16">
        <f>SUMIF(매도완료!$J:$J,Sheet2!$B2328,매도완료!$P:$P)+SUMIF(ING!$J:$J,Sheet2!$B2328,ING!$P:$P)</f>
        <v>0</v>
      </c>
      <c r="E2328" s="16">
        <f t="shared" si="72"/>
        <v>90744991.732399985</v>
      </c>
      <c r="G2328" s="16">
        <f>IF(D2328=0,0,SUMIF(매도완료!$J:$J,Sheet2!$B2328,매도완료!$S:$S))+IF(D2328=0,0,SUMIF(ING!$J:$J,Sheet2!$B2328,ING!$S:$S))</f>
        <v>0</v>
      </c>
      <c r="H2328" s="16">
        <f t="shared" si="73"/>
        <v>-1049532.7591910586</v>
      </c>
    </row>
    <row r="2329" spans="2:8" hidden="1" x14ac:dyDescent="0.4">
      <c r="B2329" s="1">
        <v>44878</v>
      </c>
      <c r="C2329" s="16">
        <f>SUMIF(매도완료!$G:$G,Sheet2!$B2329,매도완료!$P:$P)+SUMIF(ING!$G:$G,Sheet2!$B2329,ING!$P:$P)</f>
        <v>0</v>
      </c>
      <c r="D2329" s="16">
        <f>SUMIF(매도완료!$J:$J,Sheet2!$B2329,매도완료!$P:$P)+SUMIF(ING!$J:$J,Sheet2!$B2329,ING!$P:$P)</f>
        <v>0</v>
      </c>
      <c r="E2329" s="16">
        <f t="shared" si="72"/>
        <v>90744991.732399985</v>
      </c>
      <c r="G2329" s="16">
        <f>IF(D2329=0,0,SUMIF(매도완료!$J:$J,Sheet2!$B2329,매도완료!$S:$S))+IF(D2329=0,0,SUMIF(ING!$J:$J,Sheet2!$B2329,ING!$S:$S))</f>
        <v>0</v>
      </c>
      <c r="H2329" s="16">
        <f t="shared" si="73"/>
        <v>-1049532.7591910586</v>
      </c>
    </row>
    <row r="2330" spans="2:8" hidden="1" x14ac:dyDescent="0.4">
      <c r="B2330" s="1">
        <v>44879</v>
      </c>
      <c r="C2330" s="16">
        <f>SUMIF(매도완료!$G:$G,Sheet2!$B2330,매도완료!$P:$P)+SUMIF(ING!$G:$G,Sheet2!$B2330,ING!$P:$P)</f>
        <v>0</v>
      </c>
      <c r="D2330" s="16">
        <f>SUMIF(매도완료!$J:$J,Sheet2!$B2330,매도완료!$P:$P)+SUMIF(ING!$J:$J,Sheet2!$B2330,ING!$P:$P)</f>
        <v>0</v>
      </c>
      <c r="E2330" s="16">
        <f t="shared" si="72"/>
        <v>90744991.732399985</v>
      </c>
      <c r="G2330" s="16">
        <f>IF(D2330=0,0,SUMIF(매도완료!$J:$J,Sheet2!$B2330,매도완료!$S:$S))+IF(D2330=0,0,SUMIF(ING!$J:$J,Sheet2!$B2330,ING!$S:$S))</f>
        <v>0</v>
      </c>
      <c r="H2330" s="16">
        <f t="shared" si="73"/>
        <v>-1049532.7591910586</v>
      </c>
    </row>
    <row r="2331" spans="2:8" hidden="1" x14ac:dyDescent="0.4">
      <c r="B2331" s="1">
        <v>44880</v>
      </c>
      <c r="C2331" s="16">
        <f>SUMIF(매도완료!$G:$G,Sheet2!$B2331,매도완료!$P:$P)+SUMIF(ING!$G:$G,Sheet2!$B2331,ING!$P:$P)</f>
        <v>0</v>
      </c>
      <c r="D2331" s="16">
        <f>SUMIF(매도완료!$J:$J,Sheet2!$B2331,매도완료!$P:$P)+SUMIF(ING!$J:$J,Sheet2!$B2331,ING!$P:$P)</f>
        <v>0</v>
      </c>
      <c r="E2331" s="16">
        <f t="shared" si="72"/>
        <v>90744991.732399985</v>
      </c>
      <c r="G2331" s="16">
        <f>IF(D2331=0,0,SUMIF(매도완료!$J:$J,Sheet2!$B2331,매도완료!$S:$S))+IF(D2331=0,0,SUMIF(ING!$J:$J,Sheet2!$B2331,ING!$S:$S))</f>
        <v>0</v>
      </c>
      <c r="H2331" s="16">
        <f t="shared" si="73"/>
        <v>-1049532.7591910586</v>
      </c>
    </row>
    <row r="2332" spans="2:8" hidden="1" x14ac:dyDescent="0.4">
      <c r="B2332" s="1">
        <v>44881</v>
      </c>
      <c r="C2332" s="16">
        <f>SUMIF(매도완료!$G:$G,Sheet2!$B2332,매도완료!$P:$P)+SUMIF(ING!$G:$G,Sheet2!$B2332,ING!$P:$P)</f>
        <v>0</v>
      </c>
      <c r="D2332" s="16">
        <f>SUMIF(매도완료!$J:$J,Sheet2!$B2332,매도완료!$P:$P)+SUMIF(ING!$J:$J,Sheet2!$B2332,ING!$P:$P)</f>
        <v>0</v>
      </c>
      <c r="E2332" s="16">
        <f t="shared" si="72"/>
        <v>90744991.732399985</v>
      </c>
      <c r="G2332" s="16">
        <f>IF(D2332=0,0,SUMIF(매도완료!$J:$J,Sheet2!$B2332,매도완료!$S:$S))+IF(D2332=0,0,SUMIF(ING!$J:$J,Sheet2!$B2332,ING!$S:$S))</f>
        <v>0</v>
      </c>
      <c r="H2332" s="16">
        <f t="shared" si="73"/>
        <v>-1049532.7591910586</v>
      </c>
    </row>
    <row r="2333" spans="2:8" hidden="1" x14ac:dyDescent="0.4">
      <c r="B2333" s="1">
        <v>44882</v>
      </c>
      <c r="C2333" s="16">
        <f>SUMIF(매도완료!$G:$G,Sheet2!$B2333,매도완료!$P:$P)+SUMIF(ING!$G:$G,Sheet2!$B2333,ING!$P:$P)</f>
        <v>0</v>
      </c>
      <c r="D2333" s="16">
        <f>SUMIF(매도완료!$J:$J,Sheet2!$B2333,매도완료!$P:$P)+SUMIF(ING!$J:$J,Sheet2!$B2333,ING!$P:$P)</f>
        <v>0</v>
      </c>
      <c r="E2333" s="16">
        <f t="shared" si="72"/>
        <v>90744991.732399985</v>
      </c>
      <c r="G2333" s="16">
        <f>IF(D2333=0,0,SUMIF(매도완료!$J:$J,Sheet2!$B2333,매도완료!$S:$S))+IF(D2333=0,0,SUMIF(ING!$J:$J,Sheet2!$B2333,ING!$S:$S))</f>
        <v>0</v>
      </c>
      <c r="H2333" s="16">
        <f t="shared" si="73"/>
        <v>-1049532.7591910586</v>
      </c>
    </row>
    <row r="2334" spans="2:8" hidden="1" x14ac:dyDescent="0.4">
      <c r="B2334" s="1">
        <v>44883</v>
      </c>
      <c r="C2334" s="16">
        <f>SUMIF(매도완료!$G:$G,Sheet2!$B2334,매도완료!$P:$P)+SUMIF(ING!$G:$G,Sheet2!$B2334,ING!$P:$P)</f>
        <v>0</v>
      </c>
      <c r="D2334" s="16">
        <f>SUMIF(매도완료!$J:$J,Sheet2!$B2334,매도완료!$P:$P)+SUMIF(ING!$J:$J,Sheet2!$B2334,ING!$P:$P)</f>
        <v>0</v>
      </c>
      <c r="E2334" s="16">
        <f t="shared" si="72"/>
        <v>90744991.732399985</v>
      </c>
      <c r="G2334" s="16">
        <f>IF(D2334=0,0,SUMIF(매도완료!$J:$J,Sheet2!$B2334,매도완료!$S:$S))+IF(D2334=0,0,SUMIF(ING!$J:$J,Sheet2!$B2334,ING!$S:$S))</f>
        <v>0</v>
      </c>
      <c r="H2334" s="16">
        <f t="shared" si="73"/>
        <v>-1049532.7591910586</v>
      </c>
    </row>
    <row r="2335" spans="2:8" hidden="1" x14ac:dyDescent="0.4">
      <c r="B2335" s="1">
        <v>44884</v>
      </c>
      <c r="C2335" s="16">
        <f>SUMIF(매도완료!$G:$G,Sheet2!$B2335,매도완료!$P:$P)+SUMIF(ING!$G:$G,Sheet2!$B2335,ING!$P:$P)</f>
        <v>0</v>
      </c>
      <c r="D2335" s="16">
        <f>SUMIF(매도완료!$J:$J,Sheet2!$B2335,매도완료!$P:$P)+SUMIF(ING!$J:$J,Sheet2!$B2335,ING!$P:$P)</f>
        <v>0</v>
      </c>
      <c r="E2335" s="16">
        <f t="shared" si="72"/>
        <v>90744991.732399985</v>
      </c>
      <c r="G2335" s="16">
        <f>IF(D2335=0,0,SUMIF(매도완료!$J:$J,Sheet2!$B2335,매도완료!$S:$S))+IF(D2335=0,0,SUMIF(ING!$J:$J,Sheet2!$B2335,ING!$S:$S))</f>
        <v>0</v>
      </c>
      <c r="H2335" s="16">
        <f t="shared" si="73"/>
        <v>-1049532.7591910586</v>
      </c>
    </row>
    <row r="2336" spans="2:8" hidden="1" x14ac:dyDescent="0.4">
      <c r="B2336" s="1">
        <v>44885</v>
      </c>
      <c r="C2336" s="16">
        <f>SUMIF(매도완료!$G:$G,Sheet2!$B2336,매도완료!$P:$P)+SUMIF(ING!$G:$G,Sheet2!$B2336,ING!$P:$P)</f>
        <v>0</v>
      </c>
      <c r="D2336" s="16">
        <f>SUMIF(매도완료!$J:$J,Sheet2!$B2336,매도완료!$P:$P)+SUMIF(ING!$J:$J,Sheet2!$B2336,ING!$P:$P)</f>
        <v>0</v>
      </c>
      <c r="E2336" s="16">
        <f t="shared" si="72"/>
        <v>90744991.732399985</v>
      </c>
      <c r="G2336" s="16">
        <f>IF(D2336=0,0,SUMIF(매도완료!$J:$J,Sheet2!$B2336,매도완료!$S:$S))+IF(D2336=0,0,SUMIF(ING!$J:$J,Sheet2!$B2336,ING!$S:$S))</f>
        <v>0</v>
      </c>
      <c r="H2336" s="16">
        <f t="shared" si="73"/>
        <v>-1049532.7591910586</v>
      </c>
    </row>
    <row r="2337" spans="2:8" hidden="1" x14ac:dyDescent="0.4">
      <c r="B2337" s="1">
        <v>44886</v>
      </c>
      <c r="C2337" s="16">
        <f>SUMIF(매도완료!$G:$G,Sheet2!$B2337,매도완료!$P:$P)+SUMIF(ING!$G:$G,Sheet2!$B2337,ING!$P:$P)</f>
        <v>0</v>
      </c>
      <c r="D2337" s="16">
        <f>SUMIF(매도완료!$J:$J,Sheet2!$B2337,매도완료!$P:$P)+SUMIF(ING!$J:$J,Sheet2!$B2337,ING!$P:$P)</f>
        <v>0</v>
      </c>
      <c r="E2337" s="16">
        <f t="shared" si="72"/>
        <v>90744991.732399985</v>
      </c>
      <c r="G2337" s="16">
        <f>IF(D2337=0,0,SUMIF(매도완료!$J:$J,Sheet2!$B2337,매도완료!$S:$S))+IF(D2337=0,0,SUMIF(ING!$J:$J,Sheet2!$B2337,ING!$S:$S))</f>
        <v>0</v>
      </c>
      <c r="H2337" s="16">
        <f t="shared" si="73"/>
        <v>-1049532.7591910586</v>
      </c>
    </row>
    <row r="2338" spans="2:8" hidden="1" x14ac:dyDescent="0.4">
      <c r="B2338" s="1">
        <v>44887</v>
      </c>
      <c r="C2338" s="16">
        <f>SUMIF(매도완료!$G:$G,Sheet2!$B2338,매도완료!$P:$P)+SUMIF(ING!$G:$G,Sheet2!$B2338,ING!$P:$P)</f>
        <v>0</v>
      </c>
      <c r="D2338" s="16">
        <f>SUMIF(매도완료!$J:$J,Sheet2!$B2338,매도완료!$P:$P)+SUMIF(ING!$J:$J,Sheet2!$B2338,ING!$P:$P)</f>
        <v>0</v>
      </c>
      <c r="E2338" s="16">
        <f t="shared" si="72"/>
        <v>90744991.732399985</v>
      </c>
      <c r="G2338" s="16">
        <f>IF(D2338=0,0,SUMIF(매도완료!$J:$J,Sheet2!$B2338,매도완료!$S:$S))+IF(D2338=0,0,SUMIF(ING!$J:$J,Sheet2!$B2338,ING!$S:$S))</f>
        <v>0</v>
      </c>
      <c r="H2338" s="16">
        <f t="shared" si="73"/>
        <v>-1049532.7591910586</v>
      </c>
    </row>
    <row r="2339" spans="2:8" hidden="1" x14ac:dyDescent="0.4">
      <c r="B2339" s="1">
        <v>44888</v>
      </c>
      <c r="C2339" s="16">
        <f>SUMIF(매도완료!$G:$G,Sheet2!$B2339,매도완료!$P:$P)+SUMIF(ING!$G:$G,Sheet2!$B2339,ING!$P:$P)</f>
        <v>0</v>
      </c>
      <c r="D2339" s="16">
        <f>SUMIF(매도완료!$J:$J,Sheet2!$B2339,매도완료!$P:$P)+SUMIF(ING!$J:$J,Sheet2!$B2339,ING!$P:$P)</f>
        <v>0</v>
      </c>
      <c r="E2339" s="16">
        <f t="shared" si="72"/>
        <v>90744991.732399985</v>
      </c>
      <c r="G2339" s="16">
        <f>IF(D2339=0,0,SUMIF(매도완료!$J:$J,Sheet2!$B2339,매도완료!$S:$S))+IF(D2339=0,0,SUMIF(ING!$J:$J,Sheet2!$B2339,ING!$S:$S))</f>
        <v>0</v>
      </c>
      <c r="H2339" s="16">
        <f t="shared" si="73"/>
        <v>-1049532.7591910586</v>
      </c>
    </row>
    <row r="2340" spans="2:8" hidden="1" x14ac:dyDescent="0.4">
      <c r="B2340" s="1">
        <v>44889</v>
      </c>
      <c r="C2340" s="16">
        <f>SUMIF(매도완료!$G:$G,Sheet2!$B2340,매도완료!$P:$P)+SUMIF(ING!$G:$G,Sheet2!$B2340,ING!$P:$P)</f>
        <v>0</v>
      </c>
      <c r="D2340" s="16">
        <f>SUMIF(매도완료!$J:$J,Sheet2!$B2340,매도완료!$P:$P)+SUMIF(ING!$J:$J,Sheet2!$B2340,ING!$P:$P)</f>
        <v>0</v>
      </c>
      <c r="E2340" s="16">
        <f t="shared" si="72"/>
        <v>90744991.732399985</v>
      </c>
      <c r="G2340" s="16">
        <f>IF(D2340=0,0,SUMIF(매도완료!$J:$J,Sheet2!$B2340,매도완료!$S:$S))+IF(D2340=0,0,SUMIF(ING!$J:$J,Sheet2!$B2340,ING!$S:$S))</f>
        <v>0</v>
      </c>
      <c r="H2340" s="16">
        <f t="shared" si="73"/>
        <v>-1049532.7591910586</v>
      </c>
    </row>
    <row r="2341" spans="2:8" hidden="1" x14ac:dyDescent="0.4">
      <c r="B2341" s="1">
        <v>44890</v>
      </c>
      <c r="C2341" s="16">
        <f>SUMIF(매도완료!$G:$G,Sheet2!$B2341,매도완료!$P:$P)+SUMIF(ING!$G:$G,Sheet2!$B2341,ING!$P:$P)</f>
        <v>0</v>
      </c>
      <c r="D2341" s="16">
        <f>SUMIF(매도완료!$J:$J,Sheet2!$B2341,매도완료!$P:$P)+SUMIF(ING!$J:$J,Sheet2!$B2341,ING!$P:$P)</f>
        <v>0</v>
      </c>
      <c r="E2341" s="16">
        <f t="shared" si="72"/>
        <v>90744991.732399985</v>
      </c>
      <c r="G2341" s="16">
        <f>IF(D2341=0,0,SUMIF(매도완료!$J:$J,Sheet2!$B2341,매도완료!$S:$S))+IF(D2341=0,0,SUMIF(ING!$J:$J,Sheet2!$B2341,ING!$S:$S))</f>
        <v>0</v>
      </c>
      <c r="H2341" s="16">
        <f t="shared" si="73"/>
        <v>-1049532.7591910586</v>
      </c>
    </row>
    <row r="2342" spans="2:8" hidden="1" x14ac:dyDescent="0.4">
      <c r="B2342" s="1">
        <v>44891</v>
      </c>
      <c r="C2342" s="16">
        <f>SUMIF(매도완료!$G:$G,Sheet2!$B2342,매도완료!$P:$P)+SUMIF(ING!$G:$G,Sheet2!$B2342,ING!$P:$P)</f>
        <v>0</v>
      </c>
      <c r="D2342" s="16">
        <f>SUMIF(매도완료!$J:$J,Sheet2!$B2342,매도완료!$P:$P)+SUMIF(ING!$J:$J,Sheet2!$B2342,ING!$P:$P)</f>
        <v>0</v>
      </c>
      <c r="E2342" s="16">
        <f t="shared" si="72"/>
        <v>90744991.732399985</v>
      </c>
      <c r="G2342" s="16">
        <f>IF(D2342=0,0,SUMIF(매도완료!$J:$J,Sheet2!$B2342,매도완료!$S:$S))+IF(D2342=0,0,SUMIF(ING!$J:$J,Sheet2!$B2342,ING!$S:$S))</f>
        <v>0</v>
      </c>
      <c r="H2342" s="16">
        <f t="shared" si="73"/>
        <v>-1049532.7591910586</v>
      </c>
    </row>
    <row r="2343" spans="2:8" hidden="1" x14ac:dyDescent="0.4">
      <c r="B2343" s="1">
        <v>44892</v>
      </c>
      <c r="C2343" s="16">
        <f>SUMIF(매도완료!$G:$G,Sheet2!$B2343,매도완료!$P:$P)+SUMIF(ING!$G:$G,Sheet2!$B2343,ING!$P:$P)</f>
        <v>0</v>
      </c>
      <c r="D2343" s="16">
        <f>SUMIF(매도완료!$J:$J,Sheet2!$B2343,매도완료!$P:$P)+SUMIF(ING!$J:$J,Sheet2!$B2343,ING!$P:$P)</f>
        <v>0</v>
      </c>
      <c r="E2343" s="16">
        <f t="shared" si="72"/>
        <v>90744991.732399985</v>
      </c>
      <c r="G2343" s="16">
        <f>IF(D2343=0,0,SUMIF(매도완료!$J:$J,Sheet2!$B2343,매도완료!$S:$S))+IF(D2343=0,0,SUMIF(ING!$J:$J,Sheet2!$B2343,ING!$S:$S))</f>
        <v>0</v>
      </c>
      <c r="H2343" s="16">
        <f t="shared" si="73"/>
        <v>-1049532.7591910586</v>
      </c>
    </row>
    <row r="2344" spans="2:8" hidden="1" x14ac:dyDescent="0.4">
      <c r="B2344" s="1">
        <v>44893</v>
      </c>
      <c r="C2344" s="16">
        <f>SUMIF(매도완료!$G:$G,Sheet2!$B2344,매도완료!$P:$P)+SUMIF(ING!$G:$G,Sheet2!$B2344,ING!$P:$P)</f>
        <v>0</v>
      </c>
      <c r="D2344" s="16">
        <f>SUMIF(매도완료!$J:$J,Sheet2!$B2344,매도완료!$P:$P)+SUMIF(ING!$J:$J,Sheet2!$B2344,ING!$P:$P)</f>
        <v>0</v>
      </c>
      <c r="E2344" s="16">
        <f t="shared" si="72"/>
        <v>90744991.732399985</v>
      </c>
      <c r="G2344" s="16">
        <f>IF(D2344=0,0,SUMIF(매도완료!$J:$J,Sheet2!$B2344,매도완료!$S:$S))+IF(D2344=0,0,SUMIF(ING!$J:$J,Sheet2!$B2344,ING!$S:$S))</f>
        <v>0</v>
      </c>
      <c r="H2344" s="16">
        <f t="shared" si="73"/>
        <v>-1049532.7591910586</v>
      </c>
    </row>
    <row r="2345" spans="2:8" hidden="1" x14ac:dyDescent="0.4">
      <c r="B2345" s="1">
        <v>44894</v>
      </c>
      <c r="C2345" s="16">
        <f>SUMIF(매도완료!$G:$G,Sheet2!$B2345,매도완료!$P:$P)+SUMIF(ING!$G:$G,Sheet2!$B2345,ING!$P:$P)</f>
        <v>0</v>
      </c>
      <c r="D2345" s="16">
        <f>SUMIF(매도완료!$J:$J,Sheet2!$B2345,매도완료!$P:$P)+SUMIF(ING!$J:$J,Sheet2!$B2345,ING!$P:$P)</f>
        <v>0</v>
      </c>
      <c r="E2345" s="16">
        <f t="shared" si="72"/>
        <v>90744991.732399985</v>
      </c>
      <c r="G2345" s="16">
        <f>IF(D2345=0,0,SUMIF(매도완료!$J:$J,Sheet2!$B2345,매도완료!$S:$S))+IF(D2345=0,0,SUMIF(ING!$J:$J,Sheet2!$B2345,ING!$S:$S))</f>
        <v>0</v>
      </c>
      <c r="H2345" s="16">
        <f t="shared" si="73"/>
        <v>-1049532.7591910586</v>
      </c>
    </row>
    <row r="2346" spans="2:8" hidden="1" x14ac:dyDescent="0.4">
      <c r="B2346" s="1">
        <v>44895</v>
      </c>
      <c r="C2346" s="16">
        <f>SUMIF(매도완료!$G:$G,Sheet2!$B2346,매도완료!$P:$P)+SUMIF(ING!$G:$G,Sheet2!$B2346,ING!$P:$P)</f>
        <v>0</v>
      </c>
      <c r="D2346" s="16">
        <f>SUMIF(매도완료!$J:$J,Sheet2!$B2346,매도완료!$P:$P)+SUMIF(ING!$J:$J,Sheet2!$B2346,ING!$P:$P)</f>
        <v>0</v>
      </c>
      <c r="E2346" s="16">
        <f t="shared" si="72"/>
        <v>90744991.732399985</v>
      </c>
      <c r="G2346" s="16">
        <f>IF(D2346=0,0,SUMIF(매도완료!$J:$J,Sheet2!$B2346,매도완료!$S:$S))+IF(D2346=0,0,SUMIF(ING!$J:$J,Sheet2!$B2346,ING!$S:$S))</f>
        <v>0</v>
      </c>
      <c r="H2346" s="16">
        <f t="shared" si="73"/>
        <v>-1049532.7591910586</v>
      </c>
    </row>
    <row r="2347" spans="2:8" hidden="1" x14ac:dyDescent="0.4">
      <c r="B2347" s="1">
        <v>44896</v>
      </c>
      <c r="C2347" s="16">
        <f>SUMIF(매도완료!$G:$G,Sheet2!$B2347,매도완료!$P:$P)+SUMIF(ING!$G:$G,Sheet2!$B2347,ING!$P:$P)</f>
        <v>0</v>
      </c>
      <c r="D2347" s="16">
        <f>SUMIF(매도완료!$J:$J,Sheet2!$B2347,매도완료!$P:$P)+SUMIF(ING!$J:$J,Sheet2!$B2347,ING!$P:$P)</f>
        <v>0</v>
      </c>
      <c r="E2347" s="16">
        <f t="shared" si="72"/>
        <v>90744991.732399985</v>
      </c>
      <c r="G2347" s="16">
        <f>IF(D2347=0,0,SUMIF(매도완료!$J:$J,Sheet2!$B2347,매도완료!$S:$S))+IF(D2347=0,0,SUMIF(ING!$J:$J,Sheet2!$B2347,ING!$S:$S))</f>
        <v>0</v>
      </c>
      <c r="H2347" s="16">
        <f t="shared" si="73"/>
        <v>-1049532.7591910586</v>
      </c>
    </row>
    <row r="2348" spans="2:8" hidden="1" x14ac:dyDescent="0.4">
      <c r="B2348" s="1">
        <v>44897</v>
      </c>
      <c r="C2348" s="16">
        <f>SUMIF(매도완료!$G:$G,Sheet2!$B2348,매도완료!$P:$P)+SUMIF(ING!$G:$G,Sheet2!$B2348,ING!$P:$P)</f>
        <v>0</v>
      </c>
      <c r="D2348" s="16">
        <f>SUMIF(매도완료!$J:$J,Sheet2!$B2348,매도완료!$P:$P)+SUMIF(ING!$J:$J,Sheet2!$B2348,ING!$P:$P)</f>
        <v>0</v>
      </c>
      <c r="E2348" s="16">
        <f t="shared" si="72"/>
        <v>90744991.732399985</v>
      </c>
      <c r="G2348" s="16">
        <f>IF(D2348=0,0,SUMIF(매도완료!$J:$J,Sheet2!$B2348,매도완료!$S:$S))+IF(D2348=0,0,SUMIF(ING!$J:$J,Sheet2!$B2348,ING!$S:$S))</f>
        <v>0</v>
      </c>
      <c r="H2348" s="16">
        <f t="shared" si="73"/>
        <v>-1049532.7591910586</v>
      </c>
    </row>
    <row r="2349" spans="2:8" hidden="1" x14ac:dyDescent="0.4">
      <c r="B2349" s="1">
        <v>44898</v>
      </c>
      <c r="C2349" s="16">
        <f>SUMIF(매도완료!$G:$G,Sheet2!$B2349,매도완료!$P:$P)+SUMIF(ING!$G:$G,Sheet2!$B2349,ING!$P:$P)</f>
        <v>0</v>
      </c>
      <c r="D2349" s="16">
        <f>SUMIF(매도완료!$J:$J,Sheet2!$B2349,매도완료!$P:$P)+SUMIF(ING!$J:$J,Sheet2!$B2349,ING!$P:$P)</f>
        <v>0</v>
      </c>
      <c r="E2349" s="16">
        <f t="shared" si="72"/>
        <v>90744991.732399985</v>
      </c>
      <c r="G2349" s="16">
        <f>IF(D2349=0,0,SUMIF(매도완료!$J:$J,Sheet2!$B2349,매도완료!$S:$S))+IF(D2349=0,0,SUMIF(ING!$J:$J,Sheet2!$B2349,ING!$S:$S))</f>
        <v>0</v>
      </c>
      <c r="H2349" s="16">
        <f t="shared" si="73"/>
        <v>-1049532.7591910586</v>
      </c>
    </row>
    <row r="2350" spans="2:8" hidden="1" x14ac:dyDescent="0.4">
      <c r="B2350" s="1">
        <v>44899</v>
      </c>
      <c r="C2350" s="16">
        <f>SUMIF(매도완료!$G:$G,Sheet2!$B2350,매도완료!$P:$P)+SUMIF(ING!$G:$G,Sheet2!$B2350,ING!$P:$P)</f>
        <v>0</v>
      </c>
      <c r="D2350" s="16">
        <f>SUMIF(매도완료!$J:$J,Sheet2!$B2350,매도완료!$P:$P)+SUMIF(ING!$J:$J,Sheet2!$B2350,ING!$P:$P)</f>
        <v>0</v>
      </c>
      <c r="E2350" s="16">
        <f t="shared" si="72"/>
        <v>90744991.732399985</v>
      </c>
      <c r="G2350" s="16">
        <f>IF(D2350=0,0,SUMIF(매도완료!$J:$J,Sheet2!$B2350,매도완료!$S:$S))+IF(D2350=0,0,SUMIF(ING!$J:$J,Sheet2!$B2350,ING!$S:$S))</f>
        <v>0</v>
      </c>
      <c r="H2350" s="16">
        <f t="shared" si="73"/>
        <v>-1049532.7591910586</v>
      </c>
    </row>
    <row r="2351" spans="2:8" hidden="1" x14ac:dyDescent="0.4">
      <c r="B2351" s="1">
        <v>44900</v>
      </c>
      <c r="C2351" s="16">
        <f>SUMIF(매도완료!$G:$G,Sheet2!$B2351,매도완료!$P:$P)+SUMIF(ING!$G:$G,Sheet2!$B2351,ING!$P:$P)</f>
        <v>0</v>
      </c>
      <c r="D2351" s="16">
        <f>SUMIF(매도완료!$J:$J,Sheet2!$B2351,매도완료!$P:$P)+SUMIF(ING!$J:$J,Sheet2!$B2351,ING!$P:$P)</f>
        <v>0</v>
      </c>
      <c r="E2351" s="16">
        <f t="shared" si="72"/>
        <v>90744991.732399985</v>
      </c>
      <c r="G2351" s="16">
        <f>IF(D2351=0,0,SUMIF(매도완료!$J:$J,Sheet2!$B2351,매도완료!$S:$S))+IF(D2351=0,0,SUMIF(ING!$J:$J,Sheet2!$B2351,ING!$S:$S))</f>
        <v>0</v>
      </c>
      <c r="H2351" s="16">
        <f t="shared" si="73"/>
        <v>-1049532.7591910586</v>
      </c>
    </row>
    <row r="2352" spans="2:8" hidden="1" x14ac:dyDescent="0.4">
      <c r="B2352" s="1">
        <v>44901</v>
      </c>
      <c r="C2352" s="16">
        <f>SUMIF(매도완료!$G:$G,Sheet2!$B2352,매도완료!$P:$P)+SUMIF(ING!$G:$G,Sheet2!$B2352,ING!$P:$P)</f>
        <v>0</v>
      </c>
      <c r="D2352" s="16">
        <f>SUMIF(매도완료!$J:$J,Sheet2!$B2352,매도완료!$P:$P)+SUMIF(ING!$J:$J,Sheet2!$B2352,ING!$P:$P)</f>
        <v>0</v>
      </c>
      <c r="E2352" s="16">
        <f t="shared" si="72"/>
        <v>90744991.732399985</v>
      </c>
      <c r="G2352" s="16">
        <f>IF(D2352=0,0,SUMIF(매도완료!$J:$J,Sheet2!$B2352,매도완료!$S:$S))+IF(D2352=0,0,SUMIF(ING!$J:$J,Sheet2!$B2352,ING!$S:$S))</f>
        <v>0</v>
      </c>
      <c r="H2352" s="16">
        <f t="shared" si="73"/>
        <v>-1049532.7591910586</v>
      </c>
    </row>
    <row r="2353" spans="2:8" hidden="1" x14ac:dyDescent="0.4">
      <c r="B2353" s="1">
        <v>44902</v>
      </c>
      <c r="C2353" s="16">
        <f>SUMIF(매도완료!$G:$G,Sheet2!$B2353,매도완료!$P:$P)+SUMIF(ING!$G:$G,Sheet2!$B2353,ING!$P:$P)</f>
        <v>0</v>
      </c>
      <c r="D2353" s="16">
        <f>SUMIF(매도완료!$J:$J,Sheet2!$B2353,매도완료!$P:$P)+SUMIF(ING!$J:$J,Sheet2!$B2353,ING!$P:$P)</f>
        <v>0</v>
      </c>
      <c r="E2353" s="16">
        <f t="shared" si="72"/>
        <v>90744991.732399985</v>
      </c>
      <c r="G2353" s="16">
        <f>IF(D2353=0,0,SUMIF(매도완료!$J:$J,Sheet2!$B2353,매도완료!$S:$S))+IF(D2353=0,0,SUMIF(ING!$J:$J,Sheet2!$B2353,ING!$S:$S))</f>
        <v>0</v>
      </c>
      <c r="H2353" s="16">
        <f t="shared" si="73"/>
        <v>-1049532.7591910586</v>
      </c>
    </row>
    <row r="2354" spans="2:8" hidden="1" x14ac:dyDescent="0.4">
      <c r="B2354" s="1">
        <v>44903</v>
      </c>
      <c r="C2354" s="16">
        <f>SUMIF(매도완료!$G:$G,Sheet2!$B2354,매도완료!$P:$P)+SUMIF(ING!$G:$G,Sheet2!$B2354,ING!$P:$P)</f>
        <v>0</v>
      </c>
      <c r="D2354" s="16">
        <f>SUMIF(매도완료!$J:$J,Sheet2!$B2354,매도완료!$P:$P)+SUMIF(ING!$J:$J,Sheet2!$B2354,ING!$P:$P)</f>
        <v>0</v>
      </c>
      <c r="E2354" s="16">
        <f t="shared" si="72"/>
        <v>90744991.732399985</v>
      </c>
      <c r="G2354" s="16">
        <f>IF(D2354=0,0,SUMIF(매도완료!$J:$J,Sheet2!$B2354,매도완료!$S:$S))+IF(D2354=0,0,SUMIF(ING!$J:$J,Sheet2!$B2354,ING!$S:$S))</f>
        <v>0</v>
      </c>
      <c r="H2354" s="16">
        <f t="shared" si="73"/>
        <v>-1049532.7591910586</v>
      </c>
    </row>
    <row r="2355" spans="2:8" hidden="1" x14ac:dyDescent="0.4">
      <c r="B2355" s="1">
        <v>44904</v>
      </c>
      <c r="C2355" s="16">
        <f>SUMIF(매도완료!$G:$G,Sheet2!$B2355,매도완료!$P:$P)+SUMIF(ING!$G:$G,Sheet2!$B2355,ING!$P:$P)</f>
        <v>0</v>
      </c>
      <c r="D2355" s="16">
        <f>SUMIF(매도완료!$J:$J,Sheet2!$B2355,매도완료!$P:$P)+SUMIF(ING!$J:$J,Sheet2!$B2355,ING!$P:$P)</f>
        <v>0</v>
      </c>
      <c r="E2355" s="16">
        <f t="shared" si="72"/>
        <v>90744991.732399985</v>
      </c>
      <c r="G2355" s="16">
        <f>IF(D2355=0,0,SUMIF(매도완료!$J:$J,Sheet2!$B2355,매도완료!$S:$S))+IF(D2355=0,0,SUMIF(ING!$J:$J,Sheet2!$B2355,ING!$S:$S))</f>
        <v>0</v>
      </c>
      <c r="H2355" s="16">
        <f t="shared" si="73"/>
        <v>-1049532.7591910586</v>
      </c>
    </row>
    <row r="2356" spans="2:8" hidden="1" x14ac:dyDescent="0.4">
      <c r="B2356" s="1">
        <v>44905</v>
      </c>
      <c r="C2356" s="16">
        <f>SUMIF(매도완료!$G:$G,Sheet2!$B2356,매도완료!$P:$P)+SUMIF(ING!$G:$G,Sheet2!$B2356,ING!$P:$P)</f>
        <v>0</v>
      </c>
      <c r="D2356" s="16">
        <f>SUMIF(매도완료!$J:$J,Sheet2!$B2356,매도완료!$P:$P)+SUMIF(ING!$J:$J,Sheet2!$B2356,ING!$P:$P)</f>
        <v>0</v>
      </c>
      <c r="E2356" s="16">
        <f t="shared" si="72"/>
        <v>90744991.732399985</v>
      </c>
      <c r="G2356" s="16">
        <f>IF(D2356=0,0,SUMIF(매도완료!$J:$J,Sheet2!$B2356,매도완료!$S:$S))+IF(D2356=0,0,SUMIF(ING!$J:$J,Sheet2!$B2356,ING!$S:$S))</f>
        <v>0</v>
      </c>
      <c r="H2356" s="16">
        <f t="shared" si="73"/>
        <v>-1049532.7591910586</v>
      </c>
    </row>
    <row r="2357" spans="2:8" hidden="1" x14ac:dyDescent="0.4">
      <c r="B2357" s="1">
        <v>44906</v>
      </c>
      <c r="C2357" s="16">
        <f>SUMIF(매도완료!$G:$G,Sheet2!$B2357,매도완료!$P:$P)+SUMIF(ING!$G:$G,Sheet2!$B2357,ING!$P:$P)</f>
        <v>0</v>
      </c>
      <c r="D2357" s="16">
        <f>SUMIF(매도완료!$J:$J,Sheet2!$B2357,매도완료!$P:$P)+SUMIF(ING!$J:$J,Sheet2!$B2357,ING!$P:$P)</f>
        <v>0</v>
      </c>
      <c r="E2357" s="16">
        <f t="shared" si="72"/>
        <v>90744991.732399985</v>
      </c>
      <c r="G2357" s="16">
        <f>IF(D2357=0,0,SUMIF(매도완료!$J:$J,Sheet2!$B2357,매도완료!$S:$S))+IF(D2357=0,0,SUMIF(ING!$J:$J,Sheet2!$B2357,ING!$S:$S))</f>
        <v>0</v>
      </c>
      <c r="H2357" s="16">
        <f t="shared" si="73"/>
        <v>-1049532.7591910586</v>
      </c>
    </row>
    <row r="2358" spans="2:8" hidden="1" x14ac:dyDescent="0.4">
      <c r="B2358" s="1">
        <v>44907</v>
      </c>
      <c r="C2358" s="16">
        <f>SUMIF(매도완료!$G:$G,Sheet2!$B2358,매도완료!$P:$P)+SUMIF(ING!$G:$G,Sheet2!$B2358,ING!$P:$P)</f>
        <v>0</v>
      </c>
      <c r="D2358" s="16">
        <f>SUMIF(매도완료!$J:$J,Sheet2!$B2358,매도완료!$P:$P)+SUMIF(ING!$J:$J,Sheet2!$B2358,ING!$P:$P)</f>
        <v>0</v>
      </c>
      <c r="E2358" s="16">
        <f t="shared" si="72"/>
        <v>90744991.732399985</v>
      </c>
      <c r="G2358" s="16">
        <f>IF(D2358=0,0,SUMIF(매도완료!$J:$J,Sheet2!$B2358,매도완료!$S:$S))+IF(D2358=0,0,SUMIF(ING!$J:$J,Sheet2!$B2358,ING!$S:$S))</f>
        <v>0</v>
      </c>
      <c r="H2358" s="16">
        <f t="shared" si="73"/>
        <v>-1049532.7591910586</v>
      </c>
    </row>
    <row r="2359" spans="2:8" hidden="1" x14ac:dyDescent="0.4">
      <c r="B2359" s="1">
        <v>44908</v>
      </c>
      <c r="C2359" s="16">
        <f>SUMIF(매도완료!$G:$G,Sheet2!$B2359,매도완료!$P:$P)+SUMIF(ING!$G:$G,Sheet2!$B2359,ING!$P:$P)</f>
        <v>0</v>
      </c>
      <c r="D2359" s="16">
        <f>SUMIF(매도완료!$J:$J,Sheet2!$B2359,매도완료!$P:$P)+SUMIF(ING!$J:$J,Sheet2!$B2359,ING!$P:$P)</f>
        <v>0</v>
      </c>
      <c r="E2359" s="16">
        <f t="shared" si="72"/>
        <v>90744991.732399985</v>
      </c>
      <c r="G2359" s="16">
        <f>IF(D2359=0,0,SUMIF(매도완료!$J:$J,Sheet2!$B2359,매도완료!$S:$S))+IF(D2359=0,0,SUMIF(ING!$J:$J,Sheet2!$B2359,ING!$S:$S))</f>
        <v>0</v>
      </c>
      <c r="H2359" s="16">
        <f t="shared" si="73"/>
        <v>-1049532.7591910586</v>
      </c>
    </row>
    <row r="2360" spans="2:8" hidden="1" x14ac:dyDescent="0.4">
      <c r="B2360" s="1">
        <v>44909</v>
      </c>
      <c r="C2360" s="16">
        <f>SUMIF(매도완료!$G:$G,Sheet2!$B2360,매도완료!$P:$P)+SUMIF(ING!$G:$G,Sheet2!$B2360,ING!$P:$P)</f>
        <v>0</v>
      </c>
      <c r="D2360" s="16">
        <f>SUMIF(매도완료!$J:$J,Sheet2!$B2360,매도완료!$P:$P)+SUMIF(ING!$J:$J,Sheet2!$B2360,ING!$P:$P)</f>
        <v>0</v>
      </c>
      <c r="E2360" s="16">
        <f t="shared" si="72"/>
        <v>90744991.732399985</v>
      </c>
      <c r="G2360" s="16">
        <f>IF(D2360=0,0,SUMIF(매도완료!$J:$J,Sheet2!$B2360,매도완료!$S:$S))+IF(D2360=0,0,SUMIF(ING!$J:$J,Sheet2!$B2360,ING!$S:$S))</f>
        <v>0</v>
      </c>
      <c r="H2360" s="16">
        <f t="shared" si="73"/>
        <v>-1049532.7591910586</v>
      </c>
    </row>
    <row r="2361" spans="2:8" hidden="1" x14ac:dyDescent="0.4">
      <c r="B2361" s="1">
        <v>44910</v>
      </c>
      <c r="C2361" s="16">
        <f>SUMIF(매도완료!$G:$G,Sheet2!$B2361,매도완료!$P:$P)+SUMIF(ING!$G:$G,Sheet2!$B2361,ING!$P:$P)</f>
        <v>0</v>
      </c>
      <c r="D2361" s="16">
        <f>SUMIF(매도완료!$J:$J,Sheet2!$B2361,매도완료!$P:$P)+SUMIF(ING!$J:$J,Sheet2!$B2361,ING!$P:$P)</f>
        <v>0</v>
      </c>
      <c r="E2361" s="16">
        <f t="shared" si="72"/>
        <v>90744991.732399985</v>
      </c>
      <c r="G2361" s="16">
        <f>IF(D2361=0,0,SUMIF(매도완료!$J:$J,Sheet2!$B2361,매도완료!$S:$S))+IF(D2361=0,0,SUMIF(ING!$J:$J,Sheet2!$B2361,ING!$S:$S))</f>
        <v>0</v>
      </c>
      <c r="H2361" s="16">
        <f t="shared" si="73"/>
        <v>-1049532.7591910586</v>
      </c>
    </row>
    <row r="2362" spans="2:8" hidden="1" x14ac:dyDescent="0.4">
      <c r="B2362" s="1">
        <v>44911</v>
      </c>
      <c r="C2362" s="16">
        <f>SUMIF(매도완료!$G:$G,Sheet2!$B2362,매도완료!$P:$P)+SUMIF(ING!$G:$G,Sheet2!$B2362,ING!$P:$P)</f>
        <v>0</v>
      </c>
      <c r="D2362" s="16">
        <f>SUMIF(매도완료!$J:$J,Sheet2!$B2362,매도완료!$P:$P)+SUMIF(ING!$J:$J,Sheet2!$B2362,ING!$P:$P)</f>
        <v>0</v>
      </c>
      <c r="E2362" s="16">
        <f t="shared" si="72"/>
        <v>90744991.732399985</v>
      </c>
      <c r="G2362" s="16">
        <f>IF(D2362=0,0,SUMIF(매도완료!$J:$J,Sheet2!$B2362,매도완료!$S:$S))+IF(D2362=0,0,SUMIF(ING!$J:$J,Sheet2!$B2362,ING!$S:$S))</f>
        <v>0</v>
      </c>
      <c r="H2362" s="16">
        <f t="shared" si="73"/>
        <v>-1049532.7591910586</v>
      </c>
    </row>
    <row r="2363" spans="2:8" hidden="1" x14ac:dyDescent="0.4">
      <c r="B2363" s="1">
        <v>44912</v>
      </c>
      <c r="C2363" s="16">
        <f>SUMIF(매도완료!$G:$G,Sheet2!$B2363,매도완료!$P:$P)+SUMIF(ING!$G:$G,Sheet2!$B2363,ING!$P:$P)</f>
        <v>0</v>
      </c>
      <c r="D2363" s="16">
        <f>SUMIF(매도완료!$J:$J,Sheet2!$B2363,매도완료!$P:$P)+SUMIF(ING!$J:$J,Sheet2!$B2363,ING!$P:$P)</f>
        <v>0</v>
      </c>
      <c r="E2363" s="16">
        <f t="shared" si="72"/>
        <v>90744991.732399985</v>
      </c>
      <c r="G2363" s="16">
        <f>IF(D2363=0,0,SUMIF(매도완료!$J:$J,Sheet2!$B2363,매도완료!$S:$S))+IF(D2363=0,0,SUMIF(ING!$J:$J,Sheet2!$B2363,ING!$S:$S))</f>
        <v>0</v>
      </c>
      <c r="H2363" s="16">
        <f t="shared" si="73"/>
        <v>-1049532.7591910586</v>
      </c>
    </row>
    <row r="2364" spans="2:8" hidden="1" x14ac:dyDescent="0.4">
      <c r="B2364" s="1">
        <v>44913</v>
      </c>
      <c r="C2364" s="16">
        <f>SUMIF(매도완료!$G:$G,Sheet2!$B2364,매도완료!$P:$P)+SUMIF(ING!$G:$G,Sheet2!$B2364,ING!$P:$P)</f>
        <v>0</v>
      </c>
      <c r="D2364" s="16">
        <f>SUMIF(매도완료!$J:$J,Sheet2!$B2364,매도완료!$P:$P)+SUMIF(ING!$J:$J,Sheet2!$B2364,ING!$P:$P)</f>
        <v>0</v>
      </c>
      <c r="E2364" s="16">
        <f t="shared" si="72"/>
        <v>90744991.732399985</v>
      </c>
      <c r="G2364" s="16">
        <f>IF(D2364=0,0,SUMIF(매도완료!$J:$J,Sheet2!$B2364,매도완료!$S:$S))+IF(D2364=0,0,SUMIF(ING!$J:$J,Sheet2!$B2364,ING!$S:$S))</f>
        <v>0</v>
      </c>
      <c r="H2364" s="16">
        <f t="shared" si="73"/>
        <v>-1049532.7591910586</v>
      </c>
    </row>
    <row r="2365" spans="2:8" hidden="1" x14ac:dyDescent="0.4">
      <c r="B2365" s="1">
        <v>44914</v>
      </c>
      <c r="C2365" s="16">
        <f>SUMIF(매도완료!$G:$G,Sheet2!$B2365,매도완료!$P:$P)+SUMIF(ING!$G:$G,Sheet2!$B2365,ING!$P:$P)</f>
        <v>0</v>
      </c>
      <c r="D2365" s="16">
        <f>SUMIF(매도완료!$J:$J,Sheet2!$B2365,매도완료!$P:$P)+SUMIF(ING!$J:$J,Sheet2!$B2365,ING!$P:$P)</f>
        <v>0</v>
      </c>
      <c r="E2365" s="16">
        <f t="shared" si="72"/>
        <v>90744991.732399985</v>
      </c>
      <c r="G2365" s="16">
        <f>IF(D2365=0,0,SUMIF(매도완료!$J:$J,Sheet2!$B2365,매도완료!$S:$S))+IF(D2365=0,0,SUMIF(ING!$J:$J,Sheet2!$B2365,ING!$S:$S))</f>
        <v>0</v>
      </c>
      <c r="H2365" s="16">
        <f t="shared" si="73"/>
        <v>-1049532.7591910586</v>
      </c>
    </row>
    <row r="2366" spans="2:8" hidden="1" x14ac:dyDescent="0.4">
      <c r="B2366" s="1">
        <v>44915</v>
      </c>
      <c r="C2366" s="16">
        <f>SUMIF(매도완료!$G:$G,Sheet2!$B2366,매도완료!$P:$P)+SUMIF(ING!$G:$G,Sheet2!$B2366,ING!$P:$P)</f>
        <v>0</v>
      </c>
      <c r="D2366" s="16">
        <f>SUMIF(매도완료!$J:$J,Sheet2!$B2366,매도완료!$P:$P)+SUMIF(ING!$J:$J,Sheet2!$B2366,ING!$P:$P)</f>
        <v>0</v>
      </c>
      <c r="E2366" s="16">
        <f t="shared" si="72"/>
        <v>90744991.732399985</v>
      </c>
      <c r="G2366" s="16">
        <f>IF(D2366=0,0,SUMIF(매도완료!$J:$J,Sheet2!$B2366,매도완료!$S:$S))+IF(D2366=0,0,SUMIF(ING!$J:$J,Sheet2!$B2366,ING!$S:$S))</f>
        <v>0</v>
      </c>
      <c r="H2366" s="16">
        <f t="shared" si="73"/>
        <v>-1049532.7591910586</v>
      </c>
    </row>
    <row r="2367" spans="2:8" hidden="1" x14ac:dyDescent="0.4">
      <c r="B2367" s="1">
        <v>44916</v>
      </c>
      <c r="C2367" s="16">
        <f>SUMIF(매도완료!$G:$G,Sheet2!$B2367,매도완료!$P:$P)+SUMIF(ING!$G:$G,Sheet2!$B2367,ING!$P:$P)</f>
        <v>0</v>
      </c>
      <c r="D2367" s="16">
        <f>SUMIF(매도완료!$J:$J,Sheet2!$B2367,매도완료!$P:$P)+SUMIF(ING!$J:$J,Sheet2!$B2367,ING!$P:$P)</f>
        <v>0</v>
      </c>
      <c r="E2367" s="16">
        <f t="shared" si="72"/>
        <v>90744991.732399985</v>
      </c>
      <c r="G2367" s="16">
        <f>IF(D2367=0,0,SUMIF(매도완료!$J:$J,Sheet2!$B2367,매도완료!$S:$S))+IF(D2367=0,0,SUMIF(ING!$J:$J,Sheet2!$B2367,ING!$S:$S))</f>
        <v>0</v>
      </c>
      <c r="H2367" s="16">
        <f t="shared" si="73"/>
        <v>-1049532.7591910586</v>
      </c>
    </row>
    <row r="2368" spans="2:8" hidden="1" x14ac:dyDescent="0.4">
      <c r="B2368" s="1">
        <v>44917</v>
      </c>
      <c r="C2368" s="16">
        <f>SUMIF(매도완료!$G:$G,Sheet2!$B2368,매도완료!$P:$P)+SUMIF(ING!$G:$G,Sheet2!$B2368,ING!$P:$P)</f>
        <v>0</v>
      </c>
      <c r="D2368" s="16">
        <f>SUMIF(매도완료!$J:$J,Sheet2!$B2368,매도완료!$P:$P)+SUMIF(ING!$J:$J,Sheet2!$B2368,ING!$P:$P)</f>
        <v>0</v>
      </c>
      <c r="E2368" s="16">
        <f t="shared" si="72"/>
        <v>90744991.732399985</v>
      </c>
      <c r="G2368" s="16">
        <f>IF(D2368=0,0,SUMIF(매도완료!$J:$J,Sheet2!$B2368,매도완료!$S:$S))+IF(D2368=0,0,SUMIF(ING!$J:$J,Sheet2!$B2368,ING!$S:$S))</f>
        <v>0</v>
      </c>
      <c r="H2368" s="16">
        <f t="shared" si="73"/>
        <v>-1049532.7591910586</v>
      </c>
    </row>
    <row r="2369" spans="2:8" hidden="1" x14ac:dyDescent="0.4">
      <c r="B2369" s="1">
        <v>44918</v>
      </c>
      <c r="C2369" s="16">
        <f>SUMIF(매도완료!$G:$G,Sheet2!$B2369,매도완료!$P:$P)+SUMIF(ING!$G:$G,Sheet2!$B2369,ING!$P:$P)</f>
        <v>0</v>
      </c>
      <c r="D2369" s="16">
        <f>SUMIF(매도완료!$J:$J,Sheet2!$B2369,매도완료!$P:$P)+SUMIF(ING!$J:$J,Sheet2!$B2369,ING!$P:$P)</f>
        <v>0</v>
      </c>
      <c r="E2369" s="16">
        <f t="shared" si="72"/>
        <v>90744991.732399985</v>
      </c>
      <c r="G2369" s="16">
        <f>IF(D2369=0,0,SUMIF(매도완료!$J:$J,Sheet2!$B2369,매도완료!$S:$S))+IF(D2369=0,0,SUMIF(ING!$J:$J,Sheet2!$B2369,ING!$S:$S))</f>
        <v>0</v>
      </c>
      <c r="H2369" s="16">
        <f t="shared" si="73"/>
        <v>-1049532.7591910586</v>
      </c>
    </row>
    <row r="2370" spans="2:8" hidden="1" x14ac:dyDescent="0.4">
      <c r="B2370" s="1">
        <v>44919</v>
      </c>
      <c r="C2370" s="16">
        <f>SUMIF(매도완료!$G:$G,Sheet2!$B2370,매도완료!$P:$P)+SUMIF(ING!$G:$G,Sheet2!$B2370,ING!$P:$P)</f>
        <v>0</v>
      </c>
      <c r="D2370" s="16">
        <f>SUMIF(매도완료!$J:$J,Sheet2!$B2370,매도완료!$P:$P)+SUMIF(ING!$J:$J,Sheet2!$B2370,ING!$P:$P)</f>
        <v>0</v>
      </c>
      <c r="E2370" s="16">
        <f t="shared" si="72"/>
        <v>90744991.732399985</v>
      </c>
      <c r="G2370" s="16">
        <f>IF(D2370=0,0,SUMIF(매도완료!$J:$J,Sheet2!$B2370,매도완료!$S:$S))+IF(D2370=0,0,SUMIF(ING!$J:$J,Sheet2!$B2370,ING!$S:$S))</f>
        <v>0</v>
      </c>
      <c r="H2370" s="16">
        <f t="shared" si="73"/>
        <v>-1049532.7591910586</v>
      </c>
    </row>
    <row r="2371" spans="2:8" hidden="1" x14ac:dyDescent="0.4">
      <c r="B2371" s="1">
        <v>44920</v>
      </c>
      <c r="C2371" s="16">
        <f>SUMIF(매도완료!$G:$G,Sheet2!$B2371,매도완료!$P:$P)+SUMIF(ING!$G:$G,Sheet2!$B2371,ING!$P:$P)</f>
        <v>0</v>
      </c>
      <c r="D2371" s="16">
        <f>SUMIF(매도완료!$J:$J,Sheet2!$B2371,매도완료!$P:$P)+SUMIF(ING!$J:$J,Sheet2!$B2371,ING!$P:$P)</f>
        <v>0</v>
      </c>
      <c r="E2371" s="16">
        <f t="shared" si="72"/>
        <v>90744991.732399985</v>
      </c>
      <c r="G2371" s="16">
        <f>IF(D2371=0,0,SUMIF(매도완료!$J:$J,Sheet2!$B2371,매도완료!$S:$S))+IF(D2371=0,0,SUMIF(ING!$J:$J,Sheet2!$B2371,ING!$S:$S))</f>
        <v>0</v>
      </c>
      <c r="H2371" s="16">
        <f t="shared" si="73"/>
        <v>-1049532.7591910586</v>
      </c>
    </row>
    <row r="2372" spans="2:8" hidden="1" x14ac:dyDescent="0.4">
      <c r="B2372" s="1">
        <v>44921</v>
      </c>
      <c r="C2372" s="16">
        <f>SUMIF(매도완료!$G:$G,Sheet2!$B2372,매도완료!$P:$P)+SUMIF(ING!$G:$G,Sheet2!$B2372,ING!$P:$P)</f>
        <v>0</v>
      </c>
      <c r="D2372" s="16">
        <f>SUMIF(매도완료!$J:$J,Sheet2!$B2372,매도완료!$P:$P)+SUMIF(ING!$J:$J,Sheet2!$B2372,ING!$P:$P)</f>
        <v>0</v>
      </c>
      <c r="E2372" s="16">
        <f t="shared" ref="E2372:E2435" si="74">E2371+C2372-D2372</f>
        <v>90744991.732399985</v>
      </c>
      <c r="G2372" s="16">
        <f>IF(D2372=0,0,SUMIF(매도완료!$J:$J,Sheet2!$B2372,매도완료!$S:$S))+IF(D2372=0,0,SUMIF(ING!$J:$J,Sheet2!$B2372,ING!$S:$S))</f>
        <v>0</v>
      </c>
      <c r="H2372" s="16">
        <f t="shared" ref="H2372:H2435" si="75">H2371+G2372</f>
        <v>-1049532.7591910586</v>
      </c>
    </row>
    <row r="2373" spans="2:8" hidden="1" x14ac:dyDescent="0.4">
      <c r="B2373" s="1">
        <v>44922</v>
      </c>
      <c r="C2373" s="16">
        <f>SUMIF(매도완료!$G:$G,Sheet2!$B2373,매도완료!$P:$P)+SUMIF(ING!$G:$G,Sheet2!$B2373,ING!$P:$P)</f>
        <v>0</v>
      </c>
      <c r="D2373" s="16">
        <f>SUMIF(매도완료!$J:$J,Sheet2!$B2373,매도완료!$P:$P)+SUMIF(ING!$J:$J,Sheet2!$B2373,ING!$P:$P)</f>
        <v>0</v>
      </c>
      <c r="E2373" s="16">
        <f t="shared" si="74"/>
        <v>90744991.732399985</v>
      </c>
      <c r="G2373" s="16">
        <f>IF(D2373=0,0,SUMIF(매도완료!$J:$J,Sheet2!$B2373,매도완료!$S:$S))+IF(D2373=0,0,SUMIF(ING!$J:$J,Sheet2!$B2373,ING!$S:$S))</f>
        <v>0</v>
      </c>
      <c r="H2373" s="16">
        <f t="shared" si="75"/>
        <v>-1049532.7591910586</v>
      </c>
    </row>
    <row r="2374" spans="2:8" hidden="1" x14ac:dyDescent="0.4">
      <c r="B2374" s="1">
        <v>44923</v>
      </c>
      <c r="C2374" s="16">
        <f>SUMIF(매도완료!$G:$G,Sheet2!$B2374,매도완료!$P:$P)+SUMIF(ING!$G:$G,Sheet2!$B2374,ING!$P:$P)</f>
        <v>0</v>
      </c>
      <c r="D2374" s="16">
        <f>SUMIF(매도완료!$J:$J,Sheet2!$B2374,매도완료!$P:$P)+SUMIF(ING!$J:$J,Sheet2!$B2374,ING!$P:$P)</f>
        <v>0</v>
      </c>
      <c r="E2374" s="16">
        <f t="shared" si="74"/>
        <v>90744991.732399985</v>
      </c>
      <c r="G2374" s="16">
        <f>IF(D2374=0,0,SUMIF(매도완료!$J:$J,Sheet2!$B2374,매도완료!$S:$S))+IF(D2374=0,0,SUMIF(ING!$J:$J,Sheet2!$B2374,ING!$S:$S))</f>
        <v>0</v>
      </c>
      <c r="H2374" s="16">
        <f t="shared" si="75"/>
        <v>-1049532.7591910586</v>
      </c>
    </row>
    <row r="2375" spans="2:8" hidden="1" x14ac:dyDescent="0.4">
      <c r="B2375" s="1">
        <v>44924</v>
      </c>
      <c r="C2375" s="16">
        <f>SUMIF(매도완료!$G:$G,Sheet2!$B2375,매도완료!$P:$P)+SUMIF(ING!$G:$G,Sheet2!$B2375,ING!$P:$P)</f>
        <v>0</v>
      </c>
      <c r="D2375" s="16">
        <f>SUMIF(매도완료!$J:$J,Sheet2!$B2375,매도완료!$P:$P)+SUMIF(ING!$J:$J,Sheet2!$B2375,ING!$P:$P)</f>
        <v>0</v>
      </c>
      <c r="E2375" s="16">
        <f t="shared" si="74"/>
        <v>90744991.732399985</v>
      </c>
      <c r="G2375" s="16">
        <f>IF(D2375=0,0,SUMIF(매도완료!$J:$J,Sheet2!$B2375,매도완료!$S:$S))+IF(D2375=0,0,SUMIF(ING!$J:$J,Sheet2!$B2375,ING!$S:$S))</f>
        <v>0</v>
      </c>
      <c r="H2375" s="16">
        <f t="shared" si="75"/>
        <v>-1049532.7591910586</v>
      </c>
    </row>
    <row r="2376" spans="2:8" hidden="1" x14ac:dyDescent="0.4">
      <c r="B2376" s="1">
        <v>44925</v>
      </c>
      <c r="C2376" s="16">
        <f>SUMIF(매도완료!$G:$G,Sheet2!$B2376,매도완료!$P:$P)+SUMIF(ING!$G:$G,Sheet2!$B2376,ING!$P:$P)</f>
        <v>0</v>
      </c>
      <c r="D2376" s="16">
        <f>SUMIF(매도완료!$J:$J,Sheet2!$B2376,매도완료!$P:$P)+SUMIF(ING!$J:$J,Sheet2!$B2376,ING!$P:$P)</f>
        <v>0</v>
      </c>
      <c r="E2376" s="16">
        <f t="shared" si="74"/>
        <v>90744991.732399985</v>
      </c>
      <c r="G2376" s="16">
        <f>IF(D2376=0,0,SUMIF(매도완료!$J:$J,Sheet2!$B2376,매도완료!$S:$S))+IF(D2376=0,0,SUMIF(ING!$J:$J,Sheet2!$B2376,ING!$S:$S))</f>
        <v>0</v>
      </c>
      <c r="H2376" s="16">
        <f t="shared" si="75"/>
        <v>-1049532.7591910586</v>
      </c>
    </row>
    <row r="2377" spans="2:8" hidden="1" x14ac:dyDescent="0.4">
      <c r="B2377" s="1">
        <v>44926</v>
      </c>
      <c r="C2377" s="16">
        <f>SUMIF(매도완료!$G:$G,Sheet2!$B2377,매도완료!$P:$P)+SUMIF(ING!$G:$G,Sheet2!$B2377,ING!$P:$P)</f>
        <v>0</v>
      </c>
      <c r="D2377" s="16">
        <f>SUMIF(매도완료!$J:$J,Sheet2!$B2377,매도완료!$P:$P)+SUMIF(ING!$J:$J,Sheet2!$B2377,ING!$P:$P)</f>
        <v>0</v>
      </c>
      <c r="E2377" s="16">
        <f t="shared" si="74"/>
        <v>90744991.732399985</v>
      </c>
      <c r="G2377" s="16">
        <f>IF(D2377=0,0,SUMIF(매도완료!$J:$J,Sheet2!$B2377,매도완료!$S:$S))+IF(D2377=0,0,SUMIF(ING!$J:$J,Sheet2!$B2377,ING!$S:$S))</f>
        <v>0</v>
      </c>
      <c r="H2377" s="16">
        <f t="shared" si="75"/>
        <v>-1049532.7591910586</v>
      </c>
    </row>
    <row r="2378" spans="2:8" x14ac:dyDescent="0.4">
      <c r="B2378" s="1">
        <v>44927</v>
      </c>
      <c r="C2378" s="16">
        <f>SUMIF(매도완료!$G:$G,Sheet2!$B2378,매도완료!$P:$P)+SUMIF(ING!$G:$G,Sheet2!$B2378,ING!$P:$P)</f>
        <v>0</v>
      </c>
      <c r="D2378" s="16">
        <f>SUMIF(매도완료!$J:$J,Sheet2!$B2378,매도완료!$P:$P)+SUMIF(ING!$J:$J,Sheet2!$B2378,ING!$P:$P)</f>
        <v>0</v>
      </c>
      <c r="E2378" s="16">
        <f t="shared" si="74"/>
        <v>90744991.732399985</v>
      </c>
      <c r="G2378" s="16">
        <f>IF(D2378=0,0,SUMIF(매도완료!$J:$J,Sheet2!$B2378,매도완료!$S:$S))+IF(D2378=0,0,SUMIF(ING!$J:$J,Sheet2!$B2378,ING!$S:$S))</f>
        <v>0</v>
      </c>
      <c r="H2378" s="16">
        <f t="shared" si="75"/>
        <v>-1049532.7591910586</v>
      </c>
    </row>
    <row r="2379" spans="2:8" hidden="1" x14ac:dyDescent="0.4">
      <c r="B2379" s="1">
        <v>44928</v>
      </c>
      <c r="C2379" s="16">
        <f>SUMIF(매도완료!$G:$G,Sheet2!$B2379,매도완료!$P:$P)+SUMIF(ING!$G:$G,Sheet2!$B2379,ING!$P:$P)</f>
        <v>0</v>
      </c>
      <c r="D2379" s="16">
        <f>SUMIF(매도완료!$J:$J,Sheet2!$B2379,매도완료!$P:$P)+SUMIF(ING!$J:$J,Sheet2!$B2379,ING!$P:$P)</f>
        <v>0</v>
      </c>
      <c r="E2379" s="16">
        <f t="shared" si="74"/>
        <v>90744991.732399985</v>
      </c>
      <c r="G2379" s="16">
        <f>IF(D2379=0,0,SUMIF(매도완료!$J:$J,Sheet2!$B2379,매도완료!$S:$S))+IF(D2379=0,0,SUMIF(ING!$J:$J,Sheet2!$B2379,ING!$S:$S))</f>
        <v>0</v>
      </c>
      <c r="H2379" s="16">
        <f t="shared" si="75"/>
        <v>-1049532.7591910586</v>
      </c>
    </row>
    <row r="2380" spans="2:8" hidden="1" x14ac:dyDescent="0.4">
      <c r="B2380" s="1">
        <v>44929</v>
      </c>
      <c r="C2380" s="16">
        <f>SUMIF(매도완료!$G:$G,Sheet2!$B2380,매도완료!$P:$P)+SUMIF(ING!$G:$G,Sheet2!$B2380,ING!$P:$P)</f>
        <v>0</v>
      </c>
      <c r="D2380" s="16">
        <f>SUMIF(매도완료!$J:$J,Sheet2!$B2380,매도완료!$P:$P)+SUMIF(ING!$J:$J,Sheet2!$B2380,ING!$P:$P)</f>
        <v>0</v>
      </c>
      <c r="E2380" s="16">
        <f t="shared" si="74"/>
        <v>90744991.732399985</v>
      </c>
      <c r="G2380" s="16">
        <f>IF(D2380=0,0,SUMIF(매도완료!$J:$J,Sheet2!$B2380,매도완료!$S:$S))+IF(D2380=0,0,SUMIF(ING!$J:$J,Sheet2!$B2380,ING!$S:$S))</f>
        <v>0</v>
      </c>
      <c r="H2380" s="16">
        <f t="shared" si="75"/>
        <v>-1049532.7591910586</v>
      </c>
    </row>
    <row r="2381" spans="2:8" hidden="1" x14ac:dyDescent="0.4">
      <c r="B2381" s="1">
        <v>44930</v>
      </c>
      <c r="C2381" s="16">
        <f>SUMIF(매도완료!$G:$G,Sheet2!$B2381,매도완료!$P:$P)+SUMIF(ING!$G:$G,Sheet2!$B2381,ING!$P:$P)</f>
        <v>0</v>
      </c>
      <c r="D2381" s="16">
        <f>SUMIF(매도완료!$J:$J,Sheet2!$B2381,매도완료!$P:$P)+SUMIF(ING!$J:$J,Sheet2!$B2381,ING!$P:$P)</f>
        <v>0</v>
      </c>
      <c r="E2381" s="16">
        <f t="shared" si="74"/>
        <v>90744991.732399985</v>
      </c>
      <c r="G2381" s="16">
        <f>IF(D2381=0,0,SUMIF(매도완료!$J:$J,Sheet2!$B2381,매도완료!$S:$S))+IF(D2381=0,0,SUMIF(ING!$J:$J,Sheet2!$B2381,ING!$S:$S))</f>
        <v>0</v>
      </c>
      <c r="H2381" s="16">
        <f t="shared" si="75"/>
        <v>-1049532.7591910586</v>
      </c>
    </row>
    <row r="2382" spans="2:8" hidden="1" x14ac:dyDescent="0.4">
      <c r="B2382" s="1">
        <v>44931</v>
      </c>
      <c r="C2382" s="16">
        <f>SUMIF(매도완료!$G:$G,Sheet2!$B2382,매도완료!$P:$P)+SUMIF(ING!$G:$G,Sheet2!$B2382,ING!$P:$P)</f>
        <v>0</v>
      </c>
      <c r="D2382" s="16">
        <f>SUMIF(매도완료!$J:$J,Sheet2!$B2382,매도완료!$P:$P)+SUMIF(ING!$J:$J,Sheet2!$B2382,ING!$P:$P)</f>
        <v>0</v>
      </c>
      <c r="E2382" s="16">
        <f t="shared" si="74"/>
        <v>90744991.732399985</v>
      </c>
      <c r="G2382" s="16">
        <f>IF(D2382=0,0,SUMIF(매도완료!$J:$J,Sheet2!$B2382,매도완료!$S:$S))+IF(D2382=0,0,SUMIF(ING!$J:$J,Sheet2!$B2382,ING!$S:$S))</f>
        <v>0</v>
      </c>
      <c r="H2382" s="16">
        <f t="shared" si="75"/>
        <v>-1049532.7591910586</v>
      </c>
    </row>
    <row r="2383" spans="2:8" hidden="1" x14ac:dyDescent="0.4">
      <c r="B2383" s="1">
        <v>44932</v>
      </c>
      <c r="C2383" s="16">
        <f>SUMIF(매도완료!$G:$G,Sheet2!$B2383,매도완료!$P:$P)+SUMIF(ING!$G:$G,Sheet2!$B2383,ING!$P:$P)</f>
        <v>0</v>
      </c>
      <c r="D2383" s="16">
        <f>SUMIF(매도완료!$J:$J,Sheet2!$B2383,매도완료!$P:$P)+SUMIF(ING!$J:$J,Sheet2!$B2383,ING!$P:$P)</f>
        <v>0</v>
      </c>
      <c r="E2383" s="16">
        <f t="shared" si="74"/>
        <v>90744991.732399985</v>
      </c>
      <c r="G2383" s="16">
        <f>IF(D2383=0,0,SUMIF(매도완료!$J:$J,Sheet2!$B2383,매도완료!$S:$S))+IF(D2383=0,0,SUMIF(ING!$J:$J,Sheet2!$B2383,ING!$S:$S))</f>
        <v>0</v>
      </c>
      <c r="H2383" s="16">
        <f t="shared" si="75"/>
        <v>-1049532.7591910586</v>
      </c>
    </row>
    <row r="2384" spans="2:8" hidden="1" x14ac:dyDescent="0.4">
      <c r="B2384" s="1">
        <v>44933</v>
      </c>
      <c r="C2384" s="16">
        <f>SUMIF(매도완료!$G:$G,Sheet2!$B2384,매도완료!$P:$P)+SUMIF(ING!$G:$G,Sheet2!$B2384,ING!$P:$P)</f>
        <v>0</v>
      </c>
      <c r="D2384" s="16">
        <f>SUMIF(매도완료!$J:$J,Sheet2!$B2384,매도완료!$P:$P)+SUMIF(ING!$J:$J,Sheet2!$B2384,ING!$P:$P)</f>
        <v>0</v>
      </c>
      <c r="E2384" s="16">
        <f t="shared" si="74"/>
        <v>90744991.732399985</v>
      </c>
      <c r="G2384" s="16">
        <f>IF(D2384=0,0,SUMIF(매도완료!$J:$J,Sheet2!$B2384,매도완료!$S:$S))+IF(D2384=0,0,SUMIF(ING!$J:$J,Sheet2!$B2384,ING!$S:$S))</f>
        <v>0</v>
      </c>
      <c r="H2384" s="16">
        <f t="shared" si="75"/>
        <v>-1049532.7591910586</v>
      </c>
    </row>
    <row r="2385" spans="2:8" hidden="1" x14ac:dyDescent="0.4">
      <c r="B2385" s="1">
        <v>44934</v>
      </c>
      <c r="C2385" s="16">
        <f>SUMIF(매도완료!$G:$G,Sheet2!$B2385,매도완료!$P:$P)+SUMIF(ING!$G:$G,Sheet2!$B2385,ING!$P:$P)</f>
        <v>0</v>
      </c>
      <c r="D2385" s="16">
        <f>SUMIF(매도완료!$J:$J,Sheet2!$B2385,매도완료!$P:$P)+SUMIF(ING!$J:$J,Sheet2!$B2385,ING!$P:$P)</f>
        <v>0</v>
      </c>
      <c r="E2385" s="16">
        <f t="shared" si="74"/>
        <v>90744991.732399985</v>
      </c>
      <c r="G2385" s="16">
        <f>IF(D2385=0,0,SUMIF(매도완료!$J:$J,Sheet2!$B2385,매도완료!$S:$S))+IF(D2385=0,0,SUMIF(ING!$J:$J,Sheet2!$B2385,ING!$S:$S))</f>
        <v>0</v>
      </c>
      <c r="H2385" s="16">
        <f t="shared" si="75"/>
        <v>-1049532.7591910586</v>
      </c>
    </row>
    <row r="2386" spans="2:8" hidden="1" x14ac:dyDescent="0.4">
      <c r="B2386" s="1">
        <v>44935</v>
      </c>
      <c r="C2386" s="16">
        <f>SUMIF(매도완료!$G:$G,Sheet2!$B2386,매도완료!$P:$P)+SUMIF(ING!$G:$G,Sheet2!$B2386,ING!$P:$P)</f>
        <v>0</v>
      </c>
      <c r="D2386" s="16">
        <f>SUMIF(매도완료!$J:$J,Sheet2!$B2386,매도완료!$P:$P)+SUMIF(ING!$J:$J,Sheet2!$B2386,ING!$P:$P)</f>
        <v>0</v>
      </c>
      <c r="E2386" s="16">
        <f t="shared" si="74"/>
        <v>90744991.732399985</v>
      </c>
      <c r="G2386" s="16">
        <f>IF(D2386=0,0,SUMIF(매도완료!$J:$J,Sheet2!$B2386,매도완료!$S:$S))+IF(D2386=0,0,SUMIF(ING!$J:$J,Sheet2!$B2386,ING!$S:$S))</f>
        <v>0</v>
      </c>
      <c r="H2386" s="16">
        <f t="shared" si="75"/>
        <v>-1049532.7591910586</v>
      </c>
    </row>
    <row r="2387" spans="2:8" hidden="1" x14ac:dyDescent="0.4">
      <c r="B2387" s="1">
        <v>44936</v>
      </c>
      <c r="C2387" s="16">
        <f>SUMIF(매도완료!$G:$G,Sheet2!$B2387,매도완료!$P:$P)+SUMIF(ING!$G:$G,Sheet2!$B2387,ING!$P:$P)</f>
        <v>0</v>
      </c>
      <c r="D2387" s="16">
        <f>SUMIF(매도완료!$J:$J,Sheet2!$B2387,매도완료!$P:$P)+SUMIF(ING!$J:$J,Sheet2!$B2387,ING!$P:$P)</f>
        <v>0</v>
      </c>
      <c r="E2387" s="16">
        <f t="shared" si="74"/>
        <v>90744991.732399985</v>
      </c>
      <c r="G2387" s="16">
        <f>IF(D2387=0,0,SUMIF(매도완료!$J:$J,Sheet2!$B2387,매도완료!$S:$S))+IF(D2387=0,0,SUMIF(ING!$J:$J,Sheet2!$B2387,ING!$S:$S))</f>
        <v>0</v>
      </c>
      <c r="H2387" s="16">
        <f t="shared" si="75"/>
        <v>-1049532.7591910586</v>
      </c>
    </row>
    <row r="2388" spans="2:8" hidden="1" x14ac:dyDescent="0.4">
      <c r="B2388" s="1">
        <v>44937</v>
      </c>
      <c r="C2388" s="16">
        <f>SUMIF(매도완료!$G:$G,Sheet2!$B2388,매도완료!$P:$P)+SUMIF(ING!$G:$G,Sheet2!$B2388,ING!$P:$P)</f>
        <v>0</v>
      </c>
      <c r="D2388" s="16">
        <f>SUMIF(매도완료!$J:$J,Sheet2!$B2388,매도완료!$P:$P)+SUMIF(ING!$J:$J,Sheet2!$B2388,ING!$P:$P)</f>
        <v>0</v>
      </c>
      <c r="E2388" s="16">
        <f t="shared" si="74"/>
        <v>90744991.732399985</v>
      </c>
      <c r="G2388" s="16">
        <f>IF(D2388=0,0,SUMIF(매도완료!$J:$J,Sheet2!$B2388,매도완료!$S:$S))+IF(D2388=0,0,SUMIF(ING!$J:$J,Sheet2!$B2388,ING!$S:$S))</f>
        <v>0</v>
      </c>
      <c r="H2388" s="16">
        <f t="shared" si="75"/>
        <v>-1049532.7591910586</v>
      </c>
    </row>
    <row r="2389" spans="2:8" hidden="1" x14ac:dyDescent="0.4">
      <c r="B2389" s="1">
        <v>44938</v>
      </c>
      <c r="C2389" s="16">
        <f>SUMIF(매도완료!$G:$G,Sheet2!$B2389,매도완료!$P:$P)+SUMIF(ING!$G:$G,Sheet2!$B2389,ING!$P:$P)</f>
        <v>0</v>
      </c>
      <c r="D2389" s="16">
        <f>SUMIF(매도완료!$J:$J,Sheet2!$B2389,매도완료!$P:$P)+SUMIF(ING!$J:$J,Sheet2!$B2389,ING!$P:$P)</f>
        <v>0</v>
      </c>
      <c r="E2389" s="16">
        <f t="shared" si="74"/>
        <v>90744991.732399985</v>
      </c>
      <c r="G2389" s="16">
        <f>IF(D2389=0,0,SUMIF(매도완료!$J:$J,Sheet2!$B2389,매도완료!$S:$S))+IF(D2389=0,0,SUMIF(ING!$J:$J,Sheet2!$B2389,ING!$S:$S))</f>
        <v>0</v>
      </c>
      <c r="H2389" s="16">
        <f t="shared" si="75"/>
        <v>-1049532.7591910586</v>
      </c>
    </row>
    <row r="2390" spans="2:8" hidden="1" x14ac:dyDescent="0.4">
      <c r="B2390" s="1">
        <v>44939</v>
      </c>
      <c r="C2390" s="16">
        <f>SUMIF(매도완료!$G:$G,Sheet2!$B2390,매도완료!$P:$P)+SUMIF(ING!$G:$G,Sheet2!$B2390,ING!$P:$P)</f>
        <v>0</v>
      </c>
      <c r="D2390" s="16">
        <f>SUMIF(매도완료!$J:$J,Sheet2!$B2390,매도완료!$P:$P)+SUMIF(ING!$J:$J,Sheet2!$B2390,ING!$P:$P)</f>
        <v>0</v>
      </c>
      <c r="E2390" s="16">
        <f t="shared" si="74"/>
        <v>90744991.732399985</v>
      </c>
      <c r="G2390" s="16">
        <f>IF(D2390=0,0,SUMIF(매도완료!$J:$J,Sheet2!$B2390,매도완료!$S:$S))+IF(D2390=0,0,SUMIF(ING!$J:$J,Sheet2!$B2390,ING!$S:$S))</f>
        <v>0</v>
      </c>
      <c r="H2390" s="16">
        <f t="shared" si="75"/>
        <v>-1049532.7591910586</v>
      </c>
    </row>
    <row r="2391" spans="2:8" hidden="1" x14ac:dyDescent="0.4">
      <c r="B2391" s="1">
        <v>44940</v>
      </c>
      <c r="C2391" s="16">
        <f>SUMIF(매도완료!$G:$G,Sheet2!$B2391,매도완료!$P:$P)+SUMIF(ING!$G:$G,Sheet2!$B2391,ING!$P:$P)</f>
        <v>0</v>
      </c>
      <c r="D2391" s="16">
        <f>SUMIF(매도완료!$J:$J,Sheet2!$B2391,매도완료!$P:$P)+SUMIF(ING!$J:$J,Sheet2!$B2391,ING!$P:$P)</f>
        <v>0</v>
      </c>
      <c r="E2391" s="16">
        <f t="shared" si="74"/>
        <v>90744991.732399985</v>
      </c>
      <c r="G2391" s="16">
        <f>IF(D2391=0,0,SUMIF(매도완료!$J:$J,Sheet2!$B2391,매도완료!$S:$S))+IF(D2391=0,0,SUMIF(ING!$J:$J,Sheet2!$B2391,ING!$S:$S))</f>
        <v>0</v>
      </c>
      <c r="H2391" s="16">
        <f t="shared" si="75"/>
        <v>-1049532.7591910586</v>
      </c>
    </row>
    <row r="2392" spans="2:8" hidden="1" x14ac:dyDescent="0.4">
      <c r="B2392" s="1">
        <v>44941</v>
      </c>
      <c r="C2392" s="16">
        <f>SUMIF(매도완료!$G:$G,Sheet2!$B2392,매도완료!$P:$P)+SUMIF(ING!$G:$G,Sheet2!$B2392,ING!$P:$P)</f>
        <v>0</v>
      </c>
      <c r="D2392" s="16">
        <f>SUMIF(매도완료!$J:$J,Sheet2!$B2392,매도완료!$P:$P)+SUMIF(ING!$J:$J,Sheet2!$B2392,ING!$P:$P)</f>
        <v>0</v>
      </c>
      <c r="E2392" s="16">
        <f t="shared" si="74"/>
        <v>90744991.732399985</v>
      </c>
      <c r="G2392" s="16">
        <f>IF(D2392=0,0,SUMIF(매도완료!$J:$J,Sheet2!$B2392,매도완료!$S:$S))+IF(D2392=0,0,SUMIF(ING!$J:$J,Sheet2!$B2392,ING!$S:$S))</f>
        <v>0</v>
      </c>
      <c r="H2392" s="16">
        <f t="shared" si="75"/>
        <v>-1049532.7591910586</v>
      </c>
    </row>
    <row r="2393" spans="2:8" hidden="1" x14ac:dyDescent="0.4">
      <c r="B2393" s="1">
        <v>44942</v>
      </c>
      <c r="C2393" s="16">
        <f>SUMIF(매도완료!$G:$G,Sheet2!$B2393,매도완료!$P:$P)+SUMIF(ING!$G:$G,Sheet2!$B2393,ING!$P:$P)</f>
        <v>0</v>
      </c>
      <c r="D2393" s="16">
        <f>SUMIF(매도완료!$J:$J,Sheet2!$B2393,매도완료!$P:$P)+SUMIF(ING!$J:$J,Sheet2!$B2393,ING!$P:$P)</f>
        <v>0</v>
      </c>
      <c r="E2393" s="16">
        <f t="shared" si="74"/>
        <v>90744991.732399985</v>
      </c>
      <c r="G2393" s="16">
        <f>IF(D2393=0,0,SUMIF(매도완료!$J:$J,Sheet2!$B2393,매도완료!$S:$S))+IF(D2393=0,0,SUMIF(ING!$J:$J,Sheet2!$B2393,ING!$S:$S))</f>
        <v>0</v>
      </c>
      <c r="H2393" s="16">
        <f t="shared" si="75"/>
        <v>-1049532.7591910586</v>
      </c>
    </row>
    <row r="2394" spans="2:8" hidden="1" x14ac:dyDescent="0.4">
      <c r="B2394" s="1">
        <v>44943</v>
      </c>
      <c r="C2394" s="16">
        <f>SUMIF(매도완료!$G:$G,Sheet2!$B2394,매도완료!$P:$P)+SUMIF(ING!$G:$G,Sheet2!$B2394,ING!$P:$P)</f>
        <v>0</v>
      </c>
      <c r="D2394" s="16">
        <f>SUMIF(매도완료!$J:$J,Sheet2!$B2394,매도완료!$P:$P)+SUMIF(ING!$J:$J,Sheet2!$B2394,ING!$P:$P)</f>
        <v>0</v>
      </c>
      <c r="E2394" s="16">
        <f t="shared" si="74"/>
        <v>90744991.732399985</v>
      </c>
      <c r="G2394" s="16">
        <f>IF(D2394=0,0,SUMIF(매도완료!$J:$J,Sheet2!$B2394,매도완료!$S:$S))+IF(D2394=0,0,SUMIF(ING!$J:$J,Sheet2!$B2394,ING!$S:$S))</f>
        <v>0</v>
      </c>
      <c r="H2394" s="16">
        <f t="shared" si="75"/>
        <v>-1049532.7591910586</v>
      </c>
    </row>
    <row r="2395" spans="2:8" hidden="1" x14ac:dyDescent="0.4">
      <c r="B2395" s="1">
        <v>44944</v>
      </c>
      <c r="C2395" s="16">
        <f>SUMIF(매도완료!$G:$G,Sheet2!$B2395,매도완료!$P:$P)+SUMIF(ING!$G:$G,Sheet2!$B2395,ING!$P:$P)</f>
        <v>0</v>
      </c>
      <c r="D2395" s="16">
        <f>SUMIF(매도완료!$J:$J,Sheet2!$B2395,매도완료!$P:$P)+SUMIF(ING!$J:$J,Sheet2!$B2395,ING!$P:$P)</f>
        <v>0</v>
      </c>
      <c r="E2395" s="16">
        <f t="shared" si="74"/>
        <v>90744991.732399985</v>
      </c>
      <c r="G2395" s="16">
        <f>IF(D2395=0,0,SUMIF(매도완료!$J:$J,Sheet2!$B2395,매도완료!$S:$S))+IF(D2395=0,0,SUMIF(ING!$J:$J,Sheet2!$B2395,ING!$S:$S))</f>
        <v>0</v>
      </c>
      <c r="H2395" s="16">
        <f t="shared" si="75"/>
        <v>-1049532.7591910586</v>
      </c>
    </row>
    <row r="2396" spans="2:8" hidden="1" x14ac:dyDescent="0.4">
      <c r="B2396" s="1">
        <v>44945</v>
      </c>
      <c r="C2396" s="16">
        <f>SUMIF(매도완료!$G:$G,Sheet2!$B2396,매도완료!$P:$P)+SUMIF(ING!$G:$G,Sheet2!$B2396,ING!$P:$P)</f>
        <v>0</v>
      </c>
      <c r="D2396" s="16">
        <f>SUMIF(매도완료!$J:$J,Sheet2!$B2396,매도완료!$P:$P)+SUMIF(ING!$J:$J,Sheet2!$B2396,ING!$P:$P)</f>
        <v>0</v>
      </c>
      <c r="E2396" s="16">
        <f t="shared" si="74"/>
        <v>90744991.732399985</v>
      </c>
      <c r="G2396" s="16">
        <f>IF(D2396=0,0,SUMIF(매도완료!$J:$J,Sheet2!$B2396,매도완료!$S:$S))+IF(D2396=0,0,SUMIF(ING!$J:$J,Sheet2!$B2396,ING!$S:$S))</f>
        <v>0</v>
      </c>
      <c r="H2396" s="16">
        <f t="shared" si="75"/>
        <v>-1049532.7591910586</v>
      </c>
    </row>
    <row r="2397" spans="2:8" hidden="1" x14ac:dyDescent="0.4">
      <c r="B2397" s="1">
        <v>44946</v>
      </c>
      <c r="C2397" s="16">
        <f>SUMIF(매도완료!$G:$G,Sheet2!$B2397,매도완료!$P:$P)+SUMIF(ING!$G:$G,Sheet2!$B2397,ING!$P:$P)</f>
        <v>0</v>
      </c>
      <c r="D2397" s="16">
        <f>SUMIF(매도완료!$J:$J,Sheet2!$B2397,매도완료!$P:$P)+SUMIF(ING!$J:$J,Sheet2!$B2397,ING!$P:$P)</f>
        <v>0</v>
      </c>
      <c r="E2397" s="16">
        <f t="shared" si="74"/>
        <v>90744991.732399985</v>
      </c>
      <c r="G2397" s="16">
        <f>IF(D2397=0,0,SUMIF(매도완료!$J:$J,Sheet2!$B2397,매도완료!$S:$S))+IF(D2397=0,0,SUMIF(ING!$J:$J,Sheet2!$B2397,ING!$S:$S))</f>
        <v>0</v>
      </c>
      <c r="H2397" s="16">
        <f t="shared" si="75"/>
        <v>-1049532.7591910586</v>
      </c>
    </row>
    <row r="2398" spans="2:8" hidden="1" x14ac:dyDescent="0.4">
      <c r="B2398" s="1">
        <v>44947</v>
      </c>
      <c r="C2398" s="16">
        <f>SUMIF(매도완료!$G:$G,Sheet2!$B2398,매도완료!$P:$P)+SUMIF(ING!$G:$G,Sheet2!$B2398,ING!$P:$P)</f>
        <v>0</v>
      </c>
      <c r="D2398" s="16">
        <f>SUMIF(매도완료!$J:$J,Sheet2!$B2398,매도완료!$P:$P)+SUMIF(ING!$J:$J,Sheet2!$B2398,ING!$P:$P)</f>
        <v>0</v>
      </c>
      <c r="E2398" s="16">
        <f t="shared" si="74"/>
        <v>90744991.732399985</v>
      </c>
      <c r="G2398" s="16">
        <f>IF(D2398=0,0,SUMIF(매도완료!$J:$J,Sheet2!$B2398,매도완료!$S:$S))+IF(D2398=0,0,SUMIF(ING!$J:$J,Sheet2!$B2398,ING!$S:$S))</f>
        <v>0</v>
      </c>
      <c r="H2398" s="16">
        <f t="shared" si="75"/>
        <v>-1049532.7591910586</v>
      </c>
    </row>
    <row r="2399" spans="2:8" hidden="1" x14ac:dyDescent="0.4">
      <c r="B2399" s="1">
        <v>44948</v>
      </c>
      <c r="C2399" s="16">
        <f>SUMIF(매도완료!$G:$G,Sheet2!$B2399,매도완료!$P:$P)+SUMIF(ING!$G:$G,Sheet2!$B2399,ING!$P:$P)</f>
        <v>0</v>
      </c>
      <c r="D2399" s="16">
        <f>SUMIF(매도완료!$J:$J,Sheet2!$B2399,매도완료!$P:$P)+SUMIF(ING!$J:$J,Sheet2!$B2399,ING!$P:$P)</f>
        <v>0</v>
      </c>
      <c r="E2399" s="16">
        <f t="shared" si="74"/>
        <v>90744991.732399985</v>
      </c>
      <c r="G2399" s="16">
        <f>IF(D2399=0,0,SUMIF(매도완료!$J:$J,Sheet2!$B2399,매도완료!$S:$S))+IF(D2399=0,0,SUMIF(ING!$J:$J,Sheet2!$B2399,ING!$S:$S))</f>
        <v>0</v>
      </c>
      <c r="H2399" s="16">
        <f t="shared" si="75"/>
        <v>-1049532.7591910586</v>
      </c>
    </row>
    <row r="2400" spans="2:8" hidden="1" x14ac:dyDescent="0.4">
      <c r="B2400" s="1">
        <v>44949</v>
      </c>
      <c r="C2400" s="16">
        <f>SUMIF(매도완료!$G:$G,Sheet2!$B2400,매도완료!$P:$P)+SUMIF(ING!$G:$G,Sheet2!$B2400,ING!$P:$P)</f>
        <v>0</v>
      </c>
      <c r="D2400" s="16">
        <f>SUMIF(매도완료!$J:$J,Sheet2!$B2400,매도완료!$P:$P)+SUMIF(ING!$J:$J,Sheet2!$B2400,ING!$P:$P)</f>
        <v>0</v>
      </c>
      <c r="E2400" s="16">
        <f t="shared" si="74"/>
        <v>90744991.732399985</v>
      </c>
      <c r="G2400" s="16">
        <f>IF(D2400=0,0,SUMIF(매도완료!$J:$J,Sheet2!$B2400,매도완료!$S:$S))+IF(D2400=0,0,SUMIF(ING!$J:$J,Sheet2!$B2400,ING!$S:$S))</f>
        <v>0</v>
      </c>
      <c r="H2400" s="16">
        <f t="shared" si="75"/>
        <v>-1049532.7591910586</v>
      </c>
    </row>
    <row r="2401" spans="2:8" hidden="1" x14ac:dyDescent="0.4">
      <c r="B2401" s="1">
        <v>44950</v>
      </c>
      <c r="C2401" s="16">
        <f>SUMIF(매도완료!$G:$G,Sheet2!$B2401,매도완료!$P:$P)+SUMIF(ING!$G:$G,Sheet2!$B2401,ING!$P:$P)</f>
        <v>0</v>
      </c>
      <c r="D2401" s="16">
        <f>SUMIF(매도완료!$J:$J,Sheet2!$B2401,매도완료!$P:$P)+SUMIF(ING!$J:$J,Sheet2!$B2401,ING!$P:$P)</f>
        <v>0</v>
      </c>
      <c r="E2401" s="16">
        <f t="shared" si="74"/>
        <v>90744991.732399985</v>
      </c>
      <c r="G2401" s="16">
        <f>IF(D2401=0,0,SUMIF(매도완료!$J:$J,Sheet2!$B2401,매도완료!$S:$S))+IF(D2401=0,0,SUMIF(ING!$J:$J,Sheet2!$B2401,ING!$S:$S))</f>
        <v>0</v>
      </c>
      <c r="H2401" s="16">
        <f t="shared" si="75"/>
        <v>-1049532.7591910586</v>
      </c>
    </row>
    <row r="2402" spans="2:8" hidden="1" x14ac:dyDescent="0.4">
      <c r="B2402" s="1">
        <v>44951</v>
      </c>
      <c r="C2402" s="16">
        <f>SUMIF(매도완료!$G:$G,Sheet2!$B2402,매도완료!$P:$P)+SUMIF(ING!$G:$G,Sheet2!$B2402,ING!$P:$P)</f>
        <v>0</v>
      </c>
      <c r="D2402" s="16">
        <f>SUMIF(매도완료!$J:$J,Sheet2!$B2402,매도완료!$P:$P)+SUMIF(ING!$J:$J,Sheet2!$B2402,ING!$P:$P)</f>
        <v>0</v>
      </c>
      <c r="E2402" s="16">
        <f t="shared" si="74"/>
        <v>90744991.732399985</v>
      </c>
      <c r="G2402" s="16">
        <f>IF(D2402=0,0,SUMIF(매도완료!$J:$J,Sheet2!$B2402,매도완료!$S:$S))+IF(D2402=0,0,SUMIF(ING!$J:$J,Sheet2!$B2402,ING!$S:$S))</f>
        <v>0</v>
      </c>
      <c r="H2402" s="16">
        <f t="shared" si="75"/>
        <v>-1049532.7591910586</v>
      </c>
    </row>
    <row r="2403" spans="2:8" hidden="1" x14ac:dyDescent="0.4">
      <c r="B2403" s="1">
        <v>44952</v>
      </c>
      <c r="C2403" s="16">
        <f>SUMIF(매도완료!$G:$G,Sheet2!$B2403,매도완료!$P:$P)+SUMIF(ING!$G:$G,Sheet2!$B2403,ING!$P:$P)</f>
        <v>147000</v>
      </c>
      <c r="D2403" s="16">
        <f>SUMIF(매도완료!$J:$J,Sheet2!$B2403,매도완료!$P:$P)+SUMIF(ING!$J:$J,Sheet2!$B2403,ING!$P:$P)</f>
        <v>0</v>
      </c>
      <c r="E2403" s="16">
        <f t="shared" si="74"/>
        <v>90891991.732399985</v>
      </c>
      <c r="G2403" s="16">
        <f>IF(D2403=0,0,SUMIF(매도완료!$J:$J,Sheet2!$B2403,매도완료!$S:$S))+IF(D2403=0,0,SUMIF(ING!$J:$J,Sheet2!$B2403,ING!$S:$S))</f>
        <v>0</v>
      </c>
      <c r="H2403" s="16">
        <f t="shared" si="75"/>
        <v>-1049532.7591910586</v>
      </c>
    </row>
    <row r="2404" spans="2:8" hidden="1" x14ac:dyDescent="0.4">
      <c r="B2404" s="1">
        <v>44953</v>
      </c>
      <c r="C2404" s="16">
        <f>SUMIF(매도완료!$G:$G,Sheet2!$B2404,매도완료!$P:$P)+SUMIF(ING!$G:$G,Sheet2!$B2404,ING!$P:$P)</f>
        <v>0</v>
      </c>
      <c r="D2404" s="16">
        <f>SUMIF(매도완료!$J:$J,Sheet2!$B2404,매도완료!$P:$P)+SUMIF(ING!$J:$J,Sheet2!$B2404,ING!$P:$P)</f>
        <v>0</v>
      </c>
      <c r="E2404" s="16">
        <f t="shared" si="74"/>
        <v>90891991.732399985</v>
      </c>
      <c r="G2404" s="16">
        <f>IF(D2404=0,0,SUMIF(매도완료!$J:$J,Sheet2!$B2404,매도완료!$S:$S))+IF(D2404=0,0,SUMIF(ING!$J:$J,Sheet2!$B2404,ING!$S:$S))</f>
        <v>0</v>
      </c>
      <c r="H2404" s="16">
        <f t="shared" si="75"/>
        <v>-1049532.7591910586</v>
      </c>
    </row>
    <row r="2405" spans="2:8" hidden="1" x14ac:dyDescent="0.4">
      <c r="B2405" s="1">
        <v>44954</v>
      </c>
      <c r="C2405" s="16">
        <f>SUMIF(매도완료!$G:$G,Sheet2!$B2405,매도완료!$P:$P)+SUMIF(ING!$G:$G,Sheet2!$B2405,ING!$P:$P)</f>
        <v>0</v>
      </c>
      <c r="D2405" s="16">
        <f>SUMIF(매도완료!$J:$J,Sheet2!$B2405,매도완료!$P:$P)+SUMIF(ING!$J:$J,Sheet2!$B2405,ING!$P:$P)</f>
        <v>0</v>
      </c>
      <c r="E2405" s="16">
        <f t="shared" si="74"/>
        <v>90891991.732399985</v>
      </c>
      <c r="G2405" s="16">
        <f>IF(D2405=0,0,SUMIF(매도완료!$J:$J,Sheet2!$B2405,매도완료!$S:$S))+IF(D2405=0,0,SUMIF(ING!$J:$J,Sheet2!$B2405,ING!$S:$S))</f>
        <v>0</v>
      </c>
      <c r="H2405" s="16">
        <f t="shared" si="75"/>
        <v>-1049532.7591910586</v>
      </c>
    </row>
    <row r="2406" spans="2:8" hidden="1" x14ac:dyDescent="0.4">
      <c r="B2406" s="1">
        <v>44955</v>
      </c>
      <c r="C2406" s="16">
        <f>SUMIF(매도완료!$G:$G,Sheet2!$B2406,매도완료!$P:$P)+SUMIF(ING!$G:$G,Sheet2!$B2406,ING!$P:$P)</f>
        <v>0</v>
      </c>
      <c r="D2406" s="16">
        <f>SUMIF(매도완료!$J:$J,Sheet2!$B2406,매도완료!$P:$P)+SUMIF(ING!$J:$J,Sheet2!$B2406,ING!$P:$P)</f>
        <v>0</v>
      </c>
      <c r="E2406" s="16">
        <f t="shared" si="74"/>
        <v>90891991.732399985</v>
      </c>
      <c r="G2406" s="16">
        <f>IF(D2406=0,0,SUMIF(매도완료!$J:$J,Sheet2!$B2406,매도완료!$S:$S))+IF(D2406=0,0,SUMIF(ING!$J:$J,Sheet2!$B2406,ING!$S:$S))</f>
        <v>0</v>
      </c>
      <c r="H2406" s="16">
        <f t="shared" si="75"/>
        <v>-1049532.7591910586</v>
      </c>
    </row>
    <row r="2407" spans="2:8" hidden="1" x14ac:dyDescent="0.4">
      <c r="B2407" s="1">
        <v>44956</v>
      </c>
      <c r="C2407" s="16">
        <f>SUMIF(매도완료!$G:$G,Sheet2!$B2407,매도완료!$P:$P)+SUMIF(ING!$G:$G,Sheet2!$B2407,ING!$P:$P)</f>
        <v>0</v>
      </c>
      <c r="D2407" s="16">
        <f>SUMIF(매도완료!$J:$J,Sheet2!$B2407,매도완료!$P:$P)+SUMIF(ING!$J:$J,Sheet2!$B2407,ING!$P:$P)</f>
        <v>0</v>
      </c>
      <c r="E2407" s="16">
        <f t="shared" si="74"/>
        <v>90891991.732399985</v>
      </c>
      <c r="G2407" s="16">
        <f>IF(D2407=0,0,SUMIF(매도완료!$J:$J,Sheet2!$B2407,매도완료!$S:$S))+IF(D2407=0,0,SUMIF(ING!$J:$J,Sheet2!$B2407,ING!$S:$S))</f>
        <v>0</v>
      </c>
      <c r="H2407" s="16">
        <f t="shared" si="75"/>
        <v>-1049532.7591910586</v>
      </c>
    </row>
    <row r="2408" spans="2:8" hidden="1" x14ac:dyDescent="0.4">
      <c r="B2408" s="1">
        <v>44957</v>
      </c>
      <c r="C2408" s="16">
        <f>SUMIF(매도완료!$G:$G,Sheet2!$B2408,매도완료!$P:$P)+SUMIF(ING!$G:$G,Sheet2!$B2408,ING!$P:$P)</f>
        <v>0</v>
      </c>
      <c r="D2408" s="16">
        <f>SUMIF(매도완료!$J:$J,Sheet2!$B2408,매도완료!$P:$P)+SUMIF(ING!$J:$J,Sheet2!$B2408,ING!$P:$P)</f>
        <v>0</v>
      </c>
      <c r="E2408" s="16">
        <f t="shared" si="74"/>
        <v>90891991.732399985</v>
      </c>
      <c r="G2408" s="16">
        <f>IF(D2408=0,0,SUMIF(매도완료!$J:$J,Sheet2!$B2408,매도완료!$S:$S))+IF(D2408=0,0,SUMIF(ING!$J:$J,Sheet2!$B2408,ING!$S:$S))</f>
        <v>0</v>
      </c>
      <c r="H2408" s="16">
        <f t="shared" si="75"/>
        <v>-1049532.7591910586</v>
      </c>
    </row>
    <row r="2409" spans="2:8" hidden="1" x14ac:dyDescent="0.4">
      <c r="B2409" s="1">
        <v>44958</v>
      </c>
      <c r="C2409" s="16">
        <f>SUMIF(매도완료!$G:$G,Sheet2!$B2409,매도완료!$P:$P)+SUMIF(ING!$G:$G,Sheet2!$B2409,ING!$P:$P)</f>
        <v>0</v>
      </c>
      <c r="D2409" s="16">
        <f>SUMIF(매도완료!$J:$J,Sheet2!$B2409,매도완료!$P:$P)+SUMIF(ING!$J:$J,Sheet2!$B2409,ING!$P:$P)</f>
        <v>0</v>
      </c>
      <c r="E2409" s="16">
        <f t="shared" si="74"/>
        <v>90891991.732399985</v>
      </c>
      <c r="G2409" s="16">
        <f>IF(D2409=0,0,SUMIF(매도완료!$J:$J,Sheet2!$B2409,매도완료!$S:$S))+IF(D2409=0,0,SUMIF(ING!$J:$J,Sheet2!$B2409,ING!$S:$S))</f>
        <v>0</v>
      </c>
      <c r="H2409" s="16">
        <f t="shared" si="75"/>
        <v>-1049532.7591910586</v>
      </c>
    </row>
    <row r="2410" spans="2:8" hidden="1" x14ac:dyDescent="0.4">
      <c r="B2410" s="1">
        <v>44959</v>
      </c>
      <c r="C2410" s="16">
        <f>SUMIF(매도완료!$G:$G,Sheet2!$B2410,매도완료!$P:$P)+SUMIF(ING!$G:$G,Sheet2!$B2410,ING!$P:$P)</f>
        <v>0</v>
      </c>
      <c r="D2410" s="16">
        <f>SUMIF(매도완료!$J:$J,Sheet2!$B2410,매도완료!$P:$P)+SUMIF(ING!$J:$J,Sheet2!$B2410,ING!$P:$P)</f>
        <v>0</v>
      </c>
      <c r="E2410" s="16">
        <f t="shared" si="74"/>
        <v>90891991.732399985</v>
      </c>
      <c r="G2410" s="16">
        <f>IF(D2410=0,0,SUMIF(매도완료!$J:$J,Sheet2!$B2410,매도완료!$S:$S))+IF(D2410=0,0,SUMIF(ING!$J:$J,Sheet2!$B2410,ING!$S:$S))</f>
        <v>0</v>
      </c>
      <c r="H2410" s="16">
        <f t="shared" si="75"/>
        <v>-1049532.7591910586</v>
      </c>
    </row>
    <row r="2411" spans="2:8" hidden="1" x14ac:dyDescent="0.4">
      <c r="B2411" s="1">
        <v>44960</v>
      </c>
      <c r="C2411" s="16">
        <f>SUMIF(매도완료!$G:$G,Sheet2!$B2411,매도완료!$P:$P)+SUMIF(ING!$G:$G,Sheet2!$B2411,ING!$P:$P)</f>
        <v>0</v>
      </c>
      <c r="D2411" s="16">
        <f>SUMIF(매도완료!$J:$J,Sheet2!$B2411,매도완료!$P:$P)+SUMIF(ING!$J:$J,Sheet2!$B2411,ING!$P:$P)</f>
        <v>0</v>
      </c>
      <c r="E2411" s="16">
        <f t="shared" si="74"/>
        <v>90891991.732399985</v>
      </c>
      <c r="G2411" s="16">
        <f>IF(D2411=0,0,SUMIF(매도완료!$J:$J,Sheet2!$B2411,매도완료!$S:$S))+IF(D2411=0,0,SUMIF(ING!$J:$J,Sheet2!$B2411,ING!$S:$S))</f>
        <v>0</v>
      </c>
      <c r="H2411" s="16">
        <f t="shared" si="75"/>
        <v>-1049532.7591910586</v>
      </c>
    </row>
    <row r="2412" spans="2:8" hidden="1" x14ac:dyDescent="0.4">
      <c r="B2412" s="1">
        <v>44961</v>
      </c>
      <c r="C2412" s="16">
        <f>SUMIF(매도완료!$G:$G,Sheet2!$B2412,매도완료!$P:$P)+SUMIF(ING!$G:$G,Sheet2!$B2412,ING!$P:$P)</f>
        <v>0</v>
      </c>
      <c r="D2412" s="16">
        <f>SUMIF(매도완료!$J:$J,Sheet2!$B2412,매도완료!$P:$P)+SUMIF(ING!$J:$J,Sheet2!$B2412,ING!$P:$P)</f>
        <v>0</v>
      </c>
      <c r="E2412" s="16">
        <f t="shared" si="74"/>
        <v>90891991.732399985</v>
      </c>
      <c r="G2412" s="16">
        <f>IF(D2412=0,0,SUMIF(매도완료!$J:$J,Sheet2!$B2412,매도완료!$S:$S))+IF(D2412=0,0,SUMIF(ING!$J:$J,Sheet2!$B2412,ING!$S:$S))</f>
        <v>0</v>
      </c>
      <c r="H2412" s="16">
        <f t="shared" si="75"/>
        <v>-1049532.7591910586</v>
      </c>
    </row>
    <row r="2413" spans="2:8" hidden="1" x14ac:dyDescent="0.4">
      <c r="B2413" s="1">
        <v>44962</v>
      </c>
      <c r="C2413" s="16">
        <f>SUMIF(매도완료!$G:$G,Sheet2!$B2413,매도완료!$P:$P)+SUMIF(ING!$G:$G,Sheet2!$B2413,ING!$P:$P)</f>
        <v>0</v>
      </c>
      <c r="D2413" s="16">
        <f>SUMIF(매도완료!$J:$J,Sheet2!$B2413,매도완료!$P:$P)+SUMIF(ING!$J:$J,Sheet2!$B2413,ING!$P:$P)</f>
        <v>0</v>
      </c>
      <c r="E2413" s="16">
        <f t="shared" si="74"/>
        <v>90891991.732399985</v>
      </c>
      <c r="G2413" s="16">
        <f>IF(D2413=0,0,SUMIF(매도완료!$J:$J,Sheet2!$B2413,매도완료!$S:$S))+IF(D2413=0,0,SUMIF(ING!$J:$J,Sheet2!$B2413,ING!$S:$S))</f>
        <v>0</v>
      </c>
      <c r="H2413" s="16">
        <f t="shared" si="75"/>
        <v>-1049532.7591910586</v>
      </c>
    </row>
    <row r="2414" spans="2:8" hidden="1" x14ac:dyDescent="0.4">
      <c r="B2414" s="1">
        <v>44963</v>
      </c>
      <c r="C2414" s="16">
        <f>SUMIF(매도완료!$G:$G,Sheet2!$B2414,매도완료!$P:$P)+SUMIF(ING!$G:$G,Sheet2!$B2414,ING!$P:$P)</f>
        <v>0</v>
      </c>
      <c r="D2414" s="16">
        <f>SUMIF(매도완료!$J:$J,Sheet2!$B2414,매도완료!$P:$P)+SUMIF(ING!$J:$J,Sheet2!$B2414,ING!$P:$P)</f>
        <v>0</v>
      </c>
      <c r="E2414" s="16">
        <f t="shared" si="74"/>
        <v>90891991.732399985</v>
      </c>
      <c r="G2414" s="16">
        <f>IF(D2414=0,0,SUMIF(매도완료!$J:$J,Sheet2!$B2414,매도완료!$S:$S))+IF(D2414=0,0,SUMIF(ING!$J:$J,Sheet2!$B2414,ING!$S:$S))</f>
        <v>0</v>
      </c>
      <c r="H2414" s="16">
        <f t="shared" si="75"/>
        <v>-1049532.7591910586</v>
      </c>
    </row>
    <row r="2415" spans="2:8" hidden="1" x14ac:dyDescent="0.4">
      <c r="B2415" s="1">
        <v>44964</v>
      </c>
      <c r="C2415" s="16">
        <f>SUMIF(매도완료!$G:$G,Sheet2!$B2415,매도완료!$P:$P)+SUMIF(ING!$G:$G,Sheet2!$B2415,ING!$P:$P)</f>
        <v>0</v>
      </c>
      <c r="D2415" s="16">
        <f>SUMIF(매도완료!$J:$J,Sheet2!$B2415,매도완료!$P:$P)+SUMIF(ING!$J:$J,Sheet2!$B2415,ING!$P:$P)</f>
        <v>0</v>
      </c>
      <c r="E2415" s="16">
        <f t="shared" si="74"/>
        <v>90891991.732399985</v>
      </c>
      <c r="G2415" s="16">
        <f>IF(D2415=0,0,SUMIF(매도완료!$J:$J,Sheet2!$B2415,매도완료!$S:$S))+IF(D2415=0,0,SUMIF(ING!$J:$J,Sheet2!$B2415,ING!$S:$S))</f>
        <v>0</v>
      </c>
      <c r="H2415" s="16">
        <f t="shared" si="75"/>
        <v>-1049532.7591910586</v>
      </c>
    </row>
    <row r="2416" spans="2:8" hidden="1" x14ac:dyDescent="0.4">
      <c r="B2416" s="1">
        <v>44965</v>
      </c>
      <c r="C2416" s="16">
        <f>SUMIF(매도완료!$G:$G,Sheet2!$B2416,매도완료!$P:$P)+SUMIF(ING!$G:$G,Sheet2!$B2416,ING!$P:$P)</f>
        <v>0</v>
      </c>
      <c r="D2416" s="16">
        <f>SUMIF(매도완료!$J:$J,Sheet2!$B2416,매도완료!$P:$P)+SUMIF(ING!$J:$J,Sheet2!$B2416,ING!$P:$P)</f>
        <v>0</v>
      </c>
      <c r="E2416" s="16">
        <f t="shared" si="74"/>
        <v>90891991.732399985</v>
      </c>
      <c r="G2416" s="16">
        <f>IF(D2416=0,0,SUMIF(매도완료!$J:$J,Sheet2!$B2416,매도완료!$S:$S))+IF(D2416=0,0,SUMIF(ING!$J:$J,Sheet2!$B2416,ING!$S:$S))</f>
        <v>0</v>
      </c>
      <c r="H2416" s="16">
        <f t="shared" si="75"/>
        <v>-1049532.7591910586</v>
      </c>
    </row>
    <row r="2417" spans="2:8" hidden="1" x14ac:dyDescent="0.4">
      <c r="B2417" s="1">
        <v>44966</v>
      </c>
      <c r="C2417" s="16">
        <f>SUMIF(매도완료!$G:$G,Sheet2!$B2417,매도완료!$P:$P)+SUMIF(ING!$G:$G,Sheet2!$B2417,ING!$P:$P)</f>
        <v>0</v>
      </c>
      <c r="D2417" s="16">
        <f>SUMIF(매도완료!$J:$J,Sheet2!$B2417,매도완료!$P:$P)+SUMIF(ING!$J:$J,Sheet2!$B2417,ING!$P:$P)</f>
        <v>0</v>
      </c>
      <c r="E2417" s="16">
        <f t="shared" si="74"/>
        <v>90891991.732399985</v>
      </c>
      <c r="G2417" s="16">
        <f>IF(D2417=0,0,SUMIF(매도완료!$J:$J,Sheet2!$B2417,매도완료!$S:$S))+IF(D2417=0,0,SUMIF(ING!$J:$J,Sheet2!$B2417,ING!$S:$S))</f>
        <v>0</v>
      </c>
      <c r="H2417" s="16">
        <f t="shared" si="75"/>
        <v>-1049532.7591910586</v>
      </c>
    </row>
    <row r="2418" spans="2:8" hidden="1" x14ac:dyDescent="0.4">
      <c r="B2418" s="1">
        <v>44967</v>
      </c>
      <c r="C2418" s="16">
        <f>SUMIF(매도완료!$G:$G,Sheet2!$B2418,매도완료!$P:$P)+SUMIF(ING!$G:$G,Sheet2!$B2418,ING!$P:$P)</f>
        <v>0</v>
      </c>
      <c r="D2418" s="16">
        <f>SUMIF(매도완료!$J:$J,Sheet2!$B2418,매도완료!$P:$P)+SUMIF(ING!$J:$J,Sheet2!$B2418,ING!$P:$P)</f>
        <v>0</v>
      </c>
      <c r="E2418" s="16">
        <f t="shared" si="74"/>
        <v>90891991.732399985</v>
      </c>
      <c r="G2418" s="16">
        <f>IF(D2418=0,0,SUMIF(매도완료!$J:$J,Sheet2!$B2418,매도완료!$S:$S))+IF(D2418=0,0,SUMIF(ING!$J:$J,Sheet2!$B2418,ING!$S:$S))</f>
        <v>0</v>
      </c>
      <c r="H2418" s="16">
        <f t="shared" si="75"/>
        <v>-1049532.7591910586</v>
      </c>
    </row>
    <row r="2419" spans="2:8" hidden="1" x14ac:dyDescent="0.4">
      <c r="B2419" s="1">
        <v>44968</v>
      </c>
      <c r="C2419" s="16">
        <f>SUMIF(매도완료!$G:$G,Sheet2!$B2419,매도완료!$P:$P)+SUMIF(ING!$G:$G,Sheet2!$B2419,ING!$P:$P)</f>
        <v>0</v>
      </c>
      <c r="D2419" s="16">
        <f>SUMIF(매도완료!$J:$J,Sheet2!$B2419,매도완료!$P:$P)+SUMIF(ING!$J:$J,Sheet2!$B2419,ING!$P:$P)</f>
        <v>0</v>
      </c>
      <c r="E2419" s="16">
        <f t="shared" si="74"/>
        <v>90891991.732399985</v>
      </c>
      <c r="G2419" s="16">
        <f>IF(D2419=0,0,SUMIF(매도완료!$J:$J,Sheet2!$B2419,매도완료!$S:$S))+IF(D2419=0,0,SUMIF(ING!$J:$J,Sheet2!$B2419,ING!$S:$S))</f>
        <v>0</v>
      </c>
      <c r="H2419" s="16">
        <f t="shared" si="75"/>
        <v>-1049532.7591910586</v>
      </c>
    </row>
    <row r="2420" spans="2:8" hidden="1" x14ac:dyDescent="0.4">
      <c r="B2420" s="1">
        <v>44969</v>
      </c>
      <c r="C2420" s="16">
        <f>SUMIF(매도완료!$G:$G,Sheet2!$B2420,매도완료!$P:$P)+SUMIF(ING!$G:$G,Sheet2!$B2420,ING!$P:$P)</f>
        <v>0</v>
      </c>
      <c r="D2420" s="16">
        <f>SUMIF(매도완료!$J:$J,Sheet2!$B2420,매도완료!$P:$P)+SUMIF(ING!$J:$J,Sheet2!$B2420,ING!$P:$P)</f>
        <v>0</v>
      </c>
      <c r="E2420" s="16">
        <f t="shared" si="74"/>
        <v>90891991.732399985</v>
      </c>
      <c r="G2420" s="16">
        <f>IF(D2420=0,0,SUMIF(매도완료!$J:$J,Sheet2!$B2420,매도완료!$S:$S))+IF(D2420=0,0,SUMIF(ING!$J:$J,Sheet2!$B2420,ING!$S:$S))</f>
        <v>0</v>
      </c>
      <c r="H2420" s="16">
        <f t="shared" si="75"/>
        <v>-1049532.7591910586</v>
      </c>
    </row>
    <row r="2421" spans="2:8" hidden="1" x14ac:dyDescent="0.4">
      <c r="B2421" s="1">
        <v>44970</v>
      </c>
      <c r="C2421" s="16">
        <f>SUMIF(매도완료!$G:$G,Sheet2!$B2421,매도완료!$P:$P)+SUMIF(ING!$G:$G,Sheet2!$B2421,ING!$P:$P)</f>
        <v>0</v>
      </c>
      <c r="D2421" s="16">
        <f>SUMIF(매도완료!$J:$J,Sheet2!$B2421,매도완료!$P:$P)+SUMIF(ING!$J:$J,Sheet2!$B2421,ING!$P:$P)</f>
        <v>0</v>
      </c>
      <c r="E2421" s="16">
        <f t="shared" si="74"/>
        <v>90891991.732399985</v>
      </c>
      <c r="G2421" s="16">
        <f>IF(D2421=0,0,SUMIF(매도완료!$J:$J,Sheet2!$B2421,매도완료!$S:$S))+IF(D2421=0,0,SUMIF(ING!$J:$J,Sheet2!$B2421,ING!$S:$S))</f>
        <v>0</v>
      </c>
      <c r="H2421" s="16">
        <f t="shared" si="75"/>
        <v>-1049532.7591910586</v>
      </c>
    </row>
    <row r="2422" spans="2:8" hidden="1" x14ac:dyDescent="0.4">
      <c r="B2422" s="1">
        <v>44971</v>
      </c>
      <c r="C2422" s="16">
        <f>SUMIF(매도완료!$G:$G,Sheet2!$B2422,매도완료!$P:$P)+SUMIF(ING!$G:$G,Sheet2!$B2422,ING!$P:$P)</f>
        <v>0</v>
      </c>
      <c r="D2422" s="16">
        <f>SUMIF(매도완료!$J:$J,Sheet2!$B2422,매도완료!$P:$P)+SUMIF(ING!$J:$J,Sheet2!$B2422,ING!$P:$P)</f>
        <v>0</v>
      </c>
      <c r="E2422" s="16">
        <f t="shared" si="74"/>
        <v>90891991.732399985</v>
      </c>
      <c r="G2422" s="16">
        <f>IF(D2422=0,0,SUMIF(매도완료!$J:$J,Sheet2!$B2422,매도완료!$S:$S))+IF(D2422=0,0,SUMIF(ING!$J:$J,Sheet2!$B2422,ING!$S:$S))</f>
        <v>0</v>
      </c>
      <c r="H2422" s="16">
        <f t="shared" si="75"/>
        <v>-1049532.7591910586</v>
      </c>
    </row>
    <row r="2423" spans="2:8" hidden="1" x14ac:dyDescent="0.4">
      <c r="B2423" s="1">
        <v>44972</v>
      </c>
      <c r="C2423" s="16">
        <f>SUMIF(매도완료!$G:$G,Sheet2!$B2423,매도완료!$P:$P)+SUMIF(ING!$G:$G,Sheet2!$B2423,ING!$P:$P)</f>
        <v>0</v>
      </c>
      <c r="D2423" s="16">
        <f>SUMIF(매도완료!$J:$J,Sheet2!$B2423,매도완료!$P:$P)+SUMIF(ING!$J:$J,Sheet2!$B2423,ING!$P:$P)</f>
        <v>0</v>
      </c>
      <c r="E2423" s="16">
        <f t="shared" si="74"/>
        <v>90891991.732399985</v>
      </c>
      <c r="G2423" s="16">
        <f>IF(D2423=0,0,SUMIF(매도완료!$J:$J,Sheet2!$B2423,매도완료!$S:$S))+IF(D2423=0,0,SUMIF(ING!$J:$J,Sheet2!$B2423,ING!$S:$S))</f>
        <v>0</v>
      </c>
      <c r="H2423" s="16">
        <f t="shared" si="75"/>
        <v>-1049532.7591910586</v>
      </c>
    </row>
    <row r="2424" spans="2:8" hidden="1" x14ac:dyDescent="0.4">
      <c r="B2424" s="1">
        <v>44973</v>
      </c>
      <c r="C2424" s="16">
        <f>SUMIF(매도완료!$G:$G,Sheet2!$B2424,매도완료!$P:$P)+SUMIF(ING!$G:$G,Sheet2!$B2424,ING!$P:$P)</f>
        <v>0</v>
      </c>
      <c r="D2424" s="16">
        <f>SUMIF(매도완료!$J:$J,Sheet2!$B2424,매도완료!$P:$P)+SUMIF(ING!$J:$J,Sheet2!$B2424,ING!$P:$P)</f>
        <v>2060100</v>
      </c>
      <c r="E2424" s="16">
        <f t="shared" si="74"/>
        <v>88831891.732399985</v>
      </c>
      <c r="G2424" s="16">
        <f>IF(D2424=0,0,SUMIF(매도완료!$J:$J,Sheet2!$B2424,매도완료!$S:$S))+IF(D2424=0,0,SUMIF(ING!$J:$J,Sheet2!$B2424,ING!$S:$S))</f>
        <v>858342.39999999991</v>
      </c>
      <c r="H2424" s="16">
        <f t="shared" si="75"/>
        <v>-191190.35919105867</v>
      </c>
    </row>
    <row r="2425" spans="2:8" hidden="1" x14ac:dyDescent="0.4">
      <c r="B2425" s="1">
        <v>44974</v>
      </c>
      <c r="C2425" s="16">
        <f>SUMIF(매도완료!$G:$G,Sheet2!$B2425,매도완료!$P:$P)+SUMIF(ING!$G:$G,Sheet2!$B2425,ING!$P:$P)</f>
        <v>0</v>
      </c>
      <c r="D2425" s="16">
        <f>SUMIF(매도완료!$J:$J,Sheet2!$B2425,매도완료!$P:$P)+SUMIF(ING!$J:$J,Sheet2!$B2425,ING!$P:$P)</f>
        <v>0</v>
      </c>
      <c r="E2425" s="16">
        <f t="shared" si="74"/>
        <v>88831891.732399985</v>
      </c>
      <c r="G2425" s="16">
        <f>IF(D2425=0,0,SUMIF(매도완료!$J:$J,Sheet2!$B2425,매도완료!$S:$S))+IF(D2425=0,0,SUMIF(ING!$J:$J,Sheet2!$B2425,ING!$S:$S))</f>
        <v>0</v>
      </c>
      <c r="H2425" s="16">
        <f t="shared" si="75"/>
        <v>-191190.35919105867</v>
      </c>
    </row>
    <row r="2426" spans="2:8" hidden="1" x14ac:dyDescent="0.4">
      <c r="B2426" s="1">
        <v>44975</v>
      </c>
      <c r="C2426" s="16">
        <f>SUMIF(매도완료!$G:$G,Sheet2!$B2426,매도완료!$P:$P)+SUMIF(ING!$G:$G,Sheet2!$B2426,ING!$P:$P)</f>
        <v>0</v>
      </c>
      <c r="D2426" s="16">
        <f>SUMIF(매도완료!$J:$J,Sheet2!$B2426,매도완료!$P:$P)+SUMIF(ING!$J:$J,Sheet2!$B2426,ING!$P:$P)</f>
        <v>0</v>
      </c>
      <c r="E2426" s="16">
        <f t="shared" si="74"/>
        <v>88831891.732399985</v>
      </c>
      <c r="G2426" s="16">
        <f>IF(D2426=0,0,SUMIF(매도완료!$J:$J,Sheet2!$B2426,매도완료!$S:$S))+IF(D2426=0,0,SUMIF(ING!$J:$J,Sheet2!$B2426,ING!$S:$S))</f>
        <v>0</v>
      </c>
      <c r="H2426" s="16">
        <f t="shared" si="75"/>
        <v>-191190.35919105867</v>
      </c>
    </row>
    <row r="2427" spans="2:8" hidden="1" x14ac:dyDescent="0.4">
      <c r="B2427" s="1">
        <v>44976</v>
      </c>
      <c r="C2427" s="16">
        <f>SUMIF(매도완료!$G:$G,Sheet2!$B2427,매도완료!$P:$P)+SUMIF(ING!$G:$G,Sheet2!$B2427,ING!$P:$P)</f>
        <v>0</v>
      </c>
      <c r="D2427" s="16">
        <f>SUMIF(매도완료!$J:$J,Sheet2!$B2427,매도완료!$P:$P)+SUMIF(ING!$J:$J,Sheet2!$B2427,ING!$P:$P)</f>
        <v>0</v>
      </c>
      <c r="E2427" s="16">
        <f t="shared" si="74"/>
        <v>88831891.732399985</v>
      </c>
      <c r="G2427" s="16">
        <f>IF(D2427=0,0,SUMIF(매도완료!$J:$J,Sheet2!$B2427,매도완료!$S:$S))+IF(D2427=0,0,SUMIF(ING!$J:$J,Sheet2!$B2427,ING!$S:$S))</f>
        <v>0</v>
      </c>
      <c r="H2427" s="16">
        <f t="shared" si="75"/>
        <v>-191190.35919105867</v>
      </c>
    </row>
    <row r="2428" spans="2:8" hidden="1" x14ac:dyDescent="0.4">
      <c r="B2428" s="1">
        <v>44977</v>
      </c>
      <c r="C2428" s="16">
        <f>SUMIF(매도완료!$G:$G,Sheet2!$B2428,매도완료!$P:$P)+SUMIF(ING!$G:$G,Sheet2!$B2428,ING!$P:$P)</f>
        <v>0</v>
      </c>
      <c r="D2428" s="16">
        <f>SUMIF(매도완료!$J:$J,Sheet2!$B2428,매도완료!$P:$P)+SUMIF(ING!$J:$J,Sheet2!$B2428,ING!$P:$P)</f>
        <v>0</v>
      </c>
      <c r="E2428" s="16">
        <f t="shared" si="74"/>
        <v>88831891.732399985</v>
      </c>
      <c r="G2428" s="16">
        <f>IF(D2428=0,0,SUMIF(매도완료!$J:$J,Sheet2!$B2428,매도완료!$S:$S))+IF(D2428=0,0,SUMIF(ING!$J:$J,Sheet2!$B2428,ING!$S:$S))</f>
        <v>0</v>
      </c>
      <c r="H2428" s="16">
        <f t="shared" si="75"/>
        <v>-191190.35919105867</v>
      </c>
    </row>
    <row r="2429" spans="2:8" hidden="1" x14ac:dyDescent="0.4">
      <c r="B2429" s="1">
        <v>44978</v>
      </c>
      <c r="C2429" s="16">
        <f>SUMIF(매도완료!$G:$G,Sheet2!$B2429,매도완료!$P:$P)+SUMIF(ING!$G:$G,Sheet2!$B2429,ING!$P:$P)</f>
        <v>0</v>
      </c>
      <c r="D2429" s="16">
        <f>SUMIF(매도완료!$J:$J,Sheet2!$B2429,매도완료!$P:$P)+SUMIF(ING!$J:$J,Sheet2!$B2429,ING!$P:$P)</f>
        <v>2630400</v>
      </c>
      <c r="E2429" s="16">
        <f t="shared" si="74"/>
        <v>86201491.732399985</v>
      </c>
      <c r="G2429" s="16">
        <f>IF(D2429=0,0,SUMIF(매도완료!$J:$J,Sheet2!$B2429,매도완료!$S:$S))+IF(D2429=0,0,SUMIF(ING!$J:$J,Sheet2!$B2429,ING!$S:$S))</f>
        <v>-110130.00000000001</v>
      </c>
      <c r="H2429" s="16">
        <f t="shared" si="75"/>
        <v>-301320.35919105867</v>
      </c>
    </row>
    <row r="2430" spans="2:8" hidden="1" x14ac:dyDescent="0.4">
      <c r="B2430" s="1">
        <v>44979</v>
      </c>
      <c r="C2430" s="16">
        <f>SUMIF(매도완료!$G:$G,Sheet2!$B2430,매도완료!$P:$P)+SUMIF(ING!$G:$G,Sheet2!$B2430,ING!$P:$P)</f>
        <v>0</v>
      </c>
      <c r="D2430" s="16">
        <f>SUMIF(매도완료!$J:$J,Sheet2!$B2430,매도완료!$P:$P)+SUMIF(ING!$J:$J,Sheet2!$B2430,ING!$P:$P)</f>
        <v>0</v>
      </c>
      <c r="E2430" s="16">
        <f t="shared" si="74"/>
        <v>86201491.732399985</v>
      </c>
      <c r="G2430" s="16">
        <f>IF(D2430=0,0,SUMIF(매도완료!$J:$J,Sheet2!$B2430,매도완료!$S:$S))+IF(D2430=0,0,SUMIF(ING!$J:$J,Sheet2!$B2430,ING!$S:$S))</f>
        <v>0</v>
      </c>
      <c r="H2430" s="16">
        <f t="shared" si="75"/>
        <v>-301320.35919105867</v>
      </c>
    </row>
    <row r="2431" spans="2:8" hidden="1" x14ac:dyDescent="0.4">
      <c r="B2431" s="1">
        <v>44980</v>
      </c>
      <c r="C2431" s="16">
        <f>SUMIF(매도완료!$G:$G,Sheet2!$B2431,매도완료!$P:$P)+SUMIF(ING!$G:$G,Sheet2!$B2431,ING!$P:$P)</f>
        <v>0</v>
      </c>
      <c r="D2431" s="16">
        <f>SUMIF(매도완료!$J:$J,Sheet2!$B2431,매도완료!$P:$P)+SUMIF(ING!$J:$J,Sheet2!$B2431,ING!$P:$P)</f>
        <v>0</v>
      </c>
      <c r="E2431" s="16">
        <f t="shared" si="74"/>
        <v>86201491.732399985</v>
      </c>
      <c r="G2431" s="16">
        <f>IF(D2431=0,0,SUMIF(매도완료!$J:$J,Sheet2!$B2431,매도완료!$S:$S))+IF(D2431=0,0,SUMIF(ING!$J:$J,Sheet2!$B2431,ING!$S:$S))</f>
        <v>0</v>
      </c>
      <c r="H2431" s="16">
        <f t="shared" si="75"/>
        <v>-301320.35919105867</v>
      </c>
    </row>
    <row r="2432" spans="2:8" hidden="1" x14ac:dyDescent="0.4">
      <c r="B2432" s="1">
        <v>44981</v>
      </c>
      <c r="C2432" s="16">
        <f>SUMIF(매도완료!$G:$G,Sheet2!$B2432,매도완료!$P:$P)+SUMIF(ING!$G:$G,Sheet2!$B2432,ING!$P:$P)</f>
        <v>0</v>
      </c>
      <c r="D2432" s="16">
        <f>SUMIF(매도완료!$J:$J,Sheet2!$B2432,매도완료!$P:$P)+SUMIF(ING!$J:$J,Sheet2!$B2432,ING!$P:$P)</f>
        <v>0</v>
      </c>
      <c r="E2432" s="16">
        <f t="shared" si="74"/>
        <v>86201491.732399985</v>
      </c>
      <c r="G2432" s="16">
        <f>IF(D2432=0,0,SUMIF(매도완료!$J:$J,Sheet2!$B2432,매도완료!$S:$S))+IF(D2432=0,0,SUMIF(ING!$J:$J,Sheet2!$B2432,ING!$S:$S))</f>
        <v>0</v>
      </c>
      <c r="H2432" s="16">
        <f t="shared" si="75"/>
        <v>-301320.35919105867</v>
      </c>
    </row>
    <row r="2433" spans="2:8" hidden="1" x14ac:dyDescent="0.4">
      <c r="B2433" s="1">
        <v>44982</v>
      </c>
      <c r="C2433" s="16">
        <f>SUMIF(매도완료!$G:$G,Sheet2!$B2433,매도완료!$P:$P)+SUMIF(ING!$G:$G,Sheet2!$B2433,ING!$P:$P)</f>
        <v>0</v>
      </c>
      <c r="D2433" s="16">
        <f>SUMIF(매도완료!$J:$J,Sheet2!$B2433,매도완료!$P:$P)+SUMIF(ING!$J:$J,Sheet2!$B2433,ING!$P:$P)</f>
        <v>0</v>
      </c>
      <c r="E2433" s="16">
        <f t="shared" si="74"/>
        <v>86201491.732399985</v>
      </c>
      <c r="G2433" s="16">
        <f>IF(D2433=0,0,SUMIF(매도완료!$J:$J,Sheet2!$B2433,매도완료!$S:$S))+IF(D2433=0,0,SUMIF(ING!$J:$J,Sheet2!$B2433,ING!$S:$S))</f>
        <v>0</v>
      </c>
      <c r="H2433" s="16">
        <f t="shared" si="75"/>
        <v>-301320.35919105867</v>
      </c>
    </row>
    <row r="2434" spans="2:8" hidden="1" x14ac:dyDescent="0.4">
      <c r="B2434" s="1">
        <v>44983</v>
      </c>
      <c r="C2434" s="16">
        <f>SUMIF(매도완료!$G:$G,Sheet2!$B2434,매도완료!$P:$P)+SUMIF(ING!$G:$G,Sheet2!$B2434,ING!$P:$P)</f>
        <v>0</v>
      </c>
      <c r="D2434" s="16">
        <f>SUMIF(매도완료!$J:$J,Sheet2!$B2434,매도완료!$P:$P)+SUMIF(ING!$J:$J,Sheet2!$B2434,ING!$P:$P)</f>
        <v>0</v>
      </c>
      <c r="E2434" s="16">
        <f t="shared" si="74"/>
        <v>86201491.732399985</v>
      </c>
      <c r="G2434" s="16">
        <f>IF(D2434=0,0,SUMIF(매도완료!$J:$J,Sheet2!$B2434,매도완료!$S:$S))+IF(D2434=0,0,SUMIF(ING!$J:$J,Sheet2!$B2434,ING!$S:$S))</f>
        <v>0</v>
      </c>
      <c r="H2434" s="16">
        <f t="shared" si="75"/>
        <v>-301320.35919105867</v>
      </c>
    </row>
    <row r="2435" spans="2:8" hidden="1" x14ac:dyDescent="0.4">
      <c r="B2435" s="1">
        <v>44984</v>
      </c>
      <c r="C2435" s="16">
        <f>SUMIF(매도완료!$G:$G,Sheet2!$B2435,매도완료!$P:$P)+SUMIF(ING!$G:$G,Sheet2!$B2435,ING!$P:$P)</f>
        <v>0</v>
      </c>
      <c r="D2435" s="16">
        <f>SUMIF(매도완료!$J:$J,Sheet2!$B2435,매도완료!$P:$P)+SUMIF(ING!$J:$J,Sheet2!$B2435,ING!$P:$P)</f>
        <v>0</v>
      </c>
      <c r="E2435" s="16">
        <f t="shared" si="74"/>
        <v>86201491.732399985</v>
      </c>
      <c r="G2435" s="16">
        <f>IF(D2435=0,0,SUMIF(매도완료!$J:$J,Sheet2!$B2435,매도완료!$S:$S))+IF(D2435=0,0,SUMIF(ING!$J:$J,Sheet2!$B2435,ING!$S:$S))</f>
        <v>0</v>
      </c>
      <c r="H2435" s="16">
        <f t="shared" si="75"/>
        <v>-301320.35919105867</v>
      </c>
    </row>
    <row r="2436" spans="2:8" hidden="1" x14ac:dyDescent="0.4">
      <c r="B2436" s="1">
        <v>44985</v>
      </c>
      <c r="C2436" s="16">
        <f>SUMIF(매도완료!$G:$G,Sheet2!$B2436,매도완료!$P:$P)+SUMIF(ING!$G:$G,Sheet2!$B2436,ING!$P:$P)</f>
        <v>0</v>
      </c>
      <c r="D2436" s="16">
        <f>SUMIF(매도완료!$J:$J,Sheet2!$B2436,매도완료!$P:$P)+SUMIF(ING!$J:$J,Sheet2!$B2436,ING!$P:$P)</f>
        <v>0</v>
      </c>
      <c r="E2436" s="16">
        <f t="shared" ref="E2436:E2499" si="76">E2435+C2436-D2436</f>
        <v>86201491.732399985</v>
      </c>
      <c r="G2436" s="16">
        <f>IF(D2436=0,0,SUMIF(매도완료!$J:$J,Sheet2!$B2436,매도완료!$S:$S))+IF(D2436=0,0,SUMIF(ING!$J:$J,Sheet2!$B2436,ING!$S:$S))</f>
        <v>0</v>
      </c>
      <c r="H2436" s="16">
        <f t="shared" ref="H2436:H2499" si="77">H2435+G2436</f>
        <v>-301320.35919105867</v>
      </c>
    </row>
    <row r="2437" spans="2:8" hidden="1" x14ac:dyDescent="0.4">
      <c r="B2437" s="1">
        <v>44986</v>
      </c>
      <c r="C2437" s="16">
        <f>SUMIF(매도완료!$G:$G,Sheet2!$B2437,매도완료!$P:$P)+SUMIF(ING!$G:$G,Sheet2!$B2437,ING!$P:$P)</f>
        <v>0</v>
      </c>
      <c r="D2437" s="16">
        <f>SUMIF(매도완료!$J:$J,Sheet2!$B2437,매도완료!$P:$P)+SUMIF(ING!$J:$J,Sheet2!$B2437,ING!$P:$P)</f>
        <v>0</v>
      </c>
      <c r="E2437" s="16">
        <f t="shared" si="76"/>
        <v>86201491.732399985</v>
      </c>
      <c r="G2437" s="16">
        <f>IF(D2437=0,0,SUMIF(매도완료!$J:$J,Sheet2!$B2437,매도완료!$S:$S))+IF(D2437=0,0,SUMIF(ING!$J:$J,Sheet2!$B2437,ING!$S:$S))</f>
        <v>0</v>
      </c>
      <c r="H2437" s="16">
        <f t="shared" si="77"/>
        <v>-301320.35919105867</v>
      </c>
    </row>
    <row r="2438" spans="2:8" hidden="1" x14ac:dyDescent="0.4">
      <c r="B2438" s="1">
        <v>44987</v>
      </c>
      <c r="C2438" s="16">
        <f>SUMIF(매도완료!$G:$G,Sheet2!$B2438,매도완료!$P:$P)+SUMIF(ING!$G:$G,Sheet2!$B2438,ING!$P:$P)</f>
        <v>0</v>
      </c>
      <c r="D2438" s="16">
        <f>SUMIF(매도완료!$J:$J,Sheet2!$B2438,매도완료!$P:$P)+SUMIF(ING!$J:$J,Sheet2!$B2438,ING!$P:$P)</f>
        <v>0</v>
      </c>
      <c r="E2438" s="16">
        <f t="shared" si="76"/>
        <v>86201491.732399985</v>
      </c>
      <c r="G2438" s="16">
        <f>IF(D2438=0,0,SUMIF(매도완료!$J:$J,Sheet2!$B2438,매도완료!$S:$S))+IF(D2438=0,0,SUMIF(ING!$J:$J,Sheet2!$B2438,ING!$S:$S))</f>
        <v>0</v>
      </c>
      <c r="H2438" s="16">
        <f t="shared" si="77"/>
        <v>-301320.35919105867</v>
      </c>
    </row>
    <row r="2439" spans="2:8" hidden="1" x14ac:dyDescent="0.4">
      <c r="B2439" s="1">
        <v>44988</v>
      </c>
      <c r="C2439" s="16">
        <f>SUMIF(매도완료!$G:$G,Sheet2!$B2439,매도완료!$P:$P)+SUMIF(ING!$G:$G,Sheet2!$B2439,ING!$P:$P)</f>
        <v>0</v>
      </c>
      <c r="D2439" s="16">
        <f>SUMIF(매도완료!$J:$J,Sheet2!$B2439,매도완료!$P:$P)+SUMIF(ING!$J:$J,Sheet2!$B2439,ING!$P:$P)</f>
        <v>0</v>
      </c>
      <c r="E2439" s="16">
        <f t="shared" si="76"/>
        <v>86201491.732399985</v>
      </c>
      <c r="G2439" s="16">
        <f>IF(D2439=0,0,SUMIF(매도완료!$J:$J,Sheet2!$B2439,매도완료!$S:$S))+IF(D2439=0,0,SUMIF(ING!$J:$J,Sheet2!$B2439,ING!$S:$S))</f>
        <v>0</v>
      </c>
      <c r="H2439" s="16">
        <f t="shared" si="77"/>
        <v>-301320.35919105867</v>
      </c>
    </row>
    <row r="2440" spans="2:8" hidden="1" x14ac:dyDescent="0.4">
      <c r="B2440" s="1">
        <v>44989</v>
      </c>
      <c r="C2440" s="16">
        <f>SUMIF(매도완료!$G:$G,Sheet2!$B2440,매도완료!$P:$P)+SUMIF(ING!$G:$G,Sheet2!$B2440,ING!$P:$P)</f>
        <v>0</v>
      </c>
      <c r="D2440" s="16">
        <f>SUMIF(매도완료!$J:$J,Sheet2!$B2440,매도완료!$P:$P)+SUMIF(ING!$J:$J,Sheet2!$B2440,ING!$P:$P)</f>
        <v>0</v>
      </c>
      <c r="E2440" s="16">
        <f t="shared" si="76"/>
        <v>86201491.732399985</v>
      </c>
      <c r="G2440" s="16">
        <f>IF(D2440=0,0,SUMIF(매도완료!$J:$J,Sheet2!$B2440,매도완료!$S:$S))+IF(D2440=0,0,SUMIF(ING!$J:$J,Sheet2!$B2440,ING!$S:$S))</f>
        <v>0</v>
      </c>
      <c r="H2440" s="16">
        <f t="shared" si="77"/>
        <v>-301320.35919105867</v>
      </c>
    </row>
    <row r="2441" spans="2:8" hidden="1" x14ac:dyDescent="0.4">
      <c r="B2441" s="1">
        <v>44990</v>
      </c>
      <c r="C2441" s="16">
        <f>SUMIF(매도완료!$G:$G,Sheet2!$B2441,매도완료!$P:$P)+SUMIF(ING!$G:$G,Sheet2!$B2441,ING!$P:$P)</f>
        <v>0</v>
      </c>
      <c r="D2441" s="16">
        <f>SUMIF(매도완료!$J:$J,Sheet2!$B2441,매도완료!$P:$P)+SUMIF(ING!$J:$J,Sheet2!$B2441,ING!$P:$P)</f>
        <v>0</v>
      </c>
      <c r="E2441" s="16">
        <f t="shared" si="76"/>
        <v>86201491.732399985</v>
      </c>
      <c r="G2441" s="16">
        <f>IF(D2441=0,0,SUMIF(매도완료!$J:$J,Sheet2!$B2441,매도완료!$S:$S))+IF(D2441=0,0,SUMIF(ING!$J:$J,Sheet2!$B2441,ING!$S:$S))</f>
        <v>0</v>
      </c>
      <c r="H2441" s="16">
        <f t="shared" si="77"/>
        <v>-301320.35919105867</v>
      </c>
    </row>
    <row r="2442" spans="2:8" hidden="1" x14ac:dyDescent="0.4">
      <c r="B2442" s="1">
        <v>44991</v>
      </c>
      <c r="C2442" s="16">
        <f>SUMIF(매도완료!$G:$G,Sheet2!$B2442,매도완료!$P:$P)+SUMIF(ING!$G:$G,Sheet2!$B2442,ING!$P:$P)</f>
        <v>0</v>
      </c>
      <c r="D2442" s="16">
        <f>SUMIF(매도완료!$J:$J,Sheet2!$B2442,매도완료!$P:$P)+SUMIF(ING!$J:$J,Sheet2!$B2442,ING!$P:$P)</f>
        <v>0</v>
      </c>
      <c r="E2442" s="16">
        <f t="shared" si="76"/>
        <v>86201491.732399985</v>
      </c>
      <c r="G2442" s="16">
        <f>IF(D2442=0,0,SUMIF(매도완료!$J:$J,Sheet2!$B2442,매도완료!$S:$S))+IF(D2442=0,0,SUMIF(ING!$J:$J,Sheet2!$B2442,ING!$S:$S))</f>
        <v>0</v>
      </c>
      <c r="H2442" s="16">
        <f t="shared" si="77"/>
        <v>-301320.35919105867</v>
      </c>
    </row>
    <row r="2443" spans="2:8" hidden="1" x14ac:dyDescent="0.4">
      <c r="B2443" s="1">
        <v>44992</v>
      </c>
      <c r="C2443" s="16">
        <f>SUMIF(매도완료!$G:$G,Sheet2!$B2443,매도완료!$P:$P)+SUMIF(ING!$G:$G,Sheet2!$B2443,ING!$P:$P)</f>
        <v>0</v>
      </c>
      <c r="D2443" s="16">
        <f>SUMIF(매도완료!$J:$J,Sheet2!$B2443,매도완료!$P:$P)+SUMIF(ING!$J:$J,Sheet2!$B2443,ING!$P:$P)</f>
        <v>0</v>
      </c>
      <c r="E2443" s="16">
        <f t="shared" si="76"/>
        <v>86201491.732399985</v>
      </c>
      <c r="G2443" s="16">
        <f>IF(D2443=0,0,SUMIF(매도완료!$J:$J,Sheet2!$B2443,매도완료!$S:$S))+IF(D2443=0,0,SUMIF(ING!$J:$J,Sheet2!$B2443,ING!$S:$S))</f>
        <v>0</v>
      </c>
      <c r="H2443" s="16">
        <f t="shared" si="77"/>
        <v>-301320.35919105867</v>
      </c>
    </row>
    <row r="2444" spans="2:8" hidden="1" x14ac:dyDescent="0.4">
      <c r="B2444" s="1">
        <v>44993</v>
      </c>
      <c r="C2444" s="16">
        <f>SUMIF(매도완료!$G:$G,Sheet2!$B2444,매도완료!$P:$P)+SUMIF(ING!$G:$G,Sheet2!$B2444,ING!$P:$P)</f>
        <v>0</v>
      </c>
      <c r="D2444" s="16">
        <f>SUMIF(매도완료!$J:$J,Sheet2!$B2444,매도완료!$P:$P)+SUMIF(ING!$J:$J,Sheet2!$B2444,ING!$P:$P)</f>
        <v>1872000</v>
      </c>
      <c r="E2444" s="16">
        <f t="shared" si="76"/>
        <v>84329491.732399985</v>
      </c>
      <c r="G2444" s="16">
        <f>IF(D2444=0,0,SUMIF(매도완료!$J:$J,Sheet2!$B2444,매도완료!$S:$S))+IF(D2444=0,0,SUMIF(ING!$J:$J,Sheet2!$B2444,ING!$S:$S))</f>
        <v>650005.60000000009</v>
      </c>
      <c r="H2444" s="16">
        <f t="shared" si="77"/>
        <v>348685.24080894142</v>
      </c>
    </row>
    <row r="2445" spans="2:8" hidden="1" x14ac:dyDescent="0.4">
      <c r="B2445" s="1">
        <v>44994</v>
      </c>
      <c r="C2445" s="16">
        <f>SUMIF(매도완료!$G:$G,Sheet2!$B2445,매도완료!$P:$P)+SUMIF(ING!$G:$G,Sheet2!$B2445,ING!$P:$P)</f>
        <v>0</v>
      </c>
      <c r="D2445" s="16">
        <f>SUMIF(매도완료!$J:$J,Sheet2!$B2445,매도완료!$P:$P)+SUMIF(ING!$J:$J,Sheet2!$B2445,ING!$P:$P)</f>
        <v>0</v>
      </c>
      <c r="E2445" s="16">
        <f t="shared" si="76"/>
        <v>84329491.732399985</v>
      </c>
      <c r="G2445" s="16">
        <f>IF(D2445=0,0,SUMIF(매도완료!$J:$J,Sheet2!$B2445,매도완료!$S:$S))+IF(D2445=0,0,SUMIF(ING!$J:$J,Sheet2!$B2445,ING!$S:$S))</f>
        <v>0</v>
      </c>
      <c r="H2445" s="16">
        <f t="shared" si="77"/>
        <v>348685.24080894142</v>
      </c>
    </row>
    <row r="2446" spans="2:8" hidden="1" x14ac:dyDescent="0.4">
      <c r="B2446" s="1">
        <v>44995</v>
      </c>
      <c r="C2446" s="16">
        <f>SUMIF(매도완료!$G:$G,Sheet2!$B2446,매도완료!$P:$P)+SUMIF(ING!$G:$G,Sheet2!$B2446,ING!$P:$P)</f>
        <v>0</v>
      </c>
      <c r="D2446" s="16">
        <f>SUMIF(매도완료!$J:$J,Sheet2!$B2446,매도완료!$P:$P)+SUMIF(ING!$J:$J,Sheet2!$B2446,ING!$P:$P)</f>
        <v>0</v>
      </c>
      <c r="E2446" s="16">
        <f t="shared" si="76"/>
        <v>84329491.732399985</v>
      </c>
      <c r="G2446" s="16">
        <f>IF(D2446=0,0,SUMIF(매도완료!$J:$J,Sheet2!$B2446,매도완료!$S:$S))+IF(D2446=0,0,SUMIF(ING!$J:$J,Sheet2!$B2446,ING!$S:$S))</f>
        <v>0</v>
      </c>
      <c r="H2446" s="16">
        <f t="shared" si="77"/>
        <v>348685.24080894142</v>
      </c>
    </row>
    <row r="2447" spans="2:8" hidden="1" x14ac:dyDescent="0.4">
      <c r="B2447" s="1">
        <v>44996</v>
      </c>
      <c r="C2447" s="16">
        <f>SUMIF(매도완료!$G:$G,Sheet2!$B2447,매도완료!$P:$P)+SUMIF(ING!$G:$G,Sheet2!$B2447,ING!$P:$P)</f>
        <v>0</v>
      </c>
      <c r="D2447" s="16">
        <f>SUMIF(매도완료!$J:$J,Sheet2!$B2447,매도완료!$P:$P)+SUMIF(ING!$J:$J,Sheet2!$B2447,ING!$P:$P)</f>
        <v>0</v>
      </c>
      <c r="E2447" s="16">
        <f t="shared" si="76"/>
        <v>84329491.732399985</v>
      </c>
      <c r="G2447" s="16">
        <f>IF(D2447=0,0,SUMIF(매도완료!$J:$J,Sheet2!$B2447,매도완료!$S:$S))+IF(D2447=0,0,SUMIF(ING!$J:$J,Sheet2!$B2447,ING!$S:$S))</f>
        <v>0</v>
      </c>
      <c r="H2447" s="16">
        <f t="shared" si="77"/>
        <v>348685.24080894142</v>
      </c>
    </row>
    <row r="2448" spans="2:8" hidden="1" x14ac:dyDescent="0.4">
      <c r="B2448" s="1">
        <v>44997</v>
      </c>
      <c r="C2448" s="16">
        <f>SUMIF(매도완료!$G:$G,Sheet2!$B2448,매도완료!$P:$P)+SUMIF(ING!$G:$G,Sheet2!$B2448,ING!$P:$P)</f>
        <v>0</v>
      </c>
      <c r="D2448" s="16">
        <f>SUMIF(매도완료!$J:$J,Sheet2!$B2448,매도완료!$P:$P)+SUMIF(ING!$J:$J,Sheet2!$B2448,ING!$P:$P)</f>
        <v>0</v>
      </c>
      <c r="E2448" s="16">
        <f t="shared" si="76"/>
        <v>84329491.732399985</v>
      </c>
      <c r="G2448" s="16">
        <f>IF(D2448=0,0,SUMIF(매도완료!$J:$J,Sheet2!$B2448,매도완료!$S:$S))+IF(D2448=0,0,SUMIF(ING!$J:$J,Sheet2!$B2448,ING!$S:$S))</f>
        <v>0</v>
      </c>
      <c r="H2448" s="16">
        <f t="shared" si="77"/>
        <v>348685.24080894142</v>
      </c>
    </row>
    <row r="2449" spans="2:8" hidden="1" x14ac:dyDescent="0.4">
      <c r="B2449" s="1">
        <v>44998</v>
      </c>
      <c r="C2449" s="16">
        <f>SUMIF(매도완료!$G:$G,Sheet2!$B2449,매도완료!$P:$P)+SUMIF(ING!$G:$G,Sheet2!$B2449,ING!$P:$P)</f>
        <v>0</v>
      </c>
      <c r="D2449" s="16">
        <f>SUMIF(매도완료!$J:$J,Sheet2!$B2449,매도완료!$P:$P)+SUMIF(ING!$J:$J,Sheet2!$B2449,ING!$P:$P)</f>
        <v>0</v>
      </c>
      <c r="E2449" s="16">
        <f t="shared" si="76"/>
        <v>84329491.732399985</v>
      </c>
      <c r="G2449" s="16">
        <f>IF(D2449=0,0,SUMIF(매도완료!$J:$J,Sheet2!$B2449,매도완료!$S:$S))+IF(D2449=0,0,SUMIF(ING!$J:$J,Sheet2!$B2449,ING!$S:$S))</f>
        <v>0</v>
      </c>
      <c r="H2449" s="16">
        <f t="shared" si="77"/>
        <v>348685.24080894142</v>
      </c>
    </row>
    <row r="2450" spans="2:8" hidden="1" x14ac:dyDescent="0.4">
      <c r="B2450" s="1">
        <v>44999</v>
      </c>
      <c r="C2450" s="16">
        <f>SUMIF(매도완료!$G:$G,Sheet2!$B2450,매도완료!$P:$P)+SUMIF(ING!$G:$G,Sheet2!$B2450,ING!$P:$P)</f>
        <v>0</v>
      </c>
      <c r="D2450" s="16">
        <f>SUMIF(매도완료!$J:$J,Sheet2!$B2450,매도완료!$P:$P)+SUMIF(ING!$J:$J,Sheet2!$B2450,ING!$P:$P)</f>
        <v>0</v>
      </c>
      <c r="E2450" s="16">
        <f t="shared" si="76"/>
        <v>84329491.732399985</v>
      </c>
      <c r="G2450" s="16">
        <f>IF(D2450=0,0,SUMIF(매도완료!$J:$J,Sheet2!$B2450,매도완료!$S:$S))+IF(D2450=0,0,SUMIF(ING!$J:$J,Sheet2!$B2450,ING!$S:$S))</f>
        <v>0</v>
      </c>
      <c r="H2450" s="16">
        <f t="shared" si="77"/>
        <v>348685.24080894142</v>
      </c>
    </row>
    <row r="2451" spans="2:8" hidden="1" x14ac:dyDescent="0.4">
      <c r="B2451" s="1">
        <v>45000</v>
      </c>
      <c r="C2451" s="16">
        <f>SUMIF(매도완료!$G:$G,Sheet2!$B2451,매도완료!$P:$P)+SUMIF(ING!$G:$G,Sheet2!$B2451,ING!$P:$P)</f>
        <v>0</v>
      </c>
      <c r="D2451" s="16">
        <f>SUMIF(매도완료!$J:$J,Sheet2!$B2451,매도완료!$P:$P)+SUMIF(ING!$J:$J,Sheet2!$B2451,ING!$P:$P)</f>
        <v>0</v>
      </c>
      <c r="E2451" s="16">
        <f t="shared" si="76"/>
        <v>84329491.732399985</v>
      </c>
      <c r="G2451" s="16">
        <f>IF(D2451=0,0,SUMIF(매도완료!$J:$J,Sheet2!$B2451,매도완료!$S:$S))+IF(D2451=0,0,SUMIF(ING!$J:$J,Sheet2!$B2451,ING!$S:$S))</f>
        <v>0</v>
      </c>
      <c r="H2451" s="16">
        <f t="shared" si="77"/>
        <v>348685.24080894142</v>
      </c>
    </row>
    <row r="2452" spans="2:8" hidden="1" x14ac:dyDescent="0.4">
      <c r="B2452" s="1">
        <v>45001</v>
      </c>
      <c r="C2452" s="16">
        <f>SUMIF(매도완료!$G:$G,Sheet2!$B2452,매도완료!$P:$P)+SUMIF(ING!$G:$G,Sheet2!$B2452,ING!$P:$P)</f>
        <v>0</v>
      </c>
      <c r="D2452" s="16">
        <f>SUMIF(매도완료!$J:$J,Sheet2!$B2452,매도완료!$P:$P)+SUMIF(ING!$J:$J,Sheet2!$B2452,ING!$P:$P)</f>
        <v>0</v>
      </c>
      <c r="E2452" s="16">
        <f t="shared" si="76"/>
        <v>84329491.732399985</v>
      </c>
      <c r="G2452" s="16">
        <f>IF(D2452=0,0,SUMIF(매도완료!$J:$J,Sheet2!$B2452,매도완료!$S:$S))+IF(D2452=0,0,SUMIF(ING!$J:$J,Sheet2!$B2452,ING!$S:$S))</f>
        <v>0</v>
      </c>
      <c r="H2452" s="16">
        <f t="shared" si="77"/>
        <v>348685.24080894142</v>
      </c>
    </row>
    <row r="2453" spans="2:8" hidden="1" x14ac:dyDescent="0.4">
      <c r="B2453" s="1">
        <v>45002</v>
      </c>
      <c r="C2453" s="16">
        <f>SUMIF(매도완료!$G:$G,Sheet2!$B2453,매도완료!$P:$P)+SUMIF(ING!$G:$G,Sheet2!$B2453,ING!$P:$P)</f>
        <v>0</v>
      </c>
      <c r="D2453" s="16">
        <f>SUMIF(매도완료!$J:$J,Sheet2!$B2453,매도완료!$P:$P)+SUMIF(ING!$J:$J,Sheet2!$B2453,ING!$P:$P)</f>
        <v>0</v>
      </c>
      <c r="E2453" s="16">
        <f t="shared" si="76"/>
        <v>84329491.732399985</v>
      </c>
      <c r="G2453" s="16">
        <f>IF(D2453=0,0,SUMIF(매도완료!$J:$J,Sheet2!$B2453,매도완료!$S:$S))+IF(D2453=0,0,SUMIF(ING!$J:$J,Sheet2!$B2453,ING!$S:$S))</f>
        <v>0</v>
      </c>
      <c r="H2453" s="16">
        <f t="shared" si="77"/>
        <v>348685.24080894142</v>
      </c>
    </row>
    <row r="2454" spans="2:8" hidden="1" x14ac:dyDescent="0.4">
      <c r="B2454" s="1">
        <v>45003</v>
      </c>
      <c r="C2454" s="16">
        <f>SUMIF(매도완료!$G:$G,Sheet2!$B2454,매도완료!$P:$P)+SUMIF(ING!$G:$G,Sheet2!$B2454,ING!$P:$P)</f>
        <v>0</v>
      </c>
      <c r="D2454" s="16">
        <f>SUMIF(매도완료!$J:$J,Sheet2!$B2454,매도완료!$P:$P)+SUMIF(ING!$J:$J,Sheet2!$B2454,ING!$P:$P)</f>
        <v>0</v>
      </c>
      <c r="E2454" s="16">
        <f t="shared" si="76"/>
        <v>84329491.732399985</v>
      </c>
      <c r="G2454" s="16">
        <f>IF(D2454=0,0,SUMIF(매도완료!$J:$J,Sheet2!$B2454,매도완료!$S:$S))+IF(D2454=0,0,SUMIF(ING!$J:$J,Sheet2!$B2454,ING!$S:$S))</f>
        <v>0</v>
      </c>
      <c r="H2454" s="16">
        <f t="shared" si="77"/>
        <v>348685.24080894142</v>
      </c>
    </row>
    <row r="2455" spans="2:8" hidden="1" x14ac:dyDescent="0.4">
      <c r="B2455" s="1">
        <v>45004</v>
      </c>
      <c r="C2455" s="16">
        <f>SUMIF(매도완료!$G:$G,Sheet2!$B2455,매도완료!$P:$P)+SUMIF(ING!$G:$G,Sheet2!$B2455,ING!$P:$P)</f>
        <v>0</v>
      </c>
      <c r="D2455" s="16">
        <f>SUMIF(매도완료!$J:$J,Sheet2!$B2455,매도완료!$P:$P)+SUMIF(ING!$J:$J,Sheet2!$B2455,ING!$P:$P)</f>
        <v>0</v>
      </c>
      <c r="E2455" s="16">
        <f t="shared" si="76"/>
        <v>84329491.732399985</v>
      </c>
      <c r="G2455" s="16">
        <f>IF(D2455=0,0,SUMIF(매도완료!$J:$J,Sheet2!$B2455,매도완료!$S:$S))+IF(D2455=0,0,SUMIF(ING!$J:$J,Sheet2!$B2455,ING!$S:$S))</f>
        <v>0</v>
      </c>
      <c r="H2455" s="16">
        <f t="shared" si="77"/>
        <v>348685.24080894142</v>
      </c>
    </row>
    <row r="2456" spans="2:8" hidden="1" x14ac:dyDescent="0.4">
      <c r="B2456" s="1">
        <v>45005</v>
      </c>
      <c r="C2456" s="16">
        <f>SUMIF(매도완료!$G:$G,Sheet2!$B2456,매도완료!$P:$P)+SUMIF(ING!$G:$G,Sheet2!$B2456,ING!$P:$P)</f>
        <v>0</v>
      </c>
      <c r="D2456" s="16">
        <f>SUMIF(매도완료!$J:$J,Sheet2!$B2456,매도완료!$P:$P)+SUMIF(ING!$J:$J,Sheet2!$B2456,ING!$P:$P)</f>
        <v>0</v>
      </c>
      <c r="E2456" s="16">
        <f t="shared" si="76"/>
        <v>84329491.732399985</v>
      </c>
      <c r="G2456" s="16">
        <f>IF(D2456=0,0,SUMIF(매도완료!$J:$J,Sheet2!$B2456,매도완료!$S:$S))+IF(D2456=0,0,SUMIF(ING!$J:$J,Sheet2!$B2456,ING!$S:$S))</f>
        <v>0</v>
      </c>
      <c r="H2456" s="16">
        <f t="shared" si="77"/>
        <v>348685.24080894142</v>
      </c>
    </row>
    <row r="2457" spans="2:8" hidden="1" x14ac:dyDescent="0.4">
      <c r="B2457" s="1">
        <v>45006</v>
      </c>
      <c r="C2457" s="16">
        <f>SUMIF(매도완료!$G:$G,Sheet2!$B2457,매도완료!$P:$P)+SUMIF(ING!$G:$G,Sheet2!$B2457,ING!$P:$P)</f>
        <v>0</v>
      </c>
      <c r="D2457" s="16">
        <f>SUMIF(매도완료!$J:$J,Sheet2!$B2457,매도완료!$P:$P)+SUMIF(ING!$J:$J,Sheet2!$B2457,ING!$P:$P)</f>
        <v>0</v>
      </c>
      <c r="E2457" s="16">
        <f t="shared" si="76"/>
        <v>84329491.732399985</v>
      </c>
      <c r="G2457" s="16">
        <f>IF(D2457=0,0,SUMIF(매도완료!$J:$J,Sheet2!$B2457,매도완료!$S:$S))+IF(D2457=0,0,SUMIF(ING!$J:$J,Sheet2!$B2457,ING!$S:$S))</f>
        <v>0</v>
      </c>
      <c r="H2457" s="16">
        <f t="shared" si="77"/>
        <v>348685.24080894142</v>
      </c>
    </row>
    <row r="2458" spans="2:8" hidden="1" x14ac:dyDescent="0.4">
      <c r="B2458" s="1">
        <v>45007</v>
      </c>
      <c r="C2458" s="16">
        <f>SUMIF(매도완료!$G:$G,Sheet2!$B2458,매도완료!$P:$P)+SUMIF(ING!$G:$G,Sheet2!$B2458,ING!$P:$P)</f>
        <v>0</v>
      </c>
      <c r="D2458" s="16">
        <f>SUMIF(매도완료!$J:$J,Sheet2!$B2458,매도완료!$P:$P)+SUMIF(ING!$J:$J,Sheet2!$B2458,ING!$P:$P)</f>
        <v>0</v>
      </c>
      <c r="E2458" s="16">
        <f t="shared" si="76"/>
        <v>84329491.732399985</v>
      </c>
      <c r="G2458" s="16">
        <f>IF(D2458=0,0,SUMIF(매도완료!$J:$J,Sheet2!$B2458,매도완료!$S:$S))+IF(D2458=0,0,SUMIF(ING!$J:$J,Sheet2!$B2458,ING!$S:$S))</f>
        <v>0</v>
      </c>
      <c r="H2458" s="16">
        <f t="shared" si="77"/>
        <v>348685.24080894142</v>
      </c>
    </row>
    <row r="2459" spans="2:8" hidden="1" x14ac:dyDescent="0.4">
      <c r="B2459" s="1">
        <v>45008</v>
      </c>
      <c r="C2459" s="16">
        <f>SUMIF(매도완료!$G:$G,Sheet2!$B2459,매도완료!$P:$P)+SUMIF(ING!$G:$G,Sheet2!$B2459,ING!$P:$P)</f>
        <v>0</v>
      </c>
      <c r="D2459" s="16">
        <f>SUMIF(매도완료!$J:$J,Sheet2!$B2459,매도완료!$P:$P)+SUMIF(ING!$J:$J,Sheet2!$B2459,ING!$P:$P)</f>
        <v>0</v>
      </c>
      <c r="E2459" s="16">
        <f t="shared" si="76"/>
        <v>84329491.732399985</v>
      </c>
      <c r="G2459" s="16">
        <f>IF(D2459=0,0,SUMIF(매도완료!$J:$J,Sheet2!$B2459,매도완료!$S:$S))+IF(D2459=0,0,SUMIF(ING!$J:$J,Sheet2!$B2459,ING!$S:$S))</f>
        <v>0</v>
      </c>
      <c r="H2459" s="16">
        <f t="shared" si="77"/>
        <v>348685.24080894142</v>
      </c>
    </row>
    <row r="2460" spans="2:8" hidden="1" x14ac:dyDescent="0.4">
      <c r="B2460" s="1">
        <v>45009</v>
      </c>
      <c r="C2460" s="16">
        <f>SUMIF(매도완료!$G:$G,Sheet2!$B2460,매도완료!$P:$P)+SUMIF(ING!$G:$G,Sheet2!$B2460,ING!$P:$P)</f>
        <v>0</v>
      </c>
      <c r="D2460" s="16">
        <f>SUMIF(매도완료!$J:$J,Sheet2!$B2460,매도완료!$P:$P)+SUMIF(ING!$J:$J,Sheet2!$B2460,ING!$P:$P)</f>
        <v>0</v>
      </c>
      <c r="E2460" s="16">
        <f t="shared" si="76"/>
        <v>84329491.732399985</v>
      </c>
      <c r="G2460" s="16">
        <f>IF(D2460=0,0,SUMIF(매도완료!$J:$J,Sheet2!$B2460,매도완료!$S:$S))+IF(D2460=0,0,SUMIF(ING!$J:$J,Sheet2!$B2460,ING!$S:$S))</f>
        <v>0</v>
      </c>
      <c r="H2460" s="16">
        <f t="shared" si="77"/>
        <v>348685.24080894142</v>
      </c>
    </row>
    <row r="2461" spans="2:8" hidden="1" x14ac:dyDescent="0.4">
      <c r="B2461" s="1">
        <v>45010</v>
      </c>
      <c r="C2461" s="16">
        <f>SUMIF(매도완료!$G:$G,Sheet2!$B2461,매도완료!$P:$P)+SUMIF(ING!$G:$G,Sheet2!$B2461,ING!$P:$P)</f>
        <v>0</v>
      </c>
      <c r="D2461" s="16">
        <f>SUMIF(매도완료!$J:$J,Sheet2!$B2461,매도완료!$P:$P)+SUMIF(ING!$J:$J,Sheet2!$B2461,ING!$P:$P)</f>
        <v>0</v>
      </c>
      <c r="E2461" s="16">
        <f t="shared" si="76"/>
        <v>84329491.732399985</v>
      </c>
      <c r="G2461" s="16">
        <f>IF(D2461=0,0,SUMIF(매도완료!$J:$J,Sheet2!$B2461,매도완료!$S:$S))+IF(D2461=0,0,SUMIF(ING!$J:$J,Sheet2!$B2461,ING!$S:$S))</f>
        <v>0</v>
      </c>
      <c r="H2461" s="16">
        <f t="shared" si="77"/>
        <v>348685.24080894142</v>
      </c>
    </row>
    <row r="2462" spans="2:8" hidden="1" x14ac:dyDescent="0.4">
      <c r="B2462" s="1">
        <v>45011</v>
      </c>
      <c r="C2462" s="16">
        <f>SUMIF(매도완료!$G:$G,Sheet2!$B2462,매도완료!$P:$P)+SUMIF(ING!$G:$G,Sheet2!$B2462,ING!$P:$P)</f>
        <v>0</v>
      </c>
      <c r="D2462" s="16">
        <f>SUMIF(매도완료!$J:$J,Sheet2!$B2462,매도완료!$P:$P)+SUMIF(ING!$J:$J,Sheet2!$B2462,ING!$P:$P)</f>
        <v>0</v>
      </c>
      <c r="E2462" s="16">
        <f t="shared" si="76"/>
        <v>84329491.732399985</v>
      </c>
      <c r="G2462" s="16">
        <f>IF(D2462=0,0,SUMIF(매도완료!$J:$J,Sheet2!$B2462,매도완료!$S:$S))+IF(D2462=0,0,SUMIF(ING!$J:$J,Sheet2!$B2462,ING!$S:$S))</f>
        <v>0</v>
      </c>
      <c r="H2462" s="16">
        <f t="shared" si="77"/>
        <v>348685.24080894142</v>
      </c>
    </row>
    <row r="2463" spans="2:8" hidden="1" x14ac:dyDescent="0.4">
      <c r="B2463" s="1">
        <v>45012</v>
      </c>
      <c r="C2463" s="16">
        <f>SUMIF(매도완료!$G:$G,Sheet2!$B2463,매도완료!$P:$P)+SUMIF(ING!$G:$G,Sheet2!$B2463,ING!$P:$P)</f>
        <v>0</v>
      </c>
      <c r="D2463" s="16">
        <f>SUMIF(매도완료!$J:$J,Sheet2!$B2463,매도완료!$P:$P)+SUMIF(ING!$J:$J,Sheet2!$B2463,ING!$P:$P)</f>
        <v>0</v>
      </c>
      <c r="E2463" s="16">
        <f t="shared" si="76"/>
        <v>84329491.732399985</v>
      </c>
      <c r="G2463" s="16">
        <f>IF(D2463=0,0,SUMIF(매도완료!$J:$J,Sheet2!$B2463,매도완료!$S:$S))+IF(D2463=0,0,SUMIF(ING!$J:$J,Sheet2!$B2463,ING!$S:$S))</f>
        <v>0</v>
      </c>
      <c r="H2463" s="16">
        <f t="shared" si="77"/>
        <v>348685.24080894142</v>
      </c>
    </row>
    <row r="2464" spans="2:8" hidden="1" x14ac:dyDescent="0.4">
      <c r="B2464" s="1">
        <v>45013</v>
      </c>
      <c r="C2464" s="16">
        <f>SUMIF(매도완료!$G:$G,Sheet2!$B2464,매도완료!$P:$P)+SUMIF(ING!$G:$G,Sheet2!$B2464,ING!$P:$P)</f>
        <v>0</v>
      </c>
      <c r="D2464" s="16">
        <f>SUMIF(매도완료!$J:$J,Sheet2!$B2464,매도완료!$P:$P)+SUMIF(ING!$J:$J,Sheet2!$B2464,ING!$P:$P)</f>
        <v>0</v>
      </c>
      <c r="E2464" s="16">
        <f t="shared" si="76"/>
        <v>84329491.732399985</v>
      </c>
      <c r="G2464" s="16">
        <f>IF(D2464=0,0,SUMIF(매도완료!$J:$J,Sheet2!$B2464,매도완료!$S:$S))+IF(D2464=0,0,SUMIF(ING!$J:$J,Sheet2!$B2464,ING!$S:$S))</f>
        <v>0</v>
      </c>
      <c r="H2464" s="16">
        <f t="shared" si="77"/>
        <v>348685.24080894142</v>
      </c>
    </row>
    <row r="2465" spans="2:8" hidden="1" x14ac:dyDescent="0.4">
      <c r="B2465" s="1">
        <v>45014</v>
      </c>
      <c r="C2465" s="16">
        <f>SUMIF(매도완료!$G:$G,Sheet2!$B2465,매도완료!$P:$P)+SUMIF(ING!$G:$G,Sheet2!$B2465,ING!$P:$P)</f>
        <v>0</v>
      </c>
      <c r="D2465" s="16">
        <f>SUMIF(매도완료!$J:$J,Sheet2!$B2465,매도완료!$P:$P)+SUMIF(ING!$J:$J,Sheet2!$B2465,ING!$P:$P)</f>
        <v>0</v>
      </c>
      <c r="E2465" s="16">
        <f t="shared" si="76"/>
        <v>84329491.732399985</v>
      </c>
      <c r="G2465" s="16">
        <f>IF(D2465=0,0,SUMIF(매도완료!$J:$J,Sheet2!$B2465,매도완료!$S:$S))+IF(D2465=0,0,SUMIF(ING!$J:$J,Sheet2!$B2465,ING!$S:$S))</f>
        <v>0</v>
      </c>
      <c r="H2465" s="16">
        <f t="shared" si="77"/>
        <v>348685.24080894142</v>
      </c>
    </row>
    <row r="2466" spans="2:8" hidden="1" x14ac:dyDescent="0.4">
      <c r="B2466" s="1">
        <v>45015</v>
      </c>
      <c r="C2466" s="16">
        <f>SUMIF(매도완료!$G:$G,Sheet2!$B2466,매도완료!$P:$P)+SUMIF(ING!$G:$G,Sheet2!$B2466,ING!$P:$P)</f>
        <v>0</v>
      </c>
      <c r="D2466" s="16">
        <f>SUMIF(매도완료!$J:$J,Sheet2!$B2466,매도완료!$P:$P)+SUMIF(ING!$J:$J,Sheet2!$B2466,ING!$P:$P)</f>
        <v>0</v>
      </c>
      <c r="E2466" s="16">
        <f t="shared" si="76"/>
        <v>84329491.732399985</v>
      </c>
      <c r="G2466" s="16">
        <f>IF(D2466=0,0,SUMIF(매도완료!$J:$J,Sheet2!$B2466,매도완료!$S:$S))+IF(D2466=0,0,SUMIF(ING!$J:$J,Sheet2!$B2466,ING!$S:$S))</f>
        <v>0</v>
      </c>
      <c r="H2466" s="16">
        <f t="shared" si="77"/>
        <v>348685.24080894142</v>
      </c>
    </row>
    <row r="2467" spans="2:8" hidden="1" x14ac:dyDescent="0.4">
      <c r="B2467" s="1">
        <v>45016</v>
      </c>
      <c r="C2467" s="16">
        <f>SUMIF(매도완료!$G:$G,Sheet2!$B2467,매도완료!$P:$P)+SUMIF(ING!$G:$G,Sheet2!$B2467,ING!$P:$P)</f>
        <v>0</v>
      </c>
      <c r="D2467" s="16">
        <f>SUMIF(매도완료!$J:$J,Sheet2!$B2467,매도완료!$P:$P)+SUMIF(ING!$J:$J,Sheet2!$B2467,ING!$P:$P)</f>
        <v>0</v>
      </c>
      <c r="E2467" s="16">
        <f t="shared" si="76"/>
        <v>84329491.732399985</v>
      </c>
      <c r="G2467" s="16">
        <f>IF(D2467=0,0,SUMIF(매도완료!$J:$J,Sheet2!$B2467,매도완료!$S:$S))+IF(D2467=0,0,SUMIF(ING!$J:$J,Sheet2!$B2467,ING!$S:$S))</f>
        <v>0</v>
      </c>
      <c r="H2467" s="16">
        <f t="shared" si="77"/>
        <v>348685.24080894142</v>
      </c>
    </row>
    <row r="2468" spans="2:8" hidden="1" x14ac:dyDescent="0.4">
      <c r="B2468" s="1">
        <v>45017</v>
      </c>
      <c r="C2468" s="16">
        <f>SUMIF(매도완료!$G:$G,Sheet2!$B2468,매도완료!$P:$P)+SUMIF(ING!$G:$G,Sheet2!$B2468,ING!$P:$P)</f>
        <v>0</v>
      </c>
      <c r="D2468" s="16">
        <f>SUMIF(매도완료!$J:$J,Sheet2!$B2468,매도완료!$P:$P)+SUMIF(ING!$J:$J,Sheet2!$B2468,ING!$P:$P)</f>
        <v>0</v>
      </c>
      <c r="E2468" s="16">
        <f t="shared" si="76"/>
        <v>84329491.732399985</v>
      </c>
      <c r="G2468" s="16">
        <f>IF(D2468=0,0,SUMIF(매도완료!$J:$J,Sheet2!$B2468,매도완료!$S:$S))+IF(D2468=0,0,SUMIF(ING!$J:$J,Sheet2!$B2468,ING!$S:$S))</f>
        <v>0</v>
      </c>
      <c r="H2468" s="16">
        <f t="shared" si="77"/>
        <v>348685.24080894142</v>
      </c>
    </row>
    <row r="2469" spans="2:8" hidden="1" x14ac:dyDescent="0.4">
      <c r="B2469" s="1">
        <v>45018</v>
      </c>
      <c r="C2469" s="16">
        <f>SUMIF(매도완료!$G:$G,Sheet2!$B2469,매도완료!$P:$P)+SUMIF(ING!$G:$G,Sheet2!$B2469,ING!$P:$P)</f>
        <v>0</v>
      </c>
      <c r="D2469" s="16">
        <f>SUMIF(매도완료!$J:$J,Sheet2!$B2469,매도완료!$P:$P)+SUMIF(ING!$J:$J,Sheet2!$B2469,ING!$P:$P)</f>
        <v>0</v>
      </c>
      <c r="E2469" s="16">
        <f t="shared" si="76"/>
        <v>84329491.732399985</v>
      </c>
      <c r="G2469" s="16">
        <f>IF(D2469=0,0,SUMIF(매도완료!$J:$J,Sheet2!$B2469,매도완료!$S:$S))+IF(D2469=0,0,SUMIF(ING!$J:$J,Sheet2!$B2469,ING!$S:$S))</f>
        <v>0</v>
      </c>
      <c r="H2469" s="16">
        <f t="shared" si="77"/>
        <v>348685.24080894142</v>
      </c>
    </row>
    <row r="2470" spans="2:8" hidden="1" x14ac:dyDescent="0.4">
      <c r="B2470" s="1">
        <v>45019</v>
      </c>
      <c r="C2470" s="16">
        <f>SUMIF(매도완료!$G:$G,Sheet2!$B2470,매도완료!$P:$P)+SUMIF(ING!$G:$G,Sheet2!$B2470,ING!$P:$P)</f>
        <v>0</v>
      </c>
      <c r="D2470" s="16">
        <f>SUMIF(매도완료!$J:$J,Sheet2!$B2470,매도완료!$P:$P)+SUMIF(ING!$J:$J,Sheet2!$B2470,ING!$P:$P)</f>
        <v>0</v>
      </c>
      <c r="E2470" s="16">
        <f t="shared" si="76"/>
        <v>84329491.732399985</v>
      </c>
      <c r="G2470" s="16">
        <f>IF(D2470=0,0,SUMIF(매도완료!$J:$J,Sheet2!$B2470,매도완료!$S:$S))+IF(D2470=0,0,SUMIF(ING!$J:$J,Sheet2!$B2470,ING!$S:$S))</f>
        <v>0</v>
      </c>
      <c r="H2470" s="16">
        <f t="shared" si="77"/>
        <v>348685.24080894142</v>
      </c>
    </row>
    <row r="2471" spans="2:8" hidden="1" x14ac:dyDescent="0.4">
      <c r="B2471" s="1">
        <v>45020</v>
      </c>
      <c r="C2471" s="16">
        <f>SUMIF(매도완료!$G:$G,Sheet2!$B2471,매도완료!$P:$P)+SUMIF(ING!$G:$G,Sheet2!$B2471,ING!$P:$P)</f>
        <v>0</v>
      </c>
      <c r="D2471" s="16">
        <f>SUMIF(매도완료!$J:$J,Sheet2!$B2471,매도완료!$P:$P)+SUMIF(ING!$J:$J,Sheet2!$B2471,ING!$P:$P)</f>
        <v>0</v>
      </c>
      <c r="E2471" s="16">
        <f t="shared" si="76"/>
        <v>84329491.732399985</v>
      </c>
      <c r="G2471" s="16">
        <f>IF(D2471=0,0,SUMIF(매도완료!$J:$J,Sheet2!$B2471,매도완료!$S:$S))+IF(D2471=0,0,SUMIF(ING!$J:$J,Sheet2!$B2471,ING!$S:$S))</f>
        <v>0</v>
      </c>
      <c r="H2471" s="16">
        <f t="shared" si="77"/>
        <v>348685.24080894142</v>
      </c>
    </row>
    <row r="2472" spans="2:8" hidden="1" x14ac:dyDescent="0.4">
      <c r="B2472" s="1">
        <v>45021</v>
      </c>
      <c r="C2472" s="16">
        <f>SUMIF(매도완료!$G:$G,Sheet2!$B2472,매도완료!$P:$P)+SUMIF(ING!$G:$G,Sheet2!$B2472,ING!$P:$P)</f>
        <v>0</v>
      </c>
      <c r="D2472" s="16">
        <f>SUMIF(매도완료!$J:$J,Sheet2!$B2472,매도완료!$P:$P)+SUMIF(ING!$J:$J,Sheet2!$B2472,ING!$P:$P)</f>
        <v>0</v>
      </c>
      <c r="E2472" s="16">
        <f t="shared" si="76"/>
        <v>84329491.732399985</v>
      </c>
      <c r="G2472" s="16">
        <f>IF(D2472=0,0,SUMIF(매도완료!$J:$J,Sheet2!$B2472,매도완료!$S:$S))+IF(D2472=0,0,SUMIF(ING!$J:$J,Sheet2!$B2472,ING!$S:$S))</f>
        <v>0</v>
      </c>
      <c r="H2472" s="16">
        <f t="shared" si="77"/>
        <v>348685.24080894142</v>
      </c>
    </row>
    <row r="2473" spans="2:8" hidden="1" x14ac:dyDescent="0.4">
      <c r="B2473" s="1">
        <v>45022</v>
      </c>
      <c r="C2473" s="16">
        <f>SUMIF(매도완료!$G:$G,Sheet2!$B2473,매도완료!$P:$P)+SUMIF(ING!$G:$G,Sheet2!$B2473,ING!$P:$P)</f>
        <v>0</v>
      </c>
      <c r="D2473" s="16">
        <f>SUMIF(매도완료!$J:$J,Sheet2!$B2473,매도완료!$P:$P)+SUMIF(ING!$J:$J,Sheet2!$B2473,ING!$P:$P)</f>
        <v>0</v>
      </c>
      <c r="E2473" s="16">
        <f t="shared" si="76"/>
        <v>84329491.732399985</v>
      </c>
      <c r="G2473" s="16">
        <f>IF(D2473=0,0,SUMIF(매도완료!$J:$J,Sheet2!$B2473,매도완료!$S:$S))+IF(D2473=0,0,SUMIF(ING!$J:$J,Sheet2!$B2473,ING!$S:$S))</f>
        <v>0</v>
      </c>
      <c r="H2473" s="16">
        <f t="shared" si="77"/>
        <v>348685.24080894142</v>
      </c>
    </row>
    <row r="2474" spans="2:8" hidden="1" x14ac:dyDescent="0.4">
      <c r="B2474" s="1">
        <v>45023</v>
      </c>
      <c r="C2474" s="16">
        <f>SUMIF(매도완료!$G:$G,Sheet2!$B2474,매도완료!$P:$P)+SUMIF(ING!$G:$G,Sheet2!$B2474,ING!$P:$P)</f>
        <v>0</v>
      </c>
      <c r="D2474" s="16">
        <f>SUMIF(매도완료!$J:$J,Sheet2!$B2474,매도완료!$P:$P)+SUMIF(ING!$J:$J,Sheet2!$B2474,ING!$P:$P)</f>
        <v>0</v>
      </c>
      <c r="E2474" s="16">
        <f t="shared" si="76"/>
        <v>84329491.732399985</v>
      </c>
      <c r="G2474" s="16">
        <f>IF(D2474=0,0,SUMIF(매도완료!$J:$J,Sheet2!$B2474,매도완료!$S:$S))+IF(D2474=0,0,SUMIF(ING!$J:$J,Sheet2!$B2474,ING!$S:$S))</f>
        <v>0</v>
      </c>
      <c r="H2474" s="16">
        <f t="shared" si="77"/>
        <v>348685.24080894142</v>
      </c>
    </row>
    <row r="2475" spans="2:8" hidden="1" x14ac:dyDescent="0.4">
      <c r="B2475" s="1">
        <v>45024</v>
      </c>
      <c r="C2475" s="16">
        <f>SUMIF(매도완료!$G:$G,Sheet2!$B2475,매도완료!$P:$P)+SUMIF(ING!$G:$G,Sheet2!$B2475,ING!$P:$P)</f>
        <v>0</v>
      </c>
      <c r="D2475" s="16">
        <f>SUMIF(매도완료!$J:$J,Sheet2!$B2475,매도완료!$P:$P)+SUMIF(ING!$J:$J,Sheet2!$B2475,ING!$P:$P)</f>
        <v>0</v>
      </c>
      <c r="E2475" s="16">
        <f t="shared" si="76"/>
        <v>84329491.732399985</v>
      </c>
      <c r="G2475" s="16">
        <f>IF(D2475=0,0,SUMIF(매도완료!$J:$J,Sheet2!$B2475,매도완료!$S:$S))+IF(D2475=0,0,SUMIF(ING!$J:$J,Sheet2!$B2475,ING!$S:$S))</f>
        <v>0</v>
      </c>
      <c r="H2475" s="16">
        <f t="shared" si="77"/>
        <v>348685.24080894142</v>
      </c>
    </row>
    <row r="2476" spans="2:8" hidden="1" x14ac:dyDescent="0.4">
      <c r="B2476" s="1">
        <v>45025</v>
      </c>
      <c r="C2476" s="16">
        <f>SUMIF(매도완료!$G:$G,Sheet2!$B2476,매도완료!$P:$P)+SUMIF(ING!$G:$G,Sheet2!$B2476,ING!$P:$P)</f>
        <v>0</v>
      </c>
      <c r="D2476" s="16">
        <f>SUMIF(매도완료!$J:$J,Sheet2!$B2476,매도완료!$P:$P)+SUMIF(ING!$J:$J,Sheet2!$B2476,ING!$P:$P)</f>
        <v>0</v>
      </c>
      <c r="E2476" s="16">
        <f t="shared" si="76"/>
        <v>84329491.732399985</v>
      </c>
      <c r="G2476" s="16">
        <f>IF(D2476=0,0,SUMIF(매도완료!$J:$J,Sheet2!$B2476,매도완료!$S:$S))+IF(D2476=0,0,SUMIF(ING!$J:$J,Sheet2!$B2476,ING!$S:$S))</f>
        <v>0</v>
      </c>
      <c r="H2476" s="16">
        <f t="shared" si="77"/>
        <v>348685.24080894142</v>
      </c>
    </row>
    <row r="2477" spans="2:8" hidden="1" x14ac:dyDescent="0.4">
      <c r="B2477" s="1">
        <v>45026</v>
      </c>
      <c r="C2477" s="16">
        <f>SUMIF(매도완료!$G:$G,Sheet2!$B2477,매도완료!$P:$P)+SUMIF(ING!$G:$G,Sheet2!$B2477,ING!$P:$P)</f>
        <v>0</v>
      </c>
      <c r="D2477" s="16">
        <f>SUMIF(매도완료!$J:$J,Sheet2!$B2477,매도완료!$P:$P)+SUMIF(ING!$J:$J,Sheet2!$B2477,ING!$P:$P)</f>
        <v>0</v>
      </c>
      <c r="E2477" s="16">
        <f t="shared" si="76"/>
        <v>84329491.732399985</v>
      </c>
      <c r="G2477" s="16">
        <f>IF(D2477=0,0,SUMIF(매도완료!$J:$J,Sheet2!$B2477,매도완료!$S:$S))+IF(D2477=0,0,SUMIF(ING!$J:$J,Sheet2!$B2477,ING!$S:$S))</f>
        <v>0</v>
      </c>
      <c r="H2477" s="16">
        <f t="shared" si="77"/>
        <v>348685.24080894142</v>
      </c>
    </row>
    <row r="2478" spans="2:8" hidden="1" x14ac:dyDescent="0.4">
      <c r="B2478" s="1">
        <v>45027</v>
      </c>
      <c r="C2478" s="16">
        <f>SUMIF(매도완료!$G:$G,Sheet2!$B2478,매도완료!$P:$P)+SUMIF(ING!$G:$G,Sheet2!$B2478,ING!$P:$P)</f>
        <v>0</v>
      </c>
      <c r="D2478" s="16">
        <f>SUMIF(매도완료!$J:$J,Sheet2!$B2478,매도완료!$P:$P)+SUMIF(ING!$J:$J,Sheet2!$B2478,ING!$P:$P)</f>
        <v>0</v>
      </c>
      <c r="E2478" s="16">
        <f t="shared" si="76"/>
        <v>84329491.732399985</v>
      </c>
      <c r="G2478" s="16">
        <f>IF(D2478=0,0,SUMIF(매도완료!$J:$J,Sheet2!$B2478,매도완료!$S:$S))+IF(D2478=0,0,SUMIF(ING!$J:$J,Sheet2!$B2478,ING!$S:$S))</f>
        <v>0</v>
      </c>
      <c r="H2478" s="16">
        <f t="shared" si="77"/>
        <v>348685.24080894142</v>
      </c>
    </row>
    <row r="2479" spans="2:8" hidden="1" x14ac:dyDescent="0.4">
      <c r="B2479" s="1">
        <v>45028</v>
      </c>
      <c r="C2479" s="16">
        <f>SUMIF(매도완료!$G:$G,Sheet2!$B2479,매도완료!$P:$P)+SUMIF(ING!$G:$G,Sheet2!$B2479,ING!$P:$P)</f>
        <v>0</v>
      </c>
      <c r="D2479" s="16">
        <f>SUMIF(매도완료!$J:$J,Sheet2!$B2479,매도완료!$P:$P)+SUMIF(ING!$J:$J,Sheet2!$B2479,ING!$P:$P)</f>
        <v>0</v>
      </c>
      <c r="E2479" s="16">
        <f t="shared" si="76"/>
        <v>84329491.732399985</v>
      </c>
      <c r="G2479" s="16">
        <f>IF(D2479=0,0,SUMIF(매도완료!$J:$J,Sheet2!$B2479,매도완료!$S:$S))+IF(D2479=0,0,SUMIF(ING!$J:$J,Sheet2!$B2479,ING!$S:$S))</f>
        <v>0</v>
      </c>
      <c r="H2479" s="16">
        <f t="shared" si="77"/>
        <v>348685.24080894142</v>
      </c>
    </row>
    <row r="2480" spans="2:8" hidden="1" x14ac:dyDescent="0.4">
      <c r="B2480" s="1">
        <v>45029</v>
      </c>
      <c r="C2480" s="16">
        <f>SUMIF(매도완료!$G:$G,Sheet2!$B2480,매도완료!$P:$P)+SUMIF(ING!$G:$G,Sheet2!$B2480,ING!$P:$P)</f>
        <v>0</v>
      </c>
      <c r="D2480" s="16">
        <f>SUMIF(매도완료!$J:$J,Sheet2!$B2480,매도완료!$P:$P)+SUMIF(ING!$J:$J,Sheet2!$B2480,ING!$P:$P)</f>
        <v>0</v>
      </c>
      <c r="E2480" s="16">
        <f t="shared" si="76"/>
        <v>84329491.732399985</v>
      </c>
      <c r="G2480" s="16">
        <f>IF(D2480=0,0,SUMIF(매도완료!$J:$J,Sheet2!$B2480,매도완료!$S:$S))+IF(D2480=0,0,SUMIF(ING!$J:$J,Sheet2!$B2480,ING!$S:$S))</f>
        <v>0</v>
      </c>
      <c r="H2480" s="16">
        <f t="shared" si="77"/>
        <v>348685.24080894142</v>
      </c>
    </row>
    <row r="2481" spans="2:8" hidden="1" x14ac:dyDescent="0.4">
      <c r="B2481" s="1">
        <v>45030</v>
      </c>
      <c r="C2481" s="16">
        <f>SUMIF(매도완료!$G:$G,Sheet2!$B2481,매도완료!$P:$P)+SUMIF(ING!$G:$G,Sheet2!$B2481,ING!$P:$P)</f>
        <v>0</v>
      </c>
      <c r="D2481" s="16">
        <f>SUMIF(매도완료!$J:$J,Sheet2!$B2481,매도완료!$P:$P)+SUMIF(ING!$J:$J,Sheet2!$B2481,ING!$P:$P)</f>
        <v>0</v>
      </c>
      <c r="E2481" s="16">
        <f t="shared" si="76"/>
        <v>84329491.732399985</v>
      </c>
      <c r="G2481" s="16">
        <f>IF(D2481=0,0,SUMIF(매도완료!$J:$J,Sheet2!$B2481,매도완료!$S:$S))+IF(D2481=0,0,SUMIF(ING!$J:$J,Sheet2!$B2481,ING!$S:$S))</f>
        <v>0</v>
      </c>
      <c r="H2481" s="16">
        <f t="shared" si="77"/>
        <v>348685.24080894142</v>
      </c>
    </row>
    <row r="2482" spans="2:8" hidden="1" x14ac:dyDescent="0.4">
      <c r="B2482" s="1">
        <v>45031</v>
      </c>
      <c r="C2482" s="16">
        <f>SUMIF(매도완료!$G:$G,Sheet2!$B2482,매도완료!$P:$P)+SUMIF(ING!$G:$G,Sheet2!$B2482,ING!$P:$P)</f>
        <v>0</v>
      </c>
      <c r="D2482" s="16">
        <f>SUMIF(매도완료!$J:$J,Sheet2!$B2482,매도완료!$P:$P)+SUMIF(ING!$J:$J,Sheet2!$B2482,ING!$P:$P)</f>
        <v>0</v>
      </c>
      <c r="E2482" s="16">
        <f t="shared" si="76"/>
        <v>84329491.732399985</v>
      </c>
      <c r="G2482" s="16">
        <f>IF(D2482=0,0,SUMIF(매도완료!$J:$J,Sheet2!$B2482,매도완료!$S:$S))+IF(D2482=0,0,SUMIF(ING!$J:$J,Sheet2!$B2482,ING!$S:$S))</f>
        <v>0</v>
      </c>
      <c r="H2482" s="16">
        <f t="shared" si="77"/>
        <v>348685.24080894142</v>
      </c>
    </row>
    <row r="2483" spans="2:8" hidden="1" x14ac:dyDescent="0.4">
      <c r="B2483" s="1">
        <v>45032</v>
      </c>
      <c r="C2483" s="16">
        <f>SUMIF(매도완료!$G:$G,Sheet2!$B2483,매도완료!$P:$P)+SUMIF(ING!$G:$G,Sheet2!$B2483,ING!$P:$P)</f>
        <v>0</v>
      </c>
      <c r="D2483" s="16">
        <f>SUMIF(매도완료!$J:$J,Sheet2!$B2483,매도완료!$P:$P)+SUMIF(ING!$J:$J,Sheet2!$B2483,ING!$P:$P)</f>
        <v>0</v>
      </c>
      <c r="E2483" s="16">
        <f t="shared" si="76"/>
        <v>84329491.732399985</v>
      </c>
      <c r="G2483" s="16">
        <f>IF(D2483=0,0,SUMIF(매도완료!$J:$J,Sheet2!$B2483,매도완료!$S:$S))+IF(D2483=0,0,SUMIF(ING!$J:$J,Sheet2!$B2483,ING!$S:$S))</f>
        <v>0</v>
      </c>
      <c r="H2483" s="16">
        <f t="shared" si="77"/>
        <v>348685.24080894142</v>
      </c>
    </row>
    <row r="2484" spans="2:8" hidden="1" x14ac:dyDescent="0.4">
      <c r="B2484" s="1">
        <v>45033</v>
      </c>
      <c r="C2484" s="16">
        <f>SUMIF(매도완료!$G:$G,Sheet2!$B2484,매도완료!$P:$P)+SUMIF(ING!$G:$G,Sheet2!$B2484,ING!$P:$P)</f>
        <v>0</v>
      </c>
      <c r="D2484" s="16">
        <f>SUMIF(매도완료!$J:$J,Sheet2!$B2484,매도완료!$P:$P)+SUMIF(ING!$J:$J,Sheet2!$B2484,ING!$P:$P)</f>
        <v>0</v>
      </c>
      <c r="E2484" s="16">
        <f t="shared" si="76"/>
        <v>84329491.732399985</v>
      </c>
      <c r="G2484" s="16">
        <f>IF(D2484=0,0,SUMIF(매도완료!$J:$J,Sheet2!$B2484,매도완료!$S:$S))+IF(D2484=0,0,SUMIF(ING!$J:$J,Sheet2!$B2484,ING!$S:$S))</f>
        <v>0</v>
      </c>
      <c r="H2484" s="16">
        <f t="shared" si="77"/>
        <v>348685.24080894142</v>
      </c>
    </row>
    <row r="2485" spans="2:8" hidden="1" x14ac:dyDescent="0.4">
      <c r="B2485" s="1">
        <v>45034</v>
      </c>
      <c r="C2485" s="16">
        <f>SUMIF(매도완료!$G:$G,Sheet2!$B2485,매도완료!$P:$P)+SUMIF(ING!$G:$G,Sheet2!$B2485,ING!$P:$P)</f>
        <v>0</v>
      </c>
      <c r="D2485" s="16">
        <f>SUMIF(매도완료!$J:$J,Sheet2!$B2485,매도완료!$P:$P)+SUMIF(ING!$J:$J,Sheet2!$B2485,ING!$P:$P)</f>
        <v>0</v>
      </c>
      <c r="E2485" s="16">
        <f t="shared" si="76"/>
        <v>84329491.732399985</v>
      </c>
      <c r="G2485" s="16">
        <f>IF(D2485=0,0,SUMIF(매도완료!$J:$J,Sheet2!$B2485,매도완료!$S:$S))+IF(D2485=0,0,SUMIF(ING!$J:$J,Sheet2!$B2485,ING!$S:$S))</f>
        <v>0</v>
      </c>
      <c r="H2485" s="16">
        <f t="shared" si="77"/>
        <v>348685.24080894142</v>
      </c>
    </row>
    <row r="2486" spans="2:8" hidden="1" x14ac:dyDescent="0.4">
      <c r="B2486" s="1">
        <v>45035</v>
      </c>
      <c r="C2486" s="16">
        <f>SUMIF(매도완료!$G:$G,Sheet2!$B2486,매도완료!$P:$P)+SUMIF(ING!$G:$G,Sheet2!$B2486,ING!$P:$P)</f>
        <v>0</v>
      </c>
      <c r="D2486" s="16">
        <f>SUMIF(매도완료!$J:$J,Sheet2!$B2486,매도완료!$P:$P)+SUMIF(ING!$J:$J,Sheet2!$B2486,ING!$P:$P)</f>
        <v>0</v>
      </c>
      <c r="E2486" s="16">
        <f t="shared" si="76"/>
        <v>84329491.732399985</v>
      </c>
      <c r="G2486" s="16">
        <f>IF(D2486=0,0,SUMIF(매도완료!$J:$J,Sheet2!$B2486,매도완료!$S:$S))+IF(D2486=0,0,SUMIF(ING!$J:$J,Sheet2!$B2486,ING!$S:$S))</f>
        <v>0</v>
      </c>
      <c r="H2486" s="16">
        <f t="shared" si="77"/>
        <v>348685.24080894142</v>
      </c>
    </row>
    <row r="2487" spans="2:8" hidden="1" x14ac:dyDescent="0.4">
      <c r="B2487" s="1">
        <v>45036</v>
      </c>
      <c r="C2487" s="16">
        <f>SUMIF(매도완료!$G:$G,Sheet2!$B2487,매도완료!$P:$P)+SUMIF(ING!$G:$G,Sheet2!$B2487,ING!$P:$P)</f>
        <v>0</v>
      </c>
      <c r="D2487" s="16">
        <f>SUMIF(매도완료!$J:$J,Sheet2!$B2487,매도완료!$P:$P)+SUMIF(ING!$J:$J,Sheet2!$B2487,ING!$P:$P)</f>
        <v>0</v>
      </c>
      <c r="E2487" s="16">
        <f t="shared" si="76"/>
        <v>84329491.732399985</v>
      </c>
      <c r="G2487" s="16">
        <f>IF(D2487=0,0,SUMIF(매도완료!$J:$J,Sheet2!$B2487,매도완료!$S:$S))+IF(D2487=0,0,SUMIF(ING!$J:$J,Sheet2!$B2487,ING!$S:$S))</f>
        <v>0</v>
      </c>
      <c r="H2487" s="16">
        <f t="shared" si="77"/>
        <v>348685.24080894142</v>
      </c>
    </row>
    <row r="2488" spans="2:8" hidden="1" x14ac:dyDescent="0.4">
      <c r="B2488" s="1">
        <v>45037</v>
      </c>
      <c r="C2488" s="16">
        <f>SUMIF(매도완료!$G:$G,Sheet2!$B2488,매도완료!$P:$P)+SUMIF(ING!$G:$G,Sheet2!$B2488,ING!$P:$P)</f>
        <v>0</v>
      </c>
      <c r="D2488" s="16">
        <f>SUMIF(매도완료!$J:$J,Sheet2!$B2488,매도완료!$P:$P)+SUMIF(ING!$J:$J,Sheet2!$B2488,ING!$P:$P)</f>
        <v>0</v>
      </c>
      <c r="E2488" s="16">
        <f t="shared" si="76"/>
        <v>84329491.732399985</v>
      </c>
      <c r="G2488" s="16">
        <f>IF(D2488=0,0,SUMIF(매도완료!$J:$J,Sheet2!$B2488,매도완료!$S:$S))+IF(D2488=0,0,SUMIF(ING!$J:$J,Sheet2!$B2488,ING!$S:$S))</f>
        <v>0</v>
      </c>
      <c r="H2488" s="16">
        <f t="shared" si="77"/>
        <v>348685.24080894142</v>
      </c>
    </row>
    <row r="2489" spans="2:8" hidden="1" x14ac:dyDescent="0.4">
      <c r="B2489" s="1">
        <v>45038</v>
      </c>
      <c r="C2489" s="16">
        <f>SUMIF(매도완료!$G:$G,Sheet2!$B2489,매도완료!$P:$P)+SUMIF(ING!$G:$G,Sheet2!$B2489,ING!$P:$P)</f>
        <v>0</v>
      </c>
      <c r="D2489" s="16">
        <f>SUMIF(매도완료!$J:$J,Sheet2!$B2489,매도완료!$P:$P)+SUMIF(ING!$J:$J,Sheet2!$B2489,ING!$P:$P)</f>
        <v>0</v>
      </c>
      <c r="E2489" s="16">
        <f t="shared" si="76"/>
        <v>84329491.732399985</v>
      </c>
      <c r="G2489" s="16">
        <f>IF(D2489=0,0,SUMIF(매도완료!$J:$J,Sheet2!$B2489,매도완료!$S:$S))+IF(D2489=0,0,SUMIF(ING!$J:$J,Sheet2!$B2489,ING!$S:$S))</f>
        <v>0</v>
      </c>
      <c r="H2489" s="16">
        <f t="shared" si="77"/>
        <v>348685.24080894142</v>
      </c>
    </row>
    <row r="2490" spans="2:8" hidden="1" x14ac:dyDescent="0.4">
      <c r="B2490" s="1">
        <v>45039</v>
      </c>
      <c r="C2490" s="16">
        <f>SUMIF(매도완료!$G:$G,Sheet2!$B2490,매도완료!$P:$P)+SUMIF(ING!$G:$G,Sheet2!$B2490,ING!$P:$P)</f>
        <v>0</v>
      </c>
      <c r="D2490" s="16">
        <f>SUMIF(매도완료!$J:$J,Sheet2!$B2490,매도완료!$P:$P)+SUMIF(ING!$J:$J,Sheet2!$B2490,ING!$P:$P)</f>
        <v>0</v>
      </c>
      <c r="E2490" s="16">
        <f t="shared" si="76"/>
        <v>84329491.732399985</v>
      </c>
      <c r="G2490" s="16">
        <f>IF(D2490=0,0,SUMIF(매도완료!$J:$J,Sheet2!$B2490,매도완료!$S:$S))+IF(D2490=0,0,SUMIF(ING!$J:$J,Sheet2!$B2490,ING!$S:$S))</f>
        <v>0</v>
      </c>
      <c r="H2490" s="16">
        <f t="shared" si="77"/>
        <v>348685.24080894142</v>
      </c>
    </row>
    <row r="2491" spans="2:8" hidden="1" x14ac:dyDescent="0.4">
      <c r="B2491" s="1">
        <v>45040</v>
      </c>
      <c r="C2491" s="16">
        <f>SUMIF(매도완료!$G:$G,Sheet2!$B2491,매도완료!$P:$P)+SUMIF(ING!$G:$G,Sheet2!$B2491,ING!$P:$P)</f>
        <v>0</v>
      </c>
      <c r="D2491" s="16">
        <f>SUMIF(매도완료!$J:$J,Sheet2!$B2491,매도완료!$P:$P)+SUMIF(ING!$J:$J,Sheet2!$B2491,ING!$P:$P)</f>
        <v>0</v>
      </c>
      <c r="E2491" s="16">
        <f t="shared" si="76"/>
        <v>84329491.732399985</v>
      </c>
      <c r="G2491" s="16">
        <f>IF(D2491=0,0,SUMIF(매도완료!$J:$J,Sheet2!$B2491,매도완료!$S:$S))+IF(D2491=0,0,SUMIF(ING!$J:$J,Sheet2!$B2491,ING!$S:$S))</f>
        <v>0</v>
      </c>
      <c r="H2491" s="16">
        <f t="shared" si="77"/>
        <v>348685.24080894142</v>
      </c>
    </row>
    <row r="2492" spans="2:8" hidden="1" x14ac:dyDescent="0.4">
      <c r="B2492" s="1">
        <v>45041</v>
      </c>
      <c r="C2492" s="16">
        <f>SUMIF(매도완료!$G:$G,Sheet2!$B2492,매도완료!$P:$P)+SUMIF(ING!$G:$G,Sheet2!$B2492,ING!$P:$P)</f>
        <v>0</v>
      </c>
      <c r="D2492" s="16">
        <f>SUMIF(매도완료!$J:$J,Sheet2!$B2492,매도완료!$P:$P)+SUMIF(ING!$J:$J,Sheet2!$B2492,ING!$P:$P)</f>
        <v>0</v>
      </c>
      <c r="E2492" s="16">
        <f t="shared" si="76"/>
        <v>84329491.732399985</v>
      </c>
      <c r="G2492" s="16">
        <f>IF(D2492=0,0,SUMIF(매도완료!$J:$J,Sheet2!$B2492,매도완료!$S:$S))+IF(D2492=0,0,SUMIF(ING!$J:$J,Sheet2!$B2492,ING!$S:$S))</f>
        <v>0</v>
      </c>
      <c r="H2492" s="16">
        <f t="shared" si="77"/>
        <v>348685.24080894142</v>
      </c>
    </row>
    <row r="2493" spans="2:8" hidden="1" x14ac:dyDescent="0.4">
      <c r="B2493" s="1">
        <v>45042</v>
      </c>
      <c r="C2493" s="16">
        <f>SUMIF(매도완료!$G:$G,Sheet2!$B2493,매도완료!$P:$P)+SUMIF(ING!$G:$G,Sheet2!$B2493,ING!$P:$P)</f>
        <v>0</v>
      </c>
      <c r="D2493" s="16">
        <f>SUMIF(매도완료!$J:$J,Sheet2!$B2493,매도완료!$P:$P)+SUMIF(ING!$J:$J,Sheet2!$B2493,ING!$P:$P)</f>
        <v>0</v>
      </c>
      <c r="E2493" s="16">
        <f t="shared" si="76"/>
        <v>84329491.732399985</v>
      </c>
      <c r="G2493" s="16">
        <f>IF(D2493=0,0,SUMIF(매도완료!$J:$J,Sheet2!$B2493,매도완료!$S:$S))+IF(D2493=0,0,SUMIF(ING!$J:$J,Sheet2!$B2493,ING!$S:$S))</f>
        <v>0</v>
      </c>
      <c r="H2493" s="16">
        <f t="shared" si="77"/>
        <v>348685.24080894142</v>
      </c>
    </row>
    <row r="2494" spans="2:8" hidden="1" x14ac:dyDescent="0.4">
      <c r="B2494" s="1">
        <v>45043</v>
      </c>
      <c r="C2494" s="16">
        <f>SUMIF(매도완료!$G:$G,Sheet2!$B2494,매도완료!$P:$P)+SUMIF(ING!$G:$G,Sheet2!$B2494,ING!$P:$P)</f>
        <v>0</v>
      </c>
      <c r="D2494" s="16">
        <f>SUMIF(매도완료!$J:$J,Sheet2!$B2494,매도완료!$P:$P)+SUMIF(ING!$J:$J,Sheet2!$B2494,ING!$P:$P)</f>
        <v>0</v>
      </c>
      <c r="E2494" s="16">
        <f t="shared" si="76"/>
        <v>84329491.732399985</v>
      </c>
      <c r="G2494" s="16">
        <f>IF(D2494=0,0,SUMIF(매도완료!$J:$J,Sheet2!$B2494,매도완료!$S:$S))+IF(D2494=0,0,SUMIF(ING!$J:$J,Sheet2!$B2494,ING!$S:$S))</f>
        <v>0</v>
      </c>
      <c r="H2494" s="16">
        <f t="shared" si="77"/>
        <v>348685.24080894142</v>
      </c>
    </row>
    <row r="2495" spans="2:8" hidden="1" x14ac:dyDescent="0.4">
      <c r="B2495" s="1">
        <v>45044</v>
      </c>
      <c r="C2495" s="16">
        <f>SUMIF(매도완료!$G:$G,Sheet2!$B2495,매도완료!$P:$P)+SUMIF(ING!$G:$G,Sheet2!$B2495,ING!$P:$P)</f>
        <v>0</v>
      </c>
      <c r="D2495" s="16">
        <f>SUMIF(매도완료!$J:$J,Sheet2!$B2495,매도완료!$P:$P)+SUMIF(ING!$J:$J,Sheet2!$B2495,ING!$P:$P)</f>
        <v>0</v>
      </c>
      <c r="E2495" s="16">
        <f t="shared" si="76"/>
        <v>84329491.732399985</v>
      </c>
      <c r="G2495" s="16">
        <f>IF(D2495=0,0,SUMIF(매도완료!$J:$J,Sheet2!$B2495,매도완료!$S:$S))+IF(D2495=0,0,SUMIF(ING!$J:$J,Sheet2!$B2495,ING!$S:$S))</f>
        <v>0</v>
      </c>
      <c r="H2495" s="16">
        <f t="shared" si="77"/>
        <v>348685.24080894142</v>
      </c>
    </row>
    <row r="2496" spans="2:8" hidden="1" x14ac:dyDescent="0.4">
      <c r="B2496" s="1">
        <v>45045</v>
      </c>
      <c r="C2496" s="16">
        <f>SUMIF(매도완료!$G:$G,Sheet2!$B2496,매도완료!$P:$P)+SUMIF(ING!$G:$G,Sheet2!$B2496,ING!$P:$P)</f>
        <v>0</v>
      </c>
      <c r="D2496" s="16">
        <f>SUMIF(매도완료!$J:$J,Sheet2!$B2496,매도완료!$P:$P)+SUMIF(ING!$J:$J,Sheet2!$B2496,ING!$P:$P)</f>
        <v>0</v>
      </c>
      <c r="E2496" s="16">
        <f t="shared" si="76"/>
        <v>84329491.732399985</v>
      </c>
      <c r="G2496" s="16">
        <f>IF(D2496=0,0,SUMIF(매도완료!$J:$J,Sheet2!$B2496,매도완료!$S:$S))+IF(D2496=0,0,SUMIF(ING!$J:$J,Sheet2!$B2496,ING!$S:$S))</f>
        <v>0</v>
      </c>
      <c r="H2496" s="16">
        <f t="shared" si="77"/>
        <v>348685.24080894142</v>
      </c>
    </row>
    <row r="2497" spans="2:8" hidden="1" x14ac:dyDescent="0.4">
      <c r="B2497" s="1">
        <v>45046</v>
      </c>
      <c r="C2497" s="16">
        <f>SUMIF(매도완료!$G:$G,Sheet2!$B2497,매도완료!$P:$P)+SUMIF(ING!$G:$G,Sheet2!$B2497,ING!$P:$P)</f>
        <v>0</v>
      </c>
      <c r="D2497" s="16">
        <f>SUMIF(매도완료!$J:$J,Sheet2!$B2497,매도완료!$P:$P)+SUMIF(ING!$J:$J,Sheet2!$B2497,ING!$P:$P)</f>
        <v>0</v>
      </c>
      <c r="E2497" s="16">
        <f t="shared" si="76"/>
        <v>84329491.732399985</v>
      </c>
      <c r="G2497" s="16">
        <f>IF(D2497=0,0,SUMIF(매도완료!$J:$J,Sheet2!$B2497,매도완료!$S:$S))+IF(D2497=0,0,SUMIF(ING!$J:$J,Sheet2!$B2497,ING!$S:$S))</f>
        <v>0</v>
      </c>
      <c r="H2497" s="16">
        <f t="shared" si="77"/>
        <v>348685.24080894142</v>
      </c>
    </row>
    <row r="2498" spans="2:8" hidden="1" x14ac:dyDescent="0.4">
      <c r="B2498" s="1">
        <v>45047</v>
      </c>
      <c r="C2498" s="16">
        <f>SUMIF(매도완료!$G:$G,Sheet2!$B2498,매도완료!$P:$P)+SUMIF(ING!$G:$G,Sheet2!$B2498,ING!$P:$P)</f>
        <v>0</v>
      </c>
      <c r="D2498" s="16">
        <f>SUMIF(매도완료!$J:$J,Sheet2!$B2498,매도완료!$P:$P)+SUMIF(ING!$J:$J,Sheet2!$B2498,ING!$P:$P)</f>
        <v>0</v>
      </c>
      <c r="E2498" s="16">
        <f t="shared" si="76"/>
        <v>84329491.732399985</v>
      </c>
      <c r="G2498" s="16">
        <f>IF(D2498=0,0,SUMIF(매도완료!$J:$J,Sheet2!$B2498,매도완료!$S:$S))+IF(D2498=0,0,SUMIF(ING!$J:$J,Sheet2!$B2498,ING!$S:$S))</f>
        <v>0</v>
      </c>
      <c r="H2498" s="16">
        <f t="shared" si="77"/>
        <v>348685.24080894142</v>
      </c>
    </row>
    <row r="2499" spans="2:8" hidden="1" x14ac:dyDescent="0.4">
      <c r="B2499" s="1">
        <v>45048</v>
      </c>
      <c r="C2499" s="16">
        <f>SUMIF(매도완료!$G:$G,Sheet2!$B2499,매도완료!$P:$P)+SUMIF(ING!$G:$G,Sheet2!$B2499,ING!$P:$P)</f>
        <v>0</v>
      </c>
      <c r="D2499" s="16">
        <f>SUMIF(매도완료!$J:$J,Sheet2!$B2499,매도완료!$P:$P)+SUMIF(ING!$J:$J,Sheet2!$B2499,ING!$P:$P)</f>
        <v>0</v>
      </c>
      <c r="E2499" s="16">
        <f t="shared" si="76"/>
        <v>84329491.732399985</v>
      </c>
      <c r="G2499" s="16">
        <f>IF(D2499=0,0,SUMIF(매도완료!$J:$J,Sheet2!$B2499,매도완료!$S:$S))+IF(D2499=0,0,SUMIF(ING!$J:$J,Sheet2!$B2499,ING!$S:$S))</f>
        <v>0</v>
      </c>
      <c r="H2499" s="16">
        <f t="shared" si="77"/>
        <v>348685.24080894142</v>
      </c>
    </row>
    <row r="2500" spans="2:8" hidden="1" x14ac:dyDescent="0.4">
      <c r="B2500" s="1">
        <v>45049</v>
      </c>
      <c r="C2500" s="16">
        <f>SUMIF(매도완료!$G:$G,Sheet2!$B2500,매도완료!$P:$P)+SUMIF(ING!$G:$G,Sheet2!$B2500,ING!$P:$P)</f>
        <v>0</v>
      </c>
      <c r="D2500" s="16">
        <f>SUMIF(매도완료!$J:$J,Sheet2!$B2500,매도완료!$P:$P)+SUMIF(ING!$J:$J,Sheet2!$B2500,ING!$P:$P)</f>
        <v>0</v>
      </c>
      <c r="E2500" s="16">
        <f t="shared" ref="E2500:E2563" si="78">E2499+C2500-D2500</f>
        <v>84329491.732399985</v>
      </c>
      <c r="G2500" s="16">
        <f>IF(D2500=0,0,SUMIF(매도완료!$J:$J,Sheet2!$B2500,매도완료!$S:$S))+IF(D2500=0,0,SUMIF(ING!$J:$J,Sheet2!$B2500,ING!$S:$S))</f>
        <v>0</v>
      </c>
      <c r="H2500" s="16">
        <f t="shared" ref="H2500:H2563" si="79">H2499+G2500</f>
        <v>348685.24080894142</v>
      </c>
    </row>
    <row r="2501" spans="2:8" hidden="1" x14ac:dyDescent="0.4">
      <c r="B2501" s="1">
        <v>45050</v>
      </c>
      <c r="C2501" s="16">
        <f>SUMIF(매도완료!$G:$G,Sheet2!$B2501,매도완료!$P:$P)+SUMIF(ING!$G:$G,Sheet2!$B2501,ING!$P:$P)</f>
        <v>0</v>
      </c>
      <c r="D2501" s="16">
        <f>SUMIF(매도완료!$J:$J,Sheet2!$B2501,매도완료!$P:$P)+SUMIF(ING!$J:$J,Sheet2!$B2501,ING!$P:$P)</f>
        <v>0</v>
      </c>
      <c r="E2501" s="16">
        <f t="shared" si="78"/>
        <v>84329491.732399985</v>
      </c>
      <c r="G2501" s="16">
        <f>IF(D2501=0,0,SUMIF(매도완료!$J:$J,Sheet2!$B2501,매도완료!$S:$S))+IF(D2501=0,0,SUMIF(ING!$J:$J,Sheet2!$B2501,ING!$S:$S))</f>
        <v>0</v>
      </c>
      <c r="H2501" s="16">
        <f t="shared" si="79"/>
        <v>348685.24080894142</v>
      </c>
    </row>
    <row r="2502" spans="2:8" hidden="1" x14ac:dyDescent="0.4">
      <c r="B2502" s="1">
        <v>45051</v>
      </c>
      <c r="C2502" s="16">
        <f>SUMIF(매도완료!$G:$G,Sheet2!$B2502,매도완료!$P:$P)+SUMIF(ING!$G:$G,Sheet2!$B2502,ING!$P:$P)</f>
        <v>0</v>
      </c>
      <c r="D2502" s="16">
        <f>SUMIF(매도완료!$J:$J,Sheet2!$B2502,매도완료!$P:$P)+SUMIF(ING!$J:$J,Sheet2!$B2502,ING!$P:$P)</f>
        <v>0</v>
      </c>
      <c r="E2502" s="16">
        <f t="shared" si="78"/>
        <v>84329491.732399985</v>
      </c>
      <c r="G2502" s="16">
        <f>IF(D2502=0,0,SUMIF(매도완료!$J:$J,Sheet2!$B2502,매도완료!$S:$S))+IF(D2502=0,0,SUMIF(ING!$J:$J,Sheet2!$B2502,ING!$S:$S))</f>
        <v>0</v>
      </c>
      <c r="H2502" s="16">
        <f t="shared" si="79"/>
        <v>348685.24080894142</v>
      </c>
    </row>
    <row r="2503" spans="2:8" hidden="1" x14ac:dyDescent="0.4">
      <c r="B2503" s="1">
        <v>45052</v>
      </c>
      <c r="C2503" s="16">
        <f>SUMIF(매도완료!$G:$G,Sheet2!$B2503,매도완료!$P:$P)+SUMIF(ING!$G:$G,Sheet2!$B2503,ING!$P:$P)</f>
        <v>0</v>
      </c>
      <c r="D2503" s="16">
        <f>SUMIF(매도완료!$J:$J,Sheet2!$B2503,매도완료!$P:$P)+SUMIF(ING!$J:$J,Sheet2!$B2503,ING!$P:$P)</f>
        <v>0</v>
      </c>
      <c r="E2503" s="16">
        <f t="shared" si="78"/>
        <v>84329491.732399985</v>
      </c>
      <c r="G2503" s="16">
        <f>IF(D2503=0,0,SUMIF(매도완료!$J:$J,Sheet2!$B2503,매도완료!$S:$S))+IF(D2503=0,0,SUMIF(ING!$J:$J,Sheet2!$B2503,ING!$S:$S))</f>
        <v>0</v>
      </c>
      <c r="H2503" s="16">
        <f t="shared" si="79"/>
        <v>348685.24080894142</v>
      </c>
    </row>
    <row r="2504" spans="2:8" hidden="1" x14ac:dyDescent="0.4">
      <c r="B2504" s="1">
        <v>45053</v>
      </c>
      <c r="C2504" s="16">
        <f>SUMIF(매도완료!$G:$G,Sheet2!$B2504,매도완료!$P:$P)+SUMIF(ING!$G:$G,Sheet2!$B2504,ING!$P:$P)</f>
        <v>0</v>
      </c>
      <c r="D2504" s="16">
        <f>SUMIF(매도완료!$J:$J,Sheet2!$B2504,매도완료!$P:$P)+SUMIF(ING!$J:$J,Sheet2!$B2504,ING!$P:$P)</f>
        <v>0</v>
      </c>
      <c r="E2504" s="16">
        <f t="shared" si="78"/>
        <v>84329491.732399985</v>
      </c>
      <c r="G2504" s="16">
        <f>IF(D2504=0,0,SUMIF(매도완료!$J:$J,Sheet2!$B2504,매도완료!$S:$S))+IF(D2504=0,0,SUMIF(ING!$J:$J,Sheet2!$B2504,ING!$S:$S))</f>
        <v>0</v>
      </c>
      <c r="H2504" s="16">
        <f t="shared" si="79"/>
        <v>348685.24080894142</v>
      </c>
    </row>
    <row r="2505" spans="2:8" hidden="1" x14ac:dyDescent="0.4">
      <c r="B2505" s="1">
        <v>45054</v>
      </c>
      <c r="C2505" s="16">
        <f>SUMIF(매도완료!$G:$G,Sheet2!$B2505,매도완료!$P:$P)+SUMIF(ING!$G:$G,Sheet2!$B2505,ING!$P:$P)</f>
        <v>0</v>
      </c>
      <c r="D2505" s="16">
        <f>SUMIF(매도완료!$J:$J,Sheet2!$B2505,매도완료!$P:$P)+SUMIF(ING!$J:$J,Sheet2!$B2505,ING!$P:$P)</f>
        <v>0</v>
      </c>
      <c r="E2505" s="16">
        <f t="shared" si="78"/>
        <v>84329491.732399985</v>
      </c>
      <c r="G2505" s="16">
        <f>IF(D2505=0,0,SUMIF(매도완료!$J:$J,Sheet2!$B2505,매도완료!$S:$S))+IF(D2505=0,0,SUMIF(ING!$J:$J,Sheet2!$B2505,ING!$S:$S))</f>
        <v>0</v>
      </c>
      <c r="H2505" s="16">
        <f t="shared" si="79"/>
        <v>348685.24080894142</v>
      </c>
    </row>
    <row r="2506" spans="2:8" hidden="1" x14ac:dyDescent="0.4">
      <c r="B2506" s="1">
        <v>45055</v>
      </c>
      <c r="C2506" s="16">
        <f>SUMIF(매도완료!$G:$G,Sheet2!$B2506,매도완료!$P:$P)+SUMIF(ING!$G:$G,Sheet2!$B2506,ING!$P:$P)</f>
        <v>0</v>
      </c>
      <c r="D2506" s="16">
        <f>SUMIF(매도완료!$J:$J,Sheet2!$B2506,매도완료!$P:$P)+SUMIF(ING!$J:$J,Sheet2!$B2506,ING!$P:$P)</f>
        <v>0</v>
      </c>
      <c r="E2506" s="16">
        <f t="shared" si="78"/>
        <v>84329491.732399985</v>
      </c>
      <c r="G2506" s="16">
        <f>IF(D2506=0,0,SUMIF(매도완료!$J:$J,Sheet2!$B2506,매도완료!$S:$S))+IF(D2506=0,0,SUMIF(ING!$J:$J,Sheet2!$B2506,ING!$S:$S))</f>
        <v>0</v>
      </c>
      <c r="H2506" s="16">
        <f t="shared" si="79"/>
        <v>348685.24080894142</v>
      </c>
    </row>
    <row r="2507" spans="2:8" hidden="1" x14ac:dyDescent="0.4">
      <c r="B2507" s="1">
        <v>45056</v>
      </c>
      <c r="C2507" s="16">
        <f>SUMIF(매도완료!$G:$G,Sheet2!$B2507,매도완료!$P:$P)+SUMIF(ING!$G:$G,Sheet2!$B2507,ING!$P:$P)</f>
        <v>0</v>
      </c>
      <c r="D2507" s="16">
        <f>SUMIF(매도완료!$J:$J,Sheet2!$B2507,매도완료!$P:$P)+SUMIF(ING!$J:$J,Sheet2!$B2507,ING!$P:$P)</f>
        <v>0</v>
      </c>
      <c r="E2507" s="16">
        <f t="shared" si="78"/>
        <v>84329491.732399985</v>
      </c>
      <c r="G2507" s="16">
        <f>IF(D2507=0,0,SUMIF(매도완료!$J:$J,Sheet2!$B2507,매도완료!$S:$S))+IF(D2507=0,0,SUMIF(ING!$J:$J,Sheet2!$B2507,ING!$S:$S))</f>
        <v>0</v>
      </c>
      <c r="H2507" s="16">
        <f t="shared" si="79"/>
        <v>348685.24080894142</v>
      </c>
    </row>
    <row r="2508" spans="2:8" hidden="1" x14ac:dyDescent="0.4">
      <c r="B2508" s="1">
        <v>45057</v>
      </c>
      <c r="C2508" s="16">
        <f>SUMIF(매도완료!$G:$G,Sheet2!$B2508,매도완료!$P:$P)+SUMIF(ING!$G:$G,Sheet2!$B2508,ING!$P:$P)</f>
        <v>0</v>
      </c>
      <c r="D2508" s="16">
        <f>SUMIF(매도완료!$J:$J,Sheet2!$B2508,매도완료!$P:$P)+SUMIF(ING!$J:$J,Sheet2!$B2508,ING!$P:$P)</f>
        <v>0</v>
      </c>
      <c r="E2508" s="16">
        <f t="shared" si="78"/>
        <v>84329491.732399985</v>
      </c>
      <c r="G2508" s="16">
        <f>IF(D2508=0,0,SUMIF(매도완료!$J:$J,Sheet2!$B2508,매도완료!$S:$S))+IF(D2508=0,0,SUMIF(ING!$J:$J,Sheet2!$B2508,ING!$S:$S))</f>
        <v>0</v>
      </c>
      <c r="H2508" s="16">
        <f t="shared" si="79"/>
        <v>348685.24080894142</v>
      </c>
    </row>
    <row r="2509" spans="2:8" hidden="1" x14ac:dyDescent="0.4">
      <c r="B2509" s="1">
        <v>45058</v>
      </c>
      <c r="C2509" s="16">
        <f>SUMIF(매도완료!$G:$G,Sheet2!$B2509,매도완료!$P:$P)+SUMIF(ING!$G:$G,Sheet2!$B2509,ING!$P:$P)</f>
        <v>0</v>
      </c>
      <c r="D2509" s="16">
        <f>SUMIF(매도완료!$J:$J,Sheet2!$B2509,매도완료!$P:$P)+SUMIF(ING!$J:$J,Sheet2!$B2509,ING!$P:$P)</f>
        <v>0</v>
      </c>
      <c r="E2509" s="16">
        <f t="shared" si="78"/>
        <v>84329491.732399985</v>
      </c>
      <c r="G2509" s="16">
        <f>IF(D2509=0,0,SUMIF(매도완료!$J:$J,Sheet2!$B2509,매도완료!$S:$S))+IF(D2509=0,0,SUMIF(ING!$J:$J,Sheet2!$B2509,ING!$S:$S))</f>
        <v>0</v>
      </c>
      <c r="H2509" s="16">
        <f t="shared" si="79"/>
        <v>348685.24080894142</v>
      </c>
    </row>
    <row r="2510" spans="2:8" hidden="1" x14ac:dyDescent="0.4">
      <c r="B2510" s="1">
        <v>45059</v>
      </c>
      <c r="C2510" s="16">
        <f>SUMIF(매도완료!$G:$G,Sheet2!$B2510,매도완료!$P:$P)+SUMIF(ING!$G:$G,Sheet2!$B2510,ING!$P:$P)</f>
        <v>0</v>
      </c>
      <c r="D2510" s="16">
        <f>SUMIF(매도완료!$J:$J,Sheet2!$B2510,매도완료!$P:$P)+SUMIF(ING!$J:$J,Sheet2!$B2510,ING!$P:$P)</f>
        <v>0</v>
      </c>
      <c r="E2510" s="16">
        <f t="shared" si="78"/>
        <v>84329491.732399985</v>
      </c>
      <c r="G2510" s="16">
        <f>IF(D2510=0,0,SUMIF(매도완료!$J:$J,Sheet2!$B2510,매도완료!$S:$S))+IF(D2510=0,0,SUMIF(ING!$J:$J,Sheet2!$B2510,ING!$S:$S))</f>
        <v>0</v>
      </c>
      <c r="H2510" s="16">
        <f t="shared" si="79"/>
        <v>348685.24080894142</v>
      </c>
    </row>
    <row r="2511" spans="2:8" hidden="1" x14ac:dyDescent="0.4">
      <c r="B2511" s="1">
        <v>45060</v>
      </c>
      <c r="C2511" s="16">
        <f>SUMIF(매도완료!$G:$G,Sheet2!$B2511,매도완료!$P:$P)+SUMIF(ING!$G:$G,Sheet2!$B2511,ING!$P:$P)</f>
        <v>0</v>
      </c>
      <c r="D2511" s="16">
        <f>SUMIF(매도완료!$J:$J,Sheet2!$B2511,매도완료!$P:$P)+SUMIF(ING!$J:$J,Sheet2!$B2511,ING!$P:$P)</f>
        <v>0</v>
      </c>
      <c r="E2511" s="16">
        <f t="shared" si="78"/>
        <v>84329491.732399985</v>
      </c>
      <c r="G2511" s="16">
        <f>IF(D2511=0,0,SUMIF(매도완료!$J:$J,Sheet2!$B2511,매도완료!$S:$S))+IF(D2511=0,0,SUMIF(ING!$J:$J,Sheet2!$B2511,ING!$S:$S))</f>
        <v>0</v>
      </c>
      <c r="H2511" s="16">
        <f t="shared" si="79"/>
        <v>348685.24080894142</v>
      </c>
    </row>
    <row r="2512" spans="2:8" hidden="1" x14ac:dyDescent="0.4">
      <c r="B2512" s="1">
        <v>45061</v>
      </c>
      <c r="C2512" s="16">
        <f>SUMIF(매도완료!$G:$G,Sheet2!$B2512,매도완료!$P:$P)+SUMIF(ING!$G:$G,Sheet2!$B2512,ING!$P:$P)</f>
        <v>0</v>
      </c>
      <c r="D2512" s="16">
        <f>SUMIF(매도완료!$J:$J,Sheet2!$B2512,매도완료!$P:$P)+SUMIF(ING!$J:$J,Sheet2!$B2512,ING!$P:$P)</f>
        <v>0</v>
      </c>
      <c r="E2512" s="16">
        <f t="shared" si="78"/>
        <v>84329491.732399985</v>
      </c>
      <c r="G2512" s="16">
        <f>IF(D2512=0,0,SUMIF(매도완료!$J:$J,Sheet2!$B2512,매도완료!$S:$S))+IF(D2512=0,0,SUMIF(ING!$J:$J,Sheet2!$B2512,ING!$S:$S))</f>
        <v>0</v>
      </c>
      <c r="H2512" s="16">
        <f t="shared" si="79"/>
        <v>348685.24080894142</v>
      </c>
    </row>
    <row r="2513" spans="2:8" hidden="1" x14ac:dyDescent="0.4">
      <c r="B2513" s="1">
        <v>45062</v>
      </c>
      <c r="C2513" s="16">
        <f>SUMIF(매도완료!$G:$G,Sheet2!$B2513,매도완료!$P:$P)+SUMIF(ING!$G:$G,Sheet2!$B2513,ING!$P:$P)</f>
        <v>0</v>
      </c>
      <c r="D2513" s="16">
        <f>SUMIF(매도완료!$J:$J,Sheet2!$B2513,매도완료!$P:$P)+SUMIF(ING!$J:$J,Sheet2!$B2513,ING!$P:$P)</f>
        <v>0</v>
      </c>
      <c r="E2513" s="16">
        <f t="shared" si="78"/>
        <v>84329491.732399985</v>
      </c>
      <c r="G2513" s="16">
        <f>IF(D2513=0,0,SUMIF(매도완료!$J:$J,Sheet2!$B2513,매도완료!$S:$S))+IF(D2513=0,0,SUMIF(ING!$J:$J,Sheet2!$B2513,ING!$S:$S))</f>
        <v>0</v>
      </c>
      <c r="H2513" s="16">
        <f t="shared" si="79"/>
        <v>348685.24080894142</v>
      </c>
    </row>
    <row r="2514" spans="2:8" hidden="1" x14ac:dyDescent="0.4">
      <c r="B2514" s="1">
        <v>45063</v>
      </c>
      <c r="C2514" s="16">
        <f>SUMIF(매도완료!$G:$G,Sheet2!$B2514,매도완료!$P:$P)+SUMIF(ING!$G:$G,Sheet2!$B2514,ING!$P:$P)</f>
        <v>0</v>
      </c>
      <c r="D2514" s="16">
        <f>SUMIF(매도완료!$J:$J,Sheet2!$B2514,매도완료!$P:$P)+SUMIF(ING!$J:$J,Sheet2!$B2514,ING!$P:$P)</f>
        <v>0</v>
      </c>
      <c r="E2514" s="16">
        <f t="shared" si="78"/>
        <v>84329491.732399985</v>
      </c>
      <c r="G2514" s="16">
        <f>IF(D2514=0,0,SUMIF(매도완료!$J:$J,Sheet2!$B2514,매도완료!$S:$S))+IF(D2514=0,0,SUMIF(ING!$J:$J,Sheet2!$B2514,ING!$S:$S))</f>
        <v>0</v>
      </c>
      <c r="H2514" s="16">
        <f t="shared" si="79"/>
        <v>348685.24080894142</v>
      </c>
    </row>
    <row r="2515" spans="2:8" hidden="1" x14ac:dyDescent="0.4">
      <c r="B2515" s="1">
        <v>45064</v>
      </c>
      <c r="C2515" s="16">
        <f>SUMIF(매도완료!$G:$G,Sheet2!$B2515,매도완료!$P:$P)+SUMIF(ING!$G:$G,Sheet2!$B2515,ING!$P:$P)</f>
        <v>0</v>
      </c>
      <c r="D2515" s="16">
        <f>SUMIF(매도완료!$J:$J,Sheet2!$B2515,매도완료!$P:$P)+SUMIF(ING!$J:$J,Sheet2!$B2515,ING!$P:$P)</f>
        <v>0</v>
      </c>
      <c r="E2515" s="16">
        <f t="shared" si="78"/>
        <v>84329491.732399985</v>
      </c>
      <c r="G2515" s="16">
        <f>IF(D2515=0,0,SUMIF(매도완료!$J:$J,Sheet2!$B2515,매도완료!$S:$S))+IF(D2515=0,0,SUMIF(ING!$J:$J,Sheet2!$B2515,ING!$S:$S))</f>
        <v>0</v>
      </c>
      <c r="H2515" s="16">
        <f t="shared" si="79"/>
        <v>348685.24080894142</v>
      </c>
    </row>
    <row r="2516" spans="2:8" hidden="1" x14ac:dyDescent="0.4">
      <c r="B2516" s="1">
        <v>45065</v>
      </c>
      <c r="C2516" s="16">
        <f>SUMIF(매도완료!$G:$G,Sheet2!$B2516,매도완료!$P:$P)+SUMIF(ING!$G:$G,Sheet2!$B2516,ING!$P:$P)</f>
        <v>0</v>
      </c>
      <c r="D2516" s="16">
        <f>SUMIF(매도완료!$J:$J,Sheet2!$B2516,매도완료!$P:$P)+SUMIF(ING!$J:$J,Sheet2!$B2516,ING!$P:$P)</f>
        <v>0</v>
      </c>
      <c r="E2516" s="16">
        <f t="shared" si="78"/>
        <v>84329491.732399985</v>
      </c>
      <c r="G2516" s="16">
        <f>IF(D2516=0,0,SUMIF(매도완료!$J:$J,Sheet2!$B2516,매도완료!$S:$S))+IF(D2516=0,0,SUMIF(ING!$J:$J,Sheet2!$B2516,ING!$S:$S))</f>
        <v>0</v>
      </c>
      <c r="H2516" s="16">
        <f t="shared" si="79"/>
        <v>348685.24080894142</v>
      </c>
    </row>
    <row r="2517" spans="2:8" hidden="1" x14ac:dyDescent="0.4">
      <c r="B2517" s="1">
        <v>45066</v>
      </c>
      <c r="C2517" s="16">
        <f>SUMIF(매도완료!$G:$G,Sheet2!$B2517,매도완료!$P:$P)+SUMIF(ING!$G:$G,Sheet2!$B2517,ING!$P:$P)</f>
        <v>0</v>
      </c>
      <c r="D2517" s="16">
        <f>SUMIF(매도완료!$J:$J,Sheet2!$B2517,매도완료!$P:$P)+SUMIF(ING!$J:$J,Sheet2!$B2517,ING!$P:$P)</f>
        <v>0</v>
      </c>
      <c r="E2517" s="16">
        <f t="shared" si="78"/>
        <v>84329491.732399985</v>
      </c>
      <c r="G2517" s="16">
        <f>IF(D2517=0,0,SUMIF(매도완료!$J:$J,Sheet2!$B2517,매도완료!$S:$S))+IF(D2517=0,0,SUMIF(ING!$J:$J,Sheet2!$B2517,ING!$S:$S))</f>
        <v>0</v>
      </c>
      <c r="H2517" s="16">
        <f t="shared" si="79"/>
        <v>348685.24080894142</v>
      </c>
    </row>
    <row r="2518" spans="2:8" hidden="1" x14ac:dyDescent="0.4">
      <c r="B2518" s="1">
        <v>45067</v>
      </c>
      <c r="C2518" s="16">
        <f>SUMIF(매도완료!$G:$G,Sheet2!$B2518,매도완료!$P:$P)+SUMIF(ING!$G:$G,Sheet2!$B2518,ING!$P:$P)</f>
        <v>0</v>
      </c>
      <c r="D2518" s="16">
        <f>SUMIF(매도완료!$J:$J,Sheet2!$B2518,매도완료!$P:$P)+SUMIF(ING!$J:$J,Sheet2!$B2518,ING!$P:$P)</f>
        <v>0</v>
      </c>
      <c r="E2518" s="16">
        <f t="shared" si="78"/>
        <v>84329491.732399985</v>
      </c>
      <c r="G2518" s="16">
        <f>IF(D2518=0,0,SUMIF(매도완료!$J:$J,Sheet2!$B2518,매도완료!$S:$S))+IF(D2518=0,0,SUMIF(ING!$J:$J,Sheet2!$B2518,ING!$S:$S))</f>
        <v>0</v>
      </c>
      <c r="H2518" s="16">
        <f t="shared" si="79"/>
        <v>348685.24080894142</v>
      </c>
    </row>
    <row r="2519" spans="2:8" hidden="1" x14ac:dyDescent="0.4">
      <c r="B2519" s="1">
        <v>45068</v>
      </c>
      <c r="C2519" s="16">
        <f>SUMIF(매도완료!$G:$G,Sheet2!$B2519,매도완료!$P:$P)+SUMIF(ING!$G:$G,Sheet2!$B2519,ING!$P:$P)</f>
        <v>1197750</v>
      </c>
      <c r="D2519" s="16">
        <f>SUMIF(매도완료!$J:$J,Sheet2!$B2519,매도완료!$P:$P)+SUMIF(ING!$J:$J,Sheet2!$B2519,ING!$P:$P)</f>
        <v>0</v>
      </c>
      <c r="E2519" s="16">
        <f t="shared" si="78"/>
        <v>85527241.732399985</v>
      </c>
      <c r="G2519" s="16">
        <f>IF(D2519=0,0,SUMIF(매도완료!$J:$J,Sheet2!$B2519,매도완료!$S:$S))+IF(D2519=0,0,SUMIF(ING!$J:$J,Sheet2!$B2519,ING!$S:$S))</f>
        <v>0</v>
      </c>
      <c r="H2519" s="16">
        <f t="shared" si="79"/>
        <v>348685.24080894142</v>
      </c>
    </row>
    <row r="2520" spans="2:8" hidden="1" x14ac:dyDescent="0.4">
      <c r="B2520" s="1">
        <v>45069</v>
      </c>
      <c r="C2520" s="16">
        <f>SUMIF(매도완료!$G:$G,Sheet2!$B2520,매도완료!$P:$P)+SUMIF(ING!$G:$G,Sheet2!$B2520,ING!$P:$P)</f>
        <v>0</v>
      </c>
      <c r="D2520" s="16">
        <f>SUMIF(매도완료!$J:$J,Sheet2!$B2520,매도완료!$P:$P)+SUMIF(ING!$J:$J,Sheet2!$B2520,ING!$P:$P)</f>
        <v>0</v>
      </c>
      <c r="E2520" s="16">
        <f t="shared" si="78"/>
        <v>85527241.732399985</v>
      </c>
      <c r="G2520" s="16">
        <f>IF(D2520=0,0,SUMIF(매도완료!$J:$J,Sheet2!$B2520,매도완료!$S:$S))+IF(D2520=0,0,SUMIF(ING!$J:$J,Sheet2!$B2520,ING!$S:$S))</f>
        <v>0</v>
      </c>
      <c r="H2520" s="16">
        <f t="shared" si="79"/>
        <v>348685.24080894142</v>
      </c>
    </row>
    <row r="2521" spans="2:8" hidden="1" x14ac:dyDescent="0.4">
      <c r="B2521" s="1">
        <v>45070</v>
      </c>
      <c r="C2521" s="16">
        <f>SUMIF(매도완료!$G:$G,Sheet2!$B2521,매도완료!$P:$P)+SUMIF(ING!$G:$G,Sheet2!$B2521,ING!$P:$P)</f>
        <v>247500</v>
      </c>
      <c r="D2521" s="16">
        <f>SUMIF(매도완료!$J:$J,Sheet2!$B2521,매도완료!$P:$P)+SUMIF(ING!$J:$J,Sheet2!$B2521,ING!$P:$P)</f>
        <v>0</v>
      </c>
      <c r="E2521" s="16">
        <f t="shared" si="78"/>
        <v>85774741.732399985</v>
      </c>
      <c r="G2521" s="16">
        <f>IF(D2521=0,0,SUMIF(매도완료!$J:$J,Sheet2!$B2521,매도완료!$S:$S))+IF(D2521=0,0,SUMIF(ING!$J:$J,Sheet2!$B2521,ING!$S:$S))</f>
        <v>0</v>
      </c>
      <c r="H2521" s="16">
        <f t="shared" si="79"/>
        <v>348685.24080894142</v>
      </c>
    </row>
    <row r="2522" spans="2:8" hidden="1" x14ac:dyDescent="0.4">
      <c r="B2522" s="1">
        <v>45071</v>
      </c>
      <c r="C2522" s="16">
        <f>SUMIF(매도완료!$G:$G,Sheet2!$B2522,매도완료!$P:$P)+SUMIF(ING!$G:$G,Sheet2!$B2522,ING!$P:$P)</f>
        <v>0</v>
      </c>
      <c r="D2522" s="16">
        <f>SUMIF(매도완료!$J:$J,Sheet2!$B2522,매도완료!$P:$P)+SUMIF(ING!$J:$J,Sheet2!$B2522,ING!$P:$P)</f>
        <v>0</v>
      </c>
      <c r="E2522" s="16">
        <f t="shared" si="78"/>
        <v>85774741.732399985</v>
      </c>
      <c r="G2522" s="16">
        <f>IF(D2522=0,0,SUMIF(매도완료!$J:$J,Sheet2!$B2522,매도완료!$S:$S))+IF(D2522=0,0,SUMIF(ING!$J:$J,Sheet2!$B2522,ING!$S:$S))</f>
        <v>0</v>
      </c>
      <c r="H2522" s="16">
        <f t="shared" si="79"/>
        <v>348685.24080894142</v>
      </c>
    </row>
    <row r="2523" spans="2:8" hidden="1" x14ac:dyDescent="0.4">
      <c r="B2523" s="1">
        <v>45072</v>
      </c>
      <c r="C2523" s="16">
        <f>SUMIF(매도완료!$G:$G,Sheet2!$B2523,매도완료!$P:$P)+SUMIF(ING!$G:$G,Sheet2!$B2523,ING!$P:$P)</f>
        <v>0</v>
      </c>
      <c r="D2523" s="16">
        <f>SUMIF(매도완료!$J:$J,Sheet2!$B2523,매도완료!$P:$P)+SUMIF(ING!$J:$J,Sheet2!$B2523,ING!$P:$P)</f>
        <v>0</v>
      </c>
      <c r="E2523" s="16">
        <f t="shared" si="78"/>
        <v>85774741.732399985</v>
      </c>
      <c r="G2523" s="16">
        <f>IF(D2523=0,0,SUMIF(매도완료!$J:$J,Sheet2!$B2523,매도완료!$S:$S))+IF(D2523=0,0,SUMIF(ING!$J:$J,Sheet2!$B2523,ING!$S:$S))</f>
        <v>0</v>
      </c>
      <c r="H2523" s="16">
        <f t="shared" si="79"/>
        <v>348685.24080894142</v>
      </c>
    </row>
    <row r="2524" spans="2:8" hidden="1" x14ac:dyDescent="0.4">
      <c r="B2524" s="1">
        <v>45073</v>
      </c>
      <c r="C2524" s="16">
        <f>SUMIF(매도완료!$G:$G,Sheet2!$B2524,매도완료!$P:$P)+SUMIF(ING!$G:$G,Sheet2!$B2524,ING!$P:$P)</f>
        <v>0</v>
      </c>
      <c r="D2524" s="16">
        <f>SUMIF(매도완료!$J:$J,Sheet2!$B2524,매도완료!$P:$P)+SUMIF(ING!$J:$J,Sheet2!$B2524,ING!$P:$P)</f>
        <v>0</v>
      </c>
      <c r="E2524" s="16">
        <f t="shared" si="78"/>
        <v>85774741.732399985</v>
      </c>
      <c r="G2524" s="16">
        <f>IF(D2524=0,0,SUMIF(매도완료!$J:$J,Sheet2!$B2524,매도완료!$S:$S))+IF(D2524=0,0,SUMIF(ING!$J:$J,Sheet2!$B2524,ING!$S:$S))</f>
        <v>0</v>
      </c>
      <c r="H2524" s="16">
        <f t="shared" si="79"/>
        <v>348685.24080894142</v>
      </c>
    </row>
    <row r="2525" spans="2:8" hidden="1" x14ac:dyDescent="0.4">
      <c r="B2525" s="1">
        <v>45074</v>
      </c>
      <c r="C2525" s="16">
        <f>SUMIF(매도완료!$G:$G,Sheet2!$B2525,매도완료!$P:$P)+SUMIF(ING!$G:$G,Sheet2!$B2525,ING!$P:$P)</f>
        <v>0</v>
      </c>
      <c r="D2525" s="16">
        <f>SUMIF(매도완료!$J:$J,Sheet2!$B2525,매도완료!$P:$P)+SUMIF(ING!$J:$J,Sheet2!$B2525,ING!$P:$P)</f>
        <v>0</v>
      </c>
      <c r="E2525" s="16">
        <f t="shared" si="78"/>
        <v>85774741.732399985</v>
      </c>
      <c r="G2525" s="16">
        <f>IF(D2525=0,0,SUMIF(매도완료!$J:$J,Sheet2!$B2525,매도완료!$S:$S))+IF(D2525=0,0,SUMIF(ING!$J:$J,Sheet2!$B2525,ING!$S:$S))</f>
        <v>0</v>
      </c>
      <c r="H2525" s="16">
        <f t="shared" si="79"/>
        <v>348685.24080894142</v>
      </c>
    </row>
    <row r="2526" spans="2:8" hidden="1" x14ac:dyDescent="0.4">
      <c r="B2526" s="1">
        <v>45075</v>
      </c>
      <c r="C2526" s="16">
        <f>SUMIF(매도완료!$G:$G,Sheet2!$B2526,매도완료!$P:$P)+SUMIF(ING!$G:$G,Sheet2!$B2526,ING!$P:$P)</f>
        <v>0</v>
      </c>
      <c r="D2526" s="16">
        <f>SUMIF(매도완료!$J:$J,Sheet2!$B2526,매도완료!$P:$P)+SUMIF(ING!$J:$J,Sheet2!$B2526,ING!$P:$P)</f>
        <v>0</v>
      </c>
      <c r="E2526" s="16">
        <f t="shared" si="78"/>
        <v>85774741.732399985</v>
      </c>
      <c r="G2526" s="16">
        <f>IF(D2526=0,0,SUMIF(매도완료!$J:$J,Sheet2!$B2526,매도완료!$S:$S))+IF(D2526=0,0,SUMIF(ING!$J:$J,Sheet2!$B2526,ING!$S:$S))</f>
        <v>0</v>
      </c>
      <c r="H2526" s="16">
        <f t="shared" si="79"/>
        <v>348685.24080894142</v>
      </c>
    </row>
    <row r="2527" spans="2:8" hidden="1" x14ac:dyDescent="0.4">
      <c r="B2527" s="1">
        <v>45076</v>
      </c>
      <c r="C2527" s="16">
        <f>SUMIF(매도완료!$G:$G,Sheet2!$B2527,매도완료!$P:$P)+SUMIF(ING!$G:$G,Sheet2!$B2527,ING!$P:$P)</f>
        <v>0</v>
      </c>
      <c r="D2527" s="16">
        <f>SUMIF(매도완료!$J:$J,Sheet2!$B2527,매도완료!$P:$P)+SUMIF(ING!$J:$J,Sheet2!$B2527,ING!$P:$P)</f>
        <v>0</v>
      </c>
      <c r="E2527" s="16">
        <f t="shared" si="78"/>
        <v>85774741.732399985</v>
      </c>
      <c r="G2527" s="16">
        <f>IF(D2527=0,0,SUMIF(매도완료!$J:$J,Sheet2!$B2527,매도완료!$S:$S))+IF(D2527=0,0,SUMIF(ING!$J:$J,Sheet2!$B2527,ING!$S:$S))</f>
        <v>0</v>
      </c>
      <c r="H2527" s="16">
        <f t="shared" si="79"/>
        <v>348685.24080894142</v>
      </c>
    </row>
    <row r="2528" spans="2:8" hidden="1" x14ac:dyDescent="0.4">
      <c r="B2528" s="1">
        <v>45077</v>
      </c>
      <c r="C2528" s="16">
        <f>SUMIF(매도완료!$G:$G,Sheet2!$B2528,매도완료!$P:$P)+SUMIF(ING!$G:$G,Sheet2!$B2528,ING!$P:$P)</f>
        <v>1521550</v>
      </c>
      <c r="D2528" s="16">
        <f>SUMIF(매도완료!$J:$J,Sheet2!$B2528,매도완료!$P:$P)+SUMIF(ING!$J:$J,Sheet2!$B2528,ING!$P:$P)</f>
        <v>0</v>
      </c>
      <c r="E2528" s="16">
        <f t="shared" si="78"/>
        <v>87296291.732399985</v>
      </c>
      <c r="G2528" s="16">
        <f>IF(D2528=0,0,SUMIF(매도완료!$J:$J,Sheet2!$B2528,매도완료!$S:$S))+IF(D2528=0,0,SUMIF(ING!$J:$J,Sheet2!$B2528,ING!$S:$S))</f>
        <v>0</v>
      </c>
      <c r="H2528" s="16">
        <f t="shared" si="79"/>
        <v>348685.24080894142</v>
      </c>
    </row>
    <row r="2529" spans="2:8" hidden="1" x14ac:dyDescent="0.4">
      <c r="B2529" s="1">
        <v>45078</v>
      </c>
      <c r="C2529" s="16">
        <f>SUMIF(매도완료!$G:$G,Sheet2!$B2529,매도완료!$P:$P)+SUMIF(ING!$G:$G,Sheet2!$B2529,ING!$P:$P)</f>
        <v>0</v>
      </c>
      <c r="D2529" s="16">
        <f>SUMIF(매도완료!$J:$J,Sheet2!$B2529,매도완료!$P:$P)+SUMIF(ING!$J:$J,Sheet2!$B2529,ING!$P:$P)</f>
        <v>0</v>
      </c>
      <c r="E2529" s="16">
        <f t="shared" si="78"/>
        <v>87296291.732399985</v>
      </c>
      <c r="G2529" s="16">
        <f>IF(D2529=0,0,SUMIF(매도완료!$J:$J,Sheet2!$B2529,매도완료!$S:$S))+IF(D2529=0,0,SUMIF(ING!$J:$J,Sheet2!$B2529,ING!$S:$S))</f>
        <v>0</v>
      </c>
      <c r="H2529" s="16">
        <f t="shared" si="79"/>
        <v>348685.24080894142</v>
      </c>
    </row>
    <row r="2530" spans="2:8" hidden="1" x14ac:dyDescent="0.4">
      <c r="B2530" s="1">
        <v>45079</v>
      </c>
      <c r="C2530" s="16">
        <f>SUMIF(매도완료!$G:$G,Sheet2!$B2530,매도완료!$P:$P)+SUMIF(ING!$G:$G,Sheet2!$B2530,ING!$P:$P)</f>
        <v>0</v>
      </c>
      <c r="D2530" s="16">
        <f>SUMIF(매도완료!$J:$J,Sheet2!$B2530,매도완료!$P:$P)+SUMIF(ING!$J:$J,Sheet2!$B2530,ING!$P:$P)</f>
        <v>0</v>
      </c>
      <c r="E2530" s="16">
        <f t="shared" si="78"/>
        <v>87296291.732399985</v>
      </c>
      <c r="G2530" s="16">
        <f>IF(D2530=0,0,SUMIF(매도완료!$J:$J,Sheet2!$B2530,매도완료!$S:$S))+IF(D2530=0,0,SUMIF(ING!$J:$J,Sheet2!$B2530,ING!$S:$S))</f>
        <v>0</v>
      </c>
      <c r="H2530" s="16">
        <f t="shared" si="79"/>
        <v>348685.24080894142</v>
      </c>
    </row>
    <row r="2531" spans="2:8" hidden="1" x14ac:dyDescent="0.4">
      <c r="B2531" s="1">
        <v>45080</v>
      </c>
      <c r="C2531" s="16">
        <f>SUMIF(매도완료!$G:$G,Sheet2!$B2531,매도완료!$P:$P)+SUMIF(ING!$G:$G,Sheet2!$B2531,ING!$P:$P)</f>
        <v>0</v>
      </c>
      <c r="D2531" s="16">
        <f>SUMIF(매도완료!$J:$J,Sheet2!$B2531,매도완료!$P:$P)+SUMIF(ING!$J:$J,Sheet2!$B2531,ING!$P:$P)</f>
        <v>0</v>
      </c>
      <c r="E2531" s="16">
        <f t="shared" si="78"/>
        <v>87296291.732399985</v>
      </c>
      <c r="G2531" s="16">
        <f>IF(D2531=0,0,SUMIF(매도완료!$J:$J,Sheet2!$B2531,매도완료!$S:$S))+IF(D2531=0,0,SUMIF(ING!$J:$J,Sheet2!$B2531,ING!$S:$S))</f>
        <v>0</v>
      </c>
      <c r="H2531" s="16">
        <f t="shared" si="79"/>
        <v>348685.24080894142</v>
      </c>
    </row>
    <row r="2532" spans="2:8" hidden="1" x14ac:dyDescent="0.4">
      <c r="B2532" s="1">
        <v>45081</v>
      </c>
      <c r="C2532" s="16">
        <f>SUMIF(매도완료!$G:$G,Sheet2!$B2532,매도완료!$P:$P)+SUMIF(ING!$G:$G,Sheet2!$B2532,ING!$P:$P)</f>
        <v>0</v>
      </c>
      <c r="D2532" s="16">
        <f>SUMIF(매도완료!$J:$J,Sheet2!$B2532,매도완료!$P:$P)+SUMIF(ING!$J:$J,Sheet2!$B2532,ING!$P:$P)</f>
        <v>0</v>
      </c>
      <c r="E2532" s="16">
        <f t="shared" si="78"/>
        <v>87296291.732399985</v>
      </c>
      <c r="G2532" s="16">
        <f>IF(D2532=0,0,SUMIF(매도완료!$J:$J,Sheet2!$B2532,매도완료!$S:$S))+IF(D2532=0,0,SUMIF(ING!$J:$J,Sheet2!$B2532,ING!$S:$S))</f>
        <v>0</v>
      </c>
      <c r="H2532" s="16">
        <f t="shared" si="79"/>
        <v>348685.24080894142</v>
      </c>
    </row>
    <row r="2533" spans="2:8" hidden="1" x14ac:dyDescent="0.4">
      <c r="B2533" s="1">
        <v>45082</v>
      </c>
      <c r="C2533" s="16">
        <f>SUMIF(매도완료!$G:$G,Sheet2!$B2533,매도완료!$P:$P)+SUMIF(ING!$G:$G,Sheet2!$B2533,ING!$P:$P)</f>
        <v>0</v>
      </c>
      <c r="D2533" s="16">
        <f>SUMIF(매도완료!$J:$J,Sheet2!$B2533,매도완료!$P:$P)+SUMIF(ING!$J:$J,Sheet2!$B2533,ING!$P:$P)</f>
        <v>0</v>
      </c>
      <c r="E2533" s="16">
        <f t="shared" si="78"/>
        <v>87296291.732399985</v>
      </c>
      <c r="G2533" s="16">
        <f>IF(D2533=0,0,SUMIF(매도완료!$J:$J,Sheet2!$B2533,매도완료!$S:$S))+IF(D2533=0,0,SUMIF(ING!$J:$J,Sheet2!$B2533,ING!$S:$S))</f>
        <v>0</v>
      </c>
      <c r="H2533" s="16">
        <f t="shared" si="79"/>
        <v>348685.24080894142</v>
      </c>
    </row>
    <row r="2534" spans="2:8" hidden="1" x14ac:dyDescent="0.4">
      <c r="B2534" s="1">
        <v>45083</v>
      </c>
      <c r="C2534" s="16">
        <f>SUMIF(매도완료!$G:$G,Sheet2!$B2534,매도완료!$P:$P)+SUMIF(ING!$G:$G,Sheet2!$B2534,ING!$P:$P)</f>
        <v>0</v>
      </c>
      <c r="D2534" s="16">
        <f>SUMIF(매도완료!$J:$J,Sheet2!$B2534,매도완료!$P:$P)+SUMIF(ING!$J:$J,Sheet2!$B2534,ING!$P:$P)</f>
        <v>0</v>
      </c>
      <c r="E2534" s="16">
        <f t="shared" si="78"/>
        <v>87296291.732399985</v>
      </c>
      <c r="G2534" s="16">
        <f>IF(D2534=0,0,SUMIF(매도완료!$J:$J,Sheet2!$B2534,매도완료!$S:$S))+IF(D2534=0,0,SUMIF(ING!$J:$J,Sheet2!$B2534,ING!$S:$S))</f>
        <v>0</v>
      </c>
      <c r="H2534" s="16">
        <f t="shared" si="79"/>
        <v>348685.24080894142</v>
      </c>
    </row>
    <row r="2535" spans="2:8" hidden="1" x14ac:dyDescent="0.4">
      <c r="B2535" s="1">
        <v>45084</v>
      </c>
      <c r="C2535" s="16">
        <f>SUMIF(매도완료!$G:$G,Sheet2!$B2535,매도완료!$P:$P)+SUMIF(ING!$G:$G,Sheet2!$B2535,ING!$P:$P)</f>
        <v>0</v>
      </c>
      <c r="D2535" s="16">
        <f>SUMIF(매도완료!$J:$J,Sheet2!$B2535,매도완료!$P:$P)+SUMIF(ING!$J:$J,Sheet2!$B2535,ING!$P:$P)</f>
        <v>0</v>
      </c>
      <c r="E2535" s="16">
        <f t="shared" si="78"/>
        <v>87296291.732399985</v>
      </c>
      <c r="G2535" s="16">
        <f>IF(D2535=0,0,SUMIF(매도완료!$J:$J,Sheet2!$B2535,매도완료!$S:$S))+IF(D2535=0,0,SUMIF(ING!$J:$J,Sheet2!$B2535,ING!$S:$S))</f>
        <v>0</v>
      </c>
      <c r="H2535" s="16">
        <f t="shared" si="79"/>
        <v>348685.24080894142</v>
      </c>
    </row>
    <row r="2536" spans="2:8" hidden="1" x14ac:dyDescent="0.4">
      <c r="B2536" s="1">
        <v>45085</v>
      </c>
      <c r="C2536" s="16">
        <f>SUMIF(매도완료!$G:$G,Sheet2!$B2536,매도완료!$P:$P)+SUMIF(ING!$G:$G,Sheet2!$B2536,ING!$P:$P)</f>
        <v>1089130</v>
      </c>
      <c r="D2536" s="16">
        <f>SUMIF(매도완료!$J:$J,Sheet2!$B2536,매도완료!$P:$P)+SUMIF(ING!$J:$J,Sheet2!$B2536,ING!$P:$P)</f>
        <v>0</v>
      </c>
      <c r="E2536" s="16">
        <f t="shared" si="78"/>
        <v>88385421.732399985</v>
      </c>
      <c r="G2536" s="16">
        <f>IF(D2536=0,0,SUMIF(매도완료!$J:$J,Sheet2!$B2536,매도완료!$S:$S))+IF(D2536=0,0,SUMIF(ING!$J:$J,Sheet2!$B2536,ING!$S:$S))</f>
        <v>0</v>
      </c>
      <c r="H2536" s="16">
        <f t="shared" si="79"/>
        <v>348685.24080894142</v>
      </c>
    </row>
    <row r="2537" spans="2:8" hidden="1" x14ac:dyDescent="0.4">
      <c r="B2537" s="1">
        <v>45086</v>
      </c>
      <c r="C2537" s="16">
        <f>SUMIF(매도완료!$G:$G,Sheet2!$B2537,매도완료!$P:$P)+SUMIF(ING!$G:$G,Sheet2!$B2537,ING!$P:$P)</f>
        <v>0</v>
      </c>
      <c r="D2537" s="16">
        <f>SUMIF(매도완료!$J:$J,Sheet2!$B2537,매도완료!$P:$P)+SUMIF(ING!$J:$J,Sheet2!$B2537,ING!$P:$P)</f>
        <v>0</v>
      </c>
      <c r="E2537" s="16">
        <f t="shared" si="78"/>
        <v>88385421.732399985</v>
      </c>
      <c r="G2537" s="16">
        <f>IF(D2537=0,0,SUMIF(매도완료!$J:$J,Sheet2!$B2537,매도완료!$S:$S))+IF(D2537=0,0,SUMIF(ING!$J:$J,Sheet2!$B2537,ING!$S:$S))</f>
        <v>0</v>
      </c>
      <c r="H2537" s="16">
        <f t="shared" si="79"/>
        <v>348685.24080894142</v>
      </c>
    </row>
    <row r="2538" spans="2:8" hidden="1" x14ac:dyDescent="0.4">
      <c r="B2538" s="1">
        <v>45087</v>
      </c>
      <c r="C2538" s="16">
        <f>SUMIF(매도완료!$G:$G,Sheet2!$B2538,매도완료!$P:$P)+SUMIF(ING!$G:$G,Sheet2!$B2538,ING!$P:$P)</f>
        <v>0</v>
      </c>
      <c r="D2538" s="16">
        <f>SUMIF(매도완료!$J:$J,Sheet2!$B2538,매도완료!$P:$P)+SUMIF(ING!$J:$J,Sheet2!$B2538,ING!$P:$P)</f>
        <v>0</v>
      </c>
      <c r="E2538" s="16">
        <f t="shared" si="78"/>
        <v>88385421.732399985</v>
      </c>
      <c r="G2538" s="16">
        <f>IF(D2538=0,0,SUMIF(매도완료!$J:$J,Sheet2!$B2538,매도완료!$S:$S))+IF(D2538=0,0,SUMIF(ING!$J:$J,Sheet2!$B2538,ING!$S:$S))</f>
        <v>0</v>
      </c>
      <c r="H2538" s="16">
        <f t="shared" si="79"/>
        <v>348685.24080894142</v>
      </c>
    </row>
    <row r="2539" spans="2:8" hidden="1" x14ac:dyDescent="0.4">
      <c r="B2539" s="1">
        <v>45088</v>
      </c>
      <c r="C2539" s="16">
        <f>SUMIF(매도완료!$G:$G,Sheet2!$B2539,매도완료!$P:$P)+SUMIF(ING!$G:$G,Sheet2!$B2539,ING!$P:$P)</f>
        <v>0</v>
      </c>
      <c r="D2539" s="16">
        <f>SUMIF(매도완료!$J:$J,Sheet2!$B2539,매도완료!$P:$P)+SUMIF(ING!$J:$J,Sheet2!$B2539,ING!$P:$P)</f>
        <v>0</v>
      </c>
      <c r="E2539" s="16">
        <f t="shared" si="78"/>
        <v>88385421.732399985</v>
      </c>
      <c r="G2539" s="16">
        <f>IF(D2539=0,0,SUMIF(매도완료!$J:$J,Sheet2!$B2539,매도완료!$S:$S))+IF(D2539=0,0,SUMIF(ING!$J:$J,Sheet2!$B2539,ING!$S:$S))</f>
        <v>0</v>
      </c>
      <c r="H2539" s="16">
        <f t="shared" si="79"/>
        <v>348685.24080894142</v>
      </c>
    </row>
    <row r="2540" spans="2:8" hidden="1" x14ac:dyDescent="0.4">
      <c r="B2540" s="1">
        <v>45089</v>
      </c>
      <c r="C2540" s="16">
        <f>SUMIF(매도완료!$G:$G,Sheet2!$B2540,매도완료!$P:$P)+SUMIF(ING!$G:$G,Sheet2!$B2540,ING!$P:$P)</f>
        <v>0</v>
      </c>
      <c r="D2540" s="16">
        <f>SUMIF(매도완료!$J:$J,Sheet2!$B2540,매도완료!$P:$P)+SUMIF(ING!$J:$J,Sheet2!$B2540,ING!$P:$P)</f>
        <v>0</v>
      </c>
      <c r="E2540" s="16">
        <f t="shared" si="78"/>
        <v>88385421.732399985</v>
      </c>
      <c r="G2540" s="16">
        <f>IF(D2540=0,0,SUMIF(매도완료!$J:$J,Sheet2!$B2540,매도완료!$S:$S))+IF(D2540=0,0,SUMIF(ING!$J:$J,Sheet2!$B2540,ING!$S:$S))</f>
        <v>0</v>
      </c>
      <c r="H2540" s="16">
        <f t="shared" si="79"/>
        <v>348685.24080894142</v>
      </c>
    </row>
    <row r="2541" spans="2:8" hidden="1" x14ac:dyDescent="0.4">
      <c r="B2541" s="1">
        <v>45090</v>
      </c>
      <c r="C2541" s="16">
        <f>SUMIF(매도완료!$G:$G,Sheet2!$B2541,매도완료!$P:$P)+SUMIF(ING!$G:$G,Sheet2!$B2541,ING!$P:$P)</f>
        <v>491400</v>
      </c>
      <c r="D2541" s="16">
        <f>SUMIF(매도완료!$J:$J,Sheet2!$B2541,매도완료!$P:$P)+SUMIF(ING!$J:$J,Sheet2!$B2541,ING!$P:$P)</f>
        <v>0</v>
      </c>
      <c r="E2541" s="16">
        <f t="shared" si="78"/>
        <v>88876821.732399985</v>
      </c>
      <c r="G2541" s="16">
        <f>IF(D2541=0,0,SUMIF(매도완료!$J:$J,Sheet2!$B2541,매도완료!$S:$S))+IF(D2541=0,0,SUMIF(ING!$J:$J,Sheet2!$B2541,ING!$S:$S))</f>
        <v>0</v>
      </c>
      <c r="H2541" s="16">
        <f t="shared" si="79"/>
        <v>348685.24080894142</v>
      </c>
    </row>
    <row r="2542" spans="2:8" hidden="1" x14ac:dyDescent="0.4">
      <c r="B2542" s="1">
        <v>45091</v>
      </c>
      <c r="C2542" s="16">
        <f>SUMIF(매도완료!$G:$G,Sheet2!$B2542,매도완료!$P:$P)+SUMIF(ING!$G:$G,Sheet2!$B2542,ING!$P:$P)</f>
        <v>0</v>
      </c>
      <c r="D2542" s="16">
        <f>SUMIF(매도완료!$J:$J,Sheet2!$B2542,매도완료!$P:$P)+SUMIF(ING!$J:$J,Sheet2!$B2542,ING!$P:$P)</f>
        <v>0</v>
      </c>
      <c r="E2542" s="16">
        <f t="shared" si="78"/>
        <v>88876821.732399985</v>
      </c>
      <c r="G2542" s="16">
        <f>IF(D2542=0,0,SUMIF(매도완료!$J:$J,Sheet2!$B2542,매도완료!$S:$S))+IF(D2542=0,0,SUMIF(ING!$J:$J,Sheet2!$B2542,ING!$S:$S))</f>
        <v>0</v>
      </c>
      <c r="H2542" s="16">
        <f t="shared" si="79"/>
        <v>348685.24080894142</v>
      </c>
    </row>
    <row r="2543" spans="2:8" hidden="1" x14ac:dyDescent="0.4">
      <c r="B2543" s="1">
        <v>45092</v>
      </c>
      <c r="C2543" s="16">
        <f>SUMIF(매도완료!$G:$G,Sheet2!$B2543,매도완료!$P:$P)+SUMIF(ING!$G:$G,Sheet2!$B2543,ING!$P:$P)</f>
        <v>0</v>
      </c>
      <c r="D2543" s="16">
        <f>SUMIF(매도완료!$J:$J,Sheet2!$B2543,매도완료!$P:$P)+SUMIF(ING!$J:$J,Sheet2!$B2543,ING!$P:$P)</f>
        <v>0</v>
      </c>
      <c r="E2543" s="16">
        <f t="shared" si="78"/>
        <v>88876821.732399985</v>
      </c>
      <c r="G2543" s="16">
        <f>IF(D2543=0,0,SUMIF(매도완료!$J:$J,Sheet2!$B2543,매도완료!$S:$S))+IF(D2543=0,0,SUMIF(ING!$J:$J,Sheet2!$B2543,ING!$S:$S))</f>
        <v>0</v>
      </c>
      <c r="H2543" s="16">
        <f t="shared" si="79"/>
        <v>348685.24080894142</v>
      </c>
    </row>
    <row r="2544" spans="2:8" hidden="1" x14ac:dyDescent="0.4">
      <c r="B2544" s="1">
        <v>45093</v>
      </c>
      <c r="C2544" s="16">
        <f>SUMIF(매도완료!$G:$G,Sheet2!$B2544,매도완료!$P:$P)+SUMIF(ING!$G:$G,Sheet2!$B2544,ING!$P:$P)</f>
        <v>0</v>
      </c>
      <c r="D2544" s="16">
        <f>SUMIF(매도완료!$J:$J,Sheet2!$B2544,매도완료!$P:$P)+SUMIF(ING!$J:$J,Sheet2!$B2544,ING!$P:$P)</f>
        <v>0</v>
      </c>
      <c r="E2544" s="16">
        <f t="shared" si="78"/>
        <v>88876821.732399985</v>
      </c>
      <c r="G2544" s="16">
        <f>IF(D2544=0,0,SUMIF(매도완료!$J:$J,Sheet2!$B2544,매도완료!$S:$S))+IF(D2544=0,0,SUMIF(ING!$J:$J,Sheet2!$B2544,ING!$S:$S))</f>
        <v>0</v>
      </c>
      <c r="H2544" s="16">
        <f t="shared" si="79"/>
        <v>348685.24080894142</v>
      </c>
    </row>
    <row r="2545" spans="2:8" hidden="1" x14ac:dyDescent="0.4">
      <c r="B2545" s="1">
        <v>45094</v>
      </c>
      <c r="C2545" s="16">
        <f>SUMIF(매도완료!$G:$G,Sheet2!$B2545,매도완료!$P:$P)+SUMIF(ING!$G:$G,Sheet2!$B2545,ING!$P:$P)</f>
        <v>0</v>
      </c>
      <c r="D2545" s="16">
        <f>SUMIF(매도완료!$J:$J,Sheet2!$B2545,매도완료!$P:$P)+SUMIF(ING!$J:$J,Sheet2!$B2545,ING!$P:$P)</f>
        <v>0</v>
      </c>
      <c r="E2545" s="16">
        <f t="shared" si="78"/>
        <v>88876821.732399985</v>
      </c>
      <c r="G2545" s="16">
        <f>IF(D2545=0,0,SUMIF(매도완료!$J:$J,Sheet2!$B2545,매도완료!$S:$S))+IF(D2545=0,0,SUMIF(ING!$J:$J,Sheet2!$B2545,ING!$S:$S))</f>
        <v>0</v>
      </c>
      <c r="H2545" s="16">
        <f t="shared" si="79"/>
        <v>348685.24080894142</v>
      </c>
    </row>
    <row r="2546" spans="2:8" hidden="1" x14ac:dyDescent="0.4">
      <c r="B2546" s="1">
        <v>45095</v>
      </c>
      <c r="C2546" s="16">
        <f>SUMIF(매도완료!$G:$G,Sheet2!$B2546,매도완료!$P:$P)+SUMIF(ING!$G:$G,Sheet2!$B2546,ING!$P:$P)</f>
        <v>0</v>
      </c>
      <c r="D2546" s="16">
        <f>SUMIF(매도완료!$J:$J,Sheet2!$B2546,매도완료!$P:$P)+SUMIF(ING!$J:$J,Sheet2!$B2546,ING!$P:$P)</f>
        <v>0</v>
      </c>
      <c r="E2546" s="16">
        <f t="shared" si="78"/>
        <v>88876821.732399985</v>
      </c>
      <c r="G2546" s="16">
        <f>IF(D2546=0,0,SUMIF(매도완료!$J:$J,Sheet2!$B2546,매도완료!$S:$S))+IF(D2546=0,0,SUMIF(ING!$J:$J,Sheet2!$B2546,ING!$S:$S))</f>
        <v>0</v>
      </c>
      <c r="H2546" s="16">
        <f t="shared" si="79"/>
        <v>348685.24080894142</v>
      </c>
    </row>
    <row r="2547" spans="2:8" hidden="1" x14ac:dyDescent="0.4">
      <c r="B2547" s="1">
        <v>45096</v>
      </c>
      <c r="C2547" s="16">
        <f>SUMIF(매도완료!$G:$G,Sheet2!$B2547,매도완료!$P:$P)+SUMIF(ING!$G:$G,Sheet2!$B2547,ING!$P:$P)</f>
        <v>0</v>
      </c>
      <c r="D2547" s="16">
        <f>SUMIF(매도완료!$J:$J,Sheet2!$B2547,매도완료!$P:$P)+SUMIF(ING!$J:$J,Sheet2!$B2547,ING!$P:$P)</f>
        <v>0</v>
      </c>
      <c r="E2547" s="16">
        <f t="shared" si="78"/>
        <v>88876821.732399985</v>
      </c>
      <c r="G2547" s="16">
        <f>IF(D2547=0,0,SUMIF(매도완료!$J:$J,Sheet2!$B2547,매도완료!$S:$S))+IF(D2547=0,0,SUMIF(ING!$J:$J,Sheet2!$B2547,ING!$S:$S))</f>
        <v>0</v>
      </c>
      <c r="H2547" s="16">
        <f t="shared" si="79"/>
        <v>348685.24080894142</v>
      </c>
    </row>
    <row r="2548" spans="2:8" hidden="1" x14ac:dyDescent="0.4">
      <c r="B2548" s="1">
        <v>45097</v>
      </c>
      <c r="C2548" s="16">
        <f>SUMIF(매도완료!$G:$G,Sheet2!$B2548,매도완료!$P:$P)+SUMIF(ING!$G:$G,Sheet2!$B2548,ING!$P:$P)</f>
        <v>0</v>
      </c>
      <c r="D2548" s="16">
        <f>SUMIF(매도완료!$J:$J,Sheet2!$B2548,매도완료!$P:$P)+SUMIF(ING!$J:$J,Sheet2!$B2548,ING!$P:$P)</f>
        <v>0</v>
      </c>
      <c r="E2548" s="16">
        <f t="shared" si="78"/>
        <v>88876821.732399985</v>
      </c>
      <c r="G2548" s="16">
        <f>IF(D2548=0,0,SUMIF(매도완료!$J:$J,Sheet2!$B2548,매도완료!$S:$S))+IF(D2548=0,0,SUMIF(ING!$J:$J,Sheet2!$B2548,ING!$S:$S))</f>
        <v>0</v>
      </c>
      <c r="H2548" s="16">
        <f t="shared" si="79"/>
        <v>348685.24080894142</v>
      </c>
    </row>
    <row r="2549" spans="2:8" hidden="1" x14ac:dyDescent="0.4">
      <c r="B2549" s="1">
        <v>45098</v>
      </c>
      <c r="C2549" s="16">
        <f>SUMIF(매도완료!$G:$G,Sheet2!$B2549,매도완료!$P:$P)+SUMIF(ING!$G:$G,Sheet2!$B2549,ING!$P:$P)</f>
        <v>4302015</v>
      </c>
      <c r="D2549" s="16">
        <f>SUMIF(매도완료!$J:$J,Sheet2!$B2549,매도완료!$P:$P)+SUMIF(ING!$J:$J,Sheet2!$B2549,ING!$P:$P)</f>
        <v>0</v>
      </c>
      <c r="E2549" s="16">
        <f t="shared" si="78"/>
        <v>93178836.732399985</v>
      </c>
      <c r="G2549" s="16">
        <f>IF(D2549=0,0,SUMIF(매도완료!$J:$J,Sheet2!$B2549,매도완료!$S:$S))+IF(D2549=0,0,SUMIF(ING!$J:$J,Sheet2!$B2549,ING!$S:$S))</f>
        <v>0</v>
      </c>
      <c r="H2549" s="16">
        <f t="shared" si="79"/>
        <v>348685.24080894142</v>
      </c>
    </row>
    <row r="2550" spans="2:8" hidden="1" x14ac:dyDescent="0.4">
      <c r="B2550" s="1">
        <v>45099</v>
      </c>
      <c r="C2550" s="16">
        <f>SUMIF(매도완료!$G:$G,Sheet2!$B2550,매도완료!$P:$P)+SUMIF(ING!$G:$G,Sheet2!$B2550,ING!$P:$P)</f>
        <v>0</v>
      </c>
      <c r="D2550" s="16">
        <f>SUMIF(매도완료!$J:$J,Sheet2!$B2550,매도완료!$P:$P)+SUMIF(ING!$J:$J,Sheet2!$B2550,ING!$P:$P)</f>
        <v>0</v>
      </c>
      <c r="E2550" s="16">
        <f t="shared" si="78"/>
        <v>93178836.732399985</v>
      </c>
      <c r="G2550" s="16">
        <f>IF(D2550=0,0,SUMIF(매도완료!$J:$J,Sheet2!$B2550,매도완료!$S:$S))+IF(D2550=0,0,SUMIF(ING!$J:$J,Sheet2!$B2550,ING!$S:$S))</f>
        <v>0</v>
      </c>
      <c r="H2550" s="16">
        <f t="shared" si="79"/>
        <v>348685.24080894142</v>
      </c>
    </row>
    <row r="2551" spans="2:8" hidden="1" x14ac:dyDescent="0.4">
      <c r="B2551" s="1">
        <v>45100</v>
      </c>
      <c r="C2551" s="16">
        <f>SUMIF(매도완료!$G:$G,Sheet2!$B2551,매도완료!$P:$P)+SUMIF(ING!$G:$G,Sheet2!$B2551,ING!$P:$P)</f>
        <v>0</v>
      </c>
      <c r="D2551" s="16">
        <f>SUMIF(매도완료!$J:$J,Sheet2!$B2551,매도완료!$P:$P)+SUMIF(ING!$J:$J,Sheet2!$B2551,ING!$P:$P)</f>
        <v>0</v>
      </c>
      <c r="E2551" s="16">
        <f t="shared" si="78"/>
        <v>93178836.732399985</v>
      </c>
      <c r="G2551" s="16">
        <f>IF(D2551=0,0,SUMIF(매도완료!$J:$J,Sheet2!$B2551,매도완료!$S:$S))+IF(D2551=0,0,SUMIF(ING!$J:$J,Sheet2!$B2551,ING!$S:$S))</f>
        <v>0</v>
      </c>
      <c r="H2551" s="16">
        <f t="shared" si="79"/>
        <v>348685.24080894142</v>
      </c>
    </row>
    <row r="2552" spans="2:8" hidden="1" x14ac:dyDescent="0.4">
      <c r="B2552" s="1">
        <v>45101</v>
      </c>
      <c r="C2552" s="16">
        <f>SUMIF(매도완료!$G:$G,Sheet2!$B2552,매도완료!$P:$P)+SUMIF(ING!$G:$G,Sheet2!$B2552,ING!$P:$P)</f>
        <v>0</v>
      </c>
      <c r="D2552" s="16">
        <f>SUMIF(매도완료!$J:$J,Sheet2!$B2552,매도완료!$P:$P)+SUMIF(ING!$J:$J,Sheet2!$B2552,ING!$P:$P)</f>
        <v>0</v>
      </c>
      <c r="E2552" s="16">
        <f t="shared" si="78"/>
        <v>93178836.732399985</v>
      </c>
      <c r="G2552" s="16">
        <f>IF(D2552=0,0,SUMIF(매도완료!$J:$J,Sheet2!$B2552,매도완료!$S:$S))+IF(D2552=0,0,SUMIF(ING!$J:$J,Sheet2!$B2552,ING!$S:$S))</f>
        <v>0</v>
      </c>
      <c r="H2552" s="16">
        <f t="shared" si="79"/>
        <v>348685.24080894142</v>
      </c>
    </row>
    <row r="2553" spans="2:8" hidden="1" x14ac:dyDescent="0.4">
      <c r="B2553" s="1">
        <v>45102</v>
      </c>
      <c r="C2553" s="16">
        <f>SUMIF(매도완료!$G:$G,Sheet2!$B2553,매도완료!$P:$P)+SUMIF(ING!$G:$G,Sheet2!$B2553,ING!$P:$P)</f>
        <v>0</v>
      </c>
      <c r="D2553" s="16">
        <f>SUMIF(매도완료!$J:$J,Sheet2!$B2553,매도완료!$P:$P)+SUMIF(ING!$J:$J,Sheet2!$B2553,ING!$P:$P)</f>
        <v>0</v>
      </c>
      <c r="E2553" s="16">
        <f t="shared" si="78"/>
        <v>93178836.732399985</v>
      </c>
      <c r="G2553" s="16">
        <f>IF(D2553=0,0,SUMIF(매도완료!$J:$J,Sheet2!$B2553,매도완료!$S:$S))+IF(D2553=0,0,SUMIF(ING!$J:$J,Sheet2!$B2553,ING!$S:$S))</f>
        <v>0</v>
      </c>
      <c r="H2553" s="16">
        <f t="shared" si="79"/>
        <v>348685.24080894142</v>
      </c>
    </row>
    <row r="2554" spans="2:8" hidden="1" x14ac:dyDescent="0.4">
      <c r="B2554" s="1">
        <v>45103</v>
      </c>
      <c r="C2554" s="16">
        <f>SUMIF(매도완료!$G:$G,Sheet2!$B2554,매도완료!$P:$P)+SUMIF(ING!$G:$G,Sheet2!$B2554,ING!$P:$P)</f>
        <v>0</v>
      </c>
      <c r="D2554" s="16">
        <f>SUMIF(매도완료!$J:$J,Sheet2!$B2554,매도완료!$P:$P)+SUMIF(ING!$J:$J,Sheet2!$B2554,ING!$P:$P)</f>
        <v>0</v>
      </c>
      <c r="E2554" s="16">
        <f t="shared" si="78"/>
        <v>93178836.732399985</v>
      </c>
      <c r="G2554" s="16">
        <f>IF(D2554=0,0,SUMIF(매도완료!$J:$J,Sheet2!$B2554,매도완료!$S:$S))+IF(D2554=0,0,SUMIF(ING!$J:$J,Sheet2!$B2554,ING!$S:$S))</f>
        <v>0</v>
      </c>
      <c r="H2554" s="16">
        <f t="shared" si="79"/>
        <v>348685.24080894142</v>
      </c>
    </row>
    <row r="2555" spans="2:8" hidden="1" x14ac:dyDescent="0.4">
      <c r="B2555" s="1">
        <v>45104</v>
      </c>
      <c r="C2555" s="16">
        <f>SUMIF(매도완료!$G:$G,Sheet2!$B2555,매도완료!$P:$P)+SUMIF(ING!$G:$G,Sheet2!$B2555,ING!$P:$P)</f>
        <v>0</v>
      </c>
      <c r="D2555" s="16">
        <f>SUMIF(매도완료!$J:$J,Sheet2!$B2555,매도완료!$P:$P)+SUMIF(ING!$J:$J,Sheet2!$B2555,ING!$P:$P)</f>
        <v>0</v>
      </c>
      <c r="E2555" s="16">
        <f t="shared" si="78"/>
        <v>93178836.732399985</v>
      </c>
      <c r="G2555" s="16">
        <f>IF(D2555=0,0,SUMIF(매도완료!$J:$J,Sheet2!$B2555,매도완료!$S:$S))+IF(D2555=0,0,SUMIF(ING!$J:$J,Sheet2!$B2555,ING!$S:$S))</f>
        <v>0</v>
      </c>
      <c r="H2555" s="16">
        <f t="shared" si="79"/>
        <v>348685.24080894142</v>
      </c>
    </row>
    <row r="2556" spans="2:8" hidden="1" x14ac:dyDescent="0.4">
      <c r="B2556" s="1">
        <v>45105</v>
      </c>
      <c r="C2556" s="16">
        <f>SUMIF(매도완료!$G:$G,Sheet2!$B2556,매도완료!$P:$P)+SUMIF(ING!$G:$G,Sheet2!$B2556,ING!$P:$P)</f>
        <v>0</v>
      </c>
      <c r="D2556" s="16">
        <f>SUMIF(매도완료!$J:$J,Sheet2!$B2556,매도완료!$P:$P)+SUMIF(ING!$J:$J,Sheet2!$B2556,ING!$P:$P)</f>
        <v>0</v>
      </c>
      <c r="E2556" s="16">
        <f t="shared" si="78"/>
        <v>93178836.732399985</v>
      </c>
      <c r="G2556" s="16">
        <f>IF(D2556=0,0,SUMIF(매도완료!$J:$J,Sheet2!$B2556,매도완료!$S:$S))+IF(D2556=0,0,SUMIF(ING!$J:$J,Sheet2!$B2556,ING!$S:$S))</f>
        <v>0</v>
      </c>
      <c r="H2556" s="16">
        <f t="shared" si="79"/>
        <v>348685.24080894142</v>
      </c>
    </row>
    <row r="2557" spans="2:8" hidden="1" x14ac:dyDescent="0.4">
      <c r="B2557" s="1">
        <v>45106</v>
      </c>
      <c r="C2557" s="16">
        <f>SUMIF(매도완료!$G:$G,Sheet2!$B2557,매도완료!$P:$P)+SUMIF(ING!$G:$G,Sheet2!$B2557,ING!$P:$P)</f>
        <v>0</v>
      </c>
      <c r="D2557" s="16">
        <f>SUMIF(매도완료!$J:$J,Sheet2!$B2557,매도완료!$P:$P)+SUMIF(ING!$J:$J,Sheet2!$B2557,ING!$P:$P)</f>
        <v>0</v>
      </c>
      <c r="E2557" s="16">
        <f t="shared" si="78"/>
        <v>93178836.732399985</v>
      </c>
      <c r="G2557" s="16">
        <f>IF(D2557=0,0,SUMIF(매도완료!$J:$J,Sheet2!$B2557,매도완료!$S:$S))+IF(D2557=0,0,SUMIF(ING!$J:$J,Sheet2!$B2557,ING!$S:$S))</f>
        <v>0</v>
      </c>
      <c r="H2557" s="16">
        <f t="shared" si="79"/>
        <v>348685.24080894142</v>
      </c>
    </row>
    <row r="2558" spans="2:8" hidden="1" x14ac:dyDescent="0.4">
      <c r="B2558" s="1">
        <v>45107</v>
      </c>
      <c r="C2558" s="16">
        <f>SUMIF(매도완료!$G:$G,Sheet2!$B2558,매도완료!$P:$P)+SUMIF(ING!$G:$G,Sheet2!$B2558,ING!$P:$P)</f>
        <v>0</v>
      </c>
      <c r="D2558" s="16">
        <f>SUMIF(매도완료!$J:$J,Sheet2!$B2558,매도완료!$P:$P)+SUMIF(ING!$J:$J,Sheet2!$B2558,ING!$P:$P)</f>
        <v>0</v>
      </c>
      <c r="E2558" s="16">
        <f t="shared" si="78"/>
        <v>93178836.732399985</v>
      </c>
      <c r="G2558" s="16">
        <f>IF(D2558=0,0,SUMIF(매도완료!$J:$J,Sheet2!$B2558,매도완료!$S:$S))+IF(D2558=0,0,SUMIF(ING!$J:$J,Sheet2!$B2558,ING!$S:$S))</f>
        <v>0</v>
      </c>
      <c r="H2558" s="16">
        <f t="shared" si="79"/>
        <v>348685.24080894142</v>
      </c>
    </row>
    <row r="2559" spans="2:8" hidden="1" x14ac:dyDescent="0.4">
      <c r="B2559" s="1">
        <v>45108</v>
      </c>
      <c r="C2559" s="16">
        <f>SUMIF(매도완료!$G:$G,Sheet2!$B2559,매도완료!$P:$P)+SUMIF(ING!$G:$G,Sheet2!$B2559,ING!$P:$P)</f>
        <v>0</v>
      </c>
      <c r="D2559" s="16">
        <f>SUMIF(매도완료!$J:$J,Sheet2!$B2559,매도완료!$P:$P)+SUMIF(ING!$J:$J,Sheet2!$B2559,ING!$P:$P)</f>
        <v>0</v>
      </c>
      <c r="E2559" s="16">
        <f t="shared" si="78"/>
        <v>93178836.732399985</v>
      </c>
      <c r="G2559" s="16">
        <f>IF(D2559=0,0,SUMIF(매도완료!$J:$J,Sheet2!$B2559,매도완료!$S:$S))+IF(D2559=0,0,SUMIF(ING!$J:$J,Sheet2!$B2559,ING!$S:$S))</f>
        <v>0</v>
      </c>
      <c r="H2559" s="16">
        <f t="shared" si="79"/>
        <v>348685.24080894142</v>
      </c>
    </row>
    <row r="2560" spans="2:8" hidden="1" x14ac:dyDescent="0.4">
      <c r="B2560" s="1">
        <v>45109</v>
      </c>
      <c r="C2560" s="16">
        <f>SUMIF(매도완료!$G:$G,Sheet2!$B2560,매도완료!$P:$P)+SUMIF(ING!$G:$G,Sheet2!$B2560,ING!$P:$P)</f>
        <v>0</v>
      </c>
      <c r="D2560" s="16">
        <f>SUMIF(매도완료!$J:$J,Sheet2!$B2560,매도완료!$P:$P)+SUMIF(ING!$J:$J,Sheet2!$B2560,ING!$P:$P)</f>
        <v>0</v>
      </c>
      <c r="E2560" s="16">
        <f t="shared" si="78"/>
        <v>93178836.732399985</v>
      </c>
      <c r="G2560" s="16">
        <f>IF(D2560=0,0,SUMIF(매도완료!$J:$J,Sheet2!$B2560,매도완료!$S:$S))+IF(D2560=0,0,SUMIF(ING!$J:$J,Sheet2!$B2560,ING!$S:$S))</f>
        <v>0</v>
      </c>
      <c r="H2560" s="16">
        <f t="shared" si="79"/>
        <v>348685.24080894142</v>
      </c>
    </row>
    <row r="2561" spans="2:8" hidden="1" x14ac:dyDescent="0.4">
      <c r="B2561" s="1">
        <v>45110</v>
      </c>
      <c r="C2561" s="16">
        <f>SUMIF(매도완료!$G:$G,Sheet2!$B2561,매도완료!$P:$P)+SUMIF(ING!$G:$G,Sheet2!$B2561,ING!$P:$P)</f>
        <v>0</v>
      </c>
      <c r="D2561" s="16">
        <f>SUMIF(매도완료!$J:$J,Sheet2!$B2561,매도완료!$P:$P)+SUMIF(ING!$J:$J,Sheet2!$B2561,ING!$P:$P)</f>
        <v>0</v>
      </c>
      <c r="E2561" s="16">
        <f t="shared" si="78"/>
        <v>93178836.732399985</v>
      </c>
      <c r="G2561" s="16">
        <f>IF(D2561=0,0,SUMIF(매도완료!$J:$J,Sheet2!$B2561,매도완료!$S:$S))+IF(D2561=0,0,SUMIF(ING!$J:$J,Sheet2!$B2561,ING!$S:$S))</f>
        <v>0</v>
      </c>
      <c r="H2561" s="16">
        <f t="shared" si="79"/>
        <v>348685.24080894142</v>
      </c>
    </row>
    <row r="2562" spans="2:8" hidden="1" x14ac:dyDescent="0.4">
      <c r="B2562" s="1">
        <v>45111</v>
      </c>
      <c r="C2562" s="16">
        <f>SUMIF(매도완료!$G:$G,Sheet2!$B2562,매도완료!$P:$P)+SUMIF(ING!$G:$G,Sheet2!$B2562,ING!$P:$P)</f>
        <v>0</v>
      </c>
      <c r="D2562" s="16">
        <f>SUMIF(매도완료!$J:$J,Sheet2!$B2562,매도완료!$P:$P)+SUMIF(ING!$J:$J,Sheet2!$B2562,ING!$P:$P)</f>
        <v>849200</v>
      </c>
      <c r="E2562" s="16">
        <f t="shared" si="78"/>
        <v>92329636.732399985</v>
      </c>
      <c r="G2562" s="16">
        <f>IF(D2562=0,0,SUMIF(매도완료!$J:$J,Sheet2!$B2562,매도완료!$S:$S))+IF(D2562=0,0,SUMIF(ING!$J:$J,Sheet2!$B2562,ING!$S:$S))</f>
        <v>122323</v>
      </c>
      <c r="H2562" s="16">
        <f t="shared" si="79"/>
        <v>471008.24080894142</v>
      </c>
    </row>
    <row r="2563" spans="2:8" hidden="1" x14ac:dyDescent="0.4">
      <c r="B2563" s="1">
        <v>45112</v>
      </c>
      <c r="C2563" s="16">
        <f>SUMIF(매도완료!$G:$G,Sheet2!$B2563,매도완료!$P:$P)+SUMIF(ING!$G:$G,Sheet2!$B2563,ING!$P:$P)</f>
        <v>0</v>
      </c>
      <c r="D2563" s="16">
        <f>SUMIF(매도완료!$J:$J,Sheet2!$B2563,매도완료!$P:$P)+SUMIF(ING!$J:$J,Sheet2!$B2563,ING!$P:$P)</f>
        <v>0</v>
      </c>
      <c r="E2563" s="16">
        <f t="shared" si="78"/>
        <v>92329636.732399985</v>
      </c>
      <c r="G2563" s="16">
        <f>IF(D2563=0,0,SUMIF(매도완료!$J:$J,Sheet2!$B2563,매도완료!$S:$S))+IF(D2563=0,0,SUMIF(ING!$J:$J,Sheet2!$B2563,ING!$S:$S))</f>
        <v>0</v>
      </c>
      <c r="H2563" s="16">
        <f t="shared" si="79"/>
        <v>471008.24080894142</v>
      </c>
    </row>
    <row r="2564" spans="2:8" hidden="1" x14ac:dyDescent="0.4">
      <c r="B2564" s="1">
        <v>45113</v>
      </c>
      <c r="C2564" s="16">
        <f>SUMIF(매도완료!$G:$G,Sheet2!$B2564,매도완료!$P:$P)+SUMIF(ING!$G:$G,Sheet2!$B2564,ING!$P:$P)</f>
        <v>0</v>
      </c>
      <c r="D2564" s="16">
        <f>SUMIF(매도완료!$J:$J,Sheet2!$B2564,매도완료!$P:$P)+SUMIF(ING!$J:$J,Sheet2!$B2564,ING!$P:$P)</f>
        <v>0</v>
      </c>
      <c r="E2564" s="16">
        <f t="shared" ref="E2564:E2627" si="80">E2563+C2564-D2564</f>
        <v>92329636.732399985</v>
      </c>
      <c r="G2564" s="16">
        <f>IF(D2564=0,0,SUMIF(매도완료!$J:$J,Sheet2!$B2564,매도완료!$S:$S))+IF(D2564=0,0,SUMIF(ING!$J:$J,Sheet2!$B2564,ING!$S:$S))</f>
        <v>0</v>
      </c>
      <c r="H2564" s="16">
        <f t="shared" ref="H2564:H2627" si="81">H2563+G2564</f>
        <v>471008.24080894142</v>
      </c>
    </row>
    <row r="2565" spans="2:8" hidden="1" x14ac:dyDescent="0.4">
      <c r="B2565" s="1">
        <v>45114</v>
      </c>
      <c r="C2565" s="16">
        <f>SUMIF(매도완료!$G:$G,Sheet2!$B2565,매도완료!$P:$P)+SUMIF(ING!$G:$G,Sheet2!$B2565,ING!$P:$P)</f>
        <v>0</v>
      </c>
      <c r="D2565" s="16">
        <f>SUMIF(매도완료!$J:$J,Sheet2!$B2565,매도완료!$P:$P)+SUMIF(ING!$J:$J,Sheet2!$B2565,ING!$P:$P)</f>
        <v>0</v>
      </c>
      <c r="E2565" s="16">
        <f t="shared" si="80"/>
        <v>92329636.732399985</v>
      </c>
      <c r="G2565" s="16">
        <f>IF(D2565=0,0,SUMIF(매도완료!$J:$J,Sheet2!$B2565,매도완료!$S:$S))+IF(D2565=0,0,SUMIF(ING!$J:$J,Sheet2!$B2565,ING!$S:$S))</f>
        <v>0</v>
      </c>
      <c r="H2565" s="16">
        <f t="shared" si="81"/>
        <v>471008.24080894142</v>
      </c>
    </row>
    <row r="2566" spans="2:8" hidden="1" x14ac:dyDescent="0.4">
      <c r="B2566" s="1">
        <v>45115</v>
      </c>
      <c r="C2566" s="16">
        <f>SUMIF(매도완료!$G:$G,Sheet2!$B2566,매도완료!$P:$P)+SUMIF(ING!$G:$G,Sheet2!$B2566,ING!$P:$P)</f>
        <v>0</v>
      </c>
      <c r="D2566" s="16">
        <f>SUMIF(매도완료!$J:$J,Sheet2!$B2566,매도완료!$P:$P)+SUMIF(ING!$J:$J,Sheet2!$B2566,ING!$P:$P)</f>
        <v>0</v>
      </c>
      <c r="E2566" s="16">
        <f t="shared" si="80"/>
        <v>92329636.732399985</v>
      </c>
      <c r="G2566" s="16">
        <f>IF(D2566=0,0,SUMIF(매도완료!$J:$J,Sheet2!$B2566,매도완료!$S:$S))+IF(D2566=0,0,SUMIF(ING!$J:$J,Sheet2!$B2566,ING!$S:$S))</f>
        <v>0</v>
      </c>
      <c r="H2566" s="16">
        <f t="shared" si="81"/>
        <v>471008.24080894142</v>
      </c>
    </row>
    <row r="2567" spans="2:8" hidden="1" x14ac:dyDescent="0.4">
      <c r="B2567" s="1">
        <v>45116</v>
      </c>
      <c r="C2567" s="16">
        <f>SUMIF(매도완료!$G:$G,Sheet2!$B2567,매도완료!$P:$P)+SUMIF(ING!$G:$G,Sheet2!$B2567,ING!$P:$P)</f>
        <v>0</v>
      </c>
      <c r="D2567" s="16">
        <f>SUMIF(매도완료!$J:$J,Sheet2!$B2567,매도완료!$P:$P)+SUMIF(ING!$J:$J,Sheet2!$B2567,ING!$P:$P)</f>
        <v>0</v>
      </c>
      <c r="E2567" s="16">
        <f t="shared" si="80"/>
        <v>92329636.732399985</v>
      </c>
      <c r="G2567" s="16">
        <f>IF(D2567=0,0,SUMIF(매도완료!$J:$J,Sheet2!$B2567,매도완료!$S:$S))+IF(D2567=0,0,SUMIF(ING!$J:$J,Sheet2!$B2567,ING!$S:$S))</f>
        <v>0</v>
      </c>
      <c r="H2567" s="16">
        <f t="shared" si="81"/>
        <v>471008.24080894142</v>
      </c>
    </row>
    <row r="2568" spans="2:8" hidden="1" x14ac:dyDescent="0.4">
      <c r="B2568" s="1">
        <v>45117</v>
      </c>
      <c r="C2568" s="16">
        <f>SUMIF(매도완료!$G:$G,Sheet2!$B2568,매도완료!$P:$P)+SUMIF(ING!$G:$G,Sheet2!$B2568,ING!$P:$P)</f>
        <v>0</v>
      </c>
      <c r="D2568" s="16">
        <f>SUMIF(매도완료!$J:$J,Sheet2!$B2568,매도완료!$P:$P)+SUMIF(ING!$J:$J,Sheet2!$B2568,ING!$P:$P)</f>
        <v>0</v>
      </c>
      <c r="E2568" s="16">
        <f t="shared" si="80"/>
        <v>92329636.732399985</v>
      </c>
      <c r="G2568" s="16">
        <f>IF(D2568=0,0,SUMIF(매도완료!$J:$J,Sheet2!$B2568,매도완료!$S:$S))+IF(D2568=0,0,SUMIF(ING!$J:$J,Sheet2!$B2568,ING!$S:$S))</f>
        <v>0</v>
      </c>
      <c r="H2568" s="16">
        <f t="shared" si="81"/>
        <v>471008.24080894142</v>
      </c>
    </row>
    <row r="2569" spans="2:8" hidden="1" x14ac:dyDescent="0.4">
      <c r="B2569" s="1">
        <v>45118</v>
      </c>
      <c r="C2569" s="16">
        <f>SUMIF(매도완료!$G:$G,Sheet2!$B2569,매도완료!$P:$P)+SUMIF(ING!$G:$G,Sheet2!$B2569,ING!$P:$P)</f>
        <v>0</v>
      </c>
      <c r="D2569" s="16">
        <f>SUMIF(매도완료!$J:$J,Sheet2!$B2569,매도완료!$P:$P)+SUMIF(ING!$J:$J,Sheet2!$B2569,ING!$P:$P)</f>
        <v>0</v>
      </c>
      <c r="E2569" s="16">
        <f t="shared" si="80"/>
        <v>92329636.732399985</v>
      </c>
      <c r="G2569" s="16">
        <f>IF(D2569=0,0,SUMIF(매도완료!$J:$J,Sheet2!$B2569,매도완료!$S:$S))+IF(D2569=0,0,SUMIF(ING!$J:$J,Sheet2!$B2569,ING!$S:$S))</f>
        <v>0</v>
      </c>
      <c r="H2569" s="16">
        <f t="shared" si="81"/>
        <v>471008.24080894142</v>
      </c>
    </row>
    <row r="2570" spans="2:8" hidden="1" x14ac:dyDescent="0.4">
      <c r="B2570" s="1">
        <v>45119</v>
      </c>
      <c r="C2570" s="16">
        <f>SUMIF(매도완료!$G:$G,Sheet2!$B2570,매도완료!$P:$P)+SUMIF(ING!$G:$G,Sheet2!$B2570,ING!$P:$P)</f>
        <v>0</v>
      </c>
      <c r="D2570" s="16">
        <f>SUMIF(매도완료!$J:$J,Sheet2!$B2570,매도완료!$P:$P)+SUMIF(ING!$J:$J,Sheet2!$B2570,ING!$P:$P)</f>
        <v>0</v>
      </c>
      <c r="E2570" s="16">
        <f t="shared" si="80"/>
        <v>92329636.732399985</v>
      </c>
      <c r="G2570" s="16">
        <f>IF(D2570=0,0,SUMIF(매도완료!$J:$J,Sheet2!$B2570,매도완료!$S:$S))+IF(D2570=0,0,SUMIF(ING!$J:$J,Sheet2!$B2570,ING!$S:$S))</f>
        <v>0</v>
      </c>
      <c r="H2570" s="16">
        <f t="shared" si="81"/>
        <v>471008.24080894142</v>
      </c>
    </row>
    <row r="2571" spans="2:8" hidden="1" x14ac:dyDescent="0.4">
      <c r="B2571" s="1">
        <v>45120</v>
      </c>
      <c r="C2571" s="16">
        <f>SUMIF(매도완료!$G:$G,Sheet2!$B2571,매도완료!$P:$P)+SUMIF(ING!$G:$G,Sheet2!$B2571,ING!$P:$P)</f>
        <v>0</v>
      </c>
      <c r="D2571" s="16">
        <f>SUMIF(매도완료!$J:$J,Sheet2!$B2571,매도완료!$P:$P)+SUMIF(ING!$J:$J,Sheet2!$B2571,ING!$P:$P)</f>
        <v>0</v>
      </c>
      <c r="E2571" s="16">
        <f t="shared" si="80"/>
        <v>92329636.732399985</v>
      </c>
      <c r="G2571" s="16">
        <f>IF(D2571=0,0,SUMIF(매도완료!$J:$J,Sheet2!$B2571,매도완료!$S:$S))+IF(D2571=0,0,SUMIF(ING!$J:$J,Sheet2!$B2571,ING!$S:$S))</f>
        <v>0</v>
      </c>
      <c r="H2571" s="16">
        <f t="shared" si="81"/>
        <v>471008.24080894142</v>
      </c>
    </row>
    <row r="2572" spans="2:8" hidden="1" x14ac:dyDescent="0.4">
      <c r="B2572" s="1">
        <v>45121</v>
      </c>
      <c r="C2572" s="16">
        <f>SUMIF(매도완료!$G:$G,Sheet2!$B2572,매도완료!$P:$P)+SUMIF(ING!$G:$G,Sheet2!$B2572,ING!$P:$P)</f>
        <v>0</v>
      </c>
      <c r="D2572" s="16">
        <f>SUMIF(매도완료!$J:$J,Sheet2!$B2572,매도완료!$P:$P)+SUMIF(ING!$J:$J,Sheet2!$B2572,ING!$P:$P)</f>
        <v>0</v>
      </c>
      <c r="E2572" s="16">
        <f t="shared" si="80"/>
        <v>92329636.732399985</v>
      </c>
      <c r="G2572" s="16">
        <f>IF(D2572=0,0,SUMIF(매도완료!$J:$J,Sheet2!$B2572,매도완료!$S:$S))+IF(D2572=0,0,SUMIF(ING!$J:$J,Sheet2!$B2572,ING!$S:$S))</f>
        <v>0</v>
      </c>
      <c r="H2572" s="16">
        <f t="shared" si="81"/>
        <v>471008.24080894142</v>
      </c>
    </row>
    <row r="2573" spans="2:8" hidden="1" x14ac:dyDescent="0.4">
      <c r="B2573" s="1">
        <v>45122</v>
      </c>
      <c r="C2573" s="16">
        <f>SUMIF(매도완료!$G:$G,Sheet2!$B2573,매도완료!$P:$P)+SUMIF(ING!$G:$G,Sheet2!$B2573,ING!$P:$P)</f>
        <v>0</v>
      </c>
      <c r="D2573" s="16">
        <f>SUMIF(매도완료!$J:$J,Sheet2!$B2573,매도완료!$P:$P)+SUMIF(ING!$J:$J,Sheet2!$B2573,ING!$P:$P)</f>
        <v>0</v>
      </c>
      <c r="E2573" s="16">
        <f t="shared" si="80"/>
        <v>92329636.732399985</v>
      </c>
      <c r="G2573" s="16">
        <f>IF(D2573=0,0,SUMIF(매도완료!$J:$J,Sheet2!$B2573,매도완료!$S:$S))+IF(D2573=0,0,SUMIF(ING!$J:$J,Sheet2!$B2573,ING!$S:$S))</f>
        <v>0</v>
      </c>
      <c r="H2573" s="16">
        <f t="shared" si="81"/>
        <v>471008.24080894142</v>
      </c>
    </row>
    <row r="2574" spans="2:8" hidden="1" x14ac:dyDescent="0.4">
      <c r="B2574" s="1">
        <v>45123</v>
      </c>
      <c r="C2574" s="16">
        <f>SUMIF(매도완료!$G:$G,Sheet2!$B2574,매도완료!$P:$P)+SUMIF(ING!$G:$G,Sheet2!$B2574,ING!$P:$P)</f>
        <v>0</v>
      </c>
      <c r="D2574" s="16">
        <f>SUMIF(매도완료!$J:$J,Sheet2!$B2574,매도완료!$P:$P)+SUMIF(ING!$J:$J,Sheet2!$B2574,ING!$P:$P)</f>
        <v>0</v>
      </c>
      <c r="E2574" s="16">
        <f t="shared" si="80"/>
        <v>92329636.732399985</v>
      </c>
      <c r="G2574" s="16">
        <f>IF(D2574=0,0,SUMIF(매도완료!$J:$J,Sheet2!$B2574,매도완료!$S:$S))+IF(D2574=0,0,SUMIF(ING!$J:$J,Sheet2!$B2574,ING!$S:$S))</f>
        <v>0</v>
      </c>
      <c r="H2574" s="16">
        <f t="shared" si="81"/>
        <v>471008.24080894142</v>
      </c>
    </row>
    <row r="2575" spans="2:8" hidden="1" x14ac:dyDescent="0.4">
      <c r="B2575" s="1">
        <v>45124</v>
      </c>
      <c r="C2575" s="16">
        <f>SUMIF(매도완료!$G:$G,Sheet2!$B2575,매도완료!$P:$P)+SUMIF(ING!$G:$G,Sheet2!$B2575,ING!$P:$P)</f>
        <v>0</v>
      </c>
      <c r="D2575" s="16">
        <f>SUMIF(매도완료!$J:$J,Sheet2!$B2575,매도완료!$P:$P)+SUMIF(ING!$J:$J,Sheet2!$B2575,ING!$P:$P)</f>
        <v>0</v>
      </c>
      <c r="E2575" s="16">
        <f t="shared" si="80"/>
        <v>92329636.732399985</v>
      </c>
      <c r="G2575" s="16">
        <f>IF(D2575=0,0,SUMIF(매도완료!$J:$J,Sheet2!$B2575,매도완료!$S:$S))+IF(D2575=0,0,SUMIF(ING!$J:$J,Sheet2!$B2575,ING!$S:$S))</f>
        <v>0</v>
      </c>
      <c r="H2575" s="16">
        <f t="shared" si="81"/>
        <v>471008.24080894142</v>
      </c>
    </row>
    <row r="2576" spans="2:8" hidden="1" x14ac:dyDescent="0.4">
      <c r="B2576" s="1">
        <v>45125</v>
      </c>
      <c r="C2576" s="16">
        <f>SUMIF(매도완료!$G:$G,Sheet2!$B2576,매도완료!$P:$P)+SUMIF(ING!$G:$G,Sheet2!$B2576,ING!$P:$P)</f>
        <v>0</v>
      </c>
      <c r="D2576" s="16">
        <f>SUMIF(매도완료!$J:$J,Sheet2!$B2576,매도완료!$P:$P)+SUMIF(ING!$J:$J,Sheet2!$B2576,ING!$P:$P)</f>
        <v>0</v>
      </c>
      <c r="E2576" s="16">
        <f t="shared" si="80"/>
        <v>92329636.732399985</v>
      </c>
      <c r="G2576" s="16">
        <f>IF(D2576=0,0,SUMIF(매도완료!$J:$J,Sheet2!$B2576,매도완료!$S:$S))+IF(D2576=0,0,SUMIF(ING!$J:$J,Sheet2!$B2576,ING!$S:$S))</f>
        <v>0</v>
      </c>
      <c r="H2576" s="16">
        <f t="shared" si="81"/>
        <v>471008.24080894142</v>
      </c>
    </row>
    <row r="2577" spans="2:8" hidden="1" x14ac:dyDescent="0.4">
      <c r="B2577" s="1">
        <v>45126</v>
      </c>
      <c r="C2577" s="16">
        <f>SUMIF(매도완료!$G:$G,Sheet2!$B2577,매도완료!$P:$P)+SUMIF(ING!$G:$G,Sheet2!$B2577,ING!$P:$P)</f>
        <v>0</v>
      </c>
      <c r="D2577" s="16">
        <f>SUMIF(매도완료!$J:$J,Sheet2!$B2577,매도완료!$P:$P)+SUMIF(ING!$J:$J,Sheet2!$B2577,ING!$P:$P)</f>
        <v>0</v>
      </c>
      <c r="E2577" s="16">
        <f t="shared" si="80"/>
        <v>92329636.732399985</v>
      </c>
      <c r="G2577" s="16">
        <f>IF(D2577=0,0,SUMIF(매도완료!$J:$J,Sheet2!$B2577,매도완료!$S:$S))+IF(D2577=0,0,SUMIF(ING!$J:$J,Sheet2!$B2577,ING!$S:$S))</f>
        <v>0</v>
      </c>
      <c r="H2577" s="16">
        <f t="shared" si="81"/>
        <v>471008.24080894142</v>
      </c>
    </row>
    <row r="2578" spans="2:8" hidden="1" x14ac:dyDescent="0.4">
      <c r="B2578" s="1">
        <v>45127</v>
      </c>
      <c r="C2578" s="16">
        <f>SUMIF(매도완료!$G:$G,Sheet2!$B2578,매도완료!$P:$P)+SUMIF(ING!$G:$G,Sheet2!$B2578,ING!$P:$P)</f>
        <v>0</v>
      </c>
      <c r="D2578" s="16">
        <f>SUMIF(매도완료!$J:$J,Sheet2!$B2578,매도완료!$P:$P)+SUMIF(ING!$J:$J,Sheet2!$B2578,ING!$P:$P)</f>
        <v>0</v>
      </c>
      <c r="E2578" s="16">
        <f t="shared" si="80"/>
        <v>92329636.732399985</v>
      </c>
      <c r="G2578" s="16">
        <f>IF(D2578=0,0,SUMIF(매도완료!$J:$J,Sheet2!$B2578,매도완료!$S:$S))+IF(D2578=0,0,SUMIF(ING!$J:$J,Sheet2!$B2578,ING!$S:$S))</f>
        <v>0</v>
      </c>
      <c r="H2578" s="16">
        <f t="shared" si="81"/>
        <v>471008.24080894142</v>
      </c>
    </row>
    <row r="2579" spans="2:8" hidden="1" x14ac:dyDescent="0.4">
      <c r="B2579" s="1">
        <v>45128</v>
      </c>
      <c r="C2579" s="16">
        <f>SUMIF(매도완료!$G:$G,Sheet2!$B2579,매도완료!$P:$P)+SUMIF(ING!$G:$G,Sheet2!$B2579,ING!$P:$P)</f>
        <v>0</v>
      </c>
      <c r="D2579" s="16">
        <f>SUMIF(매도완료!$J:$J,Sheet2!$B2579,매도완료!$P:$P)+SUMIF(ING!$J:$J,Sheet2!$B2579,ING!$P:$P)</f>
        <v>0</v>
      </c>
      <c r="E2579" s="16">
        <f t="shared" si="80"/>
        <v>92329636.732399985</v>
      </c>
      <c r="G2579" s="16">
        <f>IF(D2579=0,0,SUMIF(매도완료!$J:$J,Sheet2!$B2579,매도완료!$S:$S))+IF(D2579=0,0,SUMIF(ING!$J:$J,Sheet2!$B2579,ING!$S:$S))</f>
        <v>0</v>
      </c>
      <c r="H2579" s="16">
        <f t="shared" si="81"/>
        <v>471008.24080894142</v>
      </c>
    </row>
    <row r="2580" spans="2:8" hidden="1" x14ac:dyDescent="0.4">
      <c r="B2580" s="1">
        <v>45129</v>
      </c>
      <c r="C2580" s="16">
        <f>SUMIF(매도완료!$G:$G,Sheet2!$B2580,매도완료!$P:$P)+SUMIF(ING!$G:$G,Sheet2!$B2580,ING!$P:$P)</f>
        <v>0</v>
      </c>
      <c r="D2580" s="16">
        <f>SUMIF(매도완료!$J:$J,Sheet2!$B2580,매도완료!$P:$P)+SUMIF(ING!$J:$J,Sheet2!$B2580,ING!$P:$P)</f>
        <v>0</v>
      </c>
      <c r="E2580" s="16">
        <f t="shared" si="80"/>
        <v>92329636.732399985</v>
      </c>
      <c r="G2580" s="16">
        <f>IF(D2580=0,0,SUMIF(매도완료!$J:$J,Sheet2!$B2580,매도완료!$S:$S))+IF(D2580=0,0,SUMIF(ING!$J:$J,Sheet2!$B2580,ING!$S:$S))</f>
        <v>0</v>
      </c>
      <c r="H2580" s="16">
        <f t="shared" si="81"/>
        <v>471008.24080894142</v>
      </c>
    </row>
    <row r="2581" spans="2:8" hidden="1" x14ac:dyDescent="0.4">
      <c r="B2581" s="1">
        <v>45130</v>
      </c>
      <c r="C2581" s="16">
        <f>SUMIF(매도완료!$G:$G,Sheet2!$B2581,매도완료!$P:$P)+SUMIF(ING!$G:$G,Sheet2!$B2581,ING!$P:$P)</f>
        <v>0</v>
      </c>
      <c r="D2581" s="16">
        <f>SUMIF(매도완료!$J:$J,Sheet2!$B2581,매도완료!$P:$P)+SUMIF(ING!$J:$J,Sheet2!$B2581,ING!$P:$P)</f>
        <v>0</v>
      </c>
      <c r="E2581" s="16">
        <f t="shared" si="80"/>
        <v>92329636.732399985</v>
      </c>
      <c r="G2581" s="16">
        <f>IF(D2581=0,0,SUMIF(매도완료!$J:$J,Sheet2!$B2581,매도완료!$S:$S))+IF(D2581=0,0,SUMIF(ING!$J:$J,Sheet2!$B2581,ING!$S:$S))</f>
        <v>0</v>
      </c>
      <c r="H2581" s="16">
        <f t="shared" si="81"/>
        <v>471008.24080894142</v>
      </c>
    </row>
    <row r="2582" spans="2:8" hidden="1" x14ac:dyDescent="0.4">
      <c r="B2582" s="1">
        <v>45131</v>
      </c>
      <c r="C2582" s="16">
        <f>SUMIF(매도완료!$G:$G,Sheet2!$B2582,매도완료!$P:$P)+SUMIF(ING!$G:$G,Sheet2!$B2582,ING!$P:$P)</f>
        <v>0</v>
      </c>
      <c r="D2582" s="16">
        <f>SUMIF(매도완료!$J:$J,Sheet2!$B2582,매도완료!$P:$P)+SUMIF(ING!$J:$J,Sheet2!$B2582,ING!$P:$P)</f>
        <v>0</v>
      </c>
      <c r="E2582" s="16">
        <f t="shared" si="80"/>
        <v>92329636.732399985</v>
      </c>
      <c r="G2582" s="16">
        <f>IF(D2582=0,0,SUMIF(매도완료!$J:$J,Sheet2!$B2582,매도완료!$S:$S))+IF(D2582=0,0,SUMIF(ING!$J:$J,Sheet2!$B2582,ING!$S:$S))</f>
        <v>0</v>
      </c>
      <c r="H2582" s="16">
        <f t="shared" si="81"/>
        <v>471008.24080894142</v>
      </c>
    </row>
    <row r="2583" spans="2:8" hidden="1" x14ac:dyDescent="0.4">
      <c r="B2583" s="1">
        <v>45132</v>
      </c>
      <c r="C2583" s="16">
        <f>SUMIF(매도완료!$G:$G,Sheet2!$B2583,매도완료!$P:$P)+SUMIF(ING!$G:$G,Sheet2!$B2583,ING!$P:$P)</f>
        <v>0</v>
      </c>
      <c r="D2583" s="16">
        <f>SUMIF(매도완료!$J:$J,Sheet2!$B2583,매도완료!$P:$P)+SUMIF(ING!$J:$J,Sheet2!$B2583,ING!$P:$P)</f>
        <v>0</v>
      </c>
      <c r="E2583" s="16">
        <f t="shared" si="80"/>
        <v>92329636.732399985</v>
      </c>
      <c r="G2583" s="16">
        <f>IF(D2583=0,0,SUMIF(매도완료!$J:$J,Sheet2!$B2583,매도완료!$S:$S))+IF(D2583=0,0,SUMIF(ING!$J:$J,Sheet2!$B2583,ING!$S:$S))</f>
        <v>0</v>
      </c>
      <c r="H2583" s="16">
        <f t="shared" si="81"/>
        <v>471008.24080894142</v>
      </c>
    </row>
    <row r="2584" spans="2:8" hidden="1" x14ac:dyDescent="0.4">
      <c r="B2584" s="1">
        <v>45133</v>
      </c>
      <c r="C2584" s="16">
        <f>SUMIF(매도완료!$G:$G,Sheet2!$B2584,매도완료!$P:$P)+SUMIF(ING!$G:$G,Sheet2!$B2584,ING!$P:$P)</f>
        <v>0</v>
      </c>
      <c r="D2584" s="16">
        <f>SUMIF(매도완료!$J:$J,Sheet2!$B2584,매도완료!$P:$P)+SUMIF(ING!$J:$J,Sheet2!$B2584,ING!$P:$P)</f>
        <v>0</v>
      </c>
      <c r="E2584" s="16">
        <f t="shared" si="80"/>
        <v>92329636.732399985</v>
      </c>
      <c r="G2584" s="16">
        <f>IF(D2584=0,0,SUMIF(매도완료!$J:$J,Sheet2!$B2584,매도완료!$S:$S))+IF(D2584=0,0,SUMIF(ING!$J:$J,Sheet2!$B2584,ING!$S:$S))</f>
        <v>0</v>
      </c>
      <c r="H2584" s="16">
        <f t="shared" si="81"/>
        <v>471008.24080894142</v>
      </c>
    </row>
    <row r="2585" spans="2:8" hidden="1" x14ac:dyDescent="0.4">
      <c r="B2585" s="1">
        <v>45134</v>
      </c>
      <c r="C2585" s="16">
        <f>SUMIF(매도완료!$G:$G,Sheet2!$B2585,매도완료!$P:$P)+SUMIF(ING!$G:$G,Sheet2!$B2585,ING!$P:$P)</f>
        <v>0</v>
      </c>
      <c r="D2585" s="16">
        <f>SUMIF(매도완료!$J:$J,Sheet2!$B2585,매도완료!$P:$P)+SUMIF(ING!$J:$J,Sheet2!$B2585,ING!$P:$P)</f>
        <v>0</v>
      </c>
      <c r="E2585" s="16">
        <f t="shared" si="80"/>
        <v>92329636.732399985</v>
      </c>
      <c r="G2585" s="16">
        <f>IF(D2585=0,0,SUMIF(매도완료!$J:$J,Sheet2!$B2585,매도완료!$S:$S))+IF(D2585=0,0,SUMIF(ING!$J:$J,Sheet2!$B2585,ING!$S:$S))</f>
        <v>0</v>
      </c>
      <c r="H2585" s="16">
        <f t="shared" si="81"/>
        <v>471008.24080894142</v>
      </c>
    </row>
    <row r="2586" spans="2:8" hidden="1" x14ac:dyDescent="0.4">
      <c r="B2586" s="1">
        <v>45135</v>
      </c>
      <c r="C2586" s="16">
        <f>SUMIF(매도완료!$G:$G,Sheet2!$B2586,매도완료!$P:$P)+SUMIF(ING!$G:$G,Sheet2!$B2586,ING!$P:$P)</f>
        <v>0</v>
      </c>
      <c r="D2586" s="16">
        <f>SUMIF(매도완료!$J:$J,Sheet2!$B2586,매도완료!$P:$P)+SUMIF(ING!$J:$J,Sheet2!$B2586,ING!$P:$P)</f>
        <v>0</v>
      </c>
      <c r="E2586" s="16">
        <f t="shared" si="80"/>
        <v>92329636.732399985</v>
      </c>
      <c r="G2586" s="16">
        <f>IF(D2586=0,0,SUMIF(매도완료!$J:$J,Sheet2!$B2586,매도완료!$S:$S))+IF(D2586=0,0,SUMIF(ING!$J:$J,Sheet2!$B2586,ING!$S:$S))</f>
        <v>0</v>
      </c>
      <c r="H2586" s="16">
        <f t="shared" si="81"/>
        <v>471008.24080894142</v>
      </c>
    </row>
    <row r="2587" spans="2:8" hidden="1" x14ac:dyDescent="0.4">
      <c r="B2587" s="1">
        <v>45136</v>
      </c>
      <c r="C2587" s="16">
        <f>SUMIF(매도완료!$G:$G,Sheet2!$B2587,매도완료!$P:$P)+SUMIF(ING!$G:$G,Sheet2!$B2587,ING!$P:$P)</f>
        <v>0</v>
      </c>
      <c r="D2587" s="16">
        <f>SUMIF(매도완료!$J:$J,Sheet2!$B2587,매도완료!$P:$P)+SUMIF(ING!$J:$J,Sheet2!$B2587,ING!$P:$P)</f>
        <v>0</v>
      </c>
      <c r="E2587" s="16">
        <f t="shared" si="80"/>
        <v>92329636.732399985</v>
      </c>
      <c r="G2587" s="16">
        <f>IF(D2587=0,0,SUMIF(매도완료!$J:$J,Sheet2!$B2587,매도완료!$S:$S))+IF(D2587=0,0,SUMIF(ING!$J:$J,Sheet2!$B2587,ING!$S:$S))</f>
        <v>0</v>
      </c>
      <c r="H2587" s="16">
        <f t="shared" si="81"/>
        <v>471008.24080894142</v>
      </c>
    </row>
    <row r="2588" spans="2:8" hidden="1" x14ac:dyDescent="0.4">
      <c r="B2588" s="1">
        <v>45137</v>
      </c>
      <c r="C2588" s="16">
        <f>SUMIF(매도완료!$G:$G,Sheet2!$B2588,매도완료!$P:$P)+SUMIF(ING!$G:$G,Sheet2!$B2588,ING!$P:$P)</f>
        <v>0</v>
      </c>
      <c r="D2588" s="16">
        <f>SUMIF(매도완료!$J:$J,Sheet2!$B2588,매도완료!$P:$P)+SUMIF(ING!$J:$J,Sheet2!$B2588,ING!$P:$P)</f>
        <v>0</v>
      </c>
      <c r="E2588" s="16">
        <f t="shared" si="80"/>
        <v>92329636.732399985</v>
      </c>
      <c r="G2588" s="16">
        <f>IF(D2588=0,0,SUMIF(매도완료!$J:$J,Sheet2!$B2588,매도완료!$S:$S))+IF(D2588=0,0,SUMIF(ING!$J:$J,Sheet2!$B2588,ING!$S:$S))</f>
        <v>0</v>
      </c>
      <c r="H2588" s="16">
        <f t="shared" si="81"/>
        <v>471008.24080894142</v>
      </c>
    </row>
    <row r="2589" spans="2:8" hidden="1" x14ac:dyDescent="0.4">
      <c r="B2589" s="1">
        <v>45138</v>
      </c>
      <c r="C2589" s="16">
        <f>SUMIF(매도완료!$G:$G,Sheet2!$B2589,매도완료!$P:$P)+SUMIF(ING!$G:$G,Sheet2!$B2589,ING!$P:$P)</f>
        <v>1254.4000000000001</v>
      </c>
      <c r="D2589" s="16">
        <f>SUMIF(매도완료!$J:$J,Sheet2!$B2589,매도완료!$P:$P)+SUMIF(ING!$J:$J,Sheet2!$B2589,ING!$P:$P)</f>
        <v>0</v>
      </c>
      <c r="E2589" s="16">
        <f t="shared" si="80"/>
        <v>92330891.132399991</v>
      </c>
      <c r="G2589" s="16">
        <f>IF(D2589=0,0,SUMIF(매도완료!$J:$J,Sheet2!$B2589,매도완료!$S:$S))+IF(D2589=0,0,SUMIF(ING!$J:$J,Sheet2!$B2589,ING!$S:$S))</f>
        <v>0</v>
      </c>
      <c r="H2589" s="16">
        <f t="shared" si="81"/>
        <v>471008.24080894142</v>
      </c>
    </row>
    <row r="2590" spans="2:8" hidden="1" x14ac:dyDescent="0.4">
      <c r="B2590" s="1">
        <v>45139</v>
      </c>
      <c r="C2590" s="16">
        <f>SUMIF(매도완료!$G:$G,Sheet2!$B2590,매도완료!$P:$P)+SUMIF(ING!$G:$G,Sheet2!$B2590,ING!$P:$P)</f>
        <v>0</v>
      </c>
      <c r="D2590" s="16">
        <f>SUMIF(매도완료!$J:$J,Sheet2!$B2590,매도완료!$P:$P)+SUMIF(ING!$J:$J,Sheet2!$B2590,ING!$P:$P)</f>
        <v>0</v>
      </c>
      <c r="E2590" s="16">
        <f t="shared" si="80"/>
        <v>92330891.132399991</v>
      </c>
      <c r="G2590" s="16">
        <f>IF(D2590=0,0,SUMIF(매도완료!$J:$J,Sheet2!$B2590,매도완료!$S:$S))+IF(D2590=0,0,SUMIF(ING!$J:$J,Sheet2!$B2590,ING!$S:$S))</f>
        <v>0</v>
      </c>
      <c r="H2590" s="16">
        <f t="shared" si="81"/>
        <v>471008.24080894142</v>
      </c>
    </row>
    <row r="2591" spans="2:8" hidden="1" x14ac:dyDescent="0.4">
      <c r="B2591" s="1">
        <v>45140</v>
      </c>
      <c r="C2591" s="16">
        <f>SUMIF(매도완료!$G:$G,Sheet2!$B2591,매도완료!$P:$P)+SUMIF(ING!$G:$G,Sheet2!$B2591,ING!$P:$P)</f>
        <v>0</v>
      </c>
      <c r="D2591" s="16">
        <f>SUMIF(매도완료!$J:$J,Sheet2!$B2591,매도완료!$P:$P)+SUMIF(ING!$J:$J,Sheet2!$B2591,ING!$P:$P)</f>
        <v>0</v>
      </c>
      <c r="E2591" s="16">
        <f t="shared" si="80"/>
        <v>92330891.132399991</v>
      </c>
      <c r="G2591" s="16">
        <f>IF(D2591=0,0,SUMIF(매도완료!$J:$J,Sheet2!$B2591,매도완료!$S:$S))+IF(D2591=0,0,SUMIF(ING!$J:$J,Sheet2!$B2591,ING!$S:$S))</f>
        <v>0</v>
      </c>
      <c r="H2591" s="16">
        <f t="shared" si="81"/>
        <v>471008.24080894142</v>
      </c>
    </row>
    <row r="2592" spans="2:8" hidden="1" x14ac:dyDescent="0.4">
      <c r="B2592" s="1">
        <v>45141</v>
      </c>
      <c r="C2592" s="16">
        <f>SUMIF(매도완료!$G:$G,Sheet2!$B2592,매도완료!$P:$P)+SUMIF(ING!$G:$G,Sheet2!$B2592,ING!$P:$P)</f>
        <v>0</v>
      </c>
      <c r="D2592" s="16">
        <f>SUMIF(매도완료!$J:$J,Sheet2!$B2592,매도완료!$P:$P)+SUMIF(ING!$J:$J,Sheet2!$B2592,ING!$P:$P)</f>
        <v>0</v>
      </c>
      <c r="E2592" s="16">
        <f t="shared" si="80"/>
        <v>92330891.132399991</v>
      </c>
      <c r="G2592" s="16">
        <f>IF(D2592=0,0,SUMIF(매도완료!$J:$J,Sheet2!$B2592,매도완료!$S:$S))+IF(D2592=0,0,SUMIF(ING!$J:$J,Sheet2!$B2592,ING!$S:$S))</f>
        <v>0</v>
      </c>
      <c r="H2592" s="16">
        <f t="shared" si="81"/>
        <v>471008.24080894142</v>
      </c>
    </row>
    <row r="2593" spans="2:8" hidden="1" x14ac:dyDescent="0.4">
      <c r="B2593" s="1">
        <v>45142</v>
      </c>
      <c r="C2593" s="16">
        <f>SUMIF(매도완료!$G:$G,Sheet2!$B2593,매도완료!$P:$P)+SUMIF(ING!$G:$G,Sheet2!$B2593,ING!$P:$P)</f>
        <v>0</v>
      </c>
      <c r="D2593" s="16">
        <f>SUMIF(매도완료!$J:$J,Sheet2!$B2593,매도완료!$P:$P)+SUMIF(ING!$J:$J,Sheet2!$B2593,ING!$P:$P)</f>
        <v>0</v>
      </c>
      <c r="E2593" s="16">
        <f t="shared" si="80"/>
        <v>92330891.132399991</v>
      </c>
      <c r="G2593" s="16">
        <f>IF(D2593=0,0,SUMIF(매도완료!$J:$J,Sheet2!$B2593,매도완료!$S:$S))+IF(D2593=0,0,SUMIF(ING!$J:$J,Sheet2!$B2593,ING!$S:$S))</f>
        <v>0</v>
      </c>
      <c r="H2593" s="16">
        <f t="shared" si="81"/>
        <v>471008.24080894142</v>
      </c>
    </row>
    <row r="2594" spans="2:8" hidden="1" x14ac:dyDescent="0.4">
      <c r="B2594" s="1">
        <v>45143</v>
      </c>
      <c r="C2594" s="16">
        <f>SUMIF(매도완료!$G:$G,Sheet2!$B2594,매도완료!$P:$P)+SUMIF(ING!$G:$G,Sheet2!$B2594,ING!$P:$P)</f>
        <v>0</v>
      </c>
      <c r="D2594" s="16">
        <f>SUMIF(매도완료!$J:$J,Sheet2!$B2594,매도완료!$P:$P)+SUMIF(ING!$J:$J,Sheet2!$B2594,ING!$P:$P)</f>
        <v>0</v>
      </c>
      <c r="E2594" s="16">
        <f t="shared" si="80"/>
        <v>92330891.132399991</v>
      </c>
      <c r="G2594" s="16">
        <f>IF(D2594=0,0,SUMIF(매도완료!$J:$J,Sheet2!$B2594,매도완료!$S:$S))+IF(D2594=0,0,SUMIF(ING!$J:$J,Sheet2!$B2594,ING!$S:$S))</f>
        <v>0</v>
      </c>
      <c r="H2594" s="16">
        <f t="shared" si="81"/>
        <v>471008.24080894142</v>
      </c>
    </row>
    <row r="2595" spans="2:8" hidden="1" x14ac:dyDescent="0.4">
      <c r="B2595" s="1">
        <v>45144</v>
      </c>
      <c r="C2595" s="16">
        <f>SUMIF(매도완료!$G:$G,Sheet2!$B2595,매도완료!$P:$P)+SUMIF(ING!$G:$G,Sheet2!$B2595,ING!$P:$P)</f>
        <v>0</v>
      </c>
      <c r="D2595" s="16">
        <f>SUMIF(매도완료!$J:$J,Sheet2!$B2595,매도완료!$P:$P)+SUMIF(ING!$J:$J,Sheet2!$B2595,ING!$P:$P)</f>
        <v>0</v>
      </c>
      <c r="E2595" s="16">
        <f t="shared" si="80"/>
        <v>92330891.132399991</v>
      </c>
      <c r="G2595" s="16">
        <f>IF(D2595=0,0,SUMIF(매도완료!$J:$J,Sheet2!$B2595,매도완료!$S:$S))+IF(D2595=0,0,SUMIF(ING!$J:$J,Sheet2!$B2595,ING!$S:$S))</f>
        <v>0</v>
      </c>
      <c r="H2595" s="16">
        <f t="shared" si="81"/>
        <v>471008.24080894142</v>
      </c>
    </row>
    <row r="2596" spans="2:8" hidden="1" x14ac:dyDescent="0.4">
      <c r="B2596" s="1">
        <v>45145</v>
      </c>
      <c r="C2596" s="16">
        <f>SUMIF(매도완료!$G:$G,Sheet2!$B2596,매도완료!$P:$P)+SUMIF(ING!$G:$G,Sheet2!$B2596,ING!$P:$P)</f>
        <v>0</v>
      </c>
      <c r="D2596" s="16">
        <f>SUMIF(매도완료!$J:$J,Sheet2!$B2596,매도완료!$P:$P)+SUMIF(ING!$J:$J,Sheet2!$B2596,ING!$P:$P)</f>
        <v>0</v>
      </c>
      <c r="E2596" s="16">
        <f t="shared" si="80"/>
        <v>92330891.132399991</v>
      </c>
      <c r="G2596" s="16">
        <f>IF(D2596=0,0,SUMIF(매도완료!$J:$J,Sheet2!$B2596,매도완료!$S:$S))+IF(D2596=0,0,SUMIF(ING!$J:$J,Sheet2!$B2596,ING!$S:$S))</f>
        <v>0</v>
      </c>
      <c r="H2596" s="16">
        <f t="shared" si="81"/>
        <v>471008.24080894142</v>
      </c>
    </row>
    <row r="2597" spans="2:8" hidden="1" x14ac:dyDescent="0.4">
      <c r="B2597" s="1">
        <v>45146</v>
      </c>
      <c r="C2597" s="16">
        <f>SUMIF(매도완료!$G:$G,Sheet2!$B2597,매도완료!$P:$P)+SUMIF(ING!$G:$G,Sheet2!$B2597,ING!$P:$P)</f>
        <v>0</v>
      </c>
      <c r="D2597" s="16">
        <f>SUMIF(매도완료!$J:$J,Sheet2!$B2597,매도완료!$P:$P)+SUMIF(ING!$J:$J,Sheet2!$B2597,ING!$P:$P)</f>
        <v>0</v>
      </c>
      <c r="E2597" s="16">
        <f t="shared" si="80"/>
        <v>92330891.132399991</v>
      </c>
      <c r="G2597" s="16">
        <f>IF(D2597=0,0,SUMIF(매도완료!$J:$J,Sheet2!$B2597,매도완료!$S:$S))+IF(D2597=0,0,SUMIF(ING!$J:$J,Sheet2!$B2597,ING!$S:$S))</f>
        <v>0</v>
      </c>
      <c r="H2597" s="16">
        <f t="shared" si="81"/>
        <v>471008.24080894142</v>
      </c>
    </row>
    <row r="2598" spans="2:8" hidden="1" x14ac:dyDescent="0.4">
      <c r="B2598" s="1">
        <v>45147</v>
      </c>
      <c r="C2598" s="16">
        <f>SUMIF(매도완료!$G:$G,Sheet2!$B2598,매도완료!$P:$P)+SUMIF(ING!$G:$G,Sheet2!$B2598,ING!$P:$P)</f>
        <v>0</v>
      </c>
      <c r="D2598" s="16">
        <f>SUMIF(매도완료!$J:$J,Sheet2!$B2598,매도완료!$P:$P)+SUMIF(ING!$J:$J,Sheet2!$B2598,ING!$P:$P)</f>
        <v>0</v>
      </c>
      <c r="E2598" s="16">
        <f t="shared" si="80"/>
        <v>92330891.132399991</v>
      </c>
      <c r="G2598" s="16">
        <f>IF(D2598=0,0,SUMIF(매도완료!$J:$J,Sheet2!$B2598,매도완료!$S:$S))+IF(D2598=0,0,SUMIF(ING!$J:$J,Sheet2!$B2598,ING!$S:$S))</f>
        <v>0</v>
      </c>
      <c r="H2598" s="16">
        <f t="shared" si="81"/>
        <v>471008.24080894142</v>
      </c>
    </row>
    <row r="2599" spans="2:8" hidden="1" x14ac:dyDescent="0.4">
      <c r="B2599" s="1">
        <v>45148</v>
      </c>
      <c r="C2599" s="16">
        <f>SUMIF(매도완료!$G:$G,Sheet2!$B2599,매도완료!$P:$P)+SUMIF(ING!$G:$G,Sheet2!$B2599,ING!$P:$P)</f>
        <v>0</v>
      </c>
      <c r="D2599" s="16">
        <f>SUMIF(매도완료!$J:$J,Sheet2!$B2599,매도완료!$P:$P)+SUMIF(ING!$J:$J,Sheet2!$B2599,ING!$P:$P)</f>
        <v>0</v>
      </c>
      <c r="E2599" s="16">
        <f t="shared" si="80"/>
        <v>92330891.132399991</v>
      </c>
      <c r="G2599" s="16">
        <f>IF(D2599=0,0,SUMIF(매도완료!$J:$J,Sheet2!$B2599,매도완료!$S:$S))+IF(D2599=0,0,SUMIF(ING!$J:$J,Sheet2!$B2599,ING!$S:$S))</f>
        <v>0</v>
      </c>
      <c r="H2599" s="16">
        <f t="shared" si="81"/>
        <v>471008.24080894142</v>
      </c>
    </row>
    <row r="2600" spans="2:8" hidden="1" x14ac:dyDescent="0.4">
      <c r="B2600" s="1">
        <v>45149</v>
      </c>
      <c r="C2600" s="16">
        <f>SUMIF(매도완료!$G:$G,Sheet2!$B2600,매도완료!$P:$P)+SUMIF(ING!$G:$G,Sheet2!$B2600,ING!$P:$P)</f>
        <v>0</v>
      </c>
      <c r="D2600" s="16">
        <f>SUMIF(매도완료!$J:$J,Sheet2!$B2600,매도완료!$P:$P)+SUMIF(ING!$J:$J,Sheet2!$B2600,ING!$P:$P)</f>
        <v>0</v>
      </c>
      <c r="E2600" s="16">
        <f t="shared" si="80"/>
        <v>92330891.132399991</v>
      </c>
      <c r="G2600" s="16">
        <f>IF(D2600=0,0,SUMIF(매도완료!$J:$J,Sheet2!$B2600,매도완료!$S:$S))+IF(D2600=0,0,SUMIF(ING!$J:$J,Sheet2!$B2600,ING!$S:$S))</f>
        <v>0</v>
      </c>
      <c r="H2600" s="16">
        <f t="shared" si="81"/>
        <v>471008.24080894142</v>
      </c>
    </row>
    <row r="2601" spans="2:8" hidden="1" x14ac:dyDescent="0.4">
      <c r="B2601" s="1">
        <v>45150</v>
      </c>
      <c r="C2601" s="16">
        <f>SUMIF(매도완료!$G:$G,Sheet2!$B2601,매도완료!$P:$P)+SUMIF(ING!$G:$G,Sheet2!$B2601,ING!$P:$P)</f>
        <v>0</v>
      </c>
      <c r="D2601" s="16">
        <f>SUMIF(매도완료!$J:$J,Sheet2!$B2601,매도완료!$P:$P)+SUMIF(ING!$J:$J,Sheet2!$B2601,ING!$P:$P)</f>
        <v>0</v>
      </c>
      <c r="E2601" s="16">
        <f t="shared" si="80"/>
        <v>92330891.132399991</v>
      </c>
      <c r="G2601" s="16">
        <f>IF(D2601=0,0,SUMIF(매도완료!$J:$J,Sheet2!$B2601,매도완료!$S:$S))+IF(D2601=0,0,SUMIF(ING!$J:$J,Sheet2!$B2601,ING!$S:$S))</f>
        <v>0</v>
      </c>
      <c r="H2601" s="16">
        <f t="shared" si="81"/>
        <v>471008.24080894142</v>
      </c>
    </row>
    <row r="2602" spans="2:8" hidden="1" x14ac:dyDescent="0.4">
      <c r="B2602" s="1">
        <v>45151</v>
      </c>
      <c r="C2602" s="16">
        <f>SUMIF(매도완료!$G:$G,Sheet2!$B2602,매도완료!$P:$P)+SUMIF(ING!$G:$G,Sheet2!$B2602,ING!$P:$P)</f>
        <v>0</v>
      </c>
      <c r="D2602" s="16">
        <f>SUMIF(매도완료!$J:$J,Sheet2!$B2602,매도완료!$P:$P)+SUMIF(ING!$J:$J,Sheet2!$B2602,ING!$P:$P)</f>
        <v>0</v>
      </c>
      <c r="E2602" s="16">
        <f t="shared" si="80"/>
        <v>92330891.132399991</v>
      </c>
      <c r="G2602" s="16">
        <f>IF(D2602=0,0,SUMIF(매도완료!$J:$J,Sheet2!$B2602,매도완료!$S:$S))+IF(D2602=0,0,SUMIF(ING!$J:$J,Sheet2!$B2602,ING!$S:$S))</f>
        <v>0</v>
      </c>
      <c r="H2602" s="16">
        <f t="shared" si="81"/>
        <v>471008.24080894142</v>
      </c>
    </row>
    <row r="2603" spans="2:8" hidden="1" x14ac:dyDescent="0.4">
      <c r="B2603" s="1">
        <v>45152</v>
      </c>
      <c r="C2603" s="16">
        <f>SUMIF(매도완료!$G:$G,Sheet2!$B2603,매도완료!$P:$P)+SUMIF(ING!$G:$G,Sheet2!$B2603,ING!$P:$P)</f>
        <v>0</v>
      </c>
      <c r="D2603" s="16">
        <f>SUMIF(매도완료!$J:$J,Sheet2!$B2603,매도완료!$P:$P)+SUMIF(ING!$J:$J,Sheet2!$B2603,ING!$P:$P)</f>
        <v>0</v>
      </c>
      <c r="E2603" s="16">
        <f t="shared" si="80"/>
        <v>92330891.132399991</v>
      </c>
      <c r="G2603" s="16">
        <f>IF(D2603=0,0,SUMIF(매도완료!$J:$J,Sheet2!$B2603,매도완료!$S:$S))+IF(D2603=0,0,SUMIF(ING!$J:$J,Sheet2!$B2603,ING!$S:$S))</f>
        <v>0</v>
      </c>
      <c r="H2603" s="16">
        <f t="shared" si="81"/>
        <v>471008.24080894142</v>
      </c>
    </row>
    <row r="2604" spans="2:8" hidden="1" x14ac:dyDescent="0.4">
      <c r="B2604" s="1">
        <v>45153</v>
      </c>
      <c r="C2604" s="16">
        <f>SUMIF(매도완료!$G:$G,Sheet2!$B2604,매도완료!$P:$P)+SUMIF(ING!$G:$G,Sheet2!$B2604,ING!$P:$P)</f>
        <v>0</v>
      </c>
      <c r="D2604" s="16">
        <f>SUMIF(매도완료!$J:$J,Sheet2!$B2604,매도완료!$P:$P)+SUMIF(ING!$J:$J,Sheet2!$B2604,ING!$P:$P)</f>
        <v>0</v>
      </c>
      <c r="E2604" s="16">
        <f t="shared" si="80"/>
        <v>92330891.132399991</v>
      </c>
      <c r="G2604" s="16">
        <f>IF(D2604=0,0,SUMIF(매도완료!$J:$J,Sheet2!$B2604,매도완료!$S:$S))+IF(D2604=0,0,SUMIF(ING!$J:$J,Sheet2!$B2604,ING!$S:$S))</f>
        <v>0</v>
      </c>
      <c r="H2604" s="16">
        <f t="shared" si="81"/>
        <v>471008.24080894142</v>
      </c>
    </row>
    <row r="2605" spans="2:8" hidden="1" x14ac:dyDescent="0.4">
      <c r="B2605" s="1">
        <v>45154</v>
      </c>
      <c r="C2605" s="16">
        <f>SUMIF(매도완료!$G:$G,Sheet2!$B2605,매도완료!$P:$P)+SUMIF(ING!$G:$G,Sheet2!$B2605,ING!$P:$P)</f>
        <v>0</v>
      </c>
      <c r="D2605" s="16">
        <f>SUMIF(매도완료!$J:$J,Sheet2!$B2605,매도완료!$P:$P)+SUMIF(ING!$J:$J,Sheet2!$B2605,ING!$P:$P)</f>
        <v>0</v>
      </c>
      <c r="E2605" s="16">
        <f t="shared" si="80"/>
        <v>92330891.132399991</v>
      </c>
      <c r="G2605" s="16">
        <f>IF(D2605=0,0,SUMIF(매도완료!$J:$J,Sheet2!$B2605,매도완료!$S:$S))+IF(D2605=0,0,SUMIF(ING!$J:$J,Sheet2!$B2605,ING!$S:$S))</f>
        <v>0</v>
      </c>
      <c r="H2605" s="16">
        <f t="shared" si="81"/>
        <v>471008.24080894142</v>
      </c>
    </row>
    <row r="2606" spans="2:8" hidden="1" x14ac:dyDescent="0.4">
      <c r="B2606" s="1">
        <v>45155</v>
      </c>
      <c r="C2606" s="16">
        <f>SUMIF(매도완료!$G:$G,Sheet2!$B2606,매도완료!$P:$P)+SUMIF(ING!$G:$G,Sheet2!$B2606,ING!$P:$P)</f>
        <v>0</v>
      </c>
      <c r="D2606" s="16">
        <f>SUMIF(매도완료!$J:$J,Sheet2!$B2606,매도완료!$P:$P)+SUMIF(ING!$J:$J,Sheet2!$B2606,ING!$P:$P)</f>
        <v>0</v>
      </c>
      <c r="E2606" s="16">
        <f t="shared" si="80"/>
        <v>92330891.132399991</v>
      </c>
      <c r="G2606" s="16">
        <f>IF(D2606=0,0,SUMIF(매도완료!$J:$J,Sheet2!$B2606,매도완료!$S:$S))+IF(D2606=0,0,SUMIF(ING!$J:$J,Sheet2!$B2606,ING!$S:$S))</f>
        <v>0</v>
      </c>
      <c r="H2606" s="16">
        <f t="shared" si="81"/>
        <v>471008.24080894142</v>
      </c>
    </row>
    <row r="2607" spans="2:8" hidden="1" x14ac:dyDescent="0.4">
      <c r="B2607" s="1">
        <v>45156</v>
      </c>
      <c r="C2607" s="16">
        <f>SUMIF(매도완료!$G:$G,Sheet2!$B2607,매도완료!$P:$P)+SUMIF(ING!$G:$G,Sheet2!$B2607,ING!$P:$P)</f>
        <v>0</v>
      </c>
      <c r="D2607" s="16">
        <f>SUMIF(매도완료!$J:$J,Sheet2!$B2607,매도완료!$P:$P)+SUMIF(ING!$J:$J,Sheet2!$B2607,ING!$P:$P)</f>
        <v>0</v>
      </c>
      <c r="E2607" s="16">
        <f t="shared" si="80"/>
        <v>92330891.132399991</v>
      </c>
      <c r="G2607" s="16">
        <f>IF(D2607=0,0,SUMIF(매도완료!$J:$J,Sheet2!$B2607,매도완료!$S:$S))+IF(D2607=0,0,SUMIF(ING!$J:$J,Sheet2!$B2607,ING!$S:$S))</f>
        <v>0</v>
      </c>
      <c r="H2607" s="16">
        <f t="shared" si="81"/>
        <v>471008.24080894142</v>
      </c>
    </row>
    <row r="2608" spans="2:8" hidden="1" x14ac:dyDescent="0.4">
      <c r="B2608" s="1">
        <v>45157</v>
      </c>
      <c r="C2608" s="16">
        <f>SUMIF(매도완료!$G:$G,Sheet2!$B2608,매도완료!$P:$P)+SUMIF(ING!$G:$G,Sheet2!$B2608,ING!$P:$P)</f>
        <v>0</v>
      </c>
      <c r="D2608" s="16">
        <f>SUMIF(매도완료!$J:$J,Sheet2!$B2608,매도완료!$P:$P)+SUMIF(ING!$J:$J,Sheet2!$B2608,ING!$P:$P)</f>
        <v>0</v>
      </c>
      <c r="E2608" s="16">
        <f t="shared" si="80"/>
        <v>92330891.132399991</v>
      </c>
      <c r="G2608" s="16">
        <f>IF(D2608=0,0,SUMIF(매도완료!$J:$J,Sheet2!$B2608,매도완료!$S:$S))+IF(D2608=0,0,SUMIF(ING!$J:$J,Sheet2!$B2608,ING!$S:$S))</f>
        <v>0</v>
      </c>
      <c r="H2608" s="16">
        <f t="shared" si="81"/>
        <v>471008.24080894142</v>
      </c>
    </row>
    <row r="2609" spans="2:8" hidden="1" x14ac:dyDescent="0.4">
      <c r="B2609" s="1">
        <v>45158</v>
      </c>
      <c r="C2609" s="16">
        <f>SUMIF(매도완료!$G:$G,Sheet2!$B2609,매도완료!$P:$P)+SUMIF(ING!$G:$G,Sheet2!$B2609,ING!$P:$P)</f>
        <v>0</v>
      </c>
      <c r="D2609" s="16">
        <f>SUMIF(매도완료!$J:$J,Sheet2!$B2609,매도완료!$P:$P)+SUMIF(ING!$J:$J,Sheet2!$B2609,ING!$P:$P)</f>
        <v>0</v>
      </c>
      <c r="E2609" s="16">
        <f t="shared" si="80"/>
        <v>92330891.132399991</v>
      </c>
      <c r="G2609" s="16">
        <f>IF(D2609=0,0,SUMIF(매도완료!$J:$J,Sheet2!$B2609,매도완료!$S:$S))+IF(D2609=0,0,SUMIF(ING!$J:$J,Sheet2!$B2609,ING!$S:$S))</f>
        <v>0</v>
      </c>
      <c r="H2609" s="16">
        <f t="shared" si="81"/>
        <v>471008.24080894142</v>
      </c>
    </row>
    <row r="2610" spans="2:8" hidden="1" x14ac:dyDescent="0.4">
      <c r="B2610" s="1">
        <v>45159</v>
      </c>
      <c r="C2610" s="16">
        <f>SUMIF(매도완료!$G:$G,Sheet2!$B2610,매도완료!$P:$P)+SUMIF(ING!$G:$G,Sheet2!$B2610,ING!$P:$P)</f>
        <v>0</v>
      </c>
      <c r="D2610" s="16">
        <f>SUMIF(매도완료!$J:$J,Sheet2!$B2610,매도완료!$P:$P)+SUMIF(ING!$J:$J,Sheet2!$B2610,ING!$P:$P)</f>
        <v>0</v>
      </c>
      <c r="E2610" s="16">
        <f t="shared" si="80"/>
        <v>92330891.132399991</v>
      </c>
      <c r="G2610" s="16">
        <f>IF(D2610=0,0,SUMIF(매도완료!$J:$J,Sheet2!$B2610,매도완료!$S:$S))+IF(D2610=0,0,SUMIF(ING!$J:$J,Sheet2!$B2610,ING!$S:$S))</f>
        <v>0</v>
      </c>
      <c r="H2610" s="16">
        <f t="shared" si="81"/>
        <v>471008.24080894142</v>
      </c>
    </row>
    <row r="2611" spans="2:8" hidden="1" x14ac:dyDescent="0.4">
      <c r="B2611" s="1">
        <v>45160</v>
      </c>
      <c r="C2611" s="16">
        <f>SUMIF(매도완료!$G:$G,Sheet2!$B2611,매도완료!$P:$P)+SUMIF(ING!$G:$G,Sheet2!$B2611,ING!$P:$P)</f>
        <v>0</v>
      </c>
      <c r="D2611" s="16">
        <f>SUMIF(매도완료!$J:$J,Sheet2!$B2611,매도완료!$P:$P)+SUMIF(ING!$J:$J,Sheet2!$B2611,ING!$P:$P)</f>
        <v>0</v>
      </c>
      <c r="E2611" s="16">
        <f t="shared" si="80"/>
        <v>92330891.132399991</v>
      </c>
      <c r="G2611" s="16">
        <f>IF(D2611=0,0,SUMIF(매도완료!$J:$J,Sheet2!$B2611,매도완료!$S:$S))+IF(D2611=0,0,SUMIF(ING!$J:$J,Sheet2!$B2611,ING!$S:$S))</f>
        <v>0</v>
      </c>
      <c r="H2611" s="16">
        <f t="shared" si="81"/>
        <v>471008.24080894142</v>
      </c>
    </row>
    <row r="2612" spans="2:8" hidden="1" x14ac:dyDescent="0.4">
      <c r="B2612" s="1">
        <v>45161</v>
      </c>
      <c r="C2612" s="16">
        <f>SUMIF(매도완료!$G:$G,Sheet2!$B2612,매도완료!$P:$P)+SUMIF(ING!$G:$G,Sheet2!$B2612,ING!$P:$P)</f>
        <v>0</v>
      </c>
      <c r="D2612" s="16">
        <f>SUMIF(매도완료!$J:$J,Sheet2!$B2612,매도완료!$P:$P)+SUMIF(ING!$J:$J,Sheet2!$B2612,ING!$P:$P)</f>
        <v>0</v>
      </c>
      <c r="E2612" s="16">
        <f t="shared" si="80"/>
        <v>92330891.132399991</v>
      </c>
      <c r="G2612" s="16">
        <f>IF(D2612=0,0,SUMIF(매도완료!$J:$J,Sheet2!$B2612,매도완료!$S:$S))+IF(D2612=0,0,SUMIF(ING!$J:$J,Sheet2!$B2612,ING!$S:$S))</f>
        <v>0</v>
      </c>
      <c r="H2612" s="16">
        <f t="shared" si="81"/>
        <v>471008.24080894142</v>
      </c>
    </row>
    <row r="2613" spans="2:8" hidden="1" x14ac:dyDescent="0.4">
      <c r="B2613" s="1">
        <v>45162</v>
      </c>
      <c r="C2613" s="16">
        <f>SUMIF(매도완료!$G:$G,Sheet2!$B2613,매도완료!$P:$P)+SUMIF(ING!$G:$G,Sheet2!$B2613,ING!$P:$P)</f>
        <v>0</v>
      </c>
      <c r="D2613" s="16">
        <f>SUMIF(매도완료!$J:$J,Sheet2!$B2613,매도완료!$P:$P)+SUMIF(ING!$J:$J,Sheet2!$B2613,ING!$P:$P)</f>
        <v>0</v>
      </c>
      <c r="E2613" s="16">
        <f t="shared" si="80"/>
        <v>92330891.132399991</v>
      </c>
      <c r="G2613" s="16">
        <f>IF(D2613=0,0,SUMIF(매도완료!$J:$J,Sheet2!$B2613,매도완료!$S:$S))+IF(D2613=0,0,SUMIF(ING!$J:$J,Sheet2!$B2613,ING!$S:$S))</f>
        <v>0</v>
      </c>
      <c r="H2613" s="16">
        <f t="shared" si="81"/>
        <v>471008.24080894142</v>
      </c>
    </row>
    <row r="2614" spans="2:8" hidden="1" x14ac:dyDescent="0.4">
      <c r="B2614" s="1">
        <v>45163</v>
      </c>
      <c r="C2614" s="16">
        <f>SUMIF(매도완료!$G:$G,Sheet2!$B2614,매도완료!$P:$P)+SUMIF(ING!$G:$G,Sheet2!$B2614,ING!$P:$P)</f>
        <v>0</v>
      </c>
      <c r="D2614" s="16">
        <f>SUMIF(매도완료!$J:$J,Sheet2!$B2614,매도완료!$P:$P)+SUMIF(ING!$J:$J,Sheet2!$B2614,ING!$P:$P)</f>
        <v>0</v>
      </c>
      <c r="E2614" s="16">
        <f t="shared" si="80"/>
        <v>92330891.132399991</v>
      </c>
      <c r="G2614" s="16">
        <f>IF(D2614=0,0,SUMIF(매도완료!$J:$J,Sheet2!$B2614,매도완료!$S:$S))+IF(D2614=0,0,SUMIF(ING!$J:$J,Sheet2!$B2614,ING!$S:$S))</f>
        <v>0</v>
      </c>
      <c r="H2614" s="16">
        <f t="shared" si="81"/>
        <v>471008.24080894142</v>
      </c>
    </row>
    <row r="2615" spans="2:8" hidden="1" x14ac:dyDescent="0.4">
      <c r="B2615" s="1">
        <v>45164</v>
      </c>
      <c r="C2615" s="16">
        <f>SUMIF(매도완료!$G:$G,Sheet2!$B2615,매도완료!$P:$P)+SUMIF(ING!$G:$G,Sheet2!$B2615,ING!$P:$P)</f>
        <v>0</v>
      </c>
      <c r="D2615" s="16">
        <f>SUMIF(매도완료!$J:$J,Sheet2!$B2615,매도완료!$P:$P)+SUMIF(ING!$J:$J,Sheet2!$B2615,ING!$P:$P)</f>
        <v>0</v>
      </c>
      <c r="E2615" s="16">
        <f t="shared" si="80"/>
        <v>92330891.132399991</v>
      </c>
      <c r="G2615" s="16">
        <f>IF(D2615=0,0,SUMIF(매도완료!$J:$J,Sheet2!$B2615,매도완료!$S:$S))+IF(D2615=0,0,SUMIF(ING!$J:$J,Sheet2!$B2615,ING!$S:$S))</f>
        <v>0</v>
      </c>
      <c r="H2615" s="16">
        <f t="shared" si="81"/>
        <v>471008.24080894142</v>
      </c>
    </row>
    <row r="2616" spans="2:8" hidden="1" x14ac:dyDescent="0.4">
      <c r="B2616" s="1">
        <v>45165</v>
      </c>
      <c r="C2616" s="16">
        <f>SUMIF(매도완료!$G:$G,Sheet2!$B2616,매도완료!$P:$P)+SUMIF(ING!$G:$G,Sheet2!$B2616,ING!$P:$P)</f>
        <v>0</v>
      </c>
      <c r="D2616" s="16">
        <f>SUMIF(매도완료!$J:$J,Sheet2!$B2616,매도완료!$P:$P)+SUMIF(ING!$J:$J,Sheet2!$B2616,ING!$P:$P)</f>
        <v>0</v>
      </c>
      <c r="E2616" s="16">
        <f t="shared" si="80"/>
        <v>92330891.132399991</v>
      </c>
      <c r="G2616" s="16">
        <f>IF(D2616=0,0,SUMIF(매도완료!$J:$J,Sheet2!$B2616,매도완료!$S:$S))+IF(D2616=0,0,SUMIF(ING!$J:$J,Sheet2!$B2616,ING!$S:$S))</f>
        <v>0</v>
      </c>
      <c r="H2616" s="16">
        <f t="shared" si="81"/>
        <v>471008.24080894142</v>
      </c>
    </row>
    <row r="2617" spans="2:8" hidden="1" x14ac:dyDescent="0.4">
      <c r="B2617" s="1">
        <v>45166</v>
      </c>
      <c r="C2617" s="16">
        <f>SUMIF(매도완료!$G:$G,Sheet2!$B2617,매도완료!$P:$P)+SUMIF(ING!$G:$G,Sheet2!$B2617,ING!$P:$P)</f>
        <v>0</v>
      </c>
      <c r="D2617" s="16">
        <f>SUMIF(매도완료!$J:$J,Sheet2!$B2617,매도완료!$P:$P)+SUMIF(ING!$J:$J,Sheet2!$B2617,ING!$P:$P)</f>
        <v>0</v>
      </c>
      <c r="E2617" s="16">
        <f t="shared" si="80"/>
        <v>92330891.132399991</v>
      </c>
      <c r="G2617" s="16">
        <f>IF(D2617=0,0,SUMIF(매도완료!$J:$J,Sheet2!$B2617,매도완료!$S:$S))+IF(D2617=0,0,SUMIF(ING!$J:$J,Sheet2!$B2617,ING!$S:$S))</f>
        <v>0</v>
      </c>
      <c r="H2617" s="16">
        <f t="shared" si="81"/>
        <v>471008.24080894142</v>
      </c>
    </row>
    <row r="2618" spans="2:8" hidden="1" x14ac:dyDescent="0.4">
      <c r="B2618" s="1">
        <v>45167</v>
      </c>
      <c r="C2618" s="16">
        <f>SUMIF(매도완료!$G:$G,Sheet2!$B2618,매도완료!$P:$P)+SUMIF(ING!$G:$G,Sheet2!$B2618,ING!$P:$P)</f>
        <v>0</v>
      </c>
      <c r="D2618" s="16">
        <f>SUMIF(매도완료!$J:$J,Sheet2!$B2618,매도완료!$P:$P)+SUMIF(ING!$J:$J,Sheet2!$B2618,ING!$P:$P)</f>
        <v>0</v>
      </c>
      <c r="E2618" s="16">
        <f t="shared" si="80"/>
        <v>92330891.132399991</v>
      </c>
      <c r="G2618" s="16">
        <f>IF(D2618=0,0,SUMIF(매도완료!$J:$J,Sheet2!$B2618,매도완료!$S:$S))+IF(D2618=0,0,SUMIF(ING!$J:$J,Sheet2!$B2618,ING!$S:$S))</f>
        <v>0</v>
      </c>
      <c r="H2618" s="16">
        <f t="shared" si="81"/>
        <v>471008.24080894142</v>
      </c>
    </row>
    <row r="2619" spans="2:8" hidden="1" x14ac:dyDescent="0.4">
      <c r="B2619" s="1">
        <v>45168</v>
      </c>
      <c r="C2619" s="16">
        <f>SUMIF(매도완료!$G:$G,Sheet2!$B2619,매도완료!$P:$P)+SUMIF(ING!$G:$G,Sheet2!$B2619,ING!$P:$P)</f>
        <v>0</v>
      </c>
      <c r="D2619" s="16">
        <f>SUMIF(매도완료!$J:$J,Sheet2!$B2619,매도완료!$P:$P)+SUMIF(ING!$J:$J,Sheet2!$B2619,ING!$P:$P)</f>
        <v>0</v>
      </c>
      <c r="E2619" s="16">
        <f t="shared" si="80"/>
        <v>92330891.132399991</v>
      </c>
      <c r="G2619" s="16">
        <f>IF(D2619=0,0,SUMIF(매도완료!$J:$J,Sheet2!$B2619,매도완료!$S:$S))+IF(D2619=0,0,SUMIF(ING!$J:$J,Sheet2!$B2619,ING!$S:$S))</f>
        <v>0</v>
      </c>
      <c r="H2619" s="16">
        <f t="shared" si="81"/>
        <v>471008.24080894142</v>
      </c>
    </row>
    <row r="2620" spans="2:8" hidden="1" x14ac:dyDescent="0.4">
      <c r="B2620" s="1">
        <v>45169</v>
      </c>
      <c r="C2620" s="16">
        <f>SUMIF(매도완료!$G:$G,Sheet2!$B2620,매도완료!$P:$P)+SUMIF(ING!$G:$G,Sheet2!$B2620,ING!$P:$P)</f>
        <v>0</v>
      </c>
      <c r="D2620" s="16">
        <f>SUMIF(매도완료!$J:$J,Sheet2!$B2620,매도완료!$P:$P)+SUMIF(ING!$J:$J,Sheet2!$B2620,ING!$P:$P)</f>
        <v>0</v>
      </c>
      <c r="E2620" s="16">
        <f t="shared" si="80"/>
        <v>92330891.132399991</v>
      </c>
      <c r="G2620" s="16">
        <f>IF(D2620=0,0,SUMIF(매도완료!$J:$J,Sheet2!$B2620,매도완료!$S:$S))+IF(D2620=0,0,SUMIF(ING!$J:$J,Sheet2!$B2620,ING!$S:$S))</f>
        <v>0</v>
      </c>
      <c r="H2620" s="16">
        <f t="shared" si="81"/>
        <v>471008.24080894142</v>
      </c>
    </row>
    <row r="2621" spans="2:8" hidden="1" x14ac:dyDescent="0.4">
      <c r="B2621" s="1">
        <v>45170</v>
      </c>
      <c r="C2621" s="16">
        <f>SUMIF(매도완료!$G:$G,Sheet2!$B2621,매도완료!$P:$P)+SUMIF(ING!$G:$G,Sheet2!$B2621,ING!$P:$P)</f>
        <v>0</v>
      </c>
      <c r="D2621" s="16">
        <f>SUMIF(매도완료!$J:$J,Sheet2!$B2621,매도완료!$P:$P)+SUMIF(ING!$J:$J,Sheet2!$B2621,ING!$P:$P)</f>
        <v>0</v>
      </c>
      <c r="E2621" s="16">
        <f t="shared" si="80"/>
        <v>92330891.132399991</v>
      </c>
      <c r="G2621" s="16">
        <f>IF(D2621=0,0,SUMIF(매도완료!$J:$J,Sheet2!$B2621,매도완료!$S:$S))+IF(D2621=0,0,SUMIF(ING!$J:$J,Sheet2!$B2621,ING!$S:$S))</f>
        <v>0</v>
      </c>
      <c r="H2621" s="16">
        <f t="shared" si="81"/>
        <v>471008.24080894142</v>
      </c>
    </row>
    <row r="2622" spans="2:8" hidden="1" x14ac:dyDescent="0.4">
      <c r="B2622" s="1">
        <v>45171</v>
      </c>
      <c r="C2622" s="16">
        <f>SUMIF(매도완료!$G:$G,Sheet2!$B2622,매도완료!$P:$P)+SUMIF(ING!$G:$G,Sheet2!$B2622,ING!$P:$P)</f>
        <v>0</v>
      </c>
      <c r="D2622" s="16">
        <f>SUMIF(매도완료!$J:$J,Sheet2!$B2622,매도완료!$P:$P)+SUMIF(ING!$J:$J,Sheet2!$B2622,ING!$P:$P)</f>
        <v>0</v>
      </c>
      <c r="E2622" s="16">
        <f t="shared" si="80"/>
        <v>92330891.132399991</v>
      </c>
      <c r="G2622" s="16">
        <f>IF(D2622=0,0,SUMIF(매도완료!$J:$J,Sheet2!$B2622,매도완료!$S:$S))+IF(D2622=0,0,SUMIF(ING!$J:$J,Sheet2!$B2622,ING!$S:$S))</f>
        <v>0</v>
      </c>
      <c r="H2622" s="16">
        <f t="shared" si="81"/>
        <v>471008.24080894142</v>
      </c>
    </row>
    <row r="2623" spans="2:8" hidden="1" x14ac:dyDescent="0.4">
      <c r="B2623" s="1">
        <v>45172</v>
      </c>
      <c r="C2623" s="16">
        <f>SUMIF(매도완료!$G:$G,Sheet2!$B2623,매도완료!$P:$P)+SUMIF(ING!$G:$G,Sheet2!$B2623,ING!$P:$P)</f>
        <v>0</v>
      </c>
      <c r="D2623" s="16">
        <f>SUMIF(매도완료!$J:$J,Sheet2!$B2623,매도완료!$P:$P)+SUMIF(ING!$J:$J,Sheet2!$B2623,ING!$P:$P)</f>
        <v>0</v>
      </c>
      <c r="E2623" s="16">
        <f t="shared" si="80"/>
        <v>92330891.132399991</v>
      </c>
      <c r="G2623" s="16">
        <f>IF(D2623=0,0,SUMIF(매도완료!$J:$J,Sheet2!$B2623,매도완료!$S:$S))+IF(D2623=0,0,SUMIF(ING!$J:$J,Sheet2!$B2623,ING!$S:$S))</f>
        <v>0</v>
      </c>
      <c r="H2623" s="16">
        <f t="shared" si="81"/>
        <v>471008.24080894142</v>
      </c>
    </row>
    <row r="2624" spans="2:8" hidden="1" x14ac:dyDescent="0.4">
      <c r="B2624" s="1">
        <v>45173</v>
      </c>
      <c r="C2624" s="16">
        <f>SUMIF(매도완료!$G:$G,Sheet2!$B2624,매도완료!$P:$P)+SUMIF(ING!$G:$G,Sheet2!$B2624,ING!$P:$P)</f>
        <v>0</v>
      </c>
      <c r="D2624" s="16">
        <f>SUMIF(매도완료!$J:$J,Sheet2!$B2624,매도완료!$P:$P)+SUMIF(ING!$J:$J,Sheet2!$B2624,ING!$P:$P)</f>
        <v>0</v>
      </c>
      <c r="E2624" s="16">
        <f t="shared" si="80"/>
        <v>92330891.132399991</v>
      </c>
      <c r="G2624" s="16">
        <f>IF(D2624=0,0,SUMIF(매도완료!$J:$J,Sheet2!$B2624,매도완료!$S:$S))+IF(D2624=0,0,SUMIF(ING!$J:$J,Sheet2!$B2624,ING!$S:$S))</f>
        <v>0</v>
      </c>
      <c r="H2624" s="16">
        <f t="shared" si="81"/>
        <v>471008.24080894142</v>
      </c>
    </row>
    <row r="2625" spans="2:8" hidden="1" x14ac:dyDescent="0.4">
      <c r="B2625" s="1">
        <v>45174</v>
      </c>
      <c r="C2625" s="16">
        <f>SUMIF(매도완료!$G:$G,Sheet2!$B2625,매도완료!$P:$P)+SUMIF(ING!$G:$G,Sheet2!$B2625,ING!$P:$P)</f>
        <v>0</v>
      </c>
      <c r="D2625" s="16">
        <f>SUMIF(매도완료!$J:$J,Sheet2!$B2625,매도완료!$P:$P)+SUMIF(ING!$J:$J,Sheet2!$B2625,ING!$P:$P)</f>
        <v>0</v>
      </c>
      <c r="E2625" s="16">
        <f t="shared" si="80"/>
        <v>92330891.132399991</v>
      </c>
      <c r="G2625" s="16">
        <f>IF(D2625=0,0,SUMIF(매도완료!$J:$J,Sheet2!$B2625,매도완료!$S:$S))+IF(D2625=0,0,SUMIF(ING!$J:$J,Sheet2!$B2625,ING!$S:$S))</f>
        <v>0</v>
      </c>
      <c r="H2625" s="16">
        <f t="shared" si="81"/>
        <v>471008.24080894142</v>
      </c>
    </row>
    <row r="2626" spans="2:8" hidden="1" x14ac:dyDescent="0.4">
      <c r="B2626" s="1">
        <v>45175</v>
      </c>
      <c r="C2626" s="16">
        <f>SUMIF(매도완료!$G:$G,Sheet2!$B2626,매도완료!$P:$P)+SUMIF(ING!$G:$G,Sheet2!$B2626,ING!$P:$P)</f>
        <v>0</v>
      </c>
      <c r="D2626" s="16">
        <f>SUMIF(매도완료!$J:$J,Sheet2!$B2626,매도완료!$P:$P)+SUMIF(ING!$J:$J,Sheet2!$B2626,ING!$P:$P)</f>
        <v>0</v>
      </c>
      <c r="E2626" s="16">
        <f t="shared" si="80"/>
        <v>92330891.132399991</v>
      </c>
      <c r="G2626" s="16">
        <f>IF(D2626=0,0,SUMIF(매도완료!$J:$J,Sheet2!$B2626,매도완료!$S:$S))+IF(D2626=0,0,SUMIF(ING!$J:$J,Sheet2!$B2626,ING!$S:$S))</f>
        <v>0</v>
      </c>
      <c r="H2626" s="16">
        <f t="shared" si="81"/>
        <v>471008.24080894142</v>
      </c>
    </row>
    <row r="2627" spans="2:8" hidden="1" x14ac:dyDescent="0.4">
      <c r="B2627" s="1">
        <v>45176</v>
      </c>
      <c r="C2627" s="16">
        <f>SUMIF(매도완료!$G:$G,Sheet2!$B2627,매도완료!$P:$P)+SUMIF(ING!$G:$G,Sheet2!$B2627,ING!$P:$P)</f>
        <v>0</v>
      </c>
      <c r="D2627" s="16">
        <f>SUMIF(매도완료!$J:$J,Sheet2!$B2627,매도완료!$P:$P)+SUMIF(ING!$J:$J,Sheet2!$B2627,ING!$P:$P)</f>
        <v>0</v>
      </c>
      <c r="E2627" s="16">
        <f t="shared" si="80"/>
        <v>92330891.132399991</v>
      </c>
      <c r="G2627" s="16">
        <f>IF(D2627=0,0,SUMIF(매도완료!$J:$J,Sheet2!$B2627,매도완료!$S:$S))+IF(D2627=0,0,SUMIF(ING!$J:$J,Sheet2!$B2627,ING!$S:$S))</f>
        <v>0</v>
      </c>
      <c r="H2627" s="16">
        <f t="shared" si="81"/>
        <v>471008.24080894142</v>
      </c>
    </row>
    <row r="2628" spans="2:8" hidden="1" x14ac:dyDescent="0.4">
      <c r="B2628" s="1">
        <v>45177</v>
      </c>
      <c r="C2628" s="16">
        <f>SUMIF(매도완료!$G:$G,Sheet2!$B2628,매도완료!$P:$P)+SUMIF(ING!$G:$G,Sheet2!$B2628,ING!$P:$P)</f>
        <v>0</v>
      </c>
      <c r="D2628" s="16">
        <f>SUMIF(매도완료!$J:$J,Sheet2!$B2628,매도완료!$P:$P)+SUMIF(ING!$J:$J,Sheet2!$B2628,ING!$P:$P)</f>
        <v>0</v>
      </c>
      <c r="E2628" s="16">
        <f t="shared" ref="E2628:E2691" si="82">E2627+C2628-D2628</f>
        <v>92330891.132399991</v>
      </c>
      <c r="G2628" s="16">
        <f>IF(D2628=0,0,SUMIF(매도완료!$J:$J,Sheet2!$B2628,매도완료!$S:$S))+IF(D2628=0,0,SUMIF(ING!$J:$J,Sheet2!$B2628,ING!$S:$S))</f>
        <v>0</v>
      </c>
      <c r="H2628" s="16">
        <f t="shared" ref="H2628:H2691" si="83">H2627+G2628</f>
        <v>471008.24080894142</v>
      </c>
    </row>
    <row r="2629" spans="2:8" hidden="1" x14ac:dyDescent="0.4">
      <c r="B2629" s="1">
        <v>45178</v>
      </c>
      <c r="C2629" s="16">
        <f>SUMIF(매도완료!$G:$G,Sheet2!$B2629,매도완료!$P:$P)+SUMIF(ING!$G:$G,Sheet2!$B2629,ING!$P:$P)</f>
        <v>0</v>
      </c>
      <c r="D2629" s="16">
        <f>SUMIF(매도완료!$J:$J,Sheet2!$B2629,매도완료!$P:$P)+SUMIF(ING!$J:$J,Sheet2!$B2629,ING!$P:$P)</f>
        <v>0</v>
      </c>
      <c r="E2629" s="16">
        <f t="shared" si="82"/>
        <v>92330891.132399991</v>
      </c>
      <c r="G2629" s="16">
        <f>IF(D2629=0,0,SUMIF(매도완료!$J:$J,Sheet2!$B2629,매도완료!$S:$S))+IF(D2629=0,0,SUMIF(ING!$J:$J,Sheet2!$B2629,ING!$S:$S))</f>
        <v>0</v>
      </c>
      <c r="H2629" s="16">
        <f t="shared" si="83"/>
        <v>471008.24080894142</v>
      </c>
    </row>
    <row r="2630" spans="2:8" hidden="1" x14ac:dyDescent="0.4">
      <c r="B2630" s="1">
        <v>45179</v>
      </c>
      <c r="C2630" s="16">
        <f>SUMIF(매도완료!$G:$G,Sheet2!$B2630,매도완료!$P:$P)+SUMIF(ING!$G:$G,Sheet2!$B2630,ING!$P:$P)</f>
        <v>0</v>
      </c>
      <c r="D2630" s="16">
        <f>SUMIF(매도완료!$J:$J,Sheet2!$B2630,매도완료!$P:$P)+SUMIF(ING!$J:$J,Sheet2!$B2630,ING!$P:$P)</f>
        <v>0</v>
      </c>
      <c r="E2630" s="16">
        <f t="shared" si="82"/>
        <v>92330891.132399991</v>
      </c>
      <c r="G2630" s="16">
        <f>IF(D2630=0,0,SUMIF(매도완료!$J:$J,Sheet2!$B2630,매도완료!$S:$S))+IF(D2630=0,0,SUMIF(ING!$J:$J,Sheet2!$B2630,ING!$S:$S))</f>
        <v>0</v>
      </c>
      <c r="H2630" s="16">
        <f t="shared" si="83"/>
        <v>471008.24080894142</v>
      </c>
    </row>
    <row r="2631" spans="2:8" hidden="1" x14ac:dyDescent="0.4">
      <c r="B2631" s="1">
        <v>45180</v>
      </c>
      <c r="C2631" s="16">
        <f>SUMIF(매도완료!$G:$G,Sheet2!$B2631,매도완료!$P:$P)+SUMIF(ING!$G:$G,Sheet2!$B2631,ING!$P:$P)</f>
        <v>0</v>
      </c>
      <c r="D2631" s="16">
        <f>SUMIF(매도완료!$J:$J,Sheet2!$B2631,매도완료!$P:$P)+SUMIF(ING!$J:$J,Sheet2!$B2631,ING!$P:$P)</f>
        <v>0</v>
      </c>
      <c r="E2631" s="16">
        <f t="shared" si="82"/>
        <v>92330891.132399991</v>
      </c>
      <c r="G2631" s="16">
        <f>IF(D2631=0,0,SUMIF(매도완료!$J:$J,Sheet2!$B2631,매도완료!$S:$S))+IF(D2631=0,0,SUMIF(ING!$J:$J,Sheet2!$B2631,ING!$S:$S))</f>
        <v>0</v>
      </c>
      <c r="H2631" s="16">
        <f t="shared" si="83"/>
        <v>471008.24080894142</v>
      </c>
    </row>
    <row r="2632" spans="2:8" hidden="1" x14ac:dyDescent="0.4">
      <c r="B2632" s="1">
        <v>45181</v>
      </c>
      <c r="C2632" s="16">
        <f>SUMIF(매도완료!$G:$G,Sheet2!$B2632,매도완료!$P:$P)+SUMIF(ING!$G:$G,Sheet2!$B2632,ING!$P:$P)</f>
        <v>0</v>
      </c>
      <c r="D2632" s="16">
        <f>SUMIF(매도완료!$J:$J,Sheet2!$B2632,매도완료!$P:$P)+SUMIF(ING!$J:$J,Sheet2!$B2632,ING!$P:$P)</f>
        <v>0</v>
      </c>
      <c r="E2632" s="16">
        <f t="shared" si="82"/>
        <v>92330891.132399991</v>
      </c>
      <c r="G2632" s="16">
        <f>IF(D2632=0,0,SUMIF(매도완료!$J:$J,Sheet2!$B2632,매도완료!$S:$S))+IF(D2632=0,0,SUMIF(ING!$J:$J,Sheet2!$B2632,ING!$S:$S))</f>
        <v>0</v>
      </c>
      <c r="H2632" s="16">
        <f t="shared" si="83"/>
        <v>471008.24080894142</v>
      </c>
    </row>
    <row r="2633" spans="2:8" hidden="1" x14ac:dyDescent="0.4">
      <c r="B2633" s="1">
        <v>45182</v>
      </c>
      <c r="C2633" s="16">
        <f>SUMIF(매도완료!$G:$G,Sheet2!$B2633,매도완료!$P:$P)+SUMIF(ING!$G:$G,Sheet2!$B2633,ING!$P:$P)</f>
        <v>0</v>
      </c>
      <c r="D2633" s="16">
        <f>SUMIF(매도완료!$J:$J,Sheet2!$B2633,매도완료!$P:$P)+SUMIF(ING!$J:$J,Sheet2!$B2633,ING!$P:$P)</f>
        <v>0</v>
      </c>
      <c r="E2633" s="16">
        <f t="shared" si="82"/>
        <v>92330891.132399991</v>
      </c>
      <c r="G2633" s="16">
        <f>IF(D2633=0,0,SUMIF(매도완료!$J:$J,Sheet2!$B2633,매도완료!$S:$S))+IF(D2633=0,0,SUMIF(ING!$J:$J,Sheet2!$B2633,ING!$S:$S))</f>
        <v>0</v>
      </c>
      <c r="H2633" s="16">
        <f t="shared" si="83"/>
        <v>471008.24080894142</v>
      </c>
    </row>
    <row r="2634" spans="2:8" hidden="1" x14ac:dyDescent="0.4">
      <c r="B2634" s="1">
        <v>45183</v>
      </c>
      <c r="C2634" s="16">
        <f>SUMIF(매도완료!$G:$G,Sheet2!$B2634,매도완료!$P:$P)+SUMIF(ING!$G:$G,Sheet2!$B2634,ING!$P:$P)</f>
        <v>0</v>
      </c>
      <c r="D2634" s="16">
        <f>SUMIF(매도완료!$J:$J,Sheet2!$B2634,매도완료!$P:$P)+SUMIF(ING!$J:$J,Sheet2!$B2634,ING!$P:$P)</f>
        <v>0</v>
      </c>
      <c r="E2634" s="16">
        <f t="shared" si="82"/>
        <v>92330891.132399991</v>
      </c>
      <c r="G2634" s="16">
        <f>IF(D2634=0,0,SUMIF(매도완료!$J:$J,Sheet2!$B2634,매도완료!$S:$S))+IF(D2634=0,0,SUMIF(ING!$J:$J,Sheet2!$B2634,ING!$S:$S))</f>
        <v>0</v>
      </c>
      <c r="H2634" s="16">
        <f t="shared" si="83"/>
        <v>471008.24080894142</v>
      </c>
    </row>
    <row r="2635" spans="2:8" hidden="1" x14ac:dyDescent="0.4">
      <c r="B2635" s="1">
        <v>45184</v>
      </c>
      <c r="C2635" s="16">
        <f>SUMIF(매도완료!$G:$G,Sheet2!$B2635,매도완료!$P:$P)+SUMIF(ING!$G:$G,Sheet2!$B2635,ING!$P:$P)</f>
        <v>0</v>
      </c>
      <c r="D2635" s="16">
        <f>SUMIF(매도완료!$J:$J,Sheet2!$B2635,매도완료!$P:$P)+SUMIF(ING!$J:$J,Sheet2!$B2635,ING!$P:$P)</f>
        <v>0</v>
      </c>
      <c r="E2635" s="16">
        <f t="shared" si="82"/>
        <v>92330891.132399991</v>
      </c>
      <c r="G2635" s="16">
        <f>IF(D2635=0,0,SUMIF(매도완료!$J:$J,Sheet2!$B2635,매도완료!$S:$S))+IF(D2635=0,0,SUMIF(ING!$J:$J,Sheet2!$B2635,ING!$S:$S))</f>
        <v>0</v>
      </c>
      <c r="H2635" s="16">
        <f t="shared" si="83"/>
        <v>471008.24080894142</v>
      </c>
    </row>
    <row r="2636" spans="2:8" hidden="1" x14ac:dyDescent="0.4">
      <c r="B2636" s="1">
        <v>45185</v>
      </c>
      <c r="C2636" s="16">
        <f>SUMIF(매도완료!$G:$G,Sheet2!$B2636,매도완료!$P:$P)+SUMIF(ING!$G:$G,Sheet2!$B2636,ING!$P:$P)</f>
        <v>0</v>
      </c>
      <c r="D2636" s="16">
        <f>SUMIF(매도완료!$J:$J,Sheet2!$B2636,매도완료!$P:$P)+SUMIF(ING!$J:$J,Sheet2!$B2636,ING!$P:$P)</f>
        <v>0</v>
      </c>
      <c r="E2636" s="16">
        <f t="shared" si="82"/>
        <v>92330891.132399991</v>
      </c>
      <c r="G2636" s="16">
        <f>IF(D2636=0,0,SUMIF(매도완료!$J:$J,Sheet2!$B2636,매도완료!$S:$S))+IF(D2636=0,0,SUMIF(ING!$J:$J,Sheet2!$B2636,ING!$S:$S))</f>
        <v>0</v>
      </c>
      <c r="H2636" s="16">
        <f t="shared" si="83"/>
        <v>471008.24080894142</v>
      </c>
    </row>
    <row r="2637" spans="2:8" hidden="1" x14ac:dyDescent="0.4">
      <c r="B2637" s="1">
        <v>45186</v>
      </c>
      <c r="C2637" s="16">
        <f>SUMIF(매도완료!$G:$G,Sheet2!$B2637,매도완료!$P:$P)+SUMIF(ING!$G:$G,Sheet2!$B2637,ING!$P:$P)</f>
        <v>0</v>
      </c>
      <c r="D2637" s="16">
        <f>SUMIF(매도완료!$J:$J,Sheet2!$B2637,매도완료!$P:$P)+SUMIF(ING!$J:$J,Sheet2!$B2637,ING!$P:$P)</f>
        <v>0</v>
      </c>
      <c r="E2637" s="16">
        <f t="shared" si="82"/>
        <v>92330891.132399991</v>
      </c>
      <c r="G2637" s="16">
        <f>IF(D2637=0,0,SUMIF(매도완료!$J:$J,Sheet2!$B2637,매도완료!$S:$S))+IF(D2637=0,0,SUMIF(ING!$J:$J,Sheet2!$B2637,ING!$S:$S))</f>
        <v>0</v>
      </c>
      <c r="H2637" s="16">
        <f t="shared" si="83"/>
        <v>471008.24080894142</v>
      </c>
    </row>
    <row r="2638" spans="2:8" hidden="1" x14ac:dyDescent="0.4">
      <c r="B2638" s="1">
        <v>45187</v>
      </c>
      <c r="C2638" s="16">
        <f>SUMIF(매도완료!$G:$G,Sheet2!$B2638,매도완료!$P:$P)+SUMIF(ING!$G:$G,Sheet2!$B2638,ING!$P:$P)</f>
        <v>0</v>
      </c>
      <c r="D2638" s="16">
        <f>SUMIF(매도완료!$J:$J,Sheet2!$B2638,매도완료!$P:$P)+SUMIF(ING!$J:$J,Sheet2!$B2638,ING!$P:$P)</f>
        <v>0</v>
      </c>
      <c r="E2638" s="16">
        <f t="shared" si="82"/>
        <v>92330891.132399991</v>
      </c>
      <c r="G2638" s="16">
        <f>IF(D2638=0,0,SUMIF(매도완료!$J:$J,Sheet2!$B2638,매도완료!$S:$S))+IF(D2638=0,0,SUMIF(ING!$J:$J,Sheet2!$B2638,ING!$S:$S))</f>
        <v>0</v>
      </c>
      <c r="H2638" s="16">
        <f t="shared" si="83"/>
        <v>471008.24080894142</v>
      </c>
    </row>
    <row r="2639" spans="2:8" hidden="1" x14ac:dyDescent="0.4">
      <c r="B2639" s="1">
        <v>45188</v>
      </c>
      <c r="C2639" s="16">
        <f>SUMIF(매도완료!$G:$G,Sheet2!$B2639,매도완료!$P:$P)+SUMIF(ING!$G:$G,Sheet2!$B2639,ING!$P:$P)</f>
        <v>0</v>
      </c>
      <c r="D2639" s="16">
        <f>SUMIF(매도완료!$J:$J,Sheet2!$B2639,매도완료!$P:$P)+SUMIF(ING!$J:$J,Sheet2!$B2639,ING!$P:$P)</f>
        <v>0</v>
      </c>
      <c r="E2639" s="16">
        <f t="shared" si="82"/>
        <v>92330891.132399991</v>
      </c>
      <c r="G2639" s="16">
        <f>IF(D2639=0,0,SUMIF(매도완료!$J:$J,Sheet2!$B2639,매도완료!$S:$S))+IF(D2639=0,0,SUMIF(ING!$J:$J,Sheet2!$B2639,ING!$S:$S))</f>
        <v>0</v>
      </c>
      <c r="H2639" s="16">
        <f t="shared" si="83"/>
        <v>471008.24080894142</v>
      </c>
    </row>
    <row r="2640" spans="2:8" hidden="1" x14ac:dyDescent="0.4">
      <c r="B2640" s="1">
        <v>45189</v>
      </c>
      <c r="C2640" s="16">
        <f>SUMIF(매도완료!$G:$G,Sheet2!$B2640,매도완료!$P:$P)+SUMIF(ING!$G:$G,Sheet2!$B2640,ING!$P:$P)</f>
        <v>0</v>
      </c>
      <c r="D2640" s="16">
        <f>SUMIF(매도완료!$J:$J,Sheet2!$B2640,매도완료!$P:$P)+SUMIF(ING!$J:$J,Sheet2!$B2640,ING!$P:$P)</f>
        <v>0</v>
      </c>
      <c r="E2640" s="16">
        <f t="shared" si="82"/>
        <v>92330891.132399991</v>
      </c>
      <c r="G2640" s="16">
        <f>IF(D2640=0,0,SUMIF(매도완료!$J:$J,Sheet2!$B2640,매도완료!$S:$S))+IF(D2640=0,0,SUMIF(ING!$J:$J,Sheet2!$B2640,ING!$S:$S))</f>
        <v>0</v>
      </c>
      <c r="H2640" s="16">
        <f t="shared" si="83"/>
        <v>471008.24080894142</v>
      </c>
    </row>
    <row r="2641" spans="2:8" hidden="1" x14ac:dyDescent="0.4">
      <c r="B2641" s="1">
        <v>45190</v>
      </c>
      <c r="C2641" s="16">
        <f>SUMIF(매도완료!$G:$G,Sheet2!$B2641,매도완료!$P:$P)+SUMIF(ING!$G:$G,Sheet2!$B2641,ING!$P:$P)</f>
        <v>0</v>
      </c>
      <c r="D2641" s="16">
        <f>SUMIF(매도완료!$J:$J,Sheet2!$B2641,매도완료!$P:$P)+SUMIF(ING!$J:$J,Sheet2!$B2641,ING!$P:$P)</f>
        <v>0</v>
      </c>
      <c r="E2641" s="16">
        <f t="shared" si="82"/>
        <v>92330891.132399991</v>
      </c>
      <c r="G2641" s="16">
        <f>IF(D2641=0,0,SUMIF(매도완료!$J:$J,Sheet2!$B2641,매도완료!$S:$S))+IF(D2641=0,0,SUMIF(ING!$J:$J,Sheet2!$B2641,ING!$S:$S))</f>
        <v>0</v>
      </c>
      <c r="H2641" s="16">
        <f t="shared" si="83"/>
        <v>471008.24080894142</v>
      </c>
    </row>
    <row r="2642" spans="2:8" hidden="1" x14ac:dyDescent="0.4">
      <c r="B2642" s="1">
        <v>45191</v>
      </c>
      <c r="C2642" s="16">
        <f>SUMIF(매도완료!$G:$G,Sheet2!$B2642,매도완료!$P:$P)+SUMIF(ING!$G:$G,Sheet2!$B2642,ING!$P:$P)</f>
        <v>0</v>
      </c>
      <c r="D2642" s="16">
        <f>SUMIF(매도완료!$J:$J,Sheet2!$B2642,매도완료!$P:$P)+SUMIF(ING!$J:$J,Sheet2!$B2642,ING!$P:$P)</f>
        <v>0</v>
      </c>
      <c r="E2642" s="16">
        <f t="shared" si="82"/>
        <v>92330891.132399991</v>
      </c>
      <c r="G2642" s="16">
        <f>IF(D2642=0,0,SUMIF(매도완료!$J:$J,Sheet2!$B2642,매도완료!$S:$S))+IF(D2642=0,0,SUMIF(ING!$J:$J,Sheet2!$B2642,ING!$S:$S))</f>
        <v>0</v>
      </c>
      <c r="H2642" s="16">
        <f t="shared" si="83"/>
        <v>471008.24080894142</v>
      </c>
    </row>
    <row r="2643" spans="2:8" hidden="1" x14ac:dyDescent="0.4">
      <c r="B2643" s="1">
        <v>45192</v>
      </c>
      <c r="C2643" s="16">
        <f>SUMIF(매도완료!$G:$G,Sheet2!$B2643,매도완료!$P:$P)+SUMIF(ING!$G:$G,Sheet2!$B2643,ING!$P:$P)</f>
        <v>0</v>
      </c>
      <c r="D2643" s="16">
        <f>SUMIF(매도완료!$J:$J,Sheet2!$B2643,매도완료!$P:$P)+SUMIF(ING!$J:$J,Sheet2!$B2643,ING!$P:$P)</f>
        <v>0</v>
      </c>
      <c r="E2643" s="16">
        <f t="shared" si="82"/>
        <v>92330891.132399991</v>
      </c>
      <c r="G2643" s="16">
        <f>IF(D2643=0,0,SUMIF(매도완료!$J:$J,Sheet2!$B2643,매도완료!$S:$S))+IF(D2643=0,0,SUMIF(ING!$J:$J,Sheet2!$B2643,ING!$S:$S))</f>
        <v>0</v>
      </c>
      <c r="H2643" s="16">
        <f t="shared" si="83"/>
        <v>471008.24080894142</v>
      </c>
    </row>
    <row r="2644" spans="2:8" hidden="1" x14ac:dyDescent="0.4">
      <c r="B2644" s="1">
        <v>45193</v>
      </c>
      <c r="C2644" s="16">
        <f>SUMIF(매도완료!$G:$G,Sheet2!$B2644,매도완료!$P:$P)+SUMIF(ING!$G:$G,Sheet2!$B2644,ING!$P:$P)</f>
        <v>0</v>
      </c>
      <c r="D2644" s="16">
        <f>SUMIF(매도완료!$J:$J,Sheet2!$B2644,매도완료!$P:$P)+SUMIF(ING!$J:$J,Sheet2!$B2644,ING!$P:$P)</f>
        <v>0</v>
      </c>
      <c r="E2644" s="16">
        <f t="shared" si="82"/>
        <v>92330891.132399991</v>
      </c>
      <c r="G2644" s="16">
        <f>IF(D2644=0,0,SUMIF(매도완료!$J:$J,Sheet2!$B2644,매도완료!$S:$S))+IF(D2644=0,0,SUMIF(ING!$J:$J,Sheet2!$B2644,ING!$S:$S))</f>
        <v>0</v>
      </c>
      <c r="H2644" s="16">
        <f t="shared" si="83"/>
        <v>471008.24080894142</v>
      </c>
    </row>
    <row r="2645" spans="2:8" hidden="1" x14ac:dyDescent="0.4">
      <c r="B2645" s="1">
        <v>45194</v>
      </c>
      <c r="C2645" s="16">
        <f>SUMIF(매도완료!$G:$G,Sheet2!$B2645,매도완료!$P:$P)+SUMIF(ING!$G:$G,Sheet2!$B2645,ING!$P:$P)</f>
        <v>0</v>
      </c>
      <c r="D2645" s="16">
        <f>SUMIF(매도완료!$J:$J,Sheet2!$B2645,매도완료!$P:$P)+SUMIF(ING!$J:$J,Sheet2!$B2645,ING!$P:$P)</f>
        <v>0</v>
      </c>
      <c r="E2645" s="16">
        <f t="shared" si="82"/>
        <v>92330891.132399991</v>
      </c>
      <c r="G2645" s="16">
        <f>IF(D2645=0,0,SUMIF(매도완료!$J:$J,Sheet2!$B2645,매도완료!$S:$S))+IF(D2645=0,0,SUMIF(ING!$J:$J,Sheet2!$B2645,ING!$S:$S))</f>
        <v>0</v>
      </c>
      <c r="H2645" s="16">
        <f t="shared" si="83"/>
        <v>471008.24080894142</v>
      </c>
    </row>
    <row r="2646" spans="2:8" hidden="1" x14ac:dyDescent="0.4">
      <c r="B2646" s="1">
        <v>45195</v>
      </c>
      <c r="C2646" s="16">
        <f>SUMIF(매도완료!$G:$G,Sheet2!$B2646,매도완료!$P:$P)+SUMIF(ING!$G:$G,Sheet2!$B2646,ING!$P:$P)</f>
        <v>0</v>
      </c>
      <c r="D2646" s="16">
        <f>SUMIF(매도완료!$J:$J,Sheet2!$B2646,매도완료!$P:$P)+SUMIF(ING!$J:$J,Sheet2!$B2646,ING!$P:$P)</f>
        <v>0</v>
      </c>
      <c r="E2646" s="16">
        <f t="shared" si="82"/>
        <v>92330891.132399991</v>
      </c>
      <c r="G2646" s="16">
        <f>IF(D2646=0,0,SUMIF(매도완료!$J:$J,Sheet2!$B2646,매도완료!$S:$S))+IF(D2646=0,0,SUMIF(ING!$J:$J,Sheet2!$B2646,ING!$S:$S))</f>
        <v>0</v>
      </c>
      <c r="H2646" s="16">
        <f t="shared" si="83"/>
        <v>471008.24080894142</v>
      </c>
    </row>
    <row r="2647" spans="2:8" hidden="1" x14ac:dyDescent="0.4">
      <c r="B2647" s="1">
        <v>45196</v>
      </c>
      <c r="C2647" s="16">
        <f>SUMIF(매도완료!$G:$G,Sheet2!$B2647,매도완료!$P:$P)+SUMIF(ING!$G:$G,Sheet2!$B2647,ING!$P:$P)</f>
        <v>0</v>
      </c>
      <c r="D2647" s="16">
        <f>SUMIF(매도완료!$J:$J,Sheet2!$B2647,매도완료!$P:$P)+SUMIF(ING!$J:$J,Sheet2!$B2647,ING!$P:$P)</f>
        <v>0</v>
      </c>
      <c r="E2647" s="16">
        <f t="shared" si="82"/>
        <v>92330891.132399991</v>
      </c>
      <c r="G2647" s="16">
        <f>IF(D2647=0,0,SUMIF(매도완료!$J:$J,Sheet2!$B2647,매도완료!$S:$S))+IF(D2647=0,0,SUMIF(ING!$J:$J,Sheet2!$B2647,ING!$S:$S))</f>
        <v>0</v>
      </c>
      <c r="H2647" s="16">
        <f t="shared" si="83"/>
        <v>471008.24080894142</v>
      </c>
    </row>
    <row r="2648" spans="2:8" hidden="1" x14ac:dyDescent="0.4">
      <c r="B2648" s="1">
        <v>45197</v>
      </c>
      <c r="C2648" s="16">
        <f>SUMIF(매도완료!$G:$G,Sheet2!$B2648,매도완료!$P:$P)+SUMIF(ING!$G:$G,Sheet2!$B2648,ING!$P:$P)</f>
        <v>0</v>
      </c>
      <c r="D2648" s="16">
        <f>SUMIF(매도완료!$J:$J,Sheet2!$B2648,매도완료!$P:$P)+SUMIF(ING!$J:$J,Sheet2!$B2648,ING!$P:$P)</f>
        <v>0</v>
      </c>
      <c r="E2648" s="16">
        <f t="shared" si="82"/>
        <v>92330891.132399991</v>
      </c>
      <c r="G2648" s="16">
        <f>IF(D2648=0,0,SUMIF(매도완료!$J:$J,Sheet2!$B2648,매도완료!$S:$S))+IF(D2648=0,0,SUMIF(ING!$J:$J,Sheet2!$B2648,ING!$S:$S))</f>
        <v>0</v>
      </c>
      <c r="H2648" s="16">
        <f t="shared" si="83"/>
        <v>471008.24080894142</v>
      </c>
    </row>
    <row r="2649" spans="2:8" hidden="1" x14ac:dyDescent="0.4">
      <c r="B2649" s="1">
        <v>45198</v>
      </c>
      <c r="C2649" s="16">
        <f>SUMIF(매도완료!$G:$G,Sheet2!$B2649,매도완료!$P:$P)+SUMIF(ING!$G:$G,Sheet2!$B2649,ING!$P:$P)</f>
        <v>0</v>
      </c>
      <c r="D2649" s="16">
        <f>SUMIF(매도완료!$J:$J,Sheet2!$B2649,매도완료!$P:$P)+SUMIF(ING!$J:$J,Sheet2!$B2649,ING!$P:$P)</f>
        <v>0</v>
      </c>
      <c r="E2649" s="16">
        <f t="shared" si="82"/>
        <v>92330891.132399991</v>
      </c>
      <c r="G2649" s="16">
        <f>IF(D2649=0,0,SUMIF(매도완료!$J:$J,Sheet2!$B2649,매도완료!$S:$S))+IF(D2649=0,0,SUMIF(ING!$J:$J,Sheet2!$B2649,ING!$S:$S))</f>
        <v>0</v>
      </c>
      <c r="H2649" s="16">
        <f t="shared" si="83"/>
        <v>471008.24080894142</v>
      </c>
    </row>
    <row r="2650" spans="2:8" hidden="1" x14ac:dyDescent="0.4">
      <c r="B2650" s="1">
        <v>45199</v>
      </c>
      <c r="C2650" s="16">
        <f>SUMIF(매도완료!$G:$G,Sheet2!$B2650,매도완료!$P:$P)+SUMIF(ING!$G:$G,Sheet2!$B2650,ING!$P:$P)</f>
        <v>0</v>
      </c>
      <c r="D2650" s="16">
        <f>SUMIF(매도완료!$J:$J,Sheet2!$B2650,매도완료!$P:$P)+SUMIF(ING!$J:$J,Sheet2!$B2650,ING!$P:$P)</f>
        <v>0</v>
      </c>
      <c r="E2650" s="16">
        <f t="shared" si="82"/>
        <v>92330891.132399991</v>
      </c>
      <c r="G2650" s="16">
        <f>IF(D2650=0,0,SUMIF(매도완료!$J:$J,Sheet2!$B2650,매도완료!$S:$S))+IF(D2650=0,0,SUMIF(ING!$J:$J,Sheet2!$B2650,ING!$S:$S))</f>
        <v>0</v>
      </c>
      <c r="H2650" s="16">
        <f t="shared" si="83"/>
        <v>471008.24080894142</v>
      </c>
    </row>
    <row r="2651" spans="2:8" hidden="1" x14ac:dyDescent="0.4">
      <c r="B2651" s="1">
        <v>45200</v>
      </c>
      <c r="C2651" s="16">
        <f>SUMIF(매도완료!$G:$G,Sheet2!$B2651,매도완료!$P:$P)+SUMIF(ING!$G:$G,Sheet2!$B2651,ING!$P:$P)</f>
        <v>0</v>
      </c>
      <c r="D2651" s="16">
        <f>SUMIF(매도완료!$J:$J,Sheet2!$B2651,매도완료!$P:$P)+SUMIF(ING!$J:$J,Sheet2!$B2651,ING!$P:$P)</f>
        <v>0</v>
      </c>
      <c r="E2651" s="16">
        <f t="shared" si="82"/>
        <v>92330891.132399991</v>
      </c>
      <c r="G2651" s="16">
        <f>IF(D2651=0,0,SUMIF(매도완료!$J:$J,Sheet2!$B2651,매도완료!$S:$S))+IF(D2651=0,0,SUMIF(ING!$J:$J,Sheet2!$B2651,ING!$S:$S))</f>
        <v>0</v>
      </c>
      <c r="H2651" s="16">
        <f t="shared" si="83"/>
        <v>471008.24080894142</v>
      </c>
    </row>
    <row r="2652" spans="2:8" hidden="1" x14ac:dyDescent="0.4">
      <c r="B2652" s="1">
        <v>45201</v>
      </c>
      <c r="C2652" s="16">
        <f>SUMIF(매도완료!$G:$G,Sheet2!$B2652,매도완료!$P:$P)+SUMIF(ING!$G:$G,Sheet2!$B2652,ING!$P:$P)</f>
        <v>0</v>
      </c>
      <c r="D2652" s="16">
        <f>SUMIF(매도완료!$J:$J,Sheet2!$B2652,매도완료!$P:$P)+SUMIF(ING!$J:$J,Sheet2!$B2652,ING!$P:$P)</f>
        <v>0</v>
      </c>
      <c r="E2652" s="16">
        <f t="shared" si="82"/>
        <v>92330891.132399991</v>
      </c>
      <c r="G2652" s="16">
        <f>IF(D2652=0,0,SUMIF(매도완료!$J:$J,Sheet2!$B2652,매도완료!$S:$S))+IF(D2652=0,0,SUMIF(ING!$J:$J,Sheet2!$B2652,ING!$S:$S))</f>
        <v>0</v>
      </c>
      <c r="H2652" s="16">
        <f t="shared" si="83"/>
        <v>471008.24080894142</v>
      </c>
    </row>
    <row r="2653" spans="2:8" hidden="1" x14ac:dyDescent="0.4">
      <c r="B2653" s="1">
        <v>45202</v>
      </c>
      <c r="C2653" s="16">
        <f>SUMIF(매도완료!$G:$G,Sheet2!$B2653,매도완료!$P:$P)+SUMIF(ING!$G:$G,Sheet2!$B2653,ING!$P:$P)</f>
        <v>0</v>
      </c>
      <c r="D2653" s="16">
        <f>SUMIF(매도완료!$J:$J,Sheet2!$B2653,매도완료!$P:$P)+SUMIF(ING!$J:$J,Sheet2!$B2653,ING!$P:$P)</f>
        <v>0</v>
      </c>
      <c r="E2653" s="16">
        <f t="shared" si="82"/>
        <v>92330891.132399991</v>
      </c>
      <c r="G2653" s="16">
        <f>IF(D2653=0,0,SUMIF(매도완료!$J:$J,Sheet2!$B2653,매도완료!$S:$S))+IF(D2653=0,0,SUMIF(ING!$J:$J,Sheet2!$B2653,ING!$S:$S))</f>
        <v>0</v>
      </c>
      <c r="H2653" s="16">
        <f t="shared" si="83"/>
        <v>471008.24080894142</v>
      </c>
    </row>
    <row r="2654" spans="2:8" hidden="1" x14ac:dyDescent="0.4">
      <c r="B2654" s="1">
        <v>45203</v>
      </c>
      <c r="C2654" s="16">
        <f>SUMIF(매도완료!$G:$G,Sheet2!$B2654,매도완료!$P:$P)+SUMIF(ING!$G:$G,Sheet2!$B2654,ING!$P:$P)</f>
        <v>0</v>
      </c>
      <c r="D2654" s="16">
        <f>SUMIF(매도완료!$J:$J,Sheet2!$B2654,매도완료!$P:$P)+SUMIF(ING!$J:$J,Sheet2!$B2654,ING!$P:$P)</f>
        <v>0</v>
      </c>
      <c r="E2654" s="16">
        <f t="shared" si="82"/>
        <v>92330891.132399991</v>
      </c>
      <c r="G2654" s="16">
        <f>IF(D2654=0,0,SUMIF(매도완료!$J:$J,Sheet2!$B2654,매도완료!$S:$S))+IF(D2654=0,0,SUMIF(ING!$J:$J,Sheet2!$B2654,ING!$S:$S))</f>
        <v>0</v>
      </c>
      <c r="H2654" s="16">
        <f t="shared" si="83"/>
        <v>471008.24080894142</v>
      </c>
    </row>
    <row r="2655" spans="2:8" hidden="1" x14ac:dyDescent="0.4">
      <c r="B2655" s="1">
        <v>45204</v>
      </c>
      <c r="C2655" s="16">
        <f>SUMIF(매도완료!$G:$G,Sheet2!$B2655,매도완료!$P:$P)+SUMIF(ING!$G:$G,Sheet2!$B2655,ING!$P:$P)</f>
        <v>0</v>
      </c>
      <c r="D2655" s="16">
        <f>SUMIF(매도완료!$J:$J,Sheet2!$B2655,매도완료!$P:$P)+SUMIF(ING!$J:$J,Sheet2!$B2655,ING!$P:$P)</f>
        <v>0</v>
      </c>
      <c r="E2655" s="16">
        <f t="shared" si="82"/>
        <v>92330891.132399991</v>
      </c>
      <c r="G2655" s="16">
        <f>IF(D2655=0,0,SUMIF(매도완료!$J:$J,Sheet2!$B2655,매도완료!$S:$S))+IF(D2655=0,0,SUMIF(ING!$J:$J,Sheet2!$B2655,ING!$S:$S))</f>
        <v>0</v>
      </c>
      <c r="H2655" s="16">
        <f t="shared" si="83"/>
        <v>471008.24080894142</v>
      </c>
    </row>
    <row r="2656" spans="2:8" hidden="1" x14ac:dyDescent="0.4">
      <c r="B2656" s="1">
        <v>45205</v>
      </c>
      <c r="C2656" s="16">
        <f>SUMIF(매도완료!$G:$G,Sheet2!$B2656,매도완료!$P:$P)+SUMIF(ING!$G:$G,Sheet2!$B2656,ING!$P:$P)</f>
        <v>0</v>
      </c>
      <c r="D2656" s="16">
        <f>SUMIF(매도완료!$J:$J,Sheet2!$B2656,매도완료!$P:$P)+SUMIF(ING!$J:$J,Sheet2!$B2656,ING!$P:$P)</f>
        <v>0</v>
      </c>
      <c r="E2656" s="16">
        <f t="shared" si="82"/>
        <v>92330891.132399991</v>
      </c>
      <c r="G2656" s="16">
        <f>IF(D2656=0,0,SUMIF(매도완료!$J:$J,Sheet2!$B2656,매도완료!$S:$S))+IF(D2656=0,0,SUMIF(ING!$J:$J,Sheet2!$B2656,ING!$S:$S))</f>
        <v>0</v>
      </c>
      <c r="H2656" s="16">
        <f t="shared" si="83"/>
        <v>471008.24080894142</v>
      </c>
    </row>
    <row r="2657" spans="2:8" hidden="1" x14ac:dyDescent="0.4">
      <c r="B2657" s="1">
        <v>45206</v>
      </c>
      <c r="C2657" s="16">
        <f>SUMIF(매도완료!$G:$G,Sheet2!$B2657,매도완료!$P:$P)+SUMIF(ING!$G:$G,Sheet2!$B2657,ING!$P:$P)</f>
        <v>0</v>
      </c>
      <c r="D2657" s="16">
        <f>SUMIF(매도완료!$J:$J,Sheet2!$B2657,매도완료!$P:$P)+SUMIF(ING!$J:$J,Sheet2!$B2657,ING!$P:$P)</f>
        <v>0</v>
      </c>
      <c r="E2657" s="16">
        <f t="shared" si="82"/>
        <v>92330891.132399991</v>
      </c>
      <c r="G2657" s="16">
        <f>IF(D2657=0,0,SUMIF(매도완료!$J:$J,Sheet2!$B2657,매도완료!$S:$S))+IF(D2657=0,0,SUMIF(ING!$J:$J,Sheet2!$B2657,ING!$S:$S))</f>
        <v>0</v>
      </c>
      <c r="H2657" s="16">
        <f t="shared" si="83"/>
        <v>471008.24080894142</v>
      </c>
    </row>
    <row r="2658" spans="2:8" hidden="1" x14ac:dyDescent="0.4">
      <c r="B2658" s="1">
        <v>45207</v>
      </c>
      <c r="C2658" s="16">
        <f>SUMIF(매도완료!$G:$G,Sheet2!$B2658,매도완료!$P:$P)+SUMIF(ING!$G:$G,Sheet2!$B2658,ING!$P:$P)</f>
        <v>0</v>
      </c>
      <c r="D2658" s="16">
        <f>SUMIF(매도완료!$J:$J,Sheet2!$B2658,매도완료!$P:$P)+SUMIF(ING!$J:$J,Sheet2!$B2658,ING!$P:$P)</f>
        <v>0</v>
      </c>
      <c r="E2658" s="16">
        <f t="shared" si="82"/>
        <v>92330891.132399991</v>
      </c>
      <c r="G2658" s="16">
        <f>IF(D2658=0,0,SUMIF(매도완료!$J:$J,Sheet2!$B2658,매도완료!$S:$S))+IF(D2658=0,0,SUMIF(ING!$J:$J,Sheet2!$B2658,ING!$S:$S))</f>
        <v>0</v>
      </c>
      <c r="H2658" s="16">
        <f t="shared" si="83"/>
        <v>471008.24080894142</v>
      </c>
    </row>
    <row r="2659" spans="2:8" hidden="1" x14ac:dyDescent="0.4">
      <c r="B2659" s="1">
        <v>45208</v>
      </c>
      <c r="C2659" s="16">
        <f>SUMIF(매도완료!$G:$G,Sheet2!$B2659,매도완료!$P:$P)+SUMIF(ING!$G:$G,Sheet2!$B2659,ING!$P:$P)</f>
        <v>0</v>
      </c>
      <c r="D2659" s="16">
        <f>SUMIF(매도완료!$J:$J,Sheet2!$B2659,매도완료!$P:$P)+SUMIF(ING!$J:$J,Sheet2!$B2659,ING!$P:$P)</f>
        <v>0</v>
      </c>
      <c r="E2659" s="16">
        <f t="shared" si="82"/>
        <v>92330891.132399991</v>
      </c>
      <c r="G2659" s="16">
        <f>IF(D2659=0,0,SUMIF(매도완료!$J:$J,Sheet2!$B2659,매도완료!$S:$S))+IF(D2659=0,0,SUMIF(ING!$J:$J,Sheet2!$B2659,ING!$S:$S))</f>
        <v>0</v>
      </c>
      <c r="H2659" s="16">
        <f t="shared" si="83"/>
        <v>471008.24080894142</v>
      </c>
    </row>
    <row r="2660" spans="2:8" hidden="1" x14ac:dyDescent="0.4">
      <c r="B2660" s="1">
        <v>45209</v>
      </c>
      <c r="C2660" s="16">
        <f>SUMIF(매도완료!$G:$G,Sheet2!$B2660,매도완료!$P:$P)+SUMIF(ING!$G:$G,Sheet2!$B2660,ING!$P:$P)</f>
        <v>0</v>
      </c>
      <c r="D2660" s="16">
        <f>SUMIF(매도완료!$J:$J,Sheet2!$B2660,매도완료!$P:$P)+SUMIF(ING!$J:$J,Sheet2!$B2660,ING!$P:$P)</f>
        <v>0</v>
      </c>
      <c r="E2660" s="16">
        <f t="shared" si="82"/>
        <v>92330891.132399991</v>
      </c>
      <c r="G2660" s="16">
        <f>IF(D2660=0,0,SUMIF(매도완료!$J:$J,Sheet2!$B2660,매도완료!$S:$S))+IF(D2660=0,0,SUMIF(ING!$J:$J,Sheet2!$B2660,ING!$S:$S))</f>
        <v>0</v>
      </c>
      <c r="H2660" s="16">
        <f t="shared" si="83"/>
        <v>471008.24080894142</v>
      </c>
    </row>
    <row r="2661" spans="2:8" hidden="1" x14ac:dyDescent="0.4">
      <c r="B2661" s="1">
        <v>45210</v>
      </c>
      <c r="C2661" s="16">
        <f>SUMIF(매도완료!$G:$G,Sheet2!$B2661,매도완료!$P:$P)+SUMIF(ING!$G:$G,Sheet2!$B2661,ING!$P:$P)</f>
        <v>0</v>
      </c>
      <c r="D2661" s="16">
        <f>SUMIF(매도완료!$J:$J,Sheet2!$B2661,매도완료!$P:$P)+SUMIF(ING!$J:$J,Sheet2!$B2661,ING!$P:$P)</f>
        <v>0</v>
      </c>
      <c r="E2661" s="16">
        <f t="shared" si="82"/>
        <v>92330891.132399991</v>
      </c>
      <c r="G2661" s="16">
        <f>IF(D2661=0,0,SUMIF(매도완료!$J:$J,Sheet2!$B2661,매도완료!$S:$S))+IF(D2661=0,0,SUMIF(ING!$J:$J,Sheet2!$B2661,ING!$S:$S))</f>
        <v>0</v>
      </c>
      <c r="H2661" s="16">
        <f t="shared" si="83"/>
        <v>471008.24080894142</v>
      </c>
    </row>
    <row r="2662" spans="2:8" hidden="1" x14ac:dyDescent="0.4">
      <c r="B2662" s="1">
        <v>45211</v>
      </c>
      <c r="C2662" s="16">
        <f>SUMIF(매도완료!$G:$G,Sheet2!$B2662,매도완료!$P:$P)+SUMIF(ING!$G:$G,Sheet2!$B2662,ING!$P:$P)</f>
        <v>0</v>
      </c>
      <c r="D2662" s="16">
        <f>SUMIF(매도완료!$J:$J,Sheet2!$B2662,매도완료!$P:$P)+SUMIF(ING!$J:$J,Sheet2!$B2662,ING!$P:$P)</f>
        <v>0</v>
      </c>
      <c r="E2662" s="16">
        <f t="shared" si="82"/>
        <v>92330891.132399991</v>
      </c>
      <c r="G2662" s="16">
        <f>IF(D2662=0,0,SUMIF(매도완료!$J:$J,Sheet2!$B2662,매도완료!$S:$S))+IF(D2662=0,0,SUMIF(ING!$J:$J,Sheet2!$B2662,ING!$S:$S))</f>
        <v>0</v>
      </c>
      <c r="H2662" s="16">
        <f t="shared" si="83"/>
        <v>471008.24080894142</v>
      </c>
    </row>
    <row r="2663" spans="2:8" hidden="1" x14ac:dyDescent="0.4">
      <c r="B2663" s="1">
        <v>45212</v>
      </c>
      <c r="C2663" s="16">
        <f>SUMIF(매도완료!$G:$G,Sheet2!$B2663,매도완료!$P:$P)+SUMIF(ING!$G:$G,Sheet2!$B2663,ING!$P:$P)</f>
        <v>0</v>
      </c>
      <c r="D2663" s="16">
        <f>SUMIF(매도완료!$J:$J,Sheet2!$B2663,매도완료!$P:$P)+SUMIF(ING!$J:$J,Sheet2!$B2663,ING!$P:$P)</f>
        <v>0</v>
      </c>
      <c r="E2663" s="16">
        <f t="shared" si="82"/>
        <v>92330891.132399991</v>
      </c>
      <c r="G2663" s="16">
        <f>IF(D2663=0,0,SUMIF(매도완료!$J:$J,Sheet2!$B2663,매도완료!$S:$S))+IF(D2663=0,0,SUMIF(ING!$J:$J,Sheet2!$B2663,ING!$S:$S))</f>
        <v>0</v>
      </c>
      <c r="H2663" s="16">
        <f t="shared" si="83"/>
        <v>471008.24080894142</v>
      </c>
    </row>
    <row r="2664" spans="2:8" hidden="1" x14ac:dyDescent="0.4">
      <c r="B2664" s="1">
        <v>45213</v>
      </c>
      <c r="C2664" s="16">
        <f>SUMIF(매도완료!$G:$G,Sheet2!$B2664,매도완료!$P:$P)+SUMIF(ING!$G:$G,Sheet2!$B2664,ING!$P:$P)</f>
        <v>0</v>
      </c>
      <c r="D2664" s="16">
        <f>SUMIF(매도완료!$J:$J,Sheet2!$B2664,매도완료!$P:$P)+SUMIF(ING!$J:$J,Sheet2!$B2664,ING!$P:$P)</f>
        <v>0</v>
      </c>
      <c r="E2664" s="16">
        <f t="shared" si="82"/>
        <v>92330891.132399991</v>
      </c>
      <c r="G2664" s="16">
        <f>IF(D2664=0,0,SUMIF(매도완료!$J:$J,Sheet2!$B2664,매도완료!$S:$S))+IF(D2664=0,0,SUMIF(ING!$J:$J,Sheet2!$B2664,ING!$S:$S))</f>
        <v>0</v>
      </c>
      <c r="H2664" s="16">
        <f t="shared" si="83"/>
        <v>471008.24080894142</v>
      </c>
    </row>
    <row r="2665" spans="2:8" hidden="1" x14ac:dyDescent="0.4">
      <c r="B2665" s="1">
        <v>45214</v>
      </c>
      <c r="C2665" s="16">
        <f>SUMIF(매도완료!$G:$G,Sheet2!$B2665,매도완료!$P:$P)+SUMIF(ING!$G:$G,Sheet2!$B2665,ING!$P:$P)</f>
        <v>0</v>
      </c>
      <c r="D2665" s="16">
        <f>SUMIF(매도완료!$J:$J,Sheet2!$B2665,매도완료!$P:$P)+SUMIF(ING!$J:$J,Sheet2!$B2665,ING!$P:$P)</f>
        <v>0</v>
      </c>
      <c r="E2665" s="16">
        <f t="shared" si="82"/>
        <v>92330891.132399991</v>
      </c>
      <c r="G2665" s="16">
        <f>IF(D2665=0,0,SUMIF(매도완료!$J:$J,Sheet2!$B2665,매도완료!$S:$S))+IF(D2665=0,0,SUMIF(ING!$J:$J,Sheet2!$B2665,ING!$S:$S))</f>
        <v>0</v>
      </c>
      <c r="H2665" s="16">
        <f t="shared" si="83"/>
        <v>471008.24080894142</v>
      </c>
    </row>
    <row r="2666" spans="2:8" hidden="1" x14ac:dyDescent="0.4">
      <c r="B2666" s="1">
        <v>45215</v>
      </c>
      <c r="C2666" s="16">
        <f>SUMIF(매도완료!$G:$G,Sheet2!$B2666,매도완료!$P:$P)+SUMIF(ING!$G:$G,Sheet2!$B2666,ING!$P:$P)</f>
        <v>0</v>
      </c>
      <c r="D2666" s="16">
        <f>SUMIF(매도완료!$J:$J,Sheet2!$B2666,매도완료!$P:$P)+SUMIF(ING!$J:$J,Sheet2!$B2666,ING!$P:$P)</f>
        <v>0</v>
      </c>
      <c r="E2666" s="16">
        <f t="shared" si="82"/>
        <v>92330891.132399991</v>
      </c>
      <c r="G2666" s="16">
        <f>IF(D2666=0,0,SUMIF(매도완료!$J:$J,Sheet2!$B2666,매도완료!$S:$S))+IF(D2666=0,0,SUMIF(ING!$J:$J,Sheet2!$B2666,ING!$S:$S))</f>
        <v>0</v>
      </c>
      <c r="H2666" s="16">
        <f t="shared" si="83"/>
        <v>471008.24080894142</v>
      </c>
    </row>
    <row r="2667" spans="2:8" hidden="1" x14ac:dyDescent="0.4">
      <c r="B2667" s="1">
        <v>45216</v>
      </c>
      <c r="C2667" s="16">
        <f>SUMIF(매도완료!$G:$G,Sheet2!$B2667,매도완료!$P:$P)+SUMIF(ING!$G:$G,Sheet2!$B2667,ING!$P:$P)</f>
        <v>0</v>
      </c>
      <c r="D2667" s="16">
        <f>SUMIF(매도완료!$J:$J,Sheet2!$B2667,매도완료!$P:$P)+SUMIF(ING!$J:$J,Sheet2!$B2667,ING!$P:$P)</f>
        <v>0</v>
      </c>
      <c r="E2667" s="16">
        <f t="shared" si="82"/>
        <v>92330891.132399991</v>
      </c>
      <c r="G2667" s="16">
        <f>IF(D2667=0,0,SUMIF(매도완료!$J:$J,Sheet2!$B2667,매도완료!$S:$S))+IF(D2667=0,0,SUMIF(ING!$J:$J,Sheet2!$B2667,ING!$S:$S))</f>
        <v>0</v>
      </c>
      <c r="H2667" s="16">
        <f t="shared" si="83"/>
        <v>471008.24080894142</v>
      </c>
    </row>
    <row r="2668" spans="2:8" hidden="1" x14ac:dyDescent="0.4">
      <c r="B2668" s="1">
        <v>45217</v>
      </c>
      <c r="C2668" s="16">
        <f>SUMIF(매도완료!$G:$G,Sheet2!$B2668,매도완료!$P:$P)+SUMIF(ING!$G:$G,Sheet2!$B2668,ING!$P:$P)</f>
        <v>0</v>
      </c>
      <c r="D2668" s="16">
        <f>SUMIF(매도완료!$J:$J,Sheet2!$B2668,매도완료!$P:$P)+SUMIF(ING!$J:$J,Sheet2!$B2668,ING!$P:$P)</f>
        <v>0</v>
      </c>
      <c r="E2668" s="16">
        <f t="shared" si="82"/>
        <v>92330891.132399991</v>
      </c>
      <c r="G2668" s="16">
        <f>IF(D2668=0,0,SUMIF(매도완료!$J:$J,Sheet2!$B2668,매도완료!$S:$S))+IF(D2668=0,0,SUMIF(ING!$J:$J,Sheet2!$B2668,ING!$S:$S))</f>
        <v>0</v>
      </c>
      <c r="H2668" s="16">
        <f t="shared" si="83"/>
        <v>471008.24080894142</v>
      </c>
    </row>
    <row r="2669" spans="2:8" hidden="1" x14ac:dyDescent="0.4">
      <c r="B2669" s="1">
        <v>45218</v>
      </c>
      <c r="C2669" s="16">
        <f>SUMIF(매도완료!$G:$G,Sheet2!$B2669,매도완료!$P:$P)+SUMIF(ING!$G:$G,Sheet2!$B2669,ING!$P:$P)</f>
        <v>0</v>
      </c>
      <c r="D2669" s="16">
        <f>SUMIF(매도완료!$J:$J,Sheet2!$B2669,매도완료!$P:$P)+SUMIF(ING!$J:$J,Sheet2!$B2669,ING!$P:$P)</f>
        <v>0</v>
      </c>
      <c r="E2669" s="16">
        <f t="shared" si="82"/>
        <v>92330891.132399991</v>
      </c>
      <c r="G2669" s="16">
        <f>IF(D2669=0,0,SUMIF(매도완료!$J:$J,Sheet2!$B2669,매도완료!$S:$S))+IF(D2669=0,0,SUMIF(ING!$J:$J,Sheet2!$B2669,ING!$S:$S))</f>
        <v>0</v>
      </c>
      <c r="H2669" s="16">
        <f t="shared" si="83"/>
        <v>471008.24080894142</v>
      </c>
    </row>
    <row r="2670" spans="2:8" hidden="1" x14ac:dyDescent="0.4">
      <c r="B2670" s="1">
        <v>45219</v>
      </c>
      <c r="C2670" s="16">
        <f>SUMIF(매도완료!$G:$G,Sheet2!$B2670,매도완료!$P:$P)+SUMIF(ING!$G:$G,Sheet2!$B2670,ING!$P:$P)</f>
        <v>0</v>
      </c>
      <c r="D2670" s="16">
        <f>SUMIF(매도완료!$J:$J,Sheet2!$B2670,매도완료!$P:$P)+SUMIF(ING!$J:$J,Sheet2!$B2670,ING!$P:$P)</f>
        <v>0</v>
      </c>
      <c r="E2670" s="16">
        <f t="shared" si="82"/>
        <v>92330891.132399991</v>
      </c>
      <c r="G2670" s="16">
        <f>IF(D2670=0,0,SUMIF(매도완료!$J:$J,Sheet2!$B2670,매도완료!$S:$S))+IF(D2670=0,0,SUMIF(ING!$J:$J,Sheet2!$B2670,ING!$S:$S))</f>
        <v>0</v>
      </c>
      <c r="H2670" s="16">
        <f t="shared" si="83"/>
        <v>471008.24080894142</v>
      </c>
    </row>
    <row r="2671" spans="2:8" hidden="1" x14ac:dyDescent="0.4">
      <c r="B2671" s="1">
        <v>45220</v>
      </c>
      <c r="C2671" s="16">
        <f>SUMIF(매도완료!$G:$G,Sheet2!$B2671,매도완료!$P:$P)+SUMIF(ING!$G:$G,Sheet2!$B2671,ING!$P:$P)</f>
        <v>0</v>
      </c>
      <c r="D2671" s="16">
        <f>SUMIF(매도완료!$J:$J,Sheet2!$B2671,매도완료!$P:$P)+SUMIF(ING!$J:$J,Sheet2!$B2671,ING!$P:$P)</f>
        <v>0</v>
      </c>
      <c r="E2671" s="16">
        <f t="shared" si="82"/>
        <v>92330891.132399991</v>
      </c>
      <c r="G2671" s="16">
        <f>IF(D2671=0,0,SUMIF(매도완료!$J:$J,Sheet2!$B2671,매도완료!$S:$S))+IF(D2671=0,0,SUMIF(ING!$J:$J,Sheet2!$B2671,ING!$S:$S))</f>
        <v>0</v>
      </c>
      <c r="H2671" s="16">
        <f t="shared" si="83"/>
        <v>471008.24080894142</v>
      </c>
    </row>
    <row r="2672" spans="2:8" hidden="1" x14ac:dyDescent="0.4">
      <c r="B2672" s="1">
        <v>45221</v>
      </c>
      <c r="C2672" s="16">
        <f>SUMIF(매도완료!$G:$G,Sheet2!$B2672,매도완료!$P:$P)+SUMIF(ING!$G:$G,Sheet2!$B2672,ING!$P:$P)</f>
        <v>0</v>
      </c>
      <c r="D2672" s="16">
        <f>SUMIF(매도완료!$J:$J,Sheet2!$B2672,매도완료!$P:$P)+SUMIF(ING!$J:$J,Sheet2!$B2672,ING!$P:$P)</f>
        <v>0</v>
      </c>
      <c r="E2672" s="16">
        <f t="shared" si="82"/>
        <v>92330891.132399991</v>
      </c>
      <c r="G2672" s="16">
        <f>IF(D2672=0,0,SUMIF(매도완료!$J:$J,Sheet2!$B2672,매도완료!$S:$S))+IF(D2672=0,0,SUMIF(ING!$J:$J,Sheet2!$B2672,ING!$S:$S))</f>
        <v>0</v>
      </c>
      <c r="H2672" s="16">
        <f t="shared" si="83"/>
        <v>471008.24080894142</v>
      </c>
    </row>
    <row r="2673" spans="2:8" hidden="1" x14ac:dyDescent="0.4">
      <c r="B2673" s="1">
        <v>45222</v>
      </c>
      <c r="C2673" s="16">
        <f>SUMIF(매도완료!$G:$G,Sheet2!$B2673,매도완료!$P:$P)+SUMIF(ING!$G:$G,Sheet2!$B2673,ING!$P:$P)</f>
        <v>0</v>
      </c>
      <c r="D2673" s="16">
        <f>SUMIF(매도완료!$J:$J,Sheet2!$B2673,매도완료!$P:$P)+SUMIF(ING!$J:$J,Sheet2!$B2673,ING!$P:$P)</f>
        <v>0</v>
      </c>
      <c r="E2673" s="16">
        <f t="shared" si="82"/>
        <v>92330891.132399991</v>
      </c>
      <c r="G2673" s="16">
        <f>IF(D2673=0,0,SUMIF(매도완료!$J:$J,Sheet2!$B2673,매도완료!$S:$S))+IF(D2673=0,0,SUMIF(ING!$J:$J,Sheet2!$B2673,ING!$S:$S))</f>
        <v>0</v>
      </c>
      <c r="H2673" s="16">
        <f t="shared" si="83"/>
        <v>471008.24080894142</v>
      </c>
    </row>
    <row r="2674" spans="2:8" hidden="1" x14ac:dyDescent="0.4">
      <c r="B2674" s="1">
        <v>45223</v>
      </c>
      <c r="C2674" s="16">
        <f>SUMIF(매도완료!$G:$G,Sheet2!$B2674,매도완료!$P:$P)+SUMIF(ING!$G:$G,Sheet2!$B2674,ING!$P:$P)</f>
        <v>0</v>
      </c>
      <c r="D2674" s="16">
        <f>SUMIF(매도완료!$J:$J,Sheet2!$B2674,매도완료!$P:$P)+SUMIF(ING!$J:$J,Sheet2!$B2674,ING!$P:$P)</f>
        <v>0</v>
      </c>
      <c r="E2674" s="16">
        <f t="shared" si="82"/>
        <v>92330891.132399991</v>
      </c>
      <c r="G2674" s="16">
        <f>IF(D2674=0,0,SUMIF(매도완료!$J:$J,Sheet2!$B2674,매도완료!$S:$S))+IF(D2674=0,0,SUMIF(ING!$J:$J,Sheet2!$B2674,ING!$S:$S))</f>
        <v>0</v>
      </c>
      <c r="H2674" s="16">
        <f t="shared" si="83"/>
        <v>471008.24080894142</v>
      </c>
    </row>
    <row r="2675" spans="2:8" hidden="1" x14ac:dyDescent="0.4">
      <c r="B2675" s="1">
        <v>45224</v>
      </c>
      <c r="C2675" s="16">
        <f>SUMIF(매도완료!$G:$G,Sheet2!$B2675,매도완료!$P:$P)+SUMIF(ING!$G:$G,Sheet2!$B2675,ING!$P:$P)</f>
        <v>0</v>
      </c>
      <c r="D2675" s="16">
        <f>SUMIF(매도완료!$J:$J,Sheet2!$B2675,매도완료!$P:$P)+SUMIF(ING!$J:$J,Sheet2!$B2675,ING!$P:$P)</f>
        <v>0</v>
      </c>
      <c r="E2675" s="16">
        <f t="shared" si="82"/>
        <v>92330891.132399991</v>
      </c>
      <c r="G2675" s="16">
        <f>IF(D2675=0,0,SUMIF(매도완료!$J:$J,Sheet2!$B2675,매도완료!$S:$S))+IF(D2675=0,0,SUMIF(ING!$J:$J,Sheet2!$B2675,ING!$S:$S))</f>
        <v>0</v>
      </c>
      <c r="H2675" s="16">
        <f t="shared" si="83"/>
        <v>471008.24080894142</v>
      </c>
    </row>
    <row r="2676" spans="2:8" hidden="1" x14ac:dyDescent="0.4">
      <c r="B2676" s="1">
        <v>45225</v>
      </c>
      <c r="C2676" s="16">
        <f>SUMIF(매도완료!$G:$G,Sheet2!$B2676,매도완료!$P:$P)+SUMIF(ING!$G:$G,Sheet2!$B2676,ING!$P:$P)</f>
        <v>0</v>
      </c>
      <c r="D2676" s="16">
        <f>SUMIF(매도완료!$J:$J,Sheet2!$B2676,매도완료!$P:$P)+SUMIF(ING!$J:$J,Sheet2!$B2676,ING!$P:$P)</f>
        <v>0</v>
      </c>
      <c r="E2676" s="16">
        <f t="shared" si="82"/>
        <v>92330891.132399991</v>
      </c>
      <c r="G2676" s="16">
        <f>IF(D2676=0,0,SUMIF(매도완료!$J:$J,Sheet2!$B2676,매도완료!$S:$S))+IF(D2676=0,0,SUMIF(ING!$J:$J,Sheet2!$B2676,ING!$S:$S))</f>
        <v>0</v>
      </c>
      <c r="H2676" s="16">
        <f t="shared" si="83"/>
        <v>471008.24080894142</v>
      </c>
    </row>
    <row r="2677" spans="2:8" hidden="1" x14ac:dyDescent="0.4">
      <c r="B2677" s="1">
        <v>45226</v>
      </c>
      <c r="C2677" s="16">
        <f>SUMIF(매도완료!$G:$G,Sheet2!$B2677,매도완료!$P:$P)+SUMIF(ING!$G:$G,Sheet2!$B2677,ING!$P:$P)</f>
        <v>0</v>
      </c>
      <c r="D2677" s="16">
        <f>SUMIF(매도완료!$J:$J,Sheet2!$B2677,매도완료!$P:$P)+SUMIF(ING!$J:$J,Sheet2!$B2677,ING!$P:$P)</f>
        <v>0</v>
      </c>
      <c r="E2677" s="16">
        <f t="shared" si="82"/>
        <v>92330891.132399991</v>
      </c>
      <c r="G2677" s="16">
        <f>IF(D2677=0,0,SUMIF(매도완료!$J:$J,Sheet2!$B2677,매도완료!$S:$S))+IF(D2677=0,0,SUMIF(ING!$J:$J,Sheet2!$B2677,ING!$S:$S))</f>
        <v>0</v>
      </c>
      <c r="H2677" s="16">
        <f t="shared" si="83"/>
        <v>471008.24080894142</v>
      </c>
    </row>
    <row r="2678" spans="2:8" hidden="1" x14ac:dyDescent="0.4">
      <c r="B2678" s="1">
        <v>45227</v>
      </c>
      <c r="C2678" s="16">
        <f>SUMIF(매도완료!$G:$G,Sheet2!$B2678,매도완료!$P:$P)+SUMIF(ING!$G:$G,Sheet2!$B2678,ING!$P:$P)</f>
        <v>0</v>
      </c>
      <c r="D2678" s="16">
        <f>SUMIF(매도완료!$J:$J,Sheet2!$B2678,매도완료!$P:$P)+SUMIF(ING!$J:$J,Sheet2!$B2678,ING!$P:$P)</f>
        <v>0</v>
      </c>
      <c r="E2678" s="16">
        <f t="shared" si="82"/>
        <v>92330891.132399991</v>
      </c>
      <c r="G2678" s="16">
        <f>IF(D2678=0,0,SUMIF(매도완료!$J:$J,Sheet2!$B2678,매도완료!$S:$S))+IF(D2678=0,0,SUMIF(ING!$J:$J,Sheet2!$B2678,ING!$S:$S))</f>
        <v>0</v>
      </c>
      <c r="H2678" s="16">
        <f t="shared" si="83"/>
        <v>471008.24080894142</v>
      </c>
    </row>
    <row r="2679" spans="2:8" hidden="1" x14ac:dyDescent="0.4">
      <c r="B2679" s="1">
        <v>45228</v>
      </c>
      <c r="C2679" s="16">
        <f>SUMIF(매도완료!$G:$G,Sheet2!$B2679,매도완료!$P:$P)+SUMIF(ING!$G:$G,Sheet2!$B2679,ING!$P:$P)</f>
        <v>0</v>
      </c>
      <c r="D2679" s="16">
        <f>SUMIF(매도완료!$J:$J,Sheet2!$B2679,매도완료!$P:$P)+SUMIF(ING!$J:$J,Sheet2!$B2679,ING!$P:$P)</f>
        <v>0</v>
      </c>
      <c r="E2679" s="16">
        <f t="shared" si="82"/>
        <v>92330891.132399991</v>
      </c>
      <c r="G2679" s="16">
        <f>IF(D2679=0,0,SUMIF(매도완료!$J:$J,Sheet2!$B2679,매도완료!$S:$S))+IF(D2679=0,0,SUMIF(ING!$J:$J,Sheet2!$B2679,ING!$S:$S))</f>
        <v>0</v>
      </c>
      <c r="H2679" s="16">
        <f t="shared" si="83"/>
        <v>471008.24080894142</v>
      </c>
    </row>
    <row r="2680" spans="2:8" hidden="1" x14ac:dyDescent="0.4">
      <c r="B2680" s="1">
        <v>45229</v>
      </c>
      <c r="C2680" s="16">
        <f>SUMIF(매도완료!$G:$G,Sheet2!$B2680,매도완료!$P:$P)+SUMIF(ING!$G:$G,Sheet2!$B2680,ING!$P:$P)</f>
        <v>0</v>
      </c>
      <c r="D2680" s="16">
        <f>SUMIF(매도완료!$J:$J,Sheet2!$B2680,매도완료!$P:$P)+SUMIF(ING!$J:$J,Sheet2!$B2680,ING!$P:$P)</f>
        <v>0</v>
      </c>
      <c r="E2680" s="16">
        <f t="shared" si="82"/>
        <v>92330891.132399991</v>
      </c>
      <c r="G2680" s="16">
        <f>IF(D2680=0,0,SUMIF(매도완료!$J:$J,Sheet2!$B2680,매도완료!$S:$S))+IF(D2680=0,0,SUMIF(ING!$J:$J,Sheet2!$B2680,ING!$S:$S))</f>
        <v>0</v>
      </c>
      <c r="H2680" s="16">
        <f t="shared" si="83"/>
        <v>471008.24080894142</v>
      </c>
    </row>
    <row r="2681" spans="2:8" hidden="1" x14ac:dyDescent="0.4">
      <c r="B2681" s="1">
        <v>45230</v>
      </c>
      <c r="C2681" s="16">
        <f>SUMIF(매도완료!$G:$G,Sheet2!$B2681,매도완료!$P:$P)+SUMIF(ING!$G:$G,Sheet2!$B2681,ING!$P:$P)</f>
        <v>0</v>
      </c>
      <c r="D2681" s="16">
        <f>SUMIF(매도완료!$J:$J,Sheet2!$B2681,매도완료!$P:$P)+SUMIF(ING!$J:$J,Sheet2!$B2681,ING!$P:$P)</f>
        <v>0</v>
      </c>
      <c r="E2681" s="16">
        <f t="shared" si="82"/>
        <v>92330891.132399991</v>
      </c>
      <c r="G2681" s="16">
        <f>IF(D2681=0,0,SUMIF(매도완료!$J:$J,Sheet2!$B2681,매도완료!$S:$S))+IF(D2681=0,0,SUMIF(ING!$J:$J,Sheet2!$B2681,ING!$S:$S))</f>
        <v>0</v>
      </c>
      <c r="H2681" s="16">
        <f t="shared" si="83"/>
        <v>471008.24080894142</v>
      </c>
    </row>
    <row r="2682" spans="2:8" hidden="1" x14ac:dyDescent="0.4">
      <c r="B2682" s="1">
        <v>45231</v>
      </c>
      <c r="C2682" s="16">
        <f>SUMIF(매도완료!$G:$G,Sheet2!$B2682,매도완료!$P:$P)+SUMIF(ING!$G:$G,Sheet2!$B2682,ING!$P:$P)</f>
        <v>0</v>
      </c>
      <c r="D2682" s="16">
        <f>SUMIF(매도완료!$J:$J,Sheet2!$B2682,매도완료!$P:$P)+SUMIF(ING!$J:$J,Sheet2!$B2682,ING!$P:$P)</f>
        <v>0</v>
      </c>
      <c r="E2682" s="16">
        <f t="shared" si="82"/>
        <v>92330891.132399991</v>
      </c>
      <c r="G2682" s="16">
        <f>IF(D2682=0,0,SUMIF(매도완료!$J:$J,Sheet2!$B2682,매도완료!$S:$S))+IF(D2682=0,0,SUMIF(ING!$J:$J,Sheet2!$B2682,ING!$S:$S))</f>
        <v>0</v>
      </c>
      <c r="H2682" s="16">
        <f t="shared" si="83"/>
        <v>471008.24080894142</v>
      </c>
    </row>
    <row r="2683" spans="2:8" hidden="1" x14ac:dyDescent="0.4">
      <c r="B2683" s="1">
        <v>45232</v>
      </c>
      <c r="C2683" s="16">
        <f>SUMIF(매도완료!$G:$G,Sheet2!$B2683,매도완료!$P:$P)+SUMIF(ING!$G:$G,Sheet2!$B2683,ING!$P:$P)</f>
        <v>0</v>
      </c>
      <c r="D2683" s="16">
        <f>SUMIF(매도완료!$J:$J,Sheet2!$B2683,매도완료!$P:$P)+SUMIF(ING!$J:$J,Sheet2!$B2683,ING!$P:$P)</f>
        <v>0</v>
      </c>
      <c r="E2683" s="16">
        <f t="shared" si="82"/>
        <v>92330891.132399991</v>
      </c>
      <c r="G2683" s="16">
        <f>IF(D2683=0,0,SUMIF(매도완료!$J:$J,Sheet2!$B2683,매도완료!$S:$S))+IF(D2683=0,0,SUMIF(ING!$J:$J,Sheet2!$B2683,ING!$S:$S))</f>
        <v>0</v>
      </c>
      <c r="H2683" s="16">
        <f t="shared" si="83"/>
        <v>471008.24080894142</v>
      </c>
    </row>
    <row r="2684" spans="2:8" hidden="1" x14ac:dyDescent="0.4">
      <c r="B2684" s="1">
        <v>45233</v>
      </c>
      <c r="C2684" s="16">
        <f>SUMIF(매도완료!$G:$G,Sheet2!$B2684,매도완료!$P:$P)+SUMIF(ING!$G:$G,Sheet2!$B2684,ING!$P:$P)</f>
        <v>0</v>
      </c>
      <c r="D2684" s="16">
        <f>SUMIF(매도완료!$J:$J,Sheet2!$B2684,매도완료!$P:$P)+SUMIF(ING!$J:$J,Sheet2!$B2684,ING!$P:$P)</f>
        <v>0</v>
      </c>
      <c r="E2684" s="16">
        <f t="shared" si="82"/>
        <v>92330891.132399991</v>
      </c>
      <c r="G2684" s="16">
        <f>IF(D2684=0,0,SUMIF(매도완료!$J:$J,Sheet2!$B2684,매도완료!$S:$S))+IF(D2684=0,0,SUMIF(ING!$J:$J,Sheet2!$B2684,ING!$S:$S))</f>
        <v>0</v>
      </c>
      <c r="H2684" s="16">
        <f t="shared" si="83"/>
        <v>471008.24080894142</v>
      </c>
    </row>
    <row r="2685" spans="2:8" hidden="1" x14ac:dyDescent="0.4">
      <c r="B2685" s="1">
        <v>45234</v>
      </c>
      <c r="C2685" s="16">
        <f>SUMIF(매도완료!$G:$G,Sheet2!$B2685,매도완료!$P:$P)+SUMIF(ING!$G:$G,Sheet2!$B2685,ING!$P:$P)</f>
        <v>0</v>
      </c>
      <c r="D2685" s="16">
        <f>SUMIF(매도완료!$J:$J,Sheet2!$B2685,매도완료!$P:$P)+SUMIF(ING!$J:$J,Sheet2!$B2685,ING!$P:$P)</f>
        <v>0</v>
      </c>
      <c r="E2685" s="16">
        <f t="shared" si="82"/>
        <v>92330891.132399991</v>
      </c>
      <c r="G2685" s="16">
        <f>IF(D2685=0,0,SUMIF(매도완료!$J:$J,Sheet2!$B2685,매도완료!$S:$S))+IF(D2685=0,0,SUMIF(ING!$J:$J,Sheet2!$B2685,ING!$S:$S))</f>
        <v>0</v>
      </c>
      <c r="H2685" s="16">
        <f t="shared" si="83"/>
        <v>471008.24080894142</v>
      </c>
    </row>
    <row r="2686" spans="2:8" hidden="1" x14ac:dyDescent="0.4">
      <c r="B2686" s="1">
        <v>45235</v>
      </c>
      <c r="C2686" s="16">
        <f>SUMIF(매도완료!$G:$G,Sheet2!$B2686,매도완료!$P:$P)+SUMIF(ING!$G:$G,Sheet2!$B2686,ING!$P:$P)</f>
        <v>0</v>
      </c>
      <c r="D2686" s="16">
        <f>SUMIF(매도완료!$J:$J,Sheet2!$B2686,매도완료!$P:$P)+SUMIF(ING!$J:$J,Sheet2!$B2686,ING!$P:$P)</f>
        <v>0</v>
      </c>
      <c r="E2686" s="16">
        <f t="shared" si="82"/>
        <v>92330891.132399991</v>
      </c>
      <c r="G2686" s="16">
        <f>IF(D2686=0,0,SUMIF(매도완료!$J:$J,Sheet2!$B2686,매도완료!$S:$S))+IF(D2686=0,0,SUMIF(ING!$J:$J,Sheet2!$B2686,ING!$S:$S))</f>
        <v>0</v>
      </c>
      <c r="H2686" s="16">
        <f t="shared" si="83"/>
        <v>471008.24080894142</v>
      </c>
    </row>
    <row r="2687" spans="2:8" hidden="1" x14ac:dyDescent="0.4">
      <c r="B2687" s="1">
        <v>45236</v>
      </c>
      <c r="C2687" s="16">
        <f>SUMIF(매도완료!$G:$G,Sheet2!$B2687,매도완료!$P:$P)+SUMIF(ING!$G:$G,Sheet2!$B2687,ING!$P:$P)</f>
        <v>0</v>
      </c>
      <c r="D2687" s="16">
        <f>SUMIF(매도완료!$J:$J,Sheet2!$B2687,매도완료!$P:$P)+SUMIF(ING!$J:$J,Sheet2!$B2687,ING!$P:$P)</f>
        <v>0</v>
      </c>
      <c r="E2687" s="16">
        <f t="shared" si="82"/>
        <v>92330891.132399991</v>
      </c>
      <c r="G2687" s="16">
        <f>IF(D2687=0,0,SUMIF(매도완료!$J:$J,Sheet2!$B2687,매도완료!$S:$S))+IF(D2687=0,0,SUMIF(ING!$J:$J,Sheet2!$B2687,ING!$S:$S))</f>
        <v>0</v>
      </c>
      <c r="H2687" s="16">
        <f t="shared" si="83"/>
        <v>471008.24080894142</v>
      </c>
    </row>
    <row r="2688" spans="2:8" hidden="1" x14ac:dyDescent="0.4">
      <c r="B2688" s="1">
        <v>45237</v>
      </c>
      <c r="C2688" s="16">
        <f>SUMIF(매도완료!$G:$G,Sheet2!$B2688,매도완료!$P:$P)+SUMIF(ING!$G:$G,Sheet2!$B2688,ING!$P:$P)</f>
        <v>0</v>
      </c>
      <c r="D2688" s="16">
        <f>SUMIF(매도완료!$J:$J,Sheet2!$B2688,매도완료!$P:$P)+SUMIF(ING!$J:$J,Sheet2!$B2688,ING!$P:$P)</f>
        <v>0</v>
      </c>
      <c r="E2688" s="16">
        <f t="shared" si="82"/>
        <v>92330891.132399991</v>
      </c>
      <c r="G2688" s="16">
        <f>IF(D2688=0,0,SUMIF(매도완료!$J:$J,Sheet2!$B2688,매도완료!$S:$S))+IF(D2688=0,0,SUMIF(ING!$J:$J,Sheet2!$B2688,ING!$S:$S))</f>
        <v>0</v>
      </c>
      <c r="H2688" s="16">
        <f t="shared" si="83"/>
        <v>471008.24080894142</v>
      </c>
    </row>
    <row r="2689" spans="2:8" hidden="1" x14ac:dyDescent="0.4">
      <c r="B2689" s="1">
        <v>45238</v>
      </c>
      <c r="C2689" s="16">
        <f>SUMIF(매도완료!$G:$G,Sheet2!$B2689,매도완료!$P:$P)+SUMIF(ING!$G:$G,Sheet2!$B2689,ING!$P:$P)</f>
        <v>0</v>
      </c>
      <c r="D2689" s="16">
        <f>SUMIF(매도완료!$J:$J,Sheet2!$B2689,매도완료!$P:$P)+SUMIF(ING!$J:$J,Sheet2!$B2689,ING!$P:$P)</f>
        <v>0</v>
      </c>
      <c r="E2689" s="16">
        <f t="shared" si="82"/>
        <v>92330891.132399991</v>
      </c>
      <c r="G2689" s="16">
        <f>IF(D2689=0,0,SUMIF(매도완료!$J:$J,Sheet2!$B2689,매도완료!$S:$S))+IF(D2689=0,0,SUMIF(ING!$J:$J,Sheet2!$B2689,ING!$S:$S))</f>
        <v>0</v>
      </c>
      <c r="H2689" s="16">
        <f t="shared" si="83"/>
        <v>471008.24080894142</v>
      </c>
    </row>
    <row r="2690" spans="2:8" hidden="1" x14ac:dyDescent="0.4">
      <c r="B2690" s="1">
        <v>45239</v>
      </c>
      <c r="C2690" s="16">
        <f>SUMIF(매도완료!$G:$G,Sheet2!$B2690,매도완료!$P:$P)+SUMIF(ING!$G:$G,Sheet2!$B2690,ING!$P:$P)</f>
        <v>0</v>
      </c>
      <c r="D2690" s="16">
        <f>SUMIF(매도완료!$J:$J,Sheet2!$B2690,매도완료!$P:$P)+SUMIF(ING!$J:$J,Sheet2!$B2690,ING!$P:$P)</f>
        <v>0</v>
      </c>
      <c r="E2690" s="16">
        <f t="shared" si="82"/>
        <v>92330891.132399991</v>
      </c>
      <c r="G2690" s="16">
        <f>IF(D2690=0,0,SUMIF(매도완료!$J:$J,Sheet2!$B2690,매도완료!$S:$S))+IF(D2690=0,0,SUMIF(ING!$J:$J,Sheet2!$B2690,ING!$S:$S))</f>
        <v>0</v>
      </c>
      <c r="H2690" s="16">
        <f t="shared" si="83"/>
        <v>471008.24080894142</v>
      </c>
    </row>
    <row r="2691" spans="2:8" hidden="1" x14ac:dyDescent="0.4">
      <c r="B2691" s="1">
        <v>45240</v>
      </c>
      <c r="C2691" s="16">
        <f>SUMIF(매도완료!$G:$G,Sheet2!$B2691,매도완료!$P:$P)+SUMIF(ING!$G:$G,Sheet2!$B2691,ING!$P:$P)</f>
        <v>0</v>
      </c>
      <c r="D2691" s="16">
        <f>SUMIF(매도완료!$J:$J,Sheet2!$B2691,매도완료!$P:$P)+SUMIF(ING!$J:$J,Sheet2!$B2691,ING!$P:$P)</f>
        <v>0</v>
      </c>
      <c r="E2691" s="16">
        <f t="shared" si="82"/>
        <v>92330891.132399991</v>
      </c>
      <c r="G2691" s="16">
        <f>IF(D2691=0,0,SUMIF(매도완료!$J:$J,Sheet2!$B2691,매도완료!$S:$S))+IF(D2691=0,0,SUMIF(ING!$J:$J,Sheet2!$B2691,ING!$S:$S))</f>
        <v>0</v>
      </c>
      <c r="H2691" s="16">
        <f t="shared" si="83"/>
        <v>471008.24080894142</v>
      </c>
    </row>
    <row r="2692" spans="2:8" hidden="1" x14ac:dyDescent="0.4">
      <c r="B2692" s="1">
        <v>45241</v>
      </c>
      <c r="C2692" s="16">
        <f>SUMIF(매도완료!$G:$G,Sheet2!$B2692,매도완료!$P:$P)+SUMIF(ING!$G:$G,Sheet2!$B2692,ING!$P:$P)</f>
        <v>0</v>
      </c>
      <c r="D2692" s="16">
        <f>SUMIF(매도완료!$J:$J,Sheet2!$B2692,매도완료!$P:$P)+SUMIF(ING!$J:$J,Sheet2!$B2692,ING!$P:$P)</f>
        <v>0</v>
      </c>
      <c r="E2692" s="16">
        <f t="shared" ref="E2692:E2755" si="84">E2691+C2692-D2692</f>
        <v>92330891.132399991</v>
      </c>
      <c r="G2692" s="16">
        <f>IF(D2692=0,0,SUMIF(매도완료!$J:$J,Sheet2!$B2692,매도완료!$S:$S))+IF(D2692=0,0,SUMIF(ING!$J:$J,Sheet2!$B2692,ING!$S:$S))</f>
        <v>0</v>
      </c>
      <c r="H2692" s="16">
        <f t="shared" ref="H2692:H2755" si="85">H2691+G2692</f>
        <v>471008.24080894142</v>
      </c>
    </row>
    <row r="2693" spans="2:8" hidden="1" x14ac:dyDescent="0.4">
      <c r="B2693" s="1">
        <v>45242</v>
      </c>
      <c r="C2693" s="16">
        <f>SUMIF(매도완료!$G:$G,Sheet2!$B2693,매도완료!$P:$P)+SUMIF(ING!$G:$G,Sheet2!$B2693,ING!$P:$P)</f>
        <v>0</v>
      </c>
      <c r="D2693" s="16">
        <f>SUMIF(매도완료!$J:$J,Sheet2!$B2693,매도완료!$P:$P)+SUMIF(ING!$J:$J,Sheet2!$B2693,ING!$P:$P)</f>
        <v>0</v>
      </c>
      <c r="E2693" s="16">
        <f t="shared" si="84"/>
        <v>92330891.132399991</v>
      </c>
      <c r="G2693" s="16">
        <f>IF(D2693=0,0,SUMIF(매도완료!$J:$J,Sheet2!$B2693,매도완료!$S:$S))+IF(D2693=0,0,SUMIF(ING!$J:$J,Sheet2!$B2693,ING!$S:$S))</f>
        <v>0</v>
      </c>
      <c r="H2693" s="16">
        <f t="shared" si="85"/>
        <v>471008.24080894142</v>
      </c>
    </row>
    <row r="2694" spans="2:8" hidden="1" x14ac:dyDescent="0.4">
      <c r="B2694" s="1">
        <v>45243</v>
      </c>
      <c r="C2694" s="16">
        <f>SUMIF(매도완료!$G:$G,Sheet2!$B2694,매도완료!$P:$P)+SUMIF(ING!$G:$G,Sheet2!$B2694,ING!$P:$P)</f>
        <v>0</v>
      </c>
      <c r="D2694" s="16">
        <f>SUMIF(매도완료!$J:$J,Sheet2!$B2694,매도완료!$P:$P)+SUMIF(ING!$J:$J,Sheet2!$B2694,ING!$P:$P)</f>
        <v>0</v>
      </c>
      <c r="E2694" s="16">
        <f t="shared" si="84"/>
        <v>92330891.132399991</v>
      </c>
      <c r="G2694" s="16">
        <f>IF(D2694=0,0,SUMIF(매도완료!$J:$J,Sheet2!$B2694,매도완료!$S:$S))+IF(D2694=0,0,SUMIF(ING!$J:$J,Sheet2!$B2694,ING!$S:$S))</f>
        <v>0</v>
      </c>
      <c r="H2694" s="16">
        <f t="shared" si="85"/>
        <v>471008.24080894142</v>
      </c>
    </row>
    <row r="2695" spans="2:8" hidden="1" x14ac:dyDescent="0.4">
      <c r="B2695" s="1">
        <v>45244</v>
      </c>
      <c r="C2695" s="16">
        <f>SUMIF(매도완료!$G:$G,Sheet2!$B2695,매도완료!$P:$P)+SUMIF(ING!$G:$G,Sheet2!$B2695,ING!$P:$P)</f>
        <v>0</v>
      </c>
      <c r="D2695" s="16">
        <f>SUMIF(매도완료!$J:$J,Sheet2!$B2695,매도완료!$P:$P)+SUMIF(ING!$J:$J,Sheet2!$B2695,ING!$P:$P)</f>
        <v>0</v>
      </c>
      <c r="E2695" s="16">
        <f t="shared" si="84"/>
        <v>92330891.132399991</v>
      </c>
      <c r="G2695" s="16">
        <f>IF(D2695=0,0,SUMIF(매도완료!$J:$J,Sheet2!$B2695,매도완료!$S:$S))+IF(D2695=0,0,SUMIF(ING!$J:$J,Sheet2!$B2695,ING!$S:$S))</f>
        <v>0</v>
      </c>
      <c r="H2695" s="16">
        <f t="shared" si="85"/>
        <v>471008.24080894142</v>
      </c>
    </row>
    <row r="2696" spans="2:8" hidden="1" x14ac:dyDescent="0.4">
      <c r="B2696" s="1">
        <v>45245</v>
      </c>
      <c r="C2696" s="16">
        <f>SUMIF(매도완료!$G:$G,Sheet2!$B2696,매도완료!$P:$P)+SUMIF(ING!$G:$G,Sheet2!$B2696,ING!$P:$P)</f>
        <v>0</v>
      </c>
      <c r="D2696" s="16">
        <f>SUMIF(매도완료!$J:$J,Sheet2!$B2696,매도완료!$P:$P)+SUMIF(ING!$J:$J,Sheet2!$B2696,ING!$P:$P)</f>
        <v>0</v>
      </c>
      <c r="E2696" s="16">
        <f t="shared" si="84"/>
        <v>92330891.132399991</v>
      </c>
      <c r="G2696" s="16">
        <f>IF(D2696=0,0,SUMIF(매도완료!$J:$J,Sheet2!$B2696,매도완료!$S:$S))+IF(D2696=0,0,SUMIF(ING!$J:$J,Sheet2!$B2696,ING!$S:$S))</f>
        <v>0</v>
      </c>
      <c r="H2696" s="16">
        <f t="shared" si="85"/>
        <v>471008.24080894142</v>
      </c>
    </row>
    <row r="2697" spans="2:8" hidden="1" x14ac:dyDescent="0.4">
      <c r="B2697" s="1">
        <v>45246</v>
      </c>
      <c r="C2697" s="16">
        <f>SUMIF(매도완료!$G:$G,Sheet2!$B2697,매도완료!$P:$P)+SUMIF(ING!$G:$G,Sheet2!$B2697,ING!$P:$P)</f>
        <v>0</v>
      </c>
      <c r="D2697" s="16">
        <f>SUMIF(매도완료!$J:$J,Sheet2!$B2697,매도완료!$P:$P)+SUMIF(ING!$J:$J,Sheet2!$B2697,ING!$P:$P)</f>
        <v>0</v>
      </c>
      <c r="E2697" s="16">
        <f t="shared" si="84"/>
        <v>92330891.132399991</v>
      </c>
      <c r="G2697" s="16">
        <f>IF(D2697=0,0,SUMIF(매도완료!$J:$J,Sheet2!$B2697,매도완료!$S:$S))+IF(D2697=0,0,SUMIF(ING!$J:$J,Sheet2!$B2697,ING!$S:$S))</f>
        <v>0</v>
      </c>
      <c r="H2697" s="16">
        <f t="shared" si="85"/>
        <v>471008.24080894142</v>
      </c>
    </row>
    <row r="2698" spans="2:8" hidden="1" x14ac:dyDescent="0.4">
      <c r="B2698" s="1">
        <v>45247</v>
      </c>
      <c r="C2698" s="16">
        <f>SUMIF(매도완료!$G:$G,Sheet2!$B2698,매도완료!$P:$P)+SUMIF(ING!$G:$G,Sheet2!$B2698,ING!$P:$P)</f>
        <v>0</v>
      </c>
      <c r="D2698" s="16">
        <f>SUMIF(매도완료!$J:$J,Sheet2!$B2698,매도완료!$P:$P)+SUMIF(ING!$J:$J,Sheet2!$B2698,ING!$P:$P)</f>
        <v>0</v>
      </c>
      <c r="E2698" s="16">
        <f t="shared" si="84"/>
        <v>92330891.132399991</v>
      </c>
      <c r="G2698" s="16">
        <f>IF(D2698=0,0,SUMIF(매도완료!$J:$J,Sheet2!$B2698,매도완료!$S:$S))+IF(D2698=0,0,SUMIF(ING!$J:$J,Sheet2!$B2698,ING!$S:$S))</f>
        <v>0</v>
      </c>
      <c r="H2698" s="16">
        <f t="shared" si="85"/>
        <v>471008.24080894142</v>
      </c>
    </row>
    <row r="2699" spans="2:8" hidden="1" x14ac:dyDescent="0.4">
      <c r="B2699" s="1">
        <v>45248</v>
      </c>
      <c r="C2699" s="16">
        <f>SUMIF(매도완료!$G:$G,Sheet2!$B2699,매도완료!$P:$P)+SUMIF(ING!$G:$G,Sheet2!$B2699,ING!$P:$P)</f>
        <v>0</v>
      </c>
      <c r="D2699" s="16">
        <f>SUMIF(매도완료!$J:$J,Sheet2!$B2699,매도완료!$P:$P)+SUMIF(ING!$J:$J,Sheet2!$B2699,ING!$P:$P)</f>
        <v>0</v>
      </c>
      <c r="E2699" s="16">
        <f t="shared" si="84"/>
        <v>92330891.132399991</v>
      </c>
      <c r="G2699" s="16">
        <f>IF(D2699=0,0,SUMIF(매도완료!$J:$J,Sheet2!$B2699,매도완료!$S:$S))+IF(D2699=0,0,SUMIF(ING!$J:$J,Sheet2!$B2699,ING!$S:$S))</f>
        <v>0</v>
      </c>
      <c r="H2699" s="16">
        <f t="shared" si="85"/>
        <v>471008.24080894142</v>
      </c>
    </row>
    <row r="2700" spans="2:8" hidden="1" x14ac:dyDescent="0.4">
      <c r="B2700" s="1">
        <v>45249</v>
      </c>
      <c r="C2700" s="16">
        <f>SUMIF(매도완료!$G:$G,Sheet2!$B2700,매도완료!$P:$P)+SUMIF(ING!$G:$G,Sheet2!$B2700,ING!$P:$P)</f>
        <v>0</v>
      </c>
      <c r="D2700" s="16">
        <f>SUMIF(매도완료!$J:$J,Sheet2!$B2700,매도완료!$P:$P)+SUMIF(ING!$J:$J,Sheet2!$B2700,ING!$P:$P)</f>
        <v>0</v>
      </c>
      <c r="E2700" s="16">
        <f t="shared" si="84"/>
        <v>92330891.132399991</v>
      </c>
      <c r="G2700" s="16">
        <f>IF(D2700=0,0,SUMIF(매도완료!$J:$J,Sheet2!$B2700,매도완료!$S:$S))+IF(D2700=0,0,SUMIF(ING!$J:$J,Sheet2!$B2700,ING!$S:$S))</f>
        <v>0</v>
      </c>
      <c r="H2700" s="16">
        <f t="shared" si="85"/>
        <v>471008.24080894142</v>
      </c>
    </row>
    <row r="2701" spans="2:8" hidden="1" x14ac:dyDescent="0.4">
      <c r="B2701" s="1">
        <v>45250</v>
      </c>
      <c r="C2701" s="16">
        <f>SUMIF(매도완료!$G:$G,Sheet2!$B2701,매도완료!$P:$P)+SUMIF(ING!$G:$G,Sheet2!$B2701,ING!$P:$P)</f>
        <v>0</v>
      </c>
      <c r="D2701" s="16">
        <f>SUMIF(매도완료!$J:$J,Sheet2!$B2701,매도완료!$P:$P)+SUMIF(ING!$J:$J,Sheet2!$B2701,ING!$P:$P)</f>
        <v>0</v>
      </c>
      <c r="E2701" s="16">
        <f t="shared" si="84"/>
        <v>92330891.132399991</v>
      </c>
      <c r="G2701" s="16">
        <f>IF(D2701=0,0,SUMIF(매도완료!$J:$J,Sheet2!$B2701,매도완료!$S:$S))+IF(D2701=0,0,SUMIF(ING!$J:$J,Sheet2!$B2701,ING!$S:$S))</f>
        <v>0</v>
      </c>
      <c r="H2701" s="16">
        <f t="shared" si="85"/>
        <v>471008.24080894142</v>
      </c>
    </row>
    <row r="2702" spans="2:8" hidden="1" x14ac:dyDescent="0.4">
      <c r="B2702" s="1">
        <v>45251</v>
      </c>
      <c r="C2702" s="16">
        <f>SUMIF(매도완료!$G:$G,Sheet2!$B2702,매도완료!$P:$P)+SUMIF(ING!$G:$G,Sheet2!$B2702,ING!$P:$P)</f>
        <v>0</v>
      </c>
      <c r="D2702" s="16">
        <f>SUMIF(매도완료!$J:$J,Sheet2!$B2702,매도완료!$P:$P)+SUMIF(ING!$J:$J,Sheet2!$B2702,ING!$P:$P)</f>
        <v>0</v>
      </c>
      <c r="E2702" s="16">
        <f t="shared" si="84"/>
        <v>92330891.132399991</v>
      </c>
      <c r="G2702" s="16">
        <f>IF(D2702=0,0,SUMIF(매도완료!$J:$J,Sheet2!$B2702,매도완료!$S:$S))+IF(D2702=0,0,SUMIF(ING!$J:$J,Sheet2!$B2702,ING!$S:$S))</f>
        <v>0</v>
      </c>
      <c r="H2702" s="16">
        <f t="shared" si="85"/>
        <v>471008.24080894142</v>
      </c>
    </row>
    <row r="2703" spans="2:8" hidden="1" x14ac:dyDescent="0.4">
      <c r="B2703" s="1">
        <v>45252</v>
      </c>
      <c r="C2703" s="16">
        <f>SUMIF(매도완료!$G:$G,Sheet2!$B2703,매도완료!$P:$P)+SUMIF(ING!$G:$G,Sheet2!$B2703,ING!$P:$P)</f>
        <v>0</v>
      </c>
      <c r="D2703" s="16">
        <f>SUMIF(매도완료!$J:$J,Sheet2!$B2703,매도완료!$P:$P)+SUMIF(ING!$J:$J,Sheet2!$B2703,ING!$P:$P)</f>
        <v>0</v>
      </c>
      <c r="E2703" s="16">
        <f t="shared" si="84"/>
        <v>92330891.132399991</v>
      </c>
      <c r="G2703" s="16">
        <f>IF(D2703=0,0,SUMIF(매도완료!$J:$J,Sheet2!$B2703,매도완료!$S:$S))+IF(D2703=0,0,SUMIF(ING!$J:$J,Sheet2!$B2703,ING!$S:$S))</f>
        <v>0</v>
      </c>
      <c r="H2703" s="16">
        <f t="shared" si="85"/>
        <v>471008.24080894142</v>
      </c>
    </row>
    <row r="2704" spans="2:8" hidden="1" x14ac:dyDescent="0.4">
      <c r="B2704" s="1">
        <v>45253</v>
      </c>
      <c r="C2704" s="16">
        <f>SUMIF(매도완료!$G:$G,Sheet2!$B2704,매도완료!$P:$P)+SUMIF(ING!$G:$G,Sheet2!$B2704,ING!$P:$P)</f>
        <v>0</v>
      </c>
      <c r="D2704" s="16">
        <f>SUMIF(매도완료!$J:$J,Sheet2!$B2704,매도완료!$P:$P)+SUMIF(ING!$J:$J,Sheet2!$B2704,ING!$P:$P)</f>
        <v>0</v>
      </c>
      <c r="E2704" s="16">
        <f t="shared" si="84"/>
        <v>92330891.132399991</v>
      </c>
      <c r="G2704" s="16">
        <f>IF(D2704=0,0,SUMIF(매도완료!$J:$J,Sheet2!$B2704,매도완료!$S:$S))+IF(D2704=0,0,SUMIF(ING!$J:$J,Sheet2!$B2704,ING!$S:$S))</f>
        <v>0</v>
      </c>
      <c r="H2704" s="16">
        <f t="shared" si="85"/>
        <v>471008.24080894142</v>
      </c>
    </row>
    <row r="2705" spans="2:8" hidden="1" x14ac:dyDescent="0.4">
      <c r="B2705" s="1">
        <v>45254</v>
      </c>
      <c r="C2705" s="16">
        <f>SUMIF(매도완료!$G:$G,Sheet2!$B2705,매도완료!$P:$P)+SUMIF(ING!$G:$G,Sheet2!$B2705,ING!$P:$P)</f>
        <v>0</v>
      </c>
      <c r="D2705" s="16">
        <f>SUMIF(매도완료!$J:$J,Sheet2!$B2705,매도완료!$P:$P)+SUMIF(ING!$J:$J,Sheet2!$B2705,ING!$P:$P)</f>
        <v>0</v>
      </c>
      <c r="E2705" s="16">
        <f t="shared" si="84"/>
        <v>92330891.132399991</v>
      </c>
      <c r="G2705" s="16">
        <f>IF(D2705=0,0,SUMIF(매도완료!$J:$J,Sheet2!$B2705,매도완료!$S:$S))+IF(D2705=0,0,SUMIF(ING!$J:$J,Sheet2!$B2705,ING!$S:$S))</f>
        <v>0</v>
      </c>
      <c r="H2705" s="16">
        <f t="shared" si="85"/>
        <v>471008.24080894142</v>
      </c>
    </row>
    <row r="2706" spans="2:8" hidden="1" x14ac:dyDescent="0.4">
      <c r="B2706" s="1">
        <v>45255</v>
      </c>
      <c r="C2706" s="16">
        <f>SUMIF(매도완료!$G:$G,Sheet2!$B2706,매도완료!$P:$P)+SUMIF(ING!$G:$G,Sheet2!$B2706,ING!$P:$P)</f>
        <v>0</v>
      </c>
      <c r="D2706" s="16">
        <f>SUMIF(매도완료!$J:$J,Sheet2!$B2706,매도완료!$P:$P)+SUMIF(ING!$J:$J,Sheet2!$B2706,ING!$P:$P)</f>
        <v>0</v>
      </c>
      <c r="E2706" s="16">
        <f t="shared" si="84"/>
        <v>92330891.132399991</v>
      </c>
      <c r="G2706" s="16">
        <f>IF(D2706=0,0,SUMIF(매도완료!$J:$J,Sheet2!$B2706,매도완료!$S:$S))+IF(D2706=0,0,SUMIF(ING!$J:$J,Sheet2!$B2706,ING!$S:$S))</f>
        <v>0</v>
      </c>
      <c r="H2706" s="16">
        <f t="shared" si="85"/>
        <v>471008.24080894142</v>
      </c>
    </row>
    <row r="2707" spans="2:8" hidden="1" x14ac:dyDescent="0.4">
      <c r="B2707" s="1">
        <v>45256</v>
      </c>
      <c r="C2707" s="16">
        <f>SUMIF(매도완료!$G:$G,Sheet2!$B2707,매도완료!$P:$P)+SUMIF(ING!$G:$G,Sheet2!$B2707,ING!$P:$P)</f>
        <v>0</v>
      </c>
      <c r="D2707" s="16">
        <f>SUMIF(매도완료!$J:$J,Sheet2!$B2707,매도완료!$P:$P)+SUMIF(ING!$J:$J,Sheet2!$B2707,ING!$P:$P)</f>
        <v>0</v>
      </c>
      <c r="E2707" s="16">
        <f t="shared" si="84"/>
        <v>92330891.132399991</v>
      </c>
      <c r="G2707" s="16">
        <f>IF(D2707=0,0,SUMIF(매도완료!$J:$J,Sheet2!$B2707,매도완료!$S:$S))+IF(D2707=0,0,SUMIF(ING!$J:$J,Sheet2!$B2707,ING!$S:$S))</f>
        <v>0</v>
      </c>
      <c r="H2707" s="16">
        <f t="shared" si="85"/>
        <v>471008.24080894142</v>
      </c>
    </row>
    <row r="2708" spans="2:8" hidden="1" x14ac:dyDescent="0.4">
      <c r="B2708" s="1">
        <v>45257</v>
      </c>
      <c r="C2708" s="16">
        <f>SUMIF(매도완료!$G:$G,Sheet2!$B2708,매도완료!$P:$P)+SUMIF(ING!$G:$G,Sheet2!$B2708,ING!$P:$P)</f>
        <v>0</v>
      </c>
      <c r="D2708" s="16">
        <f>SUMIF(매도완료!$J:$J,Sheet2!$B2708,매도완료!$P:$P)+SUMIF(ING!$J:$J,Sheet2!$B2708,ING!$P:$P)</f>
        <v>0</v>
      </c>
      <c r="E2708" s="16">
        <f t="shared" si="84"/>
        <v>92330891.132399991</v>
      </c>
      <c r="G2708" s="16">
        <f>IF(D2708=0,0,SUMIF(매도완료!$J:$J,Sheet2!$B2708,매도완료!$S:$S))+IF(D2708=0,0,SUMIF(ING!$J:$J,Sheet2!$B2708,ING!$S:$S))</f>
        <v>0</v>
      </c>
      <c r="H2708" s="16">
        <f t="shared" si="85"/>
        <v>471008.24080894142</v>
      </c>
    </row>
    <row r="2709" spans="2:8" hidden="1" x14ac:dyDescent="0.4">
      <c r="B2709" s="1">
        <v>45258</v>
      </c>
      <c r="C2709" s="16">
        <f>SUMIF(매도완료!$G:$G,Sheet2!$B2709,매도완료!$P:$P)+SUMIF(ING!$G:$G,Sheet2!$B2709,ING!$P:$P)</f>
        <v>0</v>
      </c>
      <c r="D2709" s="16">
        <f>SUMIF(매도완료!$J:$J,Sheet2!$B2709,매도완료!$P:$P)+SUMIF(ING!$J:$J,Sheet2!$B2709,ING!$P:$P)</f>
        <v>0</v>
      </c>
      <c r="E2709" s="16">
        <f t="shared" si="84"/>
        <v>92330891.132399991</v>
      </c>
      <c r="G2709" s="16">
        <f>IF(D2709=0,0,SUMIF(매도완료!$J:$J,Sheet2!$B2709,매도완료!$S:$S))+IF(D2709=0,0,SUMIF(ING!$J:$J,Sheet2!$B2709,ING!$S:$S))</f>
        <v>0</v>
      </c>
      <c r="H2709" s="16">
        <f t="shared" si="85"/>
        <v>471008.24080894142</v>
      </c>
    </row>
    <row r="2710" spans="2:8" hidden="1" x14ac:dyDescent="0.4">
      <c r="B2710" s="1">
        <v>45259</v>
      </c>
      <c r="C2710" s="16">
        <f>SUMIF(매도완료!$G:$G,Sheet2!$B2710,매도완료!$P:$P)+SUMIF(ING!$G:$G,Sheet2!$B2710,ING!$P:$P)</f>
        <v>0</v>
      </c>
      <c r="D2710" s="16">
        <f>SUMIF(매도완료!$J:$J,Sheet2!$B2710,매도완료!$P:$P)+SUMIF(ING!$J:$J,Sheet2!$B2710,ING!$P:$P)</f>
        <v>0</v>
      </c>
      <c r="E2710" s="16">
        <f t="shared" si="84"/>
        <v>92330891.132399991</v>
      </c>
      <c r="G2710" s="16">
        <f>IF(D2710=0,0,SUMIF(매도완료!$J:$J,Sheet2!$B2710,매도완료!$S:$S))+IF(D2710=0,0,SUMIF(ING!$J:$J,Sheet2!$B2710,ING!$S:$S))</f>
        <v>0</v>
      </c>
      <c r="H2710" s="16">
        <f t="shared" si="85"/>
        <v>471008.24080894142</v>
      </c>
    </row>
    <row r="2711" spans="2:8" hidden="1" x14ac:dyDescent="0.4">
      <c r="B2711" s="1">
        <v>45260</v>
      </c>
      <c r="C2711" s="16">
        <f>SUMIF(매도완료!$G:$G,Sheet2!$B2711,매도완료!$P:$P)+SUMIF(ING!$G:$G,Sheet2!$B2711,ING!$P:$P)</f>
        <v>0</v>
      </c>
      <c r="D2711" s="16">
        <f>SUMIF(매도완료!$J:$J,Sheet2!$B2711,매도완료!$P:$P)+SUMIF(ING!$J:$J,Sheet2!$B2711,ING!$P:$P)</f>
        <v>0</v>
      </c>
      <c r="E2711" s="16">
        <f t="shared" si="84"/>
        <v>92330891.132399991</v>
      </c>
      <c r="G2711" s="16">
        <f>IF(D2711=0,0,SUMIF(매도완료!$J:$J,Sheet2!$B2711,매도완료!$S:$S))+IF(D2711=0,0,SUMIF(ING!$J:$J,Sheet2!$B2711,ING!$S:$S))</f>
        <v>0</v>
      </c>
      <c r="H2711" s="16">
        <f t="shared" si="85"/>
        <v>471008.24080894142</v>
      </c>
    </row>
    <row r="2712" spans="2:8" hidden="1" x14ac:dyDescent="0.4">
      <c r="B2712" s="1">
        <v>45261</v>
      </c>
      <c r="C2712" s="16">
        <f>SUMIF(매도완료!$G:$G,Sheet2!$B2712,매도완료!$P:$P)+SUMIF(ING!$G:$G,Sheet2!$B2712,ING!$P:$P)</f>
        <v>0</v>
      </c>
      <c r="D2712" s="16">
        <f>SUMIF(매도완료!$J:$J,Sheet2!$B2712,매도완료!$P:$P)+SUMIF(ING!$J:$J,Sheet2!$B2712,ING!$P:$P)</f>
        <v>0</v>
      </c>
      <c r="E2712" s="16">
        <f t="shared" si="84"/>
        <v>92330891.132399991</v>
      </c>
      <c r="G2712" s="16">
        <f>IF(D2712=0,0,SUMIF(매도완료!$J:$J,Sheet2!$B2712,매도완료!$S:$S))+IF(D2712=0,0,SUMIF(ING!$J:$J,Sheet2!$B2712,ING!$S:$S))</f>
        <v>0</v>
      </c>
      <c r="H2712" s="16">
        <f t="shared" si="85"/>
        <v>471008.24080894142</v>
      </c>
    </row>
    <row r="2713" spans="2:8" hidden="1" x14ac:dyDescent="0.4">
      <c r="B2713" s="1">
        <v>45262</v>
      </c>
      <c r="C2713" s="16">
        <f>SUMIF(매도완료!$G:$G,Sheet2!$B2713,매도완료!$P:$P)+SUMIF(ING!$G:$G,Sheet2!$B2713,ING!$P:$P)</f>
        <v>0</v>
      </c>
      <c r="D2713" s="16">
        <f>SUMIF(매도완료!$J:$J,Sheet2!$B2713,매도완료!$P:$P)+SUMIF(ING!$J:$J,Sheet2!$B2713,ING!$P:$P)</f>
        <v>0</v>
      </c>
      <c r="E2713" s="16">
        <f t="shared" si="84"/>
        <v>92330891.132399991</v>
      </c>
      <c r="G2713" s="16">
        <f>IF(D2713=0,0,SUMIF(매도완료!$J:$J,Sheet2!$B2713,매도완료!$S:$S))+IF(D2713=0,0,SUMIF(ING!$J:$J,Sheet2!$B2713,ING!$S:$S))</f>
        <v>0</v>
      </c>
      <c r="H2713" s="16">
        <f t="shared" si="85"/>
        <v>471008.24080894142</v>
      </c>
    </row>
    <row r="2714" spans="2:8" hidden="1" x14ac:dyDescent="0.4">
      <c r="B2714" s="1">
        <v>45263</v>
      </c>
      <c r="C2714" s="16">
        <f>SUMIF(매도완료!$G:$G,Sheet2!$B2714,매도완료!$P:$P)+SUMIF(ING!$G:$G,Sheet2!$B2714,ING!$P:$P)</f>
        <v>0</v>
      </c>
      <c r="D2714" s="16">
        <f>SUMIF(매도완료!$J:$J,Sheet2!$B2714,매도완료!$P:$P)+SUMIF(ING!$J:$J,Sheet2!$B2714,ING!$P:$P)</f>
        <v>0</v>
      </c>
      <c r="E2714" s="16">
        <f t="shared" si="84"/>
        <v>92330891.132399991</v>
      </c>
      <c r="G2714" s="16">
        <f>IF(D2714=0,0,SUMIF(매도완료!$J:$J,Sheet2!$B2714,매도완료!$S:$S))+IF(D2714=0,0,SUMIF(ING!$J:$J,Sheet2!$B2714,ING!$S:$S))</f>
        <v>0</v>
      </c>
      <c r="H2714" s="16">
        <f t="shared" si="85"/>
        <v>471008.24080894142</v>
      </c>
    </row>
    <row r="2715" spans="2:8" hidden="1" x14ac:dyDescent="0.4">
      <c r="B2715" s="1">
        <v>45264</v>
      </c>
      <c r="C2715" s="16">
        <f>SUMIF(매도완료!$G:$G,Sheet2!$B2715,매도완료!$P:$P)+SUMIF(ING!$G:$G,Sheet2!$B2715,ING!$P:$P)</f>
        <v>0</v>
      </c>
      <c r="D2715" s="16">
        <f>SUMIF(매도완료!$J:$J,Sheet2!$B2715,매도완료!$P:$P)+SUMIF(ING!$J:$J,Sheet2!$B2715,ING!$P:$P)</f>
        <v>0</v>
      </c>
      <c r="E2715" s="16">
        <f t="shared" si="84"/>
        <v>92330891.132399991</v>
      </c>
      <c r="G2715" s="16">
        <f>IF(D2715=0,0,SUMIF(매도완료!$J:$J,Sheet2!$B2715,매도완료!$S:$S))+IF(D2715=0,0,SUMIF(ING!$J:$J,Sheet2!$B2715,ING!$S:$S))</f>
        <v>0</v>
      </c>
      <c r="H2715" s="16">
        <f t="shared" si="85"/>
        <v>471008.24080894142</v>
      </c>
    </row>
    <row r="2716" spans="2:8" hidden="1" x14ac:dyDescent="0.4">
      <c r="B2716" s="1">
        <v>45265</v>
      </c>
      <c r="C2716" s="16">
        <f>SUMIF(매도완료!$G:$G,Sheet2!$B2716,매도완료!$P:$P)+SUMIF(ING!$G:$G,Sheet2!$B2716,ING!$P:$P)</f>
        <v>0</v>
      </c>
      <c r="D2716" s="16">
        <f>SUMIF(매도완료!$J:$J,Sheet2!$B2716,매도완료!$P:$P)+SUMIF(ING!$J:$J,Sheet2!$B2716,ING!$P:$P)</f>
        <v>0</v>
      </c>
      <c r="E2716" s="16">
        <f t="shared" si="84"/>
        <v>92330891.132399991</v>
      </c>
      <c r="G2716" s="16">
        <f>IF(D2716=0,0,SUMIF(매도완료!$J:$J,Sheet2!$B2716,매도완료!$S:$S))+IF(D2716=0,0,SUMIF(ING!$J:$J,Sheet2!$B2716,ING!$S:$S))</f>
        <v>0</v>
      </c>
      <c r="H2716" s="16">
        <f t="shared" si="85"/>
        <v>471008.24080894142</v>
      </c>
    </row>
    <row r="2717" spans="2:8" hidden="1" x14ac:dyDescent="0.4">
      <c r="B2717" s="1">
        <v>45266</v>
      </c>
      <c r="C2717" s="16">
        <f>SUMIF(매도완료!$G:$G,Sheet2!$B2717,매도완료!$P:$P)+SUMIF(ING!$G:$G,Sheet2!$B2717,ING!$P:$P)</f>
        <v>0</v>
      </c>
      <c r="D2717" s="16">
        <f>SUMIF(매도완료!$J:$J,Sheet2!$B2717,매도완료!$P:$P)+SUMIF(ING!$J:$J,Sheet2!$B2717,ING!$P:$P)</f>
        <v>0</v>
      </c>
      <c r="E2717" s="16">
        <f t="shared" si="84"/>
        <v>92330891.132399991</v>
      </c>
      <c r="G2717" s="16">
        <f>IF(D2717=0,0,SUMIF(매도완료!$J:$J,Sheet2!$B2717,매도완료!$S:$S))+IF(D2717=0,0,SUMIF(ING!$J:$J,Sheet2!$B2717,ING!$S:$S))</f>
        <v>0</v>
      </c>
      <c r="H2717" s="16">
        <f t="shared" si="85"/>
        <v>471008.24080894142</v>
      </c>
    </row>
    <row r="2718" spans="2:8" hidden="1" x14ac:dyDescent="0.4">
      <c r="B2718" s="1">
        <v>45267</v>
      </c>
      <c r="C2718" s="16">
        <f>SUMIF(매도완료!$G:$G,Sheet2!$B2718,매도완료!$P:$P)+SUMIF(ING!$G:$G,Sheet2!$B2718,ING!$P:$P)</f>
        <v>0</v>
      </c>
      <c r="D2718" s="16">
        <f>SUMIF(매도완료!$J:$J,Sheet2!$B2718,매도완료!$P:$P)+SUMIF(ING!$J:$J,Sheet2!$B2718,ING!$P:$P)</f>
        <v>0</v>
      </c>
      <c r="E2718" s="16">
        <f t="shared" si="84"/>
        <v>92330891.132399991</v>
      </c>
      <c r="G2718" s="16">
        <f>IF(D2718=0,0,SUMIF(매도완료!$J:$J,Sheet2!$B2718,매도완료!$S:$S))+IF(D2718=0,0,SUMIF(ING!$J:$J,Sheet2!$B2718,ING!$S:$S))</f>
        <v>0</v>
      </c>
      <c r="H2718" s="16">
        <f t="shared" si="85"/>
        <v>471008.24080894142</v>
      </c>
    </row>
    <row r="2719" spans="2:8" hidden="1" x14ac:dyDescent="0.4">
      <c r="B2719" s="1">
        <v>45268</v>
      </c>
      <c r="C2719" s="16">
        <f>SUMIF(매도완료!$G:$G,Sheet2!$B2719,매도완료!$P:$P)+SUMIF(ING!$G:$G,Sheet2!$B2719,ING!$P:$P)</f>
        <v>0</v>
      </c>
      <c r="D2719" s="16">
        <f>SUMIF(매도완료!$J:$J,Sheet2!$B2719,매도완료!$P:$P)+SUMIF(ING!$J:$J,Sheet2!$B2719,ING!$P:$P)</f>
        <v>0</v>
      </c>
      <c r="E2719" s="16">
        <f t="shared" si="84"/>
        <v>92330891.132399991</v>
      </c>
      <c r="G2719" s="16">
        <f>IF(D2719=0,0,SUMIF(매도완료!$J:$J,Sheet2!$B2719,매도완료!$S:$S))+IF(D2719=0,0,SUMIF(ING!$J:$J,Sheet2!$B2719,ING!$S:$S))</f>
        <v>0</v>
      </c>
      <c r="H2719" s="16">
        <f t="shared" si="85"/>
        <v>471008.24080894142</v>
      </c>
    </row>
    <row r="2720" spans="2:8" hidden="1" x14ac:dyDescent="0.4">
      <c r="B2720" s="1">
        <v>45269</v>
      </c>
      <c r="C2720" s="16">
        <f>SUMIF(매도완료!$G:$G,Sheet2!$B2720,매도완료!$P:$P)+SUMIF(ING!$G:$G,Sheet2!$B2720,ING!$P:$P)</f>
        <v>0</v>
      </c>
      <c r="D2720" s="16">
        <f>SUMIF(매도완료!$J:$J,Sheet2!$B2720,매도완료!$P:$P)+SUMIF(ING!$J:$J,Sheet2!$B2720,ING!$P:$P)</f>
        <v>0</v>
      </c>
      <c r="E2720" s="16">
        <f t="shared" si="84"/>
        <v>92330891.132399991</v>
      </c>
      <c r="G2720" s="16">
        <f>IF(D2720=0,0,SUMIF(매도완료!$J:$J,Sheet2!$B2720,매도완료!$S:$S))+IF(D2720=0,0,SUMIF(ING!$J:$J,Sheet2!$B2720,ING!$S:$S))</f>
        <v>0</v>
      </c>
      <c r="H2720" s="16">
        <f t="shared" si="85"/>
        <v>471008.24080894142</v>
      </c>
    </row>
    <row r="2721" spans="2:8" hidden="1" x14ac:dyDescent="0.4">
      <c r="B2721" s="1">
        <v>45270</v>
      </c>
      <c r="C2721" s="16">
        <f>SUMIF(매도완료!$G:$G,Sheet2!$B2721,매도완료!$P:$P)+SUMIF(ING!$G:$G,Sheet2!$B2721,ING!$P:$P)</f>
        <v>0</v>
      </c>
      <c r="D2721" s="16">
        <f>SUMIF(매도완료!$J:$J,Sheet2!$B2721,매도완료!$P:$P)+SUMIF(ING!$J:$J,Sheet2!$B2721,ING!$P:$P)</f>
        <v>0</v>
      </c>
      <c r="E2721" s="16">
        <f t="shared" si="84"/>
        <v>92330891.132399991</v>
      </c>
      <c r="G2721" s="16">
        <f>IF(D2721=0,0,SUMIF(매도완료!$J:$J,Sheet2!$B2721,매도완료!$S:$S))+IF(D2721=0,0,SUMIF(ING!$J:$J,Sheet2!$B2721,ING!$S:$S))</f>
        <v>0</v>
      </c>
      <c r="H2721" s="16">
        <f t="shared" si="85"/>
        <v>471008.24080894142</v>
      </c>
    </row>
    <row r="2722" spans="2:8" hidden="1" x14ac:dyDescent="0.4">
      <c r="B2722" s="1">
        <v>45271</v>
      </c>
      <c r="C2722" s="16">
        <f>SUMIF(매도완료!$G:$G,Sheet2!$B2722,매도완료!$P:$P)+SUMIF(ING!$G:$G,Sheet2!$B2722,ING!$P:$P)</f>
        <v>0</v>
      </c>
      <c r="D2722" s="16">
        <f>SUMIF(매도완료!$J:$J,Sheet2!$B2722,매도완료!$P:$P)+SUMIF(ING!$J:$J,Sheet2!$B2722,ING!$P:$P)</f>
        <v>0</v>
      </c>
      <c r="E2722" s="16">
        <f t="shared" si="84"/>
        <v>92330891.132399991</v>
      </c>
      <c r="G2722" s="16">
        <f>IF(D2722=0,0,SUMIF(매도완료!$J:$J,Sheet2!$B2722,매도완료!$S:$S))+IF(D2722=0,0,SUMIF(ING!$J:$J,Sheet2!$B2722,ING!$S:$S))</f>
        <v>0</v>
      </c>
      <c r="H2722" s="16">
        <f t="shared" si="85"/>
        <v>471008.24080894142</v>
      </c>
    </row>
    <row r="2723" spans="2:8" hidden="1" x14ac:dyDescent="0.4">
      <c r="B2723" s="1">
        <v>45272</v>
      </c>
      <c r="C2723" s="16">
        <f>SUMIF(매도완료!$G:$G,Sheet2!$B2723,매도완료!$P:$P)+SUMIF(ING!$G:$G,Sheet2!$B2723,ING!$P:$P)</f>
        <v>0</v>
      </c>
      <c r="D2723" s="16">
        <f>SUMIF(매도완료!$J:$J,Sheet2!$B2723,매도완료!$P:$P)+SUMIF(ING!$J:$J,Sheet2!$B2723,ING!$P:$P)</f>
        <v>0</v>
      </c>
      <c r="E2723" s="16">
        <f t="shared" si="84"/>
        <v>92330891.132399991</v>
      </c>
      <c r="G2723" s="16">
        <f>IF(D2723=0,0,SUMIF(매도완료!$J:$J,Sheet2!$B2723,매도완료!$S:$S))+IF(D2723=0,0,SUMIF(ING!$J:$J,Sheet2!$B2723,ING!$S:$S))</f>
        <v>0</v>
      </c>
      <c r="H2723" s="16">
        <f t="shared" si="85"/>
        <v>471008.24080894142</v>
      </c>
    </row>
    <row r="2724" spans="2:8" hidden="1" x14ac:dyDescent="0.4">
      <c r="B2724" s="1">
        <v>45273</v>
      </c>
      <c r="C2724" s="16">
        <f>SUMIF(매도완료!$G:$G,Sheet2!$B2724,매도완료!$P:$P)+SUMIF(ING!$G:$G,Sheet2!$B2724,ING!$P:$P)</f>
        <v>0</v>
      </c>
      <c r="D2724" s="16">
        <f>SUMIF(매도완료!$J:$J,Sheet2!$B2724,매도완료!$P:$P)+SUMIF(ING!$J:$J,Sheet2!$B2724,ING!$P:$P)</f>
        <v>0</v>
      </c>
      <c r="E2724" s="16">
        <f t="shared" si="84"/>
        <v>92330891.132399991</v>
      </c>
      <c r="G2724" s="16">
        <f>IF(D2724=0,0,SUMIF(매도완료!$J:$J,Sheet2!$B2724,매도완료!$S:$S))+IF(D2724=0,0,SUMIF(ING!$J:$J,Sheet2!$B2724,ING!$S:$S))</f>
        <v>0</v>
      </c>
      <c r="H2724" s="16">
        <f t="shared" si="85"/>
        <v>471008.24080894142</v>
      </c>
    </row>
    <row r="2725" spans="2:8" hidden="1" x14ac:dyDescent="0.4">
      <c r="B2725" s="1">
        <v>45274</v>
      </c>
      <c r="C2725" s="16">
        <f>SUMIF(매도완료!$G:$G,Sheet2!$B2725,매도완료!$P:$P)+SUMIF(ING!$G:$G,Sheet2!$B2725,ING!$P:$P)</f>
        <v>0</v>
      </c>
      <c r="D2725" s="16">
        <f>SUMIF(매도완료!$J:$J,Sheet2!$B2725,매도완료!$P:$P)+SUMIF(ING!$J:$J,Sheet2!$B2725,ING!$P:$P)</f>
        <v>0</v>
      </c>
      <c r="E2725" s="16">
        <f t="shared" si="84"/>
        <v>92330891.132399991</v>
      </c>
      <c r="G2725" s="16">
        <f>IF(D2725=0,0,SUMIF(매도완료!$J:$J,Sheet2!$B2725,매도완료!$S:$S))+IF(D2725=0,0,SUMIF(ING!$J:$J,Sheet2!$B2725,ING!$S:$S))</f>
        <v>0</v>
      </c>
      <c r="H2725" s="16">
        <f t="shared" si="85"/>
        <v>471008.24080894142</v>
      </c>
    </row>
    <row r="2726" spans="2:8" hidden="1" x14ac:dyDescent="0.4">
      <c r="B2726" s="1">
        <v>45275</v>
      </c>
      <c r="C2726" s="16">
        <f>SUMIF(매도완료!$G:$G,Sheet2!$B2726,매도완료!$P:$P)+SUMIF(ING!$G:$G,Sheet2!$B2726,ING!$P:$P)</f>
        <v>0</v>
      </c>
      <c r="D2726" s="16">
        <f>SUMIF(매도완료!$J:$J,Sheet2!$B2726,매도완료!$P:$P)+SUMIF(ING!$J:$J,Sheet2!$B2726,ING!$P:$P)</f>
        <v>0</v>
      </c>
      <c r="E2726" s="16">
        <f t="shared" si="84"/>
        <v>92330891.132399991</v>
      </c>
      <c r="G2726" s="16">
        <f>IF(D2726=0,0,SUMIF(매도완료!$J:$J,Sheet2!$B2726,매도완료!$S:$S))+IF(D2726=0,0,SUMIF(ING!$J:$J,Sheet2!$B2726,ING!$S:$S))</f>
        <v>0</v>
      </c>
      <c r="H2726" s="16">
        <f t="shared" si="85"/>
        <v>471008.24080894142</v>
      </c>
    </row>
    <row r="2727" spans="2:8" hidden="1" x14ac:dyDescent="0.4">
      <c r="B2727" s="1">
        <v>45276</v>
      </c>
      <c r="C2727" s="16">
        <f>SUMIF(매도완료!$G:$G,Sheet2!$B2727,매도완료!$P:$P)+SUMIF(ING!$G:$G,Sheet2!$B2727,ING!$P:$P)</f>
        <v>0</v>
      </c>
      <c r="D2727" s="16">
        <f>SUMIF(매도완료!$J:$J,Sheet2!$B2727,매도완료!$P:$P)+SUMIF(ING!$J:$J,Sheet2!$B2727,ING!$P:$P)</f>
        <v>0</v>
      </c>
      <c r="E2727" s="16">
        <f t="shared" si="84"/>
        <v>92330891.132399991</v>
      </c>
      <c r="G2727" s="16">
        <f>IF(D2727=0,0,SUMIF(매도완료!$J:$J,Sheet2!$B2727,매도완료!$S:$S))+IF(D2727=0,0,SUMIF(ING!$J:$J,Sheet2!$B2727,ING!$S:$S))</f>
        <v>0</v>
      </c>
      <c r="H2727" s="16">
        <f t="shared" si="85"/>
        <v>471008.24080894142</v>
      </c>
    </row>
    <row r="2728" spans="2:8" hidden="1" x14ac:dyDescent="0.4">
      <c r="B2728" s="1">
        <v>45277</v>
      </c>
      <c r="C2728" s="16">
        <f>SUMIF(매도완료!$G:$G,Sheet2!$B2728,매도완료!$P:$P)+SUMIF(ING!$G:$G,Sheet2!$B2728,ING!$P:$P)</f>
        <v>0</v>
      </c>
      <c r="D2728" s="16">
        <f>SUMIF(매도완료!$J:$J,Sheet2!$B2728,매도완료!$P:$P)+SUMIF(ING!$J:$J,Sheet2!$B2728,ING!$P:$P)</f>
        <v>0</v>
      </c>
      <c r="E2728" s="16">
        <f t="shared" si="84"/>
        <v>92330891.132399991</v>
      </c>
      <c r="G2728" s="16">
        <f>IF(D2728=0,0,SUMIF(매도완료!$J:$J,Sheet2!$B2728,매도완료!$S:$S))+IF(D2728=0,0,SUMIF(ING!$J:$J,Sheet2!$B2728,ING!$S:$S))</f>
        <v>0</v>
      </c>
      <c r="H2728" s="16">
        <f t="shared" si="85"/>
        <v>471008.24080894142</v>
      </c>
    </row>
    <row r="2729" spans="2:8" hidden="1" x14ac:dyDescent="0.4">
      <c r="B2729" s="1">
        <v>45278</v>
      </c>
      <c r="C2729" s="16">
        <f>SUMIF(매도완료!$G:$G,Sheet2!$B2729,매도완료!$P:$P)+SUMIF(ING!$G:$G,Sheet2!$B2729,ING!$P:$P)</f>
        <v>0</v>
      </c>
      <c r="D2729" s="16">
        <f>SUMIF(매도완료!$J:$J,Sheet2!$B2729,매도완료!$P:$P)+SUMIF(ING!$J:$J,Sheet2!$B2729,ING!$P:$P)</f>
        <v>0</v>
      </c>
      <c r="E2729" s="16">
        <f t="shared" si="84"/>
        <v>92330891.132399991</v>
      </c>
      <c r="G2729" s="16">
        <f>IF(D2729=0,0,SUMIF(매도완료!$J:$J,Sheet2!$B2729,매도완료!$S:$S))+IF(D2729=0,0,SUMIF(ING!$J:$J,Sheet2!$B2729,ING!$S:$S))</f>
        <v>0</v>
      </c>
      <c r="H2729" s="16">
        <f t="shared" si="85"/>
        <v>471008.24080894142</v>
      </c>
    </row>
    <row r="2730" spans="2:8" hidden="1" x14ac:dyDescent="0.4">
      <c r="B2730" s="1">
        <v>45279</v>
      </c>
      <c r="C2730" s="16">
        <f>SUMIF(매도완료!$G:$G,Sheet2!$B2730,매도완료!$P:$P)+SUMIF(ING!$G:$G,Sheet2!$B2730,ING!$P:$P)</f>
        <v>0</v>
      </c>
      <c r="D2730" s="16">
        <f>SUMIF(매도완료!$J:$J,Sheet2!$B2730,매도완료!$P:$P)+SUMIF(ING!$J:$J,Sheet2!$B2730,ING!$P:$P)</f>
        <v>0</v>
      </c>
      <c r="E2730" s="16">
        <f t="shared" si="84"/>
        <v>92330891.132399991</v>
      </c>
      <c r="G2730" s="16">
        <f>IF(D2730=0,0,SUMIF(매도완료!$J:$J,Sheet2!$B2730,매도완료!$S:$S))+IF(D2730=0,0,SUMIF(ING!$J:$J,Sheet2!$B2730,ING!$S:$S))</f>
        <v>0</v>
      </c>
      <c r="H2730" s="16">
        <f t="shared" si="85"/>
        <v>471008.24080894142</v>
      </c>
    </row>
    <row r="2731" spans="2:8" hidden="1" x14ac:dyDescent="0.4">
      <c r="B2731" s="1">
        <v>45280</v>
      </c>
      <c r="C2731" s="16">
        <f>SUMIF(매도완료!$G:$G,Sheet2!$B2731,매도완료!$P:$P)+SUMIF(ING!$G:$G,Sheet2!$B2731,ING!$P:$P)</f>
        <v>0</v>
      </c>
      <c r="D2731" s="16">
        <f>SUMIF(매도완료!$J:$J,Sheet2!$B2731,매도완료!$P:$P)+SUMIF(ING!$J:$J,Sheet2!$B2731,ING!$P:$P)</f>
        <v>0</v>
      </c>
      <c r="E2731" s="16">
        <f t="shared" si="84"/>
        <v>92330891.132399991</v>
      </c>
      <c r="G2731" s="16">
        <f>IF(D2731=0,0,SUMIF(매도완료!$J:$J,Sheet2!$B2731,매도완료!$S:$S))+IF(D2731=0,0,SUMIF(ING!$J:$J,Sheet2!$B2731,ING!$S:$S))</f>
        <v>0</v>
      </c>
      <c r="H2731" s="16">
        <f t="shared" si="85"/>
        <v>471008.24080894142</v>
      </c>
    </row>
    <row r="2732" spans="2:8" hidden="1" x14ac:dyDescent="0.4">
      <c r="B2732" s="1">
        <v>45281</v>
      </c>
      <c r="C2732" s="16">
        <f>SUMIF(매도완료!$G:$G,Sheet2!$B2732,매도완료!$P:$P)+SUMIF(ING!$G:$G,Sheet2!$B2732,ING!$P:$P)</f>
        <v>0</v>
      </c>
      <c r="D2732" s="16">
        <f>SUMIF(매도완료!$J:$J,Sheet2!$B2732,매도완료!$P:$P)+SUMIF(ING!$J:$J,Sheet2!$B2732,ING!$P:$P)</f>
        <v>0</v>
      </c>
      <c r="E2732" s="16">
        <f t="shared" si="84"/>
        <v>92330891.132399991</v>
      </c>
      <c r="G2732" s="16">
        <f>IF(D2732=0,0,SUMIF(매도완료!$J:$J,Sheet2!$B2732,매도완료!$S:$S))+IF(D2732=0,0,SUMIF(ING!$J:$J,Sheet2!$B2732,ING!$S:$S))</f>
        <v>0</v>
      </c>
      <c r="H2732" s="16">
        <f t="shared" si="85"/>
        <v>471008.24080894142</v>
      </c>
    </row>
    <row r="2733" spans="2:8" hidden="1" x14ac:dyDescent="0.4">
      <c r="B2733" s="1">
        <v>45282</v>
      </c>
      <c r="C2733" s="16">
        <f>SUMIF(매도완료!$G:$G,Sheet2!$B2733,매도완료!$P:$P)+SUMIF(ING!$G:$G,Sheet2!$B2733,ING!$P:$P)</f>
        <v>0</v>
      </c>
      <c r="D2733" s="16">
        <f>SUMIF(매도완료!$J:$J,Sheet2!$B2733,매도완료!$P:$P)+SUMIF(ING!$J:$J,Sheet2!$B2733,ING!$P:$P)</f>
        <v>0</v>
      </c>
      <c r="E2733" s="16">
        <f t="shared" si="84"/>
        <v>92330891.132399991</v>
      </c>
      <c r="G2733" s="16">
        <f>IF(D2733=0,0,SUMIF(매도완료!$J:$J,Sheet2!$B2733,매도완료!$S:$S))+IF(D2733=0,0,SUMIF(ING!$J:$J,Sheet2!$B2733,ING!$S:$S))</f>
        <v>0</v>
      </c>
      <c r="H2733" s="16">
        <f t="shared" si="85"/>
        <v>471008.24080894142</v>
      </c>
    </row>
    <row r="2734" spans="2:8" hidden="1" x14ac:dyDescent="0.4">
      <c r="B2734" s="1">
        <v>45283</v>
      </c>
      <c r="C2734" s="16">
        <f>SUMIF(매도완료!$G:$G,Sheet2!$B2734,매도완료!$P:$P)+SUMIF(ING!$G:$G,Sheet2!$B2734,ING!$P:$P)</f>
        <v>0</v>
      </c>
      <c r="D2734" s="16">
        <f>SUMIF(매도완료!$J:$J,Sheet2!$B2734,매도완료!$P:$P)+SUMIF(ING!$J:$J,Sheet2!$B2734,ING!$P:$P)</f>
        <v>0</v>
      </c>
      <c r="E2734" s="16">
        <f t="shared" si="84"/>
        <v>92330891.132399991</v>
      </c>
      <c r="G2734" s="16">
        <f>IF(D2734=0,0,SUMIF(매도완료!$J:$J,Sheet2!$B2734,매도완료!$S:$S))+IF(D2734=0,0,SUMIF(ING!$J:$J,Sheet2!$B2734,ING!$S:$S))</f>
        <v>0</v>
      </c>
      <c r="H2734" s="16">
        <f t="shared" si="85"/>
        <v>471008.24080894142</v>
      </c>
    </row>
    <row r="2735" spans="2:8" hidden="1" x14ac:dyDescent="0.4">
      <c r="B2735" s="1">
        <v>45284</v>
      </c>
      <c r="C2735" s="16">
        <f>SUMIF(매도완료!$G:$G,Sheet2!$B2735,매도완료!$P:$P)+SUMIF(ING!$G:$G,Sheet2!$B2735,ING!$P:$P)</f>
        <v>0</v>
      </c>
      <c r="D2735" s="16">
        <f>SUMIF(매도완료!$J:$J,Sheet2!$B2735,매도완료!$P:$P)+SUMIF(ING!$J:$J,Sheet2!$B2735,ING!$P:$P)</f>
        <v>0</v>
      </c>
      <c r="E2735" s="16">
        <f t="shared" si="84"/>
        <v>92330891.132399991</v>
      </c>
      <c r="G2735" s="16">
        <f>IF(D2735=0,0,SUMIF(매도완료!$J:$J,Sheet2!$B2735,매도완료!$S:$S))+IF(D2735=0,0,SUMIF(ING!$J:$J,Sheet2!$B2735,ING!$S:$S))</f>
        <v>0</v>
      </c>
      <c r="H2735" s="16">
        <f t="shared" si="85"/>
        <v>471008.24080894142</v>
      </c>
    </row>
    <row r="2736" spans="2:8" hidden="1" x14ac:dyDescent="0.4">
      <c r="B2736" s="1">
        <v>45285</v>
      </c>
      <c r="C2736" s="16">
        <f>SUMIF(매도완료!$G:$G,Sheet2!$B2736,매도완료!$P:$P)+SUMIF(ING!$G:$G,Sheet2!$B2736,ING!$P:$P)</f>
        <v>0</v>
      </c>
      <c r="D2736" s="16">
        <f>SUMIF(매도완료!$J:$J,Sheet2!$B2736,매도완료!$P:$P)+SUMIF(ING!$J:$J,Sheet2!$B2736,ING!$P:$P)</f>
        <v>0</v>
      </c>
      <c r="E2736" s="16">
        <f t="shared" si="84"/>
        <v>92330891.132399991</v>
      </c>
      <c r="G2736" s="16">
        <f>IF(D2736=0,0,SUMIF(매도완료!$J:$J,Sheet2!$B2736,매도완료!$S:$S))+IF(D2736=0,0,SUMIF(ING!$J:$J,Sheet2!$B2736,ING!$S:$S))</f>
        <v>0</v>
      </c>
      <c r="H2736" s="16">
        <f t="shared" si="85"/>
        <v>471008.24080894142</v>
      </c>
    </row>
    <row r="2737" spans="2:8" hidden="1" x14ac:dyDescent="0.4">
      <c r="B2737" s="1">
        <v>45286</v>
      </c>
      <c r="C2737" s="16">
        <f>SUMIF(매도완료!$G:$G,Sheet2!$B2737,매도완료!$P:$P)+SUMIF(ING!$G:$G,Sheet2!$B2737,ING!$P:$P)</f>
        <v>0</v>
      </c>
      <c r="D2737" s="16">
        <f>SUMIF(매도완료!$J:$J,Sheet2!$B2737,매도완료!$P:$P)+SUMIF(ING!$J:$J,Sheet2!$B2737,ING!$P:$P)</f>
        <v>0</v>
      </c>
      <c r="E2737" s="16">
        <f t="shared" si="84"/>
        <v>92330891.132399991</v>
      </c>
      <c r="G2737" s="16">
        <f>IF(D2737=0,0,SUMIF(매도완료!$J:$J,Sheet2!$B2737,매도완료!$S:$S))+IF(D2737=0,0,SUMIF(ING!$J:$J,Sheet2!$B2737,ING!$S:$S))</f>
        <v>0</v>
      </c>
      <c r="H2737" s="16">
        <f t="shared" si="85"/>
        <v>471008.24080894142</v>
      </c>
    </row>
    <row r="2738" spans="2:8" hidden="1" x14ac:dyDescent="0.4">
      <c r="B2738" s="1">
        <v>45287</v>
      </c>
      <c r="C2738" s="16">
        <f>SUMIF(매도완료!$G:$G,Sheet2!$B2738,매도완료!$P:$P)+SUMIF(ING!$G:$G,Sheet2!$B2738,ING!$P:$P)</f>
        <v>0</v>
      </c>
      <c r="D2738" s="16">
        <f>SUMIF(매도완료!$J:$J,Sheet2!$B2738,매도완료!$P:$P)+SUMIF(ING!$J:$J,Sheet2!$B2738,ING!$P:$P)</f>
        <v>0</v>
      </c>
      <c r="E2738" s="16">
        <f t="shared" si="84"/>
        <v>92330891.132399991</v>
      </c>
      <c r="G2738" s="16">
        <f>IF(D2738=0,0,SUMIF(매도완료!$J:$J,Sheet2!$B2738,매도완료!$S:$S))+IF(D2738=0,0,SUMIF(ING!$J:$J,Sheet2!$B2738,ING!$S:$S))</f>
        <v>0</v>
      </c>
      <c r="H2738" s="16">
        <f t="shared" si="85"/>
        <v>471008.24080894142</v>
      </c>
    </row>
    <row r="2739" spans="2:8" hidden="1" x14ac:dyDescent="0.4">
      <c r="B2739" s="1">
        <v>45288</v>
      </c>
      <c r="C2739" s="16">
        <f>SUMIF(매도완료!$G:$G,Sheet2!$B2739,매도완료!$P:$P)+SUMIF(ING!$G:$G,Sheet2!$B2739,ING!$P:$P)</f>
        <v>0</v>
      </c>
      <c r="D2739" s="16">
        <f>SUMIF(매도완료!$J:$J,Sheet2!$B2739,매도완료!$P:$P)+SUMIF(ING!$J:$J,Sheet2!$B2739,ING!$P:$P)</f>
        <v>0</v>
      </c>
      <c r="E2739" s="16">
        <f t="shared" si="84"/>
        <v>92330891.132399991</v>
      </c>
      <c r="G2739" s="16">
        <f>IF(D2739=0,0,SUMIF(매도완료!$J:$J,Sheet2!$B2739,매도완료!$S:$S))+IF(D2739=0,0,SUMIF(ING!$J:$J,Sheet2!$B2739,ING!$S:$S))</f>
        <v>0</v>
      </c>
      <c r="H2739" s="16">
        <f t="shared" si="85"/>
        <v>471008.24080894142</v>
      </c>
    </row>
    <row r="2740" spans="2:8" hidden="1" x14ac:dyDescent="0.4">
      <c r="B2740" s="1">
        <v>45289</v>
      </c>
      <c r="C2740" s="16">
        <f>SUMIF(매도완료!$G:$G,Sheet2!$B2740,매도완료!$P:$P)+SUMIF(ING!$G:$G,Sheet2!$B2740,ING!$P:$P)</f>
        <v>0</v>
      </c>
      <c r="D2740" s="16">
        <f>SUMIF(매도완료!$J:$J,Sheet2!$B2740,매도완료!$P:$P)+SUMIF(ING!$J:$J,Sheet2!$B2740,ING!$P:$P)</f>
        <v>0</v>
      </c>
      <c r="E2740" s="16">
        <f t="shared" si="84"/>
        <v>92330891.132399991</v>
      </c>
      <c r="G2740" s="16">
        <f>IF(D2740=0,0,SUMIF(매도완료!$J:$J,Sheet2!$B2740,매도완료!$S:$S))+IF(D2740=0,0,SUMIF(ING!$J:$J,Sheet2!$B2740,ING!$S:$S))</f>
        <v>0</v>
      </c>
      <c r="H2740" s="16">
        <f t="shared" si="85"/>
        <v>471008.24080894142</v>
      </c>
    </row>
    <row r="2741" spans="2:8" hidden="1" x14ac:dyDescent="0.4">
      <c r="B2741" s="1">
        <v>45290</v>
      </c>
      <c r="C2741" s="16">
        <f>SUMIF(매도완료!$G:$G,Sheet2!$B2741,매도완료!$P:$P)+SUMIF(ING!$G:$G,Sheet2!$B2741,ING!$P:$P)</f>
        <v>0</v>
      </c>
      <c r="D2741" s="16">
        <f>SUMIF(매도완료!$J:$J,Sheet2!$B2741,매도완료!$P:$P)+SUMIF(ING!$J:$J,Sheet2!$B2741,ING!$P:$P)</f>
        <v>0</v>
      </c>
      <c r="E2741" s="16">
        <f t="shared" si="84"/>
        <v>92330891.132399991</v>
      </c>
      <c r="G2741" s="16">
        <f>IF(D2741=0,0,SUMIF(매도완료!$J:$J,Sheet2!$B2741,매도완료!$S:$S))+IF(D2741=0,0,SUMIF(ING!$J:$J,Sheet2!$B2741,ING!$S:$S))</f>
        <v>0</v>
      </c>
      <c r="H2741" s="16">
        <f t="shared" si="85"/>
        <v>471008.24080894142</v>
      </c>
    </row>
    <row r="2742" spans="2:8" hidden="1" x14ac:dyDescent="0.4">
      <c r="B2742" s="1">
        <v>45291</v>
      </c>
      <c r="C2742" s="16">
        <f>SUMIF(매도완료!$G:$G,Sheet2!$B2742,매도완료!$P:$P)+SUMIF(ING!$G:$G,Sheet2!$B2742,ING!$P:$P)</f>
        <v>0</v>
      </c>
      <c r="D2742" s="16">
        <f>SUMIF(매도완료!$J:$J,Sheet2!$B2742,매도완료!$P:$P)+SUMIF(ING!$J:$J,Sheet2!$B2742,ING!$P:$P)</f>
        <v>0</v>
      </c>
      <c r="E2742" s="16">
        <f t="shared" si="84"/>
        <v>92330891.132399991</v>
      </c>
      <c r="G2742" s="16">
        <f>IF(D2742=0,0,SUMIF(매도완료!$J:$J,Sheet2!$B2742,매도완료!$S:$S))+IF(D2742=0,0,SUMIF(ING!$J:$J,Sheet2!$B2742,ING!$S:$S))</f>
        <v>0</v>
      </c>
      <c r="H2742" s="16">
        <f t="shared" si="85"/>
        <v>471008.24080894142</v>
      </c>
    </row>
    <row r="2743" spans="2:8" x14ac:dyDescent="0.4">
      <c r="B2743" s="1">
        <v>45292</v>
      </c>
      <c r="C2743" s="16">
        <f>SUMIF(매도완료!$G:$G,Sheet2!$B2743,매도완료!$P:$P)+SUMIF(ING!$G:$G,Sheet2!$B2743,ING!$P:$P)</f>
        <v>0</v>
      </c>
      <c r="D2743" s="16">
        <f>SUMIF(매도완료!$J:$J,Sheet2!$B2743,매도완료!$P:$P)+SUMIF(ING!$J:$J,Sheet2!$B2743,ING!$P:$P)</f>
        <v>0</v>
      </c>
      <c r="E2743" s="16">
        <f t="shared" si="84"/>
        <v>92330891.132399991</v>
      </c>
      <c r="G2743" s="16">
        <f>IF(D2743=0,0,SUMIF(매도완료!$J:$J,Sheet2!$B2743,매도완료!$S:$S))+IF(D2743=0,0,SUMIF(ING!$J:$J,Sheet2!$B2743,ING!$S:$S))</f>
        <v>0</v>
      </c>
      <c r="H2743" s="16">
        <f t="shared" si="85"/>
        <v>471008.24080894142</v>
      </c>
    </row>
    <row r="2744" spans="2:8" hidden="1" x14ac:dyDescent="0.4">
      <c r="B2744" s="1">
        <v>45293</v>
      </c>
      <c r="C2744" s="16">
        <f>SUMIF(매도완료!$G:$G,Sheet2!$B2744,매도완료!$P:$P)+SUMIF(ING!$G:$G,Sheet2!$B2744,ING!$P:$P)</f>
        <v>0</v>
      </c>
      <c r="D2744" s="16">
        <f>SUMIF(매도완료!$J:$J,Sheet2!$B2744,매도완료!$P:$P)+SUMIF(ING!$J:$J,Sheet2!$B2744,ING!$P:$P)</f>
        <v>0</v>
      </c>
      <c r="E2744" s="16">
        <f t="shared" si="84"/>
        <v>92330891.132399991</v>
      </c>
      <c r="G2744" s="16">
        <f>IF(D2744=0,0,SUMIF(매도완료!$J:$J,Sheet2!$B2744,매도완료!$S:$S))+IF(D2744=0,0,SUMIF(ING!$J:$J,Sheet2!$B2744,ING!$S:$S))</f>
        <v>0</v>
      </c>
      <c r="H2744" s="16">
        <f t="shared" si="85"/>
        <v>471008.24080894142</v>
      </c>
    </row>
    <row r="2745" spans="2:8" hidden="1" x14ac:dyDescent="0.4">
      <c r="B2745" s="1">
        <v>45294</v>
      </c>
      <c r="C2745" s="16">
        <f>SUMIF(매도완료!$G:$G,Sheet2!$B2745,매도완료!$P:$P)+SUMIF(ING!$G:$G,Sheet2!$B2745,ING!$P:$P)</f>
        <v>0</v>
      </c>
      <c r="D2745" s="16">
        <f>SUMIF(매도완료!$J:$J,Sheet2!$B2745,매도완료!$P:$P)+SUMIF(ING!$J:$J,Sheet2!$B2745,ING!$P:$P)</f>
        <v>0</v>
      </c>
      <c r="E2745" s="16">
        <f t="shared" si="84"/>
        <v>92330891.132399991</v>
      </c>
      <c r="G2745" s="16">
        <f>IF(D2745=0,0,SUMIF(매도완료!$J:$J,Sheet2!$B2745,매도완료!$S:$S))+IF(D2745=0,0,SUMIF(ING!$J:$J,Sheet2!$B2745,ING!$S:$S))</f>
        <v>0</v>
      </c>
      <c r="H2745" s="16">
        <f t="shared" si="85"/>
        <v>471008.24080894142</v>
      </c>
    </row>
    <row r="2746" spans="2:8" hidden="1" x14ac:dyDescent="0.4">
      <c r="B2746" s="1">
        <v>45295</v>
      </c>
      <c r="C2746" s="16">
        <f>SUMIF(매도완료!$G:$G,Sheet2!$B2746,매도완료!$P:$P)+SUMIF(ING!$G:$G,Sheet2!$B2746,ING!$P:$P)</f>
        <v>0</v>
      </c>
      <c r="D2746" s="16">
        <f>SUMIF(매도완료!$J:$J,Sheet2!$B2746,매도완료!$P:$P)+SUMIF(ING!$J:$J,Sheet2!$B2746,ING!$P:$P)</f>
        <v>0</v>
      </c>
      <c r="E2746" s="16">
        <f t="shared" si="84"/>
        <v>92330891.132399991</v>
      </c>
      <c r="G2746" s="16">
        <f>IF(D2746=0,0,SUMIF(매도완료!$J:$J,Sheet2!$B2746,매도완료!$S:$S))+IF(D2746=0,0,SUMIF(ING!$J:$J,Sheet2!$B2746,ING!$S:$S))</f>
        <v>0</v>
      </c>
      <c r="H2746" s="16">
        <f t="shared" si="85"/>
        <v>471008.24080894142</v>
      </c>
    </row>
    <row r="2747" spans="2:8" hidden="1" x14ac:dyDescent="0.4">
      <c r="B2747" s="1">
        <v>45296</v>
      </c>
      <c r="C2747" s="16">
        <f>SUMIF(매도완료!$G:$G,Sheet2!$B2747,매도완료!$P:$P)+SUMIF(ING!$G:$G,Sheet2!$B2747,ING!$P:$P)</f>
        <v>0</v>
      </c>
      <c r="D2747" s="16">
        <f>SUMIF(매도완료!$J:$J,Sheet2!$B2747,매도완료!$P:$P)+SUMIF(ING!$J:$J,Sheet2!$B2747,ING!$P:$P)</f>
        <v>0</v>
      </c>
      <c r="E2747" s="16">
        <f t="shared" si="84"/>
        <v>92330891.132399991</v>
      </c>
      <c r="G2747" s="16">
        <f>IF(D2747=0,0,SUMIF(매도완료!$J:$J,Sheet2!$B2747,매도완료!$S:$S))+IF(D2747=0,0,SUMIF(ING!$J:$J,Sheet2!$B2747,ING!$S:$S))</f>
        <v>0</v>
      </c>
      <c r="H2747" s="16">
        <f t="shared" si="85"/>
        <v>471008.24080894142</v>
      </c>
    </row>
    <row r="2748" spans="2:8" hidden="1" x14ac:dyDescent="0.4">
      <c r="B2748" s="1">
        <v>45297</v>
      </c>
      <c r="C2748" s="16">
        <f>SUMIF(매도완료!$G:$G,Sheet2!$B2748,매도완료!$P:$P)+SUMIF(ING!$G:$G,Sheet2!$B2748,ING!$P:$P)</f>
        <v>0</v>
      </c>
      <c r="D2748" s="16">
        <f>SUMIF(매도완료!$J:$J,Sheet2!$B2748,매도완료!$P:$P)+SUMIF(ING!$J:$J,Sheet2!$B2748,ING!$P:$P)</f>
        <v>0</v>
      </c>
      <c r="E2748" s="16">
        <f t="shared" si="84"/>
        <v>92330891.132399991</v>
      </c>
      <c r="G2748" s="16">
        <f>IF(D2748=0,0,SUMIF(매도완료!$J:$J,Sheet2!$B2748,매도완료!$S:$S))+IF(D2748=0,0,SUMIF(ING!$J:$J,Sheet2!$B2748,ING!$S:$S))</f>
        <v>0</v>
      </c>
      <c r="H2748" s="16">
        <f t="shared" si="85"/>
        <v>471008.24080894142</v>
      </c>
    </row>
    <row r="2749" spans="2:8" hidden="1" x14ac:dyDescent="0.4">
      <c r="B2749" s="1">
        <v>45298</v>
      </c>
      <c r="C2749" s="16">
        <f>SUMIF(매도완료!$G:$G,Sheet2!$B2749,매도완료!$P:$P)+SUMIF(ING!$G:$G,Sheet2!$B2749,ING!$P:$P)</f>
        <v>0</v>
      </c>
      <c r="D2749" s="16">
        <f>SUMIF(매도완료!$J:$J,Sheet2!$B2749,매도완료!$P:$P)+SUMIF(ING!$J:$J,Sheet2!$B2749,ING!$P:$P)</f>
        <v>0</v>
      </c>
      <c r="E2749" s="16">
        <f t="shared" si="84"/>
        <v>92330891.132399991</v>
      </c>
      <c r="G2749" s="16">
        <f>IF(D2749=0,0,SUMIF(매도완료!$J:$J,Sheet2!$B2749,매도완료!$S:$S))+IF(D2749=0,0,SUMIF(ING!$J:$J,Sheet2!$B2749,ING!$S:$S))</f>
        <v>0</v>
      </c>
      <c r="H2749" s="16">
        <f t="shared" si="85"/>
        <v>471008.24080894142</v>
      </c>
    </row>
    <row r="2750" spans="2:8" hidden="1" x14ac:dyDescent="0.4">
      <c r="B2750" s="1">
        <v>45299</v>
      </c>
      <c r="C2750" s="16">
        <f>SUMIF(매도완료!$G:$G,Sheet2!$B2750,매도완료!$P:$P)+SUMIF(ING!$G:$G,Sheet2!$B2750,ING!$P:$P)</f>
        <v>0</v>
      </c>
      <c r="D2750" s="16">
        <f>SUMIF(매도완료!$J:$J,Sheet2!$B2750,매도완료!$P:$P)+SUMIF(ING!$J:$J,Sheet2!$B2750,ING!$P:$P)</f>
        <v>0</v>
      </c>
      <c r="E2750" s="16">
        <f t="shared" si="84"/>
        <v>92330891.132399991</v>
      </c>
      <c r="G2750" s="16">
        <f>IF(D2750=0,0,SUMIF(매도완료!$J:$J,Sheet2!$B2750,매도완료!$S:$S))+IF(D2750=0,0,SUMIF(ING!$J:$J,Sheet2!$B2750,ING!$S:$S))</f>
        <v>0</v>
      </c>
      <c r="H2750" s="16">
        <f t="shared" si="85"/>
        <v>471008.24080894142</v>
      </c>
    </row>
    <row r="2751" spans="2:8" hidden="1" x14ac:dyDescent="0.4">
      <c r="B2751" s="1">
        <v>45300</v>
      </c>
      <c r="C2751" s="16">
        <f>SUMIF(매도완료!$G:$G,Sheet2!$B2751,매도완료!$P:$P)+SUMIF(ING!$G:$G,Sheet2!$B2751,ING!$P:$P)</f>
        <v>0</v>
      </c>
      <c r="D2751" s="16">
        <f>SUMIF(매도완료!$J:$J,Sheet2!$B2751,매도완료!$P:$P)+SUMIF(ING!$J:$J,Sheet2!$B2751,ING!$P:$P)</f>
        <v>0</v>
      </c>
      <c r="E2751" s="16">
        <f t="shared" si="84"/>
        <v>92330891.132399991</v>
      </c>
      <c r="G2751" s="16">
        <f>IF(D2751=0,0,SUMIF(매도완료!$J:$J,Sheet2!$B2751,매도완료!$S:$S))+IF(D2751=0,0,SUMIF(ING!$J:$J,Sheet2!$B2751,ING!$S:$S))</f>
        <v>0</v>
      </c>
      <c r="H2751" s="16">
        <f t="shared" si="85"/>
        <v>471008.24080894142</v>
      </c>
    </row>
    <row r="2752" spans="2:8" hidden="1" x14ac:dyDescent="0.4">
      <c r="B2752" s="1">
        <v>45301</v>
      </c>
      <c r="C2752" s="16">
        <f>SUMIF(매도완료!$G:$G,Sheet2!$B2752,매도완료!$P:$P)+SUMIF(ING!$G:$G,Sheet2!$B2752,ING!$P:$P)</f>
        <v>0</v>
      </c>
      <c r="D2752" s="16">
        <f>SUMIF(매도완료!$J:$J,Sheet2!$B2752,매도완료!$P:$P)+SUMIF(ING!$J:$J,Sheet2!$B2752,ING!$P:$P)</f>
        <v>0</v>
      </c>
      <c r="E2752" s="16">
        <f t="shared" si="84"/>
        <v>92330891.132399991</v>
      </c>
      <c r="G2752" s="16">
        <f>IF(D2752=0,0,SUMIF(매도완료!$J:$J,Sheet2!$B2752,매도완료!$S:$S))+IF(D2752=0,0,SUMIF(ING!$J:$J,Sheet2!$B2752,ING!$S:$S))</f>
        <v>0</v>
      </c>
      <c r="H2752" s="16">
        <f t="shared" si="85"/>
        <v>471008.24080894142</v>
      </c>
    </row>
    <row r="2753" spans="2:8" hidden="1" x14ac:dyDescent="0.4">
      <c r="B2753" s="1">
        <v>45302</v>
      </c>
      <c r="C2753" s="16">
        <f>SUMIF(매도완료!$G:$G,Sheet2!$B2753,매도완료!$P:$P)+SUMIF(ING!$G:$G,Sheet2!$B2753,ING!$P:$P)</f>
        <v>0</v>
      </c>
      <c r="D2753" s="16">
        <f>SUMIF(매도완료!$J:$J,Sheet2!$B2753,매도완료!$P:$P)+SUMIF(ING!$J:$J,Sheet2!$B2753,ING!$P:$P)</f>
        <v>0</v>
      </c>
      <c r="E2753" s="16">
        <f t="shared" si="84"/>
        <v>92330891.132399991</v>
      </c>
      <c r="G2753" s="16">
        <f>IF(D2753=0,0,SUMIF(매도완료!$J:$J,Sheet2!$B2753,매도완료!$S:$S))+IF(D2753=0,0,SUMIF(ING!$J:$J,Sheet2!$B2753,ING!$S:$S))</f>
        <v>0</v>
      </c>
      <c r="H2753" s="16">
        <f t="shared" si="85"/>
        <v>471008.24080894142</v>
      </c>
    </row>
    <row r="2754" spans="2:8" hidden="1" x14ac:dyDescent="0.4">
      <c r="B2754" s="1">
        <v>45303</v>
      </c>
      <c r="C2754" s="16">
        <f>SUMIF(매도완료!$G:$G,Sheet2!$B2754,매도완료!$P:$P)+SUMIF(ING!$G:$G,Sheet2!$B2754,ING!$P:$P)</f>
        <v>0</v>
      </c>
      <c r="D2754" s="16">
        <f>SUMIF(매도완료!$J:$J,Sheet2!$B2754,매도완료!$P:$P)+SUMIF(ING!$J:$J,Sheet2!$B2754,ING!$P:$P)</f>
        <v>0</v>
      </c>
      <c r="E2754" s="16">
        <f t="shared" si="84"/>
        <v>92330891.132399991</v>
      </c>
      <c r="G2754" s="16">
        <f>IF(D2754=0,0,SUMIF(매도완료!$J:$J,Sheet2!$B2754,매도완료!$S:$S))+IF(D2754=0,0,SUMIF(ING!$J:$J,Sheet2!$B2754,ING!$S:$S))</f>
        <v>0</v>
      </c>
      <c r="H2754" s="16">
        <f t="shared" si="85"/>
        <v>471008.24080894142</v>
      </c>
    </row>
    <row r="2755" spans="2:8" hidden="1" x14ac:dyDescent="0.4">
      <c r="B2755" s="1">
        <v>45304</v>
      </c>
      <c r="C2755" s="16">
        <f>SUMIF(매도완료!$G:$G,Sheet2!$B2755,매도완료!$P:$P)+SUMIF(ING!$G:$G,Sheet2!$B2755,ING!$P:$P)</f>
        <v>0</v>
      </c>
      <c r="D2755" s="16">
        <f>SUMIF(매도완료!$J:$J,Sheet2!$B2755,매도완료!$P:$P)+SUMIF(ING!$J:$J,Sheet2!$B2755,ING!$P:$P)</f>
        <v>0</v>
      </c>
      <c r="E2755" s="16">
        <f t="shared" si="84"/>
        <v>92330891.132399991</v>
      </c>
      <c r="G2755" s="16">
        <f>IF(D2755=0,0,SUMIF(매도완료!$J:$J,Sheet2!$B2755,매도완료!$S:$S))+IF(D2755=0,0,SUMIF(ING!$J:$J,Sheet2!$B2755,ING!$S:$S))</f>
        <v>0</v>
      </c>
      <c r="H2755" s="16">
        <f t="shared" si="85"/>
        <v>471008.24080894142</v>
      </c>
    </row>
    <row r="2756" spans="2:8" hidden="1" x14ac:dyDescent="0.4">
      <c r="B2756" s="1">
        <v>45305</v>
      </c>
      <c r="C2756" s="16">
        <f>SUMIF(매도완료!$G:$G,Sheet2!$B2756,매도완료!$P:$P)+SUMIF(ING!$G:$G,Sheet2!$B2756,ING!$P:$P)</f>
        <v>0</v>
      </c>
      <c r="D2756" s="16">
        <f>SUMIF(매도완료!$J:$J,Sheet2!$B2756,매도완료!$P:$P)+SUMIF(ING!$J:$J,Sheet2!$B2756,ING!$P:$P)</f>
        <v>0</v>
      </c>
      <c r="E2756" s="16">
        <f t="shared" ref="E2756:E2819" si="86">E2755+C2756-D2756</f>
        <v>92330891.132399991</v>
      </c>
      <c r="G2756" s="16">
        <f>IF(D2756=0,0,SUMIF(매도완료!$J:$J,Sheet2!$B2756,매도완료!$S:$S))+IF(D2756=0,0,SUMIF(ING!$J:$J,Sheet2!$B2756,ING!$S:$S))</f>
        <v>0</v>
      </c>
      <c r="H2756" s="16">
        <f t="shared" ref="H2756:H2819" si="87">H2755+G2756</f>
        <v>471008.24080894142</v>
      </c>
    </row>
    <row r="2757" spans="2:8" hidden="1" x14ac:dyDescent="0.4">
      <c r="B2757" s="1">
        <v>45306</v>
      </c>
      <c r="C2757" s="16">
        <f>SUMIF(매도완료!$G:$G,Sheet2!$B2757,매도완료!$P:$P)+SUMIF(ING!$G:$G,Sheet2!$B2757,ING!$P:$P)</f>
        <v>0</v>
      </c>
      <c r="D2757" s="16">
        <f>SUMIF(매도완료!$J:$J,Sheet2!$B2757,매도완료!$P:$P)+SUMIF(ING!$J:$J,Sheet2!$B2757,ING!$P:$P)</f>
        <v>0</v>
      </c>
      <c r="E2757" s="16">
        <f t="shared" si="86"/>
        <v>92330891.132399991</v>
      </c>
      <c r="G2757" s="16">
        <f>IF(D2757=0,0,SUMIF(매도완료!$J:$J,Sheet2!$B2757,매도완료!$S:$S))+IF(D2757=0,0,SUMIF(ING!$J:$J,Sheet2!$B2757,ING!$S:$S))</f>
        <v>0</v>
      </c>
      <c r="H2757" s="16">
        <f t="shared" si="87"/>
        <v>471008.24080894142</v>
      </c>
    </row>
    <row r="2758" spans="2:8" hidden="1" x14ac:dyDescent="0.4">
      <c r="B2758" s="1">
        <v>45307</v>
      </c>
      <c r="C2758" s="16">
        <f>SUMIF(매도완료!$G:$G,Sheet2!$B2758,매도완료!$P:$P)+SUMIF(ING!$G:$G,Sheet2!$B2758,ING!$P:$P)</f>
        <v>0</v>
      </c>
      <c r="D2758" s="16">
        <f>SUMIF(매도완료!$J:$J,Sheet2!$B2758,매도완료!$P:$P)+SUMIF(ING!$J:$J,Sheet2!$B2758,ING!$P:$P)</f>
        <v>0</v>
      </c>
      <c r="E2758" s="16">
        <f t="shared" si="86"/>
        <v>92330891.132399991</v>
      </c>
      <c r="G2758" s="16">
        <f>IF(D2758=0,0,SUMIF(매도완료!$J:$J,Sheet2!$B2758,매도완료!$S:$S))+IF(D2758=0,0,SUMIF(ING!$J:$J,Sheet2!$B2758,ING!$S:$S))</f>
        <v>0</v>
      </c>
      <c r="H2758" s="16">
        <f t="shared" si="87"/>
        <v>471008.24080894142</v>
      </c>
    </row>
    <row r="2759" spans="2:8" hidden="1" x14ac:dyDescent="0.4">
      <c r="B2759" s="1">
        <v>45308</v>
      </c>
      <c r="C2759" s="16">
        <f>SUMIF(매도완료!$G:$G,Sheet2!$B2759,매도완료!$P:$P)+SUMIF(ING!$G:$G,Sheet2!$B2759,ING!$P:$P)</f>
        <v>0</v>
      </c>
      <c r="D2759" s="16">
        <f>SUMIF(매도완료!$J:$J,Sheet2!$B2759,매도완료!$P:$P)+SUMIF(ING!$J:$J,Sheet2!$B2759,ING!$P:$P)</f>
        <v>0</v>
      </c>
      <c r="E2759" s="16">
        <f t="shared" si="86"/>
        <v>92330891.132399991</v>
      </c>
      <c r="G2759" s="16">
        <f>IF(D2759=0,0,SUMIF(매도완료!$J:$J,Sheet2!$B2759,매도완료!$S:$S))+IF(D2759=0,0,SUMIF(ING!$J:$J,Sheet2!$B2759,ING!$S:$S))</f>
        <v>0</v>
      </c>
      <c r="H2759" s="16">
        <f t="shared" si="87"/>
        <v>471008.24080894142</v>
      </c>
    </row>
    <row r="2760" spans="2:8" hidden="1" x14ac:dyDescent="0.4">
      <c r="B2760" s="1">
        <v>45309</v>
      </c>
      <c r="C2760" s="16">
        <f>SUMIF(매도완료!$G:$G,Sheet2!$B2760,매도완료!$P:$P)+SUMIF(ING!$G:$G,Sheet2!$B2760,ING!$P:$P)</f>
        <v>0</v>
      </c>
      <c r="D2760" s="16">
        <f>SUMIF(매도완료!$J:$J,Sheet2!$B2760,매도완료!$P:$P)+SUMIF(ING!$J:$J,Sheet2!$B2760,ING!$P:$P)</f>
        <v>0</v>
      </c>
      <c r="E2760" s="16">
        <f t="shared" si="86"/>
        <v>92330891.132399991</v>
      </c>
      <c r="G2760" s="16">
        <f>IF(D2760=0,0,SUMIF(매도완료!$J:$J,Sheet2!$B2760,매도완료!$S:$S))+IF(D2760=0,0,SUMIF(ING!$J:$J,Sheet2!$B2760,ING!$S:$S))</f>
        <v>0</v>
      </c>
      <c r="H2760" s="16">
        <f t="shared" si="87"/>
        <v>471008.24080894142</v>
      </c>
    </row>
    <row r="2761" spans="2:8" hidden="1" x14ac:dyDescent="0.4">
      <c r="B2761" s="1">
        <v>45310</v>
      </c>
      <c r="C2761" s="16">
        <f>SUMIF(매도완료!$G:$G,Sheet2!$B2761,매도완료!$P:$P)+SUMIF(ING!$G:$G,Sheet2!$B2761,ING!$P:$P)</f>
        <v>0</v>
      </c>
      <c r="D2761" s="16">
        <f>SUMIF(매도완료!$J:$J,Sheet2!$B2761,매도완료!$P:$P)+SUMIF(ING!$J:$J,Sheet2!$B2761,ING!$P:$P)</f>
        <v>0</v>
      </c>
      <c r="E2761" s="16">
        <f t="shared" si="86"/>
        <v>92330891.132399991</v>
      </c>
      <c r="G2761" s="16">
        <f>IF(D2761=0,0,SUMIF(매도완료!$J:$J,Sheet2!$B2761,매도완료!$S:$S))+IF(D2761=0,0,SUMIF(ING!$J:$J,Sheet2!$B2761,ING!$S:$S))</f>
        <v>0</v>
      </c>
      <c r="H2761" s="16">
        <f t="shared" si="87"/>
        <v>471008.24080894142</v>
      </c>
    </row>
    <row r="2762" spans="2:8" hidden="1" x14ac:dyDescent="0.4">
      <c r="B2762" s="1">
        <v>45311</v>
      </c>
      <c r="C2762" s="16">
        <f>SUMIF(매도완료!$G:$G,Sheet2!$B2762,매도완료!$P:$P)+SUMIF(ING!$G:$G,Sheet2!$B2762,ING!$P:$P)</f>
        <v>0</v>
      </c>
      <c r="D2762" s="16">
        <f>SUMIF(매도완료!$J:$J,Sheet2!$B2762,매도완료!$P:$P)+SUMIF(ING!$J:$J,Sheet2!$B2762,ING!$P:$P)</f>
        <v>0</v>
      </c>
      <c r="E2762" s="16">
        <f t="shared" si="86"/>
        <v>92330891.132399991</v>
      </c>
      <c r="G2762" s="16">
        <f>IF(D2762=0,0,SUMIF(매도완료!$J:$J,Sheet2!$B2762,매도완료!$S:$S))+IF(D2762=0,0,SUMIF(ING!$J:$J,Sheet2!$B2762,ING!$S:$S))</f>
        <v>0</v>
      </c>
      <c r="H2762" s="16">
        <f t="shared" si="87"/>
        <v>471008.24080894142</v>
      </c>
    </row>
    <row r="2763" spans="2:8" hidden="1" x14ac:dyDescent="0.4">
      <c r="B2763" s="1">
        <v>45312</v>
      </c>
      <c r="C2763" s="16">
        <f>SUMIF(매도완료!$G:$G,Sheet2!$B2763,매도완료!$P:$P)+SUMIF(ING!$G:$G,Sheet2!$B2763,ING!$P:$P)</f>
        <v>0</v>
      </c>
      <c r="D2763" s="16">
        <f>SUMIF(매도완료!$J:$J,Sheet2!$B2763,매도완료!$P:$P)+SUMIF(ING!$J:$J,Sheet2!$B2763,ING!$P:$P)</f>
        <v>0</v>
      </c>
      <c r="E2763" s="16">
        <f t="shared" si="86"/>
        <v>92330891.132399991</v>
      </c>
      <c r="G2763" s="16">
        <f>IF(D2763=0,0,SUMIF(매도완료!$J:$J,Sheet2!$B2763,매도완료!$S:$S))+IF(D2763=0,0,SUMIF(ING!$J:$J,Sheet2!$B2763,ING!$S:$S))</f>
        <v>0</v>
      </c>
      <c r="H2763" s="16">
        <f t="shared" si="87"/>
        <v>471008.24080894142</v>
      </c>
    </row>
    <row r="2764" spans="2:8" hidden="1" x14ac:dyDescent="0.4">
      <c r="B2764" s="1">
        <v>45313</v>
      </c>
      <c r="C2764" s="16">
        <f>SUMIF(매도완료!$G:$G,Sheet2!$B2764,매도완료!$P:$P)+SUMIF(ING!$G:$G,Sheet2!$B2764,ING!$P:$P)</f>
        <v>0</v>
      </c>
      <c r="D2764" s="16">
        <f>SUMIF(매도완료!$J:$J,Sheet2!$B2764,매도완료!$P:$P)+SUMIF(ING!$J:$J,Sheet2!$B2764,ING!$P:$P)</f>
        <v>0</v>
      </c>
      <c r="E2764" s="16">
        <f t="shared" si="86"/>
        <v>92330891.132399991</v>
      </c>
      <c r="G2764" s="16">
        <f>IF(D2764=0,0,SUMIF(매도완료!$J:$J,Sheet2!$B2764,매도완료!$S:$S))+IF(D2764=0,0,SUMIF(ING!$J:$J,Sheet2!$B2764,ING!$S:$S))</f>
        <v>0</v>
      </c>
      <c r="H2764" s="16">
        <f t="shared" si="87"/>
        <v>471008.24080894142</v>
      </c>
    </row>
    <row r="2765" spans="2:8" hidden="1" x14ac:dyDescent="0.4">
      <c r="B2765" s="1">
        <v>45314</v>
      </c>
      <c r="C2765" s="16">
        <f>SUMIF(매도완료!$G:$G,Sheet2!$B2765,매도완료!$P:$P)+SUMIF(ING!$G:$G,Sheet2!$B2765,ING!$P:$P)</f>
        <v>0</v>
      </c>
      <c r="D2765" s="16">
        <f>SUMIF(매도완료!$J:$J,Sheet2!$B2765,매도완료!$P:$P)+SUMIF(ING!$J:$J,Sheet2!$B2765,ING!$P:$P)</f>
        <v>0</v>
      </c>
      <c r="E2765" s="16">
        <f t="shared" si="86"/>
        <v>92330891.132399991</v>
      </c>
      <c r="G2765" s="16">
        <f>IF(D2765=0,0,SUMIF(매도완료!$J:$J,Sheet2!$B2765,매도완료!$S:$S))+IF(D2765=0,0,SUMIF(ING!$J:$J,Sheet2!$B2765,ING!$S:$S))</f>
        <v>0</v>
      </c>
      <c r="H2765" s="16">
        <f t="shared" si="87"/>
        <v>471008.24080894142</v>
      </c>
    </row>
    <row r="2766" spans="2:8" hidden="1" x14ac:dyDescent="0.4">
      <c r="B2766" s="1">
        <v>45315</v>
      </c>
      <c r="C2766" s="16">
        <f>SUMIF(매도완료!$G:$G,Sheet2!$B2766,매도완료!$P:$P)+SUMIF(ING!$G:$G,Sheet2!$B2766,ING!$P:$P)</f>
        <v>0</v>
      </c>
      <c r="D2766" s="16">
        <f>SUMIF(매도완료!$J:$J,Sheet2!$B2766,매도완료!$P:$P)+SUMIF(ING!$J:$J,Sheet2!$B2766,ING!$P:$P)</f>
        <v>0</v>
      </c>
      <c r="E2766" s="16">
        <f t="shared" si="86"/>
        <v>92330891.132399991</v>
      </c>
      <c r="G2766" s="16">
        <f>IF(D2766=0,0,SUMIF(매도완료!$J:$J,Sheet2!$B2766,매도완료!$S:$S))+IF(D2766=0,0,SUMIF(ING!$J:$J,Sheet2!$B2766,ING!$S:$S))</f>
        <v>0</v>
      </c>
      <c r="H2766" s="16">
        <f t="shared" si="87"/>
        <v>471008.24080894142</v>
      </c>
    </row>
    <row r="2767" spans="2:8" hidden="1" x14ac:dyDescent="0.4">
      <c r="B2767" s="1">
        <v>45316</v>
      </c>
      <c r="C2767" s="16">
        <f>SUMIF(매도완료!$G:$G,Sheet2!$B2767,매도완료!$P:$P)+SUMIF(ING!$G:$G,Sheet2!$B2767,ING!$P:$P)</f>
        <v>0</v>
      </c>
      <c r="D2767" s="16">
        <f>SUMIF(매도완료!$J:$J,Sheet2!$B2767,매도완료!$P:$P)+SUMIF(ING!$J:$J,Sheet2!$B2767,ING!$P:$P)</f>
        <v>0</v>
      </c>
      <c r="E2767" s="16">
        <f t="shared" si="86"/>
        <v>92330891.132399991</v>
      </c>
      <c r="G2767" s="16">
        <f>IF(D2767=0,0,SUMIF(매도완료!$J:$J,Sheet2!$B2767,매도완료!$S:$S))+IF(D2767=0,0,SUMIF(ING!$J:$J,Sheet2!$B2767,ING!$S:$S))</f>
        <v>0</v>
      </c>
      <c r="H2767" s="16">
        <f t="shared" si="87"/>
        <v>471008.24080894142</v>
      </c>
    </row>
    <row r="2768" spans="2:8" hidden="1" x14ac:dyDescent="0.4">
      <c r="B2768" s="1">
        <v>45317</v>
      </c>
      <c r="C2768" s="16">
        <f>SUMIF(매도완료!$G:$G,Sheet2!$B2768,매도완료!$P:$P)+SUMIF(ING!$G:$G,Sheet2!$B2768,ING!$P:$P)</f>
        <v>0</v>
      </c>
      <c r="D2768" s="16">
        <f>SUMIF(매도완료!$J:$J,Sheet2!$B2768,매도완료!$P:$P)+SUMIF(ING!$J:$J,Sheet2!$B2768,ING!$P:$P)</f>
        <v>0</v>
      </c>
      <c r="E2768" s="16">
        <f t="shared" si="86"/>
        <v>92330891.132399991</v>
      </c>
      <c r="G2768" s="16">
        <f>IF(D2768=0,0,SUMIF(매도완료!$J:$J,Sheet2!$B2768,매도완료!$S:$S))+IF(D2768=0,0,SUMIF(ING!$J:$J,Sheet2!$B2768,ING!$S:$S))</f>
        <v>0</v>
      </c>
      <c r="H2768" s="16">
        <f t="shared" si="87"/>
        <v>471008.24080894142</v>
      </c>
    </row>
    <row r="2769" spans="2:8" hidden="1" x14ac:dyDescent="0.4">
      <c r="B2769" s="1">
        <v>45318</v>
      </c>
      <c r="C2769" s="16">
        <f>SUMIF(매도완료!$G:$G,Sheet2!$B2769,매도완료!$P:$P)+SUMIF(ING!$G:$G,Sheet2!$B2769,ING!$P:$P)</f>
        <v>0</v>
      </c>
      <c r="D2769" s="16">
        <f>SUMIF(매도완료!$J:$J,Sheet2!$B2769,매도완료!$P:$P)+SUMIF(ING!$J:$J,Sheet2!$B2769,ING!$P:$P)</f>
        <v>0</v>
      </c>
      <c r="E2769" s="16">
        <f t="shared" si="86"/>
        <v>92330891.132399991</v>
      </c>
      <c r="G2769" s="16">
        <f>IF(D2769=0,0,SUMIF(매도완료!$J:$J,Sheet2!$B2769,매도완료!$S:$S))+IF(D2769=0,0,SUMIF(ING!$J:$J,Sheet2!$B2769,ING!$S:$S))</f>
        <v>0</v>
      </c>
      <c r="H2769" s="16">
        <f t="shared" si="87"/>
        <v>471008.24080894142</v>
      </c>
    </row>
    <row r="2770" spans="2:8" hidden="1" x14ac:dyDescent="0.4">
      <c r="B2770" s="1">
        <v>45319</v>
      </c>
      <c r="C2770" s="16">
        <f>SUMIF(매도완료!$G:$G,Sheet2!$B2770,매도완료!$P:$P)+SUMIF(ING!$G:$G,Sheet2!$B2770,ING!$P:$P)</f>
        <v>0</v>
      </c>
      <c r="D2770" s="16">
        <f>SUMIF(매도완료!$J:$J,Sheet2!$B2770,매도완료!$P:$P)+SUMIF(ING!$J:$J,Sheet2!$B2770,ING!$P:$P)</f>
        <v>0</v>
      </c>
      <c r="E2770" s="16">
        <f t="shared" si="86"/>
        <v>92330891.132399991</v>
      </c>
      <c r="G2770" s="16">
        <f>IF(D2770=0,0,SUMIF(매도완료!$J:$J,Sheet2!$B2770,매도완료!$S:$S))+IF(D2770=0,0,SUMIF(ING!$J:$J,Sheet2!$B2770,ING!$S:$S))</f>
        <v>0</v>
      </c>
      <c r="H2770" s="16">
        <f t="shared" si="87"/>
        <v>471008.24080894142</v>
      </c>
    </row>
    <row r="2771" spans="2:8" hidden="1" x14ac:dyDescent="0.4">
      <c r="B2771" s="1">
        <v>45320</v>
      </c>
      <c r="C2771" s="16">
        <f>SUMIF(매도완료!$G:$G,Sheet2!$B2771,매도완료!$P:$P)+SUMIF(ING!$G:$G,Sheet2!$B2771,ING!$P:$P)</f>
        <v>0</v>
      </c>
      <c r="D2771" s="16">
        <f>SUMIF(매도완료!$J:$J,Sheet2!$B2771,매도완료!$P:$P)+SUMIF(ING!$J:$J,Sheet2!$B2771,ING!$P:$P)</f>
        <v>0</v>
      </c>
      <c r="E2771" s="16">
        <f t="shared" si="86"/>
        <v>92330891.132399991</v>
      </c>
      <c r="G2771" s="16">
        <f>IF(D2771=0,0,SUMIF(매도완료!$J:$J,Sheet2!$B2771,매도완료!$S:$S))+IF(D2771=0,0,SUMIF(ING!$J:$J,Sheet2!$B2771,ING!$S:$S))</f>
        <v>0</v>
      </c>
      <c r="H2771" s="16">
        <f t="shared" si="87"/>
        <v>471008.24080894142</v>
      </c>
    </row>
    <row r="2772" spans="2:8" hidden="1" x14ac:dyDescent="0.4">
      <c r="B2772" s="1">
        <v>45321</v>
      </c>
      <c r="C2772" s="16">
        <f>SUMIF(매도완료!$G:$G,Sheet2!$B2772,매도완료!$P:$P)+SUMIF(ING!$G:$G,Sheet2!$B2772,ING!$P:$P)</f>
        <v>0</v>
      </c>
      <c r="D2772" s="16">
        <f>SUMIF(매도완료!$J:$J,Sheet2!$B2772,매도완료!$P:$P)+SUMIF(ING!$J:$J,Sheet2!$B2772,ING!$P:$P)</f>
        <v>0</v>
      </c>
      <c r="E2772" s="16">
        <f t="shared" si="86"/>
        <v>92330891.132399991</v>
      </c>
      <c r="G2772" s="16">
        <f>IF(D2772=0,0,SUMIF(매도완료!$J:$J,Sheet2!$B2772,매도완료!$S:$S))+IF(D2772=0,0,SUMIF(ING!$J:$J,Sheet2!$B2772,ING!$S:$S))</f>
        <v>0</v>
      </c>
      <c r="H2772" s="16">
        <f t="shared" si="87"/>
        <v>471008.24080894142</v>
      </c>
    </row>
    <row r="2773" spans="2:8" hidden="1" x14ac:dyDescent="0.4">
      <c r="B2773" s="1">
        <v>45322</v>
      </c>
      <c r="C2773" s="16">
        <f>SUMIF(매도완료!$G:$G,Sheet2!$B2773,매도완료!$P:$P)+SUMIF(ING!$G:$G,Sheet2!$B2773,ING!$P:$P)</f>
        <v>0</v>
      </c>
      <c r="D2773" s="16">
        <f>SUMIF(매도완료!$J:$J,Sheet2!$B2773,매도완료!$P:$P)+SUMIF(ING!$J:$J,Sheet2!$B2773,ING!$P:$P)</f>
        <v>0</v>
      </c>
      <c r="E2773" s="16">
        <f t="shared" si="86"/>
        <v>92330891.132399991</v>
      </c>
      <c r="G2773" s="16">
        <f>IF(D2773=0,0,SUMIF(매도완료!$J:$J,Sheet2!$B2773,매도완료!$S:$S))+IF(D2773=0,0,SUMIF(ING!$J:$J,Sheet2!$B2773,ING!$S:$S))</f>
        <v>0</v>
      </c>
      <c r="H2773" s="16">
        <f t="shared" si="87"/>
        <v>471008.24080894142</v>
      </c>
    </row>
    <row r="2774" spans="2:8" hidden="1" x14ac:dyDescent="0.4">
      <c r="B2774" s="1">
        <v>45323</v>
      </c>
      <c r="C2774" s="16">
        <f>SUMIF(매도완료!$G:$G,Sheet2!$B2774,매도완료!$P:$P)+SUMIF(ING!$G:$G,Sheet2!$B2774,ING!$P:$P)</f>
        <v>0</v>
      </c>
      <c r="D2774" s="16">
        <f>SUMIF(매도완료!$J:$J,Sheet2!$B2774,매도완료!$P:$P)+SUMIF(ING!$J:$J,Sheet2!$B2774,ING!$P:$P)</f>
        <v>0</v>
      </c>
      <c r="E2774" s="16">
        <f t="shared" si="86"/>
        <v>92330891.132399991</v>
      </c>
      <c r="G2774" s="16">
        <f>IF(D2774=0,0,SUMIF(매도완료!$J:$J,Sheet2!$B2774,매도완료!$S:$S))+IF(D2774=0,0,SUMIF(ING!$J:$J,Sheet2!$B2774,ING!$S:$S))</f>
        <v>0</v>
      </c>
      <c r="H2774" s="16">
        <f t="shared" si="87"/>
        <v>471008.24080894142</v>
      </c>
    </row>
    <row r="2775" spans="2:8" hidden="1" x14ac:dyDescent="0.4">
      <c r="B2775" s="1">
        <v>45324</v>
      </c>
      <c r="C2775" s="16">
        <f>SUMIF(매도완료!$G:$G,Sheet2!$B2775,매도완료!$P:$P)+SUMIF(ING!$G:$G,Sheet2!$B2775,ING!$P:$P)</f>
        <v>0</v>
      </c>
      <c r="D2775" s="16">
        <f>SUMIF(매도완료!$J:$J,Sheet2!$B2775,매도완료!$P:$P)+SUMIF(ING!$J:$J,Sheet2!$B2775,ING!$P:$P)</f>
        <v>0</v>
      </c>
      <c r="E2775" s="16">
        <f t="shared" si="86"/>
        <v>92330891.132399991</v>
      </c>
      <c r="G2775" s="16">
        <f>IF(D2775=0,0,SUMIF(매도완료!$J:$J,Sheet2!$B2775,매도완료!$S:$S))+IF(D2775=0,0,SUMIF(ING!$J:$J,Sheet2!$B2775,ING!$S:$S))</f>
        <v>0</v>
      </c>
      <c r="H2775" s="16">
        <f t="shared" si="87"/>
        <v>471008.24080894142</v>
      </c>
    </row>
    <row r="2776" spans="2:8" hidden="1" x14ac:dyDescent="0.4">
      <c r="B2776" s="1">
        <v>45325</v>
      </c>
      <c r="C2776" s="16">
        <f>SUMIF(매도완료!$G:$G,Sheet2!$B2776,매도완료!$P:$P)+SUMIF(ING!$G:$G,Sheet2!$B2776,ING!$P:$P)</f>
        <v>0</v>
      </c>
      <c r="D2776" s="16">
        <f>SUMIF(매도완료!$J:$J,Sheet2!$B2776,매도완료!$P:$P)+SUMIF(ING!$J:$J,Sheet2!$B2776,ING!$P:$P)</f>
        <v>0</v>
      </c>
      <c r="E2776" s="16">
        <f t="shared" si="86"/>
        <v>92330891.132399991</v>
      </c>
      <c r="G2776" s="16">
        <f>IF(D2776=0,0,SUMIF(매도완료!$J:$J,Sheet2!$B2776,매도완료!$S:$S))+IF(D2776=0,0,SUMIF(ING!$J:$J,Sheet2!$B2776,ING!$S:$S))</f>
        <v>0</v>
      </c>
      <c r="H2776" s="16">
        <f t="shared" si="87"/>
        <v>471008.24080894142</v>
      </c>
    </row>
    <row r="2777" spans="2:8" hidden="1" x14ac:dyDescent="0.4">
      <c r="B2777" s="1">
        <v>45326</v>
      </c>
      <c r="C2777" s="16">
        <f>SUMIF(매도완료!$G:$G,Sheet2!$B2777,매도완료!$P:$P)+SUMIF(ING!$G:$G,Sheet2!$B2777,ING!$P:$P)</f>
        <v>0</v>
      </c>
      <c r="D2777" s="16">
        <f>SUMIF(매도완료!$J:$J,Sheet2!$B2777,매도완료!$P:$P)+SUMIF(ING!$J:$J,Sheet2!$B2777,ING!$P:$P)</f>
        <v>0</v>
      </c>
      <c r="E2777" s="16">
        <f t="shared" si="86"/>
        <v>92330891.132399991</v>
      </c>
      <c r="G2777" s="16">
        <f>IF(D2777=0,0,SUMIF(매도완료!$J:$J,Sheet2!$B2777,매도완료!$S:$S))+IF(D2777=0,0,SUMIF(ING!$J:$J,Sheet2!$B2777,ING!$S:$S))</f>
        <v>0</v>
      </c>
      <c r="H2777" s="16">
        <f t="shared" si="87"/>
        <v>471008.24080894142</v>
      </c>
    </row>
    <row r="2778" spans="2:8" hidden="1" x14ac:dyDescent="0.4">
      <c r="B2778" s="1">
        <v>45327</v>
      </c>
      <c r="C2778" s="16">
        <f>SUMIF(매도완료!$G:$G,Sheet2!$B2778,매도완료!$P:$P)+SUMIF(ING!$G:$G,Sheet2!$B2778,ING!$P:$P)</f>
        <v>0</v>
      </c>
      <c r="D2778" s="16">
        <f>SUMIF(매도완료!$J:$J,Sheet2!$B2778,매도완료!$P:$P)+SUMIF(ING!$J:$J,Sheet2!$B2778,ING!$P:$P)</f>
        <v>0</v>
      </c>
      <c r="E2778" s="16">
        <f t="shared" si="86"/>
        <v>92330891.132399991</v>
      </c>
      <c r="G2778" s="16">
        <f>IF(D2778=0,0,SUMIF(매도완료!$J:$J,Sheet2!$B2778,매도완료!$S:$S))+IF(D2778=0,0,SUMIF(ING!$J:$J,Sheet2!$B2778,ING!$S:$S))</f>
        <v>0</v>
      </c>
      <c r="H2778" s="16">
        <f t="shared" si="87"/>
        <v>471008.24080894142</v>
      </c>
    </row>
    <row r="2779" spans="2:8" hidden="1" x14ac:dyDescent="0.4">
      <c r="B2779" s="1">
        <v>45328</v>
      </c>
      <c r="C2779" s="16">
        <f>SUMIF(매도완료!$G:$G,Sheet2!$B2779,매도완료!$P:$P)+SUMIF(ING!$G:$G,Sheet2!$B2779,ING!$P:$P)</f>
        <v>0</v>
      </c>
      <c r="D2779" s="16">
        <f>SUMIF(매도완료!$J:$J,Sheet2!$B2779,매도완료!$P:$P)+SUMIF(ING!$J:$J,Sheet2!$B2779,ING!$P:$P)</f>
        <v>0</v>
      </c>
      <c r="E2779" s="16">
        <f t="shared" si="86"/>
        <v>92330891.132399991</v>
      </c>
      <c r="G2779" s="16">
        <f>IF(D2779=0,0,SUMIF(매도완료!$J:$J,Sheet2!$B2779,매도완료!$S:$S))+IF(D2779=0,0,SUMIF(ING!$J:$J,Sheet2!$B2779,ING!$S:$S))</f>
        <v>0</v>
      </c>
      <c r="H2779" s="16">
        <f t="shared" si="87"/>
        <v>471008.24080894142</v>
      </c>
    </row>
    <row r="2780" spans="2:8" hidden="1" x14ac:dyDescent="0.4">
      <c r="B2780" s="1">
        <v>45329</v>
      </c>
      <c r="C2780" s="16">
        <f>SUMIF(매도완료!$G:$G,Sheet2!$B2780,매도완료!$P:$P)+SUMIF(ING!$G:$G,Sheet2!$B2780,ING!$P:$P)</f>
        <v>0</v>
      </c>
      <c r="D2780" s="16">
        <f>SUMIF(매도완료!$J:$J,Sheet2!$B2780,매도완료!$P:$P)+SUMIF(ING!$J:$J,Sheet2!$B2780,ING!$P:$P)</f>
        <v>0</v>
      </c>
      <c r="E2780" s="16">
        <f t="shared" si="86"/>
        <v>92330891.132399991</v>
      </c>
      <c r="G2780" s="16">
        <f>IF(D2780=0,0,SUMIF(매도완료!$J:$J,Sheet2!$B2780,매도완료!$S:$S))+IF(D2780=0,0,SUMIF(ING!$J:$J,Sheet2!$B2780,ING!$S:$S))</f>
        <v>0</v>
      </c>
      <c r="H2780" s="16">
        <f t="shared" si="87"/>
        <v>471008.24080894142</v>
      </c>
    </row>
    <row r="2781" spans="2:8" hidden="1" x14ac:dyDescent="0.4">
      <c r="B2781" s="1">
        <v>45330</v>
      </c>
      <c r="C2781" s="16">
        <f>SUMIF(매도완료!$G:$G,Sheet2!$B2781,매도완료!$P:$P)+SUMIF(ING!$G:$G,Sheet2!$B2781,ING!$P:$P)</f>
        <v>0</v>
      </c>
      <c r="D2781" s="16">
        <f>SUMIF(매도완료!$J:$J,Sheet2!$B2781,매도완료!$P:$P)+SUMIF(ING!$J:$J,Sheet2!$B2781,ING!$P:$P)</f>
        <v>0</v>
      </c>
      <c r="E2781" s="16">
        <f t="shared" si="86"/>
        <v>92330891.132399991</v>
      </c>
      <c r="G2781" s="16">
        <f>IF(D2781=0,0,SUMIF(매도완료!$J:$J,Sheet2!$B2781,매도완료!$S:$S))+IF(D2781=0,0,SUMIF(ING!$J:$J,Sheet2!$B2781,ING!$S:$S))</f>
        <v>0</v>
      </c>
      <c r="H2781" s="16">
        <f t="shared" si="87"/>
        <v>471008.24080894142</v>
      </c>
    </row>
    <row r="2782" spans="2:8" hidden="1" x14ac:dyDescent="0.4">
      <c r="B2782" s="1">
        <v>45331</v>
      </c>
      <c r="C2782" s="16">
        <f>SUMIF(매도완료!$G:$G,Sheet2!$B2782,매도완료!$P:$P)+SUMIF(ING!$G:$G,Sheet2!$B2782,ING!$P:$P)</f>
        <v>0</v>
      </c>
      <c r="D2782" s="16">
        <f>SUMIF(매도완료!$J:$J,Sheet2!$B2782,매도완료!$P:$P)+SUMIF(ING!$J:$J,Sheet2!$B2782,ING!$P:$P)</f>
        <v>0</v>
      </c>
      <c r="E2782" s="16">
        <f t="shared" si="86"/>
        <v>92330891.132399991</v>
      </c>
      <c r="G2782" s="16">
        <f>IF(D2782=0,0,SUMIF(매도완료!$J:$J,Sheet2!$B2782,매도완료!$S:$S))+IF(D2782=0,0,SUMIF(ING!$J:$J,Sheet2!$B2782,ING!$S:$S))</f>
        <v>0</v>
      </c>
      <c r="H2782" s="16">
        <f t="shared" si="87"/>
        <v>471008.24080894142</v>
      </c>
    </row>
    <row r="2783" spans="2:8" hidden="1" x14ac:dyDescent="0.4">
      <c r="B2783" s="1">
        <v>45332</v>
      </c>
      <c r="C2783" s="16">
        <f>SUMIF(매도완료!$G:$G,Sheet2!$B2783,매도완료!$P:$P)+SUMIF(ING!$G:$G,Sheet2!$B2783,ING!$P:$P)</f>
        <v>0</v>
      </c>
      <c r="D2783" s="16">
        <f>SUMIF(매도완료!$J:$J,Sheet2!$B2783,매도완료!$P:$P)+SUMIF(ING!$J:$J,Sheet2!$B2783,ING!$P:$P)</f>
        <v>0</v>
      </c>
      <c r="E2783" s="16">
        <f t="shared" si="86"/>
        <v>92330891.132399991</v>
      </c>
      <c r="G2783" s="16">
        <f>IF(D2783=0,0,SUMIF(매도완료!$J:$J,Sheet2!$B2783,매도완료!$S:$S))+IF(D2783=0,0,SUMIF(ING!$J:$J,Sheet2!$B2783,ING!$S:$S))</f>
        <v>0</v>
      </c>
      <c r="H2783" s="16">
        <f t="shared" si="87"/>
        <v>471008.24080894142</v>
      </c>
    </row>
    <row r="2784" spans="2:8" hidden="1" x14ac:dyDescent="0.4">
      <c r="B2784" s="1">
        <v>45333</v>
      </c>
      <c r="C2784" s="16">
        <f>SUMIF(매도완료!$G:$G,Sheet2!$B2784,매도완료!$P:$P)+SUMIF(ING!$G:$G,Sheet2!$B2784,ING!$P:$P)</f>
        <v>0</v>
      </c>
      <c r="D2784" s="16">
        <f>SUMIF(매도완료!$J:$J,Sheet2!$B2784,매도완료!$P:$P)+SUMIF(ING!$J:$J,Sheet2!$B2784,ING!$P:$P)</f>
        <v>0</v>
      </c>
      <c r="E2784" s="16">
        <f t="shared" si="86"/>
        <v>92330891.132399991</v>
      </c>
      <c r="G2784" s="16">
        <f>IF(D2784=0,0,SUMIF(매도완료!$J:$J,Sheet2!$B2784,매도완료!$S:$S))+IF(D2784=0,0,SUMIF(ING!$J:$J,Sheet2!$B2784,ING!$S:$S))</f>
        <v>0</v>
      </c>
      <c r="H2784" s="16">
        <f t="shared" si="87"/>
        <v>471008.24080894142</v>
      </c>
    </row>
    <row r="2785" spans="2:8" hidden="1" x14ac:dyDescent="0.4">
      <c r="B2785" s="1">
        <v>45334</v>
      </c>
      <c r="C2785" s="16">
        <f>SUMIF(매도완료!$G:$G,Sheet2!$B2785,매도완료!$P:$P)+SUMIF(ING!$G:$G,Sheet2!$B2785,ING!$P:$P)</f>
        <v>0</v>
      </c>
      <c r="D2785" s="16">
        <f>SUMIF(매도완료!$J:$J,Sheet2!$B2785,매도완료!$P:$P)+SUMIF(ING!$J:$J,Sheet2!$B2785,ING!$P:$P)</f>
        <v>0</v>
      </c>
      <c r="E2785" s="16">
        <f t="shared" si="86"/>
        <v>92330891.132399991</v>
      </c>
      <c r="G2785" s="16">
        <f>IF(D2785=0,0,SUMIF(매도완료!$J:$J,Sheet2!$B2785,매도완료!$S:$S))+IF(D2785=0,0,SUMIF(ING!$J:$J,Sheet2!$B2785,ING!$S:$S))</f>
        <v>0</v>
      </c>
      <c r="H2785" s="16">
        <f t="shared" si="87"/>
        <v>471008.24080894142</v>
      </c>
    </row>
    <row r="2786" spans="2:8" hidden="1" x14ac:dyDescent="0.4">
      <c r="B2786" s="1">
        <v>45335</v>
      </c>
      <c r="C2786" s="16">
        <f>SUMIF(매도완료!$G:$G,Sheet2!$B2786,매도완료!$P:$P)+SUMIF(ING!$G:$G,Sheet2!$B2786,ING!$P:$P)</f>
        <v>0</v>
      </c>
      <c r="D2786" s="16">
        <f>SUMIF(매도완료!$J:$J,Sheet2!$B2786,매도완료!$P:$P)+SUMIF(ING!$J:$J,Sheet2!$B2786,ING!$P:$P)</f>
        <v>0</v>
      </c>
      <c r="E2786" s="16">
        <f t="shared" si="86"/>
        <v>92330891.132399991</v>
      </c>
      <c r="G2786" s="16">
        <f>IF(D2786=0,0,SUMIF(매도완료!$J:$J,Sheet2!$B2786,매도완료!$S:$S))+IF(D2786=0,0,SUMIF(ING!$J:$J,Sheet2!$B2786,ING!$S:$S))</f>
        <v>0</v>
      </c>
      <c r="H2786" s="16">
        <f t="shared" si="87"/>
        <v>471008.24080894142</v>
      </c>
    </row>
    <row r="2787" spans="2:8" hidden="1" x14ac:dyDescent="0.4">
      <c r="B2787" s="1">
        <v>45336</v>
      </c>
      <c r="C2787" s="16">
        <f>SUMIF(매도완료!$G:$G,Sheet2!$B2787,매도완료!$P:$P)+SUMIF(ING!$G:$G,Sheet2!$B2787,ING!$P:$P)</f>
        <v>0</v>
      </c>
      <c r="D2787" s="16">
        <f>SUMIF(매도완료!$J:$J,Sheet2!$B2787,매도완료!$P:$P)+SUMIF(ING!$J:$J,Sheet2!$B2787,ING!$P:$P)</f>
        <v>0</v>
      </c>
      <c r="E2787" s="16">
        <f t="shared" si="86"/>
        <v>92330891.132399991</v>
      </c>
      <c r="G2787" s="16">
        <f>IF(D2787=0,0,SUMIF(매도완료!$J:$J,Sheet2!$B2787,매도완료!$S:$S))+IF(D2787=0,0,SUMIF(ING!$J:$J,Sheet2!$B2787,ING!$S:$S))</f>
        <v>0</v>
      </c>
      <c r="H2787" s="16">
        <f t="shared" si="87"/>
        <v>471008.24080894142</v>
      </c>
    </row>
    <row r="2788" spans="2:8" hidden="1" x14ac:dyDescent="0.4">
      <c r="B2788" s="1">
        <v>45337</v>
      </c>
      <c r="C2788" s="16">
        <f>SUMIF(매도완료!$G:$G,Sheet2!$B2788,매도완료!$P:$P)+SUMIF(ING!$G:$G,Sheet2!$B2788,ING!$P:$P)</f>
        <v>0</v>
      </c>
      <c r="D2788" s="16">
        <f>SUMIF(매도완료!$J:$J,Sheet2!$B2788,매도완료!$P:$P)+SUMIF(ING!$J:$J,Sheet2!$B2788,ING!$P:$P)</f>
        <v>0</v>
      </c>
      <c r="E2788" s="16">
        <f t="shared" si="86"/>
        <v>92330891.132399991</v>
      </c>
      <c r="G2788" s="16">
        <f>IF(D2788=0,0,SUMIF(매도완료!$J:$J,Sheet2!$B2788,매도완료!$S:$S))+IF(D2788=0,0,SUMIF(ING!$J:$J,Sheet2!$B2788,ING!$S:$S))</f>
        <v>0</v>
      </c>
      <c r="H2788" s="16">
        <f t="shared" si="87"/>
        <v>471008.24080894142</v>
      </c>
    </row>
    <row r="2789" spans="2:8" hidden="1" x14ac:dyDescent="0.4">
      <c r="B2789" s="1">
        <v>45338</v>
      </c>
      <c r="C2789" s="16">
        <f>SUMIF(매도완료!$G:$G,Sheet2!$B2789,매도완료!$P:$P)+SUMIF(ING!$G:$G,Sheet2!$B2789,ING!$P:$P)</f>
        <v>0</v>
      </c>
      <c r="D2789" s="16">
        <f>SUMIF(매도완료!$J:$J,Sheet2!$B2789,매도완료!$P:$P)+SUMIF(ING!$J:$J,Sheet2!$B2789,ING!$P:$P)</f>
        <v>0</v>
      </c>
      <c r="E2789" s="16">
        <f t="shared" si="86"/>
        <v>92330891.132399991</v>
      </c>
      <c r="G2789" s="16">
        <f>IF(D2789=0,0,SUMIF(매도완료!$J:$J,Sheet2!$B2789,매도완료!$S:$S))+IF(D2789=0,0,SUMIF(ING!$J:$J,Sheet2!$B2789,ING!$S:$S))</f>
        <v>0</v>
      </c>
      <c r="H2789" s="16">
        <f t="shared" si="87"/>
        <v>471008.24080894142</v>
      </c>
    </row>
    <row r="2790" spans="2:8" hidden="1" x14ac:dyDescent="0.4">
      <c r="B2790" s="1">
        <v>45339</v>
      </c>
      <c r="C2790" s="16">
        <f>SUMIF(매도완료!$G:$G,Sheet2!$B2790,매도완료!$P:$P)+SUMIF(ING!$G:$G,Sheet2!$B2790,ING!$P:$P)</f>
        <v>0</v>
      </c>
      <c r="D2790" s="16">
        <f>SUMIF(매도완료!$J:$J,Sheet2!$B2790,매도완료!$P:$P)+SUMIF(ING!$J:$J,Sheet2!$B2790,ING!$P:$P)</f>
        <v>0</v>
      </c>
      <c r="E2790" s="16">
        <f t="shared" si="86"/>
        <v>92330891.132399991</v>
      </c>
      <c r="G2790" s="16">
        <f>IF(D2790=0,0,SUMIF(매도완료!$J:$J,Sheet2!$B2790,매도완료!$S:$S))+IF(D2790=0,0,SUMIF(ING!$J:$J,Sheet2!$B2790,ING!$S:$S))</f>
        <v>0</v>
      </c>
      <c r="H2790" s="16">
        <f t="shared" si="87"/>
        <v>471008.24080894142</v>
      </c>
    </row>
    <row r="2791" spans="2:8" hidden="1" x14ac:dyDescent="0.4">
      <c r="B2791" s="1">
        <v>45340</v>
      </c>
      <c r="C2791" s="16">
        <f>SUMIF(매도완료!$G:$G,Sheet2!$B2791,매도완료!$P:$P)+SUMIF(ING!$G:$G,Sheet2!$B2791,ING!$P:$P)</f>
        <v>0</v>
      </c>
      <c r="D2791" s="16">
        <f>SUMIF(매도완료!$J:$J,Sheet2!$B2791,매도완료!$P:$P)+SUMIF(ING!$J:$J,Sheet2!$B2791,ING!$P:$P)</f>
        <v>0</v>
      </c>
      <c r="E2791" s="16">
        <f t="shared" si="86"/>
        <v>92330891.132399991</v>
      </c>
      <c r="G2791" s="16">
        <f>IF(D2791=0,0,SUMIF(매도완료!$J:$J,Sheet2!$B2791,매도완료!$S:$S))+IF(D2791=0,0,SUMIF(ING!$J:$J,Sheet2!$B2791,ING!$S:$S))</f>
        <v>0</v>
      </c>
      <c r="H2791" s="16">
        <f t="shared" si="87"/>
        <v>471008.24080894142</v>
      </c>
    </row>
    <row r="2792" spans="2:8" hidden="1" x14ac:dyDescent="0.4">
      <c r="B2792" s="1">
        <v>45341</v>
      </c>
      <c r="C2792" s="16">
        <f>SUMIF(매도완료!$G:$G,Sheet2!$B2792,매도완료!$P:$P)+SUMIF(ING!$G:$G,Sheet2!$B2792,ING!$P:$P)</f>
        <v>0</v>
      </c>
      <c r="D2792" s="16">
        <f>SUMIF(매도완료!$J:$J,Sheet2!$B2792,매도완료!$P:$P)+SUMIF(ING!$J:$J,Sheet2!$B2792,ING!$P:$P)</f>
        <v>797400</v>
      </c>
      <c r="E2792" s="16">
        <f t="shared" si="86"/>
        <v>91533491.132399991</v>
      </c>
      <c r="G2792" s="16">
        <f>IF(D2792=0,0,SUMIF(매도완료!$J:$J,Sheet2!$B2792,매도완료!$S:$S))+IF(D2792=0,0,SUMIF(ING!$J:$J,Sheet2!$B2792,ING!$S:$S))</f>
        <v>226734.8</v>
      </c>
      <c r="H2792" s="16">
        <f t="shared" si="87"/>
        <v>697743.04080894147</v>
      </c>
    </row>
    <row r="2793" spans="2:8" hidden="1" x14ac:dyDescent="0.4">
      <c r="B2793" s="1">
        <v>45342</v>
      </c>
      <c r="C2793" s="16">
        <f>SUMIF(매도완료!$G:$G,Sheet2!$B2793,매도완료!$P:$P)+SUMIF(ING!$G:$G,Sheet2!$B2793,ING!$P:$P)</f>
        <v>0</v>
      </c>
      <c r="D2793" s="16">
        <f>SUMIF(매도완료!$J:$J,Sheet2!$B2793,매도완료!$P:$P)+SUMIF(ING!$J:$J,Sheet2!$B2793,ING!$P:$P)</f>
        <v>0</v>
      </c>
      <c r="E2793" s="16">
        <f t="shared" si="86"/>
        <v>91533491.132399991</v>
      </c>
      <c r="G2793" s="16">
        <f>IF(D2793=0,0,SUMIF(매도완료!$J:$J,Sheet2!$B2793,매도완료!$S:$S))+IF(D2793=0,0,SUMIF(ING!$J:$J,Sheet2!$B2793,ING!$S:$S))</f>
        <v>0</v>
      </c>
      <c r="H2793" s="16">
        <f t="shared" si="87"/>
        <v>697743.04080894147</v>
      </c>
    </row>
    <row r="2794" spans="2:8" hidden="1" x14ac:dyDescent="0.4">
      <c r="B2794" s="1">
        <v>45343</v>
      </c>
      <c r="C2794" s="16">
        <f>SUMIF(매도완료!$G:$G,Sheet2!$B2794,매도완료!$P:$P)+SUMIF(ING!$G:$G,Sheet2!$B2794,ING!$P:$P)</f>
        <v>0</v>
      </c>
      <c r="D2794" s="16">
        <f>SUMIF(매도완료!$J:$J,Sheet2!$B2794,매도완료!$P:$P)+SUMIF(ING!$J:$J,Sheet2!$B2794,ING!$P:$P)</f>
        <v>0</v>
      </c>
      <c r="E2794" s="16">
        <f t="shared" si="86"/>
        <v>91533491.132399991</v>
      </c>
      <c r="G2794" s="16">
        <f>IF(D2794=0,0,SUMIF(매도완료!$J:$J,Sheet2!$B2794,매도완료!$S:$S))+IF(D2794=0,0,SUMIF(ING!$J:$J,Sheet2!$B2794,ING!$S:$S))</f>
        <v>0</v>
      </c>
      <c r="H2794" s="16">
        <f t="shared" si="87"/>
        <v>697743.04080894147</v>
      </c>
    </row>
    <row r="2795" spans="2:8" hidden="1" x14ac:dyDescent="0.4">
      <c r="B2795" s="1">
        <v>45344</v>
      </c>
      <c r="C2795" s="16">
        <f>SUMIF(매도완료!$G:$G,Sheet2!$B2795,매도완료!$P:$P)+SUMIF(ING!$G:$G,Sheet2!$B2795,ING!$P:$P)</f>
        <v>0</v>
      </c>
      <c r="D2795" s="16">
        <f>SUMIF(매도완료!$J:$J,Sheet2!$B2795,매도완료!$P:$P)+SUMIF(ING!$J:$J,Sheet2!$B2795,ING!$P:$P)</f>
        <v>0</v>
      </c>
      <c r="E2795" s="16">
        <f t="shared" si="86"/>
        <v>91533491.132399991</v>
      </c>
      <c r="G2795" s="16">
        <f>IF(D2795=0,0,SUMIF(매도완료!$J:$J,Sheet2!$B2795,매도완료!$S:$S))+IF(D2795=0,0,SUMIF(ING!$J:$J,Sheet2!$B2795,ING!$S:$S))</f>
        <v>0</v>
      </c>
      <c r="H2795" s="16">
        <f t="shared" si="87"/>
        <v>697743.04080894147</v>
      </c>
    </row>
    <row r="2796" spans="2:8" hidden="1" x14ac:dyDescent="0.4">
      <c r="B2796" s="1">
        <v>45345</v>
      </c>
      <c r="C2796" s="16">
        <f>SUMIF(매도완료!$G:$G,Sheet2!$B2796,매도완료!$P:$P)+SUMIF(ING!$G:$G,Sheet2!$B2796,ING!$P:$P)</f>
        <v>0</v>
      </c>
      <c r="D2796" s="16">
        <f>SUMIF(매도완료!$J:$J,Sheet2!$B2796,매도완료!$P:$P)+SUMIF(ING!$J:$J,Sheet2!$B2796,ING!$P:$P)</f>
        <v>0</v>
      </c>
      <c r="E2796" s="16">
        <f t="shared" si="86"/>
        <v>91533491.132399991</v>
      </c>
      <c r="G2796" s="16">
        <f>IF(D2796=0,0,SUMIF(매도완료!$J:$J,Sheet2!$B2796,매도완료!$S:$S))+IF(D2796=0,0,SUMIF(ING!$J:$J,Sheet2!$B2796,ING!$S:$S))</f>
        <v>0</v>
      </c>
      <c r="H2796" s="16">
        <f t="shared" si="87"/>
        <v>697743.04080894147</v>
      </c>
    </row>
    <row r="2797" spans="2:8" hidden="1" x14ac:dyDescent="0.4">
      <c r="B2797" s="1">
        <v>45346</v>
      </c>
      <c r="C2797" s="16">
        <f>SUMIF(매도완료!$G:$G,Sheet2!$B2797,매도완료!$P:$P)+SUMIF(ING!$G:$G,Sheet2!$B2797,ING!$P:$P)</f>
        <v>0</v>
      </c>
      <c r="D2797" s="16">
        <f>SUMIF(매도완료!$J:$J,Sheet2!$B2797,매도완료!$P:$P)+SUMIF(ING!$J:$J,Sheet2!$B2797,ING!$P:$P)</f>
        <v>0</v>
      </c>
      <c r="E2797" s="16">
        <f t="shared" si="86"/>
        <v>91533491.132399991</v>
      </c>
      <c r="G2797" s="16">
        <f>IF(D2797=0,0,SUMIF(매도완료!$J:$J,Sheet2!$B2797,매도완료!$S:$S))+IF(D2797=0,0,SUMIF(ING!$J:$J,Sheet2!$B2797,ING!$S:$S))</f>
        <v>0</v>
      </c>
      <c r="H2797" s="16">
        <f t="shared" si="87"/>
        <v>697743.04080894147</v>
      </c>
    </row>
    <row r="2798" spans="2:8" hidden="1" x14ac:dyDescent="0.4">
      <c r="B2798" s="1">
        <v>45347</v>
      </c>
      <c r="C2798" s="16">
        <f>SUMIF(매도완료!$G:$G,Sheet2!$B2798,매도완료!$P:$P)+SUMIF(ING!$G:$G,Sheet2!$B2798,ING!$P:$P)</f>
        <v>0</v>
      </c>
      <c r="D2798" s="16">
        <f>SUMIF(매도완료!$J:$J,Sheet2!$B2798,매도완료!$P:$P)+SUMIF(ING!$J:$J,Sheet2!$B2798,ING!$P:$P)</f>
        <v>0</v>
      </c>
      <c r="E2798" s="16">
        <f t="shared" si="86"/>
        <v>91533491.132399991</v>
      </c>
      <c r="G2798" s="16">
        <f>IF(D2798=0,0,SUMIF(매도완료!$J:$J,Sheet2!$B2798,매도완료!$S:$S))+IF(D2798=0,0,SUMIF(ING!$J:$J,Sheet2!$B2798,ING!$S:$S))</f>
        <v>0</v>
      </c>
      <c r="H2798" s="16">
        <f t="shared" si="87"/>
        <v>697743.04080894147</v>
      </c>
    </row>
    <row r="2799" spans="2:8" hidden="1" x14ac:dyDescent="0.4">
      <c r="B2799" s="1">
        <v>45348</v>
      </c>
      <c r="C2799" s="16">
        <f>SUMIF(매도완료!$G:$G,Sheet2!$B2799,매도완료!$P:$P)+SUMIF(ING!$G:$G,Sheet2!$B2799,ING!$P:$P)</f>
        <v>0</v>
      </c>
      <c r="D2799" s="16">
        <f>SUMIF(매도완료!$J:$J,Sheet2!$B2799,매도완료!$P:$P)+SUMIF(ING!$J:$J,Sheet2!$B2799,ING!$P:$P)</f>
        <v>0</v>
      </c>
      <c r="E2799" s="16">
        <f t="shared" si="86"/>
        <v>91533491.132399991</v>
      </c>
      <c r="G2799" s="16">
        <f>IF(D2799=0,0,SUMIF(매도완료!$J:$J,Sheet2!$B2799,매도완료!$S:$S))+IF(D2799=0,0,SUMIF(ING!$J:$J,Sheet2!$B2799,ING!$S:$S))</f>
        <v>0</v>
      </c>
      <c r="H2799" s="16">
        <f t="shared" si="87"/>
        <v>697743.04080894147</v>
      </c>
    </row>
    <row r="2800" spans="2:8" hidden="1" x14ac:dyDescent="0.4">
      <c r="B2800" s="1">
        <v>45349</v>
      </c>
      <c r="C2800" s="16">
        <f>SUMIF(매도완료!$G:$G,Sheet2!$B2800,매도완료!$P:$P)+SUMIF(ING!$G:$G,Sheet2!$B2800,ING!$P:$P)</f>
        <v>0</v>
      </c>
      <c r="D2800" s="16">
        <f>SUMIF(매도완료!$J:$J,Sheet2!$B2800,매도완료!$P:$P)+SUMIF(ING!$J:$J,Sheet2!$B2800,ING!$P:$P)</f>
        <v>0</v>
      </c>
      <c r="E2800" s="16">
        <f t="shared" si="86"/>
        <v>91533491.132399991</v>
      </c>
      <c r="G2800" s="16">
        <f>IF(D2800=0,0,SUMIF(매도완료!$J:$J,Sheet2!$B2800,매도완료!$S:$S))+IF(D2800=0,0,SUMIF(ING!$J:$J,Sheet2!$B2800,ING!$S:$S))</f>
        <v>0</v>
      </c>
      <c r="H2800" s="16">
        <f t="shared" si="87"/>
        <v>697743.04080894147</v>
      </c>
    </row>
    <row r="2801" spans="2:8" hidden="1" x14ac:dyDescent="0.4">
      <c r="B2801" s="1">
        <v>45350</v>
      </c>
      <c r="C2801" s="16">
        <f>SUMIF(매도완료!$G:$G,Sheet2!$B2801,매도완료!$P:$P)+SUMIF(ING!$G:$G,Sheet2!$B2801,ING!$P:$P)</f>
        <v>0</v>
      </c>
      <c r="D2801" s="16">
        <f>SUMIF(매도완료!$J:$J,Sheet2!$B2801,매도완료!$P:$P)+SUMIF(ING!$J:$J,Sheet2!$B2801,ING!$P:$P)</f>
        <v>0</v>
      </c>
      <c r="E2801" s="16">
        <f t="shared" si="86"/>
        <v>91533491.132399991</v>
      </c>
      <c r="G2801" s="16">
        <f>IF(D2801=0,0,SUMIF(매도완료!$J:$J,Sheet2!$B2801,매도완료!$S:$S))+IF(D2801=0,0,SUMIF(ING!$J:$J,Sheet2!$B2801,ING!$S:$S))</f>
        <v>0</v>
      </c>
      <c r="H2801" s="16">
        <f t="shared" si="87"/>
        <v>697743.04080894147</v>
      </c>
    </row>
    <row r="2802" spans="2:8" hidden="1" x14ac:dyDescent="0.4">
      <c r="B2802" s="1">
        <v>45351</v>
      </c>
      <c r="C2802" s="16">
        <f>SUMIF(매도완료!$G:$G,Sheet2!$B2802,매도완료!$P:$P)+SUMIF(ING!$G:$G,Sheet2!$B2802,ING!$P:$P)</f>
        <v>0</v>
      </c>
      <c r="D2802" s="16">
        <f>SUMIF(매도완료!$J:$J,Sheet2!$B2802,매도완료!$P:$P)+SUMIF(ING!$J:$J,Sheet2!$B2802,ING!$P:$P)</f>
        <v>0</v>
      </c>
      <c r="E2802" s="16">
        <f t="shared" si="86"/>
        <v>91533491.132399991</v>
      </c>
      <c r="G2802" s="16">
        <f>IF(D2802=0,0,SUMIF(매도완료!$J:$J,Sheet2!$B2802,매도완료!$S:$S))+IF(D2802=0,0,SUMIF(ING!$J:$J,Sheet2!$B2802,ING!$S:$S))</f>
        <v>0</v>
      </c>
      <c r="H2802" s="16">
        <f t="shared" si="87"/>
        <v>697743.04080894147</v>
      </c>
    </row>
    <row r="2803" spans="2:8" hidden="1" x14ac:dyDescent="0.4">
      <c r="B2803" s="1">
        <v>45352</v>
      </c>
      <c r="C2803" s="16">
        <f>SUMIF(매도완료!$G:$G,Sheet2!$B2803,매도완료!$P:$P)+SUMIF(ING!$G:$G,Sheet2!$B2803,ING!$P:$P)</f>
        <v>0</v>
      </c>
      <c r="D2803" s="16">
        <f>SUMIF(매도완료!$J:$J,Sheet2!$B2803,매도완료!$P:$P)+SUMIF(ING!$J:$J,Sheet2!$B2803,ING!$P:$P)</f>
        <v>0</v>
      </c>
      <c r="E2803" s="16">
        <f t="shared" si="86"/>
        <v>91533491.132399991</v>
      </c>
      <c r="G2803" s="16">
        <f>IF(D2803=0,0,SUMIF(매도완료!$J:$J,Sheet2!$B2803,매도완료!$S:$S))+IF(D2803=0,0,SUMIF(ING!$J:$J,Sheet2!$B2803,ING!$S:$S))</f>
        <v>0</v>
      </c>
      <c r="H2803" s="16">
        <f t="shared" si="87"/>
        <v>697743.04080894147</v>
      </c>
    </row>
    <row r="2804" spans="2:8" hidden="1" x14ac:dyDescent="0.4">
      <c r="B2804" s="1">
        <v>45353</v>
      </c>
      <c r="C2804" s="16">
        <f>SUMIF(매도완료!$G:$G,Sheet2!$B2804,매도완료!$P:$P)+SUMIF(ING!$G:$G,Sheet2!$B2804,ING!$P:$P)</f>
        <v>0</v>
      </c>
      <c r="D2804" s="16">
        <f>SUMIF(매도완료!$J:$J,Sheet2!$B2804,매도완료!$P:$P)+SUMIF(ING!$J:$J,Sheet2!$B2804,ING!$P:$P)</f>
        <v>0</v>
      </c>
      <c r="E2804" s="16">
        <f t="shared" si="86"/>
        <v>91533491.132399991</v>
      </c>
      <c r="G2804" s="16">
        <f>IF(D2804=0,0,SUMIF(매도완료!$J:$J,Sheet2!$B2804,매도완료!$S:$S))+IF(D2804=0,0,SUMIF(ING!$J:$J,Sheet2!$B2804,ING!$S:$S))</f>
        <v>0</v>
      </c>
      <c r="H2804" s="16">
        <f t="shared" si="87"/>
        <v>697743.04080894147</v>
      </c>
    </row>
    <row r="2805" spans="2:8" hidden="1" x14ac:dyDescent="0.4">
      <c r="B2805" s="1">
        <v>45354</v>
      </c>
      <c r="C2805" s="16">
        <f>SUMIF(매도완료!$G:$G,Sheet2!$B2805,매도완료!$P:$P)+SUMIF(ING!$G:$G,Sheet2!$B2805,ING!$P:$P)</f>
        <v>0</v>
      </c>
      <c r="D2805" s="16">
        <f>SUMIF(매도완료!$J:$J,Sheet2!$B2805,매도완료!$P:$P)+SUMIF(ING!$J:$J,Sheet2!$B2805,ING!$P:$P)</f>
        <v>0</v>
      </c>
      <c r="E2805" s="16">
        <f t="shared" si="86"/>
        <v>91533491.132399991</v>
      </c>
      <c r="G2805" s="16">
        <f>IF(D2805=0,0,SUMIF(매도완료!$J:$J,Sheet2!$B2805,매도완료!$S:$S))+IF(D2805=0,0,SUMIF(ING!$J:$J,Sheet2!$B2805,ING!$S:$S))</f>
        <v>0</v>
      </c>
      <c r="H2805" s="16">
        <f t="shared" si="87"/>
        <v>697743.04080894147</v>
      </c>
    </row>
    <row r="2806" spans="2:8" hidden="1" x14ac:dyDescent="0.4">
      <c r="B2806" s="1">
        <v>45355</v>
      </c>
      <c r="C2806" s="16">
        <f>SUMIF(매도완료!$G:$G,Sheet2!$B2806,매도완료!$P:$P)+SUMIF(ING!$G:$G,Sheet2!$B2806,ING!$P:$P)</f>
        <v>0</v>
      </c>
      <c r="D2806" s="16">
        <f>SUMIF(매도완료!$J:$J,Sheet2!$B2806,매도완료!$P:$P)+SUMIF(ING!$J:$J,Sheet2!$B2806,ING!$P:$P)</f>
        <v>0</v>
      </c>
      <c r="E2806" s="16">
        <f t="shared" si="86"/>
        <v>91533491.132399991</v>
      </c>
      <c r="G2806" s="16">
        <f>IF(D2806=0,0,SUMIF(매도완료!$J:$J,Sheet2!$B2806,매도완료!$S:$S))+IF(D2806=0,0,SUMIF(ING!$J:$J,Sheet2!$B2806,ING!$S:$S))</f>
        <v>0</v>
      </c>
      <c r="H2806" s="16">
        <f t="shared" si="87"/>
        <v>697743.04080894147</v>
      </c>
    </row>
    <row r="2807" spans="2:8" hidden="1" x14ac:dyDescent="0.4">
      <c r="B2807" s="1">
        <v>45356</v>
      </c>
      <c r="C2807" s="16">
        <f>SUMIF(매도완료!$G:$G,Sheet2!$B2807,매도완료!$P:$P)+SUMIF(ING!$G:$G,Sheet2!$B2807,ING!$P:$P)</f>
        <v>0</v>
      </c>
      <c r="D2807" s="16">
        <f>SUMIF(매도완료!$J:$J,Sheet2!$B2807,매도완료!$P:$P)+SUMIF(ING!$J:$J,Sheet2!$B2807,ING!$P:$P)</f>
        <v>0</v>
      </c>
      <c r="E2807" s="16">
        <f t="shared" si="86"/>
        <v>91533491.132399991</v>
      </c>
      <c r="G2807" s="16">
        <f>IF(D2807=0,0,SUMIF(매도완료!$J:$J,Sheet2!$B2807,매도완료!$S:$S))+IF(D2807=0,0,SUMIF(ING!$J:$J,Sheet2!$B2807,ING!$S:$S))</f>
        <v>0</v>
      </c>
      <c r="H2807" s="16">
        <f t="shared" si="87"/>
        <v>697743.04080894147</v>
      </c>
    </row>
    <row r="2808" spans="2:8" hidden="1" x14ac:dyDescent="0.4">
      <c r="B2808" s="1">
        <v>45357</v>
      </c>
      <c r="C2808" s="16">
        <f>SUMIF(매도완료!$G:$G,Sheet2!$B2808,매도완료!$P:$P)+SUMIF(ING!$G:$G,Sheet2!$B2808,ING!$P:$P)</f>
        <v>0</v>
      </c>
      <c r="D2808" s="16">
        <f>SUMIF(매도완료!$J:$J,Sheet2!$B2808,매도완료!$P:$P)+SUMIF(ING!$J:$J,Sheet2!$B2808,ING!$P:$P)</f>
        <v>0</v>
      </c>
      <c r="E2808" s="16">
        <f t="shared" si="86"/>
        <v>91533491.132399991</v>
      </c>
      <c r="G2808" s="16">
        <f>IF(D2808=0,0,SUMIF(매도완료!$J:$J,Sheet2!$B2808,매도완료!$S:$S))+IF(D2808=0,0,SUMIF(ING!$J:$J,Sheet2!$B2808,ING!$S:$S))</f>
        <v>0</v>
      </c>
      <c r="H2808" s="16">
        <f t="shared" si="87"/>
        <v>697743.04080894147</v>
      </c>
    </row>
    <row r="2809" spans="2:8" hidden="1" x14ac:dyDescent="0.4">
      <c r="B2809" s="1">
        <v>45358</v>
      </c>
      <c r="C2809" s="16">
        <f>SUMIF(매도완료!$G:$G,Sheet2!$B2809,매도완료!$P:$P)+SUMIF(ING!$G:$G,Sheet2!$B2809,ING!$P:$P)</f>
        <v>0</v>
      </c>
      <c r="D2809" s="16">
        <f>SUMIF(매도완료!$J:$J,Sheet2!$B2809,매도완료!$P:$P)+SUMIF(ING!$J:$J,Sheet2!$B2809,ING!$P:$P)</f>
        <v>0</v>
      </c>
      <c r="E2809" s="16">
        <f t="shared" si="86"/>
        <v>91533491.132399991</v>
      </c>
      <c r="G2809" s="16">
        <f>IF(D2809=0,0,SUMIF(매도완료!$J:$J,Sheet2!$B2809,매도완료!$S:$S))+IF(D2809=0,0,SUMIF(ING!$J:$J,Sheet2!$B2809,ING!$S:$S))</f>
        <v>0</v>
      </c>
      <c r="H2809" s="16">
        <f t="shared" si="87"/>
        <v>697743.04080894147</v>
      </c>
    </row>
    <row r="2810" spans="2:8" hidden="1" x14ac:dyDescent="0.4">
      <c r="B2810" s="1">
        <v>45359</v>
      </c>
      <c r="C2810" s="16">
        <f>SUMIF(매도완료!$G:$G,Sheet2!$B2810,매도완료!$P:$P)+SUMIF(ING!$G:$G,Sheet2!$B2810,ING!$P:$P)</f>
        <v>0</v>
      </c>
      <c r="D2810" s="16">
        <f>SUMIF(매도완료!$J:$J,Sheet2!$B2810,매도완료!$P:$P)+SUMIF(ING!$J:$J,Sheet2!$B2810,ING!$P:$P)</f>
        <v>0</v>
      </c>
      <c r="E2810" s="16">
        <f t="shared" si="86"/>
        <v>91533491.132399991</v>
      </c>
      <c r="G2810" s="16">
        <f>IF(D2810=0,0,SUMIF(매도완료!$J:$J,Sheet2!$B2810,매도완료!$S:$S))+IF(D2810=0,0,SUMIF(ING!$J:$J,Sheet2!$B2810,ING!$S:$S))</f>
        <v>0</v>
      </c>
      <c r="H2810" s="16">
        <f t="shared" si="87"/>
        <v>697743.04080894147</v>
      </c>
    </row>
    <row r="2811" spans="2:8" hidden="1" x14ac:dyDescent="0.4">
      <c r="B2811" s="1">
        <v>45360</v>
      </c>
      <c r="C2811" s="16">
        <f>SUMIF(매도완료!$G:$G,Sheet2!$B2811,매도완료!$P:$P)+SUMIF(ING!$G:$G,Sheet2!$B2811,ING!$P:$P)</f>
        <v>0</v>
      </c>
      <c r="D2811" s="16">
        <f>SUMIF(매도완료!$J:$J,Sheet2!$B2811,매도완료!$P:$P)+SUMIF(ING!$J:$J,Sheet2!$B2811,ING!$P:$P)</f>
        <v>0</v>
      </c>
      <c r="E2811" s="16">
        <f t="shared" si="86"/>
        <v>91533491.132399991</v>
      </c>
      <c r="G2811" s="16">
        <f>IF(D2811=0,0,SUMIF(매도완료!$J:$J,Sheet2!$B2811,매도완료!$S:$S))+IF(D2811=0,0,SUMIF(ING!$J:$J,Sheet2!$B2811,ING!$S:$S))</f>
        <v>0</v>
      </c>
      <c r="H2811" s="16">
        <f t="shared" si="87"/>
        <v>697743.04080894147</v>
      </c>
    </row>
    <row r="2812" spans="2:8" hidden="1" x14ac:dyDescent="0.4">
      <c r="B2812" s="1">
        <v>45361</v>
      </c>
      <c r="C2812" s="16">
        <f>SUMIF(매도완료!$G:$G,Sheet2!$B2812,매도완료!$P:$P)+SUMIF(ING!$G:$G,Sheet2!$B2812,ING!$P:$P)</f>
        <v>0</v>
      </c>
      <c r="D2812" s="16">
        <f>SUMIF(매도완료!$J:$J,Sheet2!$B2812,매도완료!$P:$P)+SUMIF(ING!$J:$J,Sheet2!$B2812,ING!$P:$P)</f>
        <v>0</v>
      </c>
      <c r="E2812" s="16">
        <f t="shared" si="86"/>
        <v>91533491.132399991</v>
      </c>
      <c r="G2812" s="16">
        <f>IF(D2812=0,0,SUMIF(매도완료!$J:$J,Sheet2!$B2812,매도완료!$S:$S))+IF(D2812=0,0,SUMIF(ING!$J:$J,Sheet2!$B2812,ING!$S:$S))</f>
        <v>0</v>
      </c>
      <c r="H2812" s="16">
        <f t="shared" si="87"/>
        <v>697743.04080894147</v>
      </c>
    </row>
    <row r="2813" spans="2:8" hidden="1" x14ac:dyDescent="0.4">
      <c r="B2813" s="1">
        <v>45362</v>
      </c>
      <c r="C2813" s="16">
        <f>SUMIF(매도완료!$G:$G,Sheet2!$B2813,매도완료!$P:$P)+SUMIF(ING!$G:$G,Sheet2!$B2813,ING!$P:$P)</f>
        <v>0</v>
      </c>
      <c r="D2813" s="16">
        <f>SUMIF(매도완료!$J:$J,Sheet2!$B2813,매도완료!$P:$P)+SUMIF(ING!$J:$J,Sheet2!$B2813,ING!$P:$P)</f>
        <v>0</v>
      </c>
      <c r="E2813" s="16">
        <f t="shared" si="86"/>
        <v>91533491.132399991</v>
      </c>
      <c r="G2813" s="16">
        <f>IF(D2813=0,0,SUMIF(매도완료!$J:$J,Sheet2!$B2813,매도완료!$S:$S))+IF(D2813=0,0,SUMIF(ING!$J:$J,Sheet2!$B2813,ING!$S:$S))</f>
        <v>0</v>
      </c>
      <c r="H2813" s="16">
        <f t="shared" si="87"/>
        <v>697743.04080894147</v>
      </c>
    </row>
    <row r="2814" spans="2:8" hidden="1" x14ac:dyDescent="0.4">
      <c r="B2814" s="1">
        <v>45363</v>
      </c>
      <c r="C2814" s="16">
        <f>SUMIF(매도완료!$G:$G,Sheet2!$B2814,매도완료!$P:$P)+SUMIF(ING!$G:$G,Sheet2!$B2814,ING!$P:$P)</f>
        <v>0</v>
      </c>
      <c r="D2814" s="16">
        <f>SUMIF(매도완료!$J:$J,Sheet2!$B2814,매도완료!$P:$P)+SUMIF(ING!$J:$J,Sheet2!$B2814,ING!$P:$P)</f>
        <v>0</v>
      </c>
      <c r="E2814" s="16">
        <f t="shared" si="86"/>
        <v>91533491.132399991</v>
      </c>
      <c r="G2814" s="16">
        <f>IF(D2814=0,0,SUMIF(매도완료!$J:$J,Sheet2!$B2814,매도완료!$S:$S))+IF(D2814=0,0,SUMIF(ING!$J:$J,Sheet2!$B2814,ING!$S:$S))</f>
        <v>0</v>
      </c>
      <c r="H2814" s="16">
        <f t="shared" si="87"/>
        <v>697743.04080894147</v>
      </c>
    </row>
    <row r="2815" spans="2:8" hidden="1" x14ac:dyDescent="0.4">
      <c r="B2815" s="1">
        <v>45364</v>
      </c>
      <c r="C2815" s="16">
        <f>SUMIF(매도완료!$G:$G,Sheet2!$B2815,매도완료!$P:$P)+SUMIF(ING!$G:$G,Sheet2!$B2815,ING!$P:$P)</f>
        <v>670350</v>
      </c>
      <c r="D2815" s="16">
        <f>SUMIF(매도완료!$J:$J,Sheet2!$B2815,매도완료!$P:$P)+SUMIF(ING!$J:$J,Sheet2!$B2815,ING!$P:$P)</f>
        <v>0</v>
      </c>
      <c r="E2815" s="16">
        <f t="shared" si="86"/>
        <v>92203841.132399991</v>
      </c>
      <c r="G2815" s="16">
        <f>IF(D2815=0,0,SUMIF(매도완료!$J:$J,Sheet2!$B2815,매도완료!$S:$S))+IF(D2815=0,0,SUMIF(ING!$J:$J,Sheet2!$B2815,ING!$S:$S))</f>
        <v>0</v>
      </c>
      <c r="H2815" s="16">
        <f t="shared" si="87"/>
        <v>697743.04080894147</v>
      </c>
    </row>
    <row r="2816" spans="2:8" hidden="1" x14ac:dyDescent="0.4">
      <c r="B2816" s="1">
        <v>45365</v>
      </c>
      <c r="C2816" s="16">
        <f>SUMIF(매도완료!$G:$G,Sheet2!$B2816,매도완료!$P:$P)+SUMIF(ING!$G:$G,Sheet2!$B2816,ING!$P:$P)</f>
        <v>490100</v>
      </c>
      <c r="D2816" s="16">
        <f>SUMIF(매도완료!$J:$J,Sheet2!$B2816,매도완료!$P:$P)+SUMIF(ING!$J:$J,Sheet2!$B2816,ING!$P:$P)</f>
        <v>490100</v>
      </c>
      <c r="E2816" s="16">
        <f t="shared" si="86"/>
        <v>92203841.132399991</v>
      </c>
      <c r="G2816" s="16">
        <f>IF(D2816=0,0,SUMIF(매도완료!$J:$J,Sheet2!$B2816,매도완료!$S:$S))+IF(D2816=0,0,SUMIF(ING!$J:$J,Sheet2!$B2816,ING!$S:$S))</f>
        <v>7782.16</v>
      </c>
      <c r="H2816" s="16">
        <f t="shared" si="87"/>
        <v>705525.2008089415</v>
      </c>
    </row>
    <row r="2817" spans="2:8" hidden="1" x14ac:dyDescent="0.4">
      <c r="B2817" s="1">
        <v>45366</v>
      </c>
      <c r="C2817" s="16">
        <f>SUMIF(매도완료!$G:$G,Sheet2!$B2817,매도완료!$P:$P)+SUMIF(ING!$G:$G,Sheet2!$B2817,ING!$P:$P)</f>
        <v>0</v>
      </c>
      <c r="D2817" s="16">
        <f>SUMIF(매도완료!$J:$J,Sheet2!$B2817,매도완료!$P:$P)+SUMIF(ING!$J:$J,Sheet2!$B2817,ING!$P:$P)</f>
        <v>0</v>
      </c>
      <c r="E2817" s="16">
        <f t="shared" si="86"/>
        <v>92203841.132399991</v>
      </c>
      <c r="G2817" s="16">
        <f>IF(D2817=0,0,SUMIF(매도완료!$J:$J,Sheet2!$B2817,매도완료!$S:$S))+IF(D2817=0,0,SUMIF(ING!$J:$J,Sheet2!$B2817,ING!$S:$S))</f>
        <v>0</v>
      </c>
      <c r="H2817" s="16">
        <f t="shared" si="87"/>
        <v>705525.2008089415</v>
      </c>
    </row>
    <row r="2818" spans="2:8" hidden="1" x14ac:dyDescent="0.4">
      <c r="B2818" s="1">
        <v>45367</v>
      </c>
      <c r="C2818" s="16">
        <f>SUMIF(매도완료!$G:$G,Sheet2!$B2818,매도완료!$P:$P)+SUMIF(ING!$G:$G,Sheet2!$B2818,ING!$P:$P)</f>
        <v>0</v>
      </c>
      <c r="D2818" s="16">
        <f>SUMIF(매도완료!$J:$J,Sheet2!$B2818,매도완료!$P:$P)+SUMIF(ING!$J:$J,Sheet2!$B2818,ING!$P:$P)</f>
        <v>0</v>
      </c>
      <c r="E2818" s="16">
        <f t="shared" si="86"/>
        <v>92203841.132399991</v>
      </c>
      <c r="G2818" s="16">
        <f>IF(D2818=0,0,SUMIF(매도완료!$J:$J,Sheet2!$B2818,매도완료!$S:$S))+IF(D2818=0,0,SUMIF(ING!$J:$J,Sheet2!$B2818,ING!$S:$S))</f>
        <v>0</v>
      </c>
      <c r="H2818" s="16">
        <f t="shared" si="87"/>
        <v>705525.2008089415</v>
      </c>
    </row>
    <row r="2819" spans="2:8" hidden="1" x14ac:dyDescent="0.4">
      <c r="B2819" s="1">
        <v>45368</v>
      </c>
      <c r="C2819" s="16">
        <f>SUMIF(매도완료!$G:$G,Sheet2!$B2819,매도완료!$P:$P)+SUMIF(ING!$G:$G,Sheet2!$B2819,ING!$P:$P)</f>
        <v>0</v>
      </c>
      <c r="D2819" s="16">
        <f>SUMIF(매도완료!$J:$J,Sheet2!$B2819,매도완료!$P:$P)+SUMIF(ING!$J:$J,Sheet2!$B2819,ING!$P:$P)</f>
        <v>0</v>
      </c>
      <c r="E2819" s="16">
        <f t="shared" si="86"/>
        <v>92203841.132399991</v>
      </c>
      <c r="G2819" s="16">
        <f>IF(D2819=0,0,SUMIF(매도완료!$J:$J,Sheet2!$B2819,매도완료!$S:$S))+IF(D2819=0,0,SUMIF(ING!$J:$J,Sheet2!$B2819,ING!$S:$S))</f>
        <v>0</v>
      </c>
      <c r="H2819" s="16">
        <f t="shared" si="87"/>
        <v>705525.2008089415</v>
      </c>
    </row>
    <row r="2820" spans="2:8" hidden="1" x14ac:dyDescent="0.4">
      <c r="B2820" s="1">
        <v>45369</v>
      </c>
      <c r="C2820" s="16">
        <f>SUMIF(매도완료!$G:$G,Sheet2!$B2820,매도완료!$P:$P)+SUMIF(ING!$G:$G,Sheet2!$B2820,ING!$P:$P)</f>
        <v>0</v>
      </c>
      <c r="D2820" s="16">
        <f>SUMIF(매도완료!$J:$J,Sheet2!$B2820,매도완료!$P:$P)+SUMIF(ING!$J:$J,Sheet2!$B2820,ING!$P:$P)</f>
        <v>0</v>
      </c>
      <c r="E2820" s="16">
        <f t="shared" ref="E2820:E2883" si="88">E2819+C2820-D2820</f>
        <v>92203841.132399991</v>
      </c>
      <c r="G2820" s="16">
        <f>IF(D2820=0,0,SUMIF(매도완료!$J:$J,Sheet2!$B2820,매도완료!$S:$S))+IF(D2820=0,0,SUMIF(ING!$J:$J,Sheet2!$B2820,ING!$S:$S))</f>
        <v>0</v>
      </c>
      <c r="H2820" s="16">
        <f t="shared" ref="H2820:H2883" si="89">H2819+G2820</f>
        <v>705525.2008089415</v>
      </c>
    </row>
    <row r="2821" spans="2:8" hidden="1" x14ac:dyDescent="0.4">
      <c r="B2821" s="1">
        <v>45370</v>
      </c>
      <c r="C2821" s="16">
        <f>SUMIF(매도완료!$G:$G,Sheet2!$B2821,매도완료!$P:$P)+SUMIF(ING!$G:$G,Sheet2!$B2821,ING!$P:$P)</f>
        <v>0</v>
      </c>
      <c r="D2821" s="16">
        <f>SUMIF(매도완료!$J:$J,Sheet2!$B2821,매도완료!$P:$P)+SUMIF(ING!$J:$J,Sheet2!$B2821,ING!$P:$P)</f>
        <v>0</v>
      </c>
      <c r="E2821" s="16">
        <f t="shared" si="88"/>
        <v>92203841.132399991</v>
      </c>
      <c r="G2821" s="16">
        <f>IF(D2821=0,0,SUMIF(매도완료!$J:$J,Sheet2!$B2821,매도완료!$S:$S))+IF(D2821=0,0,SUMIF(ING!$J:$J,Sheet2!$B2821,ING!$S:$S))</f>
        <v>0</v>
      </c>
      <c r="H2821" s="16">
        <f t="shared" si="89"/>
        <v>705525.2008089415</v>
      </c>
    </row>
    <row r="2822" spans="2:8" hidden="1" x14ac:dyDescent="0.4">
      <c r="B2822" s="1">
        <v>45371</v>
      </c>
      <c r="C2822" s="16">
        <f>SUMIF(매도완료!$G:$G,Sheet2!$B2822,매도완료!$P:$P)+SUMIF(ING!$G:$G,Sheet2!$B2822,ING!$P:$P)</f>
        <v>0</v>
      </c>
      <c r="D2822" s="16">
        <f>SUMIF(매도완료!$J:$J,Sheet2!$B2822,매도완료!$P:$P)+SUMIF(ING!$J:$J,Sheet2!$B2822,ING!$P:$P)</f>
        <v>0</v>
      </c>
      <c r="E2822" s="16">
        <f t="shared" si="88"/>
        <v>92203841.132399991</v>
      </c>
      <c r="G2822" s="16">
        <f>IF(D2822=0,0,SUMIF(매도완료!$J:$J,Sheet2!$B2822,매도완료!$S:$S))+IF(D2822=0,0,SUMIF(ING!$J:$J,Sheet2!$B2822,ING!$S:$S))</f>
        <v>0</v>
      </c>
      <c r="H2822" s="16">
        <f t="shared" si="89"/>
        <v>705525.2008089415</v>
      </c>
    </row>
    <row r="2823" spans="2:8" hidden="1" x14ac:dyDescent="0.4">
      <c r="B2823" s="1">
        <v>45372</v>
      </c>
      <c r="C2823" s="16">
        <f>SUMIF(매도완료!$G:$G,Sheet2!$B2823,매도완료!$P:$P)+SUMIF(ING!$G:$G,Sheet2!$B2823,ING!$P:$P)</f>
        <v>0</v>
      </c>
      <c r="D2823" s="16">
        <f>SUMIF(매도완료!$J:$J,Sheet2!$B2823,매도완료!$P:$P)+SUMIF(ING!$J:$J,Sheet2!$B2823,ING!$P:$P)</f>
        <v>0</v>
      </c>
      <c r="E2823" s="16">
        <f t="shared" si="88"/>
        <v>92203841.132399991</v>
      </c>
      <c r="G2823" s="16">
        <f>IF(D2823=0,0,SUMIF(매도완료!$J:$J,Sheet2!$B2823,매도완료!$S:$S))+IF(D2823=0,0,SUMIF(ING!$J:$J,Sheet2!$B2823,ING!$S:$S))</f>
        <v>0</v>
      </c>
      <c r="H2823" s="16">
        <f t="shared" si="89"/>
        <v>705525.2008089415</v>
      </c>
    </row>
    <row r="2824" spans="2:8" hidden="1" x14ac:dyDescent="0.4">
      <c r="B2824" s="1">
        <v>45373</v>
      </c>
      <c r="C2824" s="16">
        <f>SUMIF(매도완료!$G:$G,Sheet2!$B2824,매도완료!$P:$P)+SUMIF(ING!$G:$G,Sheet2!$B2824,ING!$P:$P)</f>
        <v>0</v>
      </c>
      <c r="D2824" s="16">
        <f>SUMIF(매도완료!$J:$J,Sheet2!$B2824,매도완료!$P:$P)+SUMIF(ING!$J:$J,Sheet2!$B2824,ING!$P:$P)</f>
        <v>0</v>
      </c>
      <c r="E2824" s="16">
        <f t="shared" si="88"/>
        <v>92203841.132399991</v>
      </c>
      <c r="G2824" s="16">
        <f>IF(D2824=0,0,SUMIF(매도완료!$J:$J,Sheet2!$B2824,매도완료!$S:$S))+IF(D2824=0,0,SUMIF(ING!$J:$J,Sheet2!$B2824,ING!$S:$S))</f>
        <v>0</v>
      </c>
      <c r="H2824" s="16">
        <f t="shared" si="89"/>
        <v>705525.2008089415</v>
      </c>
    </row>
    <row r="2825" spans="2:8" hidden="1" x14ac:dyDescent="0.4">
      <c r="B2825" s="1">
        <v>45374</v>
      </c>
      <c r="C2825" s="16">
        <f>SUMIF(매도완료!$G:$G,Sheet2!$B2825,매도완료!$P:$P)+SUMIF(ING!$G:$G,Sheet2!$B2825,ING!$P:$P)</f>
        <v>0</v>
      </c>
      <c r="D2825" s="16">
        <f>SUMIF(매도완료!$J:$J,Sheet2!$B2825,매도완료!$P:$P)+SUMIF(ING!$J:$J,Sheet2!$B2825,ING!$P:$P)</f>
        <v>0</v>
      </c>
      <c r="E2825" s="16">
        <f t="shared" si="88"/>
        <v>92203841.132399991</v>
      </c>
      <c r="G2825" s="16">
        <f>IF(D2825=0,0,SUMIF(매도완료!$J:$J,Sheet2!$B2825,매도완료!$S:$S))+IF(D2825=0,0,SUMIF(ING!$J:$J,Sheet2!$B2825,ING!$S:$S))</f>
        <v>0</v>
      </c>
      <c r="H2825" s="16">
        <f t="shared" si="89"/>
        <v>705525.2008089415</v>
      </c>
    </row>
    <row r="2826" spans="2:8" hidden="1" x14ac:dyDescent="0.4">
      <c r="B2826" s="1">
        <v>45375</v>
      </c>
      <c r="C2826" s="16">
        <f>SUMIF(매도완료!$G:$G,Sheet2!$B2826,매도완료!$P:$P)+SUMIF(ING!$G:$G,Sheet2!$B2826,ING!$P:$P)</f>
        <v>0</v>
      </c>
      <c r="D2826" s="16">
        <f>SUMIF(매도완료!$J:$J,Sheet2!$B2826,매도완료!$P:$P)+SUMIF(ING!$J:$J,Sheet2!$B2826,ING!$P:$P)</f>
        <v>0</v>
      </c>
      <c r="E2826" s="16">
        <f t="shared" si="88"/>
        <v>92203841.132399991</v>
      </c>
      <c r="G2826" s="16">
        <f>IF(D2826=0,0,SUMIF(매도완료!$J:$J,Sheet2!$B2826,매도완료!$S:$S))+IF(D2826=0,0,SUMIF(ING!$J:$J,Sheet2!$B2826,ING!$S:$S))</f>
        <v>0</v>
      </c>
      <c r="H2826" s="16">
        <f t="shared" si="89"/>
        <v>705525.2008089415</v>
      </c>
    </row>
    <row r="2827" spans="2:8" hidden="1" x14ac:dyDescent="0.4">
      <c r="B2827" s="1">
        <v>45376</v>
      </c>
      <c r="C2827" s="16">
        <f>SUMIF(매도완료!$G:$G,Sheet2!$B2827,매도완료!$P:$P)+SUMIF(ING!$G:$G,Sheet2!$B2827,ING!$P:$P)</f>
        <v>0</v>
      </c>
      <c r="D2827" s="16">
        <f>SUMIF(매도완료!$J:$J,Sheet2!$B2827,매도완료!$P:$P)+SUMIF(ING!$J:$J,Sheet2!$B2827,ING!$P:$P)</f>
        <v>0</v>
      </c>
      <c r="E2827" s="16">
        <f t="shared" si="88"/>
        <v>92203841.132399991</v>
      </c>
      <c r="G2827" s="16">
        <f>IF(D2827=0,0,SUMIF(매도완료!$J:$J,Sheet2!$B2827,매도완료!$S:$S))+IF(D2827=0,0,SUMIF(ING!$J:$J,Sheet2!$B2827,ING!$S:$S))</f>
        <v>0</v>
      </c>
      <c r="H2827" s="16">
        <f t="shared" si="89"/>
        <v>705525.2008089415</v>
      </c>
    </row>
    <row r="2828" spans="2:8" hidden="1" x14ac:dyDescent="0.4">
      <c r="B2828" s="1">
        <v>45377</v>
      </c>
      <c r="C2828" s="16">
        <f>SUMIF(매도완료!$G:$G,Sheet2!$B2828,매도완료!$P:$P)+SUMIF(ING!$G:$G,Sheet2!$B2828,ING!$P:$P)</f>
        <v>0</v>
      </c>
      <c r="D2828" s="16">
        <f>SUMIF(매도완료!$J:$J,Sheet2!$B2828,매도완료!$P:$P)+SUMIF(ING!$J:$J,Sheet2!$B2828,ING!$P:$P)</f>
        <v>0</v>
      </c>
      <c r="E2828" s="16">
        <f t="shared" si="88"/>
        <v>92203841.132399991</v>
      </c>
      <c r="G2828" s="16">
        <f>IF(D2828=0,0,SUMIF(매도완료!$J:$J,Sheet2!$B2828,매도완료!$S:$S))+IF(D2828=0,0,SUMIF(ING!$J:$J,Sheet2!$B2828,ING!$S:$S))</f>
        <v>0</v>
      </c>
      <c r="H2828" s="16">
        <f t="shared" si="89"/>
        <v>705525.2008089415</v>
      </c>
    </row>
    <row r="2829" spans="2:8" hidden="1" x14ac:dyDescent="0.4">
      <c r="B2829" s="1">
        <v>45378</v>
      </c>
      <c r="C2829" s="16">
        <f>SUMIF(매도완료!$G:$G,Sheet2!$B2829,매도완료!$P:$P)+SUMIF(ING!$G:$G,Sheet2!$B2829,ING!$P:$P)</f>
        <v>0</v>
      </c>
      <c r="D2829" s="16">
        <f>SUMIF(매도완료!$J:$J,Sheet2!$B2829,매도완료!$P:$P)+SUMIF(ING!$J:$J,Sheet2!$B2829,ING!$P:$P)</f>
        <v>0</v>
      </c>
      <c r="E2829" s="16">
        <f t="shared" si="88"/>
        <v>92203841.132399991</v>
      </c>
      <c r="G2829" s="16">
        <f>IF(D2829=0,0,SUMIF(매도완료!$J:$J,Sheet2!$B2829,매도완료!$S:$S))+IF(D2829=0,0,SUMIF(ING!$J:$J,Sheet2!$B2829,ING!$S:$S))</f>
        <v>0</v>
      </c>
      <c r="H2829" s="16">
        <f t="shared" si="89"/>
        <v>705525.2008089415</v>
      </c>
    </row>
    <row r="2830" spans="2:8" hidden="1" x14ac:dyDescent="0.4">
      <c r="B2830" s="1">
        <v>45379</v>
      </c>
      <c r="C2830" s="16">
        <f>SUMIF(매도완료!$G:$G,Sheet2!$B2830,매도완료!$P:$P)+SUMIF(ING!$G:$G,Sheet2!$B2830,ING!$P:$P)</f>
        <v>0</v>
      </c>
      <c r="D2830" s="16">
        <f>SUMIF(매도완료!$J:$J,Sheet2!$B2830,매도완료!$P:$P)+SUMIF(ING!$J:$J,Sheet2!$B2830,ING!$P:$P)</f>
        <v>0</v>
      </c>
      <c r="E2830" s="16">
        <f t="shared" si="88"/>
        <v>92203841.132399991</v>
      </c>
      <c r="G2830" s="16">
        <f>IF(D2830=0,0,SUMIF(매도완료!$J:$J,Sheet2!$B2830,매도완료!$S:$S))+IF(D2830=0,0,SUMIF(ING!$J:$J,Sheet2!$B2830,ING!$S:$S))</f>
        <v>0</v>
      </c>
      <c r="H2830" s="16">
        <f t="shared" si="89"/>
        <v>705525.2008089415</v>
      </c>
    </row>
    <row r="2831" spans="2:8" hidden="1" x14ac:dyDescent="0.4">
      <c r="B2831" s="1">
        <v>45380</v>
      </c>
      <c r="C2831" s="16">
        <f>SUMIF(매도완료!$G:$G,Sheet2!$B2831,매도완료!$P:$P)+SUMIF(ING!$G:$G,Sheet2!$B2831,ING!$P:$P)</f>
        <v>0</v>
      </c>
      <c r="D2831" s="16">
        <f>SUMIF(매도완료!$J:$J,Sheet2!$B2831,매도완료!$P:$P)+SUMIF(ING!$J:$J,Sheet2!$B2831,ING!$P:$P)</f>
        <v>0</v>
      </c>
      <c r="E2831" s="16">
        <f t="shared" si="88"/>
        <v>92203841.132399991</v>
      </c>
      <c r="G2831" s="16">
        <f>IF(D2831=0,0,SUMIF(매도완료!$J:$J,Sheet2!$B2831,매도완료!$S:$S))+IF(D2831=0,0,SUMIF(ING!$J:$J,Sheet2!$B2831,ING!$S:$S))</f>
        <v>0</v>
      </c>
      <c r="H2831" s="16">
        <f t="shared" si="89"/>
        <v>705525.2008089415</v>
      </c>
    </row>
    <row r="2832" spans="2:8" hidden="1" x14ac:dyDescent="0.4">
      <c r="B2832" s="1">
        <v>45381</v>
      </c>
      <c r="C2832" s="16">
        <f>SUMIF(매도완료!$G:$G,Sheet2!$B2832,매도완료!$P:$P)+SUMIF(ING!$G:$G,Sheet2!$B2832,ING!$P:$P)</f>
        <v>0</v>
      </c>
      <c r="D2832" s="16">
        <f>SUMIF(매도완료!$J:$J,Sheet2!$B2832,매도완료!$P:$P)+SUMIF(ING!$J:$J,Sheet2!$B2832,ING!$P:$P)</f>
        <v>0</v>
      </c>
      <c r="E2832" s="16">
        <f t="shared" si="88"/>
        <v>92203841.132399991</v>
      </c>
      <c r="G2832" s="16">
        <f>IF(D2832=0,0,SUMIF(매도완료!$J:$J,Sheet2!$B2832,매도완료!$S:$S))+IF(D2832=0,0,SUMIF(ING!$J:$J,Sheet2!$B2832,ING!$S:$S))</f>
        <v>0</v>
      </c>
      <c r="H2832" s="16">
        <f t="shared" si="89"/>
        <v>705525.2008089415</v>
      </c>
    </row>
    <row r="2833" spans="2:8" hidden="1" x14ac:dyDescent="0.4">
      <c r="B2833" s="1">
        <v>45382</v>
      </c>
      <c r="C2833" s="16">
        <f>SUMIF(매도완료!$G:$G,Sheet2!$B2833,매도완료!$P:$P)+SUMIF(ING!$G:$G,Sheet2!$B2833,ING!$P:$P)</f>
        <v>0</v>
      </c>
      <c r="D2833" s="16">
        <f>SUMIF(매도완료!$J:$J,Sheet2!$B2833,매도완료!$P:$P)+SUMIF(ING!$J:$J,Sheet2!$B2833,ING!$P:$P)</f>
        <v>0</v>
      </c>
      <c r="E2833" s="16">
        <f t="shared" si="88"/>
        <v>92203841.132399991</v>
      </c>
      <c r="G2833" s="16">
        <f>IF(D2833=0,0,SUMIF(매도완료!$J:$J,Sheet2!$B2833,매도완료!$S:$S))+IF(D2833=0,0,SUMIF(ING!$J:$J,Sheet2!$B2833,ING!$S:$S))</f>
        <v>0</v>
      </c>
      <c r="H2833" s="16">
        <f t="shared" si="89"/>
        <v>705525.2008089415</v>
      </c>
    </row>
    <row r="2834" spans="2:8" hidden="1" x14ac:dyDescent="0.4">
      <c r="B2834" s="1">
        <v>45383</v>
      </c>
      <c r="C2834" s="16">
        <f>SUMIF(매도완료!$G:$G,Sheet2!$B2834,매도완료!$P:$P)+SUMIF(ING!$G:$G,Sheet2!$B2834,ING!$P:$P)</f>
        <v>0</v>
      </c>
      <c r="D2834" s="16">
        <f>SUMIF(매도완료!$J:$J,Sheet2!$B2834,매도완료!$P:$P)+SUMIF(ING!$J:$J,Sheet2!$B2834,ING!$P:$P)</f>
        <v>0</v>
      </c>
      <c r="E2834" s="16">
        <f t="shared" si="88"/>
        <v>92203841.132399991</v>
      </c>
      <c r="G2834" s="16">
        <f>IF(D2834=0,0,SUMIF(매도완료!$J:$J,Sheet2!$B2834,매도완료!$S:$S))+IF(D2834=0,0,SUMIF(ING!$J:$J,Sheet2!$B2834,ING!$S:$S))</f>
        <v>0</v>
      </c>
      <c r="H2834" s="16">
        <f t="shared" si="89"/>
        <v>705525.2008089415</v>
      </c>
    </row>
    <row r="2835" spans="2:8" hidden="1" x14ac:dyDescent="0.4">
      <c r="B2835" s="1">
        <v>45384</v>
      </c>
      <c r="C2835" s="16">
        <f>SUMIF(매도완료!$G:$G,Sheet2!$B2835,매도완료!$P:$P)+SUMIF(ING!$G:$G,Sheet2!$B2835,ING!$P:$P)</f>
        <v>0</v>
      </c>
      <c r="D2835" s="16">
        <f>SUMIF(매도완료!$J:$J,Sheet2!$B2835,매도완료!$P:$P)+SUMIF(ING!$J:$J,Sheet2!$B2835,ING!$P:$P)</f>
        <v>0</v>
      </c>
      <c r="E2835" s="16">
        <f t="shared" si="88"/>
        <v>92203841.132399991</v>
      </c>
      <c r="G2835" s="16">
        <f>IF(D2835=0,0,SUMIF(매도완료!$J:$J,Sheet2!$B2835,매도완료!$S:$S))+IF(D2835=0,0,SUMIF(ING!$J:$J,Sheet2!$B2835,ING!$S:$S))</f>
        <v>0</v>
      </c>
      <c r="H2835" s="16">
        <f t="shared" si="89"/>
        <v>705525.2008089415</v>
      </c>
    </row>
    <row r="2836" spans="2:8" hidden="1" x14ac:dyDescent="0.4">
      <c r="B2836" s="1">
        <v>45385</v>
      </c>
      <c r="C2836" s="16">
        <f>SUMIF(매도완료!$G:$G,Sheet2!$B2836,매도완료!$P:$P)+SUMIF(ING!$G:$G,Sheet2!$B2836,ING!$P:$P)</f>
        <v>0</v>
      </c>
      <c r="D2836" s="16">
        <f>SUMIF(매도완료!$J:$J,Sheet2!$B2836,매도완료!$P:$P)+SUMIF(ING!$J:$J,Sheet2!$B2836,ING!$P:$P)</f>
        <v>0</v>
      </c>
      <c r="E2836" s="16">
        <f t="shared" si="88"/>
        <v>92203841.132399991</v>
      </c>
      <c r="G2836" s="16">
        <f>IF(D2836=0,0,SUMIF(매도완료!$J:$J,Sheet2!$B2836,매도완료!$S:$S))+IF(D2836=0,0,SUMIF(ING!$J:$J,Sheet2!$B2836,ING!$S:$S))</f>
        <v>0</v>
      </c>
      <c r="H2836" s="16">
        <f t="shared" si="89"/>
        <v>705525.2008089415</v>
      </c>
    </row>
    <row r="2837" spans="2:8" hidden="1" x14ac:dyDescent="0.4">
      <c r="B2837" s="1">
        <v>45386</v>
      </c>
      <c r="C2837" s="16">
        <f>SUMIF(매도완료!$G:$G,Sheet2!$B2837,매도완료!$P:$P)+SUMIF(ING!$G:$G,Sheet2!$B2837,ING!$P:$P)</f>
        <v>0</v>
      </c>
      <c r="D2837" s="16">
        <f>SUMIF(매도완료!$J:$J,Sheet2!$B2837,매도완료!$P:$P)+SUMIF(ING!$J:$J,Sheet2!$B2837,ING!$P:$P)</f>
        <v>0</v>
      </c>
      <c r="E2837" s="16">
        <f t="shared" si="88"/>
        <v>92203841.132399991</v>
      </c>
      <c r="G2837" s="16">
        <f>IF(D2837=0,0,SUMIF(매도완료!$J:$J,Sheet2!$B2837,매도완료!$S:$S))+IF(D2837=0,0,SUMIF(ING!$J:$J,Sheet2!$B2837,ING!$S:$S))</f>
        <v>0</v>
      </c>
      <c r="H2837" s="16">
        <f t="shared" si="89"/>
        <v>705525.2008089415</v>
      </c>
    </row>
    <row r="2838" spans="2:8" hidden="1" x14ac:dyDescent="0.4">
      <c r="B2838" s="1">
        <v>45387</v>
      </c>
      <c r="C2838" s="16">
        <f>SUMIF(매도완료!$G:$G,Sheet2!$B2838,매도완료!$P:$P)+SUMIF(ING!$G:$G,Sheet2!$B2838,ING!$P:$P)</f>
        <v>0</v>
      </c>
      <c r="D2838" s="16">
        <f>SUMIF(매도완료!$J:$J,Sheet2!$B2838,매도완료!$P:$P)+SUMIF(ING!$J:$J,Sheet2!$B2838,ING!$P:$P)</f>
        <v>0</v>
      </c>
      <c r="E2838" s="16">
        <f t="shared" si="88"/>
        <v>92203841.132399991</v>
      </c>
      <c r="G2838" s="16">
        <f>IF(D2838=0,0,SUMIF(매도완료!$J:$J,Sheet2!$B2838,매도완료!$S:$S))+IF(D2838=0,0,SUMIF(ING!$J:$J,Sheet2!$B2838,ING!$S:$S))</f>
        <v>0</v>
      </c>
      <c r="H2838" s="16">
        <f t="shared" si="89"/>
        <v>705525.2008089415</v>
      </c>
    </row>
    <row r="2839" spans="2:8" hidden="1" x14ac:dyDescent="0.4">
      <c r="B2839" s="1">
        <v>45388</v>
      </c>
      <c r="C2839" s="16">
        <f>SUMIF(매도완료!$G:$G,Sheet2!$B2839,매도완료!$P:$P)+SUMIF(ING!$G:$G,Sheet2!$B2839,ING!$P:$P)</f>
        <v>0</v>
      </c>
      <c r="D2839" s="16">
        <f>SUMIF(매도완료!$J:$J,Sheet2!$B2839,매도완료!$P:$P)+SUMIF(ING!$J:$J,Sheet2!$B2839,ING!$P:$P)</f>
        <v>0</v>
      </c>
      <c r="E2839" s="16">
        <f t="shared" si="88"/>
        <v>92203841.132399991</v>
      </c>
      <c r="G2839" s="16">
        <f>IF(D2839=0,0,SUMIF(매도완료!$J:$J,Sheet2!$B2839,매도완료!$S:$S))+IF(D2839=0,0,SUMIF(ING!$J:$J,Sheet2!$B2839,ING!$S:$S))</f>
        <v>0</v>
      </c>
      <c r="H2839" s="16">
        <f t="shared" si="89"/>
        <v>705525.2008089415</v>
      </c>
    </row>
    <row r="2840" spans="2:8" hidden="1" x14ac:dyDescent="0.4">
      <c r="B2840" s="1">
        <v>45389</v>
      </c>
      <c r="C2840" s="16">
        <f>SUMIF(매도완료!$G:$G,Sheet2!$B2840,매도완료!$P:$P)+SUMIF(ING!$G:$G,Sheet2!$B2840,ING!$P:$P)</f>
        <v>0</v>
      </c>
      <c r="D2840" s="16">
        <f>SUMIF(매도완료!$J:$J,Sheet2!$B2840,매도완료!$P:$P)+SUMIF(ING!$J:$J,Sheet2!$B2840,ING!$P:$P)</f>
        <v>0</v>
      </c>
      <c r="E2840" s="16">
        <f t="shared" si="88"/>
        <v>92203841.132399991</v>
      </c>
      <c r="G2840" s="16">
        <f>IF(D2840=0,0,SUMIF(매도완료!$J:$J,Sheet2!$B2840,매도완료!$S:$S))+IF(D2840=0,0,SUMIF(ING!$J:$J,Sheet2!$B2840,ING!$S:$S))</f>
        <v>0</v>
      </c>
      <c r="H2840" s="16">
        <f t="shared" si="89"/>
        <v>705525.2008089415</v>
      </c>
    </row>
    <row r="2841" spans="2:8" hidden="1" x14ac:dyDescent="0.4">
      <c r="B2841" s="1">
        <v>45390</v>
      </c>
      <c r="C2841" s="16">
        <f>SUMIF(매도완료!$G:$G,Sheet2!$B2841,매도완료!$P:$P)+SUMIF(ING!$G:$G,Sheet2!$B2841,ING!$P:$P)</f>
        <v>0</v>
      </c>
      <c r="D2841" s="16">
        <f>SUMIF(매도완료!$J:$J,Sheet2!$B2841,매도완료!$P:$P)+SUMIF(ING!$J:$J,Sheet2!$B2841,ING!$P:$P)</f>
        <v>0</v>
      </c>
      <c r="E2841" s="16">
        <f t="shared" si="88"/>
        <v>92203841.132399991</v>
      </c>
      <c r="G2841" s="16">
        <f>IF(D2841=0,0,SUMIF(매도완료!$J:$J,Sheet2!$B2841,매도완료!$S:$S))+IF(D2841=0,0,SUMIF(ING!$J:$J,Sheet2!$B2841,ING!$S:$S))</f>
        <v>0</v>
      </c>
      <c r="H2841" s="16">
        <f t="shared" si="89"/>
        <v>705525.2008089415</v>
      </c>
    </row>
    <row r="2842" spans="2:8" hidden="1" x14ac:dyDescent="0.4">
      <c r="B2842" s="1">
        <v>45391</v>
      </c>
      <c r="C2842" s="16">
        <f>SUMIF(매도완료!$G:$G,Sheet2!$B2842,매도완료!$P:$P)+SUMIF(ING!$G:$G,Sheet2!$B2842,ING!$P:$P)</f>
        <v>0</v>
      </c>
      <c r="D2842" s="16">
        <f>SUMIF(매도완료!$J:$J,Sheet2!$B2842,매도완료!$P:$P)+SUMIF(ING!$J:$J,Sheet2!$B2842,ING!$P:$P)</f>
        <v>0</v>
      </c>
      <c r="E2842" s="16">
        <f t="shared" si="88"/>
        <v>92203841.132399991</v>
      </c>
      <c r="G2842" s="16">
        <f>IF(D2842=0,0,SUMIF(매도완료!$J:$J,Sheet2!$B2842,매도완료!$S:$S))+IF(D2842=0,0,SUMIF(ING!$J:$J,Sheet2!$B2842,ING!$S:$S))</f>
        <v>0</v>
      </c>
      <c r="H2842" s="16">
        <f t="shared" si="89"/>
        <v>705525.2008089415</v>
      </c>
    </row>
    <row r="2843" spans="2:8" hidden="1" x14ac:dyDescent="0.4">
      <c r="B2843" s="1">
        <v>45392</v>
      </c>
      <c r="C2843" s="16">
        <f>SUMIF(매도완료!$G:$G,Sheet2!$B2843,매도완료!$P:$P)+SUMIF(ING!$G:$G,Sheet2!$B2843,ING!$P:$P)</f>
        <v>0</v>
      </c>
      <c r="D2843" s="16">
        <f>SUMIF(매도완료!$J:$J,Sheet2!$B2843,매도완료!$P:$P)+SUMIF(ING!$J:$J,Sheet2!$B2843,ING!$P:$P)</f>
        <v>0</v>
      </c>
      <c r="E2843" s="16">
        <f t="shared" si="88"/>
        <v>92203841.132399991</v>
      </c>
      <c r="G2843" s="16">
        <f>IF(D2843=0,0,SUMIF(매도완료!$J:$J,Sheet2!$B2843,매도완료!$S:$S))+IF(D2843=0,0,SUMIF(ING!$J:$J,Sheet2!$B2843,ING!$S:$S))</f>
        <v>0</v>
      </c>
      <c r="H2843" s="16">
        <f t="shared" si="89"/>
        <v>705525.2008089415</v>
      </c>
    </row>
    <row r="2844" spans="2:8" hidden="1" x14ac:dyDescent="0.4">
      <c r="B2844" s="1">
        <v>45393</v>
      </c>
      <c r="C2844" s="16">
        <f>SUMIF(매도완료!$G:$G,Sheet2!$B2844,매도완료!$P:$P)+SUMIF(ING!$G:$G,Sheet2!$B2844,ING!$P:$P)</f>
        <v>0</v>
      </c>
      <c r="D2844" s="16">
        <f>SUMIF(매도완료!$J:$J,Sheet2!$B2844,매도완료!$P:$P)+SUMIF(ING!$J:$J,Sheet2!$B2844,ING!$P:$P)</f>
        <v>0</v>
      </c>
      <c r="E2844" s="16">
        <f t="shared" si="88"/>
        <v>92203841.132399991</v>
      </c>
      <c r="G2844" s="16">
        <f>IF(D2844=0,0,SUMIF(매도완료!$J:$J,Sheet2!$B2844,매도완료!$S:$S))+IF(D2844=0,0,SUMIF(ING!$J:$J,Sheet2!$B2844,ING!$S:$S))</f>
        <v>0</v>
      </c>
      <c r="H2844" s="16">
        <f t="shared" si="89"/>
        <v>705525.2008089415</v>
      </c>
    </row>
    <row r="2845" spans="2:8" hidden="1" x14ac:dyDescent="0.4">
      <c r="B2845" s="1">
        <v>45394</v>
      </c>
      <c r="C2845" s="16">
        <f>SUMIF(매도완료!$G:$G,Sheet2!$B2845,매도완료!$P:$P)+SUMIF(ING!$G:$G,Sheet2!$B2845,ING!$P:$P)</f>
        <v>0</v>
      </c>
      <c r="D2845" s="16">
        <f>SUMIF(매도완료!$J:$J,Sheet2!$B2845,매도완료!$P:$P)+SUMIF(ING!$J:$J,Sheet2!$B2845,ING!$P:$P)</f>
        <v>0</v>
      </c>
      <c r="E2845" s="16">
        <f t="shared" si="88"/>
        <v>92203841.132399991</v>
      </c>
      <c r="G2845" s="16">
        <f>IF(D2845=0,0,SUMIF(매도완료!$J:$J,Sheet2!$B2845,매도완료!$S:$S))+IF(D2845=0,0,SUMIF(ING!$J:$J,Sheet2!$B2845,ING!$S:$S))</f>
        <v>0</v>
      </c>
      <c r="H2845" s="16">
        <f t="shared" si="89"/>
        <v>705525.2008089415</v>
      </c>
    </row>
    <row r="2846" spans="2:8" hidden="1" x14ac:dyDescent="0.4">
      <c r="B2846" s="1">
        <v>45395</v>
      </c>
      <c r="C2846" s="16">
        <f>SUMIF(매도완료!$G:$G,Sheet2!$B2846,매도완료!$P:$P)+SUMIF(ING!$G:$G,Sheet2!$B2846,ING!$P:$P)</f>
        <v>0</v>
      </c>
      <c r="D2846" s="16">
        <f>SUMIF(매도완료!$J:$J,Sheet2!$B2846,매도완료!$P:$P)+SUMIF(ING!$J:$J,Sheet2!$B2846,ING!$P:$P)</f>
        <v>0</v>
      </c>
      <c r="E2846" s="16">
        <f t="shared" si="88"/>
        <v>92203841.132399991</v>
      </c>
      <c r="G2846" s="16">
        <f>IF(D2846=0,0,SUMIF(매도완료!$J:$J,Sheet2!$B2846,매도완료!$S:$S))+IF(D2846=0,0,SUMIF(ING!$J:$J,Sheet2!$B2846,ING!$S:$S))</f>
        <v>0</v>
      </c>
      <c r="H2846" s="16">
        <f t="shared" si="89"/>
        <v>705525.2008089415</v>
      </c>
    </row>
    <row r="2847" spans="2:8" hidden="1" x14ac:dyDescent="0.4">
      <c r="B2847" s="1">
        <v>45396</v>
      </c>
      <c r="C2847" s="16">
        <f>SUMIF(매도완료!$G:$G,Sheet2!$B2847,매도완료!$P:$P)+SUMIF(ING!$G:$G,Sheet2!$B2847,ING!$P:$P)</f>
        <v>0</v>
      </c>
      <c r="D2847" s="16">
        <f>SUMIF(매도완료!$J:$J,Sheet2!$B2847,매도완료!$P:$P)+SUMIF(ING!$J:$J,Sheet2!$B2847,ING!$P:$P)</f>
        <v>0</v>
      </c>
      <c r="E2847" s="16">
        <f t="shared" si="88"/>
        <v>92203841.132399991</v>
      </c>
      <c r="G2847" s="16">
        <f>IF(D2847=0,0,SUMIF(매도완료!$J:$J,Sheet2!$B2847,매도완료!$S:$S))+IF(D2847=0,0,SUMIF(ING!$J:$J,Sheet2!$B2847,ING!$S:$S))</f>
        <v>0</v>
      </c>
      <c r="H2847" s="16">
        <f t="shared" si="89"/>
        <v>705525.2008089415</v>
      </c>
    </row>
    <row r="2848" spans="2:8" hidden="1" x14ac:dyDescent="0.4">
      <c r="B2848" s="1">
        <v>45397</v>
      </c>
      <c r="C2848" s="16">
        <f>SUMIF(매도완료!$G:$G,Sheet2!$B2848,매도완료!$P:$P)+SUMIF(ING!$G:$G,Sheet2!$B2848,ING!$P:$P)</f>
        <v>0</v>
      </c>
      <c r="D2848" s="16">
        <f>SUMIF(매도완료!$J:$J,Sheet2!$B2848,매도완료!$P:$P)+SUMIF(ING!$J:$J,Sheet2!$B2848,ING!$P:$P)</f>
        <v>0</v>
      </c>
      <c r="E2848" s="16">
        <f t="shared" si="88"/>
        <v>92203841.132399991</v>
      </c>
      <c r="G2848" s="16">
        <f>IF(D2848=0,0,SUMIF(매도완료!$J:$J,Sheet2!$B2848,매도완료!$S:$S))+IF(D2848=0,0,SUMIF(ING!$J:$J,Sheet2!$B2848,ING!$S:$S))</f>
        <v>0</v>
      </c>
      <c r="H2848" s="16">
        <f t="shared" si="89"/>
        <v>705525.2008089415</v>
      </c>
    </row>
    <row r="2849" spans="2:8" hidden="1" x14ac:dyDescent="0.4">
      <c r="B2849" s="1">
        <v>45398</v>
      </c>
      <c r="C2849" s="16">
        <f>SUMIF(매도완료!$G:$G,Sheet2!$B2849,매도완료!$P:$P)+SUMIF(ING!$G:$G,Sheet2!$B2849,ING!$P:$P)</f>
        <v>0</v>
      </c>
      <c r="D2849" s="16">
        <f>SUMIF(매도완료!$J:$J,Sheet2!$B2849,매도완료!$P:$P)+SUMIF(ING!$J:$J,Sheet2!$B2849,ING!$P:$P)</f>
        <v>0</v>
      </c>
      <c r="E2849" s="16">
        <f t="shared" si="88"/>
        <v>92203841.132399991</v>
      </c>
      <c r="G2849" s="16">
        <f>IF(D2849=0,0,SUMIF(매도완료!$J:$J,Sheet2!$B2849,매도완료!$S:$S))+IF(D2849=0,0,SUMIF(ING!$J:$J,Sheet2!$B2849,ING!$S:$S))</f>
        <v>0</v>
      </c>
      <c r="H2849" s="16">
        <f t="shared" si="89"/>
        <v>705525.2008089415</v>
      </c>
    </row>
    <row r="2850" spans="2:8" hidden="1" x14ac:dyDescent="0.4">
      <c r="B2850" s="1">
        <v>45399</v>
      </c>
      <c r="C2850" s="16">
        <f>SUMIF(매도완료!$G:$G,Sheet2!$B2850,매도완료!$P:$P)+SUMIF(ING!$G:$G,Sheet2!$B2850,ING!$P:$P)</f>
        <v>0</v>
      </c>
      <c r="D2850" s="16">
        <f>SUMIF(매도완료!$J:$J,Sheet2!$B2850,매도완료!$P:$P)+SUMIF(ING!$J:$J,Sheet2!$B2850,ING!$P:$P)</f>
        <v>0</v>
      </c>
      <c r="E2850" s="16">
        <f t="shared" si="88"/>
        <v>92203841.132399991</v>
      </c>
      <c r="G2850" s="16">
        <f>IF(D2850=0,0,SUMIF(매도완료!$J:$J,Sheet2!$B2850,매도완료!$S:$S))+IF(D2850=0,0,SUMIF(ING!$J:$J,Sheet2!$B2850,ING!$S:$S))</f>
        <v>0</v>
      </c>
      <c r="H2850" s="16">
        <f t="shared" si="89"/>
        <v>705525.2008089415</v>
      </c>
    </row>
    <row r="2851" spans="2:8" hidden="1" x14ac:dyDescent="0.4">
      <c r="B2851" s="1">
        <v>45400</v>
      </c>
      <c r="C2851" s="16">
        <f>SUMIF(매도완료!$G:$G,Sheet2!$B2851,매도완료!$P:$P)+SUMIF(ING!$G:$G,Sheet2!$B2851,ING!$P:$P)</f>
        <v>0</v>
      </c>
      <c r="D2851" s="16">
        <f>SUMIF(매도완료!$J:$J,Sheet2!$B2851,매도완료!$P:$P)+SUMIF(ING!$J:$J,Sheet2!$B2851,ING!$P:$P)</f>
        <v>0</v>
      </c>
      <c r="E2851" s="16">
        <f t="shared" si="88"/>
        <v>92203841.132399991</v>
      </c>
      <c r="G2851" s="16">
        <f>IF(D2851=0,0,SUMIF(매도완료!$J:$J,Sheet2!$B2851,매도완료!$S:$S))+IF(D2851=0,0,SUMIF(ING!$J:$J,Sheet2!$B2851,ING!$S:$S))</f>
        <v>0</v>
      </c>
      <c r="H2851" s="16">
        <f t="shared" si="89"/>
        <v>705525.2008089415</v>
      </c>
    </row>
    <row r="2852" spans="2:8" hidden="1" x14ac:dyDescent="0.4">
      <c r="B2852" s="1">
        <v>45401</v>
      </c>
      <c r="C2852" s="16">
        <f>SUMIF(매도완료!$G:$G,Sheet2!$B2852,매도완료!$P:$P)+SUMIF(ING!$G:$G,Sheet2!$B2852,ING!$P:$P)</f>
        <v>0</v>
      </c>
      <c r="D2852" s="16">
        <f>SUMIF(매도완료!$J:$J,Sheet2!$B2852,매도완료!$P:$P)+SUMIF(ING!$J:$J,Sheet2!$B2852,ING!$P:$P)</f>
        <v>0</v>
      </c>
      <c r="E2852" s="16">
        <f t="shared" si="88"/>
        <v>92203841.132399991</v>
      </c>
      <c r="G2852" s="16">
        <f>IF(D2852=0,0,SUMIF(매도완료!$J:$J,Sheet2!$B2852,매도완료!$S:$S))+IF(D2852=0,0,SUMIF(ING!$J:$J,Sheet2!$B2852,ING!$S:$S))</f>
        <v>0</v>
      </c>
      <c r="H2852" s="16">
        <f t="shared" si="89"/>
        <v>705525.2008089415</v>
      </c>
    </row>
    <row r="2853" spans="2:8" hidden="1" x14ac:dyDescent="0.4">
      <c r="B2853" s="1">
        <v>45402</v>
      </c>
      <c r="C2853" s="16">
        <f>SUMIF(매도완료!$G:$G,Sheet2!$B2853,매도완료!$P:$P)+SUMIF(ING!$G:$G,Sheet2!$B2853,ING!$P:$P)</f>
        <v>0</v>
      </c>
      <c r="D2853" s="16">
        <f>SUMIF(매도완료!$J:$J,Sheet2!$B2853,매도완료!$P:$P)+SUMIF(ING!$J:$J,Sheet2!$B2853,ING!$P:$P)</f>
        <v>0</v>
      </c>
      <c r="E2853" s="16">
        <f t="shared" si="88"/>
        <v>92203841.132399991</v>
      </c>
      <c r="G2853" s="16">
        <f>IF(D2853=0,0,SUMIF(매도완료!$J:$J,Sheet2!$B2853,매도완료!$S:$S))+IF(D2853=0,0,SUMIF(ING!$J:$J,Sheet2!$B2853,ING!$S:$S))</f>
        <v>0</v>
      </c>
      <c r="H2853" s="16">
        <f t="shared" si="89"/>
        <v>705525.2008089415</v>
      </c>
    </row>
    <row r="2854" spans="2:8" hidden="1" x14ac:dyDescent="0.4">
      <c r="B2854" s="1">
        <v>45403</v>
      </c>
      <c r="C2854" s="16">
        <f>SUMIF(매도완료!$G:$G,Sheet2!$B2854,매도완료!$P:$P)+SUMIF(ING!$G:$G,Sheet2!$B2854,ING!$P:$P)</f>
        <v>0</v>
      </c>
      <c r="D2854" s="16">
        <f>SUMIF(매도완료!$J:$J,Sheet2!$B2854,매도완료!$P:$P)+SUMIF(ING!$J:$J,Sheet2!$B2854,ING!$P:$P)</f>
        <v>0</v>
      </c>
      <c r="E2854" s="16">
        <f t="shared" si="88"/>
        <v>92203841.132399991</v>
      </c>
      <c r="G2854" s="16">
        <f>IF(D2854=0,0,SUMIF(매도완료!$J:$J,Sheet2!$B2854,매도완료!$S:$S))+IF(D2854=0,0,SUMIF(ING!$J:$J,Sheet2!$B2854,ING!$S:$S))</f>
        <v>0</v>
      </c>
      <c r="H2854" s="16">
        <f t="shared" si="89"/>
        <v>705525.2008089415</v>
      </c>
    </row>
    <row r="2855" spans="2:8" hidden="1" x14ac:dyDescent="0.4">
      <c r="B2855" s="1">
        <v>45404</v>
      </c>
      <c r="C2855" s="16">
        <f>SUMIF(매도완료!$G:$G,Sheet2!$B2855,매도완료!$P:$P)+SUMIF(ING!$G:$G,Sheet2!$B2855,ING!$P:$P)</f>
        <v>0</v>
      </c>
      <c r="D2855" s="16">
        <f>SUMIF(매도완료!$J:$J,Sheet2!$B2855,매도완료!$P:$P)+SUMIF(ING!$J:$J,Sheet2!$B2855,ING!$P:$P)</f>
        <v>0</v>
      </c>
      <c r="E2855" s="16">
        <f t="shared" si="88"/>
        <v>92203841.132399991</v>
      </c>
      <c r="G2855" s="16">
        <f>IF(D2855=0,0,SUMIF(매도완료!$J:$J,Sheet2!$B2855,매도완료!$S:$S))+IF(D2855=0,0,SUMIF(ING!$J:$J,Sheet2!$B2855,ING!$S:$S))</f>
        <v>0</v>
      </c>
      <c r="H2855" s="16">
        <f t="shared" si="89"/>
        <v>705525.2008089415</v>
      </c>
    </row>
    <row r="2856" spans="2:8" hidden="1" x14ac:dyDescent="0.4">
      <c r="B2856" s="1">
        <v>45405</v>
      </c>
      <c r="C2856" s="16">
        <f>SUMIF(매도완료!$G:$G,Sheet2!$B2856,매도완료!$P:$P)+SUMIF(ING!$G:$G,Sheet2!$B2856,ING!$P:$P)</f>
        <v>0</v>
      </c>
      <c r="D2856" s="16">
        <f>SUMIF(매도완료!$J:$J,Sheet2!$B2856,매도완료!$P:$P)+SUMIF(ING!$J:$J,Sheet2!$B2856,ING!$P:$P)</f>
        <v>0</v>
      </c>
      <c r="E2856" s="16">
        <f t="shared" si="88"/>
        <v>92203841.132399991</v>
      </c>
      <c r="G2856" s="16">
        <f>IF(D2856=0,0,SUMIF(매도완료!$J:$J,Sheet2!$B2856,매도완료!$S:$S))+IF(D2856=0,0,SUMIF(ING!$J:$J,Sheet2!$B2856,ING!$S:$S))</f>
        <v>0</v>
      </c>
      <c r="H2856" s="16">
        <f t="shared" si="89"/>
        <v>705525.2008089415</v>
      </c>
    </row>
    <row r="2857" spans="2:8" hidden="1" x14ac:dyDescent="0.4">
      <c r="B2857" s="1">
        <v>45406</v>
      </c>
      <c r="C2857" s="16">
        <f>SUMIF(매도완료!$G:$G,Sheet2!$B2857,매도완료!$P:$P)+SUMIF(ING!$G:$G,Sheet2!$B2857,ING!$P:$P)</f>
        <v>0</v>
      </c>
      <c r="D2857" s="16">
        <f>SUMIF(매도완료!$J:$J,Sheet2!$B2857,매도완료!$P:$P)+SUMIF(ING!$J:$J,Sheet2!$B2857,ING!$P:$P)</f>
        <v>0</v>
      </c>
      <c r="E2857" s="16">
        <f t="shared" si="88"/>
        <v>92203841.132399991</v>
      </c>
      <c r="G2857" s="16">
        <f>IF(D2857=0,0,SUMIF(매도완료!$J:$J,Sheet2!$B2857,매도완료!$S:$S))+IF(D2857=0,0,SUMIF(ING!$J:$J,Sheet2!$B2857,ING!$S:$S))</f>
        <v>0</v>
      </c>
      <c r="H2857" s="16">
        <f t="shared" si="89"/>
        <v>705525.2008089415</v>
      </c>
    </row>
    <row r="2858" spans="2:8" hidden="1" x14ac:dyDescent="0.4">
      <c r="B2858" s="1">
        <v>45407</v>
      </c>
      <c r="C2858" s="16">
        <f>SUMIF(매도완료!$G:$G,Sheet2!$B2858,매도완료!$P:$P)+SUMIF(ING!$G:$G,Sheet2!$B2858,ING!$P:$P)</f>
        <v>0</v>
      </c>
      <c r="D2858" s="16">
        <f>SUMIF(매도완료!$J:$J,Sheet2!$B2858,매도완료!$P:$P)+SUMIF(ING!$J:$J,Sheet2!$B2858,ING!$P:$P)</f>
        <v>0</v>
      </c>
      <c r="E2858" s="16">
        <f t="shared" si="88"/>
        <v>92203841.132399991</v>
      </c>
      <c r="G2858" s="16">
        <f>IF(D2858=0,0,SUMIF(매도완료!$J:$J,Sheet2!$B2858,매도완료!$S:$S))+IF(D2858=0,0,SUMIF(ING!$J:$J,Sheet2!$B2858,ING!$S:$S))</f>
        <v>0</v>
      </c>
      <c r="H2858" s="16">
        <f t="shared" si="89"/>
        <v>705525.2008089415</v>
      </c>
    </row>
    <row r="2859" spans="2:8" hidden="1" x14ac:dyDescent="0.4">
      <c r="B2859" s="1">
        <v>45408</v>
      </c>
      <c r="C2859" s="16">
        <f>SUMIF(매도완료!$G:$G,Sheet2!$B2859,매도완료!$P:$P)+SUMIF(ING!$G:$G,Sheet2!$B2859,ING!$P:$P)</f>
        <v>0</v>
      </c>
      <c r="D2859" s="16">
        <f>SUMIF(매도완료!$J:$J,Sheet2!$B2859,매도완료!$P:$P)+SUMIF(ING!$J:$J,Sheet2!$B2859,ING!$P:$P)</f>
        <v>0</v>
      </c>
      <c r="E2859" s="16">
        <f t="shared" si="88"/>
        <v>92203841.132399991</v>
      </c>
      <c r="G2859" s="16">
        <f>IF(D2859=0,0,SUMIF(매도완료!$J:$J,Sheet2!$B2859,매도완료!$S:$S))+IF(D2859=0,0,SUMIF(ING!$J:$J,Sheet2!$B2859,ING!$S:$S))</f>
        <v>0</v>
      </c>
      <c r="H2859" s="16">
        <f t="shared" si="89"/>
        <v>705525.2008089415</v>
      </c>
    </row>
    <row r="2860" spans="2:8" hidden="1" x14ac:dyDescent="0.4">
      <c r="B2860" s="1">
        <v>45409</v>
      </c>
      <c r="C2860" s="16">
        <f>SUMIF(매도완료!$G:$G,Sheet2!$B2860,매도완료!$P:$P)+SUMIF(ING!$G:$G,Sheet2!$B2860,ING!$P:$P)</f>
        <v>0</v>
      </c>
      <c r="D2860" s="16">
        <f>SUMIF(매도완료!$J:$J,Sheet2!$B2860,매도완료!$P:$P)+SUMIF(ING!$J:$J,Sheet2!$B2860,ING!$P:$P)</f>
        <v>0</v>
      </c>
      <c r="E2860" s="16">
        <f t="shared" si="88"/>
        <v>92203841.132399991</v>
      </c>
      <c r="G2860" s="16">
        <f>IF(D2860=0,0,SUMIF(매도완료!$J:$J,Sheet2!$B2860,매도완료!$S:$S))+IF(D2860=0,0,SUMIF(ING!$J:$J,Sheet2!$B2860,ING!$S:$S))</f>
        <v>0</v>
      </c>
      <c r="H2860" s="16">
        <f t="shared" si="89"/>
        <v>705525.2008089415</v>
      </c>
    </row>
    <row r="2861" spans="2:8" hidden="1" x14ac:dyDescent="0.4">
      <c r="B2861" s="1">
        <v>45410</v>
      </c>
      <c r="C2861" s="16">
        <f>SUMIF(매도완료!$G:$G,Sheet2!$B2861,매도완료!$P:$P)+SUMIF(ING!$G:$G,Sheet2!$B2861,ING!$P:$P)</f>
        <v>0</v>
      </c>
      <c r="D2861" s="16">
        <f>SUMIF(매도완료!$J:$J,Sheet2!$B2861,매도완료!$P:$P)+SUMIF(ING!$J:$J,Sheet2!$B2861,ING!$P:$P)</f>
        <v>0</v>
      </c>
      <c r="E2861" s="16">
        <f t="shared" si="88"/>
        <v>92203841.132399991</v>
      </c>
      <c r="G2861" s="16">
        <f>IF(D2861=0,0,SUMIF(매도완료!$J:$J,Sheet2!$B2861,매도완료!$S:$S))+IF(D2861=0,0,SUMIF(ING!$J:$J,Sheet2!$B2861,ING!$S:$S))</f>
        <v>0</v>
      </c>
      <c r="H2861" s="16">
        <f t="shared" si="89"/>
        <v>705525.2008089415</v>
      </c>
    </row>
    <row r="2862" spans="2:8" hidden="1" x14ac:dyDescent="0.4">
      <c r="B2862" s="1">
        <v>45411</v>
      </c>
      <c r="C2862" s="16">
        <f>SUMIF(매도완료!$G:$G,Sheet2!$B2862,매도완료!$P:$P)+SUMIF(ING!$G:$G,Sheet2!$B2862,ING!$P:$P)</f>
        <v>0</v>
      </c>
      <c r="D2862" s="16">
        <f>SUMIF(매도완료!$J:$J,Sheet2!$B2862,매도완료!$P:$P)+SUMIF(ING!$J:$J,Sheet2!$B2862,ING!$P:$P)</f>
        <v>0</v>
      </c>
      <c r="E2862" s="16">
        <f t="shared" si="88"/>
        <v>92203841.132399991</v>
      </c>
      <c r="G2862" s="16">
        <f>IF(D2862=0,0,SUMIF(매도완료!$J:$J,Sheet2!$B2862,매도완료!$S:$S))+IF(D2862=0,0,SUMIF(ING!$J:$J,Sheet2!$B2862,ING!$S:$S))</f>
        <v>0</v>
      </c>
      <c r="H2862" s="16">
        <f t="shared" si="89"/>
        <v>705525.2008089415</v>
      </c>
    </row>
    <row r="2863" spans="2:8" hidden="1" x14ac:dyDescent="0.4">
      <c r="B2863" s="1">
        <v>45412</v>
      </c>
      <c r="C2863" s="16">
        <f>SUMIF(매도완료!$G:$G,Sheet2!$B2863,매도완료!$P:$P)+SUMIF(ING!$G:$G,Sheet2!$B2863,ING!$P:$P)</f>
        <v>0</v>
      </c>
      <c r="D2863" s="16">
        <f>SUMIF(매도완료!$J:$J,Sheet2!$B2863,매도완료!$P:$P)+SUMIF(ING!$J:$J,Sheet2!$B2863,ING!$P:$P)</f>
        <v>0</v>
      </c>
      <c r="E2863" s="16">
        <f t="shared" si="88"/>
        <v>92203841.132399991</v>
      </c>
      <c r="G2863" s="16">
        <f>IF(D2863=0,0,SUMIF(매도완료!$J:$J,Sheet2!$B2863,매도완료!$S:$S))+IF(D2863=0,0,SUMIF(ING!$J:$J,Sheet2!$B2863,ING!$S:$S))</f>
        <v>0</v>
      </c>
      <c r="H2863" s="16">
        <f t="shared" si="89"/>
        <v>705525.2008089415</v>
      </c>
    </row>
    <row r="2864" spans="2:8" hidden="1" x14ac:dyDescent="0.4">
      <c r="B2864" s="1">
        <v>45413</v>
      </c>
      <c r="C2864" s="16">
        <f>SUMIF(매도완료!$G:$G,Sheet2!$B2864,매도완료!$P:$P)+SUMIF(ING!$G:$G,Sheet2!$B2864,ING!$P:$P)</f>
        <v>0</v>
      </c>
      <c r="D2864" s="16">
        <f>SUMIF(매도완료!$J:$J,Sheet2!$B2864,매도완료!$P:$P)+SUMIF(ING!$J:$J,Sheet2!$B2864,ING!$P:$P)</f>
        <v>0</v>
      </c>
      <c r="E2864" s="16">
        <f t="shared" si="88"/>
        <v>92203841.132399991</v>
      </c>
      <c r="G2864" s="16">
        <f>IF(D2864=0,0,SUMIF(매도완료!$J:$J,Sheet2!$B2864,매도완료!$S:$S))+IF(D2864=0,0,SUMIF(ING!$J:$J,Sheet2!$B2864,ING!$S:$S))</f>
        <v>0</v>
      </c>
      <c r="H2864" s="16">
        <f t="shared" si="89"/>
        <v>705525.2008089415</v>
      </c>
    </row>
    <row r="2865" spans="2:8" hidden="1" x14ac:dyDescent="0.4">
      <c r="B2865" s="1">
        <v>45414</v>
      </c>
      <c r="C2865" s="16">
        <f>SUMIF(매도완료!$G:$G,Sheet2!$B2865,매도완료!$P:$P)+SUMIF(ING!$G:$G,Sheet2!$B2865,ING!$P:$P)</f>
        <v>0</v>
      </c>
      <c r="D2865" s="16">
        <f>SUMIF(매도완료!$J:$J,Sheet2!$B2865,매도완료!$P:$P)+SUMIF(ING!$J:$J,Sheet2!$B2865,ING!$P:$P)</f>
        <v>0</v>
      </c>
      <c r="E2865" s="16">
        <f t="shared" si="88"/>
        <v>92203841.132399991</v>
      </c>
      <c r="G2865" s="16">
        <f>IF(D2865=0,0,SUMIF(매도완료!$J:$J,Sheet2!$B2865,매도완료!$S:$S))+IF(D2865=0,0,SUMIF(ING!$J:$J,Sheet2!$B2865,ING!$S:$S))</f>
        <v>0</v>
      </c>
      <c r="H2865" s="16">
        <f t="shared" si="89"/>
        <v>705525.2008089415</v>
      </c>
    </row>
    <row r="2866" spans="2:8" hidden="1" x14ac:dyDescent="0.4">
      <c r="B2866" s="1">
        <v>45415</v>
      </c>
      <c r="C2866" s="16">
        <f>SUMIF(매도완료!$G:$G,Sheet2!$B2866,매도완료!$P:$P)+SUMIF(ING!$G:$G,Sheet2!$B2866,ING!$P:$P)</f>
        <v>0</v>
      </c>
      <c r="D2866" s="16">
        <f>SUMIF(매도완료!$J:$J,Sheet2!$B2866,매도완료!$P:$P)+SUMIF(ING!$J:$J,Sheet2!$B2866,ING!$P:$P)</f>
        <v>0</v>
      </c>
      <c r="E2866" s="16">
        <f t="shared" si="88"/>
        <v>92203841.132399991</v>
      </c>
      <c r="G2866" s="16">
        <f>IF(D2866=0,0,SUMIF(매도완료!$J:$J,Sheet2!$B2866,매도완료!$S:$S))+IF(D2866=0,0,SUMIF(ING!$J:$J,Sheet2!$B2866,ING!$S:$S))</f>
        <v>0</v>
      </c>
      <c r="H2866" s="16">
        <f t="shared" si="89"/>
        <v>705525.2008089415</v>
      </c>
    </row>
    <row r="2867" spans="2:8" hidden="1" x14ac:dyDescent="0.4">
      <c r="B2867" s="1">
        <v>45416</v>
      </c>
      <c r="C2867" s="16">
        <f>SUMIF(매도완료!$G:$G,Sheet2!$B2867,매도완료!$P:$P)+SUMIF(ING!$G:$G,Sheet2!$B2867,ING!$P:$P)</f>
        <v>0</v>
      </c>
      <c r="D2867" s="16">
        <f>SUMIF(매도완료!$J:$J,Sheet2!$B2867,매도완료!$P:$P)+SUMIF(ING!$J:$J,Sheet2!$B2867,ING!$P:$P)</f>
        <v>0</v>
      </c>
      <c r="E2867" s="16">
        <f t="shared" si="88"/>
        <v>92203841.132399991</v>
      </c>
      <c r="G2867" s="16">
        <f>IF(D2867=0,0,SUMIF(매도완료!$J:$J,Sheet2!$B2867,매도완료!$S:$S))+IF(D2867=0,0,SUMIF(ING!$J:$J,Sheet2!$B2867,ING!$S:$S))</f>
        <v>0</v>
      </c>
      <c r="H2867" s="16">
        <f t="shared" si="89"/>
        <v>705525.2008089415</v>
      </c>
    </row>
    <row r="2868" spans="2:8" hidden="1" x14ac:dyDescent="0.4">
      <c r="B2868" s="1">
        <v>45417</v>
      </c>
      <c r="C2868" s="16">
        <f>SUMIF(매도완료!$G:$G,Sheet2!$B2868,매도완료!$P:$P)+SUMIF(ING!$G:$G,Sheet2!$B2868,ING!$P:$P)</f>
        <v>0</v>
      </c>
      <c r="D2868" s="16">
        <f>SUMIF(매도완료!$J:$J,Sheet2!$B2868,매도완료!$P:$P)+SUMIF(ING!$J:$J,Sheet2!$B2868,ING!$P:$P)</f>
        <v>0</v>
      </c>
      <c r="E2868" s="16">
        <f t="shared" si="88"/>
        <v>92203841.132399991</v>
      </c>
      <c r="G2868" s="16">
        <f>IF(D2868=0,0,SUMIF(매도완료!$J:$J,Sheet2!$B2868,매도완료!$S:$S))+IF(D2868=0,0,SUMIF(ING!$J:$J,Sheet2!$B2868,ING!$S:$S))</f>
        <v>0</v>
      </c>
      <c r="H2868" s="16">
        <f t="shared" si="89"/>
        <v>705525.2008089415</v>
      </c>
    </row>
    <row r="2869" spans="2:8" hidden="1" x14ac:dyDescent="0.4">
      <c r="B2869" s="1">
        <v>45418</v>
      </c>
      <c r="C2869" s="16">
        <f>SUMIF(매도완료!$G:$G,Sheet2!$B2869,매도완료!$P:$P)+SUMIF(ING!$G:$G,Sheet2!$B2869,ING!$P:$P)</f>
        <v>0</v>
      </c>
      <c r="D2869" s="16">
        <f>SUMIF(매도완료!$J:$J,Sheet2!$B2869,매도완료!$P:$P)+SUMIF(ING!$J:$J,Sheet2!$B2869,ING!$P:$P)</f>
        <v>0</v>
      </c>
      <c r="E2869" s="16">
        <f t="shared" si="88"/>
        <v>92203841.132399991</v>
      </c>
      <c r="G2869" s="16">
        <f>IF(D2869=0,0,SUMIF(매도완료!$J:$J,Sheet2!$B2869,매도완료!$S:$S))+IF(D2869=0,0,SUMIF(ING!$J:$J,Sheet2!$B2869,ING!$S:$S))</f>
        <v>0</v>
      </c>
      <c r="H2869" s="16">
        <f t="shared" si="89"/>
        <v>705525.2008089415</v>
      </c>
    </row>
    <row r="2870" spans="2:8" hidden="1" x14ac:dyDescent="0.4">
      <c r="B2870" s="1">
        <v>45419</v>
      </c>
      <c r="C2870" s="16">
        <f>SUMIF(매도완료!$G:$G,Sheet2!$B2870,매도완료!$P:$P)+SUMIF(ING!$G:$G,Sheet2!$B2870,ING!$P:$P)</f>
        <v>0</v>
      </c>
      <c r="D2870" s="16">
        <f>SUMIF(매도완료!$J:$J,Sheet2!$B2870,매도완료!$P:$P)+SUMIF(ING!$J:$J,Sheet2!$B2870,ING!$P:$P)</f>
        <v>0</v>
      </c>
      <c r="E2870" s="16">
        <f t="shared" si="88"/>
        <v>92203841.132399991</v>
      </c>
      <c r="G2870" s="16">
        <f>IF(D2870=0,0,SUMIF(매도완료!$J:$J,Sheet2!$B2870,매도완료!$S:$S))+IF(D2870=0,0,SUMIF(ING!$J:$J,Sheet2!$B2870,ING!$S:$S))</f>
        <v>0</v>
      </c>
      <c r="H2870" s="16">
        <f t="shared" si="89"/>
        <v>705525.2008089415</v>
      </c>
    </row>
    <row r="2871" spans="2:8" hidden="1" x14ac:dyDescent="0.4">
      <c r="B2871" s="1">
        <v>45420</v>
      </c>
      <c r="C2871" s="16">
        <f>SUMIF(매도완료!$G:$G,Sheet2!$B2871,매도완료!$P:$P)+SUMIF(ING!$G:$G,Sheet2!$B2871,ING!$P:$P)</f>
        <v>0</v>
      </c>
      <c r="D2871" s="16">
        <f>SUMIF(매도완료!$J:$J,Sheet2!$B2871,매도완료!$P:$P)+SUMIF(ING!$J:$J,Sheet2!$B2871,ING!$P:$P)</f>
        <v>0</v>
      </c>
      <c r="E2871" s="16">
        <f t="shared" si="88"/>
        <v>92203841.132399991</v>
      </c>
      <c r="G2871" s="16">
        <f>IF(D2871=0,0,SUMIF(매도완료!$J:$J,Sheet2!$B2871,매도완료!$S:$S))+IF(D2871=0,0,SUMIF(ING!$J:$J,Sheet2!$B2871,ING!$S:$S))</f>
        <v>0</v>
      </c>
      <c r="H2871" s="16">
        <f t="shared" si="89"/>
        <v>705525.2008089415</v>
      </c>
    </row>
    <row r="2872" spans="2:8" hidden="1" x14ac:dyDescent="0.4">
      <c r="B2872" s="1">
        <v>45421</v>
      </c>
      <c r="C2872" s="16">
        <f>SUMIF(매도완료!$G:$G,Sheet2!$B2872,매도완료!$P:$P)+SUMIF(ING!$G:$G,Sheet2!$B2872,ING!$P:$P)</f>
        <v>0</v>
      </c>
      <c r="D2872" s="16">
        <f>SUMIF(매도완료!$J:$J,Sheet2!$B2872,매도완료!$P:$P)+SUMIF(ING!$J:$J,Sheet2!$B2872,ING!$P:$P)</f>
        <v>0</v>
      </c>
      <c r="E2872" s="16">
        <f t="shared" si="88"/>
        <v>92203841.132399991</v>
      </c>
      <c r="G2872" s="16">
        <f>IF(D2872=0,0,SUMIF(매도완료!$J:$J,Sheet2!$B2872,매도완료!$S:$S))+IF(D2872=0,0,SUMIF(ING!$J:$J,Sheet2!$B2872,ING!$S:$S))</f>
        <v>0</v>
      </c>
      <c r="H2872" s="16">
        <f t="shared" si="89"/>
        <v>705525.2008089415</v>
      </c>
    </row>
    <row r="2873" spans="2:8" hidden="1" x14ac:dyDescent="0.4">
      <c r="B2873" s="1">
        <v>45422</v>
      </c>
      <c r="C2873" s="16">
        <f>SUMIF(매도완료!$G:$G,Sheet2!$B2873,매도완료!$P:$P)+SUMIF(ING!$G:$G,Sheet2!$B2873,ING!$P:$P)</f>
        <v>0</v>
      </c>
      <c r="D2873" s="16">
        <f>SUMIF(매도완료!$J:$J,Sheet2!$B2873,매도완료!$P:$P)+SUMIF(ING!$J:$J,Sheet2!$B2873,ING!$P:$P)</f>
        <v>0</v>
      </c>
      <c r="E2873" s="16">
        <f t="shared" si="88"/>
        <v>92203841.132399991</v>
      </c>
      <c r="G2873" s="16">
        <f>IF(D2873=0,0,SUMIF(매도완료!$J:$J,Sheet2!$B2873,매도완료!$S:$S))+IF(D2873=0,0,SUMIF(ING!$J:$J,Sheet2!$B2873,ING!$S:$S))</f>
        <v>0</v>
      </c>
      <c r="H2873" s="16">
        <f t="shared" si="89"/>
        <v>705525.2008089415</v>
      </c>
    </row>
    <row r="2874" spans="2:8" hidden="1" x14ac:dyDescent="0.4">
      <c r="B2874" s="1">
        <v>45423</v>
      </c>
      <c r="C2874" s="16">
        <f>SUMIF(매도완료!$G:$G,Sheet2!$B2874,매도완료!$P:$P)+SUMIF(ING!$G:$G,Sheet2!$B2874,ING!$P:$P)</f>
        <v>0</v>
      </c>
      <c r="D2874" s="16">
        <f>SUMIF(매도완료!$J:$J,Sheet2!$B2874,매도완료!$P:$P)+SUMIF(ING!$J:$J,Sheet2!$B2874,ING!$P:$P)</f>
        <v>0</v>
      </c>
      <c r="E2874" s="16">
        <f t="shared" si="88"/>
        <v>92203841.132399991</v>
      </c>
      <c r="G2874" s="16">
        <f>IF(D2874=0,0,SUMIF(매도완료!$J:$J,Sheet2!$B2874,매도완료!$S:$S))+IF(D2874=0,0,SUMIF(ING!$J:$J,Sheet2!$B2874,ING!$S:$S))</f>
        <v>0</v>
      </c>
      <c r="H2874" s="16">
        <f t="shared" si="89"/>
        <v>705525.2008089415</v>
      </c>
    </row>
    <row r="2875" spans="2:8" hidden="1" x14ac:dyDescent="0.4">
      <c r="B2875" s="1">
        <v>45424</v>
      </c>
      <c r="C2875" s="16">
        <f>SUMIF(매도완료!$G:$G,Sheet2!$B2875,매도완료!$P:$P)+SUMIF(ING!$G:$G,Sheet2!$B2875,ING!$P:$P)</f>
        <v>0</v>
      </c>
      <c r="D2875" s="16">
        <f>SUMIF(매도완료!$J:$J,Sheet2!$B2875,매도완료!$P:$P)+SUMIF(ING!$J:$J,Sheet2!$B2875,ING!$P:$P)</f>
        <v>0</v>
      </c>
      <c r="E2875" s="16">
        <f t="shared" si="88"/>
        <v>92203841.132399991</v>
      </c>
      <c r="G2875" s="16">
        <f>IF(D2875=0,0,SUMIF(매도완료!$J:$J,Sheet2!$B2875,매도완료!$S:$S))+IF(D2875=0,0,SUMIF(ING!$J:$J,Sheet2!$B2875,ING!$S:$S))</f>
        <v>0</v>
      </c>
      <c r="H2875" s="16">
        <f t="shared" si="89"/>
        <v>705525.2008089415</v>
      </c>
    </row>
    <row r="2876" spans="2:8" hidden="1" x14ac:dyDescent="0.4">
      <c r="B2876" s="1">
        <v>45425</v>
      </c>
      <c r="C2876" s="16">
        <f>SUMIF(매도완료!$G:$G,Sheet2!$B2876,매도완료!$P:$P)+SUMIF(ING!$G:$G,Sheet2!$B2876,ING!$P:$P)</f>
        <v>0</v>
      </c>
      <c r="D2876" s="16">
        <f>SUMIF(매도완료!$J:$J,Sheet2!$B2876,매도완료!$P:$P)+SUMIF(ING!$J:$J,Sheet2!$B2876,ING!$P:$P)</f>
        <v>0</v>
      </c>
      <c r="E2876" s="16">
        <f t="shared" si="88"/>
        <v>92203841.132399991</v>
      </c>
      <c r="G2876" s="16">
        <f>IF(D2876=0,0,SUMIF(매도완료!$J:$J,Sheet2!$B2876,매도완료!$S:$S))+IF(D2876=0,0,SUMIF(ING!$J:$J,Sheet2!$B2876,ING!$S:$S))</f>
        <v>0</v>
      </c>
      <c r="H2876" s="16">
        <f t="shared" si="89"/>
        <v>705525.2008089415</v>
      </c>
    </row>
    <row r="2877" spans="2:8" hidden="1" x14ac:dyDescent="0.4">
      <c r="B2877" s="1">
        <v>45426</v>
      </c>
      <c r="C2877" s="16">
        <f>SUMIF(매도완료!$G:$G,Sheet2!$B2877,매도완료!$P:$P)+SUMIF(ING!$G:$G,Sheet2!$B2877,ING!$P:$P)</f>
        <v>0</v>
      </c>
      <c r="D2877" s="16">
        <f>SUMIF(매도완료!$J:$J,Sheet2!$B2877,매도완료!$P:$P)+SUMIF(ING!$J:$J,Sheet2!$B2877,ING!$P:$P)</f>
        <v>0</v>
      </c>
      <c r="E2877" s="16">
        <f t="shared" si="88"/>
        <v>92203841.132399991</v>
      </c>
      <c r="G2877" s="16">
        <f>IF(D2877=0,0,SUMIF(매도완료!$J:$J,Sheet2!$B2877,매도완료!$S:$S))+IF(D2877=0,0,SUMIF(ING!$J:$J,Sheet2!$B2877,ING!$S:$S))</f>
        <v>0</v>
      </c>
      <c r="H2877" s="16">
        <f t="shared" si="89"/>
        <v>705525.2008089415</v>
      </c>
    </row>
    <row r="2878" spans="2:8" hidden="1" x14ac:dyDescent="0.4">
      <c r="B2878" s="1">
        <v>45427</v>
      </c>
      <c r="C2878" s="16">
        <f>SUMIF(매도완료!$G:$G,Sheet2!$B2878,매도완료!$P:$P)+SUMIF(ING!$G:$G,Sheet2!$B2878,ING!$P:$P)</f>
        <v>0</v>
      </c>
      <c r="D2878" s="16">
        <f>SUMIF(매도완료!$J:$J,Sheet2!$B2878,매도완료!$P:$P)+SUMIF(ING!$J:$J,Sheet2!$B2878,ING!$P:$P)</f>
        <v>0</v>
      </c>
      <c r="E2878" s="16">
        <f t="shared" si="88"/>
        <v>92203841.132399991</v>
      </c>
      <c r="G2878" s="16">
        <f>IF(D2878=0,0,SUMIF(매도완료!$J:$J,Sheet2!$B2878,매도완료!$S:$S))+IF(D2878=0,0,SUMIF(ING!$J:$J,Sheet2!$B2878,ING!$S:$S))</f>
        <v>0</v>
      </c>
      <c r="H2878" s="16">
        <f t="shared" si="89"/>
        <v>705525.2008089415</v>
      </c>
    </row>
    <row r="2879" spans="2:8" hidden="1" x14ac:dyDescent="0.4">
      <c r="B2879" s="1">
        <v>45428</v>
      </c>
      <c r="C2879" s="16">
        <f>SUMIF(매도완료!$G:$G,Sheet2!$B2879,매도완료!$P:$P)+SUMIF(ING!$G:$G,Sheet2!$B2879,ING!$P:$P)</f>
        <v>0</v>
      </c>
      <c r="D2879" s="16">
        <f>SUMIF(매도완료!$J:$J,Sheet2!$B2879,매도완료!$P:$P)+SUMIF(ING!$J:$J,Sheet2!$B2879,ING!$P:$P)</f>
        <v>0</v>
      </c>
      <c r="E2879" s="16">
        <f t="shared" si="88"/>
        <v>92203841.132399991</v>
      </c>
      <c r="G2879" s="16">
        <f>IF(D2879=0,0,SUMIF(매도완료!$J:$J,Sheet2!$B2879,매도완료!$S:$S))+IF(D2879=0,0,SUMIF(ING!$J:$J,Sheet2!$B2879,ING!$S:$S))</f>
        <v>0</v>
      </c>
      <c r="H2879" s="16">
        <f t="shared" si="89"/>
        <v>705525.2008089415</v>
      </c>
    </row>
    <row r="2880" spans="2:8" hidden="1" x14ac:dyDescent="0.4">
      <c r="B2880" s="1">
        <v>45429</v>
      </c>
      <c r="C2880" s="16">
        <f>SUMIF(매도완료!$G:$G,Sheet2!$B2880,매도완료!$P:$P)+SUMIF(ING!$G:$G,Sheet2!$B2880,ING!$P:$P)</f>
        <v>0</v>
      </c>
      <c r="D2880" s="16">
        <f>SUMIF(매도완료!$J:$J,Sheet2!$B2880,매도완료!$P:$P)+SUMIF(ING!$J:$J,Sheet2!$B2880,ING!$P:$P)</f>
        <v>0</v>
      </c>
      <c r="E2880" s="16">
        <f t="shared" si="88"/>
        <v>92203841.132399991</v>
      </c>
      <c r="G2880" s="16">
        <f>IF(D2880=0,0,SUMIF(매도완료!$J:$J,Sheet2!$B2880,매도완료!$S:$S))+IF(D2880=0,0,SUMIF(ING!$J:$J,Sheet2!$B2880,ING!$S:$S))</f>
        <v>0</v>
      </c>
      <c r="H2880" s="16">
        <f t="shared" si="89"/>
        <v>705525.2008089415</v>
      </c>
    </row>
    <row r="2881" spans="2:8" hidden="1" x14ac:dyDescent="0.4">
      <c r="B2881" s="1">
        <v>45430</v>
      </c>
      <c r="C2881" s="16">
        <f>SUMIF(매도완료!$G:$G,Sheet2!$B2881,매도완료!$P:$P)+SUMIF(ING!$G:$G,Sheet2!$B2881,ING!$P:$P)</f>
        <v>0</v>
      </c>
      <c r="D2881" s="16">
        <f>SUMIF(매도완료!$J:$J,Sheet2!$B2881,매도완료!$P:$P)+SUMIF(ING!$J:$J,Sheet2!$B2881,ING!$P:$P)</f>
        <v>0</v>
      </c>
      <c r="E2881" s="16">
        <f t="shared" si="88"/>
        <v>92203841.132399991</v>
      </c>
      <c r="G2881" s="16">
        <f>IF(D2881=0,0,SUMIF(매도완료!$J:$J,Sheet2!$B2881,매도완료!$S:$S))+IF(D2881=0,0,SUMIF(ING!$J:$J,Sheet2!$B2881,ING!$S:$S))</f>
        <v>0</v>
      </c>
      <c r="H2881" s="16">
        <f t="shared" si="89"/>
        <v>705525.2008089415</v>
      </c>
    </row>
    <row r="2882" spans="2:8" hidden="1" x14ac:dyDescent="0.4">
      <c r="B2882" s="1">
        <v>45431</v>
      </c>
      <c r="C2882" s="16">
        <f>SUMIF(매도완료!$G:$G,Sheet2!$B2882,매도완료!$P:$P)+SUMIF(ING!$G:$G,Sheet2!$B2882,ING!$P:$P)</f>
        <v>0</v>
      </c>
      <c r="D2882" s="16">
        <f>SUMIF(매도완료!$J:$J,Sheet2!$B2882,매도완료!$P:$P)+SUMIF(ING!$J:$J,Sheet2!$B2882,ING!$P:$P)</f>
        <v>0</v>
      </c>
      <c r="E2882" s="16">
        <f t="shared" si="88"/>
        <v>92203841.132399991</v>
      </c>
      <c r="G2882" s="16">
        <f>IF(D2882=0,0,SUMIF(매도완료!$J:$J,Sheet2!$B2882,매도완료!$S:$S))+IF(D2882=0,0,SUMIF(ING!$J:$J,Sheet2!$B2882,ING!$S:$S))</f>
        <v>0</v>
      </c>
      <c r="H2882" s="16">
        <f t="shared" si="89"/>
        <v>705525.2008089415</v>
      </c>
    </row>
    <row r="2883" spans="2:8" hidden="1" x14ac:dyDescent="0.4">
      <c r="B2883" s="1">
        <v>45432</v>
      </c>
      <c r="C2883" s="16">
        <f>SUMIF(매도완료!$G:$G,Sheet2!$B2883,매도완료!$P:$P)+SUMIF(ING!$G:$G,Sheet2!$B2883,ING!$P:$P)</f>
        <v>0</v>
      </c>
      <c r="D2883" s="16">
        <f>SUMIF(매도완료!$J:$J,Sheet2!$B2883,매도완료!$P:$P)+SUMIF(ING!$J:$J,Sheet2!$B2883,ING!$P:$P)</f>
        <v>0</v>
      </c>
      <c r="E2883" s="16">
        <f t="shared" si="88"/>
        <v>92203841.132399991</v>
      </c>
      <c r="G2883" s="16">
        <f>IF(D2883=0,0,SUMIF(매도완료!$J:$J,Sheet2!$B2883,매도완료!$S:$S))+IF(D2883=0,0,SUMIF(ING!$J:$J,Sheet2!$B2883,ING!$S:$S))</f>
        <v>0</v>
      </c>
      <c r="H2883" s="16">
        <f t="shared" si="89"/>
        <v>705525.2008089415</v>
      </c>
    </row>
    <row r="2884" spans="2:8" hidden="1" x14ac:dyDescent="0.4">
      <c r="B2884" s="1">
        <v>45433</v>
      </c>
      <c r="C2884" s="16">
        <f>SUMIF(매도완료!$G:$G,Sheet2!$B2884,매도완료!$P:$P)+SUMIF(ING!$G:$G,Sheet2!$B2884,ING!$P:$P)</f>
        <v>0</v>
      </c>
      <c r="D2884" s="16">
        <f>SUMIF(매도완료!$J:$J,Sheet2!$B2884,매도완료!$P:$P)+SUMIF(ING!$J:$J,Sheet2!$B2884,ING!$P:$P)</f>
        <v>0</v>
      </c>
      <c r="E2884" s="16">
        <f t="shared" ref="E2884:E2947" si="90">E2883+C2884-D2884</f>
        <v>92203841.132399991</v>
      </c>
      <c r="G2884" s="16">
        <f>IF(D2884=0,0,SUMIF(매도완료!$J:$J,Sheet2!$B2884,매도완료!$S:$S))+IF(D2884=0,0,SUMIF(ING!$J:$J,Sheet2!$B2884,ING!$S:$S))</f>
        <v>0</v>
      </c>
      <c r="H2884" s="16">
        <f t="shared" ref="H2884:H2947" si="91">H2883+G2884</f>
        <v>705525.2008089415</v>
      </c>
    </row>
    <row r="2885" spans="2:8" hidden="1" x14ac:dyDescent="0.4">
      <c r="B2885" s="1">
        <v>45434</v>
      </c>
      <c r="C2885" s="16">
        <f>SUMIF(매도완료!$G:$G,Sheet2!$B2885,매도완료!$P:$P)+SUMIF(ING!$G:$G,Sheet2!$B2885,ING!$P:$P)</f>
        <v>0</v>
      </c>
      <c r="D2885" s="16">
        <f>SUMIF(매도완료!$J:$J,Sheet2!$B2885,매도완료!$P:$P)+SUMIF(ING!$J:$J,Sheet2!$B2885,ING!$P:$P)</f>
        <v>0</v>
      </c>
      <c r="E2885" s="16">
        <f t="shared" si="90"/>
        <v>92203841.132399991</v>
      </c>
      <c r="G2885" s="16">
        <f>IF(D2885=0,0,SUMIF(매도완료!$J:$J,Sheet2!$B2885,매도완료!$S:$S))+IF(D2885=0,0,SUMIF(ING!$J:$J,Sheet2!$B2885,ING!$S:$S))</f>
        <v>0</v>
      </c>
      <c r="H2885" s="16">
        <f t="shared" si="91"/>
        <v>705525.2008089415</v>
      </c>
    </row>
    <row r="2886" spans="2:8" hidden="1" x14ac:dyDescent="0.4">
      <c r="B2886" s="1">
        <v>45435</v>
      </c>
      <c r="C2886" s="16">
        <f>SUMIF(매도완료!$G:$G,Sheet2!$B2886,매도완료!$P:$P)+SUMIF(ING!$G:$G,Sheet2!$B2886,ING!$P:$P)</f>
        <v>0</v>
      </c>
      <c r="D2886" s="16">
        <f>SUMIF(매도완료!$J:$J,Sheet2!$B2886,매도완료!$P:$P)+SUMIF(ING!$J:$J,Sheet2!$B2886,ING!$P:$P)</f>
        <v>0</v>
      </c>
      <c r="E2886" s="16">
        <f t="shared" si="90"/>
        <v>92203841.132399991</v>
      </c>
      <c r="G2886" s="16">
        <f>IF(D2886=0,0,SUMIF(매도완료!$J:$J,Sheet2!$B2886,매도완료!$S:$S))+IF(D2886=0,0,SUMIF(ING!$J:$J,Sheet2!$B2886,ING!$S:$S))</f>
        <v>0</v>
      </c>
      <c r="H2886" s="16">
        <f t="shared" si="91"/>
        <v>705525.2008089415</v>
      </c>
    </row>
    <row r="2887" spans="2:8" hidden="1" x14ac:dyDescent="0.4">
      <c r="B2887" s="1">
        <v>45436</v>
      </c>
      <c r="C2887" s="16">
        <f>SUMIF(매도완료!$G:$G,Sheet2!$B2887,매도완료!$P:$P)+SUMIF(ING!$G:$G,Sheet2!$B2887,ING!$P:$P)</f>
        <v>0</v>
      </c>
      <c r="D2887" s="16">
        <f>SUMIF(매도완료!$J:$J,Sheet2!$B2887,매도완료!$P:$P)+SUMIF(ING!$J:$J,Sheet2!$B2887,ING!$P:$P)</f>
        <v>0</v>
      </c>
      <c r="E2887" s="16">
        <f t="shared" si="90"/>
        <v>92203841.132399991</v>
      </c>
      <c r="G2887" s="16">
        <f>IF(D2887=0,0,SUMIF(매도완료!$J:$J,Sheet2!$B2887,매도완료!$S:$S))+IF(D2887=0,0,SUMIF(ING!$J:$J,Sheet2!$B2887,ING!$S:$S))</f>
        <v>0</v>
      </c>
      <c r="H2887" s="16">
        <f t="shared" si="91"/>
        <v>705525.2008089415</v>
      </c>
    </row>
    <row r="2888" spans="2:8" hidden="1" x14ac:dyDescent="0.4">
      <c r="B2888" s="1">
        <v>45437</v>
      </c>
      <c r="C2888" s="16">
        <f>SUMIF(매도완료!$G:$G,Sheet2!$B2888,매도완료!$P:$P)+SUMIF(ING!$G:$G,Sheet2!$B2888,ING!$P:$P)</f>
        <v>0</v>
      </c>
      <c r="D2888" s="16">
        <f>SUMIF(매도완료!$J:$J,Sheet2!$B2888,매도완료!$P:$P)+SUMIF(ING!$J:$J,Sheet2!$B2888,ING!$P:$P)</f>
        <v>0</v>
      </c>
      <c r="E2888" s="16">
        <f t="shared" si="90"/>
        <v>92203841.132399991</v>
      </c>
      <c r="G2888" s="16">
        <f>IF(D2888=0,0,SUMIF(매도완료!$J:$J,Sheet2!$B2888,매도완료!$S:$S))+IF(D2888=0,0,SUMIF(ING!$J:$J,Sheet2!$B2888,ING!$S:$S))</f>
        <v>0</v>
      </c>
      <c r="H2888" s="16">
        <f t="shared" si="91"/>
        <v>705525.2008089415</v>
      </c>
    </row>
    <row r="2889" spans="2:8" hidden="1" x14ac:dyDescent="0.4">
      <c r="B2889" s="1">
        <v>45438</v>
      </c>
      <c r="C2889" s="16">
        <f>SUMIF(매도완료!$G:$G,Sheet2!$B2889,매도완료!$P:$P)+SUMIF(ING!$G:$G,Sheet2!$B2889,ING!$P:$P)</f>
        <v>0</v>
      </c>
      <c r="D2889" s="16">
        <f>SUMIF(매도완료!$J:$J,Sheet2!$B2889,매도완료!$P:$P)+SUMIF(ING!$J:$J,Sheet2!$B2889,ING!$P:$P)</f>
        <v>0</v>
      </c>
      <c r="E2889" s="16">
        <f t="shared" si="90"/>
        <v>92203841.132399991</v>
      </c>
      <c r="G2889" s="16">
        <f>IF(D2889=0,0,SUMIF(매도완료!$J:$J,Sheet2!$B2889,매도완료!$S:$S))+IF(D2889=0,0,SUMIF(ING!$J:$J,Sheet2!$B2889,ING!$S:$S))</f>
        <v>0</v>
      </c>
      <c r="H2889" s="16">
        <f t="shared" si="91"/>
        <v>705525.2008089415</v>
      </c>
    </row>
    <row r="2890" spans="2:8" hidden="1" x14ac:dyDescent="0.4">
      <c r="B2890" s="1">
        <v>45439</v>
      </c>
      <c r="C2890" s="16">
        <f>SUMIF(매도완료!$G:$G,Sheet2!$B2890,매도완료!$P:$P)+SUMIF(ING!$G:$G,Sheet2!$B2890,ING!$P:$P)</f>
        <v>0</v>
      </c>
      <c r="D2890" s="16">
        <f>SUMIF(매도완료!$J:$J,Sheet2!$B2890,매도완료!$P:$P)+SUMIF(ING!$J:$J,Sheet2!$B2890,ING!$P:$P)</f>
        <v>0</v>
      </c>
      <c r="E2890" s="16">
        <f t="shared" si="90"/>
        <v>92203841.132399991</v>
      </c>
      <c r="G2890" s="16">
        <f>IF(D2890=0,0,SUMIF(매도완료!$J:$J,Sheet2!$B2890,매도완료!$S:$S))+IF(D2890=0,0,SUMIF(ING!$J:$J,Sheet2!$B2890,ING!$S:$S))</f>
        <v>0</v>
      </c>
      <c r="H2890" s="16">
        <f t="shared" si="91"/>
        <v>705525.2008089415</v>
      </c>
    </row>
    <row r="2891" spans="2:8" hidden="1" x14ac:dyDescent="0.4">
      <c r="B2891" s="1">
        <v>45440</v>
      </c>
      <c r="C2891" s="16">
        <f>SUMIF(매도완료!$G:$G,Sheet2!$B2891,매도완료!$P:$P)+SUMIF(ING!$G:$G,Sheet2!$B2891,ING!$P:$P)</f>
        <v>0</v>
      </c>
      <c r="D2891" s="16">
        <f>SUMIF(매도완료!$J:$J,Sheet2!$B2891,매도완료!$P:$P)+SUMIF(ING!$J:$J,Sheet2!$B2891,ING!$P:$P)</f>
        <v>0</v>
      </c>
      <c r="E2891" s="16">
        <f t="shared" si="90"/>
        <v>92203841.132399991</v>
      </c>
      <c r="G2891" s="16">
        <f>IF(D2891=0,0,SUMIF(매도완료!$J:$J,Sheet2!$B2891,매도완료!$S:$S))+IF(D2891=0,0,SUMIF(ING!$J:$J,Sheet2!$B2891,ING!$S:$S))</f>
        <v>0</v>
      </c>
      <c r="H2891" s="16">
        <f t="shared" si="91"/>
        <v>705525.2008089415</v>
      </c>
    </row>
    <row r="2892" spans="2:8" hidden="1" x14ac:dyDescent="0.4">
      <c r="B2892" s="1">
        <v>45441</v>
      </c>
      <c r="C2892" s="16">
        <f>SUMIF(매도완료!$G:$G,Sheet2!$B2892,매도완료!$P:$P)+SUMIF(ING!$G:$G,Sheet2!$B2892,ING!$P:$P)</f>
        <v>0</v>
      </c>
      <c r="D2892" s="16">
        <f>SUMIF(매도완료!$J:$J,Sheet2!$B2892,매도완료!$P:$P)+SUMIF(ING!$J:$J,Sheet2!$B2892,ING!$P:$P)</f>
        <v>0</v>
      </c>
      <c r="E2892" s="16">
        <f t="shared" si="90"/>
        <v>92203841.132399991</v>
      </c>
      <c r="G2892" s="16">
        <f>IF(D2892=0,0,SUMIF(매도완료!$J:$J,Sheet2!$B2892,매도완료!$S:$S))+IF(D2892=0,0,SUMIF(ING!$J:$J,Sheet2!$B2892,ING!$S:$S))</f>
        <v>0</v>
      </c>
      <c r="H2892" s="16">
        <f t="shared" si="91"/>
        <v>705525.2008089415</v>
      </c>
    </row>
    <row r="2893" spans="2:8" hidden="1" x14ac:dyDescent="0.4">
      <c r="B2893" s="1">
        <v>45442</v>
      </c>
      <c r="C2893" s="16">
        <f>SUMIF(매도완료!$G:$G,Sheet2!$B2893,매도완료!$P:$P)+SUMIF(ING!$G:$G,Sheet2!$B2893,ING!$P:$P)</f>
        <v>0</v>
      </c>
      <c r="D2893" s="16">
        <f>SUMIF(매도완료!$J:$J,Sheet2!$B2893,매도완료!$P:$P)+SUMIF(ING!$J:$J,Sheet2!$B2893,ING!$P:$P)</f>
        <v>0</v>
      </c>
      <c r="E2893" s="16">
        <f t="shared" si="90"/>
        <v>92203841.132399991</v>
      </c>
      <c r="G2893" s="16">
        <f>IF(D2893=0,0,SUMIF(매도완료!$J:$J,Sheet2!$B2893,매도완료!$S:$S))+IF(D2893=0,0,SUMIF(ING!$J:$J,Sheet2!$B2893,ING!$S:$S))</f>
        <v>0</v>
      </c>
      <c r="H2893" s="16">
        <f t="shared" si="91"/>
        <v>705525.2008089415</v>
      </c>
    </row>
    <row r="2894" spans="2:8" ht="15.75" hidden="1" customHeight="1" x14ac:dyDescent="0.4">
      <c r="B2894" s="1">
        <v>45443</v>
      </c>
      <c r="C2894" s="16">
        <f>SUMIF(매도완료!$G:$G,Sheet2!$B2894,매도완료!$P:$P)+SUMIF(ING!$G:$G,Sheet2!$B2894,ING!$P:$P)</f>
        <v>0</v>
      </c>
      <c r="D2894" s="16">
        <f>SUMIF(매도완료!$J:$J,Sheet2!$B2894,매도완료!$P:$P)+SUMIF(ING!$J:$J,Sheet2!$B2894,ING!$P:$P)</f>
        <v>0</v>
      </c>
      <c r="E2894" s="16">
        <f t="shared" si="90"/>
        <v>92203841.132399991</v>
      </c>
      <c r="G2894" s="16">
        <f>IF(D2894=0,0,SUMIF(매도완료!$J:$J,Sheet2!$B2894,매도완료!$S:$S))+IF(D2894=0,0,SUMIF(ING!$J:$J,Sheet2!$B2894,ING!$S:$S))</f>
        <v>0</v>
      </c>
      <c r="H2894" s="16">
        <f t="shared" si="91"/>
        <v>705525.2008089415</v>
      </c>
    </row>
    <row r="2895" spans="2:8" hidden="1" x14ac:dyDescent="0.4">
      <c r="B2895" s="1">
        <v>45444</v>
      </c>
      <c r="C2895" s="16">
        <f>SUMIF(매도완료!$G:$G,Sheet2!$B2895,매도완료!$P:$P)+SUMIF(ING!$G:$G,Sheet2!$B2895,ING!$P:$P)</f>
        <v>0</v>
      </c>
      <c r="D2895" s="16">
        <f>SUMIF(매도완료!$J:$J,Sheet2!$B2895,매도완료!$P:$P)+SUMIF(ING!$J:$J,Sheet2!$B2895,ING!$P:$P)</f>
        <v>0</v>
      </c>
      <c r="E2895" s="16">
        <f t="shared" si="90"/>
        <v>92203841.132399991</v>
      </c>
      <c r="G2895" s="16">
        <f>IF(D2895=0,0,SUMIF(매도완료!$J:$J,Sheet2!$B2895,매도완료!$S:$S))+IF(D2895=0,0,SUMIF(ING!$J:$J,Sheet2!$B2895,ING!$S:$S))</f>
        <v>0</v>
      </c>
      <c r="H2895" s="16">
        <f t="shared" si="91"/>
        <v>705525.2008089415</v>
      </c>
    </row>
    <row r="2896" spans="2:8" hidden="1" x14ac:dyDescent="0.4">
      <c r="B2896" s="1">
        <v>45445</v>
      </c>
      <c r="C2896" s="16">
        <f>SUMIF(매도완료!$G:$G,Sheet2!$B2896,매도완료!$P:$P)+SUMIF(ING!$G:$G,Sheet2!$B2896,ING!$P:$P)</f>
        <v>0</v>
      </c>
      <c r="D2896" s="16">
        <f>SUMIF(매도완료!$J:$J,Sheet2!$B2896,매도완료!$P:$P)+SUMIF(ING!$J:$J,Sheet2!$B2896,ING!$P:$P)</f>
        <v>0</v>
      </c>
      <c r="E2896" s="16">
        <f t="shared" si="90"/>
        <v>92203841.132399991</v>
      </c>
      <c r="G2896" s="16">
        <f>IF(D2896=0,0,SUMIF(매도완료!$J:$J,Sheet2!$B2896,매도완료!$S:$S))+IF(D2896=0,0,SUMIF(ING!$J:$J,Sheet2!$B2896,ING!$S:$S))</f>
        <v>0</v>
      </c>
      <c r="H2896" s="16">
        <f t="shared" si="91"/>
        <v>705525.2008089415</v>
      </c>
    </row>
    <row r="2897" spans="2:8" hidden="1" x14ac:dyDescent="0.4">
      <c r="B2897" s="1">
        <v>45446</v>
      </c>
      <c r="C2897" s="16">
        <f>SUMIF(매도완료!$G:$G,Sheet2!$B2897,매도완료!$P:$P)+SUMIF(ING!$G:$G,Sheet2!$B2897,ING!$P:$P)</f>
        <v>0</v>
      </c>
      <c r="D2897" s="16">
        <f>SUMIF(매도완료!$J:$J,Sheet2!$B2897,매도완료!$P:$P)+SUMIF(ING!$J:$J,Sheet2!$B2897,ING!$P:$P)</f>
        <v>0</v>
      </c>
      <c r="E2897" s="16">
        <f t="shared" si="90"/>
        <v>92203841.132399991</v>
      </c>
      <c r="G2897" s="16">
        <f>IF(D2897=0,0,SUMIF(매도완료!$J:$J,Sheet2!$B2897,매도완료!$S:$S))+IF(D2897=0,0,SUMIF(ING!$J:$J,Sheet2!$B2897,ING!$S:$S))</f>
        <v>0</v>
      </c>
      <c r="H2897" s="16">
        <f t="shared" si="91"/>
        <v>705525.2008089415</v>
      </c>
    </row>
    <row r="2898" spans="2:8" hidden="1" x14ac:dyDescent="0.4">
      <c r="B2898" s="1">
        <v>45447</v>
      </c>
      <c r="C2898" s="16">
        <f>SUMIF(매도완료!$G:$G,Sheet2!$B2898,매도완료!$P:$P)+SUMIF(ING!$G:$G,Sheet2!$B2898,ING!$P:$P)</f>
        <v>0</v>
      </c>
      <c r="D2898" s="16">
        <f>SUMIF(매도완료!$J:$J,Sheet2!$B2898,매도완료!$P:$P)+SUMIF(ING!$J:$J,Sheet2!$B2898,ING!$P:$P)</f>
        <v>0</v>
      </c>
      <c r="E2898" s="16">
        <f t="shared" si="90"/>
        <v>92203841.132399991</v>
      </c>
      <c r="G2898" s="16">
        <f>IF(D2898=0,0,SUMIF(매도완료!$J:$J,Sheet2!$B2898,매도완료!$S:$S))+IF(D2898=0,0,SUMIF(ING!$J:$J,Sheet2!$B2898,ING!$S:$S))</f>
        <v>0</v>
      </c>
      <c r="H2898" s="16">
        <f t="shared" si="91"/>
        <v>705525.2008089415</v>
      </c>
    </row>
    <row r="2899" spans="2:8" hidden="1" x14ac:dyDescent="0.4">
      <c r="B2899" s="1">
        <v>45448</v>
      </c>
      <c r="C2899" s="16">
        <f>SUMIF(매도완료!$G:$G,Sheet2!$B2899,매도완료!$P:$P)+SUMIF(ING!$G:$G,Sheet2!$B2899,ING!$P:$P)</f>
        <v>0</v>
      </c>
      <c r="D2899" s="16">
        <f>SUMIF(매도완료!$J:$J,Sheet2!$B2899,매도완료!$P:$P)+SUMIF(ING!$J:$J,Sheet2!$B2899,ING!$P:$P)</f>
        <v>0</v>
      </c>
      <c r="E2899" s="16">
        <f t="shared" si="90"/>
        <v>92203841.132399991</v>
      </c>
      <c r="G2899" s="16">
        <f>IF(D2899=0,0,SUMIF(매도완료!$J:$J,Sheet2!$B2899,매도완료!$S:$S))+IF(D2899=0,0,SUMIF(ING!$J:$J,Sheet2!$B2899,ING!$S:$S))</f>
        <v>0</v>
      </c>
      <c r="H2899" s="16">
        <f t="shared" si="91"/>
        <v>705525.2008089415</v>
      </c>
    </row>
    <row r="2900" spans="2:8" hidden="1" x14ac:dyDescent="0.4">
      <c r="B2900" s="1">
        <v>45449</v>
      </c>
      <c r="C2900" s="16">
        <f>SUMIF(매도완료!$G:$G,Sheet2!$B2900,매도완료!$P:$P)+SUMIF(ING!$G:$G,Sheet2!$B2900,ING!$P:$P)</f>
        <v>0</v>
      </c>
      <c r="D2900" s="16">
        <f>SUMIF(매도완료!$J:$J,Sheet2!$B2900,매도완료!$P:$P)+SUMIF(ING!$J:$J,Sheet2!$B2900,ING!$P:$P)</f>
        <v>0</v>
      </c>
      <c r="E2900" s="16">
        <f t="shared" si="90"/>
        <v>92203841.132399991</v>
      </c>
      <c r="G2900" s="16">
        <f>IF(D2900=0,0,SUMIF(매도완료!$J:$J,Sheet2!$B2900,매도완료!$S:$S))+IF(D2900=0,0,SUMIF(ING!$J:$J,Sheet2!$B2900,ING!$S:$S))</f>
        <v>0</v>
      </c>
      <c r="H2900" s="16">
        <f t="shared" si="91"/>
        <v>705525.2008089415</v>
      </c>
    </row>
    <row r="2901" spans="2:8" hidden="1" x14ac:dyDescent="0.4">
      <c r="B2901" s="1">
        <v>45450</v>
      </c>
      <c r="C2901" s="16">
        <f>SUMIF(매도완료!$G:$G,Sheet2!$B2901,매도완료!$P:$P)+SUMIF(ING!$G:$G,Sheet2!$B2901,ING!$P:$P)</f>
        <v>0</v>
      </c>
      <c r="D2901" s="16">
        <f>SUMIF(매도완료!$J:$J,Sheet2!$B2901,매도완료!$P:$P)+SUMIF(ING!$J:$J,Sheet2!$B2901,ING!$P:$P)</f>
        <v>0</v>
      </c>
      <c r="E2901" s="16">
        <f t="shared" si="90"/>
        <v>92203841.132399991</v>
      </c>
      <c r="G2901" s="16">
        <f>IF(D2901=0,0,SUMIF(매도완료!$J:$J,Sheet2!$B2901,매도완료!$S:$S))+IF(D2901=0,0,SUMIF(ING!$J:$J,Sheet2!$B2901,ING!$S:$S))</f>
        <v>0</v>
      </c>
      <c r="H2901" s="16">
        <f t="shared" si="91"/>
        <v>705525.2008089415</v>
      </c>
    </row>
    <row r="2902" spans="2:8" hidden="1" x14ac:dyDescent="0.4">
      <c r="B2902" s="1">
        <v>45451</v>
      </c>
      <c r="C2902" s="16">
        <f>SUMIF(매도완료!$G:$G,Sheet2!$B2902,매도완료!$P:$P)+SUMIF(ING!$G:$G,Sheet2!$B2902,ING!$P:$P)</f>
        <v>0</v>
      </c>
      <c r="D2902" s="16">
        <f>SUMIF(매도완료!$J:$J,Sheet2!$B2902,매도완료!$P:$P)+SUMIF(ING!$J:$J,Sheet2!$B2902,ING!$P:$P)</f>
        <v>0</v>
      </c>
      <c r="E2902" s="16">
        <f t="shared" si="90"/>
        <v>92203841.132399991</v>
      </c>
      <c r="G2902" s="16">
        <f>IF(D2902=0,0,SUMIF(매도완료!$J:$J,Sheet2!$B2902,매도완료!$S:$S))+IF(D2902=0,0,SUMIF(ING!$J:$J,Sheet2!$B2902,ING!$S:$S))</f>
        <v>0</v>
      </c>
      <c r="H2902" s="16">
        <f t="shared" si="91"/>
        <v>705525.2008089415</v>
      </c>
    </row>
    <row r="2903" spans="2:8" hidden="1" x14ac:dyDescent="0.4">
      <c r="B2903" s="1">
        <v>45452</v>
      </c>
      <c r="C2903" s="16">
        <f>SUMIF(매도완료!$G:$G,Sheet2!$B2903,매도완료!$P:$P)+SUMIF(ING!$G:$G,Sheet2!$B2903,ING!$P:$P)</f>
        <v>0</v>
      </c>
      <c r="D2903" s="16">
        <f>SUMIF(매도완료!$J:$J,Sheet2!$B2903,매도완료!$P:$P)+SUMIF(ING!$J:$J,Sheet2!$B2903,ING!$P:$P)</f>
        <v>0</v>
      </c>
      <c r="E2903" s="16">
        <f t="shared" si="90"/>
        <v>92203841.132399991</v>
      </c>
      <c r="G2903" s="16">
        <f>IF(D2903=0,0,SUMIF(매도완료!$J:$J,Sheet2!$B2903,매도완료!$S:$S))+IF(D2903=0,0,SUMIF(ING!$J:$J,Sheet2!$B2903,ING!$S:$S))</f>
        <v>0</v>
      </c>
      <c r="H2903" s="16">
        <f t="shared" si="91"/>
        <v>705525.2008089415</v>
      </c>
    </row>
    <row r="2904" spans="2:8" hidden="1" x14ac:dyDescent="0.4">
      <c r="B2904" s="1">
        <v>45453</v>
      </c>
      <c r="C2904" s="16">
        <f>SUMIF(매도완료!$G:$G,Sheet2!$B2904,매도완료!$P:$P)+SUMIF(ING!$G:$G,Sheet2!$B2904,ING!$P:$P)</f>
        <v>0</v>
      </c>
      <c r="D2904" s="16">
        <f>SUMIF(매도완료!$J:$J,Sheet2!$B2904,매도완료!$P:$P)+SUMIF(ING!$J:$J,Sheet2!$B2904,ING!$P:$P)</f>
        <v>0</v>
      </c>
      <c r="E2904" s="16">
        <f t="shared" si="90"/>
        <v>92203841.132399991</v>
      </c>
      <c r="G2904" s="16">
        <f>IF(D2904=0,0,SUMIF(매도완료!$J:$J,Sheet2!$B2904,매도완료!$S:$S))+IF(D2904=0,0,SUMIF(ING!$J:$J,Sheet2!$B2904,ING!$S:$S))</f>
        <v>0</v>
      </c>
      <c r="H2904" s="16">
        <f t="shared" si="91"/>
        <v>705525.2008089415</v>
      </c>
    </row>
    <row r="2905" spans="2:8" hidden="1" x14ac:dyDescent="0.4">
      <c r="B2905" s="1">
        <v>45454</v>
      </c>
      <c r="C2905" s="16">
        <f>SUMIF(매도완료!$G:$G,Sheet2!$B2905,매도완료!$P:$P)+SUMIF(ING!$G:$G,Sheet2!$B2905,ING!$P:$P)</f>
        <v>0</v>
      </c>
      <c r="D2905" s="16">
        <f>SUMIF(매도완료!$J:$J,Sheet2!$B2905,매도완료!$P:$P)+SUMIF(ING!$J:$J,Sheet2!$B2905,ING!$P:$P)</f>
        <v>0</v>
      </c>
      <c r="E2905" s="16">
        <f t="shared" si="90"/>
        <v>92203841.132399991</v>
      </c>
      <c r="G2905" s="16">
        <f>IF(D2905=0,0,SUMIF(매도완료!$J:$J,Sheet2!$B2905,매도완료!$S:$S))+IF(D2905=0,0,SUMIF(ING!$J:$J,Sheet2!$B2905,ING!$S:$S))</f>
        <v>0</v>
      </c>
      <c r="H2905" s="16">
        <f t="shared" si="91"/>
        <v>705525.2008089415</v>
      </c>
    </row>
    <row r="2906" spans="2:8" hidden="1" x14ac:dyDescent="0.4">
      <c r="B2906" s="1">
        <v>45455</v>
      </c>
      <c r="C2906" s="16">
        <f>SUMIF(매도완료!$G:$G,Sheet2!$B2906,매도완료!$P:$P)+SUMIF(ING!$G:$G,Sheet2!$B2906,ING!$P:$P)</f>
        <v>0</v>
      </c>
      <c r="D2906" s="16">
        <f>SUMIF(매도완료!$J:$J,Sheet2!$B2906,매도완료!$P:$P)+SUMIF(ING!$J:$J,Sheet2!$B2906,ING!$P:$P)</f>
        <v>0</v>
      </c>
      <c r="E2906" s="16">
        <f t="shared" si="90"/>
        <v>92203841.132399991</v>
      </c>
      <c r="G2906" s="16">
        <f>IF(D2906=0,0,SUMIF(매도완료!$J:$J,Sheet2!$B2906,매도완료!$S:$S))+IF(D2906=0,0,SUMIF(ING!$J:$J,Sheet2!$B2906,ING!$S:$S))</f>
        <v>0</v>
      </c>
      <c r="H2906" s="16">
        <f t="shared" si="91"/>
        <v>705525.2008089415</v>
      </c>
    </row>
    <row r="2907" spans="2:8" hidden="1" x14ac:dyDescent="0.4">
      <c r="B2907" s="1">
        <v>45456</v>
      </c>
      <c r="C2907" s="16">
        <f>SUMIF(매도완료!$G:$G,Sheet2!$B2907,매도완료!$P:$P)+SUMIF(ING!$G:$G,Sheet2!$B2907,ING!$P:$P)</f>
        <v>0</v>
      </c>
      <c r="D2907" s="16">
        <f>SUMIF(매도완료!$J:$J,Sheet2!$B2907,매도완료!$P:$P)+SUMIF(ING!$J:$J,Sheet2!$B2907,ING!$P:$P)</f>
        <v>0</v>
      </c>
      <c r="E2907" s="16">
        <f t="shared" si="90"/>
        <v>92203841.132399991</v>
      </c>
      <c r="G2907" s="16">
        <f>IF(D2907=0,0,SUMIF(매도완료!$J:$J,Sheet2!$B2907,매도완료!$S:$S))+IF(D2907=0,0,SUMIF(ING!$J:$J,Sheet2!$B2907,ING!$S:$S))</f>
        <v>0</v>
      </c>
      <c r="H2907" s="16">
        <f t="shared" si="91"/>
        <v>705525.2008089415</v>
      </c>
    </row>
    <row r="2908" spans="2:8" hidden="1" x14ac:dyDescent="0.4">
      <c r="B2908" s="1">
        <v>45457</v>
      </c>
      <c r="C2908" s="16">
        <f>SUMIF(매도완료!$G:$G,Sheet2!$B2908,매도완료!$P:$P)+SUMIF(ING!$G:$G,Sheet2!$B2908,ING!$P:$P)</f>
        <v>0</v>
      </c>
      <c r="D2908" s="16">
        <f>SUMIF(매도완료!$J:$J,Sheet2!$B2908,매도완료!$P:$P)+SUMIF(ING!$J:$J,Sheet2!$B2908,ING!$P:$P)</f>
        <v>0</v>
      </c>
      <c r="E2908" s="16">
        <f t="shared" si="90"/>
        <v>92203841.132399991</v>
      </c>
      <c r="G2908" s="16">
        <f>IF(D2908=0,0,SUMIF(매도완료!$J:$J,Sheet2!$B2908,매도완료!$S:$S))+IF(D2908=0,0,SUMIF(ING!$J:$J,Sheet2!$B2908,ING!$S:$S))</f>
        <v>0</v>
      </c>
      <c r="H2908" s="16">
        <f t="shared" si="91"/>
        <v>705525.2008089415</v>
      </c>
    </row>
    <row r="2909" spans="2:8" hidden="1" x14ac:dyDescent="0.4">
      <c r="B2909" s="1">
        <v>45458</v>
      </c>
      <c r="C2909" s="16">
        <f>SUMIF(매도완료!$G:$G,Sheet2!$B2909,매도완료!$P:$P)+SUMIF(ING!$G:$G,Sheet2!$B2909,ING!$P:$P)</f>
        <v>0</v>
      </c>
      <c r="D2909" s="16">
        <f>SUMIF(매도완료!$J:$J,Sheet2!$B2909,매도완료!$P:$P)+SUMIF(ING!$J:$J,Sheet2!$B2909,ING!$P:$P)</f>
        <v>0</v>
      </c>
      <c r="E2909" s="16">
        <f t="shared" si="90"/>
        <v>92203841.132399991</v>
      </c>
      <c r="G2909" s="16">
        <f>IF(D2909=0,0,SUMIF(매도완료!$J:$J,Sheet2!$B2909,매도완료!$S:$S))+IF(D2909=0,0,SUMIF(ING!$J:$J,Sheet2!$B2909,ING!$S:$S))</f>
        <v>0</v>
      </c>
      <c r="H2909" s="16">
        <f t="shared" si="91"/>
        <v>705525.2008089415</v>
      </c>
    </row>
    <row r="2910" spans="2:8" hidden="1" x14ac:dyDescent="0.4">
      <c r="B2910" s="1">
        <v>45459</v>
      </c>
      <c r="C2910" s="16">
        <f>SUMIF(매도완료!$G:$G,Sheet2!$B2910,매도완료!$P:$P)+SUMIF(ING!$G:$G,Sheet2!$B2910,ING!$P:$P)</f>
        <v>0</v>
      </c>
      <c r="D2910" s="16">
        <f>SUMIF(매도완료!$J:$J,Sheet2!$B2910,매도완료!$P:$P)+SUMIF(ING!$J:$J,Sheet2!$B2910,ING!$P:$P)</f>
        <v>0</v>
      </c>
      <c r="E2910" s="16">
        <f t="shared" si="90"/>
        <v>92203841.132399991</v>
      </c>
      <c r="G2910" s="16">
        <f>IF(D2910=0,0,SUMIF(매도완료!$J:$J,Sheet2!$B2910,매도완료!$S:$S))+IF(D2910=0,0,SUMIF(ING!$J:$J,Sheet2!$B2910,ING!$S:$S))</f>
        <v>0</v>
      </c>
      <c r="H2910" s="16">
        <f t="shared" si="91"/>
        <v>705525.2008089415</v>
      </c>
    </row>
    <row r="2911" spans="2:8" hidden="1" x14ac:dyDescent="0.4">
      <c r="B2911" s="1">
        <v>45460</v>
      </c>
      <c r="C2911" s="16">
        <f>SUMIF(매도완료!$G:$G,Sheet2!$B2911,매도완료!$P:$P)+SUMIF(ING!$G:$G,Sheet2!$B2911,ING!$P:$P)</f>
        <v>0</v>
      </c>
      <c r="D2911" s="16">
        <f>SUMIF(매도완료!$J:$J,Sheet2!$B2911,매도완료!$P:$P)+SUMIF(ING!$J:$J,Sheet2!$B2911,ING!$P:$P)</f>
        <v>0</v>
      </c>
      <c r="E2911" s="16">
        <f t="shared" si="90"/>
        <v>92203841.132399991</v>
      </c>
      <c r="G2911" s="16">
        <f>IF(D2911=0,0,SUMIF(매도완료!$J:$J,Sheet2!$B2911,매도완료!$S:$S))+IF(D2911=0,0,SUMIF(ING!$J:$J,Sheet2!$B2911,ING!$S:$S))</f>
        <v>0</v>
      </c>
      <c r="H2911" s="16">
        <f t="shared" si="91"/>
        <v>705525.2008089415</v>
      </c>
    </row>
    <row r="2912" spans="2:8" hidden="1" x14ac:dyDescent="0.4">
      <c r="B2912" s="1">
        <v>45461</v>
      </c>
      <c r="C2912" s="16">
        <f>SUMIF(매도완료!$G:$G,Sheet2!$B2912,매도완료!$P:$P)+SUMIF(ING!$G:$G,Sheet2!$B2912,ING!$P:$P)</f>
        <v>0</v>
      </c>
      <c r="D2912" s="16">
        <f>SUMIF(매도완료!$J:$J,Sheet2!$B2912,매도완료!$P:$P)+SUMIF(ING!$J:$J,Sheet2!$B2912,ING!$P:$P)</f>
        <v>0</v>
      </c>
      <c r="E2912" s="16">
        <f t="shared" si="90"/>
        <v>92203841.132399991</v>
      </c>
      <c r="G2912" s="16">
        <f>IF(D2912=0,0,SUMIF(매도완료!$J:$J,Sheet2!$B2912,매도완료!$S:$S))+IF(D2912=0,0,SUMIF(ING!$J:$J,Sheet2!$B2912,ING!$S:$S))</f>
        <v>0</v>
      </c>
      <c r="H2912" s="16">
        <f t="shared" si="91"/>
        <v>705525.2008089415</v>
      </c>
    </row>
    <row r="2913" spans="2:8" hidden="1" x14ac:dyDescent="0.4">
      <c r="B2913" s="1">
        <v>45462</v>
      </c>
      <c r="C2913" s="16">
        <f>SUMIF(매도완료!$G:$G,Sheet2!$B2913,매도완료!$P:$P)+SUMIF(ING!$G:$G,Sheet2!$B2913,ING!$P:$P)</f>
        <v>0</v>
      </c>
      <c r="D2913" s="16">
        <f>SUMIF(매도완료!$J:$J,Sheet2!$B2913,매도완료!$P:$P)+SUMIF(ING!$J:$J,Sheet2!$B2913,ING!$P:$P)</f>
        <v>0</v>
      </c>
      <c r="E2913" s="16">
        <f t="shared" si="90"/>
        <v>92203841.132399991</v>
      </c>
      <c r="G2913" s="16">
        <f>IF(D2913=0,0,SUMIF(매도완료!$J:$J,Sheet2!$B2913,매도완료!$S:$S))+IF(D2913=0,0,SUMIF(ING!$J:$J,Sheet2!$B2913,ING!$S:$S))</f>
        <v>0</v>
      </c>
      <c r="H2913" s="16">
        <f t="shared" si="91"/>
        <v>705525.2008089415</v>
      </c>
    </row>
    <row r="2914" spans="2:8" hidden="1" x14ac:dyDescent="0.4">
      <c r="B2914" s="1">
        <v>45463</v>
      </c>
      <c r="C2914" s="16">
        <f>SUMIF(매도완료!$G:$G,Sheet2!$B2914,매도완료!$P:$P)+SUMIF(ING!$G:$G,Sheet2!$B2914,ING!$P:$P)</f>
        <v>0</v>
      </c>
      <c r="D2914" s="16">
        <f>SUMIF(매도완료!$J:$J,Sheet2!$B2914,매도완료!$P:$P)+SUMIF(ING!$J:$J,Sheet2!$B2914,ING!$P:$P)</f>
        <v>0</v>
      </c>
      <c r="E2914" s="16">
        <f t="shared" si="90"/>
        <v>92203841.132399991</v>
      </c>
      <c r="G2914" s="16">
        <f>IF(D2914=0,0,SUMIF(매도완료!$J:$J,Sheet2!$B2914,매도완료!$S:$S))+IF(D2914=0,0,SUMIF(ING!$J:$J,Sheet2!$B2914,ING!$S:$S))</f>
        <v>0</v>
      </c>
      <c r="H2914" s="16">
        <f t="shared" si="91"/>
        <v>705525.2008089415</v>
      </c>
    </row>
    <row r="2915" spans="2:8" hidden="1" x14ac:dyDescent="0.4">
      <c r="B2915" s="1">
        <v>45464</v>
      </c>
      <c r="C2915" s="16">
        <f>SUMIF(매도완료!$G:$G,Sheet2!$B2915,매도완료!$P:$P)+SUMIF(ING!$G:$G,Sheet2!$B2915,ING!$P:$P)</f>
        <v>0</v>
      </c>
      <c r="D2915" s="16">
        <f>SUMIF(매도완료!$J:$J,Sheet2!$B2915,매도완료!$P:$P)+SUMIF(ING!$J:$J,Sheet2!$B2915,ING!$P:$P)</f>
        <v>0</v>
      </c>
      <c r="E2915" s="16">
        <f t="shared" si="90"/>
        <v>92203841.132399991</v>
      </c>
      <c r="G2915" s="16">
        <f>IF(D2915=0,0,SUMIF(매도완료!$J:$J,Sheet2!$B2915,매도완료!$S:$S))+IF(D2915=0,0,SUMIF(ING!$J:$J,Sheet2!$B2915,ING!$S:$S))</f>
        <v>0</v>
      </c>
      <c r="H2915" s="16">
        <f t="shared" si="91"/>
        <v>705525.2008089415</v>
      </c>
    </row>
    <row r="2916" spans="2:8" hidden="1" x14ac:dyDescent="0.4">
      <c r="B2916" s="1">
        <v>45465</v>
      </c>
      <c r="C2916" s="16">
        <f>SUMIF(매도완료!$G:$G,Sheet2!$B2916,매도완료!$P:$P)+SUMIF(ING!$G:$G,Sheet2!$B2916,ING!$P:$P)</f>
        <v>0</v>
      </c>
      <c r="D2916" s="16">
        <f>SUMIF(매도완료!$J:$J,Sheet2!$B2916,매도완료!$P:$P)+SUMIF(ING!$J:$J,Sheet2!$B2916,ING!$P:$P)</f>
        <v>0</v>
      </c>
      <c r="E2916" s="16">
        <f t="shared" si="90"/>
        <v>92203841.132399991</v>
      </c>
      <c r="G2916" s="16">
        <f>IF(D2916=0,0,SUMIF(매도완료!$J:$J,Sheet2!$B2916,매도완료!$S:$S))+IF(D2916=0,0,SUMIF(ING!$J:$J,Sheet2!$B2916,ING!$S:$S))</f>
        <v>0</v>
      </c>
      <c r="H2916" s="16">
        <f t="shared" si="91"/>
        <v>705525.2008089415</v>
      </c>
    </row>
    <row r="2917" spans="2:8" hidden="1" x14ac:dyDescent="0.4">
      <c r="B2917" s="1">
        <v>45466</v>
      </c>
      <c r="C2917" s="16">
        <f>SUMIF(매도완료!$G:$G,Sheet2!$B2917,매도완료!$P:$P)+SUMIF(ING!$G:$G,Sheet2!$B2917,ING!$P:$P)</f>
        <v>0</v>
      </c>
      <c r="D2917" s="16">
        <f>SUMIF(매도완료!$J:$J,Sheet2!$B2917,매도완료!$P:$P)+SUMIF(ING!$J:$J,Sheet2!$B2917,ING!$P:$P)</f>
        <v>0</v>
      </c>
      <c r="E2917" s="16">
        <f t="shared" si="90"/>
        <v>92203841.132399991</v>
      </c>
      <c r="G2917" s="16">
        <f>IF(D2917=0,0,SUMIF(매도완료!$J:$J,Sheet2!$B2917,매도완료!$S:$S))+IF(D2917=0,0,SUMIF(ING!$J:$J,Sheet2!$B2917,ING!$S:$S))</f>
        <v>0</v>
      </c>
      <c r="H2917" s="16">
        <f t="shared" si="91"/>
        <v>705525.2008089415</v>
      </c>
    </row>
    <row r="2918" spans="2:8" hidden="1" x14ac:dyDescent="0.4">
      <c r="B2918" s="1">
        <v>45467</v>
      </c>
      <c r="C2918" s="16">
        <f>SUMIF(매도완료!$G:$G,Sheet2!$B2918,매도완료!$P:$P)+SUMIF(ING!$G:$G,Sheet2!$B2918,ING!$P:$P)</f>
        <v>0</v>
      </c>
      <c r="D2918" s="16">
        <f>SUMIF(매도완료!$J:$J,Sheet2!$B2918,매도완료!$P:$P)+SUMIF(ING!$J:$J,Sheet2!$B2918,ING!$P:$P)</f>
        <v>0</v>
      </c>
      <c r="E2918" s="16">
        <f t="shared" si="90"/>
        <v>92203841.132399991</v>
      </c>
      <c r="G2918" s="16">
        <f>IF(D2918=0,0,SUMIF(매도완료!$J:$J,Sheet2!$B2918,매도완료!$S:$S))+IF(D2918=0,0,SUMIF(ING!$J:$J,Sheet2!$B2918,ING!$S:$S))</f>
        <v>0</v>
      </c>
      <c r="H2918" s="16">
        <f t="shared" si="91"/>
        <v>705525.2008089415</v>
      </c>
    </row>
    <row r="2919" spans="2:8" hidden="1" x14ac:dyDescent="0.4">
      <c r="B2919" s="1">
        <v>45468</v>
      </c>
      <c r="C2919" s="16">
        <f>SUMIF(매도완료!$G:$G,Sheet2!$B2919,매도완료!$P:$P)+SUMIF(ING!$G:$G,Sheet2!$B2919,ING!$P:$P)</f>
        <v>0</v>
      </c>
      <c r="D2919" s="16">
        <f>SUMIF(매도완료!$J:$J,Sheet2!$B2919,매도완료!$P:$P)+SUMIF(ING!$J:$J,Sheet2!$B2919,ING!$P:$P)</f>
        <v>0</v>
      </c>
      <c r="E2919" s="16">
        <f t="shared" si="90"/>
        <v>92203841.132399991</v>
      </c>
      <c r="G2919" s="16">
        <f>IF(D2919=0,0,SUMIF(매도완료!$J:$J,Sheet2!$B2919,매도완료!$S:$S))+IF(D2919=0,0,SUMIF(ING!$J:$J,Sheet2!$B2919,ING!$S:$S))</f>
        <v>0</v>
      </c>
      <c r="H2919" s="16">
        <f t="shared" si="91"/>
        <v>705525.2008089415</v>
      </c>
    </row>
    <row r="2920" spans="2:8" hidden="1" x14ac:dyDescent="0.4">
      <c r="B2920" s="1">
        <v>45469</v>
      </c>
      <c r="C2920" s="16">
        <f>SUMIF(매도완료!$G:$G,Sheet2!$B2920,매도완료!$P:$P)+SUMIF(ING!$G:$G,Sheet2!$B2920,ING!$P:$P)</f>
        <v>0</v>
      </c>
      <c r="D2920" s="16">
        <f>SUMIF(매도완료!$J:$J,Sheet2!$B2920,매도완료!$P:$P)+SUMIF(ING!$J:$J,Sheet2!$B2920,ING!$P:$P)</f>
        <v>0</v>
      </c>
      <c r="E2920" s="16">
        <f t="shared" si="90"/>
        <v>92203841.132399991</v>
      </c>
      <c r="G2920" s="16">
        <f>IF(D2920=0,0,SUMIF(매도완료!$J:$J,Sheet2!$B2920,매도완료!$S:$S))+IF(D2920=0,0,SUMIF(ING!$J:$J,Sheet2!$B2920,ING!$S:$S))</f>
        <v>0</v>
      </c>
      <c r="H2920" s="16">
        <f t="shared" si="91"/>
        <v>705525.2008089415</v>
      </c>
    </row>
    <row r="2921" spans="2:8" hidden="1" x14ac:dyDescent="0.4">
      <c r="B2921" s="1">
        <v>45470</v>
      </c>
      <c r="C2921" s="16">
        <f>SUMIF(매도완료!$G:$G,Sheet2!$B2921,매도완료!$P:$P)+SUMIF(ING!$G:$G,Sheet2!$B2921,ING!$P:$P)</f>
        <v>0</v>
      </c>
      <c r="D2921" s="16">
        <f>SUMIF(매도완료!$J:$J,Sheet2!$B2921,매도완료!$P:$P)+SUMIF(ING!$J:$J,Sheet2!$B2921,ING!$P:$P)</f>
        <v>0</v>
      </c>
      <c r="E2921" s="16">
        <f t="shared" si="90"/>
        <v>92203841.132399991</v>
      </c>
      <c r="G2921" s="16">
        <f>IF(D2921=0,0,SUMIF(매도완료!$J:$J,Sheet2!$B2921,매도완료!$S:$S))+IF(D2921=0,0,SUMIF(ING!$J:$J,Sheet2!$B2921,ING!$S:$S))</f>
        <v>0</v>
      </c>
      <c r="H2921" s="16">
        <f t="shared" si="91"/>
        <v>705525.2008089415</v>
      </c>
    </row>
    <row r="2922" spans="2:8" hidden="1" x14ac:dyDescent="0.4">
      <c r="B2922" s="1">
        <v>45471</v>
      </c>
      <c r="C2922" s="16">
        <f>SUMIF(매도완료!$G:$G,Sheet2!$B2922,매도완료!$P:$P)+SUMIF(ING!$G:$G,Sheet2!$B2922,ING!$P:$P)</f>
        <v>0</v>
      </c>
      <c r="D2922" s="16">
        <f>SUMIF(매도완료!$J:$J,Sheet2!$B2922,매도완료!$P:$P)+SUMIF(ING!$J:$J,Sheet2!$B2922,ING!$P:$P)</f>
        <v>0</v>
      </c>
      <c r="E2922" s="16">
        <f t="shared" si="90"/>
        <v>92203841.132399991</v>
      </c>
      <c r="G2922" s="16">
        <f>IF(D2922=0,0,SUMIF(매도완료!$J:$J,Sheet2!$B2922,매도완료!$S:$S))+IF(D2922=0,0,SUMIF(ING!$J:$J,Sheet2!$B2922,ING!$S:$S))</f>
        <v>0</v>
      </c>
      <c r="H2922" s="16">
        <f t="shared" si="91"/>
        <v>705525.2008089415</v>
      </c>
    </row>
    <row r="2923" spans="2:8" hidden="1" x14ac:dyDescent="0.4">
      <c r="B2923" s="1">
        <v>45472</v>
      </c>
      <c r="C2923" s="16">
        <f>SUMIF(매도완료!$G:$G,Sheet2!$B2923,매도완료!$P:$P)+SUMIF(ING!$G:$G,Sheet2!$B2923,ING!$P:$P)</f>
        <v>0</v>
      </c>
      <c r="D2923" s="16">
        <f>SUMIF(매도완료!$J:$J,Sheet2!$B2923,매도완료!$P:$P)+SUMIF(ING!$J:$J,Sheet2!$B2923,ING!$P:$P)</f>
        <v>0</v>
      </c>
      <c r="E2923" s="16">
        <f t="shared" si="90"/>
        <v>92203841.132399991</v>
      </c>
      <c r="G2923" s="16">
        <f>IF(D2923=0,0,SUMIF(매도완료!$J:$J,Sheet2!$B2923,매도완료!$S:$S))+IF(D2923=0,0,SUMIF(ING!$J:$J,Sheet2!$B2923,ING!$S:$S))</f>
        <v>0</v>
      </c>
      <c r="H2923" s="16">
        <f t="shared" si="91"/>
        <v>705525.2008089415</v>
      </c>
    </row>
    <row r="2924" spans="2:8" hidden="1" x14ac:dyDescent="0.4">
      <c r="B2924" s="1">
        <v>45473</v>
      </c>
      <c r="C2924" s="16">
        <f>SUMIF(매도완료!$G:$G,Sheet2!$B2924,매도완료!$P:$P)+SUMIF(ING!$G:$G,Sheet2!$B2924,ING!$P:$P)</f>
        <v>0</v>
      </c>
      <c r="D2924" s="16">
        <f>SUMIF(매도완료!$J:$J,Sheet2!$B2924,매도완료!$P:$P)+SUMIF(ING!$J:$J,Sheet2!$B2924,ING!$P:$P)</f>
        <v>0</v>
      </c>
      <c r="E2924" s="16">
        <f t="shared" si="90"/>
        <v>92203841.132399991</v>
      </c>
      <c r="G2924" s="16">
        <f>IF(D2924=0,0,SUMIF(매도완료!$J:$J,Sheet2!$B2924,매도완료!$S:$S))+IF(D2924=0,0,SUMIF(ING!$J:$J,Sheet2!$B2924,ING!$S:$S))</f>
        <v>0</v>
      </c>
      <c r="H2924" s="16">
        <f t="shared" si="91"/>
        <v>705525.2008089415</v>
      </c>
    </row>
    <row r="2925" spans="2:8" hidden="1" x14ac:dyDescent="0.4">
      <c r="B2925" s="1">
        <v>45474</v>
      </c>
      <c r="C2925" s="16">
        <f>SUMIF(매도완료!$G:$G,Sheet2!$B2925,매도완료!$P:$P)+SUMIF(ING!$G:$G,Sheet2!$B2925,ING!$P:$P)</f>
        <v>0</v>
      </c>
      <c r="D2925" s="16">
        <f>SUMIF(매도완료!$J:$J,Sheet2!$B2925,매도완료!$P:$P)+SUMIF(ING!$J:$J,Sheet2!$B2925,ING!$P:$P)</f>
        <v>0</v>
      </c>
      <c r="E2925" s="16">
        <f t="shared" si="90"/>
        <v>92203841.132399991</v>
      </c>
      <c r="G2925" s="16">
        <f>IF(D2925=0,0,SUMIF(매도완료!$J:$J,Sheet2!$B2925,매도완료!$S:$S))+IF(D2925=0,0,SUMIF(ING!$J:$J,Sheet2!$B2925,ING!$S:$S))</f>
        <v>0</v>
      </c>
      <c r="H2925" s="16">
        <f t="shared" si="91"/>
        <v>705525.2008089415</v>
      </c>
    </row>
    <row r="2926" spans="2:8" hidden="1" x14ac:dyDescent="0.4">
      <c r="B2926" s="1">
        <v>45475</v>
      </c>
      <c r="C2926" s="16">
        <f>SUMIF(매도완료!$G:$G,Sheet2!$B2926,매도완료!$P:$P)+SUMIF(ING!$G:$G,Sheet2!$B2926,ING!$P:$P)</f>
        <v>0</v>
      </c>
      <c r="D2926" s="16">
        <f>SUMIF(매도완료!$J:$J,Sheet2!$B2926,매도완료!$P:$P)+SUMIF(ING!$J:$J,Sheet2!$B2926,ING!$P:$P)</f>
        <v>0</v>
      </c>
      <c r="E2926" s="16">
        <f t="shared" si="90"/>
        <v>92203841.132399991</v>
      </c>
      <c r="G2926" s="16">
        <f>IF(D2926=0,0,SUMIF(매도완료!$J:$J,Sheet2!$B2926,매도완료!$S:$S))+IF(D2926=0,0,SUMIF(ING!$J:$J,Sheet2!$B2926,ING!$S:$S))</f>
        <v>0</v>
      </c>
      <c r="H2926" s="16">
        <f t="shared" si="91"/>
        <v>705525.2008089415</v>
      </c>
    </row>
    <row r="2927" spans="2:8" hidden="1" x14ac:dyDescent="0.4">
      <c r="B2927" s="1">
        <v>45476</v>
      </c>
      <c r="C2927" s="16">
        <f>SUMIF(매도완료!$G:$G,Sheet2!$B2927,매도완료!$P:$P)+SUMIF(ING!$G:$G,Sheet2!$B2927,ING!$P:$P)</f>
        <v>0</v>
      </c>
      <c r="D2927" s="16">
        <f>SUMIF(매도완료!$J:$J,Sheet2!$B2927,매도완료!$P:$P)+SUMIF(ING!$J:$J,Sheet2!$B2927,ING!$P:$P)</f>
        <v>0</v>
      </c>
      <c r="E2927" s="16">
        <f t="shared" si="90"/>
        <v>92203841.132399991</v>
      </c>
      <c r="G2927" s="16">
        <f>IF(D2927=0,0,SUMIF(매도완료!$J:$J,Sheet2!$B2927,매도완료!$S:$S))+IF(D2927=0,0,SUMIF(ING!$J:$J,Sheet2!$B2927,ING!$S:$S))</f>
        <v>0</v>
      </c>
      <c r="H2927" s="16">
        <f t="shared" si="91"/>
        <v>705525.2008089415</v>
      </c>
    </row>
    <row r="2928" spans="2:8" hidden="1" x14ac:dyDescent="0.4">
      <c r="B2928" s="1">
        <v>45477</v>
      </c>
      <c r="C2928" s="16">
        <f>SUMIF(매도완료!$G:$G,Sheet2!$B2928,매도완료!$P:$P)+SUMIF(ING!$G:$G,Sheet2!$B2928,ING!$P:$P)</f>
        <v>0</v>
      </c>
      <c r="D2928" s="16">
        <f>SUMIF(매도완료!$J:$J,Sheet2!$B2928,매도완료!$P:$P)+SUMIF(ING!$J:$J,Sheet2!$B2928,ING!$P:$P)</f>
        <v>0</v>
      </c>
      <c r="E2928" s="16">
        <f t="shared" si="90"/>
        <v>92203841.132399991</v>
      </c>
      <c r="G2928" s="16">
        <f>IF(D2928=0,0,SUMIF(매도완료!$J:$J,Sheet2!$B2928,매도완료!$S:$S))+IF(D2928=0,0,SUMIF(ING!$J:$J,Sheet2!$B2928,ING!$S:$S))</f>
        <v>0</v>
      </c>
      <c r="H2928" s="16">
        <f t="shared" si="91"/>
        <v>705525.2008089415</v>
      </c>
    </row>
    <row r="2929" spans="2:8" hidden="1" x14ac:dyDescent="0.4">
      <c r="B2929" s="1">
        <v>45478</v>
      </c>
      <c r="C2929" s="16">
        <f>SUMIF(매도완료!$G:$G,Sheet2!$B2929,매도완료!$P:$P)+SUMIF(ING!$G:$G,Sheet2!$B2929,ING!$P:$P)</f>
        <v>0</v>
      </c>
      <c r="D2929" s="16">
        <f>SUMIF(매도완료!$J:$J,Sheet2!$B2929,매도완료!$P:$P)+SUMIF(ING!$J:$J,Sheet2!$B2929,ING!$P:$P)</f>
        <v>0</v>
      </c>
      <c r="E2929" s="16">
        <f t="shared" si="90"/>
        <v>92203841.132399991</v>
      </c>
      <c r="G2929" s="16">
        <f>IF(D2929=0,0,SUMIF(매도완료!$J:$J,Sheet2!$B2929,매도완료!$S:$S))+IF(D2929=0,0,SUMIF(ING!$J:$J,Sheet2!$B2929,ING!$S:$S))</f>
        <v>0</v>
      </c>
      <c r="H2929" s="16">
        <f t="shared" si="91"/>
        <v>705525.2008089415</v>
      </c>
    </row>
    <row r="2930" spans="2:8" hidden="1" x14ac:dyDescent="0.4">
      <c r="B2930" s="1">
        <v>45479</v>
      </c>
      <c r="C2930" s="16">
        <f>SUMIF(매도완료!$G:$G,Sheet2!$B2930,매도완료!$P:$P)+SUMIF(ING!$G:$G,Sheet2!$B2930,ING!$P:$P)</f>
        <v>0</v>
      </c>
      <c r="D2930" s="16">
        <f>SUMIF(매도완료!$J:$J,Sheet2!$B2930,매도완료!$P:$P)+SUMIF(ING!$J:$J,Sheet2!$B2930,ING!$P:$P)</f>
        <v>0</v>
      </c>
      <c r="E2930" s="16">
        <f t="shared" si="90"/>
        <v>92203841.132399991</v>
      </c>
      <c r="G2930" s="16">
        <f>IF(D2930=0,0,SUMIF(매도완료!$J:$J,Sheet2!$B2930,매도완료!$S:$S))+IF(D2930=0,0,SUMIF(ING!$J:$J,Sheet2!$B2930,ING!$S:$S))</f>
        <v>0</v>
      </c>
      <c r="H2930" s="16">
        <f t="shared" si="91"/>
        <v>705525.2008089415</v>
      </c>
    </row>
    <row r="2931" spans="2:8" hidden="1" x14ac:dyDescent="0.4">
      <c r="B2931" s="1">
        <v>45480</v>
      </c>
      <c r="C2931" s="16">
        <f>SUMIF(매도완료!$G:$G,Sheet2!$B2931,매도완료!$P:$P)+SUMIF(ING!$G:$G,Sheet2!$B2931,ING!$P:$P)</f>
        <v>0</v>
      </c>
      <c r="D2931" s="16">
        <f>SUMIF(매도완료!$J:$J,Sheet2!$B2931,매도완료!$P:$P)+SUMIF(ING!$J:$J,Sheet2!$B2931,ING!$P:$P)</f>
        <v>0</v>
      </c>
      <c r="E2931" s="16">
        <f t="shared" si="90"/>
        <v>92203841.132399991</v>
      </c>
      <c r="G2931" s="16">
        <f>IF(D2931=0,0,SUMIF(매도완료!$J:$J,Sheet2!$B2931,매도완료!$S:$S))+IF(D2931=0,0,SUMIF(ING!$J:$J,Sheet2!$B2931,ING!$S:$S))</f>
        <v>0</v>
      </c>
      <c r="H2931" s="16">
        <f t="shared" si="91"/>
        <v>705525.2008089415</v>
      </c>
    </row>
    <row r="2932" spans="2:8" hidden="1" x14ac:dyDescent="0.4">
      <c r="B2932" s="1">
        <v>45481</v>
      </c>
      <c r="C2932" s="16">
        <f>SUMIF(매도완료!$G:$G,Sheet2!$B2932,매도완료!$P:$P)+SUMIF(ING!$G:$G,Sheet2!$B2932,ING!$P:$P)</f>
        <v>0</v>
      </c>
      <c r="D2932" s="16">
        <f>SUMIF(매도완료!$J:$J,Sheet2!$B2932,매도완료!$P:$P)+SUMIF(ING!$J:$J,Sheet2!$B2932,ING!$P:$P)</f>
        <v>0</v>
      </c>
      <c r="E2932" s="16">
        <f t="shared" si="90"/>
        <v>92203841.132399991</v>
      </c>
      <c r="G2932" s="16">
        <f>IF(D2932=0,0,SUMIF(매도완료!$J:$J,Sheet2!$B2932,매도완료!$S:$S))+IF(D2932=0,0,SUMIF(ING!$J:$J,Sheet2!$B2932,ING!$S:$S))</f>
        <v>0</v>
      </c>
      <c r="H2932" s="16">
        <f t="shared" si="91"/>
        <v>705525.2008089415</v>
      </c>
    </row>
    <row r="2933" spans="2:8" hidden="1" x14ac:dyDescent="0.4">
      <c r="B2933" s="1">
        <v>45482</v>
      </c>
      <c r="C2933" s="16">
        <f>SUMIF(매도완료!$G:$G,Sheet2!$B2933,매도완료!$P:$P)+SUMIF(ING!$G:$G,Sheet2!$B2933,ING!$P:$P)</f>
        <v>0</v>
      </c>
      <c r="D2933" s="16">
        <f>SUMIF(매도완료!$J:$J,Sheet2!$B2933,매도완료!$P:$P)+SUMIF(ING!$J:$J,Sheet2!$B2933,ING!$P:$P)</f>
        <v>0</v>
      </c>
      <c r="E2933" s="16">
        <f t="shared" si="90"/>
        <v>92203841.132399991</v>
      </c>
      <c r="G2933" s="16">
        <f>IF(D2933=0,0,SUMIF(매도완료!$J:$J,Sheet2!$B2933,매도완료!$S:$S))+IF(D2933=0,0,SUMIF(ING!$J:$J,Sheet2!$B2933,ING!$S:$S))</f>
        <v>0</v>
      </c>
      <c r="H2933" s="16">
        <f t="shared" si="91"/>
        <v>705525.2008089415</v>
      </c>
    </row>
    <row r="2934" spans="2:8" hidden="1" x14ac:dyDescent="0.4">
      <c r="B2934" s="1">
        <v>45483</v>
      </c>
      <c r="C2934" s="16">
        <f>SUMIF(매도완료!$G:$G,Sheet2!$B2934,매도완료!$P:$P)+SUMIF(ING!$G:$G,Sheet2!$B2934,ING!$P:$P)</f>
        <v>0</v>
      </c>
      <c r="D2934" s="16">
        <f>SUMIF(매도완료!$J:$J,Sheet2!$B2934,매도완료!$P:$P)+SUMIF(ING!$J:$J,Sheet2!$B2934,ING!$P:$P)</f>
        <v>0</v>
      </c>
      <c r="E2934" s="16">
        <f t="shared" si="90"/>
        <v>92203841.132399991</v>
      </c>
      <c r="G2934" s="16">
        <f>IF(D2934=0,0,SUMIF(매도완료!$J:$J,Sheet2!$B2934,매도완료!$S:$S))+IF(D2934=0,0,SUMIF(ING!$J:$J,Sheet2!$B2934,ING!$S:$S))</f>
        <v>0</v>
      </c>
      <c r="H2934" s="16">
        <f t="shared" si="91"/>
        <v>705525.2008089415</v>
      </c>
    </row>
    <row r="2935" spans="2:8" hidden="1" x14ac:dyDescent="0.4">
      <c r="B2935" s="1">
        <v>45484</v>
      </c>
      <c r="C2935" s="16">
        <f>SUMIF(매도완료!$G:$G,Sheet2!$B2935,매도완료!$P:$P)+SUMIF(ING!$G:$G,Sheet2!$B2935,ING!$P:$P)</f>
        <v>0</v>
      </c>
      <c r="D2935" s="16">
        <f>SUMIF(매도완료!$J:$J,Sheet2!$B2935,매도완료!$P:$P)+SUMIF(ING!$J:$J,Sheet2!$B2935,ING!$P:$P)</f>
        <v>0</v>
      </c>
      <c r="E2935" s="16">
        <f t="shared" si="90"/>
        <v>92203841.132399991</v>
      </c>
      <c r="G2935" s="16">
        <f>IF(D2935=0,0,SUMIF(매도완료!$J:$J,Sheet2!$B2935,매도완료!$S:$S))+IF(D2935=0,0,SUMIF(ING!$J:$J,Sheet2!$B2935,ING!$S:$S))</f>
        <v>0</v>
      </c>
      <c r="H2935" s="16">
        <f t="shared" si="91"/>
        <v>705525.2008089415</v>
      </c>
    </row>
    <row r="2936" spans="2:8" hidden="1" x14ac:dyDescent="0.4">
      <c r="B2936" s="1">
        <v>45485</v>
      </c>
      <c r="C2936" s="16">
        <f>SUMIF(매도완료!$G:$G,Sheet2!$B2936,매도완료!$P:$P)+SUMIF(ING!$G:$G,Sheet2!$B2936,ING!$P:$P)</f>
        <v>0</v>
      </c>
      <c r="D2936" s="16">
        <f>SUMIF(매도완료!$J:$J,Sheet2!$B2936,매도완료!$P:$P)+SUMIF(ING!$J:$J,Sheet2!$B2936,ING!$P:$P)</f>
        <v>0</v>
      </c>
      <c r="E2936" s="16">
        <f t="shared" si="90"/>
        <v>92203841.132399991</v>
      </c>
      <c r="G2936" s="16">
        <f>IF(D2936=0,0,SUMIF(매도완료!$J:$J,Sheet2!$B2936,매도완료!$S:$S))+IF(D2936=0,0,SUMIF(ING!$J:$J,Sheet2!$B2936,ING!$S:$S))</f>
        <v>0</v>
      </c>
      <c r="H2936" s="16">
        <f t="shared" si="91"/>
        <v>705525.2008089415</v>
      </c>
    </row>
    <row r="2937" spans="2:8" hidden="1" x14ac:dyDescent="0.4">
      <c r="B2937" s="1">
        <v>45486</v>
      </c>
      <c r="C2937" s="16">
        <f>SUMIF(매도완료!$G:$G,Sheet2!$B2937,매도완료!$P:$P)+SUMIF(ING!$G:$G,Sheet2!$B2937,ING!$P:$P)</f>
        <v>0</v>
      </c>
      <c r="D2937" s="16">
        <f>SUMIF(매도완료!$J:$J,Sheet2!$B2937,매도완료!$P:$P)+SUMIF(ING!$J:$J,Sheet2!$B2937,ING!$P:$P)</f>
        <v>0</v>
      </c>
      <c r="E2937" s="16">
        <f t="shared" si="90"/>
        <v>92203841.132399991</v>
      </c>
      <c r="G2937" s="16">
        <f>IF(D2937=0,0,SUMIF(매도완료!$J:$J,Sheet2!$B2937,매도완료!$S:$S))+IF(D2937=0,0,SUMIF(ING!$J:$J,Sheet2!$B2937,ING!$S:$S))</f>
        <v>0</v>
      </c>
      <c r="H2937" s="16">
        <f t="shared" si="91"/>
        <v>705525.2008089415</v>
      </c>
    </row>
    <row r="2938" spans="2:8" hidden="1" x14ac:dyDescent="0.4">
      <c r="B2938" s="1">
        <v>45487</v>
      </c>
      <c r="C2938" s="16">
        <f>SUMIF(매도완료!$G:$G,Sheet2!$B2938,매도완료!$P:$P)+SUMIF(ING!$G:$G,Sheet2!$B2938,ING!$P:$P)</f>
        <v>0</v>
      </c>
      <c r="D2938" s="16">
        <f>SUMIF(매도완료!$J:$J,Sheet2!$B2938,매도완료!$P:$P)+SUMIF(ING!$J:$J,Sheet2!$B2938,ING!$P:$P)</f>
        <v>0</v>
      </c>
      <c r="E2938" s="16">
        <f t="shared" si="90"/>
        <v>92203841.132399991</v>
      </c>
      <c r="G2938" s="16">
        <f>IF(D2938=0,0,SUMIF(매도완료!$J:$J,Sheet2!$B2938,매도완료!$S:$S))+IF(D2938=0,0,SUMIF(ING!$J:$J,Sheet2!$B2938,ING!$S:$S))</f>
        <v>0</v>
      </c>
      <c r="H2938" s="16">
        <f t="shared" si="91"/>
        <v>705525.2008089415</v>
      </c>
    </row>
    <row r="2939" spans="2:8" hidden="1" x14ac:dyDescent="0.4">
      <c r="B2939" s="1">
        <v>45488</v>
      </c>
      <c r="C2939" s="16">
        <f>SUMIF(매도완료!$G:$G,Sheet2!$B2939,매도완료!$P:$P)+SUMIF(ING!$G:$G,Sheet2!$B2939,ING!$P:$P)</f>
        <v>0</v>
      </c>
      <c r="D2939" s="16">
        <f>SUMIF(매도완료!$J:$J,Sheet2!$B2939,매도완료!$P:$P)+SUMIF(ING!$J:$J,Sheet2!$B2939,ING!$P:$P)</f>
        <v>0</v>
      </c>
      <c r="E2939" s="16">
        <f t="shared" si="90"/>
        <v>92203841.132399991</v>
      </c>
      <c r="G2939" s="16">
        <f>IF(D2939=0,0,SUMIF(매도완료!$J:$J,Sheet2!$B2939,매도완료!$S:$S))+IF(D2939=0,0,SUMIF(ING!$J:$J,Sheet2!$B2939,ING!$S:$S))</f>
        <v>0</v>
      </c>
      <c r="H2939" s="16">
        <f t="shared" si="91"/>
        <v>705525.2008089415</v>
      </c>
    </row>
    <row r="2940" spans="2:8" hidden="1" x14ac:dyDescent="0.4">
      <c r="B2940" s="1">
        <v>45489</v>
      </c>
      <c r="C2940" s="16">
        <f>SUMIF(매도완료!$G:$G,Sheet2!$B2940,매도완료!$P:$P)+SUMIF(ING!$G:$G,Sheet2!$B2940,ING!$P:$P)</f>
        <v>0</v>
      </c>
      <c r="D2940" s="16">
        <f>SUMIF(매도완료!$J:$J,Sheet2!$B2940,매도완료!$P:$P)+SUMIF(ING!$J:$J,Sheet2!$B2940,ING!$P:$P)</f>
        <v>0</v>
      </c>
      <c r="E2940" s="16">
        <f t="shared" si="90"/>
        <v>92203841.132399991</v>
      </c>
      <c r="G2940" s="16">
        <f>IF(D2940=0,0,SUMIF(매도완료!$J:$J,Sheet2!$B2940,매도완료!$S:$S))+IF(D2940=0,0,SUMIF(ING!$J:$J,Sheet2!$B2940,ING!$S:$S))</f>
        <v>0</v>
      </c>
      <c r="H2940" s="16">
        <f t="shared" si="91"/>
        <v>705525.2008089415</v>
      </c>
    </row>
    <row r="2941" spans="2:8" hidden="1" x14ac:dyDescent="0.4">
      <c r="B2941" s="1">
        <v>45490</v>
      </c>
      <c r="C2941" s="16">
        <f>SUMIF(매도완료!$G:$G,Sheet2!$B2941,매도완료!$P:$P)+SUMIF(ING!$G:$G,Sheet2!$B2941,ING!$P:$P)</f>
        <v>0</v>
      </c>
      <c r="D2941" s="16">
        <f>SUMIF(매도완료!$J:$J,Sheet2!$B2941,매도완료!$P:$P)+SUMIF(ING!$J:$J,Sheet2!$B2941,ING!$P:$P)</f>
        <v>0</v>
      </c>
      <c r="E2941" s="16">
        <f t="shared" si="90"/>
        <v>92203841.132399991</v>
      </c>
      <c r="G2941" s="16">
        <f>IF(D2941=0,0,SUMIF(매도완료!$J:$J,Sheet2!$B2941,매도완료!$S:$S))+IF(D2941=0,0,SUMIF(ING!$J:$J,Sheet2!$B2941,ING!$S:$S))</f>
        <v>0</v>
      </c>
      <c r="H2941" s="16">
        <f t="shared" si="91"/>
        <v>705525.2008089415</v>
      </c>
    </row>
    <row r="2942" spans="2:8" hidden="1" x14ac:dyDescent="0.4">
      <c r="B2942" s="1">
        <v>45491</v>
      </c>
      <c r="C2942" s="16">
        <f>SUMIF(매도완료!$G:$G,Sheet2!$B2942,매도완료!$P:$P)+SUMIF(ING!$G:$G,Sheet2!$B2942,ING!$P:$P)</f>
        <v>0</v>
      </c>
      <c r="D2942" s="16">
        <f>SUMIF(매도완료!$J:$J,Sheet2!$B2942,매도완료!$P:$P)+SUMIF(ING!$J:$J,Sheet2!$B2942,ING!$P:$P)</f>
        <v>0</v>
      </c>
      <c r="E2942" s="16">
        <f t="shared" si="90"/>
        <v>92203841.132399991</v>
      </c>
      <c r="G2942" s="16">
        <f>IF(D2942=0,0,SUMIF(매도완료!$J:$J,Sheet2!$B2942,매도완료!$S:$S))+IF(D2942=0,0,SUMIF(ING!$J:$J,Sheet2!$B2942,ING!$S:$S))</f>
        <v>0</v>
      </c>
      <c r="H2942" s="16">
        <f t="shared" si="91"/>
        <v>705525.2008089415</v>
      </c>
    </row>
    <row r="2943" spans="2:8" hidden="1" x14ac:dyDescent="0.4">
      <c r="B2943" s="1">
        <v>45492</v>
      </c>
      <c r="C2943" s="16">
        <f>SUMIF(매도완료!$G:$G,Sheet2!$B2943,매도완료!$P:$P)+SUMIF(ING!$G:$G,Sheet2!$B2943,ING!$P:$P)</f>
        <v>5601.2</v>
      </c>
      <c r="D2943" s="16">
        <f>SUMIF(매도완료!$J:$J,Sheet2!$B2943,매도완료!$P:$P)+SUMIF(ING!$J:$J,Sheet2!$B2943,ING!$P:$P)</f>
        <v>0</v>
      </c>
      <c r="E2943" s="16">
        <f t="shared" si="90"/>
        <v>92209442.332399994</v>
      </c>
      <c r="G2943" s="16">
        <f>IF(D2943=0,0,SUMIF(매도완료!$J:$J,Sheet2!$B2943,매도완료!$S:$S))+IF(D2943=0,0,SUMIF(ING!$J:$J,Sheet2!$B2943,ING!$S:$S))</f>
        <v>0</v>
      </c>
      <c r="H2943" s="16">
        <f t="shared" si="91"/>
        <v>705525.2008089415</v>
      </c>
    </row>
    <row r="2944" spans="2:8" hidden="1" x14ac:dyDescent="0.4">
      <c r="B2944" s="1">
        <v>45493</v>
      </c>
      <c r="C2944" s="16">
        <f>SUMIF(매도완료!$G:$G,Sheet2!$B2944,매도완료!$P:$P)+SUMIF(ING!$G:$G,Sheet2!$B2944,ING!$P:$P)</f>
        <v>0</v>
      </c>
      <c r="D2944" s="16">
        <f>SUMIF(매도완료!$J:$J,Sheet2!$B2944,매도완료!$P:$P)+SUMIF(ING!$J:$J,Sheet2!$B2944,ING!$P:$P)</f>
        <v>0</v>
      </c>
      <c r="E2944" s="16">
        <f t="shared" si="90"/>
        <v>92209442.332399994</v>
      </c>
      <c r="G2944" s="16">
        <f>IF(D2944=0,0,SUMIF(매도완료!$J:$J,Sheet2!$B2944,매도완료!$S:$S))+IF(D2944=0,0,SUMIF(ING!$J:$J,Sheet2!$B2944,ING!$S:$S))</f>
        <v>0</v>
      </c>
      <c r="H2944" s="16">
        <f t="shared" si="91"/>
        <v>705525.2008089415</v>
      </c>
    </row>
    <row r="2945" spans="2:8" hidden="1" x14ac:dyDescent="0.4">
      <c r="B2945" s="1">
        <v>45494</v>
      </c>
      <c r="C2945" s="16">
        <f>SUMIF(매도완료!$G:$G,Sheet2!$B2945,매도완료!$P:$P)+SUMIF(ING!$G:$G,Sheet2!$B2945,ING!$P:$P)</f>
        <v>0</v>
      </c>
      <c r="D2945" s="16">
        <f>SUMIF(매도완료!$J:$J,Sheet2!$B2945,매도완료!$P:$P)+SUMIF(ING!$J:$J,Sheet2!$B2945,ING!$P:$P)</f>
        <v>0</v>
      </c>
      <c r="E2945" s="16">
        <f t="shared" si="90"/>
        <v>92209442.332399994</v>
      </c>
      <c r="G2945" s="16">
        <f>IF(D2945=0,0,SUMIF(매도완료!$J:$J,Sheet2!$B2945,매도완료!$S:$S))+IF(D2945=0,0,SUMIF(ING!$J:$J,Sheet2!$B2945,ING!$S:$S))</f>
        <v>0</v>
      </c>
      <c r="H2945" s="16">
        <f t="shared" si="91"/>
        <v>705525.2008089415</v>
      </c>
    </row>
    <row r="2946" spans="2:8" hidden="1" x14ac:dyDescent="0.4">
      <c r="B2946" s="1">
        <v>45495</v>
      </c>
      <c r="C2946" s="16">
        <f>SUMIF(매도완료!$G:$G,Sheet2!$B2946,매도완료!$P:$P)+SUMIF(ING!$G:$G,Sheet2!$B2946,ING!$P:$P)</f>
        <v>0</v>
      </c>
      <c r="D2946" s="16">
        <f>SUMIF(매도완료!$J:$J,Sheet2!$B2946,매도완료!$P:$P)+SUMIF(ING!$J:$J,Sheet2!$B2946,ING!$P:$P)</f>
        <v>0</v>
      </c>
      <c r="E2946" s="16">
        <f t="shared" si="90"/>
        <v>92209442.332399994</v>
      </c>
      <c r="G2946" s="16">
        <f>IF(D2946=0,0,SUMIF(매도완료!$J:$J,Sheet2!$B2946,매도완료!$S:$S))+IF(D2946=0,0,SUMIF(ING!$J:$J,Sheet2!$B2946,ING!$S:$S))</f>
        <v>0</v>
      </c>
      <c r="H2946" s="16">
        <f t="shared" si="91"/>
        <v>705525.2008089415</v>
      </c>
    </row>
    <row r="2947" spans="2:8" hidden="1" x14ac:dyDescent="0.4">
      <c r="B2947" s="1">
        <v>45496</v>
      </c>
      <c r="C2947" s="16">
        <f>SUMIF(매도완료!$G:$G,Sheet2!$B2947,매도완료!$P:$P)+SUMIF(ING!$G:$G,Sheet2!$B2947,ING!$P:$P)</f>
        <v>0</v>
      </c>
      <c r="D2947" s="16">
        <f>SUMIF(매도완료!$J:$J,Sheet2!$B2947,매도완료!$P:$P)+SUMIF(ING!$J:$J,Sheet2!$B2947,ING!$P:$P)</f>
        <v>0</v>
      </c>
      <c r="E2947" s="16">
        <f t="shared" si="90"/>
        <v>92209442.332399994</v>
      </c>
      <c r="G2947" s="16">
        <f>IF(D2947=0,0,SUMIF(매도완료!$J:$J,Sheet2!$B2947,매도완료!$S:$S))+IF(D2947=0,0,SUMIF(ING!$J:$J,Sheet2!$B2947,ING!$S:$S))</f>
        <v>0</v>
      </c>
      <c r="H2947" s="16">
        <f t="shared" si="91"/>
        <v>705525.2008089415</v>
      </c>
    </row>
    <row r="2948" spans="2:8" hidden="1" x14ac:dyDescent="0.4">
      <c r="B2948" s="1">
        <v>45497</v>
      </c>
      <c r="C2948" s="16">
        <f>SUMIF(매도완료!$G:$G,Sheet2!$B2948,매도완료!$P:$P)+SUMIF(ING!$G:$G,Sheet2!$B2948,ING!$P:$P)</f>
        <v>0</v>
      </c>
      <c r="D2948" s="16">
        <f>SUMIF(매도완료!$J:$J,Sheet2!$B2948,매도완료!$P:$P)+SUMIF(ING!$J:$J,Sheet2!$B2948,ING!$P:$P)</f>
        <v>0</v>
      </c>
      <c r="E2948" s="16">
        <f t="shared" ref="E2948:E3011" si="92">E2947+C2948-D2948</f>
        <v>92209442.332399994</v>
      </c>
      <c r="G2948" s="16">
        <f>IF(D2948=0,0,SUMIF(매도완료!$J:$J,Sheet2!$B2948,매도완료!$S:$S))+IF(D2948=0,0,SUMIF(ING!$J:$J,Sheet2!$B2948,ING!$S:$S))</f>
        <v>0</v>
      </c>
      <c r="H2948" s="16">
        <f t="shared" ref="H2948:H3011" si="93">H2947+G2948</f>
        <v>705525.2008089415</v>
      </c>
    </row>
    <row r="2949" spans="2:8" hidden="1" x14ac:dyDescent="0.4">
      <c r="B2949" s="1">
        <v>45498</v>
      </c>
      <c r="C2949" s="16">
        <f>SUMIF(매도완료!$G:$G,Sheet2!$B2949,매도완료!$P:$P)+SUMIF(ING!$G:$G,Sheet2!$B2949,ING!$P:$P)</f>
        <v>0</v>
      </c>
      <c r="D2949" s="16">
        <f>SUMIF(매도완료!$J:$J,Sheet2!$B2949,매도완료!$P:$P)+SUMIF(ING!$J:$J,Sheet2!$B2949,ING!$P:$P)</f>
        <v>0</v>
      </c>
      <c r="E2949" s="16">
        <f t="shared" si="92"/>
        <v>92209442.332399994</v>
      </c>
      <c r="G2949" s="16">
        <f>IF(D2949=0,0,SUMIF(매도완료!$J:$J,Sheet2!$B2949,매도완료!$S:$S))+IF(D2949=0,0,SUMIF(ING!$J:$J,Sheet2!$B2949,ING!$S:$S))</f>
        <v>0</v>
      </c>
      <c r="H2949" s="16">
        <f t="shared" si="93"/>
        <v>705525.2008089415</v>
      </c>
    </row>
    <row r="2950" spans="2:8" hidden="1" x14ac:dyDescent="0.4">
      <c r="B2950" s="1">
        <v>45499</v>
      </c>
      <c r="C2950" s="16">
        <f>SUMIF(매도완료!$G:$G,Sheet2!$B2950,매도완료!$P:$P)+SUMIF(ING!$G:$G,Sheet2!$B2950,ING!$P:$P)</f>
        <v>0</v>
      </c>
      <c r="D2950" s="16">
        <f>SUMIF(매도완료!$J:$J,Sheet2!$B2950,매도완료!$P:$P)+SUMIF(ING!$J:$J,Sheet2!$B2950,ING!$P:$P)</f>
        <v>0</v>
      </c>
      <c r="E2950" s="16">
        <f t="shared" si="92"/>
        <v>92209442.332399994</v>
      </c>
      <c r="G2950" s="16">
        <f>IF(D2950=0,0,SUMIF(매도완료!$J:$J,Sheet2!$B2950,매도완료!$S:$S))+IF(D2950=0,0,SUMIF(ING!$J:$J,Sheet2!$B2950,ING!$S:$S))</f>
        <v>0</v>
      </c>
      <c r="H2950" s="16">
        <f t="shared" si="93"/>
        <v>705525.2008089415</v>
      </c>
    </row>
    <row r="2951" spans="2:8" hidden="1" x14ac:dyDescent="0.4">
      <c r="B2951" s="1">
        <v>45500</v>
      </c>
      <c r="C2951" s="16">
        <f>SUMIF(매도완료!$G:$G,Sheet2!$B2951,매도완료!$P:$P)+SUMIF(ING!$G:$G,Sheet2!$B2951,ING!$P:$P)</f>
        <v>0</v>
      </c>
      <c r="D2951" s="16">
        <f>SUMIF(매도완료!$J:$J,Sheet2!$B2951,매도완료!$P:$P)+SUMIF(ING!$J:$J,Sheet2!$B2951,ING!$P:$P)</f>
        <v>0</v>
      </c>
      <c r="E2951" s="16">
        <f t="shared" si="92"/>
        <v>92209442.332399994</v>
      </c>
      <c r="G2951" s="16">
        <f>IF(D2951=0,0,SUMIF(매도완료!$J:$J,Sheet2!$B2951,매도완료!$S:$S))+IF(D2951=0,0,SUMIF(ING!$J:$J,Sheet2!$B2951,ING!$S:$S))</f>
        <v>0</v>
      </c>
      <c r="H2951" s="16">
        <f t="shared" si="93"/>
        <v>705525.2008089415</v>
      </c>
    </row>
    <row r="2952" spans="2:8" hidden="1" x14ac:dyDescent="0.4">
      <c r="B2952" s="1">
        <v>45501</v>
      </c>
      <c r="C2952" s="16">
        <f>SUMIF(매도완료!$G:$G,Sheet2!$B2952,매도완료!$P:$P)+SUMIF(ING!$G:$G,Sheet2!$B2952,ING!$P:$P)</f>
        <v>0</v>
      </c>
      <c r="D2952" s="16">
        <f>SUMIF(매도완료!$J:$J,Sheet2!$B2952,매도완료!$P:$P)+SUMIF(ING!$J:$J,Sheet2!$B2952,ING!$P:$P)</f>
        <v>0</v>
      </c>
      <c r="E2952" s="16">
        <f t="shared" si="92"/>
        <v>92209442.332399994</v>
      </c>
      <c r="G2952" s="16">
        <f>IF(D2952=0,0,SUMIF(매도완료!$J:$J,Sheet2!$B2952,매도완료!$S:$S))+IF(D2952=0,0,SUMIF(ING!$J:$J,Sheet2!$B2952,ING!$S:$S))</f>
        <v>0</v>
      </c>
      <c r="H2952" s="16">
        <f t="shared" si="93"/>
        <v>705525.2008089415</v>
      </c>
    </row>
    <row r="2953" spans="2:8" hidden="1" x14ac:dyDescent="0.4">
      <c r="B2953" s="1">
        <v>45502</v>
      </c>
      <c r="C2953" s="16">
        <f>SUMIF(매도완료!$G:$G,Sheet2!$B2953,매도완료!$P:$P)+SUMIF(ING!$G:$G,Sheet2!$B2953,ING!$P:$P)</f>
        <v>0</v>
      </c>
      <c r="D2953" s="16">
        <f>SUMIF(매도완료!$J:$J,Sheet2!$B2953,매도완료!$P:$P)+SUMIF(ING!$J:$J,Sheet2!$B2953,ING!$P:$P)</f>
        <v>0</v>
      </c>
      <c r="E2953" s="16">
        <f t="shared" si="92"/>
        <v>92209442.332399994</v>
      </c>
      <c r="G2953" s="16">
        <f>IF(D2953=0,0,SUMIF(매도완료!$J:$J,Sheet2!$B2953,매도완료!$S:$S))+IF(D2953=0,0,SUMIF(ING!$J:$J,Sheet2!$B2953,ING!$S:$S))</f>
        <v>0</v>
      </c>
      <c r="H2953" s="16">
        <f t="shared" si="93"/>
        <v>705525.2008089415</v>
      </c>
    </row>
    <row r="2954" spans="2:8" hidden="1" x14ac:dyDescent="0.4">
      <c r="B2954" s="1">
        <v>45503</v>
      </c>
      <c r="C2954" s="16">
        <f>SUMIF(매도완료!$G:$G,Sheet2!$B2954,매도완료!$P:$P)+SUMIF(ING!$G:$G,Sheet2!$B2954,ING!$P:$P)</f>
        <v>0</v>
      </c>
      <c r="D2954" s="16">
        <f>SUMIF(매도완료!$J:$J,Sheet2!$B2954,매도완료!$P:$P)+SUMIF(ING!$J:$J,Sheet2!$B2954,ING!$P:$P)</f>
        <v>0</v>
      </c>
      <c r="E2954" s="16">
        <f t="shared" si="92"/>
        <v>92209442.332399994</v>
      </c>
      <c r="G2954" s="16">
        <f>IF(D2954=0,0,SUMIF(매도완료!$J:$J,Sheet2!$B2954,매도완료!$S:$S))+IF(D2954=0,0,SUMIF(ING!$J:$J,Sheet2!$B2954,ING!$S:$S))</f>
        <v>0</v>
      </c>
      <c r="H2954" s="16">
        <f t="shared" si="93"/>
        <v>705525.2008089415</v>
      </c>
    </row>
    <row r="2955" spans="2:8" hidden="1" x14ac:dyDescent="0.4">
      <c r="B2955" s="1">
        <v>45504</v>
      </c>
      <c r="C2955" s="16">
        <f>SUMIF(매도완료!$G:$G,Sheet2!$B2955,매도완료!$P:$P)+SUMIF(ING!$G:$G,Sheet2!$B2955,ING!$P:$P)</f>
        <v>0</v>
      </c>
      <c r="D2955" s="16">
        <f>SUMIF(매도완료!$J:$J,Sheet2!$B2955,매도완료!$P:$P)+SUMIF(ING!$J:$J,Sheet2!$B2955,ING!$P:$P)</f>
        <v>0</v>
      </c>
      <c r="E2955" s="16">
        <f t="shared" si="92"/>
        <v>92209442.332399994</v>
      </c>
      <c r="G2955" s="16">
        <f>IF(D2955=0,0,SUMIF(매도완료!$J:$J,Sheet2!$B2955,매도완료!$S:$S))+IF(D2955=0,0,SUMIF(ING!$J:$J,Sheet2!$B2955,ING!$S:$S))</f>
        <v>0</v>
      </c>
      <c r="H2955" s="16">
        <f t="shared" si="93"/>
        <v>705525.2008089415</v>
      </c>
    </row>
    <row r="2956" spans="2:8" hidden="1" x14ac:dyDescent="0.4">
      <c r="B2956" s="1">
        <v>45505</v>
      </c>
      <c r="C2956" s="16">
        <f>SUMIF(매도완료!$G:$G,Sheet2!$B2956,매도완료!$P:$P)+SUMIF(ING!$G:$G,Sheet2!$B2956,ING!$P:$P)</f>
        <v>0</v>
      </c>
      <c r="D2956" s="16">
        <f>SUMIF(매도완료!$J:$J,Sheet2!$B2956,매도완료!$P:$P)+SUMIF(ING!$J:$J,Sheet2!$B2956,ING!$P:$P)</f>
        <v>0</v>
      </c>
      <c r="E2956" s="16">
        <f t="shared" si="92"/>
        <v>92209442.332399994</v>
      </c>
      <c r="G2956" s="16">
        <f>IF(D2956=0,0,SUMIF(매도완료!$J:$J,Sheet2!$B2956,매도완료!$S:$S))+IF(D2956=0,0,SUMIF(ING!$J:$J,Sheet2!$B2956,ING!$S:$S))</f>
        <v>0</v>
      </c>
      <c r="H2956" s="16">
        <f t="shared" si="93"/>
        <v>705525.2008089415</v>
      </c>
    </row>
    <row r="2957" spans="2:8" hidden="1" x14ac:dyDescent="0.4">
      <c r="B2957" s="1">
        <v>45506</v>
      </c>
      <c r="C2957" s="16">
        <f>SUMIF(매도완료!$G:$G,Sheet2!$B2957,매도완료!$P:$P)+SUMIF(ING!$G:$G,Sheet2!$B2957,ING!$P:$P)</f>
        <v>0</v>
      </c>
      <c r="D2957" s="16">
        <f>SUMIF(매도완료!$J:$J,Sheet2!$B2957,매도완료!$P:$P)+SUMIF(ING!$J:$J,Sheet2!$B2957,ING!$P:$P)</f>
        <v>0</v>
      </c>
      <c r="E2957" s="16">
        <f t="shared" si="92"/>
        <v>92209442.332399994</v>
      </c>
      <c r="G2957" s="16">
        <f>IF(D2957=0,0,SUMIF(매도완료!$J:$J,Sheet2!$B2957,매도완료!$S:$S))+IF(D2957=0,0,SUMIF(ING!$J:$J,Sheet2!$B2957,ING!$S:$S))</f>
        <v>0</v>
      </c>
      <c r="H2957" s="16">
        <f t="shared" si="93"/>
        <v>705525.2008089415</v>
      </c>
    </row>
    <row r="2958" spans="2:8" hidden="1" x14ac:dyDescent="0.4">
      <c r="B2958" s="1">
        <v>45507</v>
      </c>
      <c r="C2958" s="16">
        <f>SUMIF(매도완료!$G:$G,Sheet2!$B2958,매도완료!$P:$P)+SUMIF(ING!$G:$G,Sheet2!$B2958,ING!$P:$P)</f>
        <v>0</v>
      </c>
      <c r="D2958" s="16">
        <f>SUMIF(매도완료!$J:$J,Sheet2!$B2958,매도완료!$P:$P)+SUMIF(ING!$J:$J,Sheet2!$B2958,ING!$P:$P)</f>
        <v>0</v>
      </c>
      <c r="E2958" s="16">
        <f t="shared" si="92"/>
        <v>92209442.332399994</v>
      </c>
      <c r="G2958" s="16">
        <f>IF(D2958=0,0,SUMIF(매도완료!$J:$J,Sheet2!$B2958,매도완료!$S:$S))+IF(D2958=0,0,SUMIF(ING!$J:$J,Sheet2!$B2958,ING!$S:$S))</f>
        <v>0</v>
      </c>
      <c r="H2958" s="16">
        <f t="shared" si="93"/>
        <v>705525.2008089415</v>
      </c>
    </row>
    <row r="2959" spans="2:8" hidden="1" x14ac:dyDescent="0.4">
      <c r="B2959" s="1">
        <v>45508</v>
      </c>
      <c r="C2959" s="16">
        <f>SUMIF(매도완료!$G:$G,Sheet2!$B2959,매도완료!$P:$P)+SUMIF(ING!$G:$G,Sheet2!$B2959,ING!$P:$P)</f>
        <v>0</v>
      </c>
      <c r="D2959" s="16">
        <f>SUMIF(매도완료!$J:$J,Sheet2!$B2959,매도완료!$P:$P)+SUMIF(ING!$J:$J,Sheet2!$B2959,ING!$P:$P)</f>
        <v>0</v>
      </c>
      <c r="E2959" s="16">
        <f t="shared" si="92"/>
        <v>92209442.332399994</v>
      </c>
      <c r="G2959" s="16">
        <f>IF(D2959=0,0,SUMIF(매도완료!$J:$J,Sheet2!$B2959,매도완료!$S:$S))+IF(D2959=0,0,SUMIF(ING!$J:$J,Sheet2!$B2959,ING!$S:$S))</f>
        <v>0</v>
      </c>
      <c r="H2959" s="16">
        <f t="shared" si="93"/>
        <v>705525.2008089415</v>
      </c>
    </row>
    <row r="2960" spans="2:8" hidden="1" x14ac:dyDescent="0.4">
      <c r="B2960" s="1">
        <v>45509</v>
      </c>
      <c r="C2960" s="16">
        <f>SUMIF(매도완료!$G:$G,Sheet2!$B2960,매도완료!$P:$P)+SUMIF(ING!$G:$G,Sheet2!$B2960,ING!$P:$P)</f>
        <v>0</v>
      </c>
      <c r="D2960" s="16">
        <f>SUMIF(매도완료!$J:$J,Sheet2!$B2960,매도완료!$P:$P)+SUMIF(ING!$J:$J,Sheet2!$B2960,ING!$P:$P)</f>
        <v>0</v>
      </c>
      <c r="E2960" s="16">
        <f t="shared" si="92"/>
        <v>92209442.332399994</v>
      </c>
      <c r="G2960" s="16">
        <f>IF(D2960=0,0,SUMIF(매도완료!$J:$J,Sheet2!$B2960,매도완료!$S:$S))+IF(D2960=0,0,SUMIF(ING!$J:$J,Sheet2!$B2960,ING!$S:$S))</f>
        <v>0</v>
      </c>
      <c r="H2960" s="16">
        <f t="shared" si="93"/>
        <v>705525.2008089415</v>
      </c>
    </row>
    <row r="2961" spans="2:8" hidden="1" x14ac:dyDescent="0.4">
      <c r="B2961" s="1">
        <v>45510</v>
      </c>
      <c r="C2961" s="16">
        <f>SUMIF(매도완료!$G:$G,Sheet2!$B2961,매도완료!$P:$P)+SUMIF(ING!$G:$G,Sheet2!$B2961,ING!$P:$P)</f>
        <v>0</v>
      </c>
      <c r="D2961" s="16">
        <f>SUMIF(매도완료!$J:$J,Sheet2!$B2961,매도완료!$P:$P)+SUMIF(ING!$J:$J,Sheet2!$B2961,ING!$P:$P)</f>
        <v>0</v>
      </c>
      <c r="E2961" s="16">
        <f t="shared" si="92"/>
        <v>92209442.332399994</v>
      </c>
      <c r="G2961" s="16">
        <f>IF(D2961=0,0,SUMIF(매도완료!$J:$J,Sheet2!$B2961,매도완료!$S:$S))+IF(D2961=0,0,SUMIF(ING!$J:$J,Sheet2!$B2961,ING!$S:$S))</f>
        <v>0</v>
      </c>
      <c r="H2961" s="16">
        <f t="shared" si="93"/>
        <v>705525.2008089415</v>
      </c>
    </row>
    <row r="2962" spans="2:8" hidden="1" x14ac:dyDescent="0.4">
      <c r="B2962" s="1">
        <v>45511</v>
      </c>
      <c r="C2962" s="16">
        <f>SUMIF(매도완료!$G:$G,Sheet2!$B2962,매도완료!$P:$P)+SUMIF(ING!$G:$G,Sheet2!$B2962,ING!$P:$P)</f>
        <v>0</v>
      </c>
      <c r="D2962" s="16">
        <f>SUMIF(매도완료!$J:$J,Sheet2!$B2962,매도완료!$P:$P)+SUMIF(ING!$J:$J,Sheet2!$B2962,ING!$P:$P)</f>
        <v>0</v>
      </c>
      <c r="E2962" s="16">
        <f t="shared" si="92"/>
        <v>92209442.332399994</v>
      </c>
      <c r="G2962" s="16">
        <f>IF(D2962=0,0,SUMIF(매도완료!$J:$J,Sheet2!$B2962,매도완료!$S:$S))+IF(D2962=0,0,SUMIF(ING!$J:$J,Sheet2!$B2962,ING!$S:$S))</f>
        <v>0</v>
      </c>
      <c r="H2962" s="16">
        <f t="shared" si="93"/>
        <v>705525.2008089415</v>
      </c>
    </row>
    <row r="2963" spans="2:8" hidden="1" x14ac:dyDescent="0.4">
      <c r="B2963" s="1">
        <v>45512</v>
      </c>
      <c r="C2963" s="16">
        <f>SUMIF(매도완료!$G:$G,Sheet2!$B2963,매도완료!$P:$P)+SUMIF(ING!$G:$G,Sheet2!$B2963,ING!$P:$P)</f>
        <v>0</v>
      </c>
      <c r="D2963" s="16">
        <f>SUMIF(매도완료!$J:$J,Sheet2!$B2963,매도완료!$P:$P)+SUMIF(ING!$J:$J,Sheet2!$B2963,ING!$P:$P)</f>
        <v>0</v>
      </c>
      <c r="E2963" s="16">
        <f t="shared" si="92"/>
        <v>92209442.332399994</v>
      </c>
      <c r="G2963" s="16">
        <f>IF(D2963=0,0,SUMIF(매도완료!$J:$J,Sheet2!$B2963,매도완료!$S:$S))+IF(D2963=0,0,SUMIF(ING!$J:$J,Sheet2!$B2963,ING!$S:$S))</f>
        <v>0</v>
      </c>
      <c r="H2963" s="16">
        <f t="shared" si="93"/>
        <v>705525.2008089415</v>
      </c>
    </row>
    <row r="2964" spans="2:8" hidden="1" x14ac:dyDescent="0.4">
      <c r="B2964" s="1">
        <v>45513</v>
      </c>
      <c r="C2964" s="16">
        <f>SUMIF(매도완료!$G:$G,Sheet2!$B2964,매도완료!$P:$P)+SUMIF(ING!$G:$G,Sheet2!$B2964,ING!$P:$P)</f>
        <v>0</v>
      </c>
      <c r="D2964" s="16">
        <f>SUMIF(매도완료!$J:$J,Sheet2!$B2964,매도완료!$P:$P)+SUMIF(ING!$J:$J,Sheet2!$B2964,ING!$P:$P)</f>
        <v>0</v>
      </c>
      <c r="E2964" s="16">
        <f t="shared" si="92"/>
        <v>92209442.332399994</v>
      </c>
      <c r="G2964" s="16">
        <f>IF(D2964=0,0,SUMIF(매도완료!$J:$J,Sheet2!$B2964,매도완료!$S:$S))+IF(D2964=0,0,SUMIF(ING!$J:$J,Sheet2!$B2964,ING!$S:$S))</f>
        <v>0</v>
      </c>
      <c r="H2964" s="16">
        <f t="shared" si="93"/>
        <v>705525.2008089415</v>
      </c>
    </row>
    <row r="2965" spans="2:8" hidden="1" x14ac:dyDescent="0.4">
      <c r="B2965" s="1">
        <v>45514</v>
      </c>
      <c r="C2965" s="16">
        <f>SUMIF(매도완료!$G:$G,Sheet2!$B2965,매도완료!$P:$P)+SUMIF(ING!$G:$G,Sheet2!$B2965,ING!$P:$P)</f>
        <v>0</v>
      </c>
      <c r="D2965" s="16">
        <f>SUMIF(매도완료!$J:$J,Sheet2!$B2965,매도완료!$P:$P)+SUMIF(ING!$J:$J,Sheet2!$B2965,ING!$P:$P)</f>
        <v>0</v>
      </c>
      <c r="E2965" s="16">
        <f t="shared" si="92"/>
        <v>92209442.332399994</v>
      </c>
      <c r="G2965" s="16">
        <f>IF(D2965=0,0,SUMIF(매도완료!$J:$J,Sheet2!$B2965,매도완료!$S:$S))+IF(D2965=0,0,SUMIF(ING!$J:$J,Sheet2!$B2965,ING!$S:$S))</f>
        <v>0</v>
      </c>
      <c r="H2965" s="16">
        <f t="shared" si="93"/>
        <v>705525.2008089415</v>
      </c>
    </row>
    <row r="2966" spans="2:8" hidden="1" x14ac:dyDescent="0.4">
      <c r="B2966" s="1">
        <v>45515</v>
      </c>
      <c r="C2966" s="16">
        <f>SUMIF(매도완료!$G:$G,Sheet2!$B2966,매도완료!$P:$P)+SUMIF(ING!$G:$G,Sheet2!$B2966,ING!$P:$P)</f>
        <v>0</v>
      </c>
      <c r="D2966" s="16">
        <f>SUMIF(매도완료!$J:$J,Sheet2!$B2966,매도완료!$P:$P)+SUMIF(ING!$J:$J,Sheet2!$B2966,ING!$P:$P)</f>
        <v>0</v>
      </c>
      <c r="E2966" s="16">
        <f t="shared" si="92"/>
        <v>92209442.332399994</v>
      </c>
      <c r="G2966" s="16">
        <f>IF(D2966=0,0,SUMIF(매도완료!$J:$J,Sheet2!$B2966,매도완료!$S:$S))+IF(D2966=0,0,SUMIF(ING!$J:$J,Sheet2!$B2966,ING!$S:$S))</f>
        <v>0</v>
      </c>
      <c r="H2966" s="16">
        <f t="shared" si="93"/>
        <v>705525.2008089415</v>
      </c>
    </row>
    <row r="2967" spans="2:8" hidden="1" x14ac:dyDescent="0.4">
      <c r="B2967" s="1">
        <v>45516</v>
      </c>
      <c r="C2967" s="16">
        <f>SUMIF(매도완료!$G:$G,Sheet2!$B2967,매도완료!$P:$P)+SUMIF(ING!$G:$G,Sheet2!$B2967,ING!$P:$P)</f>
        <v>0</v>
      </c>
      <c r="D2967" s="16">
        <f>SUMIF(매도완료!$J:$J,Sheet2!$B2967,매도완료!$P:$P)+SUMIF(ING!$J:$J,Sheet2!$B2967,ING!$P:$P)</f>
        <v>0</v>
      </c>
      <c r="E2967" s="16">
        <f t="shared" si="92"/>
        <v>92209442.332399994</v>
      </c>
      <c r="G2967" s="16">
        <f>IF(D2967=0,0,SUMIF(매도완료!$J:$J,Sheet2!$B2967,매도완료!$S:$S))+IF(D2967=0,0,SUMIF(ING!$J:$J,Sheet2!$B2967,ING!$S:$S))</f>
        <v>0</v>
      </c>
      <c r="H2967" s="16">
        <f t="shared" si="93"/>
        <v>705525.2008089415</v>
      </c>
    </row>
    <row r="2968" spans="2:8" hidden="1" x14ac:dyDescent="0.4">
      <c r="B2968" s="1">
        <v>45517</v>
      </c>
      <c r="C2968" s="16">
        <f>SUMIF(매도완료!$G:$G,Sheet2!$B2968,매도완료!$P:$P)+SUMIF(ING!$G:$G,Sheet2!$B2968,ING!$P:$P)</f>
        <v>0</v>
      </c>
      <c r="D2968" s="16">
        <f>SUMIF(매도완료!$J:$J,Sheet2!$B2968,매도완료!$P:$P)+SUMIF(ING!$J:$J,Sheet2!$B2968,ING!$P:$P)</f>
        <v>0</v>
      </c>
      <c r="E2968" s="16">
        <f t="shared" si="92"/>
        <v>92209442.332399994</v>
      </c>
      <c r="G2968" s="16">
        <f>IF(D2968=0,0,SUMIF(매도완료!$J:$J,Sheet2!$B2968,매도완료!$S:$S))+IF(D2968=0,0,SUMIF(ING!$J:$J,Sheet2!$B2968,ING!$S:$S))</f>
        <v>0</v>
      </c>
      <c r="H2968" s="16">
        <f t="shared" si="93"/>
        <v>705525.2008089415</v>
      </c>
    </row>
    <row r="2969" spans="2:8" hidden="1" x14ac:dyDescent="0.4">
      <c r="B2969" s="1">
        <v>45518</v>
      </c>
      <c r="C2969" s="16">
        <f>SUMIF(매도완료!$G:$G,Sheet2!$B2969,매도완료!$P:$P)+SUMIF(ING!$G:$G,Sheet2!$B2969,ING!$P:$P)</f>
        <v>0</v>
      </c>
      <c r="D2969" s="16">
        <f>SUMIF(매도완료!$J:$J,Sheet2!$B2969,매도완료!$P:$P)+SUMIF(ING!$J:$J,Sheet2!$B2969,ING!$P:$P)</f>
        <v>0</v>
      </c>
      <c r="E2969" s="16">
        <f t="shared" si="92"/>
        <v>92209442.332399994</v>
      </c>
      <c r="G2969" s="16">
        <f>IF(D2969=0,0,SUMIF(매도완료!$J:$J,Sheet2!$B2969,매도완료!$S:$S))+IF(D2969=0,0,SUMIF(ING!$J:$J,Sheet2!$B2969,ING!$S:$S))</f>
        <v>0</v>
      </c>
      <c r="H2969" s="16">
        <f t="shared" si="93"/>
        <v>705525.2008089415</v>
      </c>
    </row>
    <row r="2970" spans="2:8" hidden="1" x14ac:dyDescent="0.4">
      <c r="B2970" s="1">
        <v>45519</v>
      </c>
      <c r="C2970" s="16">
        <f>SUMIF(매도완료!$G:$G,Sheet2!$B2970,매도완료!$P:$P)+SUMIF(ING!$G:$G,Sheet2!$B2970,ING!$P:$P)</f>
        <v>0</v>
      </c>
      <c r="D2970" s="16">
        <f>SUMIF(매도완료!$J:$J,Sheet2!$B2970,매도완료!$P:$P)+SUMIF(ING!$J:$J,Sheet2!$B2970,ING!$P:$P)</f>
        <v>0</v>
      </c>
      <c r="E2970" s="16">
        <f t="shared" si="92"/>
        <v>92209442.332399994</v>
      </c>
      <c r="G2970" s="16">
        <f>IF(D2970=0,0,SUMIF(매도완료!$J:$J,Sheet2!$B2970,매도완료!$S:$S))+IF(D2970=0,0,SUMIF(ING!$J:$J,Sheet2!$B2970,ING!$S:$S))</f>
        <v>0</v>
      </c>
      <c r="H2970" s="16">
        <f t="shared" si="93"/>
        <v>705525.2008089415</v>
      </c>
    </row>
    <row r="2971" spans="2:8" hidden="1" x14ac:dyDescent="0.4">
      <c r="B2971" s="1">
        <v>45520</v>
      </c>
      <c r="C2971" s="16">
        <f>SUMIF(매도완료!$G:$G,Sheet2!$B2971,매도완료!$P:$P)+SUMIF(ING!$G:$G,Sheet2!$B2971,ING!$P:$P)</f>
        <v>0</v>
      </c>
      <c r="D2971" s="16">
        <f>SUMIF(매도완료!$J:$J,Sheet2!$B2971,매도완료!$P:$P)+SUMIF(ING!$J:$J,Sheet2!$B2971,ING!$P:$P)</f>
        <v>0</v>
      </c>
      <c r="E2971" s="16">
        <f t="shared" si="92"/>
        <v>92209442.332399994</v>
      </c>
      <c r="G2971" s="16">
        <f>IF(D2971=0,0,SUMIF(매도완료!$J:$J,Sheet2!$B2971,매도완료!$S:$S))+IF(D2971=0,0,SUMIF(ING!$J:$J,Sheet2!$B2971,ING!$S:$S))</f>
        <v>0</v>
      </c>
      <c r="H2971" s="16">
        <f t="shared" si="93"/>
        <v>705525.2008089415</v>
      </c>
    </row>
    <row r="2972" spans="2:8" hidden="1" x14ac:dyDescent="0.4">
      <c r="B2972" s="1">
        <v>45521</v>
      </c>
      <c r="C2972" s="16">
        <f>SUMIF(매도완료!$G:$G,Sheet2!$B2972,매도완료!$P:$P)+SUMIF(ING!$G:$G,Sheet2!$B2972,ING!$P:$P)</f>
        <v>0</v>
      </c>
      <c r="D2972" s="16">
        <f>SUMIF(매도완료!$J:$J,Sheet2!$B2972,매도완료!$P:$P)+SUMIF(ING!$J:$J,Sheet2!$B2972,ING!$P:$P)</f>
        <v>0</v>
      </c>
      <c r="E2972" s="16">
        <f t="shared" si="92"/>
        <v>92209442.332399994</v>
      </c>
      <c r="G2972" s="16">
        <f>IF(D2972=0,0,SUMIF(매도완료!$J:$J,Sheet2!$B2972,매도완료!$S:$S))+IF(D2972=0,0,SUMIF(ING!$J:$J,Sheet2!$B2972,ING!$S:$S))</f>
        <v>0</v>
      </c>
      <c r="H2972" s="16">
        <f t="shared" si="93"/>
        <v>705525.2008089415</v>
      </c>
    </row>
    <row r="2973" spans="2:8" hidden="1" x14ac:dyDescent="0.4">
      <c r="B2973" s="1">
        <v>45522</v>
      </c>
      <c r="C2973" s="16">
        <f>SUMIF(매도완료!$G:$G,Sheet2!$B2973,매도완료!$P:$P)+SUMIF(ING!$G:$G,Sheet2!$B2973,ING!$P:$P)</f>
        <v>0</v>
      </c>
      <c r="D2973" s="16">
        <f>SUMIF(매도완료!$J:$J,Sheet2!$B2973,매도완료!$P:$P)+SUMIF(ING!$J:$J,Sheet2!$B2973,ING!$P:$P)</f>
        <v>0</v>
      </c>
      <c r="E2973" s="16">
        <f t="shared" si="92"/>
        <v>92209442.332399994</v>
      </c>
      <c r="G2973" s="16">
        <f>IF(D2973=0,0,SUMIF(매도완료!$J:$J,Sheet2!$B2973,매도완료!$S:$S))+IF(D2973=0,0,SUMIF(ING!$J:$J,Sheet2!$B2973,ING!$S:$S))</f>
        <v>0</v>
      </c>
      <c r="H2973" s="16">
        <f t="shared" si="93"/>
        <v>705525.2008089415</v>
      </c>
    </row>
    <row r="2974" spans="2:8" hidden="1" x14ac:dyDescent="0.4">
      <c r="B2974" s="1">
        <v>45523</v>
      </c>
      <c r="C2974" s="16">
        <f>SUMIF(매도완료!$G:$G,Sheet2!$B2974,매도완료!$P:$P)+SUMIF(ING!$G:$G,Sheet2!$B2974,ING!$P:$P)</f>
        <v>0</v>
      </c>
      <c r="D2974" s="16">
        <f>SUMIF(매도완료!$J:$J,Sheet2!$B2974,매도완료!$P:$P)+SUMIF(ING!$J:$J,Sheet2!$B2974,ING!$P:$P)</f>
        <v>0</v>
      </c>
      <c r="E2974" s="16">
        <f t="shared" si="92"/>
        <v>92209442.332399994</v>
      </c>
      <c r="G2974" s="16">
        <f>IF(D2974=0,0,SUMIF(매도완료!$J:$J,Sheet2!$B2974,매도완료!$S:$S))+IF(D2974=0,0,SUMIF(ING!$J:$J,Sheet2!$B2974,ING!$S:$S))</f>
        <v>0</v>
      </c>
      <c r="H2974" s="16">
        <f t="shared" si="93"/>
        <v>705525.2008089415</v>
      </c>
    </row>
    <row r="2975" spans="2:8" hidden="1" x14ac:dyDescent="0.4">
      <c r="B2975" s="1">
        <v>45524</v>
      </c>
      <c r="C2975" s="16">
        <f>SUMIF(매도완료!$G:$G,Sheet2!$B2975,매도완료!$P:$P)+SUMIF(ING!$G:$G,Sheet2!$B2975,ING!$P:$P)</f>
        <v>0</v>
      </c>
      <c r="D2975" s="16">
        <f>SUMIF(매도완료!$J:$J,Sheet2!$B2975,매도완료!$P:$P)+SUMIF(ING!$J:$J,Sheet2!$B2975,ING!$P:$P)</f>
        <v>0</v>
      </c>
      <c r="E2975" s="16">
        <f t="shared" si="92"/>
        <v>92209442.332399994</v>
      </c>
      <c r="G2975" s="16">
        <f>IF(D2975=0,0,SUMIF(매도완료!$J:$J,Sheet2!$B2975,매도완료!$S:$S))+IF(D2975=0,0,SUMIF(ING!$J:$J,Sheet2!$B2975,ING!$S:$S))</f>
        <v>0</v>
      </c>
      <c r="H2975" s="16">
        <f t="shared" si="93"/>
        <v>705525.2008089415</v>
      </c>
    </row>
    <row r="2976" spans="2:8" hidden="1" x14ac:dyDescent="0.4">
      <c r="B2976" s="1">
        <v>45525</v>
      </c>
      <c r="C2976" s="16">
        <f>SUMIF(매도완료!$G:$G,Sheet2!$B2976,매도완료!$P:$P)+SUMIF(ING!$G:$G,Sheet2!$B2976,ING!$P:$P)</f>
        <v>0</v>
      </c>
      <c r="D2976" s="16">
        <f>SUMIF(매도완료!$J:$J,Sheet2!$B2976,매도완료!$P:$P)+SUMIF(ING!$J:$J,Sheet2!$B2976,ING!$P:$P)</f>
        <v>0</v>
      </c>
      <c r="E2976" s="16">
        <f t="shared" si="92"/>
        <v>92209442.332399994</v>
      </c>
      <c r="G2976" s="16">
        <f>IF(D2976=0,0,SUMIF(매도완료!$J:$J,Sheet2!$B2976,매도완료!$S:$S))+IF(D2976=0,0,SUMIF(ING!$J:$J,Sheet2!$B2976,ING!$S:$S))</f>
        <v>0</v>
      </c>
      <c r="H2976" s="16">
        <f t="shared" si="93"/>
        <v>705525.2008089415</v>
      </c>
    </row>
    <row r="2977" spans="2:8" hidden="1" x14ac:dyDescent="0.4">
      <c r="B2977" s="1">
        <v>45526</v>
      </c>
      <c r="C2977" s="16">
        <f>SUMIF(매도완료!$G:$G,Sheet2!$B2977,매도완료!$P:$P)+SUMIF(ING!$G:$G,Sheet2!$B2977,ING!$P:$P)</f>
        <v>720000</v>
      </c>
      <c r="D2977" s="16">
        <f>SUMIF(매도완료!$J:$J,Sheet2!$B2977,매도완료!$P:$P)+SUMIF(ING!$J:$J,Sheet2!$B2977,ING!$P:$P)</f>
        <v>0</v>
      </c>
      <c r="E2977" s="16">
        <f t="shared" si="92"/>
        <v>92929442.332399994</v>
      </c>
      <c r="G2977" s="16">
        <f>IF(D2977=0,0,SUMIF(매도완료!$J:$J,Sheet2!$B2977,매도완료!$S:$S))+IF(D2977=0,0,SUMIF(ING!$J:$J,Sheet2!$B2977,ING!$S:$S))</f>
        <v>0</v>
      </c>
      <c r="H2977" s="16">
        <f t="shared" si="93"/>
        <v>705525.2008089415</v>
      </c>
    </row>
    <row r="2978" spans="2:8" hidden="1" x14ac:dyDescent="0.4">
      <c r="B2978" s="1">
        <v>45527</v>
      </c>
      <c r="C2978" s="16">
        <f>SUMIF(매도완료!$G:$G,Sheet2!$B2978,매도완료!$P:$P)+SUMIF(ING!$G:$G,Sheet2!$B2978,ING!$P:$P)</f>
        <v>0</v>
      </c>
      <c r="D2978" s="16">
        <f>SUMIF(매도완료!$J:$J,Sheet2!$B2978,매도완료!$P:$P)+SUMIF(ING!$J:$J,Sheet2!$B2978,ING!$P:$P)</f>
        <v>0</v>
      </c>
      <c r="E2978" s="16">
        <f t="shared" si="92"/>
        <v>92929442.332399994</v>
      </c>
      <c r="G2978" s="16">
        <f>IF(D2978=0,0,SUMIF(매도완료!$J:$J,Sheet2!$B2978,매도완료!$S:$S))+IF(D2978=0,0,SUMIF(ING!$J:$J,Sheet2!$B2978,ING!$S:$S))</f>
        <v>0</v>
      </c>
      <c r="H2978" s="16">
        <f t="shared" si="93"/>
        <v>705525.2008089415</v>
      </c>
    </row>
    <row r="2979" spans="2:8" hidden="1" x14ac:dyDescent="0.4">
      <c r="B2979" s="1">
        <v>45528</v>
      </c>
      <c r="C2979" s="16">
        <f>SUMIF(매도완료!$G:$G,Sheet2!$B2979,매도완료!$P:$P)+SUMIF(ING!$G:$G,Sheet2!$B2979,ING!$P:$P)</f>
        <v>0</v>
      </c>
      <c r="D2979" s="16">
        <f>SUMIF(매도완료!$J:$J,Sheet2!$B2979,매도완료!$P:$P)+SUMIF(ING!$J:$J,Sheet2!$B2979,ING!$P:$P)</f>
        <v>0</v>
      </c>
      <c r="E2979" s="16">
        <f t="shared" si="92"/>
        <v>92929442.332399994</v>
      </c>
      <c r="G2979" s="16">
        <f>IF(D2979=0,0,SUMIF(매도완료!$J:$J,Sheet2!$B2979,매도완료!$S:$S))+IF(D2979=0,0,SUMIF(ING!$J:$J,Sheet2!$B2979,ING!$S:$S))</f>
        <v>0</v>
      </c>
      <c r="H2979" s="16">
        <f t="shared" si="93"/>
        <v>705525.2008089415</v>
      </c>
    </row>
    <row r="2980" spans="2:8" hidden="1" x14ac:dyDescent="0.4">
      <c r="B2980" s="1">
        <v>45529</v>
      </c>
      <c r="C2980" s="16">
        <f>SUMIF(매도완료!$G:$G,Sheet2!$B2980,매도완료!$P:$P)+SUMIF(ING!$G:$G,Sheet2!$B2980,ING!$P:$P)</f>
        <v>0</v>
      </c>
      <c r="D2980" s="16">
        <f>SUMIF(매도완료!$J:$J,Sheet2!$B2980,매도완료!$P:$P)+SUMIF(ING!$J:$J,Sheet2!$B2980,ING!$P:$P)</f>
        <v>0</v>
      </c>
      <c r="E2980" s="16">
        <f t="shared" si="92"/>
        <v>92929442.332399994</v>
      </c>
      <c r="G2980" s="16">
        <f>IF(D2980=0,0,SUMIF(매도완료!$J:$J,Sheet2!$B2980,매도완료!$S:$S))+IF(D2980=0,0,SUMIF(ING!$J:$J,Sheet2!$B2980,ING!$S:$S))</f>
        <v>0</v>
      </c>
      <c r="H2980" s="16">
        <f t="shared" si="93"/>
        <v>705525.2008089415</v>
      </c>
    </row>
    <row r="2981" spans="2:8" hidden="1" x14ac:dyDescent="0.4">
      <c r="B2981" s="1">
        <v>45530</v>
      </c>
      <c r="C2981" s="16">
        <f>SUMIF(매도완료!$G:$G,Sheet2!$B2981,매도완료!$P:$P)+SUMIF(ING!$G:$G,Sheet2!$B2981,ING!$P:$P)</f>
        <v>0</v>
      </c>
      <c r="D2981" s="16">
        <f>SUMIF(매도완료!$J:$J,Sheet2!$B2981,매도완료!$P:$P)+SUMIF(ING!$J:$J,Sheet2!$B2981,ING!$P:$P)</f>
        <v>0</v>
      </c>
      <c r="E2981" s="16">
        <f t="shared" si="92"/>
        <v>92929442.332399994</v>
      </c>
      <c r="G2981" s="16">
        <f>IF(D2981=0,0,SUMIF(매도완료!$J:$J,Sheet2!$B2981,매도완료!$S:$S))+IF(D2981=0,0,SUMIF(ING!$J:$J,Sheet2!$B2981,ING!$S:$S))</f>
        <v>0</v>
      </c>
      <c r="H2981" s="16">
        <f t="shared" si="93"/>
        <v>705525.2008089415</v>
      </c>
    </row>
    <row r="2982" spans="2:8" hidden="1" x14ac:dyDescent="0.4">
      <c r="B2982" s="1">
        <v>45531</v>
      </c>
      <c r="C2982" s="16">
        <f>SUMIF(매도완료!$G:$G,Sheet2!$B2982,매도완료!$P:$P)+SUMIF(ING!$G:$G,Sheet2!$B2982,ING!$P:$P)</f>
        <v>0</v>
      </c>
      <c r="D2982" s="16">
        <f>SUMIF(매도완료!$J:$J,Sheet2!$B2982,매도완료!$P:$P)+SUMIF(ING!$J:$J,Sheet2!$B2982,ING!$P:$P)</f>
        <v>0</v>
      </c>
      <c r="E2982" s="16">
        <f t="shared" si="92"/>
        <v>92929442.332399994</v>
      </c>
      <c r="G2982" s="16">
        <f>IF(D2982=0,0,SUMIF(매도완료!$J:$J,Sheet2!$B2982,매도완료!$S:$S))+IF(D2982=0,0,SUMIF(ING!$J:$J,Sheet2!$B2982,ING!$S:$S))</f>
        <v>0</v>
      </c>
      <c r="H2982" s="16">
        <f t="shared" si="93"/>
        <v>705525.2008089415</v>
      </c>
    </row>
    <row r="2983" spans="2:8" hidden="1" x14ac:dyDescent="0.4">
      <c r="B2983" s="1">
        <v>45532</v>
      </c>
      <c r="C2983" s="16">
        <f>SUMIF(매도완료!$G:$G,Sheet2!$B2983,매도완료!$P:$P)+SUMIF(ING!$G:$G,Sheet2!$B2983,ING!$P:$P)</f>
        <v>0</v>
      </c>
      <c r="D2983" s="16">
        <f>SUMIF(매도완료!$J:$J,Sheet2!$B2983,매도완료!$P:$P)+SUMIF(ING!$J:$J,Sheet2!$B2983,ING!$P:$P)</f>
        <v>0</v>
      </c>
      <c r="E2983" s="16">
        <f t="shared" si="92"/>
        <v>92929442.332399994</v>
      </c>
      <c r="G2983" s="16">
        <f>IF(D2983=0,0,SUMIF(매도완료!$J:$J,Sheet2!$B2983,매도완료!$S:$S))+IF(D2983=0,0,SUMIF(ING!$J:$J,Sheet2!$B2983,ING!$S:$S))</f>
        <v>0</v>
      </c>
      <c r="H2983" s="16">
        <f t="shared" si="93"/>
        <v>705525.2008089415</v>
      </c>
    </row>
    <row r="2984" spans="2:8" hidden="1" x14ac:dyDescent="0.4">
      <c r="B2984" s="1">
        <v>45533</v>
      </c>
      <c r="C2984" s="16">
        <f>SUMIF(매도완료!$G:$G,Sheet2!$B2984,매도완료!$P:$P)+SUMIF(ING!$G:$G,Sheet2!$B2984,ING!$P:$P)</f>
        <v>0</v>
      </c>
      <c r="D2984" s="16">
        <f>SUMIF(매도완료!$J:$J,Sheet2!$B2984,매도완료!$P:$P)+SUMIF(ING!$J:$J,Sheet2!$B2984,ING!$P:$P)</f>
        <v>0</v>
      </c>
      <c r="E2984" s="16">
        <f t="shared" si="92"/>
        <v>92929442.332399994</v>
      </c>
      <c r="G2984" s="16">
        <f>IF(D2984=0,0,SUMIF(매도완료!$J:$J,Sheet2!$B2984,매도완료!$S:$S))+IF(D2984=0,0,SUMIF(ING!$J:$J,Sheet2!$B2984,ING!$S:$S))</f>
        <v>0</v>
      </c>
      <c r="H2984" s="16">
        <f t="shared" si="93"/>
        <v>705525.2008089415</v>
      </c>
    </row>
    <row r="2985" spans="2:8" hidden="1" x14ac:dyDescent="0.4">
      <c r="B2985" s="1">
        <v>45534</v>
      </c>
      <c r="C2985" s="16">
        <f>SUMIF(매도완료!$G:$G,Sheet2!$B2985,매도완료!$P:$P)+SUMIF(ING!$G:$G,Sheet2!$B2985,ING!$P:$P)</f>
        <v>0</v>
      </c>
      <c r="D2985" s="16">
        <f>SUMIF(매도완료!$J:$J,Sheet2!$B2985,매도완료!$P:$P)+SUMIF(ING!$J:$J,Sheet2!$B2985,ING!$P:$P)</f>
        <v>0</v>
      </c>
      <c r="E2985" s="16">
        <f t="shared" si="92"/>
        <v>92929442.332399994</v>
      </c>
      <c r="G2985" s="16">
        <f>IF(D2985=0,0,SUMIF(매도완료!$J:$J,Sheet2!$B2985,매도완료!$S:$S))+IF(D2985=0,0,SUMIF(ING!$J:$J,Sheet2!$B2985,ING!$S:$S))</f>
        <v>0</v>
      </c>
      <c r="H2985" s="16">
        <f t="shared" si="93"/>
        <v>705525.2008089415</v>
      </c>
    </row>
    <row r="2986" spans="2:8" hidden="1" x14ac:dyDescent="0.4">
      <c r="B2986" s="1">
        <v>45535</v>
      </c>
      <c r="C2986" s="16">
        <f>SUMIF(매도완료!$G:$G,Sheet2!$B2986,매도완료!$P:$P)+SUMIF(ING!$G:$G,Sheet2!$B2986,ING!$P:$P)</f>
        <v>0</v>
      </c>
      <c r="D2986" s="16">
        <f>SUMIF(매도완료!$J:$J,Sheet2!$B2986,매도완료!$P:$P)+SUMIF(ING!$J:$J,Sheet2!$B2986,ING!$P:$P)</f>
        <v>0</v>
      </c>
      <c r="E2986" s="16">
        <f t="shared" si="92"/>
        <v>92929442.332399994</v>
      </c>
      <c r="G2986" s="16">
        <f>IF(D2986=0,0,SUMIF(매도완료!$J:$J,Sheet2!$B2986,매도완료!$S:$S))+IF(D2986=0,0,SUMIF(ING!$J:$J,Sheet2!$B2986,ING!$S:$S))</f>
        <v>0</v>
      </c>
      <c r="H2986" s="16">
        <f t="shared" si="93"/>
        <v>705525.2008089415</v>
      </c>
    </row>
    <row r="2987" spans="2:8" hidden="1" x14ac:dyDescent="0.4">
      <c r="B2987" s="1">
        <v>45536</v>
      </c>
      <c r="C2987" s="16">
        <f>SUMIF(매도완료!$G:$G,Sheet2!$B2987,매도완료!$P:$P)+SUMIF(ING!$G:$G,Sheet2!$B2987,ING!$P:$P)</f>
        <v>0</v>
      </c>
      <c r="D2987" s="16">
        <f>SUMIF(매도완료!$J:$J,Sheet2!$B2987,매도완료!$P:$P)+SUMIF(ING!$J:$J,Sheet2!$B2987,ING!$P:$P)</f>
        <v>0</v>
      </c>
      <c r="E2987" s="16">
        <f t="shared" si="92"/>
        <v>92929442.332399994</v>
      </c>
      <c r="G2987" s="16">
        <f>IF(D2987=0,0,SUMIF(매도완료!$J:$J,Sheet2!$B2987,매도완료!$S:$S))+IF(D2987=0,0,SUMIF(ING!$J:$J,Sheet2!$B2987,ING!$S:$S))</f>
        <v>0</v>
      </c>
      <c r="H2987" s="16">
        <f t="shared" si="93"/>
        <v>705525.2008089415</v>
      </c>
    </row>
    <row r="2988" spans="2:8" hidden="1" x14ac:dyDescent="0.4">
      <c r="B2988" s="1">
        <v>45537</v>
      </c>
      <c r="C2988" s="16">
        <f>SUMIF(매도완료!$G:$G,Sheet2!$B2988,매도완료!$P:$P)+SUMIF(ING!$G:$G,Sheet2!$B2988,ING!$P:$P)</f>
        <v>0</v>
      </c>
      <c r="D2988" s="16">
        <f>SUMIF(매도완료!$J:$J,Sheet2!$B2988,매도완료!$P:$P)+SUMIF(ING!$J:$J,Sheet2!$B2988,ING!$P:$P)</f>
        <v>0</v>
      </c>
      <c r="E2988" s="16">
        <f t="shared" si="92"/>
        <v>92929442.332399994</v>
      </c>
      <c r="G2988" s="16">
        <f>IF(D2988=0,0,SUMIF(매도완료!$J:$J,Sheet2!$B2988,매도완료!$S:$S))+IF(D2988=0,0,SUMIF(ING!$J:$J,Sheet2!$B2988,ING!$S:$S))</f>
        <v>0</v>
      </c>
      <c r="H2988" s="16">
        <f t="shared" si="93"/>
        <v>705525.2008089415</v>
      </c>
    </row>
    <row r="2989" spans="2:8" hidden="1" x14ac:dyDescent="0.4">
      <c r="B2989" s="1">
        <v>45538</v>
      </c>
      <c r="C2989" s="16">
        <f>SUMIF(매도완료!$G:$G,Sheet2!$B2989,매도완료!$P:$P)+SUMIF(ING!$G:$G,Sheet2!$B2989,ING!$P:$P)</f>
        <v>0</v>
      </c>
      <c r="D2989" s="16">
        <f>SUMIF(매도완료!$J:$J,Sheet2!$B2989,매도완료!$P:$P)+SUMIF(ING!$J:$J,Sheet2!$B2989,ING!$P:$P)</f>
        <v>0</v>
      </c>
      <c r="E2989" s="16">
        <f t="shared" si="92"/>
        <v>92929442.332399994</v>
      </c>
      <c r="G2989" s="16">
        <f>IF(D2989=0,0,SUMIF(매도완료!$J:$J,Sheet2!$B2989,매도완료!$S:$S))+IF(D2989=0,0,SUMIF(ING!$J:$J,Sheet2!$B2989,ING!$S:$S))</f>
        <v>0</v>
      </c>
      <c r="H2989" s="16">
        <f t="shared" si="93"/>
        <v>705525.2008089415</v>
      </c>
    </row>
    <row r="2990" spans="2:8" hidden="1" x14ac:dyDescent="0.4">
      <c r="B2990" s="1">
        <v>45539</v>
      </c>
      <c r="C2990" s="16">
        <f>SUMIF(매도완료!$G:$G,Sheet2!$B2990,매도완료!$P:$P)+SUMIF(ING!$G:$G,Sheet2!$B2990,ING!$P:$P)</f>
        <v>0</v>
      </c>
      <c r="D2990" s="16">
        <f>SUMIF(매도완료!$J:$J,Sheet2!$B2990,매도완료!$P:$P)+SUMIF(ING!$J:$J,Sheet2!$B2990,ING!$P:$P)</f>
        <v>0</v>
      </c>
      <c r="E2990" s="16">
        <f t="shared" si="92"/>
        <v>92929442.332399994</v>
      </c>
      <c r="G2990" s="16">
        <f>IF(D2990=0,0,SUMIF(매도완료!$J:$J,Sheet2!$B2990,매도완료!$S:$S))+IF(D2990=0,0,SUMIF(ING!$J:$J,Sheet2!$B2990,ING!$S:$S))</f>
        <v>0</v>
      </c>
      <c r="H2990" s="16">
        <f t="shared" si="93"/>
        <v>705525.2008089415</v>
      </c>
    </row>
    <row r="2991" spans="2:8" hidden="1" x14ac:dyDescent="0.4">
      <c r="B2991" s="1">
        <v>45540</v>
      </c>
      <c r="C2991" s="16">
        <f>SUMIF(매도완료!$G:$G,Sheet2!$B2991,매도완료!$P:$P)+SUMIF(ING!$G:$G,Sheet2!$B2991,ING!$P:$P)</f>
        <v>0</v>
      </c>
      <c r="D2991" s="16">
        <f>SUMIF(매도완료!$J:$J,Sheet2!$B2991,매도완료!$P:$P)+SUMIF(ING!$J:$J,Sheet2!$B2991,ING!$P:$P)</f>
        <v>0</v>
      </c>
      <c r="E2991" s="16">
        <f t="shared" si="92"/>
        <v>92929442.332399994</v>
      </c>
      <c r="G2991" s="16">
        <f>IF(D2991=0,0,SUMIF(매도완료!$J:$J,Sheet2!$B2991,매도완료!$S:$S))+IF(D2991=0,0,SUMIF(ING!$J:$J,Sheet2!$B2991,ING!$S:$S))</f>
        <v>0</v>
      </c>
      <c r="H2991" s="16">
        <f t="shared" si="93"/>
        <v>705525.2008089415</v>
      </c>
    </row>
    <row r="2992" spans="2:8" hidden="1" x14ac:dyDescent="0.4">
      <c r="B2992" s="1">
        <v>45541</v>
      </c>
      <c r="C2992" s="16">
        <f>SUMIF(매도완료!$G:$G,Sheet2!$B2992,매도완료!$P:$P)+SUMIF(ING!$G:$G,Sheet2!$B2992,ING!$P:$P)</f>
        <v>0</v>
      </c>
      <c r="D2992" s="16">
        <f>SUMIF(매도완료!$J:$J,Sheet2!$B2992,매도완료!$P:$P)+SUMIF(ING!$J:$J,Sheet2!$B2992,ING!$P:$P)</f>
        <v>0</v>
      </c>
      <c r="E2992" s="16">
        <f t="shared" si="92"/>
        <v>92929442.332399994</v>
      </c>
      <c r="G2992" s="16">
        <f>IF(D2992=0,0,SUMIF(매도완료!$J:$J,Sheet2!$B2992,매도완료!$S:$S))+IF(D2992=0,0,SUMIF(ING!$J:$J,Sheet2!$B2992,ING!$S:$S))</f>
        <v>0</v>
      </c>
      <c r="H2992" s="16">
        <f t="shared" si="93"/>
        <v>705525.2008089415</v>
      </c>
    </row>
    <row r="2993" spans="2:8" hidden="1" x14ac:dyDescent="0.4">
      <c r="B2993" s="1">
        <v>45542</v>
      </c>
      <c r="C2993" s="16">
        <f>SUMIF(매도완료!$G:$G,Sheet2!$B2993,매도완료!$P:$P)+SUMIF(ING!$G:$G,Sheet2!$B2993,ING!$P:$P)</f>
        <v>0</v>
      </c>
      <c r="D2993" s="16">
        <f>SUMIF(매도완료!$J:$J,Sheet2!$B2993,매도완료!$P:$P)+SUMIF(ING!$J:$J,Sheet2!$B2993,ING!$P:$P)</f>
        <v>0</v>
      </c>
      <c r="E2993" s="16">
        <f t="shared" si="92"/>
        <v>92929442.332399994</v>
      </c>
      <c r="G2993" s="16">
        <f>IF(D2993=0,0,SUMIF(매도완료!$J:$J,Sheet2!$B2993,매도완료!$S:$S))+IF(D2993=0,0,SUMIF(ING!$J:$J,Sheet2!$B2993,ING!$S:$S))</f>
        <v>0</v>
      </c>
      <c r="H2993" s="16">
        <f t="shared" si="93"/>
        <v>705525.2008089415</v>
      </c>
    </row>
    <row r="2994" spans="2:8" hidden="1" x14ac:dyDescent="0.4">
      <c r="B2994" s="1">
        <v>45543</v>
      </c>
      <c r="C2994" s="16">
        <f>SUMIF(매도완료!$G:$G,Sheet2!$B2994,매도완료!$P:$P)+SUMIF(ING!$G:$G,Sheet2!$B2994,ING!$P:$P)</f>
        <v>0</v>
      </c>
      <c r="D2994" s="16">
        <f>SUMIF(매도완료!$J:$J,Sheet2!$B2994,매도완료!$P:$P)+SUMIF(ING!$J:$J,Sheet2!$B2994,ING!$P:$P)</f>
        <v>0</v>
      </c>
      <c r="E2994" s="16">
        <f t="shared" si="92"/>
        <v>92929442.332399994</v>
      </c>
      <c r="G2994" s="16">
        <f>IF(D2994=0,0,SUMIF(매도완료!$J:$J,Sheet2!$B2994,매도완료!$S:$S))+IF(D2994=0,0,SUMIF(ING!$J:$J,Sheet2!$B2994,ING!$S:$S))</f>
        <v>0</v>
      </c>
      <c r="H2994" s="16">
        <f t="shared" si="93"/>
        <v>705525.2008089415</v>
      </c>
    </row>
    <row r="2995" spans="2:8" hidden="1" x14ac:dyDescent="0.4">
      <c r="B2995" s="1">
        <v>45544</v>
      </c>
      <c r="C2995" s="16">
        <f>SUMIF(매도완료!$G:$G,Sheet2!$B2995,매도완료!$P:$P)+SUMIF(ING!$G:$G,Sheet2!$B2995,ING!$P:$P)</f>
        <v>0</v>
      </c>
      <c r="D2995" s="16">
        <f>SUMIF(매도완료!$J:$J,Sheet2!$B2995,매도완료!$P:$P)+SUMIF(ING!$J:$J,Sheet2!$B2995,ING!$P:$P)</f>
        <v>0</v>
      </c>
      <c r="E2995" s="16">
        <f t="shared" si="92"/>
        <v>92929442.332399994</v>
      </c>
      <c r="G2995" s="16">
        <f>IF(D2995=0,0,SUMIF(매도완료!$J:$J,Sheet2!$B2995,매도완료!$S:$S))+IF(D2995=0,0,SUMIF(ING!$J:$J,Sheet2!$B2995,ING!$S:$S))</f>
        <v>0</v>
      </c>
      <c r="H2995" s="16">
        <f t="shared" si="93"/>
        <v>705525.2008089415</v>
      </c>
    </row>
    <row r="2996" spans="2:8" hidden="1" x14ac:dyDescent="0.4">
      <c r="B2996" s="1">
        <v>45545</v>
      </c>
      <c r="C2996" s="16">
        <f>SUMIF(매도완료!$G:$G,Sheet2!$B2996,매도완료!$P:$P)+SUMIF(ING!$G:$G,Sheet2!$B2996,ING!$P:$P)</f>
        <v>0</v>
      </c>
      <c r="D2996" s="16">
        <f>SUMIF(매도완료!$J:$J,Sheet2!$B2996,매도완료!$P:$P)+SUMIF(ING!$J:$J,Sheet2!$B2996,ING!$P:$P)</f>
        <v>0</v>
      </c>
      <c r="E2996" s="16">
        <f t="shared" si="92"/>
        <v>92929442.332399994</v>
      </c>
      <c r="G2996" s="16">
        <f>IF(D2996=0,0,SUMIF(매도완료!$J:$J,Sheet2!$B2996,매도완료!$S:$S))+IF(D2996=0,0,SUMIF(ING!$J:$J,Sheet2!$B2996,ING!$S:$S))</f>
        <v>0</v>
      </c>
      <c r="H2996" s="16">
        <f t="shared" si="93"/>
        <v>705525.2008089415</v>
      </c>
    </row>
    <row r="2997" spans="2:8" hidden="1" x14ac:dyDescent="0.4">
      <c r="B2997" s="1">
        <v>45546</v>
      </c>
      <c r="C2997" s="16">
        <f>SUMIF(매도완료!$G:$G,Sheet2!$B2997,매도완료!$P:$P)+SUMIF(ING!$G:$G,Sheet2!$B2997,ING!$P:$P)</f>
        <v>0</v>
      </c>
      <c r="D2997" s="16">
        <f>SUMIF(매도완료!$J:$J,Sheet2!$B2997,매도완료!$P:$P)+SUMIF(ING!$J:$J,Sheet2!$B2997,ING!$P:$P)</f>
        <v>0</v>
      </c>
      <c r="E2997" s="16">
        <f t="shared" si="92"/>
        <v>92929442.332399994</v>
      </c>
      <c r="G2997" s="16">
        <f>IF(D2997=0,0,SUMIF(매도완료!$J:$J,Sheet2!$B2997,매도완료!$S:$S))+IF(D2997=0,0,SUMIF(ING!$J:$J,Sheet2!$B2997,ING!$S:$S))</f>
        <v>0</v>
      </c>
      <c r="H2997" s="16">
        <f t="shared" si="93"/>
        <v>705525.2008089415</v>
      </c>
    </row>
    <row r="2998" spans="2:8" hidden="1" x14ac:dyDescent="0.4">
      <c r="B2998" s="1">
        <v>45547</v>
      </c>
      <c r="C2998" s="16">
        <f>SUMIF(매도완료!$G:$G,Sheet2!$B2998,매도완료!$P:$P)+SUMIF(ING!$G:$G,Sheet2!$B2998,ING!$P:$P)</f>
        <v>0</v>
      </c>
      <c r="D2998" s="16">
        <f>SUMIF(매도완료!$J:$J,Sheet2!$B2998,매도완료!$P:$P)+SUMIF(ING!$J:$J,Sheet2!$B2998,ING!$P:$P)</f>
        <v>0</v>
      </c>
      <c r="E2998" s="16">
        <f t="shared" si="92"/>
        <v>92929442.332399994</v>
      </c>
      <c r="G2998" s="16">
        <f>IF(D2998=0,0,SUMIF(매도완료!$J:$J,Sheet2!$B2998,매도완료!$S:$S))+IF(D2998=0,0,SUMIF(ING!$J:$J,Sheet2!$B2998,ING!$S:$S))</f>
        <v>0</v>
      </c>
      <c r="H2998" s="16">
        <f t="shared" si="93"/>
        <v>705525.2008089415</v>
      </c>
    </row>
    <row r="2999" spans="2:8" hidden="1" x14ac:dyDescent="0.4">
      <c r="B2999" s="1">
        <v>45548</v>
      </c>
      <c r="C2999" s="16">
        <f>SUMIF(매도완료!$G:$G,Sheet2!$B2999,매도완료!$P:$P)+SUMIF(ING!$G:$G,Sheet2!$B2999,ING!$P:$P)</f>
        <v>0</v>
      </c>
      <c r="D2999" s="16">
        <f>SUMIF(매도완료!$J:$J,Sheet2!$B2999,매도완료!$P:$P)+SUMIF(ING!$J:$J,Sheet2!$B2999,ING!$P:$P)</f>
        <v>0</v>
      </c>
      <c r="E2999" s="16">
        <f t="shared" si="92"/>
        <v>92929442.332399994</v>
      </c>
      <c r="G2999" s="16">
        <f>IF(D2999=0,0,SUMIF(매도완료!$J:$J,Sheet2!$B2999,매도완료!$S:$S))+IF(D2999=0,0,SUMIF(ING!$J:$J,Sheet2!$B2999,ING!$S:$S))</f>
        <v>0</v>
      </c>
      <c r="H2999" s="16">
        <f t="shared" si="93"/>
        <v>705525.2008089415</v>
      </c>
    </row>
    <row r="3000" spans="2:8" hidden="1" x14ac:dyDescent="0.4">
      <c r="B3000" s="1">
        <v>45549</v>
      </c>
      <c r="C3000" s="16">
        <f>SUMIF(매도완료!$G:$G,Sheet2!$B3000,매도완료!$P:$P)+SUMIF(ING!$G:$G,Sheet2!$B3000,ING!$P:$P)</f>
        <v>0</v>
      </c>
      <c r="D3000" s="16">
        <f>SUMIF(매도완료!$J:$J,Sheet2!$B3000,매도완료!$P:$P)+SUMIF(ING!$J:$J,Sheet2!$B3000,ING!$P:$P)</f>
        <v>0</v>
      </c>
      <c r="E3000" s="16">
        <f t="shared" si="92"/>
        <v>92929442.332399994</v>
      </c>
      <c r="G3000" s="16">
        <f>IF(D3000=0,0,SUMIF(매도완료!$J:$J,Sheet2!$B3000,매도완료!$S:$S))+IF(D3000=0,0,SUMIF(ING!$J:$J,Sheet2!$B3000,ING!$S:$S))</f>
        <v>0</v>
      </c>
      <c r="H3000" s="16">
        <f t="shared" si="93"/>
        <v>705525.2008089415</v>
      </c>
    </row>
    <row r="3001" spans="2:8" hidden="1" x14ac:dyDescent="0.4">
      <c r="B3001" s="1">
        <v>45550</v>
      </c>
      <c r="C3001" s="16">
        <f>SUMIF(매도완료!$G:$G,Sheet2!$B3001,매도완료!$P:$P)+SUMIF(ING!$G:$G,Sheet2!$B3001,ING!$P:$P)</f>
        <v>0</v>
      </c>
      <c r="D3001" s="16">
        <f>SUMIF(매도완료!$J:$J,Sheet2!$B3001,매도완료!$P:$P)+SUMIF(ING!$J:$J,Sheet2!$B3001,ING!$P:$P)</f>
        <v>0</v>
      </c>
      <c r="E3001" s="16">
        <f t="shared" si="92"/>
        <v>92929442.332399994</v>
      </c>
      <c r="G3001" s="16">
        <f>IF(D3001=0,0,SUMIF(매도완료!$J:$J,Sheet2!$B3001,매도완료!$S:$S))+IF(D3001=0,0,SUMIF(ING!$J:$J,Sheet2!$B3001,ING!$S:$S))</f>
        <v>0</v>
      </c>
      <c r="H3001" s="16">
        <f t="shared" si="93"/>
        <v>705525.2008089415</v>
      </c>
    </row>
    <row r="3002" spans="2:8" hidden="1" x14ac:dyDescent="0.4">
      <c r="B3002" s="1">
        <v>45551</v>
      </c>
      <c r="C3002" s="16">
        <f>SUMIF(매도완료!$G:$G,Sheet2!$B3002,매도완료!$P:$P)+SUMIF(ING!$G:$G,Sheet2!$B3002,ING!$P:$P)</f>
        <v>0</v>
      </c>
      <c r="D3002" s="16">
        <f>SUMIF(매도완료!$J:$J,Sheet2!$B3002,매도완료!$P:$P)+SUMIF(ING!$J:$J,Sheet2!$B3002,ING!$P:$P)</f>
        <v>0</v>
      </c>
      <c r="E3002" s="16">
        <f t="shared" si="92"/>
        <v>92929442.332399994</v>
      </c>
      <c r="G3002" s="16">
        <f>IF(D3002=0,0,SUMIF(매도완료!$J:$J,Sheet2!$B3002,매도완료!$S:$S))+IF(D3002=0,0,SUMIF(ING!$J:$J,Sheet2!$B3002,ING!$S:$S))</f>
        <v>0</v>
      </c>
      <c r="H3002" s="16">
        <f t="shared" si="93"/>
        <v>705525.2008089415</v>
      </c>
    </row>
    <row r="3003" spans="2:8" hidden="1" x14ac:dyDescent="0.4">
      <c r="B3003" s="1">
        <v>45552</v>
      </c>
      <c r="C3003" s="16">
        <f>SUMIF(매도완료!$G:$G,Sheet2!$B3003,매도완료!$P:$P)+SUMIF(ING!$G:$G,Sheet2!$B3003,ING!$P:$P)</f>
        <v>0</v>
      </c>
      <c r="D3003" s="16">
        <f>SUMIF(매도완료!$J:$J,Sheet2!$B3003,매도완료!$P:$P)+SUMIF(ING!$J:$J,Sheet2!$B3003,ING!$P:$P)</f>
        <v>0</v>
      </c>
      <c r="E3003" s="16">
        <f t="shared" si="92"/>
        <v>92929442.332399994</v>
      </c>
      <c r="G3003" s="16">
        <f>IF(D3003=0,0,SUMIF(매도완료!$J:$J,Sheet2!$B3003,매도완료!$S:$S))+IF(D3003=0,0,SUMIF(ING!$J:$J,Sheet2!$B3003,ING!$S:$S))</f>
        <v>0</v>
      </c>
      <c r="H3003" s="16">
        <f t="shared" si="93"/>
        <v>705525.2008089415</v>
      </c>
    </row>
    <row r="3004" spans="2:8" hidden="1" x14ac:dyDescent="0.4">
      <c r="B3004" s="1">
        <v>45553</v>
      </c>
      <c r="C3004" s="16">
        <f>SUMIF(매도완료!$G:$G,Sheet2!$B3004,매도완료!$P:$P)+SUMIF(ING!$G:$G,Sheet2!$B3004,ING!$P:$P)</f>
        <v>0</v>
      </c>
      <c r="D3004" s="16">
        <f>SUMIF(매도완료!$J:$J,Sheet2!$B3004,매도완료!$P:$P)+SUMIF(ING!$J:$J,Sheet2!$B3004,ING!$P:$P)</f>
        <v>0</v>
      </c>
      <c r="E3004" s="16">
        <f t="shared" si="92"/>
        <v>92929442.332399994</v>
      </c>
      <c r="G3004" s="16">
        <f>IF(D3004=0,0,SUMIF(매도완료!$J:$J,Sheet2!$B3004,매도완료!$S:$S))+IF(D3004=0,0,SUMIF(ING!$J:$J,Sheet2!$B3004,ING!$S:$S))</f>
        <v>0</v>
      </c>
      <c r="H3004" s="16">
        <f t="shared" si="93"/>
        <v>705525.2008089415</v>
      </c>
    </row>
    <row r="3005" spans="2:8" hidden="1" x14ac:dyDescent="0.4">
      <c r="B3005" s="1">
        <v>45554</v>
      </c>
      <c r="C3005" s="16">
        <f>SUMIF(매도완료!$G:$G,Sheet2!$B3005,매도완료!$P:$P)+SUMIF(ING!$G:$G,Sheet2!$B3005,ING!$P:$P)</f>
        <v>0</v>
      </c>
      <c r="D3005" s="16">
        <f>SUMIF(매도완료!$J:$J,Sheet2!$B3005,매도완료!$P:$P)+SUMIF(ING!$J:$J,Sheet2!$B3005,ING!$P:$P)</f>
        <v>0</v>
      </c>
      <c r="E3005" s="16">
        <f t="shared" si="92"/>
        <v>92929442.332399994</v>
      </c>
      <c r="G3005" s="16">
        <f>IF(D3005=0,0,SUMIF(매도완료!$J:$J,Sheet2!$B3005,매도완료!$S:$S))+IF(D3005=0,0,SUMIF(ING!$J:$J,Sheet2!$B3005,ING!$S:$S))</f>
        <v>0</v>
      </c>
      <c r="H3005" s="16">
        <f t="shared" si="93"/>
        <v>705525.2008089415</v>
      </c>
    </row>
    <row r="3006" spans="2:8" hidden="1" x14ac:dyDescent="0.4">
      <c r="B3006" s="1">
        <v>45555</v>
      </c>
      <c r="C3006" s="16">
        <f>SUMIF(매도완료!$G:$G,Sheet2!$B3006,매도완료!$P:$P)+SUMIF(ING!$G:$G,Sheet2!$B3006,ING!$P:$P)</f>
        <v>0</v>
      </c>
      <c r="D3006" s="16">
        <f>SUMIF(매도완료!$J:$J,Sheet2!$B3006,매도완료!$P:$P)+SUMIF(ING!$J:$J,Sheet2!$B3006,ING!$P:$P)</f>
        <v>0</v>
      </c>
      <c r="E3006" s="16">
        <f t="shared" si="92"/>
        <v>92929442.332399994</v>
      </c>
      <c r="G3006" s="16">
        <f>IF(D3006=0,0,SUMIF(매도완료!$J:$J,Sheet2!$B3006,매도완료!$S:$S))+IF(D3006=0,0,SUMIF(ING!$J:$J,Sheet2!$B3006,ING!$S:$S))</f>
        <v>0</v>
      </c>
      <c r="H3006" s="16">
        <f t="shared" si="93"/>
        <v>705525.2008089415</v>
      </c>
    </row>
    <row r="3007" spans="2:8" hidden="1" x14ac:dyDescent="0.4">
      <c r="B3007" s="1">
        <v>45556</v>
      </c>
      <c r="C3007" s="16">
        <f>SUMIF(매도완료!$G:$G,Sheet2!$B3007,매도완료!$P:$P)+SUMIF(ING!$G:$G,Sheet2!$B3007,ING!$P:$P)</f>
        <v>0</v>
      </c>
      <c r="D3007" s="16">
        <f>SUMIF(매도완료!$J:$J,Sheet2!$B3007,매도완료!$P:$P)+SUMIF(ING!$J:$J,Sheet2!$B3007,ING!$P:$P)</f>
        <v>0</v>
      </c>
      <c r="E3007" s="16">
        <f t="shared" si="92"/>
        <v>92929442.332399994</v>
      </c>
      <c r="G3007" s="16">
        <f>IF(D3007=0,0,SUMIF(매도완료!$J:$J,Sheet2!$B3007,매도완료!$S:$S))+IF(D3007=0,0,SUMIF(ING!$J:$J,Sheet2!$B3007,ING!$S:$S))</f>
        <v>0</v>
      </c>
      <c r="H3007" s="16">
        <f t="shared" si="93"/>
        <v>705525.2008089415</v>
      </c>
    </row>
    <row r="3008" spans="2:8" hidden="1" x14ac:dyDescent="0.4">
      <c r="B3008" s="1">
        <v>45557</v>
      </c>
      <c r="C3008" s="16">
        <f>SUMIF(매도완료!$G:$G,Sheet2!$B3008,매도완료!$P:$P)+SUMIF(ING!$G:$G,Sheet2!$B3008,ING!$P:$P)</f>
        <v>0</v>
      </c>
      <c r="D3008" s="16">
        <f>SUMIF(매도완료!$J:$J,Sheet2!$B3008,매도완료!$P:$P)+SUMIF(ING!$J:$J,Sheet2!$B3008,ING!$P:$P)</f>
        <v>0</v>
      </c>
      <c r="E3008" s="16">
        <f t="shared" si="92"/>
        <v>92929442.332399994</v>
      </c>
      <c r="G3008" s="16">
        <f>IF(D3008=0,0,SUMIF(매도완료!$J:$J,Sheet2!$B3008,매도완료!$S:$S))+IF(D3008=0,0,SUMIF(ING!$J:$J,Sheet2!$B3008,ING!$S:$S))</f>
        <v>0</v>
      </c>
      <c r="H3008" s="16">
        <f t="shared" si="93"/>
        <v>705525.2008089415</v>
      </c>
    </row>
    <row r="3009" spans="2:8" hidden="1" x14ac:dyDescent="0.4">
      <c r="B3009" s="1">
        <v>45558</v>
      </c>
      <c r="C3009" s="16">
        <f>SUMIF(매도완료!$G:$G,Sheet2!$B3009,매도완료!$P:$P)+SUMIF(ING!$G:$G,Sheet2!$B3009,ING!$P:$P)</f>
        <v>0</v>
      </c>
      <c r="D3009" s="16">
        <f>SUMIF(매도완료!$J:$J,Sheet2!$B3009,매도완료!$P:$P)+SUMIF(ING!$J:$J,Sheet2!$B3009,ING!$P:$P)</f>
        <v>0</v>
      </c>
      <c r="E3009" s="16">
        <f t="shared" si="92"/>
        <v>92929442.332399994</v>
      </c>
      <c r="G3009" s="16">
        <f>IF(D3009=0,0,SUMIF(매도완료!$J:$J,Sheet2!$B3009,매도완료!$S:$S))+IF(D3009=0,0,SUMIF(ING!$J:$J,Sheet2!$B3009,ING!$S:$S))</f>
        <v>0</v>
      </c>
      <c r="H3009" s="16">
        <f t="shared" si="93"/>
        <v>705525.2008089415</v>
      </c>
    </row>
    <row r="3010" spans="2:8" hidden="1" x14ac:dyDescent="0.4">
      <c r="B3010" s="1">
        <v>45559</v>
      </c>
      <c r="C3010" s="16">
        <f>SUMIF(매도완료!$G:$G,Sheet2!$B3010,매도완료!$P:$P)+SUMIF(ING!$G:$G,Sheet2!$B3010,ING!$P:$P)</f>
        <v>0</v>
      </c>
      <c r="D3010" s="16">
        <f>SUMIF(매도완료!$J:$J,Sheet2!$B3010,매도완료!$P:$P)+SUMIF(ING!$J:$J,Sheet2!$B3010,ING!$P:$P)</f>
        <v>0</v>
      </c>
      <c r="E3010" s="16">
        <f t="shared" si="92"/>
        <v>92929442.332399994</v>
      </c>
      <c r="G3010" s="16">
        <f>IF(D3010=0,0,SUMIF(매도완료!$J:$J,Sheet2!$B3010,매도완료!$S:$S))+IF(D3010=0,0,SUMIF(ING!$J:$J,Sheet2!$B3010,ING!$S:$S))</f>
        <v>0</v>
      </c>
      <c r="H3010" s="16">
        <f t="shared" si="93"/>
        <v>705525.2008089415</v>
      </c>
    </row>
    <row r="3011" spans="2:8" hidden="1" x14ac:dyDescent="0.4">
      <c r="B3011" s="1">
        <v>45560</v>
      </c>
      <c r="C3011" s="16">
        <f>SUMIF(매도완료!$G:$G,Sheet2!$B3011,매도완료!$P:$P)+SUMIF(ING!$G:$G,Sheet2!$B3011,ING!$P:$P)</f>
        <v>0</v>
      </c>
      <c r="D3011" s="16">
        <f>SUMIF(매도완료!$J:$J,Sheet2!$B3011,매도완료!$P:$P)+SUMIF(ING!$J:$J,Sheet2!$B3011,ING!$P:$P)</f>
        <v>0</v>
      </c>
      <c r="E3011" s="16">
        <f t="shared" si="92"/>
        <v>92929442.332399994</v>
      </c>
      <c r="G3011" s="16">
        <f>IF(D3011=0,0,SUMIF(매도완료!$J:$J,Sheet2!$B3011,매도완료!$S:$S))+IF(D3011=0,0,SUMIF(ING!$J:$J,Sheet2!$B3011,ING!$S:$S))</f>
        <v>0</v>
      </c>
      <c r="H3011" s="16">
        <f t="shared" si="93"/>
        <v>705525.2008089415</v>
      </c>
    </row>
    <row r="3012" spans="2:8" hidden="1" x14ac:dyDescent="0.4">
      <c r="B3012" s="1">
        <v>45561</v>
      </c>
      <c r="C3012" s="16">
        <f>SUMIF(매도완료!$G:$G,Sheet2!$B3012,매도완료!$P:$P)+SUMIF(ING!$G:$G,Sheet2!$B3012,ING!$P:$P)</f>
        <v>0</v>
      </c>
      <c r="D3012" s="16">
        <f>SUMIF(매도완료!$J:$J,Sheet2!$B3012,매도완료!$P:$P)+SUMIF(ING!$J:$J,Sheet2!$B3012,ING!$P:$P)</f>
        <v>0</v>
      </c>
      <c r="E3012" s="16">
        <f t="shared" ref="E3012:E3075" si="94">E3011+C3012-D3012</f>
        <v>92929442.332399994</v>
      </c>
      <c r="G3012" s="16">
        <f>IF(D3012=0,0,SUMIF(매도완료!$J:$J,Sheet2!$B3012,매도완료!$S:$S))+IF(D3012=0,0,SUMIF(ING!$J:$J,Sheet2!$B3012,ING!$S:$S))</f>
        <v>0</v>
      </c>
      <c r="H3012" s="16">
        <f t="shared" ref="H3012:H3075" si="95">H3011+G3012</f>
        <v>705525.2008089415</v>
      </c>
    </row>
    <row r="3013" spans="2:8" hidden="1" x14ac:dyDescent="0.4">
      <c r="B3013" s="1">
        <v>45562</v>
      </c>
      <c r="C3013" s="16">
        <f>SUMIF(매도완료!$G:$G,Sheet2!$B3013,매도완료!$P:$P)+SUMIF(ING!$G:$G,Sheet2!$B3013,ING!$P:$P)</f>
        <v>13540000</v>
      </c>
      <c r="D3013" s="16">
        <f>SUMIF(매도완료!$J:$J,Sheet2!$B3013,매도완료!$P:$P)+SUMIF(ING!$J:$J,Sheet2!$B3013,ING!$P:$P)</f>
        <v>8220000</v>
      </c>
      <c r="E3013" s="16">
        <f t="shared" si="94"/>
        <v>98249442.332399994</v>
      </c>
      <c r="G3013" s="16">
        <f>IF(D3013=0,0,SUMIF(매도완료!$J:$J,Sheet2!$B3013,매도완료!$S:$S))+IF(D3013=0,0,SUMIF(ING!$J:$J,Sheet2!$B3013,ING!$S:$S))</f>
        <v>102504</v>
      </c>
      <c r="H3013" s="16">
        <f t="shared" si="95"/>
        <v>808029.2008089415</v>
      </c>
    </row>
    <row r="3014" spans="2:8" hidden="1" x14ac:dyDescent="0.4">
      <c r="B3014" s="1">
        <v>45563</v>
      </c>
      <c r="C3014" s="16">
        <f>SUMIF(매도완료!$G:$G,Sheet2!$B3014,매도완료!$P:$P)+SUMIF(ING!$G:$G,Sheet2!$B3014,ING!$P:$P)</f>
        <v>0</v>
      </c>
      <c r="D3014" s="16">
        <f>SUMIF(매도완료!$J:$J,Sheet2!$B3014,매도완료!$P:$P)+SUMIF(ING!$J:$J,Sheet2!$B3014,ING!$P:$P)</f>
        <v>0</v>
      </c>
      <c r="E3014" s="16">
        <f t="shared" si="94"/>
        <v>98249442.332399994</v>
      </c>
      <c r="G3014" s="16">
        <f>IF(D3014=0,0,SUMIF(매도완료!$J:$J,Sheet2!$B3014,매도완료!$S:$S))+IF(D3014=0,0,SUMIF(ING!$J:$J,Sheet2!$B3014,ING!$S:$S))</f>
        <v>0</v>
      </c>
      <c r="H3014" s="16">
        <f t="shared" si="95"/>
        <v>808029.2008089415</v>
      </c>
    </row>
    <row r="3015" spans="2:8" hidden="1" x14ac:dyDescent="0.4">
      <c r="B3015" s="1">
        <v>45564</v>
      </c>
      <c r="C3015" s="16">
        <f>SUMIF(매도완료!$G:$G,Sheet2!$B3015,매도완료!$P:$P)+SUMIF(ING!$G:$G,Sheet2!$B3015,ING!$P:$P)</f>
        <v>0</v>
      </c>
      <c r="D3015" s="16">
        <f>SUMIF(매도완료!$J:$J,Sheet2!$B3015,매도완료!$P:$P)+SUMIF(ING!$J:$J,Sheet2!$B3015,ING!$P:$P)</f>
        <v>0</v>
      </c>
      <c r="E3015" s="16">
        <f t="shared" si="94"/>
        <v>98249442.332399994</v>
      </c>
      <c r="G3015" s="16">
        <f>IF(D3015=0,0,SUMIF(매도완료!$J:$J,Sheet2!$B3015,매도완료!$S:$S))+IF(D3015=0,0,SUMIF(ING!$J:$J,Sheet2!$B3015,ING!$S:$S))</f>
        <v>0</v>
      </c>
      <c r="H3015" s="16">
        <f t="shared" si="95"/>
        <v>808029.2008089415</v>
      </c>
    </row>
    <row r="3016" spans="2:8" hidden="1" x14ac:dyDescent="0.4">
      <c r="B3016" s="1">
        <v>45565</v>
      </c>
      <c r="C3016" s="16">
        <f>SUMIF(매도완료!$G:$G,Sheet2!$B3016,매도완료!$P:$P)+SUMIF(ING!$G:$G,Sheet2!$B3016,ING!$P:$P)</f>
        <v>0</v>
      </c>
      <c r="D3016" s="16">
        <f>SUMIF(매도완료!$J:$J,Sheet2!$B3016,매도완료!$P:$P)+SUMIF(ING!$J:$J,Sheet2!$B3016,ING!$P:$P)</f>
        <v>0</v>
      </c>
      <c r="E3016" s="16">
        <f t="shared" si="94"/>
        <v>98249442.332399994</v>
      </c>
      <c r="G3016" s="16">
        <f>IF(D3016=0,0,SUMIF(매도완료!$J:$J,Sheet2!$B3016,매도완료!$S:$S))+IF(D3016=0,0,SUMIF(ING!$J:$J,Sheet2!$B3016,ING!$S:$S))</f>
        <v>0</v>
      </c>
      <c r="H3016" s="16">
        <f t="shared" si="95"/>
        <v>808029.2008089415</v>
      </c>
    </row>
    <row r="3017" spans="2:8" hidden="1" x14ac:dyDescent="0.4">
      <c r="B3017" s="1">
        <v>45566</v>
      </c>
      <c r="C3017" s="16">
        <f>SUMIF(매도완료!$G:$G,Sheet2!$B3017,매도완료!$P:$P)+SUMIF(ING!$G:$G,Sheet2!$B3017,ING!$P:$P)</f>
        <v>0</v>
      </c>
      <c r="D3017" s="16">
        <f>SUMIF(매도완료!$J:$J,Sheet2!$B3017,매도완료!$P:$P)+SUMIF(ING!$J:$J,Sheet2!$B3017,ING!$P:$P)</f>
        <v>0</v>
      </c>
      <c r="E3017" s="16">
        <f t="shared" si="94"/>
        <v>98249442.332399994</v>
      </c>
      <c r="G3017" s="16">
        <f>IF(D3017=0,0,SUMIF(매도완료!$J:$J,Sheet2!$B3017,매도완료!$S:$S))+IF(D3017=0,0,SUMIF(ING!$J:$J,Sheet2!$B3017,ING!$S:$S))</f>
        <v>0</v>
      </c>
      <c r="H3017" s="16">
        <f t="shared" si="95"/>
        <v>808029.2008089415</v>
      </c>
    </row>
    <row r="3018" spans="2:8" hidden="1" x14ac:dyDescent="0.4">
      <c r="B3018" s="1">
        <v>45567</v>
      </c>
      <c r="C3018" s="16">
        <f>SUMIF(매도완료!$G:$G,Sheet2!$B3018,매도완료!$P:$P)+SUMIF(ING!$G:$G,Sheet2!$B3018,ING!$P:$P)</f>
        <v>0</v>
      </c>
      <c r="D3018" s="16">
        <f>SUMIF(매도완료!$J:$J,Sheet2!$B3018,매도완료!$P:$P)+SUMIF(ING!$J:$J,Sheet2!$B3018,ING!$P:$P)</f>
        <v>0</v>
      </c>
      <c r="E3018" s="16">
        <f t="shared" si="94"/>
        <v>98249442.332399994</v>
      </c>
      <c r="G3018" s="16">
        <f>IF(D3018=0,0,SUMIF(매도완료!$J:$J,Sheet2!$B3018,매도완료!$S:$S))+IF(D3018=0,0,SUMIF(ING!$J:$J,Sheet2!$B3018,ING!$S:$S))</f>
        <v>0</v>
      </c>
      <c r="H3018" s="16">
        <f t="shared" si="95"/>
        <v>808029.2008089415</v>
      </c>
    </row>
    <row r="3019" spans="2:8" hidden="1" x14ac:dyDescent="0.4">
      <c r="B3019" s="1">
        <v>45568</v>
      </c>
      <c r="C3019" s="16">
        <f>SUMIF(매도완료!$G:$G,Sheet2!$B3019,매도완료!$P:$P)+SUMIF(ING!$G:$G,Sheet2!$B3019,ING!$P:$P)</f>
        <v>0</v>
      </c>
      <c r="D3019" s="16">
        <f>SUMIF(매도완료!$J:$J,Sheet2!$B3019,매도완료!$P:$P)+SUMIF(ING!$J:$J,Sheet2!$B3019,ING!$P:$P)</f>
        <v>0</v>
      </c>
      <c r="E3019" s="16">
        <f t="shared" si="94"/>
        <v>98249442.332399994</v>
      </c>
      <c r="G3019" s="16">
        <f>IF(D3019=0,0,SUMIF(매도완료!$J:$J,Sheet2!$B3019,매도완료!$S:$S))+IF(D3019=0,0,SUMIF(ING!$J:$J,Sheet2!$B3019,ING!$S:$S))</f>
        <v>0</v>
      </c>
      <c r="H3019" s="16">
        <f t="shared" si="95"/>
        <v>808029.2008089415</v>
      </c>
    </row>
    <row r="3020" spans="2:8" hidden="1" x14ac:dyDescent="0.4">
      <c r="B3020" s="1">
        <v>45569</v>
      </c>
      <c r="C3020" s="16">
        <f>SUMIF(매도완료!$G:$G,Sheet2!$B3020,매도완료!$P:$P)+SUMIF(ING!$G:$G,Sheet2!$B3020,ING!$P:$P)</f>
        <v>0</v>
      </c>
      <c r="D3020" s="16">
        <f>SUMIF(매도완료!$J:$J,Sheet2!$B3020,매도완료!$P:$P)+SUMIF(ING!$J:$J,Sheet2!$B3020,ING!$P:$P)</f>
        <v>0</v>
      </c>
      <c r="E3020" s="16">
        <f t="shared" si="94"/>
        <v>98249442.332399994</v>
      </c>
      <c r="G3020" s="16">
        <f>IF(D3020=0,0,SUMIF(매도완료!$J:$J,Sheet2!$B3020,매도완료!$S:$S))+IF(D3020=0,0,SUMIF(ING!$J:$J,Sheet2!$B3020,ING!$S:$S))</f>
        <v>0</v>
      </c>
      <c r="H3020" s="16">
        <f t="shared" si="95"/>
        <v>808029.2008089415</v>
      </c>
    </row>
    <row r="3021" spans="2:8" hidden="1" x14ac:dyDescent="0.4">
      <c r="B3021" s="1">
        <v>45570</v>
      </c>
      <c r="C3021" s="16">
        <f>SUMIF(매도완료!$G:$G,Sheet2!$B3021,매도완료!$P:$P)+SUMIF(ING!$G:$G,Sheet2!$B3021,ING!$P:$P)</f>
        <v>0</v>
      </c>
      <c r="D3021" s="16">
        <f>SUMIF(매도완료!$J:$J,Sheet2!$B3021,매도완료!$P:$P)+SUMIF(ING!$J:$J,Sheet2!$B3021,ING!$P:$P)</f>
        <v>0</v>
      </c>
      <c r="E3021" s="16">
        <f t="shared" si="94"/>
        <v>98249442.332399994</v>
      </c>
      <c r="G3021" s="16">
        <f>IF(D3021=0,0,SUMIF(매도완료!$J:$J,Sheet2!$B3021,매도완료!$S:$S))+IF(D3021=0,0,SUMIF(ING!$J:$J,Sheet2!$B3021,ING!$S:$S))</f>
        <v>0</v>
      </c>
      <c r="H3021" s="16">
        <f t="shared" si="95"/>
        <v>808029.2008089415</v>
      </c>
    </row>
    <row r="3022" spans="2:8" hidden="1" x14ac:dyDescent="0.4">
      <c r="B3022" s="1">
        <v>45571</v>
      </c>
      <c r="C3022" s="16">
        <f>SUMIF(매도완료!$G:$G,Sheet2!$B3022,매도완료!$P:$P)+SUMIF(ING!$G:$G,Sheet2!$B3022,ING!$P:$P)</f>
        <v>0</v>
      </c>
      <c r="D3022" s="16">
        <f>SUMIF(매도완료!$J:$J,Sheet2!$B3022,매도완료!$P:$P)+SUMIF(ING!$J:$J,Sheet2!$B3022,ING!$P:$P)</f>
        <v>0</v>
      </c>
      <c r="E3022" s="16">
        <f t="shared" si="94"/>
        <v>98249442.332399994</v>
      </c>
      <c r="G3022" s="16">
        <f>IF(D3022=0,0,SUMIF(매도완료!$J:$J,Sheet2!$B3022,매도완료!$S:$S))+IF(D3022=0,0,SUMIF(ING!$J:$J,Sheet2!$B3022,ING!$S:$S))</f>
        <v>0</v>
      </c>
      <c r="H3022" s="16">
        <f t="shared" si="95"/>
        <v>808029.2008089415</v>
      </c>
    </row>
    <row r="3023" spans="2:8" hidden="1" x14ac:dyDescent="0.4">
      <c r="B3023" s="1">
        <v>45572</v>
      </c>
      <c r="C3023" s="16">
        <f>SUMIF(매도완료!$G:$G,Sheet2!$B3023,매도완료!$P:$P)+SUMIF(ING!$G:$G,Sheet2!$B3023,ING!$P:$P)</f>
        <v>0</v>
      </c>
      <c r="D3023" s="16">
        <f>SUMIF(매도완료!$J:$J,Sheet2!$B3023,매도완료!$P:$P)+SUMIF(ING!$J:$J,Sheet2!$B3023,ING!$P:$P)</f>
        <v>0</v>
      </c>
      <c r="E3023" s="16">
        <f t="shared" si="94"/>
        <v>98249442.332399994</v>
      </c>
      <c r="G3023" s="16">
        <f>IF(D3023=0,0,SUMIF(매도완료!$J:$J,Sheet2!$B3023,매도완료!$S:$S))+IF(D3023=0,0,SUMIF(ING!$J:$J,Sheet2!$B3023,ING!$S:$S))</f>
        <v>0</v>
      </c>
      <c r="H3023" s="16">
        <f t="shared" si="95"/>
        <v>808029.2008089415</v>
      </c>
    </row>
    <row r="3024" spans="2:8" hidden="1" x14ac:dyDescent="0.4">
      <c r="B3024" s="1">
        <v>45573</v>
      </c>
      <c r="C3024" s="16">
        <f>SUMIF(매도완료!$G:$G,Sheet2!$B3024,매도완료!$P:$P)+SUMIF(ING!$G:$G,Sheet2!$B3024,ING!$P:$P)</f>
        <v>2997000</v>
      </c>
      <c r="D3024" s="16">
        <f>SUMIF(매도완료!$J:$J,Sheet2!$B3024,매도완료!$P:$P)+SUMIF(ING!$J:$J,Sheet2!$B3024,ING!$P:$P)</f>
        <v>0</v>
      </c>
      <c r="E3024" s="16">
        <f t="shared" si="94"/>
        <v>101246442.33239999</v>
      </c>
      <c r="G3024" s="16">
        <f>IF(D3024=0,0,SUMIF(매도완료!$J:$J,Sheet2!$B3024,매도완료!$S:$S))+IF(D3024=0,0,SUMIF(ING!$J:$J,Sheet2!$B3024,ING!$S:$S))</f>
        <v>0</v>
      </c>
      <c r="H3024" s="16">
        <f t="shared" si="95"/>
        <v>808029.2008089415</v>
      </c>
    </row>
    <row r="3025" spans="2:8" hidden="1" x14ac:dyDescent="0.4">
      <c r="B3025" s="1">
        <v>45574</v>
      </c>
      <c r="C3025" s="16">
        <f>SUMIF(매도완료!$G:$G,Sheet2!$B3025,매도완료!$P:$P)+SUMIF(ING!$G:$G,Sheet2!$B3025,ING!$P:$P)</f>
        <v>0</v>
      </c>
      <c r="D3025" s="16">
        <f>SUMIF(매도완료!$J:$J,Sheet2!$B3025,매도완료!$P:$P)+SUMIF(ING!$J:$J,Sheet2!$B3025,ING!$P:$P)</f>
        <v>0</v>
      </c>
      <c r="E3025" s="16">
        <f t="shared" si="94"/>
        <v>101246442.33239999</v>
      </c>
      <c r="G3025" s="16">
        <f>IF(D3025=0,0,SUMIF(매도완료!$J:$J,Sheet2!$B3025,매도완료!$S:$S))+IF(D3025=0,0,SUMIF(ING!$J:$J,Sheet2!$B3025,ING!$S:$S))</f>
        <v>0</v>
      </c>
      <c r="H3025" s="16">
        <f t="shared" si="95"/>
        <v>808029.2008089415</v>
      </c>
    </row>
    <row r="3026" spans="2:8" hidden="1" x14ac:dyDescent="0.4">
      <c r="B3026" s="1">
        <v>45575</v>
      </c>
      <c r="C3026" s="16">
        <f>SUMIF(매도완료!$G:$G,Sheet2!$B3026,매도완료!$P:$P)+SUMIF(ING!$G:$G,Sheet2!$B3026,ING!$P:$P)</f>
        <v>2994000</v>
      </c>
      <c r="D3026" s="16">
        <f>SUMIF(매도완료!$J:$J,Sheet2!$B3026,매도완료!$P:$P)+SUMIF(ING!$J:$J,Sheet2!$B3026,ING!$P:$P)</f>
        <v>2997000</v>
      </c>
      <c r="E3026" s="16">
        <f t="shared" si="94"/>
        <v>101243442.33239999</v>
      </c>
      <c r="G3026" s="16">
        <f>IF(D3026=0,0,SUMIF(매도완료!$J:$J,Sheet2!$B3026,매도완료!$S:$S))+IF(D3026=0,0,SUMIF(ING!$J:$J,Sheet2!$B3026,ING!$S:$S))</f>
        <v>38618.550000000003</v>
      </c>
      <c r="H3026" s="16">
        <f t="shared" si="95"/>
        <v>846647.75080894155</v>
      </c>
    </row>
    <row r="3027" spans="2:8" hidden="1" x14ac:dyDescent="0.4">
      <c r="B3027" s="1">
        <v>45576</v>
      </c>
      <c r="C3027" s="16">
        <f>SUMIF(매도완료!$G:$G,Sheet2!$B3027,매도완료!$P:$P)+SUMIF(ING!$G:$G,Sheet2!$B3027,ING!$P:$P)</f>
        <v>0</v>
      </c>
      <c r="D3027" s="16">
        <f>SUMIF(매도완료!$J:$J,Sheet2!$B3027,매도완료!$P:$P)+SUMIF(ING!$J:$J,Sheet2!$B3027,ING!$P:$P)</f>
        <v>0</v>
      </c>
      <c r="E3027" s="16">
        <f t="shared" si="94"/>
        <v>101243442.33239999</v>
      </c>
      <c r="G3027" s="16">
        <f>IF(D3027=0,0,SUMIF(매도완료!$J:$J,Sheet2!$B3027,매도완료!$S:$S))+IF(D3027=0,0,SUMIF(ING!$J:$J,Sheet2!$B3027,ING!$S:$S))</f>
        <v>0</v>
      </c>
      <c r="H3027" s="16">
        <f t="shared" si="95"/>
        <v>846647.75080894155</v>
      </c>
    </row>
    <row r="3028" spans="2:8" hidden="1" x14ac:dyDescent="0.4">
      <c r="B3028" s="1">
        <v>45577</v>
      </c>
      <c r="C3028" s="16">
        <f>SUMIF(매도완료!$G:$G,Sheet2!$B3028,매도완료!$P:$P)+SUMIF(ING!$G:$G,Sheet2!$B3028,ING!$P:$P)</f>
        <v>0</v>
      </c>
      <c r="D3028" s="16">
        <f>SUMIF(매도완료!$J:$J,Sheet2!$B3028,매도완료!$P:$P)+SUMIF(ING!$J:$J,Sheet2!$B3028,ING!$P:$P)</f>
        <v>0</v>
      </c>
      <c r="E3028" s="16">
        <f t="shared" si="94"/>
        <v>101243442.33239999</v>
      </c>
      <c r="G3028" s="16">
        <f>IF(D3028=0,0,SUMIF(매도완료!$J:$J,Sheet2!$B3028,매도완료!$S:$S))+IF(D3028=0,0,SUMIF(ING!$J:$J,Sheet2!$B3028,ING!$S:$S))</f>
        <v>0</v>
      </c>
      <c r="H3028" s="16">
        <f t="shared" si="95"/>
        <v>846647.75080894155</v>
      </c>
    </row>
    <row r="3029" spans="2:8" hidden="1" x14ac:dyDescent="0.4">
      <c r="B3029" s="1">
        <v>45578</v>
      </c>
      <c r="C3029" s="16">
        <f>SUMIF(매도완료!$G:$G,Sheet2!$B3029,매도완료!$P:$P)+SUMIF(ING!$G:$G,Sheet2!$B3029,ING!$P:$P)</f>
        <v>0</v>
      </c>
      <c r="D3029" s="16">
        <f>SUMIF(매도완료!$J:$J,Sheet2!$B3029,매도완료!$P:$P)+SUMIF(ING!$J:$J,Sheet2!$B3029,ING!$P:$P)</f>
        <v>0</v>
      </c>
      <c r="E3029" s="16">
        <f t="shared" si="94"/>
        <v>101243442.33239999</v>
      </c>
      <c r="G3029" s="16">
        <f>IF(D3029=0,0,SUMIF(매도완료!$J:$J,Sheet2!$B3029,매도완료!$S:$S))+IF(D3029=0,0,SUMIF(ING!$J:$J,Sheet2!$B3029,ING!$S:$S))</f>
        <v>0</v>
      </c>
      <c r="H3029" s="16">
        <f t="shared" si="95"/>
        <v>846647.75080894155</v>
      </c>
    </row>
    <row r="3030" spans="2:8" hidden="1" x14ac:dyDescent="0.4">
      <c r="B3030" s="1">
        <v>45579</v>
      </c>
      <c r="C3030" s="16">
        <f>SUMIF(매도완료!$G:$G,Sheet2!$B3030,매도완료!$P:$P)+SUMIF(ING!$G:$G,Sheet2!$B3030,ING!$P:$P)</f>
        <v>0</v>
      </c>
      <c r="D3030" s="16">
        <f>SUMIF(매도완료!$J:$J,Sheet2!$B3030,매도완료!$P:$P)+SUMIF(ING!$J:$J,Sheet2!$B3030,ING!$P:$P)</f>
        <v>0</v>
      </c>
      <c r="E3030" s="16">
        <f t="shared" si="94"/>
        <v>101243442.33239999</v>
      </c>
      <c r="G3030" s="16">
        <f>IF(D3030=0,0,SUMIF(매도완료!$J:$J,Sheet2!$B3030,매도완료!$S:$S))+IF(D3030=0,0,SUMIF(ING!$J:$J,Sheet2!$B3030,ING!$S:$S))</f>
        <v>0</v>
      </c>
      <c r="H3030" s="16">
        <f t="shared" si="95"/>
        <v>846647.75080894155</v>
      </c>
    </row>
    <row r="3031" spans="2:8" hidden="1" x14ac:dyDescent="0.4">
      <c r="B3031" s="1">
        <v>45580</v>
      </c>
      <c r="C3031" s="16">
        <f>SUMIF(매도완료!$G:$G,Sheet2!$B3031,매도완료!$P:$P)+SUMIF(ING!$G:$G,Sheet2!$B3031,ING!$P:$P)</f>
        <v>0</v>
      </c>
      <c r="D3031" s="16">
        <f>SUMIF(매도완료!$J:$J,Sheet2!$B3031,매도완료!$P:$P)+SUMIF(ING!$J:$J,Sheet2!$B3031,ING!$P:$P)</f>
        <v>2994000</v>
      </c>
      <c r="E3031" s="16">
        <f t="shared" si="94"/>
        <v>98249442.332399994</v>
      </c>
      <c r="G3031" s="16">
        <f>IF(D3031=0,0,SUMIF(매도완료!$J:$J,Sheet2!$B3031,매도완료!$S:$S))+IF(D3031=0,0,SUMIF(ING!$J:$J,Sheet2!$B3031,ING!$S:$S))</f>
        <v>182344.05</v>
      </c>
      <c r="H3031" s="16">
        <f t="shared" si="95"/>
        <v>1028991.8008089415</v>
      </c>
    </row>
    <row r="3032" spans="2:8" hidden="1" x14ac:dyDescent="0.4">
      <c r="B3032" s="1">
        <v>45581</v>
      </c>
      <c r="C3032" s="16">
        <f>SUMIF(매도완료!$G:$G,Sheet2!$B3032,매도완료!$P:$P)+SUMIF(ING!$G:$G,Sheet2!$B3032,ING!$P:$P)</f>
        <v>2000000</v>
      </c>
      <c r="D3032" s="16">
        <f>SUMIF(매도완료!$J:$J,Sheet2!$B3032,매도완료!$P:$P)+SUMIF(ING!$J:$J,Sheet2!$B3032,ING!$P:$P)</f>
        <v>0</v>
      </c>
      <c r="E3032" s="16">
        <f t="shared" si="94"/>
        <v>100249442.33239999</v>
      </c>
      <c r="G3032" s="16">
        <f>IF(D3032=0,0,SUMIF(매도완료!$J:$J,Sheet2!$B3032,매도완료!$S:$S))+IF(D3032=0,0,SUMIF(ING!$J:$J,Sheet2!$B3032,ING!$S:$S))</f>
        <v>0</v>
      </c>
      <c r="H3032" s="16">
        <f t="shared" si="95"/>
        <v>1028991.8008089415</v>
      </c>
    </row>
    <row r="3033" spans="2:8" hidden="1" x14ac:dyDescent="0.4">
      <c r="B3033" s="1">
        <v>45582</v>
      </c>
      <c r="C3033" s="16">
        <f>SUMIF(매도완료!$G:$G,Sheet2!$B3033,매도완료!$P:$P)+SUMIF(ING!$G:$G,Sheet2!$B3033,ING!$P:$P)</f>
        <v>0</v>
      </c>
      <c r="D3033" s="16">
        <f>SUMIF(매도완료!$J:$J,Sheet2!$B3033,매도완료!$P:$P)+SUMIF(ING!$J:$J,Sheet2!$B3033,ING!$P:$P)</f>
        <v>2000000</v>
      </c>
      <c r="E3033" s="16">
        <f t="shared" si="94"/>
        <v>98249442.332399994</v>
      </c>
      <c r="G3033" s="16">
        <f>IF(D3033=0,0,SUMIF(매도완료!$J:$J,Sheet2!$B3033,매도완료!$S:$S))+IF(D3033=0,0,SUMIF(ING!$J:$J,Sheet2!$B3033,ING!$S:$S))</f>
        <v>45702.5</v>
      </c>
      <c r="H3033" s="16">
        <f t="shared" si="95"/>
        <v>1074694.3008089415</v>
      </c>
    </row>
    <row r="3034" spans="2:8" hidden="1" x14ac:dyDescent="0.4">
      <c r="B3034" s="1">
        <v>45583</v>
      </c>
      <c r="C3034" s="16">
        <f>SUMIF(매도완료!$G:$G,Sheet2!$B3034,매도완료!$P:$P)+SUMIF(ING!$G:$G,Sheet2!$B3034,ING!$P:$P)</f>
        <v>0</v>
      </c>
      <c r="D3034" s="16">
        <f>SUMIF(매도완료!$J:$J,Sheet2!$B3034,매도완료!$P:$P)+SUMIF(ING!$J:$J,Sheet2!$B3034,ING!$P:$P)</f>
        <v>0</v>
      </c>
      <c r="E3034" s="16">
        <f t="shared" si="94"/>
        <v>98249442.332399994</v>
      </c>
      <c r="G3034" s="16">
        <f>IF(D3034=0,0,SUMIF(매도완료!$J:$J,Sheet2!$B3034,매도완료!$S:$S))+IF(D3034=0,0,SUMIF(ING!$J:$J,Sheet2!$B3034,ING!$S:$S))</f>
        <v>0</v>
      </c>
      <c r="H3034" s="16">
        <f t="shared" si="95"/>
        <v>1074694.3008089415</v>
      </c>
    </row>
    <row r="3035" spans="2:8" hidden="1" x14ac:dyDescent="0.4">
      <c r="B3035" s="1">
        <v>45584</v>
      </c>
      <c r="C3035" s="16">
        <f>SUMIF(매도완료!$G:$G,Sheet2!$B3035,매도완료!$P:$P)+SUMIF(ING!$G:$G,Sheet2!$B3035,ING!$P:$P)</f>
        <v>0</v>
      </c>
      <c r="D3035" s="16">
        <f>SUMIF(매도완료!$J:$J,Sheet2!$B3035,매도완료!$P:$P)+SUMIF(ING!$J:$J,Sheet2!$B3035,ING!$P:$P)</f>
        <v>0</v>
      </c>
      <c r="E3035" s="16">
        <f t="shared" si="94"/>
        <v>98249442.332399994</v>
      </c>
      <c r="G3035" s="16">
        <f>IF(D3035=0,0,SUMIF(매도완료!$J:$J,Sheet2!$B3035,매도완료!$S:$S))+IF(D3035=0,0,SUMIF(ING!$J:$J,Sheet2!$B3035,ING!$S:$S))</f>
        <v>0</v>
      </c>
      <c r="H3035" s="16">
        <f t="shared" si="95"/>
        <v>1074694.3008089415</v>
      </c>
    </row>
    <row r="3036" spans="2:8" hidden="1" x14ac:dyDescent="0.4">
      <c r="B3036" s="1">
        <v>45585</v>
      </c>
      <c r="C3036" s="16">
        <f>SUMIF(매도완료!$G:$G,Sheet2!$B3036,매도완료!$P:$P)+SUMIF(ING!$G:$G,Sheet2!$B3036,ING!$P:$P)</f>
        <v>0</v>
      </c>
      <c r="D3036" s="16">
        <f>SUMIF(매도완료!$J:$J,Sheet2!$B3036,매도완료!$P:$P)+SUMIF(ING!$J:$J,Sheet2!$B3036,ING!$P:$P)</f>
        <v>0</v>
      </c>
      <c r="E3036" s="16">
        <f t="shared" si="94"/>
        <v>98249442.332399994</v>
      </c>
      <c r="G3036" s="16">
        <f>IF(D3036=0,0,SUMIF(매도완료!$J:$J,Sheet2!$B3036,매도완료!$S:$S))+IF(D3036=0,0,SUMIF(ING!$J:$J,Sheet2!$B3036,ING!$S:$S))</f>
        <v>0</v>
      </c>
      <c r="H3036" s="16">
        <f t="shared" si="95"/>
        <v>1074694.3008089415</v>
      </c>
    </row>
    <row r="3037" spans="2:8" hidden="1" x14ac:dyDescent="0.4">
      <c r="B3037" s="1">
        <v>45586</v>
      </c>
      <c r="C3037" s="16">
        <f>SUMIF(매도완료!$G:$G,Sheet2!$B3037,매도완료!$P:$P)+SUMIF(ING!$G:$G,Sheet2!$B3037,ING!$P:$P)</f>
        <v>1992500</v>
      </c>
      <c r="D3037" s="16">
        <f>SUMIF(매도완료!$J:$J,Sheet2!$B3037,매도완료!$P:$P)+SUMIF(ING!$J:$J,Sheet2!$B3037,ING!$P:$P)</f>
        <v>0</v>
      </c>
      <c r="E3037" s="16">
        <f t="shared" si="94"/>
        <v>100241942.33239999</v>
      </c>
      <c r="G3037" s="16">
        <f>IF(D3037=0,0,SUMIF(매도완료!$J:$J,Sheet2!$B3037,매도완료!$S:$S))+IF(D3037=0,0,SUMIF(ING!$J:$J,Sheet2!$B3037,ING!$S:$S))</f>
        <v>0</v>
      </c>
      <c r="H3037" s="16">
        <f t="shared" si="95"/>
        <v>1074694.3008089415</v>
      </c>
    </row>
    <row r="3038" spans="2:8" hidden="1" x14ac:dyDescent="0.4">
      <c r="B3038" s="1">
        <v>45587</v>
      </c>
      <c r="C3038" s="16">
        <f>SUMIF(매도완료!$G:$G,Sheet2!$B3038,매도완료!$P:$P)+SUMIF(ING!$G:$G,Sheet2!$B3038,ING!$P:$P)</f>
        <v>0</v>
      </c>
      <c r="D3038" s="16">
        <f>SUMIF(매도완료!$J:$J,Sheet2!$B3038,매도완료!$P:$P)+SUMIF(ING!$J:$J,Sheet2!$B3038,ING!$P:$P)</f>
        <v>0</v>
      </c>
      <c r="E3038" s="16">
        <f t="shared" si="94"/>
        <v>100241942.33239999</v>
      </c>
      <c r="G3038" s="16">
        <f>IF(D3038=0,0,SUMIF(매도완료!$J:$J,Sheet2!$B3038,매도완료!$S:$S))+IF(D3038=0,0,SUMIF(ING!$J:$J,Sheet2!$B3038,ING!$S:$S))</f>
        <v>0</v>
      </c>
      <c r="H3038" s="16">
        <f t="shared" si="95"/>
        <v>1074694.3008089415</v>
      </c>
    </row>
    <row r="3039" spans="2:8" hidden="1" x14ac:dyDescent="0.4">
      <c r="B3039" s="1">
        <v>45588</v>
      </c>
      <c r="C3039" s="16">
        <f>SUMIF(매도완료!$G:$G,Sheet2!$B3039,매도완료!$P:$P)+SUMIF(ING!$G:$G,Sheet2!$B3039,ING!$P:$P)</f>
        <v>0</v>
      </c>
      <c r="D3039" s="16">
        <f>SUMIF(매도완료!$J:$J,Sheet2!$B3039,매도완료!$P:$P)+SUMIF(ING!$J:$J,Sheet2!$B3039,ING!$P:$P)</f>
        <v>0</v>
      </c>
      <c r="E3039" s="16">
        <f t="shared" si="94"/>
        <v>100241942.33239999</v>
      </c>
      <c r="G3039" s="16">
        <f>IF(D3039=0,0,SUMIF(매도완료!$J:$J,Sheet2!$B3039,매도완료!$S:$S))+IF(D3039=0,0,SUMIF(ING!$J:$J,Sheet2!$B3039,ING!$S:$S))</f>
        <v>0</v>
      </c>
      <c r="H3039" s="16">
        <f t="shared" si="95"/>
        <v>1074694.3008089415</v>
      </c>
    </row>
    <row r="3040" spans="2:8" hidden="1" x14ac:dyDescent="0.4">
      <c r="B3040" s="1">
        <v>45589</v>
      </c>
      <c r="C3040" s="16">
        <f>SUMIF(매도완료!$G:$G,Sheet2!$B3040,매도완료!$P:$P)+SUMIF(ING!$G:$G,Sheet2!$B3040,ING!$P:$P)</f>
        <v>0</v>
      </c>
      <c r="D3040" s="16">
        <f>SUMIF(매도완료!$J:$J,Sheet2!$B3040,매도완료!$P:$P)+SUMIF(ING!$J:$J,Sheet2!$B3040,ING!$P:$P)</f>
        <v>0</v>
      </c>
      <c r="E3040" s="16">
        <f t="shared" si="94"/>
        <v>100241942.33239999</v>
      </c>
      <c r="G3040" s="16">
        <f>IF(D3040=0,0,SUMIF(매도완료!$J:$J,Sheet2!$B3040,매도완료!$S:$S))+IF(D3040=0,0,SUMIF(ING!$J:$J,Sheet2!$B3040,ING!$S:$S))</f>
        <v>0</v>
      </c>
      <c r="H3040" s="16">
        <f t="shared" si="95"/>
        <v>1074694.3008089415</v>
      </c>
    </row>
    <row r="3041" spans="2:8" hidden="1" x14ac:dyDescent="0.4">
      <c r="B3041" s="1">
        <v>45590</v>
      </c>
      <c r="C3041" s="16">
        <f>SUMIF(매도완료!$G:$G,Sheet2!$B3041,매도완료!$P:$P)+SUMIF(ING!$G:$G,Sheet2!$B3041,ING!$P:$P)</f>
        <v>0</v>
      </c>
      <c r="D3041" s="16">
        <f>SUMIF(매도완료!$J:$J,Sheet2!$B3041,매도완료!$P:$P)+SUMIF(ING!$J:$J,Sheet2!$B3041,ING!$P:$P)</f>
        <v>0</v>
      </c>
      <c r="E3041" s="16">
        <f t="shared" si="94"/>
        <v>100241942.33239999</v>
      </c>
      <c r="G3041" s="16">
        <f>IF(D3041=0,0,SUMIF(매도완료!$J:$J,Sheet2!$B3041,매도완료!$S:$S))+IF(D3041=0,0,SUMIF(ING!$J:$J,Sheet2!$B3041,ING!$S:$S))</f>
        <v>0</v>
      </c>
      <c r="H3041" s="16">
        <f t="shared" si="95"/>
        <v>1074694.3008089415</v>
      </c>
    </row>
    <row r="3042" spans="2:8" hidden="1" x14ac:dyDescent="0.4">
      <c r="B3042" s="1">
        <v>45591</v>
      </c>
      <c r="C3042" s="16">
        <f>SUMIF(매도완료!$G:$G,Sheet2!$B3042,매도완료!$P:$P)+SUMIF(ING!$G:$G,Sheet2!$B3042,ING!$P:$P)</f>
        <v>0</v>
      </c>
      <c r="D3042" s="16">
        <f>SUMIF(매도완료!$J:$J,Sheet2!$B3042,매도완료!$P:$P)+SUMIF(ING!$J:$J,Sheet2!$B3042,ING!$P:$P)</f>
        <v>0</v>
      </c>
      <c r="E3042" s="16">
        <f t="shared" si="94"/>
        <v>100241942.33239999</v>
      </c>
      <c r="G3042" s="16">
        <f>IF(D3042=0,0,SUMIF(매도완료!$J:$J,Sheet2!$B3042,매도완료!$S:$S))+IF(D3042=0,0,SUMIF(ING!$J:$J,Sheet2!$B3042,ING!$S:$S))</f>
        <v>0</v>
      </c>
      <c r="H3042" s="16">
        <f t="shared" si="95"/>
        <v>1074694.3008089415</v>
      </c>
    </row>
    <row r="3043" spans="2:8" hidden="1" x14ac:dyDescent="0.4">
      <c r="B3043" s="1">
        <v>45592</v>
      </c>
      <c r="C3043" s="16">
        <f>SUMIF(매도완료!$G:$G,Sheet2!$B3043,매도완료!$P:$P)+SUMIF(ING!$G:$G,Sheet2!$B3043,ING!$P:$P)</f>
        <v>0</v>
      </c>
      <c r="D3043" s="16">
        <f>SUMIF(매도완료!$J:$J,Sheet2!$B3043,매도완료!$P:$P)+SUMIF(ING!$J:$J,Sheet2!$B3043,ING!$P:$P)</f>
        <v>0</v>
      </c>
      <c r="E3043" s="16">
        <f t="shared" si="94"/>
        <v>100241942.33239999</v>
      </c>
      <c r="G3043" s="16">
        <f>IF(D3043=0,0,SUMIF(매도완료!$J:$J,Sheet2!$B3043,매도완료!$S:$S))+IF(D3043=0,0,SUMIF(ING!$J:$J,Sheet2!$B3043,ING!$S:$S))</f>
        <v>0</v>
      </c>
      <c r="H3043" s="16">
        <f t="shared" si="95"/>
        <v>1074694.3008089415</v>
      </c>
    </row>
    <row r="3044" spans="2:8" hidden="1" x14ac:dyDescent="0.4">
      <c r="B3044" s="1">
        <v>45593</v>
      </c>
      <c r="C3044" s="16">
        <f>SUMIF(매도완료!$G:$G,Sheet2!$B3044,매도완료!$P:$P)+SUMIF(ING!$G:$G,Sheet2!$B3044,ING!$P:$P)</f>
        <v>0</v>
      </c>
      <c r="D3044" s="16">
        <f>SUMIF(매도완료!$J:$J,Sheet2!$B3044,매도완료!$P:$P)+SUMIF(ING!$J:$J,Sheet2!$B3044,ING!$P:$P)</f>
        <v>0</v>
      </c>
      <c r="E3044" s="16">
        <f t="shared" si="94"/>
        <v>100241942.33239999</v>
      </c>
      <c r="G3044" s="16">
        <f>IF(D3044=0,0,SUMIF(매도완료!$J:$J,Sheet2!$B3044,매도완료!$S:$S))+IF(D3044=0,0,SUMIF(ING!$J:$J,Sheet2!$B3044,ING!$S:$S))</f>
        <v>0</v>
      </c>
      <c r="H3044" s="16">
        <f t="shared" si="95"/>
        <v>1074694.3008089415</v>
      </c>
    </row>
    <row r="3045" spans="2:8" hidden="1" x14ac:dyDescent="0.4">
      <c r="B3045" s="1">
        <v>45594</v>
      </c>
      <c r="C3045" s="16">
        <f>SUMIF(매도완료!$G:$G,Sheet2!$B3045,매도완료!$P:$P)+SUMIF(ING!$G:$G,Sheet2!$B3045,ING!$P:$P)</f>
        <v>0</v>
      </c>
      <c r="D3045" s="16">
        <f>SUMIF(매도완료!$J:$J,Sheet2!$B3045,매도완료!$P:$P)+SUMIF(ING!$J:$J,Sheet2!$B3045,ING!$P:$P)</f>
        <v>0</v>
      </c>
      <c r="E3045" s="16">
        <f t="shared" si="94"/>
        <v>100241942.33239999</v>
      </c>
      <c r="G3045" s="16">
        <f>IF(D3045=0,0,SUMIF(매도완료!$J:$J,Sheet2!$B3045,매도완료!$S:$S))+IF(D3045=0,0,SUMIF(ING!$J:$J,Sheet2!$B3045,ING!$S:$S))</f>
        <v>0</v>
      </c>
      <c r="H3045" s="16">
        <f t="shared" si="95"/>
        <v>1074694.3008089415</v>
      </c>
    </row>
    <row r="3046" spans="2:8" hidden="1" x14ac:dyDescent="0.4">
      <c r="B3046" s="1">
        <v>45595</v>
      </c>
      <c r="C3046" s="16">
        <f>SUMIF(매도완료!$G:$G,Sheet2!$B3046,매도완료!$P:$P)+SUMIF(ING!$G:$G,Sheet2!$B3046,ING!$P:$P)</f>
        <v>530000</v>
      </c>
      <c r="D3046" s="16">
        <f>SUMIF(매도완료!$J:$J,Sheet2!$B3046,매도완료!$P:$P)+SUMIF(ING!$J:$J,Sheet2!$B3046,ING!$P:$P)</f>
        <v>0</v>
      </c>
      <c r="E3046" s="16">
        <f t="shared" si="94"/>
        <v>100771942.33239999</v>
      </c>
      <c r="G3046" s="16">
        <f>IF(D3046=0,0,SUMIF(매도완료!$J:$J,Sheet2!$B3046,매도완료!$S:$S))+IF(D3046=0,0,SUMIF(ING!$J:$J,Sheet2!$B3046,ING!$S:$S))</f>
        <v>0</v>
      </c>
      <c r="H3046" s="16">
        <f t="shared" si="95"/>
        <v>1074694.3008089415</v>
      </c>
    </row>
    <row r="3047" spans="2:8" hidden="1" x14ac:dyDescent="0.4">
      <c r="B3047" s="1">
        <v>45596</v>
      </c>
      <c r="C3047" s="16">
        <f>SUMIF(매도완료!$G:$G,Sheet2!$B3047,매도완료!$P:$P)+SUMIF(ING!$G:$G,Sheet2!$B3047,ING!$P:$P)</f>
        <v>0</v>
      </c>
      <c r="D3047" s="16">
        <f>SUMIF(매도완료!$J:$J,Sheet2!$B3047,매도완료!$P:$P)+SUMIF(ING!$J:$J,Sheet2!$B3047,ING!$P:$P)</f>
        <v>530000</v>
      </c>
      <c r="E3047" s="16">
        <f t="shared" si="94"/>
        <v>100241942.33239999</v>
      </c>
      <c r="G3047" s="16">
        <f>IF(D3047=0,0,SUMIF(매도완료!$J:$J,Sheet2!$B3047,매도완료!$S:$S))+IF(D3047=0,0,SUMIF(ING!$J:$J,Sheet2!$B3047,ING!$S:$S))</f>
        <v>73740.75</v>
      </c>
      <c r="H3047" s="16">
        <f t="shared" si="95"/>
        <v>1148435.0508089415</v>
      </c>
    </row>
    <row r="3048" spans="2:8" hidden="1" x14ac:dyDescent="0.4">
      <c r="B3048" s="1">
        <v>45597</v>
      </c>
      <c r="C3048" s="16">
        <f>SUMIF(매도완료!$G:$G,Sheet2!$B3048,매도완료!$P:$P)+SUMIF(ING!$G:$G,Sheet2!$B3048,ING!$P:$P)</f>
        <v>0</v>
      </c>
      <c r="D3048" s="16">
        <f>SUMIF(매도완료!$J:$J,Sheet2!$B3048,매도완료!$P:$P)+SUMIF(ING!$J:$J,Sheet2!$B3048,ING!$P:$P)</f>
        <v>1992500</v>
      </c>
      <c r="E3048" s="16">
        <f t="shared" si="94"/>
        <v>98249442.332399994</v>
      </c>
      <c r="G3048" s="16">
        <f>IF(D3048=0,0,SUMIF(매도완료!$J:$J,Sheet2!$B3048,매도완료!$S:$S))+IF(D3048=0,0,SUMIF(ING!$J:$J,Sheet2!$B3048,ING!$S:$S))</f>
        <v>95620.75</v>
      </c>
      <c r="H3048" s="16">
        <f t="shared" si="95"/>
        <v>1244055.8008089415</v>
      </c>
    </row>
    <row r="3049" spans="2:8" hidden="1" x14ac:dyDescent="0.4">
      <c r="B3049" s="1">
        <v>45598</v>
      </c>
      <c r="C3049" s="16">
        <f>SUMIF(매도완료!$G:$G,Sheet2!$B3049,매도완료!$P:$P)+SUMIF(ING!$G:$G,Sheet2!$B3049,ING!$P:$P)</f>
        <v>0</v>
      </c>
      <c r="D3049" s="16">
        <f>SUMIF(매도완료!$J:$J,Sheet2!$B3049,매도완료!$P:$P)+SUMIF(ING!$J:$J,Sheet2!$B3049,ING!$P:$P)</f>
        <v>0</v>
      </c>
      <c r="E3049" s="16">
        <f t="shared" si="94"/>
        <v>98249442.332399994</v>
      </c>
      <c r="G3049" s="16">
        <f>IF(D3049=0,0,SUMIF(매도완료!$J:$J,Sheet2!$B3049,매도완료!$S:$S))+IF(D3049=0,0,SUMIF(ING!$J:$J,Sheet2!$B3049,ING!$S:$S))</f>
        <v>0</v>
      </c>
      <c r="H3049" s="16">
        <f t="shared" si="95"/>
        <v>1244055.8008089415</v>
      </c>
    </row>
    <row r="3050" spans="2:8" hidden="1" x14ac:dyDescent="0.4">
      <c r="B3050" s="1">
        <v>45599</v>
      </c>
      <c r="C3050" s="16">
        <f>SUMIF(매도완료!$G:$G,Sheet2!$B3050,매도완료!$P:$P)+SUMIF(ING!$G:$G,Sheet2!$B3050,ING!$P:$P)</f>
        <v>0</v>
      </c>
      <c r="D3050" s="16">
        <f>SUMIF(매도완료!$J:$J,Sheet2!$B3050,매도완료!$P:$P)+SUMIF(ING!$J:$J,Sheet2!$B3050,ING!$P:$P)</f>
        <v>0</v>
      </c>
      <c r="E3050" s="16">
        <f t="shared" si="94"/>
        <v>98249442.332399994</v>
      </c>
      <c r="G3050" s="16">
        <f>IF(D3050=0,0,SUMIF(매도완료!$J:$J,Sheet2!$B3050,매도완료!$S:$S))+IF(D3050=0,0,SUMIF(ING!$J:$J,Sheet2!$B3050,ING!$S:$S))</f>
        <v>0</v>
      </c>
      <c r="H3050" s="16">
        <f t="shared" si="95"/>
        <v>1244055.8008089415</v>
      </c>
    </row>
    <row r="3051" spans="2:8" hidden="1" x14ac:dyDescent="0.4">
      <c r="B3051" s="1">
        <v>45600</v>
      </c>
      <c r="C3051" s="16">
        <f>SUMIF(매도완료!$G:$G,Sheet2!$B3051,매도완료!$P:$P)+SUMIF(ING!$G:$G,Sheet2!$B3051,ING!$P:$P)</f>
        <v>0</v>
      </c>
      <c r="D3051" s="16">
        <f>SUMIF(매도완료!$J:$J,Sheet2!$B3051,매도완료!$P:$P)+SUMIF(ING!$J:$J,Sheet2!$B3051,ING!$P:$P)</f>
        <v>0</v>
      </c>
      <c r="E3051" s="16">
        <f t="shared" si="94"/>
        <v>98249442.332399994</v>
      </c>
      <c r="G3051" s="16">
        <f>IF(D3051=0,0,SUMIF(매도완료!$J:$J,Sheet2!$B3051,매도완료!$S:$S))+IF(D3051=0,0,SUMIF(ING!$J:$J,Sheet2!$B3051,ING!$S:$S))</f>
        <v>0</v>
      </c>
      <c r="H3051" s="16">
        <f t="shared" si="95"/>
        <v>1244055.8008089415</v>
      </c>
    </row>
    <row r="3052" spans="2:8" hidden="1" x14ac:dyDescent="0.4">
      <c r="B3052" s="1">
        <v>45601</v>
      </c>
      <c r="C3052" s="16">
        <f>SUMIF(매도완료!$G:$G,Sheet2!$B3052,매도완료!$P:$P)+SUMIF(ING!$G:$G,Sheet2!$B3052,ING!$P:$P)</f>
        <v>0</v>
      </c>
      <c r="D3052" s="16">
        <f>SUMIF(매도완료!$J:$J,Sheet2!$B3052,매도완료!$P:$P)+SUMIF(ING!$J:$J,Sheet2!$B3052,ING!$P:$P)</f>
        <v>0</v>
      </c>
      <c r="E3052" s="16">
        <f t="shared" si="94"/>
        <v>98249442.332399994</v>
      </c>
      <c r="G3052" s="16">
        <f>IF(D3052=0,0,SUMIF(매도완료!$J:$J,Sheet2!$B3052,매도완료!$S:$S))+IF(D3052=0,0,SUMIF(ING!$J:$J,Sheet2!$B3052,ING!$S:$S))</f>
        <v>0</v>
      </c>
      <c r="H3052" s="16">
        <f t="shared" si="95"/>
        <v>1244055.8008089415</v>
      </c>
    </row>
    <row r="3053" spans="2:8" hidden="1" x14ac:dyDescent="0.4">
      <c r="B3053" s="1">
        <v>45602</v>
      </c>
      <c r="C3053" s="16">
        <f>SUMIF(매도완료!$G:$G,Sheet2!$B3053,매도완료!$P:$P)+SUMIF(ING!$G:$G,Sheet2!$B3053,ING!$P:$P)</f>
        <v>0</v>
      </c>
      <c r="D3053" s="16">
        <f>SUMIF(매도완료!$J:$J,Sheet2!$B3053,매도완료!$P:$P)+SUMIF(ING!$J:$J,Sheet2!$B3053,ING!$P:$P)</f>
        <v>0</v>
      </c>
      <c r="E3053" s="16">
        <f t="shared" si="94"/>
        <v>98249442.332399994</v>
      </c>
      <c r="G3053" s="16">
        <f>IF(D3053=0,0,SUMIF(매도완료!$J:$J,Sheet2!$B3053,매도완료!$S:$S))+IF(D3053=0,0,SUMIF(ING!$J:$J,Sheet2!$B3053,ING!$S:$S))</f>
        <v>0</v>
      </c>
      <c r="H3053" s="16">
        <f t="shared" si="95"/>
        <v>1244055.8008089415</v>
      </c>
    </row>
    <row r="3054" spans="2:8" hidden="1" x14ac:dyDescent="0.4">
      <c r="B3054" s="1">
        <v>45603</v>
      </c>
      <c r="C3054" s="16">
        <f>SUMIF(매도완료!$G:$G,Sheet2!$B3054,매도완료!$P:$P)+SUMIF(ING!$G:$G,Sheet2!$B3054,ING!$P:$P)</f>
        <v>0</v>
      </c>
      <c r="D3054" s="16">
        <f>SUMIF(매도완료!$J:$J,Sheet2!$B3054,매도완료!$P:$P)+SUMIF(ING!$J:$J,Sheet2!$B3054,ING!$P:$P)</f>
        <v>0</v>
      </c>
      <c r="E3054" s="16">
        <f t="shared" si="94"/>
        <v>98249442.332399994</v>
      </c>
      <c r="G3054" s="16">
        <f>IF(D3054=0,0,SUMIF(매도완료!$J:$J,Sheet2!$B3054,매도완료!$S:$S))+IF(D3054=0,0,SUMIF(ING!$J:$J,Sheet2!$B3054,ING!$S:$S))</f>
        <v>0</v>
      </c>
      <c r="H3054" s="16">
        <f t="shared" si="95"/>
        <v>1244055.8008089415</v>
      </c>
    </row>
    <row r="3055" spans="2:8" hidden="1" x14ac:dyDescent="0.4">
      <c r="B3055" s="1">
        <v>45604</v>
      </c>
      <c r="C3055" s="16">
        <f>SUMIF(매도완료!$G:$G,Sheet2!$B3055,매도완료!$P:$P)+SUMIF(ING!$G:$G,Sheet2!$B3055,ING!$P:$P)</f>
        <v>0</v>
      </c>
      <c r="D3055" s="16">
        <f>SUMIF(매도완료!$J:$J,Sheet2!$B3055,매도완료!$P:$P)+SUMIF(ING!$J:$J,Sheet2!$B3055,ING!$P:$P)</f>
        <v>0</v>
      </c>
      <c r="E3055" s="16">
        <f t="shared" si="94"/>
        <v>98249442.332399994</v>
      </c>
      <c r="G3055" s="16">
        <f>IF(D3055=0,0,SUMIF(매도완료!$J:$J,Sheet2!$B3055,매도완료!$S:$S))+IF(D3055=0,0,SUMIF(ING!$J:$J,Sheet2!$B3055,ING!$S:$S))</f>
        <v>0</v>
      </c>
      <c r="H3055" s="16">
        <f t="shared" si="95"/>
        <v>1244055.8008089415</v>
      </c>
    </row>
    <row r="3056" spans="2:8" hidden="1" x14ac:dyDescent="0.4">
      <c r="B3056" s="1">
        <v>45605</v>
      </c>
      <c r="C3056" s="16">
        <f>SUMIF(매도완료!$G:$G,Sheet2!$B3056,매도완료!$P:$P)+SUMIF(ING!$G:$G,Sheet2!$B3056,ING!$P:$P)</f>
        <v>0</v>
      </c>
      <c r="D3056" s="16">
        <f>SUMIF(매도완료!$J:$J,Sheet2!$B3056,매도완료!$P:$P)+SUMIF(ING!$J:$J,Sheet2!$B3056,ING!$P:$P)</f>
        <v>0</v>
      </c>
      <c r="E3056" s="16">
        <f t="shared" si="94"/>
        <v>98249442.332399994</v>
      </c>
      <c r="G3056" s="16">
        <f>IF(D3056=0,0,SUMIF(매도완료!$J:$J,Sheet2!$B3056,매도완료!$S:$S))+IF(D3056=0,0,SUMIF(ING!$J:$J,Sheet2!$B3056,ING!$S:$S))</f>
        <v>0</v>
      </c>
      <c r="H3056" s="16">
        <f t="shared" si="95"/>
        <v>1244055.8008089415</v>
      </c>
    </row>
    <row r="3057" spans="2:8" hidden="1" x14ac:dyDescent="0.4">
      <c r="B3057" s="1">
        <v>45606</v>
      </c>
      <c r="C3057" s="16">
        <f>SUMIF(매도완료!$G:$G,Sheet2!$B3057,매도완료!$P:$P)+SUMIF(ING!$G:$G,Sheet2!$B3057,ING!$P:$P)</f>
        <v>0</v>
      </c>
      <c r="D3057" s="16">
        <f>SUMIF(매도완료!$J:$J,Sheet2!$B3057,매도완료!$P:$P)+SUMIF(ING!$J:$J,Sheet2!$B3057,ING!$P:$P)</f>
        <v>0</v>
      </c>
      <c r="E3057" s="16">
        <f t="shared" si="94"/>
        <v>98249442.332399994</v>
      </c>
      <c r="G3057" s="16">
        <f>IF(D3057=0,0,SUMIF(매도완료!$J:$J,Sheet2!$B3057,매도완료!$S:$S))+IF(D3057=0,0,SUMIF(ING!$J:$J,Sheet2!$B3057,ING!$S:$S))</f>
        <v>0</v>
      </c>
      <c r="H3057" s="16">
        <f t="shared" si="95"/>
        <v>1244055.8008089415</v>
      </c>
    </row>
    <row r="3058" spans="2:8" hidden="1" x14ac:dyDescent="0.4">
      <c r="B3058" s="1">
        <v>45607</v>
      </c>
      <c r="C3058" s="16">
        <f>SUMIF(매도완료!$G:$G,Sheet2!$B3058,매도완료!$P:$P)+SUMIF(ING!$G:$G,Sheet2!$B3058,ING!$P:$P)</f>
        <v>0</v>
      </c>
      <c r="D3058" s="16">
        <f>SUMIF(매도완료!$J:$J,Sheet2!$B3058,매도완료!$P:$P)+SUMIF(ING!$J:$J,Sheet2!$B3058,ING!$P:$P)</f>
        <v>0</v>
      </c>
      <c r="E3058" s="16">
        <f t="shared" si="94"/>
        <v>98249442.332399994</v>
      </c>
      <c r="G3058" s="16">
        <f>IF(D3058=0,0,SUMIF(매도완료!$J:$J,Sheet2!$B3058,매도완료!$S:$S))+IF(D3058=0,0,SUMIF(ING!$J:$J,Sheet2!$B3058,ING!$S:$S))</f>
        <v>0</v>
      </c>
      <c r="H3058" s="16">
        <f t="shared" si="95"/>
        <v>1244055.8008089415</v>
      </c>
    </row>
    <row r="3059" spans="2:8" hidden="1" x14ac:dyDescent="0.4">
      <c r="B3059" s="1">
        <v>45608</v>
      </c>
      <c r="C3059" s="16">
        <f>SUMIF(매도완료!$G:$G,Sheet2!$B3059,매도완료!$P:$P)+SUMIF(ING!$G:$G,Sheet2!$B3059,ING!$P:$P)</f>
        <v>2955000</v>
      </c>
      <c r="D3059" s="16">
        <f>SUMIF(매도완료!$J:$J,Sheet2!$B3059,매도완료!$P:$P)+SUMIF(ING!$J:$J,Sheet2!$B3059,ING!$P:$P)</f>
        <v>0</v>
      </c>
      <c r="E3059" s="16">
        <f t="shared" si="94"/>
        <v>101204442.33239999</v>
      </c>
      <c r="G3059" s="16">
        <f>IF(D3059=0,0,SUMIF(매도완료!$J:$J,Sheet2!$B3059,매도완료!$S:$S))+IF(D3059=0,0,SUMIF(ING!$J:$J,Sheet2!$B3059,ING!$S:$S))</f>
        <v>0</v>
      </c>
      <c r="H3059" s="16">
        <f t="shared" si="95"/>
        <v>1244055.8008089415</v>
      </c>
    </row>
    <row r="3060" spans="2:8" hidden="1" x14ac:dyDescent="0.4">
      <c r="B3060" s="1">
        <v>45609</v>
      </c>
      <c r="C3060" s="16">
        <f>SUMIF(매도완료!$G:$G,Sheet2!$B3060,매도완료!$P:$P)+SUMIF(ING!$G:$G,Sheet2!$B3060,ING!$P:$P)</f>
        <v>0</v>
      </c>
      <c r="D3060" s="16">
        <f>SUMIF(매도완료!$J:$J,Sheet2!$B3060,매도완료!$P:$P)+SUMIF(ING!$J:$J,Sheet2!$B3060,ING!$P:$P)</f>
        <v>0</v>
      </c>
      <c r="E3060" s="16">
        <f t="shared" si="94"/>
        <v>101204442.33239999</v>
      </c>
      <c r="G3060" s="16">
        <f>IF(D3060=0,0,SUMIF(매도완료!$J:$J,Sheet2!$B3060,매도완료!$S:$S))+IF(D3060=0,0,SUMIF(ING!$J:$J,Sheet2!$B3060,ING!$S:$S))</f>
        <v>0</v>
      </c>
      <c r="H3060" s="16">
        <f t="shared" si="95"/>
        <v>1244055.8008089415</v>
      </c>
    </row>
    <row r="3061" spans="2:8" hidden="1" x14ac:dyDescent="0.4">
      <c r="B3061" s="1">
        <v>45610</v>
      </c>
      <c r="C3061" s="16">
        <f>SUMIF(매도완료!$G:$G,Sheet2!$B3061,매도완료!$P:$P)+SUMIF(ING!$G:$G,Sheet2!$B3061,ING!$P:$P)</f>
        <v>0</v>
      </c>
      <c r="D3061" s="16">
        <f>SUMIF(매도완료!$J:$J,Sheet2!$B3061,매도완료!$P:$P)+SUMIF(ING!$J:$J,Sheet2!$B3061,ING!$P:$P)</f>
        <v>0</v>
      </c>
      <c r="E3061" s="16">
        <f t="shared" si="94"/>
        <v>101204442.33239999</v>
      </c>
      <c r="G3061" s="16">
        <f>IF(D3061=0,0,SUMIF(매도완료!$J:$J,Sheet2!$B3061,매도완료!$S:$S))+IF(D3061=0,0,SUMIF(ING!$J:$J,Sheet2!$B3061,ING!$S:$S))</f>
        <v>0</v>
      </c>
      <c r="H3061" s="16">
        <f t="shared" si="95"/>
        <v>1244055.8008089415</v>
      </c>
    </row>
    <row r="3062" spans="2:8" hidden="1" x14ac:dyDescent="0.4">
      <c r="B3062" s="1">
        <v>45611</v>
      </c>
      <c r="C3062" s="16">
        <f>SUMIF(매도완료!$G:$G,Sheet2!$B3062,매도완료!$P:$P)+SUMIF(ING!$G:$G,Sheet2!$B3062,ING!$P:$P)</f>
        <v>0</v>
      </c>
      <c r="D3062" s="16">
        <f>SUMIF(매도완료!$J:$J,Sheet2!$B3062,매도완료!$P:$P)+SUMIF(ING!$J:$J,Sheet2!$B3062,ING!$P:$P)</f>
        <v>0</v>
      </c>
      <c r="E3062" s="16">
        <f t="shared" si="94"/>
        <v>101204442.33239999</v>
      </c>
      <c r="G3062" s="16">
        <f>IF(D3062=0,0,SUMIF(매도완료!$J:$J,Sheet2!$B3062,매도완료!$S:$S))+IF(D3062=0,0,SUMIF(ING!$J:$J,Sheet2!$B3062,ING!$S:$S))</f>
        <v>0</v>
      </c>
      <c r="H3062" s="16">
        <f t="shared" si="95"/>
        <v>1244055.8008089415</v>
      </c>
    </row>
    <row r="3063" spans="2:8" hidden="1" x14ac:dyDescent="0.4">
      <c r="B3063" s="1">
        <v>45612</v>
      </c>
      <c r="C3063" s="16">
        <f>SUMIF(매도완료!$G:$G,Sheet2!$B3063,매도완료!$P:$P)+SUMIF(ING!$G:$G,Sheet2!$B3063,ING!$P:$P)</f>
        <v>0</v>
      </c>
      <c r="D3063" s="16">
        <f>SUMIF(매도완료!$J:$J,Sheet2!$B3063,매도완료!$P:$P)+SUMIF(ING!$J:$J,Sheet2!$B3063,ING!$P:$P)</f>
        <v>0</v>
      </c>
      <c r="E3063" s="16">
        <f t="shared" si="94"/>
        <v>101204442.33239999</v>
      </c>
      <c r="G3063" s="16">
        <f>IF(D3063=0,0,SUMIF(매도완료!$J:$J,Sheet2!$B3063,매도완료!$S:$S))+IF(D3063=0,0,SUMIF(ING!$J:$J,Sheet2!$B3063,ING!$S:$S))</f>
        <v>0</v>
      </c>
      <c r="H3063" s="16">
        <f t="shared" si="95"/>
        <v>1244055.8008089415</v>
      </c>
    </row>
    <row r="3064" spans="2:8" hidden="1" x14ac:dyDescent="0.4">
      <c r="B3064" s="1">
        <v>45613</v>
      </c>
      <c r="C3064" s="16">
        <f>SUMIF(매도완료!$G:$G,Sheet2!$B3064,매도완료!$P:$P)+SUMIF(ING!$G:$G,Sheet2!$B3064,ING!$P:$P)</f>
        <v>0</v>
      </c>
      <c r="D3064" s="16">
        <f>SUMIF(매도완료!$J:$J,Sheet2!$B3064,매도완료!$P:$P)+SUMIF(ING!$J:$J,Sheet2!$B3064,ING!$P:$P)</f>
        <v>0</v>
      </c>
      <c r="E3064" s="16">
        <f t="shared" si="94"/>
        <v>101204442.33239999</v>
      </c>
      <c r="G3064" s="16">
        <f>IF(D3064=0,0,SUMIF(매도완료!$J:$J,Sheet2!$B3064,매도완료!$S:$S))+IF(D3064=0,0,SUMIF(ING!$J:$J,Sheet2!$B3064,ING!$S:$S))</f>
        <v>0</v>
      </c>
      <c r="H3064" s="16">
        <f t="shared" si="95"/>
        <v>1244055.8008089415</v>
      </c>
    </row>
    <row r="3065" spans="2:8" hidden="1" x14ac:dyDescent="0.4">
      <c r="B3065" s="1">
        <v>45614</v>
      </c>
      <c r="C3065" s="16">
        <f>SUMIF(매도완료!$G:$G,Sheet2!$B3065,매도완료!$P:$P)+SUMIF(ING!$G:$G,Sheet2!$B3065,ING!$P:$P)</f>
        <v>0</v>
      </c>
      <c r="D3065" s="16">
        <f>SUMIF(매도완료!$J:$J,Sheet2!$B3065,매도완료!$P:$P)+SUMIF(ING!$J:$J,Sheet2!$B3065,ING!$P:$P)</f>
        <v>0</v>
      </c>
      <c r="E3065" s="16">
        <f t="shared" si="94"/>
        <v>101204442.33239999</v>
      </c>
      <c r="G3065" s="16">
        <f>IF(D3065=0,0,SUMIF(매도완료!$J:$J,Sheet2!$B3065,매도완료!$S:$S))+IF(D3065=0,0,SUMIF(ING!$J:$J,Sheet2!$B3065,ING!$S:$S))</f>
        <v>0</v>
      </c>
      <c r="H3065" s="16">
        <f t="shared" si="95"/>
        <v>1244055.8008089415</v>
      </c>
    </row>
    <row r="3066" spans="2:8" hidden="1" x14ac:dyDescent="0.4">
      <c r="B3066" s="1">
        <v>45615</v>
      </c>
      <c r="C3066" s="16">
        <f>SUMIF(매도완료!$G:$G,Sheet2!$B3066,매도완료!$P:$P)+SUMIF(ING!$G:$G,Sheet2!$B3066,ING!$P:$P)</f>
        <v>0</v>
      </c>
      <c r="D3066" s="16">
        <f>SUMIF(매도완료!$J:$J,Sheet2!$B3066,매도완료!$P:$P)+SUMIF(ING!$J:$J,Sheet2!$B3066,ING!$P:$P)</f>
        <v>0</v>
      </c>
      <c r="E3066" s="16">
        <f t="shared" si="94"/>
        <v>101204442.33239999</v>
      </c>
      <c r="G3066" s="16">
        <f>IF(D3066=0,0,SUMIF(매도완료!$J:$J,Sheet2!$B3066,매도완료!$S:$S))+IF(D3066=0,0,SUMIF(ING!$J:$J,Sheet2!$B3066,ING!$S:$S))</f>
        <v>0</v>
      </c>
      <c r="H3066" s="16">
        <f t="shared" si="95"/>
        <v>1244055.8008089415</v>
      </c>
    </row>
    <row r="3067" spans="2:8" hidden="1" x14ac:dyDescent="0.4">
      <c r="B3067" s="1">
        <v>45616</v>
      </c>
      <c r="C3067" s="16">
        <f>SUMIF(매도완료!$G:$G,Sheet2!$B3067,매도완료!$P:$P)+SUMIF(ING!$G:$G,Sheet2!$B3067,ING!$P:$P)</f>
        <v>0</v>
      </c>
      <c r="D3067" s="16">
        <f>SUMIF(매도완료!$J:$J,Sheet2!$B3067,매도완료!$P:$P)+SUMIF(ING!$J:$J,Sheet2!$B3067,ING!$P:$P)</f>
        <v>0</v>
      </c>
      <c r="E3067" s="16">
        <f t="shared" si="94"/>
        <v>101204442.33239999</v>
      </c>
      <c r="G3067" s="16">
        <f>IF(D3067=0,0,SUMIF(매도완료!$J:$J,Sheet2!$B3067,매도완료!$S:$S))+IF(D3067=0,0,SUMIF(ING!$J:$J,Sheet2!$B3067,ING!$S:$S))</f>
        <v>0</v>
      </c>
      <c r="H3067" s="16">
        <f t="shared" si="95"/>
        <v>1244055.8008089415</v>
      </c>
    </row>
    <row r="3068" spans="2:8" hidden="1" x14ac:dyDescent="0.4">
      <c r="B3068" s="1">
        <v>45617</v>
      </c>
      <c r="C3068" s="16">
        <f>SUMIF(매도완료!$G:$G,Sheet2!$B3068,매도완료!$P:$P)+SUMIF(ING!$G:$G,Sheet2!$B3068,ING!$P:$P)</f>
        <v>0</v>
      </c>
      <c r="D3068" s="16">
        <f>SUMIF(매도완료!$J:$J,Sheet2!$B3068,매도완료!$P:$P)+SUMIF(ING!$J:$J,Sheet2!$B3068,ING!$P:$P)</f>
        <v>0</v>
      </c>
      <c r="E3068" s="16">
        <f t="shared" si="94"/>
        <v>101204442.33239999</v>
      </c>
      <c r="G3068" s="16">
        <f>IF(D3068=0,0,SUMIF(매도완료!$J:$J,Sheet2!$B3068,매도완료!$S:$S))+IF(D3068=0,0,SUMIF(ING!$J:$J,Sheet2!$B3068,ING!$S:$S))</f>
        <v>0</v>
      </c>
      <c r="H3068" s="16">
        <f t="shared" si="95"/>
        <v>1244055.8008089415</v>
      </c>
    </row>
    <row r="3069" spans="2:8" hidden="1" x14ac:dyDescent="0.4">
      <c r="B3069" s="1">
        <v>45618</v>
      </c>
      <c r="C3069" s="16">
        <f>SUMIF(매도완료!$G:$G,Sheet2!$B3069,매도완료!$P:$P)+SUMIF(ING!$G:$G,Sheet2!$B3069,ING!$P:$P)</f>
        <v>0</v>
      </c>
      <c r="D3069" s="16">
        <f>SUMIF(매도완료!$J:$J,Sheet2!$B3069,매도완료!$P:$P)+SUMIF(ING!$J:$J,Sheet2!$B3069,ING!$P:$P)</f>
        <v>0</v>
      </c>
      <c r="E3069" s="16">
        <f t="shared" si="94"/>
        <v>101204442.33239999</v>
      </c>
      <c r="G3069" s="16">
        <f>IF(D3069=0,0,SUMIF(매도완료!$J:$J,Sheet2!$B3069,매도완료!$S:$S))+IF(D3069=0,0,SUMIF(ING!$J:$J,Sheet2!$B3069,ING!$S:$S))</f>
        <v>0</v>
      </c>
      <c r="H3069" s="16">
        <f t="shared" si="95"/>
        <v>1244055.8008089415</v>
      </c>
    </row>
    <row r="3070" spans="2:8" hidden="1" x14ac:dyDescent="0.4">
      <c r="B3070" s="1">
        <v>45619</v>
      </c>
      <c r="C3070" s="16">
        <f>SUMIF(매도완료!$G:$G,Sheet2!$B3070,매도완료!$P:$P)+SUMIF(ING!$G:$G,Sheet2!$B3070,ING!$P:$P)</f>
        <v>0</v>
      </c>
      <c r="D3070" s="16">
        <f>SUMIF(매도완료!$J:$J,Sheet2!$B3070,매도완료!$P:$P)+SUMIF(ING!$J:$J,Sheet2!$B3070,ING!$P:$P)</f>
        <v>0</v>
      </c>
      <c r="E3070" s="16">
        <f t="shared" si="94"/>
        <v>101204442.33239999</v>
      </c>
      <c r="G3070" s="16">
        <f>IF(D3070=0,0,SUMIF(매도완료!$J:$J,Sheet2!$B3070,매도완료!$S:$S))+IF(D3070=0,0,SUMIF(ING!$J:$J,Sheet2!$B3070,ING!$S:$S))</f>
        <v>0</v>
      </c>
      <c r="H3070" s="16">
        <f t="shared" si="95"/>
        <v>1244055.8008089415</v>
      </c>
    </row>
    <row r="3071" spans="2:8" hidden="1" x14ac:dyDescent="0.4">
      <c r="B3071" s="1">
        <v>45620</v>
      </c>
      <c r="C3071" s="16">
        <f>SUMIF(매도완료!$G:$G,Sheet2!$B3071,매도완료!$P:$P)+SUMIF(ING!$G:$G,Sheet2!$B3071,ING!$P:$P)</f>
        <v>0</v>
      </c>
      <c r="D3071" s="16">
        <f>SUMIF(매도완료!$J:$J,Sheet2!$B3071,매도완료!$P:$P)+SUMIF(ING!$J:$J,Sheet2!$B3071,ING!$P:$P)</f>
        <v>0</v>
      </c>
      <c r="E3071" s="16">
        <f t="shared" si="94"/>
        <v>101204442.33239999</v>
      </c>
      <c r="G3071" s="16">
        <f>IF(D3071=0,0,SUMIF(매도완료!$J:$J,Sheet2!$B3071,매도완료!$S:$S))+IF(D3071=0,0,SUMIF(ING!$J:$J,Sheet2!$B3071,ING!$S:$S))</f>
        <v>0</v>
      </c>
      <c r="H3071" s="16">
        <f t="shared" si="95"/>
        <v>1244055.8008089415</v>
      </c>
    </row>
    <row r="3072" spans="2:8" hidden="1" x14ac:dyDescent="0.4">
      <c r="B3072" s="1">
        <v>45621</v>
      </c>
      <c r="C3072" s="16">
        <f>SUMIF(매도완료!$G:$G,Sheet2!$B3072,매도완료!$P:$P)+SUMIF(ING!$G:$G,Sheet2!$B3072,ING!$P:$P)</f>
        <v>0</v>
      </c>
      <c r="D3072" s="16">
        <f>SUMIF(매도완료!$J:$J,Sheet2!$B3072,매도완료!$P:$P)+SUMIF(ING!$J:$J,Sheet2!$B3072,ING!$P:$P)</f>
        <v>0</v>
      </c>
      <c r="E3072" s="16">
        <f t="shared" si="94"/>
        <v>101204442.33239999</v>
      </c>
      <c r="G3072" s="16">
        <f>IF(D3072=0,0,SUMIF(매도완료!$J:$J,Sheet2!$B3072,매도완료!$S:$S))+IF(D3072=0,0,SUMIF(ING!$J:$J,Sheet2!$B3072,ING!$S:$S))</f>
        <v>0</v>
      </c>
      <c r="H3072" s="16">
        <f t="shared" si="95"/>
        <v>1244055.8008089415</v>
      </c>
    </row>
    <row r="3073" spans="2:8" hidden="1" x14ac:dyDescent="0.4">
      <c r="B3073" s="1">
        <v>45622</v>
      </c>
      <c r="C3073" s="16">
        <f>SUMIF(매도완료!$G:$G,Sheet2!$B3073,매도완료!$P:$P)+SUMIF(ING!$G:$G,Sheet2!$B3073,ING!$P:$P)</f>
        <v>924000</v>
      </c>
      <c r="D3073" s="16">
        <f>SUMIF(매도완료!$J:$J,Sheet2!$B3073,매도완료!$P:$P)+SUMIF(ING!$J:$J,Sheet2!$B3073,ING!$P:$P)</f>
        <v>0</v>
      </c>
      <c r="E3073" s="16">
        <f t="shared" si="94"/>
        <v>102128442.33239999</v>
      </c>
      <c r="G3073" s="16">
        <f>IF(D3073=0,0,SUMIF(매도완료!$J:$J,Sheet2!$B3073,매도완료!$S:$S))+IF(D3073=0,0,SUMIF(ING!$J:$J,Sheet2!$B3073,ING!$S:$S))</f>
        <v>0</v>
      </c>
      <c r="H3073" s="16">
        <f t="shared" si="95"/>
        <v>1244055.8008089415</v>
      </c>
    </row>
    <row r="3074" spans="2:8" hidden="1" x14ac:dyDescent="0.4">
      <c r="B3074" s="1">
        <v>45623</v>
      </c>
      <c r="C3074" s="16">
        <f>SUMIF(매도완료!$G:$G,Sheet2!$B3074,매도완료!$P:$P)+SUMIF(ING!$G:$G,Sheet2!$B3074,ING!$P:$P)</f>
        <v>0</v>
      </c>
      <c r="D3074" s="16">
        <f>SUMIF(매도완료!$J:$J,Sheet2!$B3074,매도완료!$P:$P)+SUMIF(ING!$J:$J,Sheet2!$B3074,ING!$P:$P)</f>
        <v>0</v>
      </c>
      <c r="E3074" s="16">
        <f t="shared" si="94"/>
        <v>102128442.33239999</v>
      </c>
      <c r="G3074" s="16">
        <f>IF(D3074=0,0,SUMIF(매도완료!$J:$J,Sheet2!$B3074,매도완료!$S:$S))+IF(D3074=0,0,SUMIF(ING!$J:$J,Sheet2!$B3074,ING!$S:$S))</f>
        <v>0</v>
      </c>
      <c r="H3074" s="16">
        <f t="shared" si="95"/>
        <v>1244055.8008089415</v>
      </c>
    </row>
    <row r="3075" spans="2:8" hidden="1" x14ac:dyDescent="0.4">
      <c r="B3075" s="1">
        <v>45624</v>
      </c>
      <c r="C3075" s="16">
        <f>SUMIF(매도완료!$G:$G,Sheet2!$B3075,매도완료!$P:$P)+SUMIF(ING!$G:$G,Sheet2!$B3075,ING!$P:$P)</f>
        <v>0</v>
      </c>
      <c r="D3075" s="16">
        <f>SUMIF(매도완료!$J:$J,Sheet2!$B3075,매도완료!$P:$P)+SUMIF(ING!$J:$J,Sheet2!$B3075,ING!$P:$P)</f>
        <v>0</v>
      </c>
      <c r="E3075" s="16">
        <f t="shared" si="94"/>
        <v>102128442.33239999</v>
      </c>
      <c r="G3075" s="16">
        <f>IF(D3075=0,0,SUMIF(매도완료!$J:$J,Sheet2!$B3075,매도완료!$S:$S))+IF(D3075=0,0,SUMIF(ING!$J:$J,Sheet2!$B3075,ING!$S:$S))</f>
        <v>0</v>
      </c>
      <c r="H3075" s="16">
        <f t="shared" si="95"/>
        <v>1244055.8008089415</v>
      </c>
    </row>
    <row r="3076" spans="2:8" hidden="1" x14ac:dyDescent="0.4">
      <c r="B3076" s="1">
        <v>45625</v>
      </c>
      <c r="C3076" s="16">
        <f>SUMIF(매도완료!$G:$G,Sheet2!$B3076,매도완료!$P:$P)+SUMIF(ING!$G:$G,Sheet2!$B3076,ING!$P:$P)</f>
        <v>493790</v>
      </c>
      <c r="D3076" s="16">
        <f>SUMIF(매도완료!$J:$J,Sheet2!$B3076,매도완료!$P:$P)+SUMIF(ING!$J:$J,Sheet2!$B3076,ING!$P:$P)</f>
        <v>130000</v>
      </c>
      <c r="E3076" s="16">
        <f t="shared" ref="E3076:E3139" si="96">E3075+C3076-D3076</f>
        <v>102492232.33239999</v>
      </c>
      <c r="G3076" s="16">
        <f>IF(D3076=0,0,SUMIF(매도완료!$J:$J,Sheet2!$B3076,매도완료!$S:$S))+IF(D3076=0,0,SUMIF(ING!$J:$J,Sheet2!$B3076,ING!$S:$S))</f>
        <v>23223</v>
      </c>
      <c r="H3076" s="16">
        <f t="shared" ref="H3076:H3139" si="97">H3075+G3076</f>
        <v>1267278.8008089415</v>
      </c>
    </row>
    <row r="3077" spans="2:8" hidden="1" x14ac:dyDescent="0.4">
      <c r="B3077" s="1">
        <v>45626</v>
      </c>
      <c r="C3077" s="16">
        <f>SUMIF(매도완료!$G:$G,Sheet2!$B3077,매도완료!$P:$P)+SUMIF(ING!$G:$G,Sheet2!$B3077,ING!$P:$P)</f>
        <v>0</v>
      </c>
      <c r="D3077" s="16">
        <f>SUMIF(매도완료!$J:$J,Sheet2!$B3077,매도완료!$P:$P)+SUMIF(ING!$J:$J,Sheet2!$B3077,ING!$P:$P)</f>
        <v>0</v>
      </c>
      <c r="E3077" s="16">
        <f t="shared" si="96"/>
        <v>102492232.33239999</v>
      </c>
      <c r="G3077" s="16">
        <f>IF(D3077=0,0,SUMIF(매도완료!$J:$J,Sheet2!$B3077,매도완료!$S:$S))+IF(D3077=0,0,SUMIF(ING!$J:$J,Sheet2!$B3077,ING!$S:$S))</f>
        <v>0</v>
      </c>
      <c r="H3077" s="16">
        <f t="shared" si="97"/>
        <v>1267278.8008089415</v>
      </c>
    </row>
    <row r="3078" spans="2:8" hidden="1" x14ac:dyDescent="0.4">
      <c r="B3078" s="1">
        <v>45627</v>
      </c>
      <c r="C3078" s="16">
        <f>SUMIF(매도완료!$G:$G,Sheet2!$B3078,매도완료!$P:$P)+SUMIF(ING!$G:$G,Sheet2!$B3078,ING!$P:$P)</f>
        <v>0</v>
      </c>
      <c r="D3078" s="16">
        <f>SUMIF(매도완료!$J:$J,Sheet2!$B3078,매도완료!$P:$P)+SUMIF(ING!$J:$J,Sheet2!$B3078,ING!$P:$P)</f>
        <v>0</v>
      </c>
      <c r="E3078" s="16">
        <f t="shared" si="96"/>
        <v>102492232.33239999</v>
      </c>
      <c r="G3078" s="16">
        <f>IF(D3078=0,0,SUMIF(매도완료!$J:$J,Sheet2!$B3078,매도완료!$S:$S))+IF(D3078=0,0,SUMIF(ING!$J:$J,Sheet2!$B3078,ING!$S:$S))</f>
        <v>0</v>
      </c>
      <c r="H3078" s="16">
        <f t="shared" si="97"/>
        <v>1267278.8008089415</v>
      </c>
    </row>
    <row r="3079" spans="2:8" hidden="1" x14ac:dyDescent="0.4">
      <c r="B3079" s="1">
        <v>45628</v>
      </c>
      <c r="C3079" s="16">
        <f>SUMIF(매도완료!$G:$G,Sheet2!$B3079,매도완료!$P:$P)+SUMIF(ING!$G:$G,Sheet2!$B3079,ING!$P:$P)</f>
        <v>492450</v>
      </c>
      <c r="D3079" s="16">
        <f>SUMIF(매도완료!$J:$J,Sheet2!$B3079,매도완료!$P:$P)+SUMIF(ING!$J:$J,Sheet2!$B3079,ING!$P:$P)</f>
        <v>0</v>
      </c>
      <c r="E3079" s="16">
        <f t="shared" si="96"/>
        <v>102984682.33239999</v>
      </c>
      <c r="G3079" s="16">
        <f>IF(D3079=0,0,SUMIF(매도완료!$J:$J,Sheet2!$B3079,매도완료!$S:$S))+IF(D3079=0,0,SUMIF(ING!$J:$J,Sheet2!$B3079,ING!$S:$S))</f>
        <v>0</v>
      </c>
      <c r="H3079" s="16">
        <f t="shared" si="97"/>
        <v>1267278.8008089415</v>
      </c>
    </row>
    <row r="3080" spans="2:8" hidden="1" x14ac:dyDescent="0.4">
      <c r="B3080" s="1">
        <v>45629</v>
      </c>
      <c r="C3080" s="16">
        <f>SUMIF(매도완료!$G:$G,Sheet2!$B3080,매도완료!$P:$P)+SUMIF(ING!$G:$G,Sheet2!$B3080,ING!$P:$P)</f>
        <v>0</v>
      </c>
      <c r="D3080" s="16">
        <f>SUMIF(매도완료!$J:$J,Sheet2!$B3080,매도완료!$P:$P)+SUMIF(ING!$J:$J,Sheet2!$B3080,ING!$P:$P)</f>
        <v>0</v>
      </c>
      <c r="E3080" s="16">
        <f t="shared" si="96"/>
        <v>102984682.33239999</v>
      </c>
      <c r="G3080" s="16">
        <f>IF(D3080=0,0,SUMIF(매도완료!$J:$J,Sheet2!$B3080,매도완료!$S:$S))+IF(D3080=0,0,SUMIF(ING!$J:$J,Sheet2!$B3080,ING!$S:$S))</f>
        <v>0</v>
      </c>
      <c r="H3080" s="16">
        <f t="shared" si="97"/>
        <v>1267278.8008089415</v>
      </c>
    </row>
    <row r="3081" spans="2:8" hidden="1" x14ac:dyDescent="0.4">
      <c r="B3081" s="1">
        <v>45630</v>
      </c>
      <c r="C3081" s="16">
        <f>SUMIF(매도완료!$G:$G,Sheet2!$B3081,매도완료!$P:$P)+SUMIF(ING!$G:$G,Sheet2!$B3081,ING!$P:$P)</f>
        <v>7675327</v>
      </c>
      <c r="D3081" s="16">
        <f>SUMIF(매도완료!$J:$J,Sheet2!$B3081,매도완료!$P:$P)+SUMIF(ING!$J:$J,Sheet2!$B3081,ING!$P:$P)</f>
        <v>0</v>
      </c>
      <c r="E3081" s="16">
        <f t="shared" si="96"/>
        <v>110660009.33239999</v>
      </c>
      <c r="G3081" s="16">
        <f>IF(D3081=0,0,SUMIF(매도완료!$J:$J,Sheet2!$B3081,매도완료!$S:$S))+IF(D3081=0,0,SUMIF(ING!$J:$J,Sheet2!$B3081,ING!$S:$S))</f>
        <v>0</v>
      </c>
      <c r="H3081" s="16">
        <f t="shared" si="97"/>
        <v>1267278.8008089415</v>
      </c>
    </row>
    <row r="3082" spans="2:8" hidden="1" x14ac:dyDescent="0.4">
      <c r="B3082" s="1">
        <v>45631</v>
      </c>
      <c r="C3082" s="16">
        <f>SUMIF(매도완료!$G:$G,Sheet2!$B3082,매도완료!$P:$P)+SUMIF(ING!$G:$G,Sheet2!$B3082,ING!$P:$P)</f>
        <v>3864051</v>
      </c>
      <c r="D3082" s="16">
        <f>SUMIF(매도완료!$J:$J,Sheet2!$B3082,매도완료!$P:$P)+SUMIF(ING!$J:$J,Sheet2!$B3082,ING!$P:$P)</f>
        <v>0</v>
      </c>
      <c r="E3082" s="16">
        <f t="shared" si="96"/>
        <v>114524060.33239999</v>
      </c>
      <c r="G3082" s="16">
        <f>IF(D3082=0,0,SUMIF(매도완료!$J:$J,Sheet2!$B3082,매도완료!$S:$S))+IF(D3082=0,0,SUMIF(ING!$J:$J,Sheet2!$B3082,ING!$S:$S))</f>
        <v>0</v>
      </c>
      <c r="H3082" s="16">
        <f t="shared" si="97"/>
        <v>1267278.8008089415</v>
      </c>
    </row>
    <row r="3083" spans="2:8" hidden="1" x14ac:dyDescent="0.4">
      <c r="B3083" s="1">
        <v>45632</v>
      </c>
      <c r="C3083" s="16">
        <f>SUMIF(매도완료!$G:$G,Sheet2!$B3083,매도완료!$P:$P)+SUMIF(ING!$G:$G,Sheet2!$B3083,ING!$P:$P)</f>
        <v>0</v>
      </c>
      <c r="D3083" s="16">
        <f>SUMIF(매도완료!$J:$J,Sheet2!$B3083,매도완료!$P:$P)+SUMIF(ING!$J:$J,Sheet2!$B3083,ING!$P:$P)</f>
        <v>0</v>
      </c>
      <c r="E3083" s="16">
        <f t="shared" si="96"/>
        <v>114524060.33239999</v>
      </c>
      <c r="G3083" s="16">
        <f>IF(D3083=0,0,SUMIF(매도완료!$J:$J,Sheet2!$B3083,매도완료!$S:$S))+IF(D3083=0,0,SUMIF(ING!$J:$J,Sheet2!$B3083,ING!$S:$S))</f>
        <v>0</v>
      </c>
      <c r="H3083" s="16">
        <f t="shared" si="97"/>
        <v>1267278.8008089415</v>
      </c>
    </row>
    <row r="3084" spans="2:8" hidden="1" x14ac:dyDescent="0.4">
      <c r="B3084" s="1">
        <v>45633</v>
      </c>
      <c r="C3084" s="16">
        <f>SUMIF(매도완료!$G:$G,Sheet2!$B3084,매도완료!$P:$P)+SUMIF(ING!$G:$G,Sheet2!$B3084,ING!$P:$P)</f>
        <v>0</v>
      </c>
      <c r="D3084" s="16">
        <f>SUMIF(매도완료!$J:$J,Sheet2!$B3084,매도완료!$P:$P)+SUMIF(ING!$J:$J,Sheet2!$B3084,ING!$P:$P)</f>
        <v>0</v>
      </c>
      <c r="E3084" s="16">
        <f t="shared" si="96"/>
        <v>114524060.33239999</v>
      </c>
      <c r="G3084" s="16">
        <f>IF(D3084=0,0,SUMIF(매도완료!$J:$J,Sheet2!$B3084,매도완료!$S:$S))+IF(D3084=0,0,SUMIF(ING!$J:$J,Sheet2!$B3084,ING!$S:$S))</f>
        <v>0</v>
      </c>
      <c r="H3084" s="16">
        <f t="shared" si="97"/>
        <v>1267278.8008089415</v>
      </c>
    </row>
    <row r="3085" spans="2:8" hidden="1" x14ac:dyDescent="0.4">
      <c r="B3085" s="1">
        <v>45634</v>
      </c>
      <c r="C3085" s="16">
        <f>SUMIF(매도완료!$G:$G,Sheet2!$B3085,매도완료!$P:$P)+SUMIF(ING!$G:$G,Sheet2!$B3085,ING!$P:$P)</f>
        <v>0</v>
      </c>
      <c r="D3085" s="16">
        <f>SUMIF(매도완료!$J:$J,Sheet2!$B3085,매도완료!$P:$P)+SUMIF(ING!$J:$J,Sheet2!$B3085,ING!$P:$P)</f>
        <v>0</v>
      </c>
      <c r="E3085" s="16">
        <f t="shared" si="96"/>
        <v>114524060.33239999</v>
      </c>
      <c r="G3085" s="16">
        <f>IF(D3085=0,0,SUMIF(매도완료!$J:$J,Sheet2!$B3085,매도완료!$S:$S))+IF(D3085=0,0,SUMIF(ING!$J:$J,Sheet2!$B3085,ING!$S:$S))</f>
        <v>0</v>
      </c>
      <c r="H3085" s="16">
        <f t="shared" si="97"/>
        <v>1267278.8008089415</v>
      </c>
    </row>
    <row r="3086" spans="2:8" hidden="1" x14ac:dyDescent="0.4">
      <c r="B3086" s="1">
        <v>45635</v>
      </c>
      <c r="C3086" s="16">
        <f>SUMIF(매도완료!$G:$G,Sheet2!$B3086,매도완료!$P:$P)+SUMIF(ING!$G:$G,Sheet2!$B3086,ING!$P:$P)</f>
        <v>484650</v>
      </c>
      <c r="D3086" s="16">
        <f>SUMIF(매도완료!$J:$J,Sheet2!$B3086,매도완료!$P:$P)+SUMIF(ING!$J:$J,Sheet2!$B3086,ING!$P:$P)</f>
        <v>0</v>
      </c>
      <c r="E3086" s="16">
        <f t="shared" si="96"/>
        <v>115008710.33239999</v>
      </c>
      <c r="G3086" s="16">
        <f>IF(D3086=0,0,SUMIF(매도완료!$J:$J,Sheet2!$B3086,매도완료!$S:$S))+IF(D3086=0,0,SUMIF(ING!$J:$J,Sheet2!$B3086,ING!$S:$S))</f>
        <v>0</v>
      </c>
      <c r="H3086" s="16">
        <f t="shared" si="97"/>
        <v>1267278.8008089415</v>
      </c>
    </row>
    <row r="3087" spans="2:8" hidden="1" x14ac:dyDescent="0.4">
      <c r="B3087" s="1">
        <v>45636</v>
      </c>
      <c r="C3087" s="16">
        <f>SUMIF(매도완료!$G:$G,Sheet2!$B3087,매도완료!$P:$P)+SUMIF(ING!$G:$G,Sheet2!$B3087,ING!$P:$P)</f>
        <v>0</v>
      </c>
      <c r="D3087" s="16">
        <f>SUMIF(매도완료!$J:$J,Sheet2!$B3087,매도완료!$P:$P)+SUMIF(ING!$J:$J,Sheet2!$B3087,ING!$P:$P)</f>
        <v>0</v>
      </c>
      <c r="E3087" s="16">
        <f t="shared" si="96"/>
        <v>115008710.33239999</v>
      </c>
      <c r="G3087" s="16">
        <f>IF(D3087=0,0,SUMIF(매도완료!$J:$J,Sheet2!$B3087,매도완료!$S:$S))+IF(D3087=0,0,SUMIF(ING!$J:$J,Sheet2!$B3087,ING!$S:$S))</f>
        <v>0</v>
      </c>
      <c r="H3087" s="16">
        <f t="shared" si="97"/>
        <v>1267278.8008089415</v>
      </c>
    </row>
    <row r="3088" spans="2:8" hidden="1" x14ac:dyDescent="0.4">
      <c r="B3088" s="1">
        <v>45637</v>
      </c>
      <c r="C3088" s="16">
        <f>SUMIF(매도완료!$G:$G,Sheet2!$B3088,매도완료!$P:$P)+SUMIF(ING!$G:$G,Sheet2!$B3088,ING!$P:$P)</f>
        <v>296700</v>
      </c>
      <c r="D3088" s="16">
        <f>SUMIF(매도완료!$J:$J,Sheet2!$B3088,매도완료!$P:$P)+SUMIF(ING!$J:$J,Sheet2!$B3088,ING!$P:$P)</f>
        <v>0</v>
      </c>
      <c r="E3088" s="16">
        <f t="shared" si="96"/>
        <v>115305410.33239999</v>
      </c>
      <c r="G3088" s="16">
        <f>IF(D3088=0,0,SUMIF(매도완료!$J:$J,Sheet2!$B3088,매도완료!$S:$S))+IF(D3088=0,0,SUMIF(ING!$J:$J,Sheet2!$B3088,ING!$S:$S))</f>
        <v>0</v>
      </c>
      <c r="H3088" s="16">
        <f t="shared" si="97"/>
        <v>1267278.8008089415</v>
      </c>
    </row>
    <row r="3089" spans="2:8" hidden="1" x14ac:dyDescent="0.4">
      <c r="B3089" s="1">
        <v>45638</v>
      </c>
      <c r="C3089" s="16">
        <f>SUMIF(매도완료!$G:$G,Sheet2!$B3089,매도완료!$P:$P)+SUMIF(ING!$G:$G,Sheet2!$B3089,ING!$P:$P)</f>
        <v>0</v>
      </c>
      <c r="D3089" s="16">
        <f>SUMIF(매도완료!$J:$J,Sheet2!$B3089,매도완료!$P:$P)+SUMIF(ING!$J:$J,Sheet2!$B3089,ING!$P:$P)</f>
        <v>0</v>
      </c>
      <c r="E3089" s="16">
        <f t="shared" si="96"/>
        <v>115305410.33239999</v>
      </c>
      <c r="G3089" s="16">
        <f>IF(D3089=0,0,SUMIF(매도완료!$J:$J,Sheet2!$B3089,매도완료!$S:$S))+IF(D3089=0,0,SUMIF(ING!$J:$J,Sheet2!$B3089,ING!$S:$S))</f>
        <v>0</v>
      </c>
      <c r="H3089" s="16">
        <f t="shared" si="97"/>
        <v>1267278.8008089415</v>
      </c>
    </row>
    <row r="3090" spans="2:8" hidden="1" x14ac:dyDescent="0.4">
      <c r="B3090" s="1">
        <v>45639</v>
      </c>
      <c r="C3090" s="16">
        <f>SUMIF(매도완료!$G:$G,Sheet2!$B3090,매도완료!$P:$P)+SUMIF(ING!$G:$G,Sheet2!$B3090,ING!$P:$P)</f>
        <v>153450</v>
      </c>
      <c r="D3090" s="16">
        <f>SUMIF(매도완료!$J:$J,Sheet2!$B3090,매도완료!$P:$P)+SUMIF(ING!$J:$J,Sheet2!$B3090,ING!$P:$P)</f>
        <v>0</v>
      </c>
      <c r="E3090" s="16">
        <f t="shared" si="96"/>
        <v>115458860.33239999</v>
      </c>
      <c r="G3090" s="16">
        <f>IF(D3090=0,0,SUMIF(매도완료!$J:$J,Sheet2!$B3090,매도완료!$S:$S))+IF(D3090=0,0,SUMIF(ING!$J:$J,Sheet2!$B3090,ING!$S:$S))</f>
        <v>0</v>
      </c>
      <c r="H3090" s="16">
        <f t="shared" si="97"/>
        <v>1267278.8008089415</v>
      </c>
    </row>
    <row r="3091" spans="2:8" hidden="1" x14ac:dyDescent="0.4">
      <c r="B3091" s="1">
        <v>45640</v>
      </c>
      <c r="C3091" s="16">
        <f>SUMIF(매도완료!$G:$G,Sheet2!$B3091,매도완료!$P:$P)+SUMIF(ING!$G:$G,Sheet2!$B3091,ING!$P:$P)</f>
        <v>0</v>
      </c>
      <c r="D3091" s="16">
        <f>SUMIF(매도완료!$J:$J,Sheet2!$B3091,매도완료!$P:$P)+SUMIF(ING!$J:$J,Sheet2!$B3091,ING!$P:$P)</f>
        <v>0</v>
      </c>
      <c r="E3091" s="16">
        <f t="shared" si="96"/>
        <v>115458860.33239999</v>
      </c>
      <c r="G3091" s="16">
        <f>IF(D3091=0,0,SUMIF(매도완료!$J:$J,Sheet2!$B3091,매도완료!$S:$S))+IF(D3091=0,0,SUMIF(ING!$J:$J,Sheet2!$B3091,ING!$S:$S))</f>
        <v>0</v>
      </c>
      <c r="H3091" s="16">
        <f t="shared" si="97"/>
        <v>1267278.8008089415</v>
      </c>
    </row>
    <row r="3092" spans="2:8" hidden="1" x14ac:dyDescent="0.4">
      <c r="B3092" s="1">
        <v>45641</v>
      </c>
      <c r="C3092" s="16">
        <f>SUMIF(매도완료!$G:$G,Sheet2!$B3092,매도완료!$P:$P)+SUMIF(ING!$G:$G,Sheet2!$B3092,ING!$P:$P)</f>
        <v>0</v>
      </c>
      <c r="D3092" s="16">
        <f>SUMIF(매도완료!$J:$J,Sheet2!$B3092,매도완료!$P:$P)+SUMIF(ING!$J:$J,Sheet2!$B3092,ING!$P:$P)</f>
        <v>0</v>
      </c>
      <c r="E3092" s="16">
        <f t="shared" si="96"/>
        <v>115458860.33239999</v>
      </c>
      <c r="G3092" s="16">
        <f>IF(D3092=0,0,SUMIF(매도완료!$J:$J,Sheet2!$B3092,매도완료!$S:$S))+IF(D3092=0,0,SUMIF(ING!$J:$J,Sheet2!$B3092,ING!$S:$S))</f>
        <v>0</v>
      </c>
      <c r="H3092" s="16">
        <f t="shared" si="97"/>
        <v>1267278.8008089415</v>
      </c>
    </row>
    <row r="3093" spans="2:8" hidden="1" x14ac:dyDescent="0.4">
      <c r="B3093" s="1">
        <v>45642</v>
      </c>
      <c r="C3093" s="16">
        <f>SUMIF(매도완료!$G:$G,Sheet2!$B3093,매도완료!$P:$P)+SUMIF(ING!$G:$G,Sheet2!$B3093,ING!$P:$P)</f>
        <v>0</v>
      </c>
      <c r="D3093" s="16">
        <f>SUMIF(매도완료!$J:$J,Sheet2!$B3093,매도완료!$P:$P)+SUMIF(ING!$J:$J,Sheet2!$B3093,ING!$P:$P)</f>
        <v>0</v>
      </c>
      <c r="E3093" s="16">
        <f t="shared" si="96"/>
        <v>115458860.33239999</v>
      </c>
      <c r="G3093" s="16">
        <f>IF(D3093=0,0,SUMIF(매도완료!$J:$J,Sheet2!$B3093,매도완료!$S:$S))+IF(D3093=0,0,SUMIF(ING!$J:$J,Sheet2!$B3093,ING!$S:$S))</f>
        <v>0</v>
      </c>
      <c r="H3093" s="16">
        <f t="shared" si="97"/>
        <v>1267278.8008089415</v>
      </c>
    </row>
    <row r="3094" spans="2:8" hidden="1" x14ac:dyDescent="0.4">
      <c r="B3094" s="1">
        <v>45643</v>
      </c>
      <c r="C3094" s="16">
        <f>SUMIF(매도완료!$G:$G,Sheet2!$B3094,매도완료!$P:$P)+SUMIF(ING!$G:$G,Sheet2!$B3094,ING!$P:$P)</f>
        <v>1198100</v>
      </c>
      <c r="D3094" s="16">
        <f>SUMIF(매도완료!$J:$J,Sheet2!$B3094,매도완료!$P:$P)+SUMIF(ING!$J:$J,Sheet2!$B3094,ING!$P:$P)</f>
        <v>1480030</v>
      </c>
      <c r="E3094" s="16">
        <f t="shared" si="96"/>
        <v>115176930.33239999</v>
      </c>
      <c r="G3094" s="16">
        <f>IF(D3094=0,0,SUMIF(매도완료!$J:$J,Sheet2!$B3094,매도완료!$S:$S))+IF(D3094=0,0,SUMIF(ING!$J:$J,Sheet2!$B3094,ING!$S:$S))</f>
        <v>525828.49549999996</v>
      </c>
      <c r="H3094" s="16">
        <f t="shared" si="97"/>
        <v>1793107.2963089414</v>
      </c>
    </row>
    <row r="3095" spans="2:8" hidden="1" x14ac:dyDescent="0.4">
      <c r="B3095" s="1">
        <v>45644</v>
      </c>
      <c r="C3095" s="16">
        <f>SUMIF(매도완료!$G:$G,Sheet2!$B3095,매도완료!$P:$P)+SUMIF(ING!$G:$G,Sheet2!$B3095,ING!$P:$P)</f>
        <v>0</v>
      </c>
      <c r="D3095" s="16">
        <f>SUMIF(매도완료!$J:$J,Sheet2!$B3095,매도완료!$P:$P)+SUMIF(ING!$J:$J,Sheet2!$B3095,ING!$P:$P)</f>
        <v>2866995</v>
      </c>
      <c r="E3095" s="16">
        <f t="shared" si="96"/>
        <v>112309935.33239999</v>
      </c>
      <c r="G3095" s="16">
        <f>IF(D3095=0,0,SUMIF(매도완료!$J:$J,Sheet2!$B3095,매도완료!$S:$S))+IF(D3095=0,0,SUMIF(ING!$J:$J,Sheet2!$B3095,ING!$S:$S))</f>
        <v>146889.9</v>
      </c>
      <c r="H3095" s="16">
        <f t="shared" si="97"/>
        <v>1939997.1963089413</v>
      </c>
    </row>
    <row r="3096" spans="2:8" hidden="1" x14ac:dyDescent="0.4">
      <c r="B3096" s="1">
        <v>45645</v>
      </c>
      <c r="C3096" s="16">
        <f>SUMIF(매도완료!$G:$G,Sheet2!$B3096,매도완료!$P:$P)+SUMIF(ING!$G:$G,Sheet2!$B3096,ING!$P:$P)</f>
        <v>647760</v>
      </c>
      <c r="D3096" s="16">
        <f>SUMIF(매도완료!$J:$J,Sheet2!$B3096,매도완료!$P:$P)+SUMIF(ING!$J:$J,Sheet2!$B3096,ING!$P:$P)</f>
        <v>0</v>
      </c>
      <c r="E3096" s="16">
        <f t="shared" si="96"/>
        <v>112957695.33239999</v>
      </c>
      <c r="G3096" s="16">
        <f>IF(D3096=0,0,SUMIF(매도완료!$J:$J,Sheet2!$B3096,매도완료!$S:$S))+IF(D3096=0,0,SUMIF(ING!$J:$J,Sheet2!$B3096,ING!$S:$S))</f>
        <v>0</v>
      </c>
      <c r="H3096" s="16">
        <f t="shared" si="97"/>
        <v>1939997.1963089413</v>
      </c>
    </row>
    <row r="3097" spans="2:8" hidden="1" x14ac:dyDescent="0.4">
      <c r="B3097" s="1">
        <v>45646</v>
      </c>
      <c r="C3097" s="16">
        <f>SUMIF(매도완료!$G:$G,Sheet2!$B3097,매도완료!$P:$P)+SUMIF(ING!$G:$G,Sheet2!$B3097,ING!$P:$P)</f>
        <v>1663405</v>
      </c>
      <c r="D3097" s="16">
        <f>SUMIF(매도완료!$J:$J,Sheet2!$B3097,매도완료!$P:$P)+SUMIF(ING!$J:$J,Sheet2!$B3097,ING!$P:$P)</f>
        <v>0</v>
      </c>
      <c r="E3097" s="16">
        <f t="shared" si="96"/>
        <v>114621100.33239999</v>
      </c>
      <c r="G3097" s="16">
        <f>IF(D3097=0,0,SUMIF(매도완료!$J:$J,Sheet2!$B3097,매도완료!$S:$S))+IF(D3097=0,0,SUMIF(ING!$J:$J,Sheet2!$B3097,ING!$S:$S))</f>
        <v>0</v>
      </c>
      <c r="H3097" s="16">
        <f t="shared" si="97"/>
        <v>1939997.1963089413</v>
      </c>
    </row>
    <row r="3098" spans="2:8" hidden="1" x14ac:dyDescent="0.4">
      <c r="B3098" s="1">
        <v>45647</v>
      </c>
      <c r="C3098" s="16">
        <f>SUMIF(매도완료!$G:$G,Sheet2!$B3098,매도완료!$P:$P)+SUMIF(ING!$G:$G,Sheet2!$B3098,ING!$P:$P)</f>
        <v>0</v>
      </c>
      <c r="D3098" s="16">
        <f>SUMIF(매도완료!$J:$J,Sheet2!$B3098,매도완료!$P:$P)+SUMIF(ING!$J:$J,Sheet2!$B3098,ING!$P:$P)</f>
        <v>0</v>
      </c>
      <c r="E3098" s="16">
        <f t="shared" si="96"/>
        <v>114621100.33239999</v>
      </c>
      <c r="G3098" s="16">
        <f>IF(D3098=0,0,SUMIF(매도완료!$J:$J,Sheet2!$B3098,매도완료!$S:$S))+IF(D3098=0,0,SUMIF(ING!$J:$J,Sheet2!$B3098,ING!$S:$S))</f>
        <v>0</v>
      </c>
      <c r="H3098" s="16">
        <f t="shared" si="97"/>
        <v>1939997.1963089413</v>
      </c>
    </row>
    <row r="3099" spans="2:8" hidden="1" x14ac:dyDescent="0.4">
      <c r="B3099" s="1">
        <v>45648</v>
      </c>
      <c r="C3099" s="16">
        <f>SUMIF(매도완료!$G:$G,Sheet2!$B3099,매도완료!$P:$P)+SUMIF(ING!$G:$G,Sheet2!$B3099,ING!$P:$P)</f>
        <v>0</v>
      </c>
      <c r="D3099" s="16">
        <f>SUMIF(매도완료!$J:$J,Sheet2!$B3099,매도완료!$P:$P)+SUMIF(ING!$J:$J,Sheet2!$B3099,ING!$P:$P)</f>
        <v>0</v>
      </c>
      <c r="E3099" s="16">
        <f t="shared" si="96"/>
        <v>114621100.33239999</v>
      </c>
      <c r="G3099" s="16">
        <f>IF(D3099=0,0,SUMIF(매도완료!$J:$J,Sheet2!$B3099,매도완료!$S:$S))+IF(D3099=0,0,SUMIF(ING!$J:$J,Sheet2!$B3099,ING!$S:$S))</f>
        <v>0</v>
      </c>
      <c r="H3099" s="16">
        <f t="shared" si="97"/>
        <v>1939997.1963089413</v>
      </c>
    </row>
    <row r="3100" spans="2:8" hidden="1" x14ac:dyDescent="0.4">
      <c r="B3100" s="1">
        <v>45649</v>
      </c>
      <c r="C3100" s="16">
        <f>SUMIF(매도완료!$G:$G,Sheet2!$B3100,매도완료!$P:$P)+SUMIF(ING!$G:$G,Sheet2!$B3100,ING!$P:$P)</f>
        <v>176000</v>
      </c>
      <c r="D3100" s="16">
        <f>SUMIF(매도완료!$J:$J,Sheet2!$B3100,매도완료!$P:$P)+SUMIF(ING!$J:$J,Sheet2!$B3100,ING!$P:$P)</f>
        <v>0</v>
      </c>
      <c r="E3100" s="16">
        <f t="shared" si="96"/>
        <v>114797100.33239999</v>
      </c>
      <c r="G3100" s="16">
        <f>IF(D3100=0,0,SUMIF(매도완료!$J:$J,Sheet2!$B3100,매도완료!$S:$S))+IF(D3100=0,0,SUMIF(ING!$J:$J,Sheet2!$B3100,ING!$S:$S))</f>
        <v>0</v>
      </c>
      <c r="H3100" s="16">
        <f t="shared" si="97"/>
        <v>1939997.1963089413</v>
      </c>
    </row>
    <row r="3101" spans="2:8" hidden="1" x14ac:dyDescent="0.4">
      <c r="B3101" s="1">
        <v>45650</v>
      </c>
      <c r="C3101" s="16">
        <f>SUMIF(매도완료!$G:$G,Sheet2!$B3101,매도완료!$P:$P)+SUMIF(ING!$G:$G,Sheet2!$B3101,ING!$P:$P)</f>
        <v>853550</v>
      </c>
      <c r="D3101" s="16">
        <f>SUMIF(매도완료!$J:$J,Sheet2!$B3101,매도완료!$P:$P)+SUMIF(ING!$J:$J,Sheet2!$B3101,ING!$P:$P)</f>
        <v>0</v>
      </c>
      <c r="E3101" s="16">
        <f t="shared" si="96"/>
        <v>115650650.33239999</v>
      </c>
      <c r="G3101" s="16">
        <f>IF(D3101=0,0,SUMIF(매도완료!$J:$J,Sheet2!$B3101,매도완료!$S:$S))+IF(D3101=0,0,SUMIF(ING!$J:$J,Sheet2!$B3101,ING!$S:$S))</f>
        <v>0</v>
      </c>
      <c r="H3101" s="16">
        <f t="shared" si="97"/>
        <v>1939997.1963089413</v>
      </c>
    </row>
    <row r="3102" spans="2:8" hidden="1" x14ac:dyDescent="0.4">
      <c r="B3102" s="1">
        <v>45651</v>
      </c>
      <c r="C3102" s="16">
        <f>SUMIF(매도완료!$G:$G,Sheet2!$B3102,매도완료!$P:$P)+SUMIF(ING!$G:$G,Sheet2!$B3102,ING!$P:$P)</f>
        <v>0</v>
      </c>
      <c r="D3102" s="16">
        <f>SUMIF(매도완료!$J:$J,Sheet2!$B3102,매도완료!$P:$P)+SUMIF(ING!$J:$J,Sheet2!$B3102,ING!$P:$P)</f>
        <v>0</v>
      </c>
      <c r="E3102" s="16">
        <f t="shared" si="96"/>
        <v>115650650.33239999</v>
      </c>
      <c r="G3102" s="16">
        <f>IF(D3102=0,0,SUMIF(매도완료!$J:$J,Sheet2!$B3102,매도완료!$S:$S))+IF(D3102=0,0,SUMIF(ING!$J:$J,Sheet2!$B3102,ING!$S:$S))</f>
        <v>0</v>
      </c>
      <c r="H3102" s="16">
        <f t="shared" si="97"/>
        <v>1939997.1963089413</v>
      </c>
    </row>
    <row r="3103" spans="2:8" hidden="1" x14ac:dyDescent="0.4">
      <c r="B3103" s="1">
        <v>45652</v>
      </c>
      <c r="C3103" s="16">
        <f>SUMIF(매도완료!$G:$G,Sheet2!$B3103,매도완료!$P:$P)+SUMIF(ING!$G:$G,Sheet2!$B3103,ING!$P:$P)</f>
        <v>116000</v>
      </c>
      <c r="D3103" s="16">
        <f>SUMIF(매도완료!$J:$J,Sheet2!$B3103,매도완료!$P:$P)+SUMIF(ING!$J:$J,Sheet2!$B3103,ING!$P:$P)</f>
        <v>0</v>
      </c>
      <c r="E3103" s="16">
        <f t="shared" si="96"/>
        <v>115766650.33239999</v>
      </c>
      <c r="G3103" s="16">
        <f>IF(D3103=0,0,SUMIF(매도완료!$J:$J,Sheet2!$B3103,매도완료!$S:$S))+IF(D3103=0,0,SUMIF(ING!$J:$J,Sheet2!$B3103,ING!$S:$S))</f>
        <v>0</v>
      </c>
      <c r="H3103" s="16">
        <f t="shared" si="97"/>
        <v>1939997.1963089413</v>
      </c>
    </row>
    <row r="3104" spans="2:8" hidden="1" x14ac:dyDescent="0.4">
      <c r="B3104" s="1">
        <v>45653</v>
      </c>
      <c r="C3104" s="16">
        <f>SUMIF(매도완료!$G:$G,Sheet2!$B3104,매도완료!$P:$P)+SUMIF(ING!$G:$G,Sheet2!$B3104,ING!$P:$P)</f>
        <v>1614400</v>
      </c>
      <c r="D3104" s="16">
        <f>SUMIF(매도완료!$J:$J,Sheet2!$B3104,매도완료!$P:$P)+SUMIF(ING!$J:$J,Sheet2!$B3104,ING!$P:$P)</f>
        <v>0</v>
      </c>
      <c r="E3104" s="16">
        <f t="shared" si="96"/>
        <v>117381050.33239999</v>
      </c>
      <c r="G3104" s="16">
        <f>IF(D3104=0,0,SUMIF(매도완료!$J:$J,Sheet2!$B3104,매도완료!$S:$S))+IF(D3104=0,0,SUMIF(ING!$J:$J,Sheet2!$B3104,ING!$S:$S))</f>
        <v>0</v>
      </c>
      <c r="H3104" s="16">
        <f t="shared" si="97"/>
        <v>1939997.1963089413</v>
      </c>
    </row>
    <row r="3105" spans="2:8" hidden="1" x14ac:dyDescent="0.4">
      <c r="B3105" s="1">
        <v>45654</v>
      </c>
      <c r="C3105" s="16">
        <f>SUMIF(매도완료!$G:$G,Sheet2!$B3105,매도완료!$P:$P)+SUMIF(ING!$G:$G,Sheet2!$B3105,ING!$P:$P)</f>
        <v>0</v>
      </c>
      <c r="D3105" s="16">
        <f>SUMIF(매도완료!$J:$J,Sheet2!$B3105,매도완료!$P:$P)+SUMIF(ING!$J:$J,Sheet2!$B3105,ING!$P:$P)</f>
        <v>0</v>
      </c>
      <c r="E3105" s="16">
        <f t="shared" si="96"/>
        <v>117381050.33239999</v>
      </c>
      <c r="G3105" s="16">
        <f>IF(D3105=0,0,SUMIF(매도완료!$J:$J,Sheet2!$B3105,매도완료!$S:$S))+IF(D3105=0,0,SUMIF(ING!$J:$J,Sheet2!$B3105,ING!$S:$S))</f>
        <v>0</v>
      </c>
      <c r="H3105" s="16">
        <f t="shared" si="97"/>
        <v>1939997.1963089413</v>
      </c>
    </row>
    <row r="3106" spans="2:8" hidden="1" x14ac:dyDescent="0.4">
      <c r="B3106" s="1">
        <v>45655</v>
      </c>
      <c r="C3106" s="16">
        <f>SUMIF(매도완료!$G:$G,Sheet2!$B3106,매도완료!$P:$P)+SUMIF(ING!$G:$G,Sheet2!$B3106,ING!$P:$P)</f>
        <v>0</v>
      </c>
      <c r="D3106" s="16">
        <f>SUMIF(매도완료!$J:$J,Sheet2!$B3106,매도완료!$P:$P)+SUMIF(ING!$J:$J,Sheet2!$B3106,ING!$P:$P)</f>
        <v>0</v>
      </c>
      <c r="E3106" s="16">
        <f t="shared" si="96"/>
        <v>117381050.33239999</v>
      </c>
      <c r="G3106" s="16">
        <f>IF(D3106=0,0,SUMIF(매도완료!$J:$J,Sheet2!$B3106,매도완료!$S:$S))+IF(D3106=0,0,SUMIF(ING!$J:$J,Sheet2!$B3106,ING!$S:$S))</f>
        <v>0</v>
      </c>
      <c r="H3106" s="16">
        <f t="shared" si="97"/>
        <v>1939997.1963089413</v>
      </c>
    </row>
    <row r="3107" spans="2:8" hidden="1" x14ac:dyDescent="0.4">
      <c r="B3107" s="1">
        <v>45656</v>
      </c>
      <c r="C3107" s="16">
        <f>SUMIF(매도완료!$G:$G,Sheet2!$B3107,매도완료!$P:$P)+SUMIF(ING!$G:$G,Sheet2!$B3107,ING!$P:$P)</f>
        <v>623973</v>
      </c>
      <c r="D3107" s="16">
        <f>SUMIF(매도완료!$J:$J,Sheet2!$B3107,매도완료!$P:$P)+SUMIF(ING!$J:$J,Sheet2!$B3107,ING!$P:$P)</f>
        <v>0</v>
      </c>
      <c r="E3107" s="16">
        <f t="shared" si="96"/>
        <v>118005023.33239999</v>
      </c>
      <c r="G3107" s="16">
        <f>IF(D3107=0,0,SUMIF(매도완료!$J:$J,Sheet2!$B3107,매도완료!$S:$S))+IF(D3107=0,0,SUMIF(ING!$J:$J,Sheet2!$B3107,ING!$S:$S))</f>
        <v>0</v>
      </c>
      <c r="H3107" s="16">
        <f t="shared" si="97"/>
        <v>1939997.1963089413</v>
      </c>
    </row>
    <row r="3108" spans="2:8" hidden="1" x14ac:dyDescent="0.4">
      <c r="B3108" s="1">
        <v>45657</v>
      </c>
      <c r="C3108" s="16">
        <f>SUMIF(매도완료!$G:$G,Sheet2!$B3108,매도완료!$P:$P)+SUMIF(ING!$G:$G,Sheet2!$B3108,ING!$P:$P)</f>
        <v>0</v>
      </c>
      <c r="D3108" s="16">
        <f>SUMIF(매도완료!$J:$J,Sheet2!$B3108,매도완료!$P:$P)+SUMIF(ING!$J:$J,Sheet2!$B3108,ING!$P:$P)</f>
        <v>0</v>
      </c>
      <c r="E3108" s="16">
        <f t="shared" si="96"/>
        <v>118005023.33239999</v>
      </c>
      <c r="G3108" s="16">
        <f>IF(D3108=0,0,SUMIF(매도완료!$J:$J,Sheet2!$B3108,매도완료!$S:$S))+IF(D3108=0,0,SUMIF(ING!$J:$J,Sheet2!$B3108,ING!$S:$S))</f>
        <v>0</v>
      </c>
      <c r="H3108" s="16">
        <f t="shared" si="97"/>
        <v>1939997.1963089413</v>
      </c>
    </row>
    <row r="3109" spans="2:8" x14ac:dyDescent="0.4">
      <c r="B3109" s="1">
        <v>45658</v>
      </c>
      <c r="C3109" s="16">
        <f>SUMIF(매도완료!$G:$G,Sheet2!$B3109,매도완료!$P:$P)+SUMIF(ING!$G:$G,Sheet2!$B3109,ING!$P:$P)</f>
        <v>0</v>
      </c>
      <c r="D3109" s="16">
        <f>SUMIF(매도완료!$J:$J,Sheet2!$B3109,매도완료!$P:$P)+SUMIF(ING!$J:$J,Sheet2!$B3109,ING!$P:$P)</f>
        <v>0</v>
      </c>
      <c r="E3109" s="16">
        <f t="shared" si="96"/>
        <v>118005023.33239999</v>
      </c>
      <c r="G3109" s="16">
        <f>IF(D3109=0,0,SUMIF(매도완료!$J:$J,Sheet2!$B3109,매도완료!$S:$S))+IF(D3109=0,0,SUMIF(ING!$J:$J,Sheet2!$B3109,ING!$S:$S))</f>
        <v>0</v>
      </c>
      <c r="H3109" s="16">
        <f t="shared" si="97"/>
        <v>1939997.1963089413</v>
      </c>
    </row>
    <row r="3110" spans="2:8" hidden="1" x14ac:dyDescent="0.4">
      <c r="B3110" s="1">
        <v>45659</v>
      </c>
      <c r="C3110" s="16">
        <f>SUMIF(매도완료!$G:$G,Sheet2!$B3110,매도완료!$P:$P)+SUMIF(ING!$G:$G,Sheet2!$B3110,ING!$P:$P)</f>
        <v>200069</v>
      </c>
      <c r="D3110" s="16">
        <f>SUMIF(매도완료!$J:$J,Sheet2!$B3110,매도완료!$P:$P)+SUMIF(ING!$J:$J,Sheet2!$B3110,ING!$P:$P)</f>
        <v>0</v>
      </c>
      <c r="E3110" s="16">
        <f t="shared" si="96"/>
        <v>118205092.33239999</v>
      </c>
      <c r="G3110" s="16">
        <f>IF(D3110=0,0,SUMIF(매도완료!$J:$J,Sheet2!$B3110,매도완료!$S:$S))+IF(D3110=0,0,SUMIF(ING!$J:$J,Sheet2!$B3110,ING!$S:$S))</f>
        <v>0</v>
      </c>
      <c r="H3110" s="16">
        <f t="shared" si="97"/>
        <v>1939997.1963089413</v>
      </c>
    </row>
    <row r="3111" spans="2:8" hidden="1" x14ac:dyDescent="0.4">
      <c r="B3111" s="1">
        <v>45660</v>
      </c>
      <c r="C3111" s="16">
        <f>SUMIF(매도완료!$G:$G,Sheet2!$B3111,매도완료!$P:$P)+SUMIF(ING!$G:$G,Sheet2!$B3111,ING!$P:$P)</f>
        <v>2840</v>
      </c>
      <c r="D3111" s="16">
        <f>SUMIF(매도완료!$J:$J,Sheet2!$B3111,매도완료!$P:$P)+SUMIF(ING!$J:$J,Sheet2!$B3111,ING!$P:$P)</f>
        <v>0</v>
      </c>
      <c r="E3111" s="16">
        <f t="shared" si="96"/>
        <v>118207932.33239999</v>
      </c>
      <c r="G3111" s="16">
        <f>IF(D3111=0,0,SUMIF(매도완료!$J:$J,Sheet2!$B3111,매도완료!$S:$S))+IF(D3111=0,0,SUMIF(ING!$J:$J,Sheet2!$B3111,ING!$S:$S))</f>
        <v>0</v>
      </c>
      <c r="H3111" s="16">
        <f t="shared" si="97"/>
        <v>1939997.1963089413</v>
      </c>
    </row>
    <row r="3112" spans="2:8" hidden="1" x14ac:dyDescent="0.4">
      <c r="B3112" s="1">
        <v>45661</v>
      </c>
      <c r="C3112" s="16">
        <f>SUMIF(매도완료!$G:$G,Sheet2!$B3112,매도완료!$P:$P)+SUMIF(ING!$G:$G,Sheet2!$B3112,ING!$P:$P)</f>
        <v>0</v>
      </c>
      <c r="D3112" s="16">
        <f>SUMIF(매도완료!$J:$J,Sheet2!$B3112,매도완료!$P:$P)+SUMIF(ING!$J:$J,Sheet2!$B3112,ING!$P:$P)</f>
        <v>0</v>
      </c>
      <c r="E3112" s="16">
        <f t="shared" si="96"/>
        <v>118207932.33239999</v>
      </c>
      <c r="G3112" s="16">
        <f>IF(D3112=0,0,SUMIF(매도완료!$J:$J,Sheet2!$B3112,매도완료!$S:$S))+IF(D3112=0,0,SUMIF(ING!$J:$J,Sheet2!$B3112,ING!$S:$S))</f>
        <v>0</v>
      </c>
      <c r="H3112" s="16">
        <f t="shared" si="97"/>
        <v>1939997.1963089413</v>
      </c>
    </row>
    <row r="3113" spans="2:8" hidden="1" x14ac:dyDescent="0.4">
      <c r="B3113" s="1">
        <v>45662</v>
      </c>
      <c r="C3113" s="16">
        <f>SUMIF(매도완료!$G:$G,Sheet2!$B3113,매도완료!$P:$P)+SUMIF(ING!$G:$G,Sheet2!$B3113,ING!$P:$P)</f>
        <v>0</v>
      </c>
      <c r="D3113" s="16">
        <f>SUMIF(매도완료!$J:$J,Sheet2!$B3113,매도완료!$P:$P)+SUMIF(ING!$J:$J,Sheet2!$B3113,ING!$P:$P)</f>
        <v>0</v>
      </c>
      <c r="E3113" s="16">
        <f t="shared" si="96"/>
        <v>118207932.33239999</v>
      </c>
      <c r="G3113" s="16">
        <f>IF(D3113=0,0,SUMIF(매도완료!$J:$J,Sheet2!$B3113,매도완료!$S:$S))+IF(D3113=0,0,SUMIF(ING!$J:$J,Sheet2!$B3113,ING!$S:$S))</f>
        <v>0</v>
      </c>
      <c r="H3113" s="16">
        <f t="shared" si="97"/>
        <v>1939997.1963089413</v>
      </c>
    </row>
    <row r="3114" spans="2:8" hidden="1" x14ac:dyDescent="0.4">
      <c r="B3114" s="1">
        <v>45663</v>
      </c>
      <c r="C3114" s="16">
        <f>SUMIF(매도완료!$G:$G,Sheet2!$B3114,매도완료!$P:$P)+SUMIF(ING!$G:$G,Sheet2!$B3114,ING!$P:$P)</f>
        <v>2030</v>
      </c>
      <c r="D3114" s="16">
        <f>SUMIF(매도완료!$J:$J,Sheet2!$B3114,매도완료!$P:$P)+SUMIF(ING!$J:$J,Sheet2!$B3114,ING!$P:$P)</f>
        <v>0</v>
      </c>
      <c r="E3114" s="16">
        <f t="shared" si="96"/>
        <v>118209962.33239999</v>
      </c>
      <c r="G3114" s="16">
        <f>IF(D3114=0,0,SUMIF(매도완료!$J:$J,Sheet2!$B3114,매도완료!$S:$S))+IF(D3114=0,0,SUMIF(ING!$J:$J,Sheet2!$B3114,ING!$S:$S))</f>
        <v>0</v>
      </c>
      <c r="H3114" s="16">
        <f t="shared" si="97"/>
        <v>1939997.1963089413</v>
      </c>
    </row>
    <row r="3115" spans="2:8" hidden="1" x14ac:dyDescent="0.4">
      <c r="B3115" s="1">
        <v>45664</v>
      </c>
      <c r="C3115" s="16">
        <f>SUMIF(매도완료!$G:$G,Sheet2!$B3115,매도완료!$P:$P)+SUMIF(ING!$G:$G,Sheet2!$B3115,ING!$P:$P)</f>
        <v>4576</v>
      </c>
      <c r="D3115" s="16">
        <f>SUMIF(매도완료!$J:$J,Sheet2!$B3115,매도완료!$P:$P)+SUMIF(ING!$J:$J,Sheet2!$B3115,ING!$P:$P)</f>
        <v>0</v>
      </c>
      <c r="E3115" s="16">
        <f t="shared" si="96"/>
        <v>118214538.33239999</v>
      </c>
      <c r="G3115" s="16">
        <f>IF(D3115=0,0,SUMIF(매도완료!$J:$J,Sheet2!$B3115,매도완료!$S:$S))+IF(D3115=0,0,SUMIF(ING!$J:$J,Sheet2!$B3115,ING!$S:$S))</f>
        <v>0</v>
      </c>
      <c r="H3115" s="16">
        <f t="shared" si="97"/>
        <v>1939997.1963089413</v>
      </c>
    </row>
    <row r="3116" spans="2:8" hidden="1" x14ac:dyDescent="0.4">
      <c r="B3116" s="1">
        <v>45665</v>
      </c>
      <c r="C3116" s="16">
        <f>SUMIF(매도완료!$G:$G,Sheet2!$B3116,매도완료!$P:$P)+SUMIF(ING!$G:$G,Sheet2!$B3116,ING!$P:$P)</f>
        <v>17900</v>
      </c>
      <c r="D3116" s="16">
        <f>SUMIF(매도완료!$J:$J,Sheet2!$B3116,매도완료!$P:$P)+SUMIF(ING!$J:$J,Sheet2!$B3116,ING!$P:$P)</f>
        <v>0</v>
      </c>
      <c r="E3116" s="16">
        <f t="shared" si="96"/>
        <v>118232438.33239999</v>
      </c>
      <c r="G3116" s="16">
        <f>IF(D3116=0,0,SUMIF(매도완료!$J:$J,Sheet2!$B3116,매도완료!$S:$S))+IF(D3116=0,0,SUMIF(ING!$J:$J,Sheet2!$B3116,ING!$S:$S))</f>
        <v>0</v>
      </c>
      <c r="H3116" s="16">
        <f t="shared" si="97"/>
        <v>1939997.1963089413</v>
      </c>
    </row>
    <row r="3117" spans="2:8" hidden="1" x14ac:dyDescent="0.4">
      <c r="B3117" s="1">
        <v>45666</v>
      </c>
      <c r="C3117" s="16">
        <f>SUMIF(매도완료!$G:$G,Sheet2!$B3117,매도완료!$P:$P)+SUMIF(ING!$G:$G,Sheet2!$B3117,ING!$P:$P)</f>
        <v>20100</v>
      </c>
      <c r="D3117" s="16">
        <f>SUMIF(매도완료!$J:$J,Sheet2!$B3117,매도완료!$P:$P)+SUMIF(ING!$J:$J,Sheet2!$B3117,ING!$P:$P)</f>
        <v>4807000</v>
      </c>
      <c r="E3117" s="16">
        <f t="shared" si="96"/>
        <v>113445538.33239999</v>
      </c>
      <c r="G3117" s="16">
        <f>IF(D3117=0,0,SUMIF(매도완료!$J:$J,Sheet2!$B3117,매도완료!$S:$S))+IF(D3117=0,0,SUMIF(ING!$J:$J,Sheet2!$B3117,ING!$S:$S))</f>
        <v>243929.95</v>
      </c>
      <c r="H3117" s="16">
        <f t="shared" si="97"/>
        <v>2183927.1463089413</v>
      </c>
    </row>
    <row r="3118" spans="2:8" hidden="1" x14ac:dyDescent="0.4">
      <c r="B3118" s="1">
        <v>45667</v>
      </c>
      <c r="C3118" s="16">
        <f>SUMIF(매도완료!$G:$G,Sheet2!$B3118,매도완료!$P:$P)+SUMIF(ING!$G:$G,Sheet2!$B3118,ING!$P:$P)</f>
        <v>404550</v>
      </c>
      <c r="D3118" s="16">
        <f>SUMIF(매도완료!$J:$J,Sheet2!$B3118,매도완료!$P:$P)+SUMIF(ING!$J:$J,Sheet2!$B3118,ING!$P:$P)</f>
        <v>3118997</v>
      </c>
      <c r="E3118" s="16">
        <f t="shared" si="96"/>
        <v>110731091.33239999</v>
      </c>
      <c r="G3118" s="16">
        <f>IF(D3118=0,0,SUMIF(매도완료!$J:$J,Sheet2!$B3118,매도완료!$S:$S))+IF(D3118=0,0,SUMIF(ING!$J:$J,Sheet2!$B3118,ING!$S:$S))</f>
        <v>250740.5</v>
      </c>
      <c r="H3118" s="16">
        <f t="shared" si="97"/>
        <v>2434667.6463089413</v>
      </c>
    </row>
    <row r="3119" spans="2:8" hidden="1" x14ac:dyDescent="0.4">
      <c r="B3119" s="1">
        <v>45668</v>
      </c>
      <c r="C3119" s="16">
        <f>SUMIF(매도완료!$G:$G,Sheet2!$B3119,매도완료!$P:$P)+SUMIF(ING!$G:$G,Sheet2!$B3119,ING!$P:$P)</f>
        <v>0</v>
      </c>
      <c r="D3119" s="16">
        <f>SUMIF(매도완료!$J:$J,Sheet2!$B3119,매도완료!$P:$P)+SUMIF(ING!$J:$J,Sheet2!$B3119,ING!$P:$P)</f>
        <v>0</v>
      </c>
      <c r="E3119" s="16">
        <f t="shared" si="96"/>
        <v>110731091.33239999</v>
      </c>
      <c r="G3119" s="16">
        <f>IF(D3119=0,0,SUMIF(매도완료!$J:$J,Sheet2!$B3119,매도완료!$S:$S))+IF(D3119=0,0,SUMIF(ING!$J:$J,Sheet2!$B3119,ING!$S:$S))</f>
        <v>0</v>
      </c>
      <c r="H3119" s="16">
        <f t="shared" si="97"/>
        <v>2434667.6463089413</v>
      </c>
    </row>
    <row r="3120" spans="2:8" hidden="1" x14ac:dyDescent="0.4">
      <c r="B3120" s="1">
        <v>45669</v>
      </c>
      <c r="C3120" s="16">
        <f>SUMIF(매도완료!$G:$G,Sheet2!$B3120,매도완료!$P:$P)+SUMIF(ING!$G:$G,Sheet2!$B3120,ING!$P:$P)</f>
        <v>0</v>
      </c>
      <c r="D3120" s="16">
        <f>SUMIF(매도완료!$J:$J,Sheet2!$B3120,매도완료!$P:$P)+SUMIF(ING!$J:$J,Sheet2!$B3120,ING!$P:$P)</f>
        <v>0</v>
      </c>
      <c r="E3120" s="16">
        <f t="shared" si="96"/>
        <v>110731091.33239999</v>
      </c>
      <c r="G3120" s="16">
        <f>IF(D3120=0,0,SUMIF(매도완료!$J:$J,Sheet2!$B3120,매도완료!$S:$S))+IF(D3120=0,0,SUMIF(ING!$J:$J,Sheet2!$B3120,ING!$S:$S))</f>
        <v>0</v>
      </c>
      <c r="H3120" s="16">
        <f t="shared" si="97"/>
        <v>2434667.6463089413</v>
      </c>
    </row>
    <row r="3121" spans="2:8" hidden="1" x14ac:dyDescent="0.4">
      <c r="B3121" s="1">
        <v>45670</v>
      </c>
      <c r="C3121" s="16">
        <f>SUMIF(매도완료!$G:$G,Sheet2!$B3121,매도완료!$P:$P)+SUMIF(ING!$G:$G,Sheet2!$B3121,ING!$P:$P)</f>
        <v>5719610</v>
      </c>
      <c r="D3121" s="16">
        <f>SUMIF(매도완료!$J:$J,Sheet2!$B3121,매도완료!$P:$P)+SUMIF(ING!$J:$J,Sheet2!$B3121,ING!$P:$P)</f>
        <v>0</v>
      </c>
      <c r="E3121" s="16">
        <f t="shared" si="96"/>
        <v>116450701.33239999</v>
      </c>
      <c r="G3121" s="16">
        <f>IF(D3121=0,0,SUMIF(매도완료!$J:$J,Sheet2!$B3121,매도완료!$S:$S))+IF(D3121=0,0,SUMIF(ING!$J:$J,Sheet2!$B3121,ING!$S:$S))</f>
        <v>0</v>
      </c>
      <c r="H3121" s="16">
        <f t="shared" si="97"/>
        <v>2434667.6463089413</v>
      </c>
    </row>
    <row r="3122" spans="2:8" hidden="1" x14ac:dyDescent="0.4">
      <c r="B3122" s="1">
        <v>45671</v>
      </c>
      <c r="C3122" s="16">
        <f>SUMIF(매도완료!$G:$G,Sheet2!$B3122,매도완료!$P:$P)+SUMIF(ING!$G:$G,Sheet2!$B3122,ING!$P:$P)</f>
        <v>1008331</v>
      </c>
      <c r="D3122" s="16">
        <f>SUMIF(매도완료!$J:$J,Sheet2!$B3122,매도완료!$P:$P)+SUMIF(ING!$J:$J,Sheet2!$B3122,ING!$P:$P)</f>
        <v>0</v>
      </c>
      <c r="E3122" s="16">
        <f t="shared" si="96"/>
        <v>117459032.33239999</v>
      </c>
      <c r="G3122" s="16">
        <f>IF(D3122=0,0,SUMIF(매도완료!$J:$J,Sheet2!$B3122,매도완료!$S:$S))+IF(D3122=0,0,SUMIF(ING!$J:$J,Sheet2!$B3122,ING!$S:$S))</f>
        <v>0</v>
      </c>
      <c r="H3122" s="16">
        <f t="shared" si="97"/>
        <v>2434667.6463089413</v>
      </c>
    </row>
    <row r="3123" spans="2:8" hidden="1" x14ac:dyDescent="0.4">
      <c r="B3123" s="1">
        <v>45672</v>
      </c>
      <c r="C3123" s="16">
        <f>SUMIF(매도완료!$G:$G,Sheet2!$B3123,매도완료!$P:$P)+SUMIF(ING!$G:$G,Sheet2!$B3123,ING!$P:$P)</f>
        <v>3437774</v>
      </c>
      <c r="D3123" s="16">
        <f>SUMIF(매도완료!$J:$J,Sheet2!$B3123,매도완료!$P:$P)+SUMIF(ING!$J:$J,Sheet2!$B3123,ING!$P:$P)</f>
        <v>842000</v>
      </c>
      <c r="E3123" s="16">
        <f t="shared" si="96"/>
        <v>120054806.33239999</v>
      </c>
      <c r="G3123" s="16">
        <f>IF(D3123=0,0,SUMIF(매도완료!$J:$J,Sheet2!$B3123,매도완료!$S:$S))+IF(D3123=0,0,SUMIF(ING!$J:$J,Sheet2!$B3123,ING!$S:$S))</f>
        <v>29433.25</v>
      </c>
      <c r="H3123" s="16">
        <f t="shared" si="97"/>
        <v>2464100.8963089413</v>
      </c>
    </row>
    <row r="3124" spans="2:8" hidden="1" x14ac:dyDescent="0.4">
      <c r="B3124" s="1">
        <v>45673</v>
      </c>
      <c r="C3124" s="16">
        <f>SUMIF(매도완료!$G:$G,Sheet2!$B3124,매도완료!$P:$P)+SUMIF(ING!$G:$G,Sheet2!$B3124,ING!$P:$P)</f>
        <v>320350</v>
      </c>
      <c r="D3124" s="16">
        <f>SUMIF(매도완료!$J:$J,Sheet2!$B3124,매도완료!$P:$P)+SUMIF(ING!$J:$J,Sheet2!$B3124,ING!$P:$P)</f>
        <v>0</v>
      </c>
      <c r="E3124" s="16">
        <f t="shared" si="96"/>
        <v>120375156.33239999</v>
      </c>
      <c r="G3124" s="16">
        <f>IF(D3124=0,0,SUMIF(매도완료!$J:$J,Sheet2!$B3124,매도완료!$S:$S))+IF(D3124=0,0,SUMIF(ING!$J:$J,Sheet2!$B3124,ING!$S:$S))</f>
        <v>0</v>
      </c>
      <c r="H3124" s="16">
        <f t="shared" si="97"/>
        <v>2464100.8963089413</v>
      </c>
    </row>
    <row r="3125" spans="2:8" hidden="1" x14ac:dyDescent="0.4">
      <c r="B3125" s="1">
        <v>45674</v>
      </c>
      <c r="C3125" s="16">
        <f>SUMIF(매도완료!$G:$G,Sheet2!$B3125,매도완료!$P:$P)+SUMIF(ING!$G:$G,Sheet2!$B3125,ING!$P:$P)</f>
        <v>276570</v>
      </c>
      <c r="D3125" s="16">
        <f>SUMIF(매도완료!$J:$J,Sheet2!$B3125,매도완료!$P:$P)+SUMIF(ING!$J:$J,Sheet2!$B3125,ING!$P:$P)</f>
        <v>0</v>
      </c>
      <c r="E3125" s="16">
        <f t="shared" si="96"/>
        <v>120651726.33239999</v>
      </c>
      <c r="G3125" s="16">
        <f>IF(D3125=0,0,SUMIF(매도완료!$J:$J,Sheet2!$B3125,매도완료!$S:$S))+IF(D3125=0,0,SUMIF(ING!$J:$J,Sheet2!$B3125,ING!$S:$S))</f>
        <v>0</v>
      </c>
      <c r="H3125" s="16">
        <f t="shared" si="97"/>
        <v>2464100.8963089413</v>
      </c>
    </row>
    <row r="3126" spans="2:8" hidden="1" x14ac:dyDescent="0.4">
      <c r="B3126" s="1">
        <v>45675</v>
      </c>
      <c r="C3126" s="16">
        <f>SUMIF(매도완료!$G:$G,Sheet2!$B3126,매도완료!$P:$P)+SUMIF(ING!$G:$G,Sheet2!$B3126,ING!$P:$P)</f>
        <v>0</v>
      </c>
      <c r="D3126" s="16">
        <f>SUMIF(매도완료!$J:$J,Sheet2!$B3126,매도완료!$P:$P)+SUMIF(ING!$J:$J,Sheet2!$B3126,ING!$P:$P)</f>
        <v>0</v>
      </c>
      <c r="E3126" s="16">
        <f t="shared" si="96"/>
        <v>120651726.33239999</v>
      </c>
      <c r="G3126" s="16">
        <f>IF(D3126=0,0,SUMIF(매도완료!$J:$J,Sheet2!$B3126,매도완료!$S:$S))+IF(D3126=0,0,SUMIF(ING!$J:$J,Sheet2!$B3126,ING!$S:$S))</f>
        <v>0</v>
      </c>
      <c r="H3126" s="16">
        <f t="shared" si="97"/>
        <v>2464100.8963089413</v>
      </c>
    </row>
    <row r="3127" spans="2:8" hidden="1" x14ac:dyDescent="0.4">
      <c r="B3127" s="1">
        <v>45676</v>
      </c>
      <c r="C3127" s="16">
        <f>SUMIF(매도완료!$G:$G,Sheet2!$B3127,매도완료!$P:$P)+SUMIF(ING!$G:$G,Sheet2!$B3127,ING!$P:$P)</f>
        <v>0</v>
      </c>
      <c r="D3127" s="16">
        <f>SUMIF(매도완료!$J:$J,Sheet2!$B3127,매도완료!$P:$P)+SUMIF(ING!$J:$J,Sheet2!$B3127,ING!$P:$P)</f>
        <v>0</v>
      </c>
      <c r="E3127" s="16">
        <f t="shared" si="96"/>
        <v>120651726.33239999</v>
      </c>
      <c r="G3127" s="16">
        <f>IF(D3127=0,0,SUMIF(매도완료!$J:$J,Sheet2!$B3127,매도완료!$S:$S))+IF(D3127=0,0,SUMIF(ING!$J:$J,Sheet2!$B3127,ING!$S:$S))</f>
        <v>0</v>
      </c>
      <c r="H3127" s="16">
        <f t="shared" si="97"/>
        <v>2464100.8963089413</v>
      </c>
    </row>
    <row r="3128" spans="2:8" hidden="1" x14ac:dyDescent="0.4">
      <c r="B3128" s="1">
        <v>45677</v>
      </c>
      <c r="C3128" s="16">
        <f>SUMIF(매도완료!$G:$G,Sheet2!$B3128,매도완료!$P:$P)+SUMIF(ING!$G:$G,Sheet2!$B3128,ING!$P:$P)</f>
        <v>416982</v>
      </c>
      <c r="D3128" s="16">
        <f>SUMIF(매도완료!$J:$J,Sheet2!$B3128,매도완료!$P:$P)+SUMIF(ING!$J:$J,Sheet2!$B3128,ING!$P:$P)</f>
        <v>0</v>
      </c>
      <c r="E3128" s="16">
        <f t="shared" si="96"/>
        <v>121068708.33239999</v>
      </c>
      <c r="G3128" s="16">
        <f>IF(D3128=0,0,SUMIF(매도완료!$J:$J,Sheet2!$B3128,매도완료!$S:$S))+IF(D3128=0,0,SUMIF(ING!$J:$J,Sheet2!$B3128,ING!$S:$S))</f>
        <v>0</v>
      </c>
      <c r="H3128" s="16">
        <f t="shared" si="97"/>
        <v>2464100.8963089413</v>
      </c>
    </row>
    <row r="3129" spans="2:8" hidden="1" x14ac:dyDescent="0.4">
      <c r="B3129" s="1">
        <v>45678</v>
      </c>
      <c r="C3129" s="16">
        <f>SUMIF(매도완료!$G:$G,Sheet2!$B3129,매도완료!$P:$P)+SUMIF(ING!$G:$G,Sheet2!$B3129,ING!$P:$P)</f>
        <v>4590</v>
      </c>
      <c r="D3129" s="16">
        <f>SUMIF(매도완료!$J:$J,Sheet2!$B3129,매도완료!$P:$P)+SUMIF(ING!$J:$J,Sheet2!$B3129,ING!$P:$P)</f>
        <v>0</v>
      </c>
      <c r="E3129" s="16">
        <f t="shared" si="96"/>
        <v>121073298.33239999</v>
      </c>
      <c r="G3129" s="16">
        <f>IF(D3129=0,0,SUMIF(매도완료!$J:$J,Sheet2!$B3129,매도완료!$S:$S))+IF(D3129=0,0,SUMIF(ING!$J:$J,Sheet2!$B3129,ING!$S:$S))</f>
        <v>0</v>
      </c>
      <c r="H3129" s="16">
        <f t="shared" si="97"/>
        <v>2464100.8963089413</v>
      </c>
    </row>
    <row r="3130" spans="2:8" hidden="1" x14ac:dyDescent="0.4">
      <c r="B3130" s="1">
        <v>45679</v>
      </c>
      <c r="C3130" s="16">
        <f>SUMIF(매도완료!$G:$G,Sheet2!$B3130,매도완료!$P:$P)+SUMIF(ING!$G:$G,Sheet2!$B3130,ING!$P:$P)</f>
        <v>268650</v>
      </c>
      <c r="D3130" s="16">
        <f>SUMIF(매도완료!$J:$J,Sheet2!$B3130,매도완료!$P:$P)+SUMIF(ING!$J:$J,Sheet2!$B3130,ING!$P:$P)</f>
        <v>0</v>
      </c>
      <c r="E3130" s="16">
        <f t="shared" si="96"/>
        <v>121341948.33239999</v>
      </c>
      <c r="G3130" s="16">
        <f>IF(D3130=0,0,SUMIF(매도완료!$J:$J,Sheet2!$B3130,매도완료!$S:$S))+IF(D3130=0,0,SUMIF(ING!$J:$J,Sheet2!$B3130,ING!$S:$S))</f>
        <v>0</v>
      </c>
      <c r="H3130" s="16">
        <f t="shared" si="97"/>
        <v>2464100.8963089413</v>
      </c>
    </row>
    <row r="3131" spans="2:8" hidden="1" x14ac:dyDescent="0.4">
      <c r="B3131" s="1">
        <v>45680</v>
      </c>
      <c r="C3131" s="16">
        <f>SUMIF(매도완료!$G:$G,Sheet2!$B3131,매도완료!$P:$P)+SUMIF(ING!$G:$G,Sheet2!$B3131,ING!$P:$P)</f>
        <v>23050</v>
      </c>
      <c r="D3131" s="16">
        <f>SUMIF(매도완료!$J:$J,Sheet2!$B3131,매도완료!$P:$P)+SUMIF(ING!$J:$J,Sheet2!$B3131,ING!$P:$P)</f>
        <v>0</v>
      </c>
      <c r="E3131" s="16">
        <f t="shared" si="96"/>
        <v>121364998.33239999</v>
      </c>
      <c r="G3131" s="16">
        <f>IF(D3131=0,0,SUMIF(매도완료!$J:$J,Sheet2!$B3131,매도완료!$S:$S))+IF(D3131=0,0,SUMIF(ING!$J:$J,Sheet2!$B3131,ING!$S:$S))</f>
        <v>0</v>
      </c>
      <c r="H3131" s="16">
        <f t="shared" si="97"/>
        <v>2464100.8963089413</v>
      </c>
    </row>
    <row r="3132" spans="2:8" hidden="1" x14ac:dyDescent="0.4">
      <c r="B3132" s="1">
        <v>45681</v>
      </c>
      <c r="C3132" s="16">
        <f>SUMIF(매도완료!$G:$G,Sheet2!$B3132,매도완료!$P:$P)+SUMIF(ING!$G:$G,Sheet2!$B3132,ING!$P:$P)</f>
        <v>165030</v>
      </c>
      <c r="D3132" s="16">
        <f>SUMIF(매도완료!$J:$J,Sheet2!$B3132,매도완료!$P:$P)+SUMIF(ING!$J:$J,Sheet2!$B3132,ING!$P:$P)</f>
        <v>0</v>
      </c>
      <c r="E3132" s="16">
        <f t="shared" si="96"/>
        <v>121530028.33239999</v>
      </c>
      <c r="G3132" s="16">
        <f>IF(D3132=0,0,SUMIF(매도완료!$J:$J,Sheet2!$B3132,매도완료!$S:$S))+IF(D3132=0,0,SUMIF(ING!$J:$J,Sheet2!$B3132,ING!$S:$S))</f>
        <v>0</v>
      </c>
      <c r="H3132" s="16">
        <f t="shared" si="97"/>
        <v>2464100.8963089413</v>
      </c>
    </row>
    <row r="3133" spans="2:8" hidden="1" x14ac:dyDescent="0.4">
      <c r="B3133" s="1">
        <v>45682</v>
      </c>
      <c r="C3133" s="16">
        <f>SUMIF(매도완료!$G:$G,Sheet2!$B3133,매도완료!$P:$P)+SUMIF(ING!$G:$G,Sheet2!$B3133,ING!$P:$P)</f>
        <v>0</v>
      </c>
      <c r="D3133" s="16">
        <f>SUMIF(매도완료!$J:$J,Sheet2!$B3133,매도완료!$P:$P)+SUMIF(ING!$J:$J,Sheet2!$B3133,ING!$P:$P)</f>
        <v>0</v>
      </c>
      <c r="E3133" s="16">
        <f t="shared" si="96"/>
        <v>121530028.33239999</v>
      </c>
      <c r="G3133" s="16">
        <f>IF(D3133=0,0,SUMIF(매도완료!$J:$J,Sheet2!$B3133,매도완료!$S:$S))+IF(D3133=0,0,SUMIF(ING!$J:$J,Sheet2!$B3133,ING!$S:$S))</f>
        <v>0</v>
      </c>
      <c r="H3133" s="16">
        <f t="shared" si="97"/>
        <v>2464100.8963089413</v>
      </c>
    </row>
    <row r="3134" spans="2:8" hidden="1" x14ac:dyDescent="0.4">
      <c r="B3134" s="1">
        <v>45683</v>
      </c>
      <c r="C3134" s="16">
        <f>SUMIF(매도완료!$G:$G,Sheet2!$B3134,매도완료!$P:$P)+SUMIF(ING!$G:$G,Sheet2!$B3134,ING!$P:$P)</f>
        <v>0</v>
      </c>
      <c r="D3134" s="16">
        <f>SUMIF(매도완료!$J:$J,Sheet2!$B3134,매도완료!$P:$P)+SUMIF(ING!$J:$J,Sheet2!$B3134,ING!$P:$P)</f>
        <v>0</v>
      </c>
      <c r="E3134" s="16">
        <f t="shared" si="96"/>
        <v>121530028.33239999</v>
      </c>
      <c r="G3134" s="16">
        <f>IF(D3134=0,0,SUMIF(매도완료!$J:$J,Sheet2!$B3134,매도완료!$S:$S))+IF(D3134=0,0,SUMIF(ING!$J:$J,Sheet2!$B3134,ING!$S:$S))</f>
        <v>0</v>
      </c>
      <c r="H3134" s="16">
        <f t="shared" si="97"/>
        <v>2464100.8963089413</v>
      </c>
    </row>
    <row r="3135" spans="2:8" hidden="1" x14ac:dyDescent="0.4">
      <c r="B3135" s="1">
        <v>45684</v>
      </c>
      <c r="C3135" s="16">
        <f>SUMIF(매도완료!$G:$G,Sheet2!$B3135,매도완료!$P:$P)+SUMIF(ING!$G:$G,Sheet2!$B3135,ING!$P:$P)</f>
        <v>0</v>
      </c>
      <c r="D3135" s="16">
        <f>SUMIF(매도완료!$J:$J,Sheet2!$B3135,매도완료!$P:$P)+SUMIF(ING!$J:$J,Sheet2!$B3135,ING!$P:$P)</f>
        <v>0</v>
      </c>
      <c r="E3135" s="16">
        <f t="shared" si="96"/>
        <v>121530028.33239999</v>
      </c>
      <c r="G3135" s="16">
        <f>IF(D3135=0,0,SUMIF(매도완료!$J:$J,Sheet2!$B3135,매도완료!$S:$S))+IF(D3135=0,0,SUMIF(ING!$J:$J,Sheet2!$B3135,ING!$S:$S))</f>
        <v>0</v>
      </c>
      <c r="H3135" s="16">
        <f t="shared" si="97"/>
        <v>2464100.8963089413</v>
      </c>
    </row>
    <row r="3136" spans="2:8" hidden="1" x14ac:dyDescent="0.4">
      <c r="B3136" s="1">
        <v>45685</v>
      </c>
      <c r="C3136" s="16">
        <f>SUMIF(매도완료!$G:$G,Sheet2!$B3136,매도완료!$P:$P)+SUMIF(ING!$G:$G,Sheet2!$B3136,ING!$P:$P)</f>
        <v>0</v>
      </c>
      <c r="D3136" s="16">
        <f>SUMIF(매도완료!$J:$J,Sheet2!$B3136,매도완료!$P:$P)+SUMIF(ING!$J:$J,Sheet2!$B3136,ING!$P:$P)</f>
        <v>0</v>
      </c>
      <c r="E3136" s="16">
        <f t="shared" si="96"/>
        <v>121530028.33239999</v>
      </c>
      <c r="G3136" s="16">
        <f>IF(D3136=0,0,SUMIF(매도완료!$J:$J,Sheet2!$B3136,매도완료!$S:$S))+IF(D3136=0,0,SUMIF(ING!$J:$J,Sheet2!$B3136,ING!$S:$S))</f>
        <v>0</v>
      </c>
      <c r="H3136" s="16">
        <f t="shared" si="97"/>
        <v>2464100.8963089413</v>
      </c>
    </row>
    <row r="3137" spans="2:8" hidden="1" x14ac:dyDescent="0.4">
      <c r="B3137" s="1">
        <v>45686</v>
      </c>
      <c r="C3137" s="16">
        <f>SUMIF(매도완료!$G:$G,Sheet2!$B3137,매도완료!$P:$P)+SUMIF(ING!$G:$G,Sheet2!$B3137,ING!$P:$P)</f>
        <v>0</v>
      </c>
      <c r="D3137" s="16">
        <f>SUMIF(매도완료!$J:$J,Sheet2!$B3137,매도완료!$P:$P)+SUMIF(ING!$J:$J,Sheet2!$B3137,ING!$P:$P)</f>
        <v>0</v>
      </c>
      <c r="E3137" s="16">
        <f t="shared" si="96"/>
        <v>121530028.33239999</v>
      </c>
      <c r="G3137" s="16">
        <f>IF(D3137=0,0,SUMIF(매도완료!$J:$J,Sheet2!$B3137,매도완료!$S:$S))+IF(D3137=0,0,SUMIF(ING!$J:$J,Sheet2!$B3137,ING!$S:$S))</f>
        <v>0</v>
      </c>
      <c r="H3137" s="16">
        <f t="shared" si="97"/>
        <v>2464100.8963089413</v>
      </c>
    </row>
    <row r="3138" spans="2:8" hidden="1" x14ac:dyDescent="0.4">
      <c r="B3138" s="1">
        <v>45687</v>
      </c>
      <c r="C3138" s="16">
        <f>SUMIF(매도완료!$G:$G,Sheet2!$B3138,매도완료!$P:$P)+SUMIF(ING!$G:$G,Sheet2!$B3138,ING!$P:$P)</f>
        <v>0</v>
      </c>
      <c r="D3138" s="16">
        <f>SUMIF(매도완료!$J:$J,Sheet2!$B3138,매도완료!$P:$P)+SUMIF(ING!$J:$J,Sheet2!$B3138,ING!$P:$P)</f>
        <v>0</v>
      </c>
      <c r="E3138" s="16">
        <f t="shared" si="96"/>
        <v>121530028.33239999</v>
      </c>
      <c r="G3138" s="16">
        <f>IF(D3138=0,0,SUMIF(매도완료!$J:$J,Sheet2!$B3138,매도완료!$S:$S))+IF(D3138=0,0,SUMIF(ING!$J:$J,Sheet2!$B3138,ING!$S:$S))</f>
        <v>0</v>
      </c>
      <c r="H3138" s="16">
        <f t="shared" si="97"/>
        <v>2464100.8963089413</v>
      </c>
    </row>
    <row r="3139" spans="2:8" hidden="1" x14ac:dyDescent="0.4">
      <c r="B3139" s="1">
        <v>45688</v>
      </c>
      <c r="C3139" s="16">
        <f>SUMIF(매도완료!$G:$G,Sheet2!$B3139,매도완료!$P:$P)+SUMIF(ING!$G:$G,Sheet2!$B3139,ING!$P:$P)</f>
        <v>54403</v>
      </c>
      <c r="D3139" s="16">
        <f>SUMIF(매도완료!$J:$J,Sheet2!$B3139,매도완료!$P:$P)+SUMIF(ING!$J:$J,Sheet2!$B3139,ING!$P:$P)</f>
        <v>0</v>
      </c>
      <c r="E3139" s="16">
        <f t="shared" si="96"/>
        <v>121584431.33239999</v>
      </c>
      <c r="G3139" s="16">
        <f>IF(D3139=0,0,SUMIF(매도완료!$J:$J,Sheet2!$B3139,매도완료!$S:$S))+IF(D3139=0,0,SUMIF(ING!$J:$J,Sheet2!$B3139,ING!$S:$S))</f>
        <v>0</v>
      </c>
      <c r="H3139" s="16">
        <f t="shared" si="97"/>
        <v>2464100.8963089413</v>
      </c>
    </row>
    <row r="3140" spans="2:8" x14ac:dyDescent="0.4">
      <c r="B3140" s="1">
        <v>45689</v>
      </c>
      <c r="C3140" s="16">
        <f>SUMIF(매도완료!$G:$G,Sheet2!$B3140,매도완료!$P:$P)+SUMIF(ING!$G:$G,Sheet2!$B3140,ING!$P:$P)</f>
        <v>0</v>
      </c>
      <c r="D3140" s="16">
        <f>SUMIF(매도완료!$J:$J,Sheet2!$B3140,매도완료!$P:$P)+SUMIF(ING!$J:$J,Sheet2!$B3140,ING!$P:$P)</f>
        <v>0</v>
      </c>
      <c r="E3140" s="16">
        <f t="shared" ref="E3140:E3203" si="98">E3139+C3140-D3140</f>
        <v>121584431.33239999</v>
      </c>
      <c r="G3140" s="16">
        <f>IF(D3140=0,0,SUMIF(매도완료!$J:$J,Sheet2!$B3140,매도완료!$S:$S))+IF(D3140=0,0,SUMIF(ING!$J:$J,Sheet2!$B3140,ING!$S:$S))</f>
        <v>0</v>
      </c>
      <c r="H3140" s="16">
        <f t="shared" ref="H3140:H3203" si="99">H3139+G3140</f>
        <v>2464100.8963089413</v>
      </c>
    </row>
    <row r="3141" spans="2:8" hidden="1" x14ac:dyDescent="0.4">
      <c r="B3141" s="1">
        <v>45690</v>
      </c>
      <c r="C3141" s="16">
        <f>SUMIF(매도완료!$G:$G,Sheet2!$B3141,매도완료!$P:$P)+SUMIF(ING!$G:$G,Sheet2!$B3141,ING!$P:$P)</f>
        <v>0</v>
      </c>
      <c r="D3141" s="16">
        <f>SUMIF(매도완료!$J:$J,Sheet2!$B3141,매도완료!$P:$P)+SUMIF(ING!$J:$J,Sheet2!$B3141,ING!$P:$P)</f>
        <v>0</v>
      </c>
      <c r="E3141" s="16">
        <f t="shared" si="98"/>
        <v>121584431.33239999</v>
      </c>
      <c r="G3141" s="16">
        <f>IF(D3141=0,0,SUMIF(매도완료!$J:$J,Sheet2!$B3141,매도완료!$S:$S))+IF(D3141=0,0,SUMIF(ING!$J:$J,Sheet2!$B3141,ING!$S:$S))</f>
        <v>0</v>
      </c>
      <c r="H3141" s="16">
        <f t="shared" si="99"/>
        <v>2464100.8963089413</v>
      </c>
    </row>
    <row r="3142" spans="2:8" hidden="1" x14ac:dyDescent="0.4">
      <c r="B3142" s="1">
        <v>45691</v>
      </c>
      <c r="C3142" s="16">
        <f>SUMIF(매도완료!$G:$G,Sheet2!$B3142,매도완료!$P:$P)+SUMIF(ING!$G:$G,Sheet2!$B3142,ING!$P:$P)</f>
        <v>1505635</v>
      </c>
      <c r="D3142" s="16">
        <f>SUMIF(매도완료!$J:$J,Sheet2!$B3142,매도완료!$P:$P)+SUMIF(ING!$J:$J,Sheet2!$B3142,ING!$P:$P)</f>
        <v>0</v>
      </c>
      <c r="E3142" s="16">
        <f t="shared" si="98"/>
        <v>123090066.33239999</v>
      </c>
      <c r="G3142" s="16">
        <f>IF(D3142=0,0,SUMIF(매도완료!$J:$J,Sheet2!$B3142,매도완료!$S:$S))+IF(D3142=0,0,SUMIF(ING!$J:$J,Sheet2!$B3142,ING!$S:$S))</f>
        <v>0</v>
      </c>
      <c r="H3142" s="16">
        <f t="shared" si="99"/>
        <v>2464100.8963089413</v>
      </c>
    </row>
    <row r="3143" spans="2:8" hidden="1" x14ac:dyDescent="0.4">
      <c r="B3143" s="1">
        <v>45692</v>
      </c>
      <c r="C3143" s="16">
        <f>SUMIF(매도완료!$G:$G,Sheet2!$B3143,매도완료!$P:$P)+SUMIF(ING!$G:$G,Sheet2!$B3143,ING!$P:$P)</f>
        <v>787624</v>
      </c>
      <c r="D3143" s="16">
        <f>SUMIF(매도완료!$J:$J,Sheet2!$B3143,매도완료!$P:$P)+SUMIF(ING!$J:$J,Sheet2!$B3143,ING!$P:$P)</f>
        <v>0</v>
      </c>
      <c r="E3143" s="16">
        <f t="shared" si="98"/>
        <v>123877690.33239999</v>
      </c>
      <c r="G3143" s="16">
        <f>IF(D3143=0,0,SUMIF(매도완료!$J:$J,Sheet2!$B3143,매도완료!$S:$S))+IF(D3143=0,0,SUMIF(ING!$J:$J,Sheet2!$B3143,ING!$S:$S))</f>
        <v>0</v>
      </c>
      <c r="H3143" s="16">
        <f t="shared" si="99"/>
        <v>2464100.8963089413</v>
      </c>
    </row>
    <row r="3144" spans="2:8" hidden="1" x14ac:dyDescent="0.4">
      <c r="B3144" s="1">
        <v>45693</v>
      </c>
      <c r="C3144" s="16">
        <f>SUMIF(매도완료!$G:$G,Sheet2!$B3144,매도완료!$P:$P)+SUMIF(ING!$G:$G,Sheet2!$B3144,ING!$P:$P)</f>
        <v>20900</v>
      </c>
      <c r="D3144" s="16">
        <f>SUMIF(매도완료!$J:$J,Sheet2!$B3144,매도완료!$P:$P)+SUMIF(ING!$J:$J,Sheet2!$B3144,ING!$P:$P)</f>
        <v>0</v>
      </c>
      <c r="E3144" s="16">
        <f t="shared" si="98"/>
        <v>123898590.33239999</v>
      </c>
      <c r="G3144" s="16">
        <f>IF(D3144=0,0,SUMIF(매도완료!$J:$J,Sheet2!$B3144,매도완료!$S:$S))+IF(D3144=0,0,SUMIF(ING!$J:$J,Sheet2!$B3144,ING!$S:$S))</f>
        <v>0</v>
      </c>
      <c r="H3144" s="16">
        <f t="shared" si="99"/>
        <v>2464100.8963089413</v>
      </c>
    </row>
    <row r="3145" spans="2:8" hidden="1" x14ac:dyDescent="0.4">
      <c r="B3145" s="1">
        <v>45694</v>
      </c>
      <c r="C3145" s="16">
        <f>SUMIF(매도완료!$G:$G,Sheet2!$B3145,매도완료!$P:$P)+SUMIF(ING!$G:$G,Sheet2!$B3145,ING!$P:$P)</f>
        <v>23000</v>
      </c>
      <c r="D3145" s="16">
        <f>SUMIF(매도완료!$J:$J,Sheet2!$B3145,매도완료!$P:$P)+SUMIF(ING!$J:$J,Sheet2!$B3145,ING!$P:$P)</f>
        <v>0</v>
      </c>
      <c r="E3145" s="16">
        <f t="shared" si="98"/>
        <v>123921590.33239999</v>
      </c>
      <c r="G3145" s="16">
        <f>IF(D3145=0,0,SUMIF(매도완료!$J:$J,Sheet2!$B3145,매도완료!$S:$S))+IF(D3145=0,0,SUMIF(ING!$J:$J,Sheet2!$B3145,ING!$S:$S))</f>
        <v>0</v>
      </c>
      <c r="H3145" s="16">
        <f t="shared" si="99"/>
        <v>2464100.8963089413</v>
      </c>
    </row>
    <row r="3146" spans="2:8" hidden="1" x14ac:dyDescent="0.4">
      <c r="B3146" s="1">
        <v>45695</v>
      </c>
      <c r="C3146" s="16">
        <f>SUMIF(매도완료!$G:$G,Sheet2!$B3146,매도완료!$P:$P)+SUMIF(ING!$G:$G,Sheet2!$B3146,ING!$P:$P)</f>
        <v>3040</v>
      </c>
      <c r="D3146" s="16">
        <f>SUMIF(매도완료!$J:$J,Sheet2!$B3146,매도완료!$P:$P)+SUMIF(ING!$J:$J,Sheet2!$B3146,ING!$P:$P)</f>
        <v>0</v>
      </c>
      <c r="E3146" s="16">
        <f t="shared" si="98"/>
        <v>123924630.33239999</v>
      </c>
      <c r="G3146" s="16">
        <f>IF(D3146=0,0,SUMIF(매도완료!$J:$J,Sheet2!$B3146,매도완료!$S:$S))+IF(D3146=0,0,SUMIF(ING!$J:$J,Sheet2!$B3146,ING!$S:$S))</f>
        <v>0</v>
      </c>
      <c r="H3146" s="16">
        <f t="shared" si="99"/>
        <v>2464100.8963089413</v>
      </c>
    </row>
    <row r="3147" spans="2:8" hidden="1" x14ac:dyDescent="0.4">
      <c r="B3147" s="1">
        <v>45696</v>
      </c>
      <c r="C3147" s="16">
        <f>SUMIF(매도완료!$G:$G,Sheet2!$B3147,매도완료!$P:$P)+SUMIF(ING!$G:$G,Sheet2!$B3147,ING!$P:$P)</f>
        <v>0</v>
      </c>
      <c r="D3147" s="16">
        <f>SUMIF(매도완료!$J:$J,Sheet2!$B3147,매도완료!$P:$P)+SUMIF(ING!$J:$J,Sheet2!$B3147,ING!$P:$P)</f>
        <v>0</v>
      </c>
      <c r="E3147" s="16">
        <f t="shared" si="98"/>
        <v>123924630.33239999</v>
      </c>
      <c r="G3147" s="16">
        <f>IF(D3147=0,0,SUMIF(매도완료!$J:$J,Sheet2!$B3147,매도완료!$S:$S))+IF(D3147=0,0,SUMIF(ING!$J:$J,Sheet2!$B3147,ING!$S:$S))</f>
        <v>0</v>
      </c>
      <c r="H3147" s="16">
        <f t="shared" si="99"/>
        <v>2464100.8963089413</v>
      </c>
    </row>
    <row r="3148" spans="2:8" hidden="1" x14ac:dyDescent="0.4">
      <c r="B3148" s="1">
        <v>45697</v>
      </c>
      <c r="C3148" s="16">
        <f>SUMIF(매도완료!$G:$G,Sheet2!$B3148,매도완료!$P:$P)+SUMIF(ING!$G:$G,Sheet2!$B3148,ING!$P:$P)</f>
        <v>0</v>
      </c>
      <c r="D3148" s="16">
        <f>SUMIF(매도완료!$J:$J,Sheet2!$B3148,매도완료!$P:$P)+SUMIF(ING!$J:$J,Sheet2!$B3148,ING!$P:$P)</f>
        <v>0</v>
      </c>
      <c r="E3148" s="16">
        <f t="shared" si="98"/>
        <v>123924630.33239999</v>
      </c>
      <c r="G3148" s="16">
        <f>IF(D3148=0,0,SUMIF(매도완료!$J:$J,Sheet2!$B3148,매도완료!$S:$S))+IF(D3148=0,0,SUMIF(ING!$J:$J,Sheet2!$B3148,ING!$S:$S))</f>
        <v>0</v>
      </c>
      <c r="H3148" s="16">
        <f t="shared" si="99"/>
        <v>2464100.8963089413</v>
      </c>
    </row>
    <row r="3149" spans="2:8" hidden="1" x14ac:dyDescent="0.4">
      <c r="B3149" s="1">
        <v>45698</v>
      </c>
      <c r="C3149" s="16">
        <f>SUMIF(매도완료!$G:$G,Sheet2!$B3149,매도완료!$P:$P)+SUMIF(ING!$G:$G,Sheet2!$B3149,ING!$P:$P)</f>
        <v>287285</v>
      </c>
      <c r="D3149" s="16">
        <f>SUMIF(매도완료!$J:$J,Sheet2!$B3149,매도완료!$P:$P)+SUMIF(ING!$J:$J,Sheet2!$B3149,ING!$P:$P)</f>
        <v>0</v>
      </c>
      <c r="E3149" s="16">
        <f t="shared" si="98"/>
        <v>124211915.33239999</v>
      </c>
      <c r="G3149" s="16">
        <f>IF(D3149=0,0,SUMIF(매도완료!$J:$J,Sheet2!$B3149,매도완료!$S:$S))+IF(D3149=0,0,SUMIF(ING!$J:$J,Sheet2!$B3149,ING!$S:$S))</f>
        <v>0</v>
      </c>
      <c r="H3149" s="16">
        <f t="shared" si="99"/>
        <v>2464100.8963089413</v>
      </c>
    </row>
    <row r="3150" spans="2:8" hidden="1" x14ac:dyDescent="0.4">
      <c r="B3150" s="1">
        <v>45699</v>
      </c>
      <c r="C3150" s="16">
        <f>SUMIF(매도완료!$G:$G,Sheet2!$B3150,매도완료!$P:$P)+SUMIF(ING!$G:$G,Sheet2!$B3150,ING!$P:$P)</f>
        <v>2616117</v>
      </c>
      <c r="D3150" s="16">
        <f>SUMIF(매도완료!$J:$J,Sheet2!$B3150,매도완료!$P:$P)+SUMIF(ING!$J:$J,Sheet2!$B3150,ING!$P:$P)</f>
        <v>0</v>
      </c>
      <c r="E3150" s="16">
        <f t="shared" si="98"/>
        <v>126828032.33239999</v>
      </c>
      <c r="G3150" s="16">
        <f>IF(D3150=0,0,SUMIF(매도완료!$J:$J,Sheet2!$B3150,매도완료!$S:$S))+IF(D3150=0,0,SUMIF(ING!$J:$J,Sheet2!$B3150,ING!$S:$S))</f>
        <v>0</v>
      </c>
      <c r="H3150" s="16">
        <f t="shared" si="99"/>
        <v>2464100.8963089413</v>
      </c>
    </row>
    <row r="3151" spans="2:8" hidden="1" x14ac:dyDescent="0.4">
      <c r="B3151" s="1">
        <v>45700</v>
      </c>
      <c r="C3151" s="16">
        <f>SUMIF(매도완료!$G:$G,Sheet2!$B3151,매도완료!$P:$P)+SUMIF(ING!$G:$G,Sheet2!$B3151,ING!$P:$P)</f>
        <v>80280</v>
      </c>
      <c r="D3151" s="16">
        <f>SUMIF(매도완료!$J:$J,Sheet2!$B3151,매도완료!$P:$P)+SUMIF(ING!$J:$J,Sheet2!$B3151,ING!$P:$P)</f>
        <v>2129415</v>
      </c>
      <c r="E3151" s="16">
        <f t="shared" si="98"/>
        <v>124778897.33239999</v>
      </c>
      <c r="G3151" s="16">
        <f>IF(D3151=0,0,SUMIF(매도완료!$J:$J,Sheet2!$B3151,매도완료!$S:$S))+IF(D3151=0,0,SUMIF(ING!$J:$J,Sheet2!$B3151,ING!$S:$S))</f>
        <v>782600.23499999999</v>
      </c>
      <c r="H3151" s="16">
        <f t="shared" si="99"/>
        <v>3246701.1313089412</v>
      </c>
    </row>
    <row r="3152" spans="2:8" hidden="1" x14ac:dyDescent="0.4">
      <c r="B3152" s="1">
        <v>45701</v>
      </c>
      <c r="C3152" s="16">
        <f>SUMIF(매도완료!$G:$G,Sheet2!$B3152,매도완료!$P:$P)+SUMIF(ING!$G:$G,Sheet2!$B3152,ING!$P:$P)</f>
        <v>985550</v>
      </c>
      <c r="D3152" s="16">
        <f>SUMIF(매도완료!$J:$J,Sheet2!$B3152,매도완료!$P:$P)+SUMIF(ING!$J:$J,Sheet2!$B3152,ING!$P:$P)</f>
        <v>0</v>
      </c>
      <c r="E3152" s="16">
        <f t="shared" si="98"/>
        <v>125764447.33239999</v>
      </c>
      <c r="G3152" s="16">
        <f>IF(D3152=0,0,SUMIF(매도완료!$J:$J,Sheet2!$B3152,매도완료!$S:$S))+IF(D3152=0,0,SUMIF(ING!$J:$J,Sheet2!$B3152,ING!$S:$S))</f>
        <v>0</v>
      </c>
      <c r="H3152" s="16">
        <f t="shared" si="99"/>
        <v>3246701.1313089412</v>
      </c>
    </row>
    <row r="3153" spans="2:8" hidden="1" x14ac:dyDescent="0.4">
      <c r="B3153" s="1">
        <v>45702</v>
      </c>
      <c r="C3153" s="16">
        <f>SUMIF(매도완료!$G:$G,Sheet2!$B3153,매도완료!$P:$P)+SUMIF(ING!$G:$G,Sheet2!$B3153,ING!$P:$P)</f>
        <v>2990</v>
      </c>
      <c r="D3153" s="16">
        <f>SUMIF(매도완료!$J:$J,Sheet2!$B3153,매도완료!$P:$P)+SUMIF(ING!$J:$J,Sheet2!$B3153,ING!$P:$P)</f>
        <v>0</v>
      </c>
      <c r="E3153" s="16">
        <f t="shared" si="98"/>
        <v>125767437.33239999</v>
      </c>
      <c r="G3153" s="16">
        <f>IF(D3153=0,0,SUMIF(매도완료!$J:$J,Sheet2!$B3153,매도완료!$S:$S))+IF(D3153=0,0,SUMIF(ING!$J:$J,Sheet2!$B3153,ING!$S:$S))</f>
        <v>0</v>
      </c>
      <c r="H3153" s="16">
        <f t="shared" si="99"/>
        <v>3246701.1313089412</v>
      </c>
    </row>
    <row r="3154" spans="2:8" hidden="1" x14ac:dyDescent="0.4">
      <c r="B3154" s="1">
        <v>45703</v>
      </c>
      <c r="C3154" s="16">
        <f>SUMIF(매도완료!$G:$G,Sheet2!$B3154,매도완료!$P:$P)+SUMIF(ING!$G:$G,Sheet2!$B3154,ING!$P:$P)</f>
        <v>0</v>
      </c>
      <c r="D3154" s="16">
        <f>SUMIF(매도완료!$J:$J,Sheet2!$B3154,매도완료!$P:$P)+SUMIF(ING!$J:$J,Sheet2!$B3154,ING!$P:$P)</f>
        <v>0</v>
      </c>
      <c r="E3154" s="16">
        <f t="shared" si="98"/>
        <v>125767437.33239999</v>
      </c>
      <c r="G3154" s="16">
        <f>IF(D3154=0,0,SUMIF(매도완료!$J:$J,Sheet2!$B3154,매도완료!$S:$S))+IF(D3154=0,0,SUMIF(ING!$J:$J,Sheet2!$B3154,ING!$S:$S))</f>
        <v>0</v>
      </c>
      <c r="H3154" s="16">
        <f t="shared" si="99"/>
        <v>3246701.1313089412</v>
      </c>
    </row>
    <row r="3155" spans="2:8" hidden="1" x14ac:dyDescent="0.4">
      <c r="B3155" s="1">
        <v>45704</v>
      </c>
      <c r="C3155" s="16">
        <f>SUMIF(매도완료!$G:$G,Sheet2!$B3155,매도완료!$P:$P)+SUMIF(ING!$G:$G,Sheet2!$B3155,ING!$P:$P)</f>
        <v>0</v>
      </c>
      <c r="D3155" s="16">
        <f>SUMIF(매도완료!$J:$J,Sheet2!$B3155,매도완료!$P:$P)+SUMIF(ING!$J:$J,Sheet2!$B3155,ING!$P:$P)</f>
        <v>0</v>
      </c>
      <c r="E3155" s="16">
        <f t="shared" si="98"/>
        <v>125767437.33239999</v>
      </c>
      <c r="G3155" s="16">
        <f>IF(D3155=0,0,SUMIF(매도완료!$J:$J,Sheet2!$B3155,매도완료!$S:$S))+IF(D3155=0,0,SUMIF(ING!$J:$J,Sheet2!$B3155,ING!$S:$S))</f>
        <v>0</v>
      </c>
      <c r="H3155" s="16">
        <f t="shared" si="99"/>
        <v>3246701.1313089412</v>
      </c>
    </row>
    <row r="3156" spans="2:8" hidden="1" x14ac:dyDescent="0.4">
      <c r="B3156" s="1">
        <v>45705</v>
      </c>
      <c r="C3156" s="16">
        <f>SUMIF(매도완료!$G:$G,Sheet2!$B3156,매도완료!$P:$P)+SUMIF(ING!$G:$G,Sheet2!$B3156,ING!$P:$P)</f>
        <v>460350</v>
      </c>
      <c r="D3156" s="16">
        <f>SUMIF(매도완료!$J:$J,Sheet2!$B3156,매도완료!$P:$P)+SUMIF(ING!$J:$J,Sheet2!$B3156,ING!$P:$P)</f>
        <v>0</v>
      </c>
      <c r="E3156" s="16">
        <f t="shared" si="98"/>
        <v>126227787.33239999</v>
      </c>
      <c r="G3156" s="16">
        <f>IF(D3156=0,0,SUMIF(매도완료!$J:$J,Sheet2!$B3156,매도완료!$S:$S))+IF(D3156=0,0,SUMIF(ING!$J:$J,Sheet2!$B3156,ING!$S:$S))</f>
        <v>0</v>
      </c>
      <c r="H3156" s="16">
        <f t="shared" si="99"/>
        <v>3246701.1313089412</v>
      </c>
    </row>
    <row r="3157" spans="2:8" hidden="1" x14ac:dyDescent="0.4">
      <c r="B3157" s="1">
        <v>45706</v>
      </c>
      <c r="C3157" s="16">
        <f>SUMIF(매도완료!$G:$G,Sheet2!$B3157,매도완료!$P:$P)+SUMIF(ING!$G:$G,Sheet2!$B3157,ING!$P:$P)</f>
        <v>287240</v>
      </c>
      <c r="D3157" s="16">
        <f>SUMIF(매도완료!$J:$J,Sheet2!$B3157,매도완료!$P:$P)+SUMIF(ING!$J:$J,Sheet2!$B3157,ING!$P:$P)</f>
        <v>0</v>
      </c>
      <c r="E3157" s="16">
        <f t="shared" si="98"/>
        <v>126515027.33239999</v>
      </c>
      <c r="G3157" s="16">
        <f>IF(D3157=0,0,SUMIF(매도완료!$J:$J,Sheet2!$B3157,매도완료!$S:$S))+IF(D3157=0,0,SUMIF(ING!$J:$J,Sheet2!$B3157,ING!$S:$S))</f>
        <v>0</v>
      </c>
      <c r="H3157" s="16">
        <f t="shared" si="99"/>
        <v>3246701.1313089412</v>
      </c>
    </row>
    <row r="3158" spans="2:8" hidden="1" x14ac:dyDescent="0.4">
      <c r="B3158" s="1">
        <v>45707</v>
      </c>
      <c r="C3158" s="16">
        <f>SUMIF(매도완료!$G:$G,Sheet2!$B3158,매도완료!$P:$P)+SUMIF(ING!$G:$G,Sheet2!$B3158,ING!$P:$P)</f>
        <v>412050</v>
      </c>
      <c r="D3158" s="16">
        <f>SUMIF(매도완료!$J:$J,Sheet2!$B3158,매도완료!$P:$P)+SUMIF(ING!$J:$J,Sheet2!$B3158,ING!$P:$P)</f>
        <v>0</v>
      </c>
      <c r="E3158" s="16">
        <f t="shared" si="98"/>
        <v>126927077.33239999</v>
      </c>
      <c r="G3158" s="16">
        <f>IF(D3158=0,0,SUMIF(매도완료!$J:$J,Sheet2!$B3158,매도완료!$S:$S))+IF(D3158=0,0,SUMIF(ING!$J:$J,Sheet2!$B3158,ING!$S:$S))</f>
        <v>0</v>
      </c>
      <c r="H3158" s="16">
        <f t="shared" si="99"/>
        <v>3246701.1313089412</v>
      </c>
    </row>
    <row r="3159" spans="2:8" hidden="1" x14ac:dyDescent="0.4">
      <c r="B3159" s="1">
        <v>45708</v>
      </c>
      <c r="C3159" s="16">
        <f>SUMIF(매도완료!$G:$G,Sheet2!$B3159,매도완료!$P:$P)+SUMIF(ING!$G:$G,Sheet2!$B3159,ING!$P:$P)</f>
        <v>127300</v>
      </c>
      <c r="D3159" s="16">
        <f>SUMIF(매도완료!$J:$J,Sheet2!$B3159,매도완료!$P:$P)+SUMIF(ING!$J:$J,Sheet2!$B3159,ING!$P:$P)</f>
        <v>0</v>
      </c>
      <c r="E3159" s="16">
        <f t="shared" si="98"/>
        <v>127054377.33239999</v>
      </c>
      <c r="G3159" s="16">
        <f>IF(D3159=0,0,SUMIF(매도완료!$J:$J,Sheet2!$B3159,매도완료!$S:$S))+IF(D3159=0,0,SUMIF(ING!$J:$J,Sheet2!$B3159,ING!$S:$S))</f>
        <v>0</v>
      </c>
      <c r="H3159" s="16">
        <f t="shared" si="99"/>
        <v>3246701.1313089412</v>
      </c>
    </row>
    <row r="3160" spans="2:8" hidden="1" x14ac:dyDescent="0.4">
      <c r="B3160" s="1">
        <v>45709</v>
      </c>
      <c r="C3160" s="16">
        <f>SUMIF(매도완료!$G:$G,Sheet2!$B3160,매도완료!$P:$P)+SUMIF(ING!$G:$G,Sheet2!$B3160,ING!$P:$P)</f>
        <v>103840</v>
      </c>
      <c r="D3160" s="16">
        <f>SUMIF(매도완료!$J:$J,Sheet2!$B3160,매도완료!$P:$P)+SUMIF(ING!$J:$J,Sheet2!$B3160,ING!$P:$P)</f>
        <v>0</v>
      </c>
      <c r="E3160" s="16">
        <f t="shared" si="98"/>
        <v>127158217.33239999</v>
      </c>
      <c r="G3160" s="16">
        <f>IF(D3160=0,0,SUMIF(매도완료!$J:$J,Sheet2!$B3160,매도완료!$S:$S))+IF(D3160=0,0,SUMIF(ING!$J:$J,Sheet2!$B3160,ING!$S:$S))</f>
        <v>0</v>
      </c>
      <c r="H3160" s="16">
        <f t="shared" si="99"/>
        <v>3246701.1313089412</v>
      </c>
    </row>
    <row r="3161" spans="2:8" hidden="1" x14ac:dyDescent="0.4">
      <c r="B3161" s="1">
        <v>45710</v>
      </c>
      <c r="C3161" s="16">
        <f>SUMIF(매도완료!$G:$G,Sheet2!$B3161,매도완료!$P:$P)+SUMIF(ING!$G:$G,Sheet2!$B3161,ING!$P:$P)</f>
        <v>0</v>
      </c>
      <c r="D3161" s="16">
        <f>SUMIF(매도완료!$J:$J,Sheet2!$B3161,매도완료!$P:$P)+SUMIF(ING!$J:$J,Sheet2!$B3161,ING!$P:$P)</f>
        <v>0</v>
      </c>
      <c r="E3161" s="16">
        <f t="shared" si="98"/>
        <v>127158217.33239999</v>
      </c>
      <c r="G3161" s="16">
        <f>IF(D3161=0,0,SUMIF(매도완료!$J:$J,Sheet2!$B3161,매도완료!$S:$S))+IF(D3161=0,0,SUMIF(ING!$J:$J,Sheet2!$B3161,ING!$S:$S))</f>
        <v>0</v>
      </c>
      <c r="H3161" s="16">
        <f t="shared" si="99"/>
        <v>3246701.1313089412</v>
      </c>
    </row>
    <row r="3162" spans="2:8" hidden="1" x14ac:dyDescent="0.4">
      <c r="B3162" s="1">
        <v>45711</v>
      </c>
      <c r="C3162" s="16">
        <f>SUMIF(매도완료!$G:$G,Sheet2!$B3162,매도완료!$P:$P)+SUMIF(ING!$G:$G,Sheet2!$B3162,ING!$P:$P)</f>
        <v>0</v>
      </c>
      <c r="D3162" s="16">
        <f>SUMIF(매도완료!$J:$J,Sheet2!$B3162,매도완료!$P:$P)+SUMIF(ING!$J:$J,Sheet2!$B3162,ING!$P:$P)</f>
        <v>0</v>
      </c>
      <c r="E3162" s="16">
        <f t="shared" si="98"/>
        <v>127158217.33239999</v>
      </c>
      <c r="G3162" s="16">
        <f>IF(D3162=0,0,SUMIF(매도완료!$J:$J,Sheet2!$B3162,매도완료!$S:$S))+IF(D3162=0,0,SUMIF(ING!$J:$J,Sheet2!$B3162,ING!$S:$S))</f>
        <v>0</v>
      </c>
      <c r="H3162" s="16">
        <f t="shared" si="99"/>
        <v>3246701.1313089412</v>
      </c>
    </row>
    <row r="3163" spans="2:8" hidden="1" x14ac:dyDescent="0.4">
      <c r="B3163" s="1">
        <v>45712</v>
      </c>
      <c r="C3163" s="16">
        <f>SUMIF(매도완료!$G:$G,Sheet2!$B3163,매도완료!$P:$P)+SUMIF(ING!$G:$G,Sheet2!$B3163,ING!$P:$P)</f>
        <v>60500</v>
      </c>
      <c r="D3163" s="16">
        <f>SUMIF(매도완료!$J:$J,Sheet2!$B3163,매도완료!$P:$P)+SUMIF(ING!$J:$J,Sheet2!$B3163,ING!$P:$P)</f>
        <v>6615186</v>
      </c>
      <c r="E3163" s="16">
        <f t="shared" si="98"/>
        <v>120603531.33239999</v>
      </c>
      <c r="G3163" s="16">
        <f>IF(D3163=0,0,SUMIF(매도완료!$J:$J,Sheet2!$B3163,매도완료!$S:$S))+IF(D3163=0,0,SUMIF(ING!$J:$J,Sheet2!$B3163,ING!$S:$S))</f>
        <v>249101.5</v>
      </c>
      <c r="H3163" s="16">
        <f t="shared" si="99"/>
        <v>3495802.6313089412</v>
      </c>
    </row>
    <row r="3164" spans="2:8" hidden="1" x14ac:dyDescent="0.4">
      <c r="B3164" s="1">
        <v>45713</v>
      </c>
      <c r="C3164" s="16">
        <f>SUMIF(매도완료!$G:$G,Sheet2!$B3164,매도완료!$P:$P)+SUMIF(ING!$G:$G,Sheet2!$B3164,ING!$P:$P)</f>
        <v>5119787</v>
      </c>
      <c r="D3164" s="16">
        <f>SUMIF(매도완료!$J:$J,Sheet2!$B3164,매도완료!$P:$P)+SUMIF(ING!$J:$J,Sheet2!$B3164,ING!$P:$P)</f>
        <v>0</v>
      </c>
      <c r="E3164" s="16">
        <f t="shared" si="98"/>
        <v>125723318.33239999</v>
      </c>
      <c r="G3164" s="16">
        <f>IF(D3164=0,0,SUMIF(매도완료!$J:$J,Sheet2!$B3164,매도완료!$S:$S))+IF(D3164=0,0,SUMIF(ING!$J:$J,Sheet2!$B3164,ING!$S:$S))</f>
        <v>0</v>
      </c>
      <c r="H3164" s="16">
        <f t="shared" si="99"/>
        <v>3495802.6313089412</v>
      </c>
    </row>
    <row r="3165" spans="2:8" hidden="1" x14ac:dyDescent="0.4">
      <c r="B3165" s="1">
        <v>45714</v>
      </c>
      <c r="C3165" s="16">
        <f>SUMIF(매도완료!$G:$G,Sheet2!$B3165,매도완료!$P:$P)+SUMIF(ING!$G:$G,Sheet2!$B3165,ING!$P:$P)</f>
        <v>715400</v>
      </c>
      <c r="D3165" s="16">
        <f>SUMIF(매도완료!$J:$J,Sheet2!$B3165,매도완료!$P:$P)+SUMIF(ING!$J:$J,Sheet2!$B3165,ING!$P:$P)</f>
        <v>0</v>
      </c>
      <c r="E3165" s="16">
        <f t="shared" si="98"/>
        <v>126438718.33239999</v>
      </c>
      <c r="G3165" s="16">
        <f>IF(D3165=0,0,SUMIF(매도완료!$J:$J,Sheet2!$B3165,매도완료!$S:$S))+IF(D3165=0,0,SUMIF(ING!$J:$J,Sheet2!$B3165,ING!$S:$S))</f>
        <v>0</v>
      </c>
      <c r="H3165" s="16">
        <f t="shared" si="99"/>
        <v>3495802.6313089412</v>
      </c>
    </row>
    <row r="3166" spans="2:8" hidden="1" x14ac:dyDescent="0.4">
      <c r="B3166" s="1">
        <v>45715</v>
      </c>
      <c r="C3166" s="16">
        <f>SUMIF(매도완료!$G:$G,Sheet2!$B3166,매도완료!$P:$P)+SUMIF(ING!$G:$G,Sheet2!$B3166,ING!$P:$P)</f>
        <v>423860</v>
      </c>
      <c r="D3166" s="16">
        <f>SUMIF(매도완료!$J:$J,Sheet2!$B3166,매도완료!$P:$P)+SUMIF(ING!$J:$J,Sheet2!$B3166,ING!$P:$P)</f>
        <v>0</v>
      </c>
      <c r="E3166" s="16">
        <f t="shared" si="98"/>
        <v>126862578.33239999</v>
      </c>
      <c r="G3166" s="16">
        <f>IF(D3166=0,0,SUMIF(매도완료!$J:$J,Sheet2!$B3166,매도완료!$S:$S))+IF(D3166=0,0,SUMIF(ING!$J:$J,Sheet2!$B3166,ING!$S:$S))</f>
        <v>0</v>
      </c>
      <c r="H3166" s="16">
        <f t="shared" si="99"/>
        <v>3495802.6313089412</v>
      </c>
    </row>
    <row r="3167" spans="2:8" hidden="1" x14ac:dyDescent="0.4">
      <c r="B3167" s="1">
        <v>45716</v>
      </c>
      <c r="C3167" s="16">
        <f>SUMIF(매도완료!$G:$G,Sheet2!$B3167,매도완료!$P:$P)+SUMIF(ING!$G:$G,Sheet2!$B3167,ING!$P:$P)</f>
        <v>1179140</v>
      </c>
      <c r="D3167" s="16">
        <f>SUMIF(매도완료!$J:$J,Sheet2!$B3167,매도완료!$P:$P)+SUMIF(ING!$J:$J,Sheet2!$B3167,ING!$P:$P)</f>
        <v>4804656</v>
      </c>
      <c r="E3167" s="16">
        <f t="shared" si="98"/>
        <v>123237062.33239999</v>
      </c>
      <c r="G3167" s="16">
        <f>IF(D3167=0,0,SUMIF(매도완료!$J:$J,Sheet2!$B3167,매도완료!$S:$S))+IF(D3167=0,0,SUMIF(ING!$J:$J,Sheet2!$B3167,ING!$S:$S))</f>
        <v>30344</v>
      </c>
      <c r="H3167" s="16">
        <f t="shared" si="99"/>
        <v>3526146.6313089412</v>
      </c>
    </row>
    <row r="3168" spans="2:8" x14ac:dyDescent="0.4">
      <c r="B3168" s="1">
        <v>45717</v>
      </c>
      <c r="C3168" s="16">
        <f>SUMIF(매도완료!$G:$G,Sheet2!$B3168,매도완료!$P:$P)+SUMIF(ING!$G:$G,Sheet2!$B3168,ING!$P:$P)</f>
        <v>0</v>
      </c>
      <c r="D3168" s="16">
        <f>SUMIF(매도완료!$J:$J,Sheet2!$B3168,매도완료!$P:$P)+SUMIF(ING!$J:$J,Sheet2!$B3168,ING!$P:$P)</f>
        <v>0</v>
      </c>
      <c r="E3168" s="16">
        <f t="shared" si="98"/>
        <v>123237062.33239999</v>
      </c>
      <c r="G3168" s="16">
        <f>IF(D3168=0,0,SUMIF(매도완료!$J:$J,Sheet2!$B3168,매도완료!$S:$S))+IF(D3168=0,0,SUMIF(ING!$J:$J,Sheet2!$B3168,ING!$S:$S))</f>
        <v>0</v>
      </c>
      <c r="H3168" s="16">
        <f t="shared" si="99"/>
        <v>3526146.6313089412</v>
      </c>
    </row>
    <row r="3169" spans="2:8" hidden="1" x14ac:dyDescent="0.4">
      <c r="B3169" s="1">
        <v>45718</v>
      </c>
      <c r="C3169" s="16">
        <f>SUMIF(매도완료!$G:$G,Sheet2!$B3169,매도완료!$P:$P)+SUMIF(ING!$G:$G,Sheet2!$B3169,ING!$P:$P)</f>
        <v>0</v>
      </c>
      <c r="D3169" s="16">
        <f>SUMIF(매도완료!$J:$J,Sheet2!$B3169,매도완료!$P:$P)+SUMIF(ING!$J:$J,Sheet2!$B3169,ING!$P:$P)</f>
        <v>0</v>
      </c>
      <c r="E3169" s="16">
        <f t="shared" si="98"/>
        <v>123237062.33239999</v>
      </c>
      <c r="G3169" s="16">
        <f>IF(D3169=0,0,SUMIF(매도완료!$J:$J,Sheet2!$B3169,매도완료!$S:$S))+IF(D3169=0,0,SUMIF(ING!$J:$J,Sheet2!$B3169,ING!$S:$S))</f>
        <v>0</v>
      </c>
      <c r="H3169" s="16">
        <f t="shared" si="99"/>
        <v>3526146.6313089412</v>
      </c>
    </row>
    <row r="3170" spans="2:8" hidden="1" x14ac:dyDescent="0.4">
      <c r="B3170" s="1">
        <v>45719</v>
      </c>
      <c r="C3170" s="16">
        <f>SUMIF(매도완료!$G:$G,Sheet2!$B3170,매도완료!$P:$P)+SUMIF(ING!$G:$G,Sheet2!$B3170,ING!$P:$P)</f>
        <v>0</v>
      </c>
      <c r="D3170" s="16">
        <f>SUMIF(매도완료!$J:$J,Sheet2!$B3170,매도완료!$P:$P)+SUMIF(ING!$J:$J,Sheet2!$B3170,ING!$P:$P)</f>
        <v>0</v>
      </c>
      <c r="E3170" s="16">
        <f t="shared" si="98"/>
        <v>123237062.33239999</v>
      </c>
      <c r="G3170" s="16">
        <f>IF(D3170=0,0,SUMIF(매도완료!$J:$J,Sheet2!$B3170,매도완료!$S:$S))+IF(D3170=0,0,SUMIF(ING!$J:$J,Sheet2!$B3170,ING!$S:$S))</f>
        <v>0</v>
      </c>
      <c r="H3170" s="16">
        <f t="shared" si="99"/>
        <v>3526146.6313089412</v>
      </c>
    </row>
    <row r="3171" spans="2:8" hidden="1" x14ac:dyDescent="0.4">
      <c r="B3171" s="1">
        <v>45720</v>
      </c>
      <c r="C3171" s="16">
        <f>SUMIF(매도완료!$G:$G,Sheet2!$B3171,매도완료!$P:$P)+SUMIF(ING!$G:$G,Sheet2!$B3171,ING!$P:$P)</f>
        <v>455825</v>
      </c>
      <c r="D3171" s="16">
        <f>SUMIF(매도완료!$J:$J,Sheet2!$B3171,매도완료!$P:$P)+SUMIF(ING!$J:$J,Sheet2!$B3171,ING!$P:$P)</f>
        <v>0</v>
      </c>
      <c r="E3171" s="16">
        <f t="shared" si="98"/>
        <v>123692887.33239999</v>
      </c>
      <c r="G3171" s="16">
        <f>IF(D3171=0,0,SUMIF(매도완료!$J:$J,Sheet2!$B3171,매도완료!$S:$S))+IF(D3171=0,0,SUMIF(ING!$J:$J,Sheet2!$B3171,ING!$S:$S))</f>
        <v>0</v>
      </c>
      <c r="H3171" s="16">
        <f t="shared" si="99"/>
        <v>3526146.6313089412</v>
      </c>
    </row>
    <row r="3172" spans="2:8" hidden="1" x14ac:dyDescent="0.4">
      <c r="B3172" s="1">
        <v>45721</v>
      </c>
      <c r="C3172" s="16">
        <f>SUMIF(매도완료!$G:$G,Sheet2!$B3172,매도완료!$P:$P)+SUMIF(ING!$G:$G,Sheet2!$B3172,ING!$P:$P)</f>
        <v>1852950</v>
      </c>
      <c r="D3172" s="16">
        <f>SUMIF(매도완료!$J:$J,Sheet2!$B3172,매도완료!$P:$P)+SUMIF(ING!$J:$J,Sheet2!$B3172,ING!$P:$P)</f>
        <v>0</v>
      </c>
      <c r="E3172" s="16">
        <f t="shared" si="98"/>
        <v>125545837.33239999</v>
      </c>
      <c r="G3172" s="16">
        <f>IF(D3172=0,0,SUMIF(매도완료!$J:$J,Sheet2!$B3172,매도완료!$S:$S))+IF(D3172=0,0,SUMIF(ING!$J:$J,Sheet2!$B3172,ING!$S:$S))</f>
        <v>0</v>
      </c>
      <c r="H3172" s="16">
        <f t="shared" si="99"/>
        <v>3526146.6313089412</v>
      </c>
    </row>
    <row r="3173" spans="2:8" hidden="1" x14ac:dyDescent="0.4">
      <c r="B3173" s="1">
        <v>45722</v>
      </c>
      <c r="C3173" s="16">
        <f>SUMIF(매도완료!$G:$G,Sheet2!$B3173,매도완료!$P:$P)+SUMIF(ING!$G:$G,Sheet2!$B3173,ING!$P:$P)</f>
        <v>23700</v>
      </c>
      <c r="D3173" s="16">
        <f>SUMIF(매도완료!$J:$J,Sheet2!$B3173,매도완료!$P:$P)+SUMIF(ING!$J:$J,Sheet2!$B3173,ING!$P:$P)</f>
        <v>0</v>
      </c>
      <c r="E3173" s="16">
        <f t="shared" si="98"/>
        <v>125569537.33239999</v>
      </c>
      <c r="G3173" s="16">
        <f>IF(D3173=0,0,SUMIF(매도완료!$J:$J,Sheet2!$B3173,매도완료!$S:$S))+IF(D3173=0,0,SUMIF(ING!$J:$J,Sheet2!$B3173,ING!$S:$S))</f>
        <v>0</v>
      </c>
      <c r="H3173" s="16">
        <f t="shared" si="99"/>
        <v>3526146.6313089412</v>
      </c>
    </row>
    <row r="3174" spans="2:8" hidden="1" x14ac:dyDescent="0.4">
      <c r="B3174" s="1">
        <v>45723</v>
      </c>
      <c r="C3174" s="16">
        <f>SUMIF(매도완료!$G:$G,Sheet2!$B3174,매도완료!$P:$P)+SUMIF(ING!$G:$G,Sheet2!$B3174,ING!$P:$P)</f>
        <v>274715</v>
      </c>
      <c r="D3174" s="16">
        <f>SUMIF(매도완료!$J:$J,Sheet2!$B3174,매도완료!$P:$P)+SUMIF(ING!$J:$J,Sheet2!$B3174,ING!$P:$P)</f>
        <v>0</v>
      </c>
      <c r="E3174" s="16">
        <f t="shared" si="98"/>
        <v>125844252.33239999</v>
      </c>
      <c r="G3174" s="16">
        <f>IF(D3174=0,0,SUMIF(매도완료!$J:$J,Sheet2!$B3174,매도완료!$S:$S))+IF(D3174=0,0,SUMIF(ING!$J:$J,Sheet2!$B3174,ING!$S:$S))</f>
        <v>0</v>
      </c>
      <c r="H3174" s="16">
        <f t="shared" si="99"/>
        <v>3526146.6313089412</v>
      </c>
    </row>
    <row r="3175" spans="2:8" hidden="1" x14ac:dyDescent="0.4">
      <c r="B3175" s="1">
        <v>45724</v>
      </c>
      <c r="C3175" s="16">
        <f>SUMIF(매도완료!$G:$G,Sheet2!$B3175,매도완료!$P:$P)+SUMIF(ING!$G:$G,Sheet2!$B3175,ING!$P:$P)</f>
        <v>0</v>
      </c>
      <c r="D3175" s="16">
        <f>SUMIF(매도완료!$J:$J,Sheet2!$B3175,매도완료!$P:$P)+SUMIF(ING!$J:$J,Sheet2!$B3175,ING!$P:$P)</f>
        <v>0</v>
      </c>
      <c r="E3175" s="16">
        <f t="shared" si="98"/>
        <v>125844252.33239999</v>
      </c>
      <c r="G3175" s="16">
        <f>IF(D3175=0,0,SUMIF(매도완료!$J:$J,Sheet2!$B3175,매도완료!$S:$S))+IF(D3175=0,0,SUMIF(ING!$J:$J,Sheet2!$B3175,ING!$S:$S))</f>
        <v>0</v>
      </c>
      <c r="H3175" s="16">
        <f t="shared" si="99"/>
        <v>3526146.6313089412</v>
      </c>
    </row>
    <row r="3176" spans="2:8" hidden="1" x14ac:dyDescent="0.4">
      <c r="B3176" s="1">
        <v>45725</v>
      </c>
      <c r="C3176" s="16">
        <f>SUMIF(매도완료!$G:$G,Sheet2!$B3176,매도완료!$P:$P)+SUMIF(ING!$G:$G,Sheet2!$B3176,ING!$P:$P)</f>
        <v>0</v>
      </c>
      <c r="D3176" s="16">
        <f>SUMIF(매도완료!$J:$J,Sheet2!$B3176,매도완료!$P:$P)+SUMIF(ING!$J:$J,Sheet2!$B3176,ING!$P:$P)</f>
        <v>0</v>
      </c>
      <c r="E3176" s="16">
        <f t="shared" si="98"/>
        <v>125844252.33239999</v>
      </c>
      <c r="G3176" s="16">
        <f>IF(D3176=0,0,SUMIF(매도완료!$J:$J,Sheet2!$B3176,매도완료!$S:$S))+IF(D3176=0,0,SUMIF(ING!$J:$J,Sheet2!$B3176,ING!$S:$S))</f>
        <v>0</v>
      </c>
      <c r="H3176" s="16">
        <f t="shared" si="99"/>
        <v>3526146.6313089412</v>
      </c>
    </row>
    <row r="3177" spans="2:8" hidden="1" x14ac:dyDescent="0.4">
      <c r="B3177" s="1">
        <v>45726</v>
      </c>
      <c r="C3177" s="16">
        <f>SUMIF(매도완료!$G:$G,Sheet2!$B3177,매도완료!$P:$P)+SUMIF(ING!$G:$G,Sheet2!$B3177,ING!$P:$P)</f>
        <v>710360</v>
      </c>
      <c r="D3177" s="16">
        <f>SUMIF(매도완료!$J:$J,Sheet2!$B3177,매도완료!$P:$P)+SUMIF(ING!$J:$J,Sheet2!$B3177,ING!$P:$P)</f>
        <v>0</v>
      </c>
      <c r="E3177" s="16">
        <f t="shared" si="98"/>
        <v>126554612.33239999</v>
      </c>
      <c r="G3177" s="16">
        <f>IF(D3177=0,0,SUMIF(매도완료!$J:$J,Sheet2!$B3177,매도완료!$S:$S))+IF(D3177=0,0,SUMIF(ING!$J:$J,Sheet2!$B3177,ING!$S:$S))</f>
        <v>0</v>
      </c>
      <c r="H3177" s="16">
        <f t="shared" si="99"/>
        <v>3526146.6313089412</v>
      </c>
    </row>
    <row r="3178" spans="2:8" hidden="1" x14ac:dyDescent="0.4">
      <c r="B3178" s="1">
        <v>45727</v>
      </c>
      <c r="C3178" s="16">
        <f>SUMIF(매도완료!$G:$G,Sheet2!$B3178,매도완료!$P:$P)+SUMIF(ING!$G:$G,Sheet2!$B3178,ING!$P:$P)</f>
        <v>4897</v>
      </c>
      <c r="D3178" s="16">
        <f>SUMIF(매도완료!$J:$J,Sheet2!$B3178,매도완료!$P:$P)+SUMIF(ING!$J:$J,Sheet2!$B3178,ING!$P:$P)</f>
        <v>0</v>
      </c>
      <c r="E3178" s="16">
        <f t="shared" si="98"/>
        <v>126559509.33239999</v>
      </c>
      <c r="G3178" s="16">
        <f>IF(D3178=0,0,SUMIF(매도완료!$J:$J,Sheet2!$B3178,매도완료!$S:$S))+IF(D3178=0,0,SUMIF(ING!$J:$J,Sheet2!$B3178,ING!$S:$S))</f>
        <v>0</v>
      </c>
      <c r="H3178" s="16">
        <f t="shared" si="99"/>
        <v>3526146.6313089412</v>
      </c>
    </row>
    <row r="3179" spans="2:8" hidden="1" x14ac:dyDescent="0.4">
      <c r="B3179" s="1">
        <v>45728</v>
      </c>
      <c r="C3179" s="16">
        <f>SUMIF(매도완료!$G:$G,Sheet2!$B3179,매도완료!$P:$P)+SUMIF(ING!$G:$G,Sheet2!$B3179,ING!$P:$P)</f>
        <v>321600</v>
      </c>
      <c r="D3179" s="16">
        <f>SUMIF(매도완료!$J:$J,Sheet2!$B3179,매도완료!$P:$P)+SUMIF(ING!$J:$J,Sheet2!$B3179,ING!$P:$P)</f>
        <v>0</v>
      </c>
      <c r="E3179" s="16">
        <f t="shared" si="98"/>
        <v>126881109.33239999</v>
      </c>
      <c r="G3179" s="16">
        <f>IF(D3179=0,0,SUMIF(매도완료!$J:$J,Sheet2!$B3179,매도완료!$S:$S))+IF(D3179=0,0,SUMIF(ING!$J:$J,Sheet2!$B3179,ING!$S:$S))</f>
        <v>0</v>
      </c>
      <c r="H3179" s="16">
        <f t="shared" si="99"/>
        <v>3526146.6313089412</v>
      </c>
    </row>
    <row r="3180" spans="2:8" hidden="1" x14ac:dyDescent="0.4">
      <c r="B3180" s="1">
        <v>45729</v>
      </c>
      <c r="C3180" s="16">
        <f>SUMIF(매도완료!$G:$G,Sheet2!$B3180,매도완료!$P:$P)+SUMIF(ING!$G:$G,Sheet2!$B3180,ING!$P:$P)</f>
        <v>82050</v>
      </c>
      <c r="D3180" s="16">
        <f>SUMIF(매도완료!$J:$J,Sheet2!$B3180,매도완료!$P:$P)+SUMIF(ING!$J:$J,Sheet2!$B3180,ING!$P:$P)</f>
        <v>1056800</v>
      </c>
      <c r="E3180" s="16">
        <f t="shared" si="98"/>
        <v>125906359.33239999</v>
      </c>
      <c r="G3180" s="16">
        <f>IF(D3180=0,0,SUMIF(매도완료!$J:$J,Sheet2!$B3180,매도완료!$S:$S))+IF(D3180=0,0,SUMIF(ING!$J:$J,Sheet2!$B3180,ING!$S:$S))</f>
        <v>217216</v>
      </c>
      <c r="H3180" s="16">
        <f t="shared" si="99"/>
        <v>3743362.6313089412</v>
      </c>
    </row>
    <row r="3181" spans="2:8" hidden="1" x14ac:dyDescent="0.4">
      <c r="B3181" s="1">
        <v>45730</v>
      </c>
      <c r="C3181" s="16">
        <f>SUMIF(매도완료!$G:$G,Sheet2!$B3181,매도완료!$P:$P)+SUMIF(ING!$G:$G,Sheet2!$B3181,ING!$P:$P)</f>
        <v>2855</v>
      </c>
      <c r="D3181" s="16">
        <f>SUMIF(매도완료!$J:$J,Sheet2!$B3181,매도완료!$P:$P)+SUMIF(ING!$J:$J,Sheet2!$B3181,ING!$P:$P)</f>
        <v>0</v>
      </c>
      <c r="E3181" s="16">
        <f t="shared" si="98"/>
        <v>125909214.33239999</v>
      </c>
      <c r="G3181" s="16">
        <f>IF(D3181=0,0,SUMIF(매도완료!$J:$J,Sheet2!$B3181,매도완료!$S:$S))+IF(D3181=0,0,SUMIF(ING!$J:$J,Sheet2!$B3181,ING!$S:$S))</f>
        <v>0</v>
      </c>
      <c r="H3181" s="16">
        <f t="shared" si="99"/>
        <v>3743362.6313089412</v>
      </c>
    </row>
    <row r="3182" spans="2:8" hidden="1" x14ac:dyDescent="0.4">
      <c r="B3182" s="1">
        <v>45731</v>
      </c>
      <c r="C3182" s="16">
        <f>SUMIF(매도완료!$G:$G,Sheet2!$B3182,매도완료!$P:$P)+SUMIF(ING!$G:$G,Sheet2!$B3182,ING!$P:$P)</f>
        <v>0</v>
      </c>
      <c r="D3182" s="16">
        <f>SUMIF(매도완료!$J:$J,Sheet2!$B3182,매도완료!$P:$P)+SUMIF(ING!$J:$J,Sheet2!$B3182,ING!$P:$P)</f>
        <v>0</v>
      </c>
      <c r="E3182" s="16">
        <f t="shared" si="98"/>
        <v>125909214.33239999</v>
      </c>
      <c r="G3182" s="16">
        <f>IF(D3182=0,0,SUMIF(매도완료!$J:$J,Sheet2!$B3182,매도완료!$S:$S))+IF(D3182=0,0,SUMIF(ING!$J:$J,Sheet2!$B3182,ING!$S:$S))</f>
        <v>0</v>
      </c>
      <c r="H3182" s="16">
        <f t="shared" si="99"/>
        <v>3743362.6313089412</v>
      </c>
    </row>
    <row r="3183" spans="2:8" hidden="1" x14ac:dyDescent="0.4">
      <c r="B3183" s="1">
        <v>45732</v>
      </c>
      <c r="C3183" s="16">
        <f>SUMIF(매도완료!$G:$G,Sheet2!$B3183,매도완료!$P:$P)+SUMIF(ING!$G:$G,Sheet2!$B3183,ING!$P:$P)</f>
        <v>0</v>
      </c>
      <c r="D3183" s="16">
        <f>SUMIF(매도완료!$J:$J,Sheet2!$B3183,매도완료!$P:$P)+SUMIF(ING!$J:$J,Sheet2!$B3183,ING!$P:$P)</f>
        <v>0</v>
      </c>
      <c r="E3183" s="16">
        <f t="shared" si="98"/>
        <v>125909214.33239999</v>
      </c>
      <c r="G3183" s="16">
        <f>IF(D3183=0,0,SUMIF(매도완료!$J:$J,Sheet2!$B3183,매도완료!$S:$S))+IF(D3183=0,0,SUMIF(ING!$J:$J,Sheet2!$B3183,ING!$S:$S))</f>
        <v>0</v>
      </c>
      <c r="H3183" s="16">
        <f t="shared" si="99"/>
        <v>3743362.6313089412</v>
      </c>
    </row>
    <row r="3184" spans="2:8" hidden="1" x14ac:dyDescent="0.4">
      <c r="B3184" s="1">
        <v>45733</v>
      </c>
      <c r="C3184" s="16">
        <f>SUMIF(매도완료!$G:$G,Sheet2!$B3184,매도완료!$P:$P)+SUMIF(ING!$G:$G,Sheet2!$B3184,ING!$P:$P)</f>
        <v>162930</v>
      </c>
      <c r="D3184" s="16">
        <f>SUMIF(매도완료!$J:$J,Sheet2!$B3184,매도완료!$P:$P)+SUMIF(ING!$J:$J,Sheet2!$B3184,ING!$P:$P)</f>
        <v>0</v>
      </c>
      <c r="E3184" s="16">
        <f t="shared" si="98"/>
        <v>126072144.33239999</v>
      </c>
      <c r="G3184" s="16">
        <f>IF(D3184=0,0,SUMIF(매도완료!$J:$J,Sheet2!$B3184,매도완료!$S:$S))+IF(D3184=0,0,SUMIF(ING!$J:$J,Sheet2!$B3184,ING!$S:$S))</f>
        <v>0</v>
      </c>
      <c r="H3184" s="16">
        <f t="shared" si="99"/>
        <v>3743362.6313089412</v>
      </c>
    </row>
    <row r="3185" spans="2:8" hidden="1" x14ac:dyDescent="0.4">
      <c r="B3185" s="1">
        <v>45734</v>
      </c>
      <c r="C3185" s="16">
        <f>SUMIF(매도완료!$G:$G,Sheet2!$B3185,매도완료!$P:$P)+SUMIF(ING!$G:$G,Sheet2!$B3185,ING!$P:$P)</f>
        <v>4978</v>
      </c>
      <c r="D3185" s="16">
        <f>SUMIF(매도완료!$J:$J,Sheet2!$B3185,매도완료!$P:$P)+SUMIF(ING!$J:$J,Sheet2!$B3185,ING!$P:$P)</f>
        <v>0</v>
      </c>
      <c r="E3185" s="16">
        <f t="shared" si="98"/>
        <v>126077122.33239999</v>
      </c>
      <c r="G3185" s="16">
        <f>IF(D3185=0,0,SUMIF(매도완료!$J:$J,Sheet2!$B3185,매도완료!$S:$S))+IF(D3185=0,0,SUMIF(ING!$J:$J,Sheet2!$B3185,ING!$S:$S))</f>
        <v>0</v>
      </c>
      <c r="H3185" s="16">
        <f t="shared" si="99"/>
        <v>3743362.6313089412</v>
      </c>
    </row>
    <row r="3186" spans="2:8" hidden="1" x14ac:dyDescent="0.4">
      <c r="B3186" s="1">
        <v>45735</v>
      </c>
      <c r="C3186" s="16">
        <f>SUMIF(매도완료!$G:$G,Sheet2!$B3186,매도완료!$P:$P)+SUMIF(ING!$G:$G,Sheet2!$B3186,ING!$P:$P)</f>
        <v>27600</v>
      </c>
      <c r="D3186" s="16">
        <f>SUMIF(매도완료!$J:$J,Sheet2!$B3186,매도완료!$P:$P)+SUMIF(ING!$J:$J,Sheet2!$B3186,ING!$P:$P)</f>
        <v>0</v>
      </c>
      <c r="E3186" s="16">
        <f t="shared" si="98"/>
        <v>126104722.33239999</v>
      </c>
      <c r="G3186" s="16">
        <f>IF(D3186=0,0,SUMIF(매도완료!$J:$J,Sheet2!$B3186,매도완료!$S:$S))+IF(D3186=0,0,SUMIF(ING!$J:$J,Sheet2!$B3186,ING!$S:$S))</f>
        <v>0</v>
      </c>
      <c r="H3186" s="16">
        <f t="shared" si="99"/>
        <v>3743362.6313089412</v>
      </c>
    </row>
    <row r="3187" spans="2:8" hidden="1" x14ac:dyDescent="0.4">
      <c r="B3187" s="1">
        <v>45736</v>
      </c>
      <c r="C3187" s="16">
        <f>SUMIF(매도완료!$G:$G,Sheet2!$B3187,매도완료!$P:$P)+SUMIF(ING!$G:$G,Sheet2!$B3187,ING!$P:$P)</f>
        <v>433500</v>
      </c>
      <c r="D3187" s="16">
        <f>SUMIF(매도완료!$J:$J,Sheet2!$B3187,매도완료!$P:$P)+SUMIF(ING!$J:$J,Sheet2!$B3187,ING!$P:$P)</f>
        <v>0</v>
      </c>
      <c r="E3187" s="16">
        <f t="shared" si="98"/>
        <v>126538222.33239999</v>
      </c>
      <c r="G3187" s="16">
        <f>IF(D3187=0,0,SUMIF(매도완료!$J:$J,Sheet2!$B3187,매도완료!$S:$S))+IF(D3187=0,0,SUMIF(ING!$J:$J,Sheet2!$B3187,ING!$S:$S))</f>
        <v>0</v>
      </c>
      <c r="H3187" s="16">
        <f t="shared" si="99"/>
        <v>3743362.6313089412</v>
      </c>
    </row>
    <row r="3188" spans="2:8" hidden="1" x14ac:dyDescent="0.4">
      <c r="B3188" s="1">
        <v>45737</v>
      </c>
      <c r="C3188" s="16">
        <f>SUMIF(매도완료!$G:$G,Sheet2!$B3188,매도완료!$P:$P)+SUMIF(ING!$G:$G,Sheet2!$B3188,ING!$P:$P)</f>
        <v>2900</v>
      </c>
      <c r="D3188" s="16">
        <f>SUMIF(매도완료!$J:$J,Sheet2!$B3188,매도완료!$P:$P)+SUMIF(ING!$J:$J,Sheet2!$B3188,ING!$P:$P)</f>
        <v>0</v>
      </c>
      <c r="E3188" s="16">
        <f t="shared" si="98"/>
        <v>126541122.33239999</v>
      </c>
      <c r="G3188" s="16">
        <f>IF(D3188=0,0,SUMIF(매도완료!$J:$J,Sheet2!$B3188,매도완료!$S:$S))+IF(D3188=0,0,SUMIF(ING!$J:$J,Sheet2!$B3188,ING!$S:$S))</f>
        <v>0</v>
      </c>
      <c r="H3188" s="16">
        <f t="shared" si="99"/>
        <v>3743362.6313089412</v>
      </c>
    </row>
    <row r="3189" spans="2:8" hidden="1" x14ac:dyDescent="0.4">
      <c r="B3189" s="1">
        <v>45738</v>
      </c>
      <c r="C3189" s="16">
        <f>SUMIF(매도완료!$G:$G,Sheet2!$B3189,매도완료!$P:$P)+SUMIF(ING!$G:$G,Sheet2!$B3189,ING!$P:$P)</f>
        <v>0</v>
      </c>
      <c r="D3189" s="16">
        <f>SUMIF(매도완료!$J:$J,Sheet2!$B3189,매도완료!$P:$P)+SUMIF(ING!$J:$J,Sheet2!$B3189,ING!$P:$P)</f>
        <v>0</v>
      </c>
      <c r="E3189" s="16">
        <f t="shared" si="98"/>
        <v>126541122.33239999</v>
      </c>
      <c r="G3189" s="16">
        <f>IF(D3189=0,0,SUMIF(매도완료!$J:$J,Sheet2!$B3189,매도완료!$S:$S))+IF(D3189=0,0,SUMIF(ING!$J:$J,Sheet2!$B3189,ING!$S:$S))</f>
        <v>0</v>
      </c>
      <c r="H3189" s="16">
        <f t="shared" si="99"/>
        <v>3743362.6313089412</v>
      </c>
    </row>
    <row r="3190" spans="2:8" hidden="1" x14ac:dyDescent="0.4">
      <c r="B3190" s="1">
        <v>45739</v>
      </c>
      <c r="C3190" s="16">
        <f>SUMIF(매도완료!$G:$G,Sheet2!$B3190,매도완료!$P:$P)+SUMIF(ING!$G:$G,Sheet2!$B3190,ING!$P:$P)</f>
        <v>0</v>
      </c>
      <c r="D3190" s="16">
        <f>SUMIF(매도완료!$J:$J,Sheet2!$B3190,매도완료!$P:$P)+SUMIF(ING!$J:$J,Sheet2!$B3190,ING!$P:$P)</f>
        <v>0</v>
      </c>
      <c r="E3190" s="16">
        <f t="shared" si="98"/>
        <v>126541122.33239999</v>
      </c>
      <c r="G3190" s="16">
        <f>IF(D3190=0,0,SUMIF(매도완료!$J:$J,Sheet2!$B3190,매도완료!$S:$S))+IF(D3190=0,0,SUMIF(ING!$J:$J,Sheet2!$B3190,ING!$S:$S))</f>
        <v>0</v>
      </c>
      <c r="H3190" s="16">
        <f t="shared" si="99"/>
        <v>3743362.6313089412</v>
      </c>
    </row>
    <row r="3191" spans="2:8" hidden="1" x14ac:dyDescent="0.4">
      <c r="B3191" s="1">
        <v>45740</v>
      </c>
      <c r="C3191" s="16">
        <f>SUMIF(매도완료!$G:$G,Sheet2!$B3191,매도완료!$P:$P)+SUMIF(ING!$G:$G,Sheet2!$B3191,ING!$P:$P)</f>
        <v>15800</v>
      </c>
      <c r="D3191" s="16">
        <f>SUMIF(매도완료!$J:$J,Sheet2!$B3191,매도완료!$P:$P)+SUMIF(ING!$J:$J,Sheet2!$B3191,ING!$P:$P)</f>
        <v>0</v>
      </c>
      <c r="E3191" s="16">
        <f t="shared" si="98"/>
        <v>126556922.33239999</v>
      </c>
      <c r="G3191" s="16">
        <f>IF(D3191=0,0,SUMIF(매도완료!$J:$J,Sheet2!$B3191,매도완료!$S:$S))+IF(D3191=0,0,SUMIF(ING!$J:$J,Sheet2!$B3191,ING!$S:$S))</f>
        <v>0</v>
      </c>
      <c r="H3191" s="16">
        <f t="shared" si="99"/>
        <v>3743362.6313089412</v>
      </c>
    </row>
    <row r="3192" spans="2:8" hidden="1" x14ac:dyDescent="0.4">
      <c r="B3192" s="1">
        <v>45741</v>
      </c>
      <c r="C3192" s="16">
        <f>SUMIF(매도완료!$G:$G,Sheet2!$B3192,매도완료!$P:$P)+SUMIF(ING!$G:$G,Sheet2!$B3192,ING!$P:$P)</f>
        <v>388706</v>
      </c>
      <c r="D3192" s="16">
        <f>SUMIF(매도완료!$J:$J,Sheet2!$B3192,매도완료!$P:$P)+SUMIF(ING!$J:$J,Sheet2!$B3192,ING!$P:$P)</f>
        <v>0</v>
      </c>
      <c r="E3192" s="16">
        <f t="shared" si="98"/>
        <v>126945628.33239999</v>
      </c>
      <c r="G3192" s="16">
        <f>IF(D3192=0,0,SUMIF(매도완료!$J:$J,Sheet2!$B3192,매도완료!$S:$S))+IF(D3192=0,0,SUMIF(ING!$J:$J,Sheet2!$B3192,ING!$S:$S))</f>
        <v>0</v>
      </c>
      <c r="H3192" s="16">
        <f t="shared" si="99"/>
        <v>3743362.6313089412</v>
      </c>
    </row>
    <row r="3193" spans="2:8" hidden="1" x14ac:dyDescent="0.4">
      <c r="B3193" s="1">
        <v>45742</v>
      </c>
      <c r="C3193" s="16">
        <f>SUMIF(매도완료!$G:$G,Sheet2!$B3193,매도완료!$P:$P)+SUMIF(ING!$G:$G,Sheet2!$B3193,ING!$P:$P)</f>
        <v>151200</v>
      </c>
      <c r="D3193" s="16">
        <f>SUMIF(매도완료!$J:$J,Sheet2!$B3193,매도완료!$P:$P)+SUMIF(ING!$J:$J,Sheet2!$B3193,ING!$P:$P)</f>
        <v>0</v>
      </c>
      <c r="E3193" s="16">
        <f t="shared" si="98"/>
        <v>127096828.33239999</v>
      </c>
      <c r="G3193" s="16">
        <f>IF(D3193=0,0,SUMIF(매도완료!$J:$J,Sheet2!$B3193,매도완료!$S:$S))+IF(D3193=0,0,SUMIF(ING!$J:$J,Sheet2!$B3193,ING!$S:$S))</f>
        <v>0</v>
      </c>
      <c r="H3193" s="16">
        <f t="shared" si="99"/>
        <v>3743362.6313089412</v>
      </c>
    </row>
    <row r="3194" spans="2:8" hidden="1" x14ac:dyDescent="0.4">
      <c r="B3194" s="1">
        <v>45743</v>
      </c>
      <c r="C3194" s="16">
        <f>SUMIF(매도완료!$G:$G,Sheet2!$B3194,매도완료!$P:$P)+SUMIF(ING!$G:$G,Sheet2!$B3194,ING!$P:$P)</f>
        <v>272050</v>
      </c>
      <c r="D3194" s="16">
        <f>SUMIF(매도완료!$J:$J,Sheet2!$B3194,매도완료!$P:$P)+SUMIF(ING!$J:$J,Sheet2!$B3194,ING!$P:$P)</f>
        <v>0</v>
      </c>
      <c r="E3194" s="16">
        <f t="shared" si="98"/>
        <v>127368878.33239999</v>
      </c>
      <c r="G3194" s="16">
        <f>IF(D3194=0,0,SUMIF(매도완료!$J:$J,Sheet2!$B3194,매도완료!$S:$S))+IF(D3194=0,0,SUMIF(ING!$J:$J,Sheet2!$B3194,ING!$S:$S))</f>
        <v>0</v>
      </c>
      <c r="H3194" s="16">
        <f t="shared" si="99"/>
        <v>3743362.6313089412</v>
      </c>
    </row>
    <row r="3195" spans="2:8" hidden="1" x14ac:dyDescent="0.4">
      <c r="B3195" s="1">
        <v>45744</v>
      </c>
      <c r="C3195" s="16">
        <f>SUMIF(매도완료!$G:$G,Sheet2!$B3195,매도완료!$P:$P)+SUMIF(ING!$G:$G,Sheet2!$B3195,ING!$P:$P)</f>
        <v>2910</v>
      </c>
      <c r="D3195" s="16">
        <f>SUMIF(매도완료!$J:$J,Sheet2!$B3195,매도완료!$P:$P)+SUMIF(ING!$J:$J,Sheet2!$B3195,ING!$P:$P)</f>
        <v>0</v>
      </c>
      <c r="E3195" s="16">
        <f t="shared" si="98"/>
        <v>127371788.33239999</v>
      </c>
      <c r="G3195" s="16">
        <f>IF(D3195=0,0,SUMIF(매도완료!$J:$J,Sheet2!$B3195,매도완료!$S:$S))+IF(D3195=0,0,SUMIF(ING!$J:$J,Sheet2!$B3195,ING!$S:$S))</f>
        <v>0</v>
      </c>
      <c r="H3195" s="16">
        <f t="shared" si="99"/>
        <v>3743362.6313089412</v>
      </c>
    </row>
    <row r="3196" spans="2:8" hidden="1" x14ac:dyDescent="0.4">
      <c r="B3196" s="1">
        <v>45745</v>
      </c>
      <c r="C3196" s="16">
        <f>SUMIF(매도완료!$G:$G,Sheet2!$B3196,매도완료!$P:$P)+SUMIF(ING!$G:$G,Sheet2!$B3196,ING!$P:$P)</f>
        <v>0</v>
      </c>
      <c r="D3196" s="16">
        <f>SUMIF(매도완료!$J:$J,Sheet2!$B3196,매도완료!$P:$P)+SUMIF(ING!$J:$J,Sheet2!$B3196,ING!$P:$P)</f>
        <v>0</v>
      </c>
      <c r="E3196" s="16">
        <f t="shared" si="98"/>
        <v>127371788.33239999</v>
      </c>
      <c r="G3196" s="16">
        <f>IF(D3196=0,0,SUMIF(매도완료!$J:$J,Sheet2!$B3196,매도완료!$S:$S))+IF(D3196=0,0,SUMIF(ING!$J:$J,Sheet2!$B3196,ING!$S:$S))</f>
        <v>0</v>
      </c>
      <c r="H3196" s="16">
        <f t="shared" si="99"/>
        <v>3743362.6313089412</v>
      </c>
    </row>
    <row r="3197" spans="2:8" hidden="1" x14ac:dyDescent="0.4">
      <c r="B3197" s="1">
        <v>45746</v>
      </c>
      <c r="C3197" s="16">
        <f>SUMIF(매도완료!$G:$G,Sheet2!$B3197,매도완료!$P:$P)+SUMIF(ING!$G:$G,Sheet2!$B3197,ING!$P:$P)</f>
        <v>0</v>
      </c>
      <c r="D3197" s="16">
        <f>SUMIF(매도완료!$J:$J,Sheet2!$B3197,매도완료!$P:$P)+SUMIF(ING!$J:$J,Sheet2!$B3197,ING!$P:$P)</f>
        <v>0</v>
      </c>
      <c r="E3197" s="16">
        <f t="shared" si="98"/>
        <v>127371788.33239999</v>
      </c>
      <c r="G3197" s="16">
        <f>IF(D3197=0,0,SUMIF(매도완료!$J:$J,Sheet2!$B3197,매도완료!$S:$S))+IF(D3197=0,0,SUMIF(ING!$J:$J,Sheet2!$B3197,ING!$S:$S))</f>
        <v>0</v>
      </c>
      <c r="H3197" s="16">
        <f t="shared" si="99"/>
        <v>3743362.6313089412</v>
      </c>
    </row>
    <row r="3198" spans="2:8" hidden="1" x14ac:dyDescent="0.4">
      <c r="B3198" s="1">
        <v>45747</v>
      </c>
      <c r="C3198" s="16">
        <f>SUMIF(매도완료!$G:$G,Sheet2!$B3198,매도완료!$P:$P)+SUMIF(ING!$G:$G,Sheet2!$B3198,ING!$P:$P)</f>
        <v>14695</v>
      </c>
      <c r="D3198" s="16">
        <f>SUMIF(매도완료!$J:$J,Sheet2!$B3198,매도완료!$P:$P)+SUMIF(ING!$J:$J,Sheet2!$B3198,ING!$P:$P)</f>
        <v>0</v>
      </c>
      <c r="E3198" s="16">
        <f t="shared" si="98"/>
        <v>127386483.33239999</v>
      </c>
      <c r="G3198" s="16">
        <f>IF(D3198=0,0,SUMIF(매도완료!$J:$J,Sheet2!$B3198,매도완료!$S:$S))+IF(D3198=0,0,SUMIF(ING!$J:$J,Sheet2!$B3198,ING!$S:$S))</f>
        <v>0</v>
      </c>
      <c r="H3198" s="16">
        <f t="shared" si="99"/>
        <v>3743362.6313089412</v>
      </c>
    </row>
    <row r="3199" spans="2:8" x14ac:dyDescent="0.4">
      <c r="B3199" s="1">
        <v>45748</v>
      </c>
      <c r="C3199" s="16">
        <f>SUMIF(매도완료!$G:$G,Sheet2!$B3199,매도완료!$P:$P)+SUMIF(ING!$G:$G,Sheet2!$B3199,ING!$P:$P)</f>
        <v>4642</v>
      </c>
      <c r="D3199" s="16">
        <f>SUMIF(매도완료!$J:$J,Sheet2!$B3199,매도완료!$P:$P)+SUMIF(ING!$J:$J,Sheet2!$B3199,ING!$P:$P)</f>
        <v>0</v>
      </c>
      <c r="E3199" s="16">
        <f t="shared" si="98"/>
        <v>127391125.33239999</v>
      </c>
      <c r="G3199" s="16">
        <f>IF(D3199=0,0,SUMIF(매도완료!$J:$J,Sheet2!$B3199,매도완료!$S:$S))+IF(D3199=0,0,SUMIF(ING!$J:$J,Sheet2!$B3199,ING!$S:$S))</f>
        <v>0</v>
      </c>
      <c r="H3199" s="16">
        <f t="shared" si="99"/>
        <v>3743362.6313089412</v>
      </c>
    </row>
    <row r="3200" spans="2:8" hidden="1" x14ac:dyDescent="0.4">
      <c r="B3200" s="1">
        <v>45749</v>
      </c>
      <c r="C3200" s="16">
        <f>SUMIF(매도완료!$G:$G,Sheet2!$B3200,매도완료!$P:$P)+SUMIF(ING!$G:$G,Sheet2!$B3200,ING!$P:$P)</f>
        <v>27400</v>
      </c>
      <c r="D3200" s="16">
        <f>SUMIF(매도완료!$J:$J,Sheet2!$B3200,매도완료!$P:$P)+SUMIF(ING!$J:$J,Sheet2!$B3200,ING!$P:$P)</f>
        <v>0</v>
      </c>
      <c r="E3200" s="16">
        <f t="shared" si="98"/>
        <v>127418525.33239999</v>
      </c>
      <c r="G3200" s="16">
        <f>IF(D3200=0,0,SUMIF(매도완료!$J:$J,Sheet2!$B3200,매도완료!$S:$S))+IF(D3200=0,0,SUMIF(ING!$J:$J,Sheet2!$B3200,ING!$S:$S))</f>
        <v>0</v>
      </c>
      <c r="H3200" s="16">
        <f t="shared" si="99"/>
        <v>3743362.6313089412</v>
      </c>
    </row>
    <row r="3201" spans="2:8" hidden="1" x14ac:dyDescent="0.4">
      <c r="B3201" s="1">
        <v>45750</v>
      </c>
      <c r="C3201" s="16">
        <f>SUMIF(매도완료!$G:$G,Sheet2!$B3201,매도완료!$P:$P)+SUMIF(ING!$G:$G,Sheet2!$B3201,ING!$P:$P)</f>
        <v>684500</v>
      </c>
      <c r="D3201" s="16">
        <f>SUMIF(매도완료!$J:$J,Sheet2!$B3201,매도완료!$P:$P)+SUMIF(ING!$J:$J,Sheet2!$B3201,ING!$P:$P)</f>
        <v>0</v>
      </c>
      <c r="E3201" s="16">
        <f t="shared" si="98"/>
        <v>128103025.33239999</v>
      </c>
      <c r="G3201" s="16">
        <f>IF(D3201=0,0,SUMIF(매도완료!$J:$J,Sheet2!$B3201,매도완료!$S:$S))+IF(D3201=0,0,SUMIF(ING!$J:$J,Sheet2!$B3201,ING!$S:$S))</f>
        <v>0</v>
      </c>
      <c r="H3201" s="16">
        <f t="shared" si="99"/>
        <v>3743362.6313089412</v>
      </c>
    </row>
    <row r="3202" spans="2:8" hidden="1" x14ac:dyDescent="0.4">
      <c r="B3202" s="1">
        <v>45751</v>
      </c>
      <c r="C3202" s="16">
        <f>SUMIF(매도완료!$G:$G,Sheet2!$B3202,매도완료!$P:$P)+SUMIF(ING!$G:$G,Sheet2!$B3202,ING!$P:$P)</f>
        <v>841495</v>
      </c>
      <c r="D3202" s="16">
        <f>SUMIF(매도완료!$J:$J,Sheet2!$B3202,매도완료!$P:$P)+SUMIF(ING!$J:$J,Sheet2!$B3202,ING!$P:$P)</f>
        <v>0</v>
      </c>
      <c r="E3202" s="16">
        <f t="shared" si="98"/>
        <v>128944520.33239999</v>
      </c>
      <c r="G3202" s="16">
        <f>IF(D3202=0,0,SUMIF(매도완료!$J:$J,Sheet2!$B3202,매도완료!$S:$S))+IF(D3202=0,0,SUMIF(ING!$J:$J,Sheet2!$B3202,ING!$S:$S))</f>
        <v>0</v>
      </c>
      <c r="H3202" s="16">
        <f t="shared" si="99"/>
        <v>3743362.6313089412</v>
      </c>
    </row>
    <row r="3203" spans="2:8" hidden="1" x14ac:dyDescent="0.4">
      <c r="B3203" s="1">
        <v>45752</v>
      </c>
      <c r="C3203" s="16">
        <f>SUMIF(매도완료!$G:$G,Sheet2!$B3203,매도완료!$P:$P)+SUMIF(ING!$G:$G,Sheet2!$B3203,ING!$P:$P)</f>
        <v>0</v>
      </c>
      <c r="D3203" s="16">
        <f>SUMIF(매도완료!$J:$J,Sheet2!$B3203,매도완료!$P:$P)+SUMIF(ING!$J:$J,Sheet2!$B3203,ING!$P:$P)</f>
        <v>0</v>
      </c>
      <c r="E3203" s="16">
        <f t="shared" si="98"/>
        <v>128944520.33239999</v>
      </c>
      <c r="G3203" s="16">
        <f>IF(D3203=0,0,SUMIF(매도완료!$J:$J,Sheet2!$B3203,매도완료!$S:$S))+IF(D3203=0,0,SUMIF(ING!$J:$J,Sheet2!$B3203,ING!$S:$S))</f>
        <v>0</v>
      </c>
      <c r="H3203" s="16">
        <f t="shared" si="99"/>
        <v>3743362.6313089412</v>
      </c>
    </row>
    <row r="3204" spans="2:8" hidden="1" x14ac:dyDescent="0.4">
      <c r="B3204" s="1">
        <v>45753</v>
      </c>
      <c r="C3204" s="16">
        <f>SUMIF(매도완료!$G:$G,Sheet2!$B3204,매도완료!$P:$P)+SUMIF(ING!$G:$G,Sheet2!$B3204,ING!$P:$P)</f>
        <v>0</v>
      </c>
      <c r="D3204" s="16">
        <f>SUMIF(매도완료!$J:$J,Sheet2!$B3204,매도완료!$P:$P)+SUMIF(ING!$J:$J,Sheet2!$B3204,ING!$P:$P)</f>
        <v>0</v>
      </c>
      <c r="E3204" s="16">
        <f t="shared" ref="E3204:E3267" si="100">E3203+C3204-D3204</f>
        <v>128944520.33239999</v>
      </c>
      <c r="G3204" s="16">
        <f>IF(D3204=0,0,SUMIF(매도완료!$J:$J,Sheet2!$B3204,매도완료!$S:$S))+IF(D3204=0,0,SUMIF(ING!$J:$J,Sheet2!$B3204,ING!$S:$S))</f>
        <v>0</v>
      </c>
      <c r="H3204" s="16">
        <f t="shared" ref="H3204:H3267" si="101">H3203+G3204</f>
        <v>3743362.6313089412</v>
      </c>
    </row>
    <row r="3205" spans="2:8" hidden="1" x14ac:dyDescent="0.4">
      <c r="B3205" s="1">
        <v>45754</v>
      </c>
      <c r="C3205" s="16">
        <f>SUMIF(매도완료!$G:$G,Sheet2!$B3205,매도완료!$P:$P)+SUMIF(ING!$G:$G,Sheet2!$B3205,ING!$P:$P)</f>
        <v>9679543</v>
      </c>
      <c r="D3205" s="16">
        <f>SUMIF(매도완료!$J:$J,Sheet2!$B3205,매도완료!$P:$P)+SUMIF(ING!$J:$J,Sheet2!$B3205,ING!$P:$P)</f>
        <v>0</v>
      </c>
      <c r="E3205" s="16">
        <f t="shared" si="100"/>
        <v>138624063.33239999</v>
      </c>
      <c r="G3205" s="16">
        <f>IF(D3205=0,0,SUMIF(매도완료!$J:$J,Sheet2!$B3205,매도완료!$S:$S))+IF(D3205=0,0,SUMIF(ING!$J:$J,Sheet2!$B3205,ING!$S:$S))</f>
        <v>0</v>
      </c>
      <c r="H3205" s="16">
        <f t="shared" si="101"/>
        <v>3743362.6313089412</v>
      </c>
    </row>
    <row r="3206" spans="2:8" hidden="1" x14ac:dyDescent="0.4">
      <c r="B3206" s="1">
        <v>45755</v>
      </c>
      <c r="C3206" s="16">
        <f>SUMIF(매도완료!$G:$G,Sheet2!$B3206,매도완료!$P:$P)+SUMIF(ING!$G:$G,Sheet2!$B3206,ING!$P:$P)</f>
        <v>4606</v>
      </c>
      <c r="D3206" s="16">
        <f>SUMIF(매도완료!$J:$J,Sheet2!$B3206,매도완료!$P:$P)+SUMIF(ING!$J:$J,Sheet2!$B3206,ING!$P:$P)</f>
        <v>6380000</v>
      </c>
      <c r="E3206" s="16">
        <f t="shared" si="100"/>
        <v>132248669.33239999</v>
      </c>
      <c r="G3206" s="16">
        <f>IF(D3206=0,0,SUMIF(매도완료!$J:$J,Sheet2!$B3206,매도완료!$S:$S))+IF(D3206=0,0,SUMIF(ING!$J:$J,Sheet2!$B3206,ING!$S:$S))</f>
        <v>579065</v>
      </c>
      <c r="H3206" s="16">
        <f t="shared" si="101"/>
        <v>4322427.6313089412</v>
      </c>
    </row>
    <row r="3207" spans="2:8" hidden="1" x14ac:dyDescent="0.4">
      <c r="B3207" s="1">
        <v>45756</v>
      </c>
      <c r="C3207" s="16">
        <f>SUMIF(매도완료!$G:$G,Sheet2!$B3207,매도완료!$P:$P)+SUMIF(ING!$G:$G,Sheet2!$B3207,ING!$P:$P)</f>
        <v>707700</v>
      </c>
      <c r="D3207" s="16">
        <f>SUMIF(매도완료!$J:$J,Sheet2!$B3207,매도완료!$P:$P)+SUMIF(ING!$J:$J,Sheet2!$B3207,ING!$P:$P)</f>
        <v>0</v>
      </c>
      <c r="E3207" s="16">
        <f t="shared" si="100"/>
        <v>132956369.33239999</v>
      </c>
      <c r="G3207" s="16">
        <f>IF(D3207=0,0,SUMIF(매도완료!$J:$J,Sheet2!$B3207,매도완료!$S:$S))+IF(D3207=0,0,SUMIF(ING!$J:$J,Sheet2!$B3207,ING!$S:$S))</f>
        <v>0</v>
      </c>
      <c r="H3207" s="16">
        <f t="shared" si="101"/>
        <v>4322427.6313089412</v>
      </c>
    </row>
    <row r="3208" spans="2:8" hidden="1" x14ac:dyDescent="0.4">
      <c r="B3208" s="1">
        <v>45757</v>
      </c>
      <c r="C3208" s="16">
        <f>SUMIF(매도완료!$G:$G,Sheet2!$B3208,매도완료!$P:$P)+SUMIF(ING!$G:$G,Sheet2!$B3208,ING!$P:$P)</f>
        <v>1095335</v>
      </c>
      <c r="D3208" s="16">
        <f>SUMIF(매도완료!$J:$J,Sheet2!$B3208,매도완료!$P:$P)+SUMIF(ING!$J:$J,Sheet2!$B3208,ING!$P:$P)</f>
        <v>683000</v>
      </c>
      <c r="E3208" s="16">
        <f t="shared" si="100"/>
        <v>133368704.33239999</v>
      </c>
      <c r="G3208" s="16">
        <f>IF(D3208=0,0,SUMIF(매도완료!$J:$J,Sheet2!$B3208,매도완료!$S:$S))+IF(D3208=0,0,SUMIF(ING!$J:$J,Sheet2!$B3208,ING!$S:$S))</f>
        <v>40872.5</v>
      </c>
      <c r="H3208" s="16">
        <f t="shared" si="101"/>
        <v>4363300.1313089412</v>
      </c>
    </row>
    <row r="3209" spans="2:8" hidden="1" x14ac:dyDescent="0.4">
      <c r="B3209" s="1">
        <v>45758</v>
      </c>
      <c r="C3209" s="16">
        <f>SUMIF(매도완료!$G:$G,Sheet2!$B3209,매도완료!$P:$P)+SUMIF(ING!$G:$G,Sheet2!$B3209,ING!$P:$P)</f>
        <v>2735</v>
      </c>
      <c r="D3209" s="16">
        <f>SUMIF(매도완료!$J:$J,Sheet2!$B3209,매도완료!$P:$P)+SUMIF(ING!$J:$J,Sheet2!$B3209,ING!$P:$P)</f>
        <v>0</v>
      </c>
      <c r="E3209" s="16">
        <f t="shared" si="100"/>
        <v>133371439.33239999</v>
      </c>
      <c r="G3209" s="16">
        <f>IF(D3209=0,0,SUMIF(매도완료!$J:$J,Sheet2!$B3209,매도완료!$S:$S))+IF(D3209=0,0,SUMIF(ING!$J:$J,Sheet2!$B3209,ING!$S:$S))</f>
        <v>0</v>
      </c>
      <c r="H3209" s="16">
        <f t="shared" si="101"/>
        <v>4363300.1313089412</v>
      </c>
    </row>
    <row r="3210" spans="2:8" hidden="1" x14ac:dyDescent="0.4">
      <c r="B3210" s="1">
        <v>45759</v>
      </c>
      <c r="C3210" s="16">
        <f>SUMIF(매도완료!$G:$G,Sheet2!$B3210,매도완료!$P:$P)+SUMIF(ING!$G:$G,Sheet2!$B3210,ING!$P:$P)</f>
        <v>0</v>
      </c>
      <c r="D3210" s="16">
        <f>SUMIF(매도완료!$J:$J,Sheet2!$B3210,매도완료!$P:$P)+SUMIF(ING!$J:$J,Sheet2!$B3210,ING!$P:$P)</f>
        <v>0</v>
      </c>
      <c r="E3210" s="16">
        <f t="shared" si="100"/>
        <v>133371439.33239999</v>
      </c>
      <c r="G3210" s="16">
        <f>IF(D3210=0,0,SUMIF(매도완료!$J:$J,Sheet2!$B3210,매도완료!$S:$S))+IF(D3210=0,0,SUMIF(ING!$J:$J,Sheet2!$B3210,ING!$S:$S))</f>
        <v>0</v>
      </c>
      <c r="H3210" s="16">
        <f t="shared" si="101"/>
        <v>4363300.1313089412</v>
      </c>
    </row>
    <row r="3211" spans="2:8" hidden="1" x14ac:dyDescent="0.4">
      <c r="B3211" s="1">
        <v>45760</v>
      </c>
      <c r="C3211" s="16">
        <f>SUMIF(매도완료!$G:$G,Sheet2!$B3211,매도완료!$P:$P)+SUMIF(ING!$G:$G,Sheet2!$B3211,ING!$P:$P)</f>
        <v>0</v>
      </c>
      <c r="D3211" s="16">
        <f>SUMIF(매도완료!$J:$J,Sheet2!$B3211,매도완료!$P:$P)+SUMIF(ING!$J:$J,Sheet2!$B3211,ING!$P:$P)</f>
        <v>0</v>
      </c>
      <c r="E3211" s="16">
        <f t="shared" si="100"/>
        <v>133371439.33239999</v>
      </c>
      <c r="G3211" s="16">
        <f>IF(D3211=0,0,SUMIF(매도완료!$J:$J,Sheet2!$B3211,매도완료!$S:$S))+IF(D3211=0,0,SUMIF(ING!$J:$J,Sheet2!$B3211,ING!$S:$S))</f>
        <v>0</v>
      </c>
      <c r="H3211" s="16">
        <f t="shared" si="101"/>
        <v>4363300.1313089412</v>
      </c>
    </row>
    <row r="3212" spans="2:8" hidden="1" x14ac:dyDescent="0.4">
      <c r="B3212" s="1">
        <v>45761</v>
      </c>
      <c r="C3212" s="16">
        <f>SUMIF(매도완료!$G:$G,Sheet2!$B3212,매도완료!$P:$P)+SUMIF(ING!$G:$G,Sheet2!$B3212,ING!$P:$P)</f>
        <v>14250</v>
      </c>
      <c r="D3212" s="16">
        <f>SUMIF(매도완료!$J:$J,Sheet2!$B3212,매도완료!$P:$P)+SUMIF(ING!$J:$J,Sheet2!$B3212,ING!$P:$P)</f>
        <v>0</v>
      </c>
      <c r="E3212" s="16">
        <f t="shared" si="100"/>
        <v>133385689.33239999</v>
      </c>
      <c r="G3212" s="16">
        <f>IF(D3212=0,0,SUMIF(매도완료!$J:$J,Sheet2!$B3212,매도완료!$S:$S))+IF(D3212=0,0,SUMIF(ING!$J:$J,Sheet2!$B3212,ING!$S:$S))</f>
        <v>0</v>
      </c>
      <c r="H3212" s="16">
        <f t="shared" si="101"/>
        <v>4363300.1313089412</v>
      </c>
    </row>
    <row r="3213" spans="2:8" hidden="1" x14ac:dyDescent="0.4">
      <c r="B3213" s="1">
        <v>45762</v>
      </c>
      <c r="C3213" s="16">
        <f>SUMIF(매도완료!$G:$G,Sheet2!$B3213,매도완료!$P:$P)+SUMIF(ING!$G:$G,Sheet2!$B3213,ING!$P:$P)</f>
        <v>164927</v>
      </c>
      <c r="D3213" s="16">
        <f>SUMIF(매도완료!$J:$J,Sheet2!$B3213,매도완료!$P:$P)+SUMIF(ING!$J:$J,Sheet2!$B3213,ING!$P:$P)</f>
        <v>0</v>
      </c>
      <c r="E3213" s="16">
        <f t="shared" si="100"/>
        <v>133550616.33239999</v>
      </c>
      <c r="G3213" s="16">
        <f>IF(D3213=0,0,SUMIF(매도완료!$J:$J,Sheet2!$B3213,매도완료!$S:$S))+IF(D3213=0,0,SUMIF(ING!$J:$J,Sheet2!$B3213,ING!$S:$S))</f>
        <v>0</v>
      </c>
      <c r="H3213" s="16">
        <f t="shared" si="101"/>
        <v>4363300.1313089412</v>
      </c>
    </row>
    <row r="3214" spans="2:8" hidden="1" x14ac:dyDescent="0.4">
      <c r="B3214" s="1">
        <v>45763</v>
      </c>
      <c r="C3214" s="16">
        <f>SUMIF(매도완료!$G:$G,Sheet2!$B3214,매도완료!$P:$P)+SUMIF(ING!$G:$G,Sheet2!$B3214,ING!$P:$P)</f>
        <v>133500</v>
      </c>
      <c r="D3214" s="16">
        <f>SUMIF(매도완료!$J:$J,Sheet2!$B3214,매도완료!$P:$P)+SUMIF(ING!$J:$J,Sheet2!$B3214,ING!$P:$P)</f>
        <v>1632320</v>
      </c>
      <c r="E3214" s="16">
        <f t="shared" si="100"/>
        <v>132051796.33239999</v>
      </c>
      <c r="G3214" s="16">
        <f>IF(D3214=0,0,SUMIF(매도완료!$J:$J,Sheet2!$B3214,매도완료!$S:$S))+IF(D3214=0,0,SUMIF(ING!$J:$J,Sheet2!$B3214,ING!$S:$S))</f>
        <v>925736.99999999988</v>
      </c>
      <c r="H3214" s="16">
        <f t="shared" si="101"/>
        <v>5289037.1313089412</v>
      </c>
    </row>
    <row r="3215" spans="2:8" hidden="1" x14ac:dyDescent="0.4">
      <c r="B3215" s="1">
        <v>45764</v>
      </c>
      <c r="C3215" s="16">
        <f>SUMIF(매도완료!$G:$G,Sheet2!$B3215,매도완료!$P:$P)+SUMIF(ING!$G:$G,Sheet2!$B3215,ING!$P:$P)</f>
        <v>23650</v>
      </c>
      <c r="D3215" s="16">
        <f>SUMIF(매도완료!$J:$J,Sheet2!$B3215,매도완료!$P:$P)+SUMIF(ING!$J:$J,Sheet2!$B3215,ING!$P:$P)</f>
        <v>0</v>
      </c>
      <c r="E3215" s="16">
        <f t="shared" si="100"/>
        <v>132075446.33239999</v>
      </c>
      <c r="G3215" s="16">
        <f>IF(D3215=0,0,SUMIF(매도완료!$J:$J,Sheet2!$B3215,매도완료!$S:$S))+IF(D3215=0,0,SUMIF(ING!$J:$J,Sheet2!$B3215,ING!$S:$S))</f>
        <v>0</v>
      </c>
      <c r="H3215" s="16">
        <f t="shared" si="101"/>
        <v>5289037.1313089412</v>
      </c>
    </row>
    <row r="3216" spans="2:8" hidden="1" x14ac:dyDescent="0.4">
      <c r="B3216" s="1">
        <v>45765</v>
      </c>
      <c r="C3216" s="16">
        <f>SUMIF(매도완료!$G:$G,Sheet2!$B3216,매도완료!$P:$P)+SUMIF(ING!$G:$G,Sheet2!$B3216,ING!$P:$P)</f>
        <v>2985</v>
      </c>
      <c r="D3216" s="16">
        <f>SUMIF(매도완료!$J:$J,Sheet2!$B3216,매도완료!$P:$P)+SUMIF(ING!$J:$J,Sheet2!$B3216,ING!$P:$P)</f>
        <v>0</v>
      </c>
      <c r="E3216" s="16">
        <f t="shared" si="100"/>
        <v>132078431.33239999</v>
      </c>
      <c r="G3216" s="16">
        <f>IF(D3216=0,0,SUMIF(매도완료!$J:$J,Sheet2!$B3216,매도완료!$S:$S))+IF(D3216=0,0,SUMIF(ING!$J:$J,Sheet2!$B3216,ING!$S:$S))</f>
        <v>0</v>
      </c>
      <c r="H3216" s="16">
        <f t="shared" si="101"/>
        <v>5289037.1313089412</v>
      </c>
    </row>
    <row r="3217" spans="2:8" hidden="1" x14ac:dyDescent="0.4">
      <c r="B3217" s="1">
        <v>45766</v>
      </c>
      <c r="C3217" s="16">
        <f>SUMIF(매도완료!$G:$G,Sheet2!$B3217,매도완료!$P:$P)+SUMIF(ING!$G:$G,Sheet2!$B3217,ING!$P:$P)</f>
        <v>0</v>
      </c>
      <c r="D3217" s="16">
        <f>SUMIF(매도완료!$J:$J,Sheet2!$B3217,매도완료!$P:$P)+SUMIF(ING!$J:$J,Sheet2!$B3217,ING!$P:$P)</f>
        <v>0</v>
      </c>
      <c r="E3217" s="16">
        <f t="shared" si="100"/>
        <v>132078431.33239999</v>
      </c>
      <c r="G3217" s="16">
        <f>IF(D3217=0,0,SUMIF(매도완료!$J:$J,Sheet2!$B3217,매도완료!$S:$S))+IF(D3217=0,0,SUMIF(ING!$J:$J,Sheet2!$B3217,ING!$S:$S))</f>
        <v>0</v>
      </c>
      <c r="H3217" s="16">
        <f t="shared" si="101"/>
        <v>5289037.1313089412</v>
      </c>
    </row>
    <row r="3218" spans="2:8" hidden="1" x14ac:dyDescent="0.4">
      <c r="B3218" s="1">
        <v>45767</v>
      </c>
      <c r="C3218" s="16">
        <f>SUMIF(매도완료!$G:$G,Sheet2!$B3218,매도완료!$P:$P)+SUMIF(ING!$G:$G,Sheet2!$B3218,ING!$P:$P)</f>
        <v>0</v>
      </c>
      <c r="D3218" s="16">
        <f>SUMIF(매도완료!$J:$J,Sheet2!$B3218,매도완료!$P:$P)+SUMIF(ING!$J:$J,Sheet2!$B3218,ING!$P:$P)</f>
        <v>0</v>
      </c>
      <c r="E3218" s="16">
        <f t="shared" si="100"/>
        <v>132078431.33239999</v>
      </c>
      <c r="G3218" s="16">
        <f>IF(D3218=0,0,SUMIF(매도완료!$J:$J,Sheet2!$B3218,매도완료!$S:$S))+IF(D3218=0,0,SUMIF(ING!$J:$J,Sheet2!$B3218,ING!$S:$S))</f>
        <v>0</v>
      </c>
      <c r="H3218" s="16">
        <f t="shared" si="101"/>
        <v>5289037.1313089412</v>
      </c>
    </row>
    <row r="3219" spans="2:8" hidden="1" x14ac:dyDescent="0.4">
      <c r="B3219" s="1">
        <v>45768</v>
      </c>
      <c r="C3219" s="16">
        <f>SUMIF(매도완료!$G:$G,Sheet2!$B3219,매도완료!$P:$P)+SUMIF(ING!$G:$G,Sheet2!$B3219,ING!$P:$P)</f>
        <v>843830</v>
      </c>
      <c r="D3219" s="16">
        <f>SUMIF(매도완료!$J:$J,Sheet2!$B3219,매도완료!$P:$P)+SUMIF(ING!$J:$J,Sheet2!$B3219,ING!$P:$P)</f>
        <v>0</v>
      </c>
      <c r="E3219" s="16">
        <f t="shared" si="100"/>
        <v>132922261.33239999</v>
      </c>
      <c r="G3219" s="16">
        <f>IF(D3219=0,0,SUMIF(매도완료!$J:$J,Sheet2!$B3219,매도완료!$S:$S))+IF(D3219=0,0,SUMIF(ING!$J:$J,Sheet2!$B3219,ING!$S:$S))</f>
        <v>0</v>
      </c>
      <c r="H3219" s="16">
        <f t="shared" si="101"/>
        <v>5289037.1313089412</v>
      </c>
    </row>
    <row r="3220" spans="2:8" hidden="1" x14ac:dyDescent="0.4">
      <c r="B3220" s="1">
        <v>45769</v>
      </c>
      <c r="C3220" s="16">
        <f>SUMIF(매도완료!$G:$G,Sheet2!$B3220,매도완료!$P:$P)+SUMIF(ING!$G:$G,Sheet2!$B3220,ING!$P:$P)</f>
        <v>216961</v>
      </c>
      <c r="D3220" s="16">
        <f>SUMIF(매도완료!$J:$J,Sheet2!$B3220,매도완료!$P:$P)+SUMIF(ING!$J:$J,Sheet2!$B3220,ING!$P:$P)</f>
        <v>0</v>
      </c>
      <c r="E3220" s="16">
        <f t="shared" si="100"/>
        <v>133139222.33239999</v>
      </c>
      <c r="G3220" s="16">
        <f>IF(D3220=0,0,SUMIF(매도완료!$J:$J,Sheet2!$B3220,매도완료!$S:$S))+IF(D3220=0,0,SUMIF(ING!$J:$J,Sheet2!$B3220,ING!$S:$S))</f>
        <v>0</v>
      </c>
      <c r="H3220" s="16">
        <f t="shared" si="101"/>
        <v>5289037.1313089412</v>
      </c>
    </row>
    <row r="3221" spans="2:8" hidden="1" x14ac:dyDescent="0.4">
      <c r="B3221" s="1">
        <v>45770</v>
      </c>
      <c r="C3221" s="16">
        <f>SUMIF(매도완료!$G:$G,Sheet2!$B3221,매도완료!$P:$P)+SUMIF(ING!$G:$G,Sheet2!$B3221,ING!$P:$P)</f>
        <v>2580150</v>
      </c>
      <c r="D3221" s="16">
        <f>SUMIF(매도완료!$J:$J,Sheet2!$B3221,매도완료!$P:$P)+SUMIF(ING!$J:$J,Sheet2!$B3221,ING!$P:$P)</f>
        <v>0</v>
      </c>
      <c r="E3221" s="16">
        <f t="shared" si="100"/>
        <v>135719372.33239999</v>
      </c>
      <c r="G3221" s="16">
        <f>IF(D3221=0,0,SUMIF(매도완료!$J:$J,Sheet2!$B3221,매도완료!$S:$S))+IF(D3221=0,0,SUMIF(ING!$J:$J,Sheet2!$B3221,ING!$S:$S))</f>
        <v>0</v>
      </c>
      <c r="H3221" s="16">
        <f t="shared" si="101"/>
        <v>5289037.1313089412</v>
      </c>
    </row>
    <row r="3222" spans="2:8" hidden="1" x14ac:dyDescent="0.4">
      <c r="B3222" s="1">
        <v>45771</v>
      </c>
      <c r="C3222" s="16">
        <f>SUMIF(매도완료!$G:$G,Sheet2!$B3222,매도완료!$P:$P)+SUMIF(ING!$G:$G,Sheet2!$B3222,ING!$P:$P)</f>
        <v>1385250</v>
      </c>
      <c r="D3222" s="16">
        <f>SUMIF(매도완료!$J:$J,Sheet2!$B3222,매도완료!$P:$P)+SUMIF(ING!$J:$J,Sheet2!$B3222,ING!$P:$P)</f>
        <v>0</v>
      </c>
      <c r="E3222" s="16">
        <f t="shared" si="100"/>
        <v>137104622.33239999</v>
      </c>
      <c r="G3222" s="16">
        <f>IF(D3222=0,0,SUMIF(매도완료!$J:$J,Sheet2!$B3222,매도완료!$S:$S))+IF(D3222=0,0,SUMIF(ING!$J:$J,Sheet2!$B3222,ING!$S:$S))</f>
        <v>0</v>
      </c>
      <c r="H3222" s="16">
        <f t="shared" si="101"/>
        <v>5289037.1313089412</v>
      </c>
    </row>
    <row r="3223" spans="2:8" hidden="1" x14ac:dyDescent="0.4">
      <c r="B3223" s="1">
        <v>45772</v>
      </c>
      <c r="C3223" s="16">
        <f>SUMIF(매도완료!$G:$G,Sheet2!$B3223,매도완료!$P:$P)+SUMIF(ING!$G:$G,Sheet2!$B3223,ING!$P:$P)</f>
        <v>3020</v>
      </c>
      <c r="D3223" s="16">
        <f>SUMIF(매도완료!$J:$J,Sheet2!$B3223,매도완료!$P:$P)+SUMIF(ING!$J:$J,Sheet2!$B3223,ING!$P:$P)</f>
        <v>0</v>
      </c>
      <c r="E3223" s="16">
        <f t="shared" si="100"/>
        <v>137107642.33239999</v>
      </c>
      <c r="G3223" s="16">
        <f>IF(D3223=0,0,SUMIF(매도완료!$J:$J,Sheet2!$B3223,매도완료!$S:$S))+IF(D3223=0,0,SUMIF(ING!$J:$J,Sheet2!$B3223,ING!$S:$S))</f>
        <v>0</v>
      </c>
      <c r="H3223" s="16">
        <f t="shared" si="101"/>
        <v>5289037.1313089412</v>
      </c>
    </row>
    <row r="3224" spans="2:8" hidden="1" x14ac:dyDescent="0.4">
      <c r="B3224" s="1">
        <v>45773</v>
      </c>
      <c r="C3224" s="16">
        <f>SUMIF(매도완료!$G:$G,Sheet2!$B3224,매도완료!$P:$P)+SUMIF(ING!$G:$G,Sheet2!$B3224,ING!$P:$P)</f>
        <v>0</v>
      </c>
      <c r="D3224" s="16">
        <f>SUMIF(매도완료!$J:$J,Sheet2!$B3224,매도완료!$P:$P)+SUMIF(ING!$J:$J,Sheet2!$B3224,ING!$P:$P)</f>
        <v>0</v>
      </c>
      <c r="E3224" s="16">
        <f t="shared" si="100"/>
        <v>137107642.33239999</v>
      </c>
      <c r="G3224" s="16">
        <f>IF(D3224=0,0,SUMIF(매도완료!$J:$J,Sheet2!$B3224,매도완료!$S:$S))+IF(D3224=0,0,SUMIF(ING!$J:$J,Sheet2!$B3224,ING!$S:$S))</f>
        <v>0</v>
      </c>
      <c r="H3224" s="16">
        <f t="shared" si="101"/>
        <v>5289037.1313089412</v>
      </c>
    </row>
    <row r="3225" spans="2:8" hidden="1" x14ac:dyDescent="0.4">
      <c r="B3225" s="1">
        <v>45774</v>
      </c>
      <c r="C3225" s="16">
        <f>SUMIF(매도완료!$G:$G,Sheet2!$B3225,매도완료!$P:$P)+SUMIF(ING!$G:$G,Sheet2!$B3225,ING!$P:$P)</f>
        <v>0</v>
      </c>
      <c r="D3225" s="16">
        <f>SUMIF(매도완료!$J:$J,Sheet2!$B3225,매도완료!$P:$P)+SUMIF(ING!$J:$J,Sheet2!$B3225,ING!$P:$P)</f>
        <v>0</v>
      </c>
      <c r="E3225" s="16">
        <f t="shared" si="100"/>
        <v>137107642.33239999</v>
      </c>
      <c r="G3225" s="16">
        <f>IF(D3225=0,0,SUMIF(매도완료!$J:$J,Sheet2!$B3225,매도완료!$S:$S))+IF(D3225=0,0,SUMIF(ING!$J:$J,Sheet2!$B3225,ING!$S:$S))</f>
        <v>0</v>
      </c>
      <c r="H3225" s="16">
        <f t="shared" si="101"/>
        <v>5289037.1313089412</v>
      </c>
    </row>
    <row r="3226" spans="2:8" hidden="1" x14ac:dyDescent="0.4">
      <c r="B3226" s="1">
        <v>45775</v>
      </c>
      <c r="C3226" s="16">
        <f>SUMIF(매도완료!$G:$G,Sheet2!$B3226,매도완료!$P:$P)+SUMIF(ING!$G:$G,Sheet2!$B3226,ING!$P:$P)</f>
        <v>234130</v>
      </c>
      <c r="D3226" s="16">
        <f>SUMIF(매도완료!$J:$J,Sheet2!$B3226,매도완료!$P:$P)+SUMIF(ING!$J:$J,Sheet2!$B3226,ING!$P:$P)</f>
        <v>0</v>
      </c>
      <c r="E3226" s="16">
        <f t="shared" si="100"/>
        <v>137341772.33239999</v>
      </c>
      <c r="G3226" s="16">
        <f>IF(D3226=0,0,SUMIF(매도완료!$J:$J,Sheet2!$B3226,매도완료!$S:$S))+IF(D3226=0,0,SUMIF(ING!$J:$J,Sheet2!$B3226,ING!$S:$S))</f>
        <v>0</v>
      </c>
      <c r="H3226" s="16">
        <f t="shared" si="101"/>
        <v>5289037.1313089412</v>
      </c>
    </row>
    <row r="3227" spans="2:8" hidden="1" x14ac:dyDescent="0.4">
      <c r="B3227" s="1">
        <v>45776</v>
      </c>
      <c r="C3227" s="16">
        <f>SUMIF(매도완료!$G:$G,Sheet2!$B3227,매도완료!$P:$P)+SUMIF(ING!$G:$G,Sheet2!$B3227,ING!$P:$P)</f>
        <v>1173847</v>
      </c>
      <c r="D3227" s="16">
        <f>SUMIF(매도완료!$J:$J,Sheet2!$B3227,매도완료!$P:$P)+SUMIF(ING!$J:$J,Sheet2!$B3227,ING!$P:$P)</f>
        <v>0</v>
      </c>
      <c r="E3227" s="16">
        <f t="shared" si="100"/>
        <v>138515619.33239999</v>
      </c>
      <c r="G3227" s="16">
        <f>IF(D3227=0,0,SUMIF(매도완료!$J:$J,Sheet2!$B3227,매도완료!$S:$S))+IF(D3227=0,0,SUMIF(ING!$J:$J,Sheet2!$B3227,ING!$S:$S))</f>
        <v>0</v>
      </c>
      <c r="H3227" s="16">
        <f t="shared" si="101"/>
        <v>5289037.1313089412</v>
      </c>
    </row>
    <row r="3228" spans="2:8" hidden="1" x14ac:dyDescent="0.4">
      <c r="B3228" s="1">
        <v>45777</v>
      </c>
      <c r="C3228" s="16">
        <f>SUMIF(매도완료!$G:$G,Sheet2!$B3228,매도완료!$P:$P)+SUMIF(ING!$G:$G,Sheet2!$B3228,ING!$P:$P)</f>
        <v>817900</v>
      </c>
      <c r="D3228" s="16">
        <f>SUMIF(매도완료!$J:$J,Sheet2!$B3228,매도완료!$P:$P)+SUMIF(ING!$J:$J,Sheet2!$B3228,ING!$P:$P)</f>
        <v>1003779</v>
      </c>
      <c r="E3228" s="16">
        <f t="shared" si="100"/>
        <v>138329740.33239999</v>
      </c>
      <c r="G3228" s="16">
        <f>IF(D3228=0,0,SUMIF(매도완료!$J:$J,Sheet2!$B3228,매도완료!$S:$S))+IF(D3228=0,0,SUMIF(ING!$J:$J,Sheet2!$B3228,ING!$S:$S))</f>
        <v>11425</v>
      </c>
      <c r="H3228" s="16">
        <f t="shared" si="101"/>
        <v>5300462.1313089412</v>
      </c>
    </row>
    <row r="3229" spans="2:8" x14ac:dyDescent="0.4">
      <c r="B3229" s="1">
        <v>45778</v>
      </c>
      <c r="C3229" s="16">
        <f>SUMIF(매도완료!$G:$G,Sheet2!$B3229,매도완료!$P:$P)+SUMIF(ING!$G:$G,Sheet2!$B3229,ING!$P:$P)</f>
        <v>0</v>
      </c>
      <c r="D3229" s="16">
        <f>SUMIF(매도완료!$J:$J,Sheet2!$B3229,매도완료!$P:$P)+SUMIF(ING!$J:$J,Sheet2!$B3229,ING!$P:$P)</f>
        <v>0</v>
      </c>
      <c r="E3229" s="16">
        <f t="shared" si="100"/>
        <v>138329740.33239999</v>
      </c>
      <c r="G3229" s="16">
        <f>IF(D3229=0,0,SUMIF(매도완료!$J:$J,Sheet2!$B3229,매도완료!$S:$S))+IF(D3229=0,0,SUMIF(ING!$J:$J,Sheet2!$B3229,ING!$S:$S))</f>
        <v>0</v>
      </c>
      <c r="H3229" s="16">
        <f t="shared" si="101"/>
        <v>5300462.1313089412</v>
      </c>
    </row>
    <row r="3230" spans="2:8" hidden="1" x14ac:dyDescent="0.4">
      <c r="B3230" s="1">
        <v>45779</v>
      </c>
      <c r="C3230" s="16">
        <f>SUMIF(매도완료!$G:$G,Sheet2!$B3230,매도완료!$P:$P)+SUMIF(ING!$G:$G,Sheet2!$B3230,ING!$P:$P)</f>
        <v>402920</v>
      </c>
      <c r="D3230" s="16">
        <f>SUMIF(매도완료!$J:$J,Sheet2!$B3230,매도완료!$P:$P)+SUMIF(ING!$J:$J,Sheet2!$B3230,ING!$P:$P)</f>
        <v>0</v>
      </c>
      <c r="E3230" s="16">
        <f t="shared" si="100"/>
        <v>138732660.33239999</v>
      </c>
      <c r="G3230" s="16">
        <f>IF(D3230=0,0,SUMIF(매도완료!$J:$J,Sheet2!$B3230,매도완료!$S:$S))+IF(D3230=0,0,SUMIF(ING!$J:$J,Sheet2!$B3230,ING!$S:$S))</f>
        <v>0</v>
      </c>
      <c r="H3230" s="16">
        <f t="shared" si="101"/>
        <v>5300462.1313089412</v>
      </c>
    </row>
    <row r="3231" spans="2:8" hidden="1" x14ac:dyDescent="0.4">
      <c r="B3231" s="1">
        <v>45780</v>
      </c>
      <c r="C3231" s="16">
        <f>SUMIF(매도완료!$G:$G,Sheet2!$B3231,매도완료!$P:$P)+SUMIF(ING!$G:$G,Sheet2!$B3231,ING!$P:$P)</f>
        <v>0</v>
      </c>
      <c r="D3231" s="16">
        <f>SUMIF(매도완료!$J:$J,Sheet2!$B3231,매도완료!$P:$P)+SUMIF(ING!$J:$J,Sheet2!$B3231,ING!$P:$P)</f>
        <v>0</v>
      </c>
      <c r="E3231" s="16">
        <f t="shared" si="100"/>
        <v>138732660.33239999</v>
      </c>
      <c r="G3231" s="16">
        <f>IF(D3231=0,0,SUMIF(매도완료!$J:$J,Sheet2!$B3231,매도완료!$S:$S))+IF(D3231=0,0,SUMIF(ING!$J:$J,Sheet2!$B3231,ING!$S:$S))</f>
        <v>0</v>
      </c>
      <c r="H3231" s="16">
        <f t="shared" si="101"/>
        <v>5300462.1313089412</v>
      </c>
    </row>
    <row r="3232" spans="2:8" hidden="1" x14ac:dyDescent="0.4">
      <c r="B3232" s="1">
        <v>45781</v>
      </c>
      <c r="C3232" s="16">
        <f>SUMIF(매도완료!$G:$G,Sheet2!$B3232,매도완료!$P:$P)+SUMIF(ING!$G:$G,Sheet2!$B3232,ING!$P:$P)</f>
        <v>0</v>
      </c>
      <c r="D3232" s="16">
        <f>SUMIF(매도완료!$J:$J,Sheet2!$B3232,매도완료!$P:$P)+SUMIF(ING!$J:$J,Sheet2!$B3232,ING!$P:$P)</f>
        <v>0</v>
      </c>
      <c r="E3232" s="16">
        <f t="shared" si="100"/>
        <v>138732660.33239999</v>
      </c>
      <c r="G3232" s="16">
        <f>IF(D3232=0,0,SUMIF(매도완료!$J:$J,Sheet2!$B3232,매도완료!$S:$S))+IF(D3232=0,0,SUMIF(ING!$J:$J,Sheet2!$B3232,ING!$S:$S))</f>
        <v>0</v>
      </c>
      <c r="H3232" s="16">
        <f t="shared" si="101"/>
        <v>5300462.1313089412</v>
      </c>
    </row>
    <row r="3233" spans="2:8" hidden="1" x14ac:dyDescent="0.4">
      <c r="B3233" s="1">
        <v>45782</v>
      </c>
      <c r="C3233" s="16">
        <f>SUMIF(매도완료!$G:$G,Sheet2!$B3233,매도완료!$P:$P)+SUMIF(ING!$G:$G,Sheet2!$B3233,ING!$P:$P)</f>
        <v>0</v>
      </c>
      <c r="D3233" s="16">
        <f>SUMIF(매도완료!$J:$J,Sheet2!$B3233,매도완료!$P:$P)+SUMIF(ING!$J:$J,Sheet2!$B3233,ING!$P:$P)</f>
        <v>0</v>
      </c>
      <c r="E3233" s="16">
        <f t="shared" si="100"/>
        <v>138732660.33239999</v>
      </c>
      <c r="G3233" s="16">
        <f>IF(D3233=0,0,SUMIF(매도완료!$J:$J,Sheet2!$B3233,매도완료!$S:$S))+IF(D3233=0,0,SUMIF(ING!$J:$J,Sheet2!$B3233,ING!$S:$S))</f>
        <v>0</v>
      </c>
      <c r="H3233" s="16">
        <f t="shared" si="101"/>
        <v>5300462.1313089412</v>
      </c>
    </row>
    <row r="3234" spans="2:8" hidden="1" x14ac:dyDescent="0.4">
      <c r="B3234" s="1">
        <v>45783</v>
      </c>
      <c r="C3234" s="16">
        <f>SUMIF(매도완료!$G:$G,Sheet2!$B3234,매도완료!$P:$P)+SUMIF(ING!$G:$G,Sheet2!$B3234,ING!$P:$P)</f>
        <v>0</v>
      </c>
      <c r="D3234" s="16">
        <f>SUMIF(매도완료!$J:$J,Sheet2!$B3234,매도완료!$P:$P)+SUMIF(ING!$J:$J,Sheet2!$B3234,ING!$P:$P)</f>
        <v>0</v>
      </c>
      <c r="E3234" s="16">
        <f t="shared" si="100"/>
        <v>138732660.33239999</v>
      </c>
      <c r="G3234" s="16">
        <f>IF(D3234=0,0,SUMIF(매도완료!$J:$J,Sheet2!$B3234,매도완료!$S:$S))+IF(D3234=0,0,SUMIF(ING!$J:$J,Sheet2!$B3234,ING!$S:$S))</f>
        <v>0</v>
      </c>
      <c r="H3234" s="16">
        <f t="shared" si="101"/>
        <v>5300462.1313089412</v>
      </c>
    </row>
    <row r="3235" spans="2:8" hidden="1" x14ac:dyDescent="0.4">
      <c r="B3235" s="1">
        <v>45784</v>
      </c>
      <c r="C3235" s="16">
        <f>SUMIF(매도완료!$G:$G,Sheet2!$B3235,매도완료!$P:$P)+SUMIF(ING!$G:$G,Sheet2!$B3235,ING!$P:$P)</f>
        <v>50758</v>
      </c>
      <c r="D3235" s="16">
        <f>SUMIF(매도완료!$J:$J,Sheet2!$B3235,매도완료!$P:$P)+SUMIF(ING!$J:$J,Sheet2!$B3235,ING!$P:$P)</f>
        <v>0</v>
      </c>
      <c r="E3235" s="16">
        <f t="shared" si="100"/>
        <v>138783418.33239999</v>
      </c>
      <c r="G3235" s="16">
        <f>IF(D3235=0,0,SUMIF(매도완료!$J:$J,Sheet2!$B3235,매도완료!$S:$S))+IF(D3235=0,0,SUMIF(ING!$J:$J,Sheet2!$B3235,ING!$S:$S))</f>
        <v>0</v>
      </c>
      <c r="H3235" s="16">
        <f t="shared" si="101"/>
        <v>5300462.1313089412</v>
      </c>
    </row>
    <row r="3236" spans="2:8" hidden="1" x14ac:dyDescent="0.4">
      <c r="B3236" s="1">
        <v>45785</v>
      </c>
      <c r="C3236" s="16">
        <f>SUMIF(매도완료!$G:$G,Sheet2!$B3236,매도완료!$P:$P)+SUMIF(ING!$G:$G,Sheet2!$B3236,ING!$P:$P)</f>
        <v>721550</v>
      </c>
      <c r="D3236" s="16">
        <f>SUMIF(매도완료!$J:$J,Sheet2!$B3236,매도완료!$P:$P)+SUMIF(ING!$J:$J,Sheet2!$B3236,ING!$P:$P)</f>
        <v>624100</v>
      </c>
      <c r="E3236" s="16">
        <f t="shared" si="100"/>
        <v>138880868.33239999</v>
      </c>
      <c r="G3236" s="16">
        <f>IF(D3236=0,0,SUMIF(매도완료!$J:$J,Sheet2!$B3236,매도완료!$S:$S))+IF(D3236=0,0,SUMIF(ING!$J:$J,Sheet2!$B3236,ING!$S:$S))</f>
        <v>71834.5</v>
      </c>
      <c r="H3236" s="16">
        <f t="shared" si="101"/>
        <v>5372296.6313089412</v>
      </c>
    </row>
    <row r="3237" spans="2:8" hidden="1" x14ac:dyDescent="0.4">
      <c r="B3237" s="1">
        <v>45786</v>
      </c>
      <c r="C3237" s="16">
        <f>SUMIF(매도완료!$G:$G,Sheet2!$B3237,매도완료!$P:$P)+SUMIF(ING!$G:$G,Sheet2!$B3237,ING!$P:$P)</f>
        <v>508780</v>
      </c>
      <c r="D3237" s="16">
        <f>SUMIF(매도완료!$J:$J,Sheet2!$B3237,매도완료!$P:$P)+SUMIF(ING!$J:$J,Sheet2!$B3237,ING!$P:$P)</f>
        <v>0</v>
      </c>
      <c r="E3237" s="16">
        <f t="shared" si="100"/>
        <v>139389648.33239999</v>
      </c>
      <c r="G3237" s="16">
        <f>IF(D3237=0,0,SUMIF(매도완료!$J:$J,Sheet2!$B3237,매도완료!$S:$S))+IF(D3237=0,0,SUMIF(ING!$J:$J,Sheet2!$B3237,ING!$S:$S))</f>
        <v>0</v>
      </c>
      <c r="H3237" s="16">
        <f t="shared" si="101"/>
        <v>5372296.6313089412</v>
      </c>
    </row>
    <row r="3238" spans="2:8" hidden="1" x14ac:dyDescent="0.4">
      <c r="B3238" s="1">
        <v>45787</v>
      </c>
      <c r="C3238" s="16">
        <f>SUMIF(매도완료!$G:$G,Sheet2!$B3238,매도완료!$P:$P)+SUMIF(ING!$G:$G,Sheet2!$B3238,ING!$P:$P)</f>
        <v>0</v>
      </c>
      <c r="D3238" s="16">
        <f>SUMIF(매도완료!$J:$J,Sheet2!$B3238,매도완료!$P:$P)+SUMIF(ING!$J:$J,Sheet2!$B3238,ING!$P:$P)</f>
        <v>0</v>
      </c>
      <c r="E3238" s="16">
        <f t="shared" si="100"/>
        <v>139389648.33239999</v>
      </c>
      <c r="G3238" s="16">
        <f>IF(D3238=0,0,SUMIF(매도완료!$J:$J,Sheet2!$B3238,매도완료!$S:$S))+IF(D3238=0,0,SUMIF(ING!$J:$J,Sheet2!$B3238,ING!$S:$S))</f>
        <v>0</v>
      </c>
      <c r="H3238" s="16">
        <f t="shared" si="101"/>
        <v>5372296.6313089412</v>
      </c>
    </row>
    <row r="3239" spans="2:8" hidden="1" x14ac:dyDescent="0.4">
      <c r="B3239" s="1">
        <v>45788</v>
      </c>
      <c r="C3239" s="16">
        <f>SUMIF(매도완료!$G:$G,Sheet2!$B3239,매도완료!$P:$P)+SUMIF(ING!$G:$G,Sheet2!$B3239,ING!$P:$P)</f>
        <v>0</v>
      </c>
      <c r="D3239" s="16">
        <f>SUMIF(매도완료!$J:$J,Sheet2!$B3239,매도완료!$P:$P)+SUMIF(ING!$J:$J,Sheet2!$B3239,ING!$P:$P)</f>
        <v>0</v>
      </c>
      <c r="E3239" s="16">
        <f t="shared" si="100"/>
        <v>139389648.33239999</v>
      </c>
      <c r="G3239" s="16">
        <f>IF(D3239=0,0,SUMIF(매도완료!$J:$J,Sheet2!$B3239,매도완료!$S:$S))+IF(D3239=0,0,SUMIF(ING!$J:$J,Sheet2!$B3239,ING!$S:$S))</f>
        <v>0</v>
      </c>
      <c r="H3239" s="16">
        <f t="shared" si="101"/>
        <v>5372296.6313089412</v>
      </c>
    </row>
    <row r="3240" spans="2:8" hidden="1" x14ac:dyDescent="0.4">
      <c r="B3240" s="1">
        <v>45789</v>
      </c>
      <c r="C3240" s="16">
        <f>SUMIF(매도완료!$G:$G,Sheet2!$B3240,매도완료!$P:$P)+SUMIF(ING!$G:$G,Sheet2!$B3240,ING!$P:$P)</f>
        <v>2146635</v>
      </c>
      <c r="D3240" s="16">
        <f>SUMIF(매도완료!$J:$J,Sheet2!$B3240,매도완료!$P:$P)+SUMIF(ING!$J:$J,Sheet2!$B3240,ING!$P:$P)</f>
        <v>3445825</v>
      </c>
      <c r="E3240" s="16">
        <f t="shared" si="100"/>
        <v>138090458.33239999</v>
      </c>
      <c r="G3240" s="16">
        <f>IF(D3240=0,0,SUMIF(매도완료!$J:$J,Sheet2!$B3240,매도완료!$S:$S))+IF(D3240=0,0,SUMIF(ING!$J:$J,Sheet2!$B3240,ING!$S:$S))</f>
        <v>777581.40500000073</v>
      </c>
      <c r="H3240" s="16">
        <f t="shared" si="101"/>
        <v>6149878.0363089424</v>
      </c>
    </row>
    <row r="3241" spans="2:8" hidden="1" x14ac:dyDescent="0.4">
      <c r="B3241" s="1">
        <v>45790</v>
      </c>
      <c r="C3241" s="16">
        <f>SUMIF(매도완료!$G:$G,Sheet2!$B3241,매도완료!$P:$P)+SUMIF(ING!$G:$G,Sheet2!$B3241,ING!$P:$P)</f>
        <v>1320415</v>
      </c>
      <c r="D3241" s="16">
        <f>SUMIF(매도완료!$J:$J,Sheet2!$B3241,매도완료!$P:$P)+SUMIF(ING!$J:$J,Sheet2!$B3241,ING!$P:$P)</f>
        <v>0</v>
      </c>
      <c r="E3241" s="16">
        <f t="shared" si="100"/>
        <v>139410873.33239999</v>
      </c>
      <c r="G3241" s="16">
        <f>IF(D3241=0,0,SUMIF(매도완료!$J:$J,Sheet2!$B3241,매도완료!$S:$S))+IF(D3241=0,0,SUMIF(ING!$J:$J,Sheet2!$B3241,ING!$S:$S))</f>
        <v>0</v>
      </c>
      <c r="H3241" s="16">
        <f t="shared" si="101"/>
        <v>6149878.0363089424</v>
      </c>
    </row>
    <row r="3242" spans="2:8" hidden="1" x14ac:dyDescent="0.4">
      <c r="B3242" s="1">
        <v>45791</v>
      </c>
      <c r="C3242" s="16">
        <f>SUMIF(매도완료!$G:$G,Sheet2!$B3242,매도완료!$P:$P)+SUMIF(ING!$G:$G,Sheet2!$B3242,ING!$P:$P)</f>
        <v>31350</v>
      </c>
      <c r="D3242" s="16">
        <f>SUMIF(매도완료!$J:$J,Sheet2!$B3242,매도완료!$P:$P)+SUMIF(ING!$J:$J,Sheet2!$B3242,ING!$P:$P)</f>
        <v>3668950</v>
      </c>
      <c r="E3242" s="16">
        <f t="shared" si="100"/>
        <v>135773273.33239999</v>
      </c>
      <c r="G3242" s="16">
        <f>IF(D3242=0,0,SUMIF(매도완료!$J:$J,Sheet2!$B3242,매도완료!$S:$S))+IF(D3242=0,0,SUMIF(ING!$J:$J,Sheet2!$B3242,ING!$S:$S))</f>
        <v>1373096.9</v>
      </c>
      <c r="H3242" s="16">
        <f t="shared" si="101"/>
        <v>7522974.9363089427</v>
      </c>
    </row>
    <row r="3243" spans="2:8" hidden="1" x14ac:dyDescent="0.4">
      <c r="B3243" s="1">
        <v>45792</v>
      </c>
      <c r="C3243" s="16">
        <f>SUMIF(매도완료!$G:$G,Sheet2!$B3243,매도완료!$P:$P)+SUMIF(ING!$G:$G,Sheet2!$B3243,ING!$P:$P)</f>
        <v>439550</v>
      </c>
      <c r="D3243" s="16">
        <f>SUMIF(매도완료!$J:$J,Sheet2!$B3243,매도완료!$P:$P)+SUMIF(ING!$J:$J,Sheet2!$B3243,ING!$P:$P)</f>
        <v>0</v>
      </c>
      <c r="E3243" s="16">
        <f t="shared" si="100"/>
        <v>136212823.33239999</v>
      </c>
      <c r="G3243" s="16">
        <f>IF(D3243=0,0,SUMIF(매도완료!$J:$J,Sheet2!$B3243,매도완료!$S:$S))+IF(D3243=0,0,SUMIF(ING!$J:$J,Sheet2!$B3243,ING!$S:$S))</f>
        <v>0</v>
      </c>
      <c r="H3243" s="16">
        <f t="shared" si="101"/>
        <v>7522974.9363089427</v>
      </c>
    </row>
    <row r="3244" spans="2:8" hidden="1" x14ac:dyDescent="0.4">
      <c r="B3244" s="1">
        <v>45793</v>
      </c>
      <c r="C3244" s="16">
        <f>SUMIF(매도완료!$G:$G,Sheet2!$B3244,매도완료!$P:$P)+SUMIF(ING!$G:$G,Sheet2!$B3244,ING!$P:$P)</f>
        <v>3145</v>
      </c>
      <c r="D3244" s="16">
        <f>SUMIF(매도완료!$J:$J,Sheet2!$B3244,매도완료!$P:$P)+SUMIF(ING!$J:$J,Sheet2!$B3244,ING!$P:$P)</f>
        <v>0</v>
      </c>
      <c r="E3244" s="16">
        <f t="shared" si="100"/>
        <v>136215968.33239999</v>
      </c>
      <c r="G3244" s="16">
        <f>IF(D3244=0,0,SUMIF(매도완료!$J:$J,Sheet2!$B3244,매도완료!$S:$S))+IF(D3244=0,0,SUMIF(ING!$J:$J,Sheet2!$B3244,ING!$S:$S))</f>
        <v>0</v>
      </c>
      <c r="H3244" s="16">
        <f t="shared" si="101"/>
        <v>7522974.9363089427</v>
      </c>
    </row>
    <row r="3245" spans="2:8" hidden="1" x14ac:dyDescent="0.4">
      <c r="B3245" s="1">
        <v>45794</v>
      </c>
      <c r="C3245" s="16">
        <f>SUMIF(매도완료!$G:$G,Sheet2!$B3245,매도완료!$P:$P)+SUMIF(ING!$G:$G,Sheet2!$B3245,ING!$P:$P)</f>
        <v>0</v>
      </c>
      <c r="D3245" s="16">
        <f>SUMIF(매도완료!$J:$J,Sheet2!$B3245,매도완료!$P:$P)+SUMIF(ING!$J:$J,Sheet2!$B3245,ING!$P:$P)</f>
        <v>0</v>
      </c>
      <c r="E3245" s="16">
        <f t="shared" si="100"/>
        <v>136215968.33239999</v>
      </c>
      <c r="G3245" s="16">
        <f>IF(D3245=0,0,SUMIF(매도완료!$J:$J,Sheet2!$B3245,매도완료!$S:$S))+IF(D3245=0,0,SUMIF(ING!$J:$J,Sheet2!$B3245,ING!$S:$S))</f>
        <v>0</v>
      </c>
      <c r="H3245" s="16">
        <f t="shared" si="101"/>
        <v>7522974.9363089427</v>
      </c>
    </row>
    <row r="3246" spans="2:8" hidden="1" x14ac:dyDescent="0.4">
      <c r="B3246" s="1">
        <v>45795</v>
      </c>
      <c r="C3246" s="16">
        <f>SUMIF(매도완료!$G:$G,Sheet2!$B3246,매도완료!$P:$P)+SUMIF(ING!$G:$G,Sheet2!$B3246,ING!$P:$P)</f>
        <v>0</v>
      </c>
      <c r="D3246" s="16">
        <f>SUMIF(매도완료!$J:$J,Sheet2!$B3246,매도완료!$P:$P)+SUMIF(ING!$J:$J,Sheet2!$B3246,ING!$P:$P)</f>
        <v>0</v>
      </c>
      <c r="E3246" s="16">
        <f t="shared" si="100"/>
        <v>136215968.33239999</v>
      </c>
      <c r="G3246" s="16">
        <f>IF(D3246=0,0,SUMIF(매도완료!$J:$J,Sheet2!$B3246,매도완료!$S:$S))+IF(D3246=0,0,SUMIF(ING!$J:$J,Sheet2!$B3246,ING!$S:$S))</f>
        <v>0</v>
      </c>
      <c r="H3246" s="16">
        <f t="shared" si="101"/>
        <v>7522974.9363089427</v>
      </c>
    </row>
    <row r="3247" spans="2:8" hidden="1" x14ac:dyDescent="0.4">
      <c r="B3247" s="1">
        <v>45796</v>
      </c>
      <c r="C3247" s="16">
        <f>SUMIF(매도완료!$G:$G,Sheet2!$B3247,매도완료!$P:$P)+SUMIF(ING!$G:$G,Sheet2!$B3247,ING!$P:$P)</f>
        <v>285915</v>
      </c>
      <c r="D3247" s="16">
        <f>SUMIF(매도완료!$J:$J,Sheet2!$B3247,매도완료!$P:$P)+SUMIF(ING!$J:$J,Sheet2!$B3247,ING!$P:$P)</f>
        <v>6769400</v>
      </c>
      <c r="E3247" s="16">
        <f t="shared" si="100"/>
        <v>129732483.33239999</v>
      </c>
      <c r="G3247" s="16">
        <f>IF(D3247=0,0,SUMIF(매도완료!$J:$J,Sheet2!$B3247,매도완료!$S:$S))+IF(D3247=0,0,SUMIF(ING!$J:$J,Sheet2!$B3247,ING!$S:$S))</f>
        <v>806298.5</v>
      </c>
      <c r="H3247" s="16">
        <f t="shared" si="101"/>
        <v>8329273.4363089427</v>
      </c>
    </row>
    <row r="3248" spans="2:8" hidden="1" x14ac:dyDescent="0.4">
      <c r="B3248" s="1">
        <v>45797</v>
      </c>
      <c r="C3248" s="16">
        <f>SUMIF(매도완료!$G:$G,Sheet2!$B3248,매도완료!$P:$P)+SUMIF(ING!$G:$G,Sheet2!$B3248,ING!$P:$P)</f>
        <v>83888</v>
      </c>
      <c r="D3248" s="16">
        <f>SUMIF(매도완료!$J:$J,Sheet2!$B3248,매도완료!$P:$P)+SUMIF(ING!$J:$J,Sheet2!$B3248,ING!$P:$P)</f>
        <v>0</v>
      </c>
      <c r="E3248" s="16">
        <f t="shared" si="100"/>
        <v>129816371.33239999</v>
      </c>
      <c r="G3248" s="16">
        <f>IF(D3248=0,0,SUMIF(매도완료!$J:$J,Sheet2!$B3248,매도완료!$S:$S))+IF(D3248=0,0,SUMIF(ING!$J:$J,Sheet2!$B3248,ING!$S:$S))</f>
        <v>0</v>
      </c>
      <c r="H3248" s="16">
        <f t="shared" si="101"/>
        <v>8329273.4363089427</v>
      </c>
    </row>
    <row r="3249" spans="2:8" hidden="1" x14ac:dyDescent="0.4">
      <c r="B3249" s="1">
        <v>45798</v>
      </c>
      <c r="C3249" s="16">
        <f>SUMIF(매도완료!$G:$G,Sheet2!$B3249,매도완료!$P:$P)+SUMIF(ING!$G:$G,Sheet2!$B3249,ING!$P:$P)</f>
        <v>2137000</v>
      </c>
      <c r="D3249" s="16">
        <f>SUMIF(매도완료!$J:$J,Sheet2!$B3249,매도완료!$P:$P)+SUMIF(ING!$J:$J,Sheet2!$B3249,ING!$P:$P)</f>
        <v>0</v>
      </c>
      <c r="E3249" s="16">
        <f t="shared" si="100"/>
        <v>131953371.33239999</v>
      </c>
      <c r="G3249" s="16">
        <f>IF(D3249=0,0,SUMIF(매도완료!$J:$J,Sheet2!$B3249,매도완료!$S:$S))+IF(D3249=0,0,SUMIF(ING!$J:$J,Sheet2!$B3249,ING!$S:$S))</f>
        <v>0</v>
      </c>
      <c r="H3249" s="16">
        <f t="shared" si="101"/>
        <v>8329273.4363089427</v>
      </c>
    </row>
    <row r="3250" spans="2:8" hidden="1" x14ac:dyDescent="0.4">
      <c r="B3250" s="1">
        <v>45799</v>
      </c>
      <c r="C3250" s="16">
        <f>SUMIF(매도완료!$G:$G,Sheet2!$B3250,매도완료!$P:$P)+SUMIF(ING!$G:$G,Sheet2!$B3250,ING!$P:$P)</f>
        <v>2795450</v>
      </c>
      <c r="D3250" s="16">
        <f>SUMIF(매도완료!$J:$J,Sheet2!$B3250,매도완료!$P:$P)+SUMIF(ING!$J:$J,Sheet2!$B3250,ING!$P:$P)</f>
        <v>0</v>
      </c>
      <c r="E3250" s="16">
        <f t="shared" si="100"/>
        <v>134748821.33239999</v>
      </c>
      <c r="G3250" s="16">
        <f>IF(D3250=0,0,SUMIF(매도완료!$J:$J,Sheet2!$B3250,매도완료!$S:$S))+IF(D3250=0,0,SUMIF(ING!$J:$J,Sheet2!$B3250,ING!$S:$S))</f>
        <v>0</v>
      </c>
      <c r="H3250" s="16">
        <f t="shared" si="101"/>
        <v>8329273.4363089427</v>
      </c>
    </row>
    <row r="3251" spans="2:8" hidden="1" x14ac:dyDescent="0.4">
      <c r="B3251" s="1">
        <v>45800</v>
      </c>
      <c r="C3251" s="16">
        <f>SUMIF(매도완료!$G:$G,Sheet2!$B3251,매도완료!$P:$P)+SUMIF(ING!$G:$G,Sheet2!$B3251,ING!$P:$P)</f>
        <v>516400</v>
      </c>
      <c r="D3251" s="16">
        <f>SUMIF(매도완료!$J:$J,Sheet2!$B3251,매도완료!$P:$P)+SUMIF(ING!$J:$J,Sheet2!$B3251,ING!$P:$P)</f>
        <v>6782400</v>
      </c>
      <c r="E3251" s="16">
        <f t="shared" si="100"/>
        <v>128482821.33239999</v>
      </c>
      <c r="G3251" s="16">
        <f>IF(D3251=0,0,SUMIF(매도완료!$J:$J,Sheet2!$B3251,매도완료!$S:$S))+IF(D3251=0,0,SUMIF(ING!$J:$J,Sheet2!$B3251,ING!$S:$S))</f>
        <v>1271480.3999999999</v>
      </c>
      <c r="H3251" s="16">
        <f t="shared" si="101"/>
        <v>9600753.8363089431</v>
      </c>
    </row>
    <row r="3252" spans="2:8" hidden="1" x14ac:dyDescent="0.4">
      <c r="B3252" s="1">
        <v>45801</v>
      </c>
      <c r="C3252" s="16">
        <f>SUMIF(매도완료!$G:$G,Sheet2!$B3252,매도완료!$P:$P)+SUMIF(ING!$G:$G,Sheet2!$B3252,ING!$P:$P)</f>
        <v>0</v>
      </c>
      <c r="D3252" s="16">
        <f>SUMIF(매도완료!$J:$J,Sheet2!$B3252,매도완료!$P:$P)+SUMIF(ING!$J:$J,Sheet2!$B3252,ING!$P:$P)</f>
        <v>0</v>
      </c>
      <c r="E3252" s="16">
        <f t="shared" si="100"/>
        <v>128482821.33239999</v>
      </c>
      <c r="G3252" s="16">
        <f>IF(D3252=0,0,SUMIF(매도완료!$J:$J,Sheet2!$B3252,매도완료!$S:$S))+IF(D3252=0,0,SUMIF(ING!$J:$J,Sheet2!$B3252,ING!$S:$S))</f>
        <v>0</v>
      </c>
      <c r="H3252" s="16">
        <f t="shared" si="101"/>
        <v>9600753.8363089431</v>
      </c>
    </row>
    <row r="3253" spans="2:8" hidden="1" x14ac:dyDescent="0.4">
      <c r="B3253" s="1">
        <v>45802</v>
      </c>
      <c r="C3253" s="16">
        <f>SUMIF(매도완료!$G:$G,Sheet2!$B3253,매도완료!$P:$P)+SUMIF(ING!$G:$G,Sheet2!$B3253,ING!$P:$P)</f>
        <v>0</v>
      </c>
      <c r="D3253" s="16">
        <f>SUMIF(매도완료!$J:$J,Sheet2!$B3253,매도완료!$P:$P)+SUMIF(ING!$J:$J,Sheet2!$B3253,ING!$P:$P)</f>
        <v>0</v>
      </c>
      <c r="E3253" s="16">
        <f t="shared" si="100"/>
        <v>128482821.33239999</v>
      </c>
      <c r="G3253" s="16">
        <f>IF(D3253=0,0,SUMIF(매도완료!$J:$J,Sheet2!$B3253,매도완료!$S:$S))+IF(D3253=0,0,SUMIF(ING!$J:$J,Sheet2!$B3253,ING!$S:$S))</f>
        <v>0</v>
      </c>
      <c r="H3253" s="16">
        <f t="shared" si="101"/>
        <v>9600753.8363089431</v>
      </c>
    </row>
    <row r="3254" spans="2:8" hidden="1" x14ac:dyDescent="0.4">
      <c r="B3254" s="1">
        <v>45803</v>
      </c>
      <c r="C3254" s="16">
        <f>SUMIF(매도완료!$G:$G,Sheet2!$B3254,매도완료!$P:$P)+SUMIF(ING!$G:$G,Sheet2!$B3254,ING!$P:$P)</f>
        <v>7849225</v>
      </c>
      <c r="D3254" s="16">
        <f>SUMIF(매도완료!$J:$J,Sheet2!$B3254,매도완료!$P:$P)+SUMIF(ING!$J:$J,Sheet2!$B3254,ING!$P:$P)</f>
        <v>0</v>
      </c>
      <c r="E3254" s="16">
        <f t="shared" si="100"/>
        <v>136332046.33239999</v>
      </c>
      <c r="G3254" s="16">
        <f>IF(D3254=0,0,SUMIF(매도완료!$J:$J,Sheet2!$B3254,매도완료!$S:$S))+IF(D3254=0,0,SUMIF(ING!$J:$J,Sheet2!$B3254,ING!$S:$S))</f>
        <v>0</v>
      </c>
      <c r="H3254" s="16">
        <f t="shared" si="101"/>
        <v>9600753.8363089431</v>
      </c>
    </row>
    <row r="3255" spans="2:8" hidden="1" x14ac:dyDescent="0.4">
      <c r="B3255" s="1">
        <v>45804</v>
      </c>
      <c r="C3255" s="16">
        <f>SUMIF(매도완료!$G:$G,Sheet2!$B3255,매도완료!$P:$P)+SUMIF(ING!$G:$G,Sheet2!$B3255,ING!$P:$P)</f>
        <v>879857</v>
      </c>
      <c r="D3255" s="16">
        <f>SUMIF(매도완료!$J:$J,Sheet2!$B3255,매도완료!$P:$P)+SUMIF(ING!$J:$J,Sheet2!$B3255,ING!$P:$P)</f>
        <v>6531000</v>
      </c>
      <c r="E3255" s="16">
        <f t="shared" si="100"/>
        <v>130680903.33239999</v>
      </c>
      <c r="G3255" s="16">
        <f>IF(D3255=0,0,SUMIF(매도완료!$J:$J,Sheet2!$B3255,매도완료!$S:$S))+IF(D3255=0,0,SUMIF(ING!$J:$J,Sheet2!$B3255,ING!$S:$S))</f>
        <v>521974</v>
      </c>
      <c r="H3255" s="16">
        <f t="shared" si="101"/>
        <v>10122727.836308943</v>
      </c>
    </row>
    <row r="3256" spans="2:8" hidden="1" x14ac:dyDescent="0.4">
      <c r="B3256" s="1">
        <v>45805</v>
      </c>
      <c r="C3256" s="16">
        <f>SUMIF(매도완료!$G:$G,Sheet2!$B3256,매도완료!$P:$P)+SUMIF(ING!$G:$G,Sheet2!$B3256,ING!$P:$P)</f>
        <v>26011977.52</v>
      </c>
      <c r="D3256" s="16">
        <f>SUMIF(매도완료!$J:$J,Sheet2!$B3256,매도완료!$P:$P)+SUMIF(ING!$J:$J,Sheet2!$B3256,ING!$P:$P)</f>
        <v>1439000</v>
      </c>
      <c r="E3256" s="16">
        <f t="shared" si="100"/>
        <v>155253880.8524</v>
      </c>
      <c r="G3256" s="16">
        <f>IF(D3256=0,0,SUMIF(매도완료!$J:$J,Sheet2!$B3256,매도완료!$S:$S))+IF(D3256=0,0,SUMIF(ING!$J:$J,Sheet2!$B3256,ING!$S:$S))</f>
        <v>104591</v>
      </c>
      <c r="H3256" s="16">
        <f t="shared" si="101"/>
        <v>10227318.836308943</v>
      </c>
    </row>
    <row r="3257" spans="2:8" hidden="1" x14ac:dyDescent="0.4">
      <c r="B3257" s="1">
        <v>45806</v>
      </c>
      <c r="C3257" s="16">
        <f>SUMIF(매도완료!$G:$G,Sheet2!$B3257,매도완료!$P:$P)+SUMIF(ING!$G:$G,Sheet2!$B3257,ING!$P:$P)</f>
        <v>5080220</v>
      </c>
      <c r="D3257" s="16">
        <f>SUMIF(매도완료!$J:$J,Sheet2!$B3257,매도완료!$P:$P)+SUMIF(ING!$J:$J,Sheet2!$B3257,ING!$P:$P)</f>
        <v>4576499.5200000005</v>
      </c>
      <c r="E3257" s="16">
        <f t="shared" si="100"/>
        <v>155757601.33239999</v>
      </c>
      <c r="G3257" s="16">
        <f>IF(D3257=0,0,SUMIF(매도완료!$J:$J,Sheet2!$B3257,매도완료!$S:$S))+IF(D3257=0,0,SUMIF(ING!$J:$J,Sheet2!$B3257,ING!$S:$S))</f>
        <v>208909.24451506801</v>
      </c>
      <c r="H3257" s="16">
        <f t="shared" si="101"/>
        <v>10436228.080824012</v>
      </c>
    </row>
    <row r="3258" spans="2:8" hidden="1" x14ac:dyDescent="0.4">
      <c r="B3258" s="1">
        <v>45807</v>
      </c>
      <c r="C3258" s="16">
        <f>SUMIF(매도완료!$G:$G,Sheet2!$B3258,매도완료!$P:$P)+SUMIF(ING!$G:$G,Sheet2!$B3258,ING!$P:$P)</f>
        <v>24870885</v>
      </c>
      <c r="D3258" s="16">
        <f>SUMIF(매도완료!$J:$J,Sheet2!$B3258,매도완료!$P:$P)+SUMIF(ING!$J:$J,Sheet2!$B3258,ING!$P:$P)</f>
        <v>7303098</v>
      </c>
      <c r="E3258" s="16">
        <f t="shared" si="100"/>
        <v>173325388.33239999</v>
      </c>
      <c r="G3258" s="16">
        <f>IF(D3258=0,0,SUMIF(매도완료!$J:$J,Sheet2!$B3258,매도완료!$S:$S))+IF(D3258=0,0,SUMIF(ING!$J:$J,Sheet2!$B3258,ING!$S:$S))</f>
        <v>175176.12808219178</v>
      </c>
      <c r="H3258" s="16">
        <f t="shared" si="101"/>
        <v>10611404.208906204</v>
      </c>
    </row>
    <row r="3259" spans="2:8" hidden="1" x14ac:dyDescent="0.4">
      <c r="B3259" s="1">
        <v>45808</v>
      </c>
      <c r="C3259" s="16">
        <f>SUMIF(매도완료!$G:$G,Sheet2!$B3259,매도완료!$P:$P)+SUMIF(ING!$G:$G,Sheet2!$B3259,ING!$P:$P)</f>
        <v>0</v>
      </c>
      <c r="D3259" s="16">
        <f>SUMIF(매도완료!$J:$J,Sheet2!$B3259,매도완료!$P:$P)+SUMIF(ING!$J:$J,Sheet2!$B3259,ING!$P:$P)</f>
        <v>0</v>
      </c>
      <c r="E3259" s="16">
        <f t="shared" si="100"/>
        <v>173325388.33239999</v>
      </c>
      <c r="G3259" s="16">
        <f>IF(D3259=0,0,SUMIF(매도완료!$J:$J,Sheet2!$B3259,매도완료!$S:$S))+IF(D3259=0,0,SUMIF(ING!$J:$J,Sheet2!$B3259,ING!$S:$S))</f>
        <v>0</v>
      </c>
      <c r="H3259" s="16">
        <f t="shared" si="101"/>
        <v>10611404.208906204</v>
      </c>
    </row>
    <row r="3260" spans="2:8" x14ac:dyDescent="0.4">
      <c r="B3260" s="1">
        <v>45809</v>
      </c>
      <c r="C3260" s="16">
        <f>SUMIF(매도완료!$G:$G,Sheet2!$B3260,매도완료!$P:$P)+SUMIF(ING!$G:$G,Sheet2!$B3260,ING!$P:$P)</f>
        <v>0</v>
      </c>
      <c r="D3260" s="16">
        <f>SUMIF(매도완료!$J:$J,Sheet2!$B3260,매도완료!$P:$P)+SUMIF(ING!$J:$J,Sheet2!$B3260,ING!$P:$P)</f>
        <v>0</v>
      </c>
      <c r="E3260" s="16">
        <f t="shared" si="100"/>
        <v>173325388.33239999</v>
      </c>
      <c r="G3260" s="16">
        <f>IF(D3260=0,0,SUMIF(매도완료!$J:$J,Sheet2!$B3260,매도완료!$S:$S))+IF(D3260=0,0,SUMIF(ING!$J:$J,Sheet2!$B3260,ING!$S:$S))</f>
        <v>0</v>
      </c>
      <c r="H3260" s="16">
        <f t="shared" si="101"/>
        <v>10611404.208906204</v>
      </c>
    </row>
    <row r="3261" spans="2:8" hidden="1" x14ac:dyDescent="0.4">
      <c r="B3261" s="1">
        <v>45810</v>
      </c>
      <c r="C3261" s="16">
        <f>SUMIF(매도완료!$G:$G,Sheet2!$B3261,매도완료!$P:$P)+SUMIF(ING!$G:$G,Sheet2!$B3261,ING!$P:$P)</f>
        <v>7927435</v>
      </c>
      <c r="D3261" s="16">
        <f>SUMIF(매도완료!$J:$J,Sheet2!$B3261,매도완료!$P:$P)+SUMIF(ING!$J:$J,Sheet2!$B3261,ING!$P:$P)</f>
        <v>24322840</v>
      </c>
      <c r="E3261" s="16">
        <f t="shared" si="100"/>
        <v>156929983.33239999</v>
      </c>
      <c r="G3261" s="16">
        <f>IF(D3261=0,0,SUMIF(매도완료!$J:$J,Sheet2!$B3261,매도완료!$S:$S))+IF(D3261=0,0,SUMIF(ING!$J:$J,Sheet2!$B3261,ING!$S:$S))</f>
        <v>1473906.1033561642</v>
      </c>
      <c r="H3261" s="16">
        <f t="shared" si="101"/>
        <v>12085310.312262367</v>
      </c>
    </row>
    <row r="3262" spans="2:8" hidden="1" x14ac:dyDescent="0.4">
      <c r="B3262" s="1">
        <v>45811</v>
      </c>
      <c r="C3262" s="16">
        <f>SUMIF(매도완료!$G:$G,Sheet2!$B3262,매도완료!$P:$P)+SUMIF(ING!$G:$G,Sheet2!$B3262,ING!$P:$P)</f>
        <v>0</v>
      </c>
      <c r="D3262" s="16">
        <f>SUMIF(매도완료!$J:$J,Sheet2!$B3262,매도완료!$P:$P)+SUMIF(ING!$J:$J,Sheet2!$B3262,ING!$P:$P)</f>
        <v>0</v>
      </c>
      <c r="E3262" s="16">
        <f t="shared" si="100"/>
        <v>156929983.33239999</v>
      </c>
      <c r="G3262" s="16">
        <f>IF(D3262=0,0,SUMIF(매도완료!$J:$J,Sheet2!$B3262,매도완료!$S:$S))+IF(D3262=0,0,SUMIF(ING!$J:$J,Sheet2!$B3262,ING!$S:$S))</f>
        <v>0</v>
      </c>
      <c r="H3262" s="16">
        <f t="shared" si="101"/>
        <v>12085310.312262367</v>
      </c>
    </row>
    <row r="3263" spans="2:8" hidden="1" x14ac:dyDescent="0.4">
      <c r="B3263" s="1">
        <v>45812</v>
      </c>
      <c r="C3263" s="16">
        <f>SUMIF(매도완료!$G:$G,Sheet2!$B3263,매도완료!$P:$P)+SUMIF(ING!$G:$G,Sheet2!$B3263,ING!$P:$P)</f>
        <v>13448113</v>
      </c>
      <c r="D3263" s="16">
        <f>SUMIF(매도완료!$J:$J,Sheet2!$B3263,매도완료!$P:$P)+SUMIF(ING!$J:$J,Sheet2!$B3263,ING!$P:$P)</f>
        <v>9754300</v>
      </c>
      <c r="E3263" s="16">
        <f t="shared" si="100"/>
        <v>160623796.33239999</v>
      </c>
      <c r="G3263" s="16">
        <f>IF(D3263=0,0,SUMIF(매도완료!$J:$J,Sheet2!$B3263,매도완료!$S:$S))+IF(D3263=0,0,SUMIF(ING!$J:$J,Sheet2!$B3263,ING!$S:$S))</f>
        <v>224741.80499999996</v>
      </c>
      <c r="H3263" s="16">
        <f t="shared" si="101"/>
        <v>12310052.117262367</v>
      </c>
    </row>
    <row r="3264" spans="2:8" hidden="1" x14ac:dyDescent="0.4">
      <c r="B3264" s="1">
        <v>45813</v>
      </c>
      <c r="C3264" s="16">
        <f>SUMIF(매도완료!$G:$G,Sheet2!$B3264,매도완료!$P:$P)+SUMIF(ING!$G:$G,Sheet2!$B3264,ING!$P:$P)</f>
        <v>19918900</v>
      </c>
      <c r="D3264" s="16">
        <f>SUMIF(매도완료!$J:$J,Sheet2!$B3264,매도완료!$P:$P)+SUMIF(ING!$J:$J,Sheet2!$B3264,ING!$P:$P)</f>
        <v>4536300</v>
      </c>
      <c r="E3264" s="16">
        <f t="shared" si="100"/>
        <v>176006396.33239999</v>
      </c>
      <c r="G3264" s="16">
        <f>IF(D3264=0,0,SUMIF(매도완료!$J:$J,Sheet2!$B3264,매도완료!$S:$S))+IF(D3264=0,0,SUMIF(ING!$J:$J,Sheet2!$B3264,ING!$S:$S))</f>
        <v>176030.23500000002</v>
      </c>
      <c r="H3264" s="16">
        <f t="shared" si="101"/>
        <v>12486082.352262367</v>
      </c>
    </row>
    <row r="3265" spans="2:8" hidden="1" x14ac:dyDescent="0.4">
      <c r="B3265" s="1">
        <v>45814</v>
      </c>
      <c r="C3265" s="16">
        <f>SUMIF(매도완료!$G:$G,Sheet2!$B3265,매도완료!$P:$P)+SUMIF(ING!$G:$G,Sheet2!$B3265,ING!$P:$P)</f>
        <v>0</v>
      </c>
      <c r="D3265" s="16">
        <f>SUMIF(매도완료!$J:$J,Sheet2!$B3265,매도완료!$P:$P)+SUMIF(ING!$J:$J,Sheet2!$B3265,ING!$P:$P)</f>
        <v>0</v>
      </c>
      <c r="E3265" s="16">
        <f t="shared" si="100"/>
        <v>176006396.33239999</v>
      </c>
      <c r="G3265" s="16">
        <f>IF(D3265=0,0,SUMIF(매도완료!$J:$J,Sheet2!$B3265,매도완료!$S:$S))+IF(D3265=0,0,SUMIF(ING!$J:$J,Sheet2!$B3265,ING!$S:$S))</f>
        <v>0</v>
      </c>
      <c r="H3265" s="16">
        <f t="shared" si="101"/>
        <v>12486082.352262367</v>
      </c>
    </row>
    <row r="3266" spans="2:8" hidden="1" x14ac:dyDescent="0.4">
      <c r="B3266" s="1">
        <v>45815</v>
      </c>
      <c r="C3266" s="16">
        <f>SUMIF(매도완료!$G:$G,Sheet2!$B3266,매도완료!$P:$P)+SUMIF(ING!$G:$G,Sheet2!$B3266,ING!$P:$P)</f>
        <v>0</v>
      </c>
      <c r="D3266" s="16">
        <f>SUMIF(매도완료!$J:$J,Sheet2!$B3266,매도완료!$P:$P)+SUMIF(ING!$J:$J,Sheet2!$B3266,ING!$P:$P)</f>
        <v>0</v>
      </c>
      <c r="E3266" s="16">
        <f t="shared" si="100"/>
        <v>176006396.33239999</v>
      </c>
      <c r="G3266" s="16">
        <f>IF(D3266=0,0,SUMIF(매도완료!$J:$J,Sheet2!$B3266,매도완료!$S:$S))+IF(D3266=0,0,SUMIF(ING!$J:$J,Sheet2!$B3266,ING!$S:$S))</f>
        <v>0</v>
      </c>
      <c r="H3266" s="16">
        <f t="shared" si="101"/>
        <v>12486082.352262367</v>
      </c>
    </row>
    <row r="3267" spans="2:8" hidden="1" x14ac:dyDescent="0.4">
      <c r="B3267" s="1">
        <v>45816</v>
      </c>
      <c r="C3267" s="16">
        <f>SUMIF(매도완료!$G:$G,Sheet2!$B3267,매도완료!$P:$P)+SUMIF(ING!$G:$G,Sheet2!$B3267,ING!$P:$P)</f>
        <v>0</v>
      </c>
      <c r="D3267" s="16">
        <f>SUMIF(매도완료!$J:$J,Sheet2!$B3267,매도완료!$P:$P)+SUMIF(ING!$J:$J,Sheet2!$B3267,ING!$P:$P)</f>
        <v>0</v>
      </c>
      <c r="E3267" s="16">
        <f t="shared" si="100"/>
        <v>176006396.33239999</v>
      </c>
      <c r="G3267" s="16">
        <f>IF(D3267=0,0,SUMIF(매도완료!$J:$J,Sheet2!$B3267,매도완료!$S:$S))+IF(D3267=0,0,SUMIF(ING!$J:$J,Sheet2!$B3267,ING!$S:$S))</f>
        <v>0</v>
      </c>
      <c r="H3267" s="16">
        <f t="shared" si="101"/>
        <v>12486082.352262367</v>
      </c>
    </row>
    <row r="3268" spans="2:8" hidden="1" x14ac:dyDescent="0.4">
      <c r="B3268" s="1">
        <v>45817</v>
      </c>
      <c r="C3268" s="16">
        <f>SUMIF(매도완료!$G:$G,Sheet2!$B3268,매도완료!$P:$P)+SUMIF(ING!$G:$G,Sheet2!$B3268,ING!$P:$P)</f>
        <v>30295770</v>
      </c>
      <c r="D3268" s="16">
        <f>SUMIF(매도완료!$J:$J,Sheet2!$B3268,매도완료!$P:$P)+SUMIF(ING!$J:$J,Sheet2!$B3268,ING!$P:$P)</f>
        <v>23034500</v>
      </c>
      <c r="E3268" s="16">
        <f t="shared" ref="E3268:E3331" si="102">E3267+C3268-D3268</f>
        <v>183267666.33239999</v>
      </c>
      <c r="G3268" s="16">
        <f>IF(D3268=0,0,SUMIF(매도완료!$J:$J,Sheet2!$B3268,매도완료!$S:$S))+IF(D3268=0,0,SUMIF(ING!$J:$J,Sheet2!$B3268,ING!$S:$S))</f>
        <v>273517.32500000001</v>
      </c>
      <c r="H3268" s="16">
        <f t="shared" ref="H3268:H3331" si="103">H3267+G3268</f>
        <v>12759599.677262366</v>
      </c>
    </row>
    <row r="3269" spans="2:8" hidden="1" x14ac:dyDescent="0.4">
      <c r="B3269" s="1">
        <v>45818</v>
      </c>
      <c r="C3269" s="16">
        <f>SUMIF(매도완료!$G:$G,Sheet2!$B3269,매도완료!$P:$P)+SUMIF(ING!$G:$G,Sheet2!$B3269,ING!$P:$P)</f>
        <v>8398559</v>
      </c>
      <c r="D3269" s="16">
        <f>SUMIF(매도완료!$J:$J,Sheet2!$B3269,매도완료!$P:$P)+SUMIF(ING!$J:$J,Sheet2!$B3269,ING!$P:$P)</f>
        <v>25130050</v>
      </c>
      <c r="E3269" s="16">
        <f t="shared" si="102"/>
        <v>166536175.33239999</v>
      </c>
      <c r="G3269" s="16">
        <f>IF(D3269=0,0,SUMIF(매도완료!$J:$J,Sheet2!$B3269,매도완료!$S:$S))+IF(D3269=0,0,SUMIF(ING!$J:$J,Sheet2!$B3269,ING!$S:$S))</f>
        <v>1446515.6350000002</v>
      </c>
      <c r="H3269" s="16">
        <f t="shared" si="103"/>
        <v>14206115.312262366</v>
      </c>
    </row>
    <row r="3270" spans="2:8" hidden="1" x14ac:dyDescent="0.4">
      <c r="B3270" s="1">
        <v>45819</v>
      </c>
      <c r="C3270" s="16">
        <f>SUMIF(매도완료!$G:$G,Sheet2!$B3270,매도완료!$P:$P)+SUMIF(ING!$G:$G,Sheet2!$B3270,ING!$P:$P)</f>
        <v>16063700</v>
      </c>
      <c r="D3270" s="16">
        <f>SUMIF(매도완료!$J:$J,Sheet2!$B3270,매도완료!$P:$P)+SUMIF(ING!$J:$J,Sheet2!$B3270,ING!$P:$P)</f>
        <v>12183000</v>
      </c>
      <c r="E3270" s="16">
        <f t="shared" si="102"/>
        <v>170416875.33239999</v>
      </c>
      <c r="G3270" s="16">
        <f>IF(D3270=0,0,SUMIF(매도완료!$J:$J,Sheet2!$B3270,매도완료!$S:$S))+IF(D3270=0,0,SUMIF(ING!$J:$J,Sheet2!$B3270,ING!$S:$S))</f>
        <v>407860.27499999997</v>
      </c>
      <c r="H3270" s="16">
        <f t="shared" si="103"/>
        <v>14613975.587262366</v>
      </c>
    </row>
    <row r="3271" spans="2:8" hidden="1" x14ac:dyDescent="0.4">
      <c r="B3271" s="1">
        <v>45820</v>
      </c>
      <c r="C3271" s="16">
        <f>SUMIF(매도완료!$G:$G,Sheet2!$B3271,매도완료!$P:$P)+SUMIF(ING!$G:$G,Sheet2!$B3271,ING!$P:$P)</f>
        <v>6887100</v>
      </c>
      <c r="D3271" s="16">
        <f>SUMIF(매도완료!$J:$J,Sheet2!$B3271,매도완료!$P:$P)+SUMIF(ING!$J:$J,Sheet2!$B3271,ING!$P:$P)</f>
        <v>11272280</v>
      </c>
      <c r="E3271" s="16">
        <f t="shared" si="102"/>
        <v>166031695.33239999</v>
      </c>
      <c r="G3271" s="16">
        <f>IF(D3271=0,0,SUMIF(매도완료!$J:$J,Sheet2!$B3271,매도완료!$S:$S))+IF(D3271=0,0,SUMIF(ING!$J:$J,Sheet2!$B3271,ING!$S:$S))</f>
        <v>548264.52299999993</v>
      </c>
      <c r="H3271" s="16">
        <f t="shared" si="103"/>
        <v>15162240.110262366</v>
      </c>
    </row>
    <row r="3272" spans="2:8" hidden="1" x14ac:dyDescent="0.4">
      <c r="B3272" s="1">
        <v>45821</v>
      </c>
      <c r="C3272" s="16">
        <f>SUMIF(매도완료!$G:$G,Sheet2!$B3272,매도완료!$P:$P)+SUMIF(ING!$G:$G,Sheet2!$B3272,ING!$P:$P)</f>
        <v>12635350</v>
      </c>
      <c r="D3272" s="16">
        <f>SUMIF(매도완료!$J:$J,Sheet2!$B3272,매도완료!$P:$P)+SUMIF(ING!$J:$J,Sheet2!$B3272,ING!$P:$P)</f>
        <v>0</v>
      </c>
      <c r="E3272" s="16">
        <f t="shared" si="102"/>
        <v>178667045.33239999</v>
      </c>
      <c r="G3272" s="16">
        <f>IF(D3272=0,0,SUMIF(매도완료!$J:$J,Sheet2!$B3272,매도완료!$S:$S))+IF(D3272=0,0,SUMIF(ING!$J:$J,Sheet2!$B3272,ING!$S:$S))</f>
        <v>0</v>
      </c>
      <c r="H3272" s="16">
        <f t="shared" si="103"/>
        <v>15162240.110262366</v>
      </c>
    </row>
    <row r="3273" spans="2:8" hidden="1" x14ac:dyDescent="0.4">
      <c r="B3273" s="1">
        <v>45822</v>
      </c>
      <c r="C3273" s="16">
        <f>SUMIF(매도완료!$G:$G,Sheet2!$B3273,매도완료!$P:$P)+SUMIF(ING!$G:$G,Sheet2!$B3273,ING!$P:$P)</f>
        <v>0</v>
      </c>
      <c r="D3273" s="16">
        <f>SUMIF(매도완료!$J:$J,Sheet2!$B3273,매도완료!$P:$P)+SUMIF(ING!$J:$J,Sheet2!$B3273,ING!$P:$P)</f>
        <v>0</v>
      </c>
      <c r="E3273" s="16">
        <f t="shared" si="102"/>
        <v>178667045.33239999</v>
      </c>
      <c r="G3273" s="16">
        <f>IF(D3273=0,0,SUMIF(매도완료!$J:$J,Sheet2!$B3273,매도완료!$S:$S))+IF(D3273=0,0,SUMIF(ING!$J:$J,Sheet2!$B3273,ING!$S:$S))</f>
        <v>0</v>
      </c>
      <c r="H3273" s="16">
        <f t="shared" si="103"/>
        <v>15162240.110262366</v>
      </c>
    </row>
    <row r="3274" spans="2:8" hidden="1" x14ac:dyDescent="0.4">
      <c r="B3274" s="1">
        <v>45823</v>
      </c>
      <c r="C3274" s="16">
        <f>SUMIF(매도완료!$G:$G,Sheet2!$B3274,매도완료!$P:$P)+SUMIF(ING!$G:$G,Sheet2!$B3274,ING!$P:$P)</f>
        <v>0</v>
      </c>
      <c r="D3274" s="16">
        <f>SUMIF(매도완료!$J:$J,Sheet2!$B3274,매도완료!$P:$P)+SUMIF(ING!$J:$J,Sheet2!$B3274,ING!$P:$P)</f>
        <v>0</v>
      </c>
      <c r="E3274" s="16">
        <f t="shared" si="102"/>
        <v>178667045.33239999</v>
      </c>
      <c r="G3274" s="16">
        <f>IF(D3274=0,0,SUMIF(매도완료!$J:$J,Sheet2!$B3274,매도완료!$S:$S))+IF(D3274=0,0,SUMIF(ING!$J:$J,Sheet2!$B3274,ING!$S:$S))</f>
        <v>0</v>
      </c>
      <c r="H3274" s="16">
        <f t="shared" si="103"/>
        <v>15162240.110262366</v>
      </c>
    </row>
    <row r="3275" spans="2:8" hidden="1" x14ac:dyDescent="0.4">
      <c r="B3275" s="1">
        <v>45824</v>
      </c>
      <c r="C3275" s="16">
        <f>SUMIF(매도완료!$G:$G,Sheet2!$B3275,매도완료!$P:$P)+SUMIF(ING!$G:$G,Sheet2!$B3275,ING!$P:$P)</f>
        <v>7638485</v>
      </c>
      <c r="D3275" s="16">
        <f>SUMIF(매도완료!$J:$J,Sheet2!$B3275,매도완료!$P:$P)+SUMIF(ING!$J:$J,Sheet2!$B3275,ING!$P:$P)</f>
        <v>11333000</v>
      </c>
      <c r="E3275" s="16">
        <f t="shared" si="102"/>
        <v>174972530.33239999</v>
      </c>
      <c r="G3275" s="16">
        <f>IF(D3275=0,0,SUMIF(매도완료!$J:$J,Sheet2!$B3275,매도완료!$S:$S))+IF(D3275=0,0,SUMIF(ING!$J:$J,Sheet2!$B3275,ING!$S:$S))</f>
        <v>478176.58999999997</v>
      </c>
      <c r="H3275" s="16">
        <f t="shared" si="103"/>
        <v>15640416.700262366</v>
      </c>
    </row>
    <row r="3276" spans="2:8" hidden="1" x14ac:dyDescent="0.4">
      <c r="B3276" s="1">
        <v>45825</v>
      </c>
      <c r="C3276" s="16">
        <f>SUMIF(매도완료!$G:$G,Sheet2!$B3276,매도완료!$P:$P)+SUMIF(ING!$G:$G,Sheet2!$B3276,ING!$P:$P)</f>
        <v>5908997</v>
      </c>
      <c r="D3276" s="16">
        <f>SUMIF(매도완료!$J:$J,Sheet2!$B3276,매도완료!$P:$P)+SUMIF(ING!$J:$J,Sheet2!$B3276,ING!$P:$P)</f>
        <v>0</v>
      </c>
      <c r="E3276" s="16">
        <f t="shared" si="102"/>
        <v>180881527.33239999</v>
      </c>
      <c r="G3276" s="16">
        <f>IF(D3276=0,0,SUMIF(매도완료!$J:$J,Sheet2!$B3276,매도완료!$S:$S))+IF(D3276=0,0,SUMIF(ING!$J:$J,Sheet2!$B3276,ING!$S:$S))</f>
        <v>0</v>
      </c>
      <c r="H3276" s="16">
        <f t="shared" si="103"/>
        <v>15640416.700262366</v>
      </c>
    </row>
    <row r="3277" spans="2:8" hidden="1" x14ac:dyDescent="0.4">
      <c r="B3277" s="1">
        <v>45826</v>
      </c>
      <c r="C3277" s="16">
        <f>SUMIF(매도완료!$G:$G,Sheet2!$B3277,매도완료!$P:$P)+SUMIF(ING!$G:$G,Sheet2!$B3277,ING!$P:$P)</f>
        <v>5855150</v>
      </c>
      <c r="D3277" s="16">
        <f>SUMIF(매도완료!$J:$J,Sheet2!$B3277,매도완료!$P:$P)+SUMIF(ING!$J:$J,Sheet2!$B3277,ING!$P:$P)</f>
        <v>6659270</v>
      </c>
      <c r="E3277" s="16">
        <f t="shared" si="102"/>
        <v>180077407.33239999</v>
      </c>
      <c r="G3277" s="16">
        <f>IF(D3277=0,0,SUMIF(매도완료!$J:$J,Sheet2!$B3277,매도완료!$S:$S))+IF(D3277=0,0,SUMIF(ING!$J:$J,Sheet2!$B3277,ING!$S:$S))</f>
        <v>821665.51450000005</v>
      </c>
      <c r="H3277" s="16">
        <f t="shared" si="103"/>
        <v>16462082.214762365</v>
      </c>
    </row>
    <row r="3278" spans="2:8" hidden="1" x14ac:dyDescent="0.4">
      <c r="B3278" s="1">
        <v>45827</v>
      </c>
      <c r="C3278" s="16">
        <f>SUMIF(매도완료!$G:$G,Sheet2!$B3278,매도완료!$P:$P)+SUMIF(ING!$G:$G,Sheet2!$B3278,ING!$P:$P)</f>
        <v>2418450</v>
      </c>
      <c r="D3278" s="16">
        <f>SUMIF(매도완료!$J:$J,Sheet2!$B3278,매도완료!$P:$P)+SUMIF(ING!$J:$J,Sheet2!$B3278,ING!$P:$P)</f>
        <v>0</v>
      </c>
      <c r="E3278" s="16">
        <f t="shared" si="102"/>
        <v>182495857.33239999</v>
      </c>
      <c r="G3278" s="16">
        <f>IF(D3278=0,0,SUMIF(매도완료!$J:$J,Sheet2!$B3278,매도완료!$S:$S))+IF(D3278=0,0,SUMIF(ING!$J:$J,Sheet2!$B3278,ING!$S:$S))</f>
        <v>0</v>
      </c>
      <c r="H3278" s="16">
        <f t="shared" si="103"/>
        <v>16462082.214762365</v>
      </c>
    </row>
    <row r="3279" spans="2:8" hidden="1" x14ac:dyDescent="0.4">
      <c r="B3279" s="1">
        <v>45828</v>
      </c>
      <c r="C3279" s="16">
        <f>SUMIF(매도완료!$G:$G,Sheet2!$B3279,매도완료!$P:$P)+SUMIF(ING!$G:$G,Sheet2!$B3279,ING!$P:$P)</f>
        <v>677220</v>
      </c>
      <c r="D3279" s="16">
        <f>SUMIF(매도완료!$J:$J,Sheet2!$B3279,매도완료!$P:$P)+SUMIF(ING!$J:$J,Sheet2!$B3279,ING!$P:$P)</f>
        <v>0</v>
      </c>
      <c r="E3279" s="16">
        <f t="shared" si="102"/>
        <v>183173077.33239999</v>
      </c>
      <c r="G3279" s="16">
        <f>IF(D3279=0,0,SUMIF(매도완료!$J:$J,Sheet2!$B3279,매도완료!$S:$S))+IF(D3279=0,0,SUMIF(ING!$J:$J,Sheet2!$B3279,ING!$S:$S))</f>
        <v>0</v>
      </c>
      <c r="H3279" s="16">
        <f t="shared" si="103"/>
        <v>16462082.214762365</v>
      </c>
    </row>
    <row r="3280" spans="2:8" hidden="1" x14ac:dyDescent="0.4">
      <c r="B3280" s="1">
        <v>45829</v>
      </c>
      <c r="C3280" s="16">
        <f>SUMIF(매도완료!$G:$G,Sheet2!$B3280,매도완료!$P:$P)+SUMIF(ING!$G:$G,Sheet2!$B3280,ING!$P:$P)</f>
        <v>0</v>
      </c>
      <c r="D3280" s="16">
        <f>SUMIF(매도완료!$J:$J,Sheet2!$B3280,매도완료!$P:$P)+SUMIF(ING!$J:$J,Sheet2!$B3280,ING!$P:$P)</f>
        <v>2926404</v>
      </c>
      <c r="E3280" s="16">
        <f t="shared" si="102"/>
        <v>180246673.33239999</v>
      </c>
      <c r="G3280" s="16">
        <f>IF(D3280=0,0,SUMIF(매도완료!$J:$J,Sheet2!$B3280,매도완료!$S:$S))+IF(D3280=0,0,SUMIF(ING!$J:$J,Sheet2!$B3280,ING!$S:$S))</f>
        <v>64249</v>
      </c>
      <c r="H3280" s="16">
        <f t="shared" si="103"/>
        <v>16526331.214762365</v>
      </c>
    </row>
    <row r="3281" spans="2:8" hidden="1" x14ac:dyDescent="0.4">
      <c r="B3281" s="1">
        <v>45830</v>
      </c>
      <c r="C3281" s="16">
        <f>SUMIF(매도완료!$G:$G,Sheet2!$B3281,매도완료!$P:$P)+SUMIF(ING!$G:$G,Sheet2!$B3281,ING!$P:$P)</f>
        <v>0</v>
      </c>
      <c r="D3281" s="16">
        <f>SUMIF(매도완료!$J:$J,Sheet2!$B3281,매도완료!$P:$P)+SUMIF(ING!$J:$J,Sheet2!$B3281,ING!$P:$P)</f>
        <v>0</v>
      </c>
      <c r="E3281" s="16">
        <f t="shared" si="102"/>
        <v>180246673.33239999</v>
      </c>
      <c r="G3281" s="16">
        <f>IF(D3281=0,0,SUMIF(매도완료!$J:$J,Sheet2!$B3281,매도완료!$S:$S))+IF(D3281=0,0,SUMIF(ING!$J:$J,Sheet2!$B3281,ING!$S:$S))</f>
        <v>0</v>
      </c>
      <c r="H3281" s="16">
        <f t="shared" si="103"/>
        <v>16526331.214762365</v>
      </c>
    </row>
    <row r="3282" spans="2:8" hidden="1" x14ac:dyDescent="0.4">
      <c r="B3282" s="1">
        <v>45831</v>
      </c>
      <c r="C3282" s="16">
        <f>SUMIF(매도완료!$G:$G,Sheet2!$B3282,매도완료!$P:$P)+SUMIF(ING!$G:$G,Sheet2!$B3282,ING!$P:$P)</f>
        <v>875235</v>
      </c>
      <c r="D3282" s="16">
        <f>SUMIF(매도완료!$J:$J,Sheet2!$B3282,매도완료!$P:$P)+SUMIF(ING!$J:$J,Sheet2!$B3282,ING!$P:$P)</f>
        <v>0</v>
      </c>
      <c r="E3282" s="16">
        <f t="shared" si="102"/>
        <v>181121908.33239999</v>
      </c>
      <c r="G3282" s="16">
        <f>IF(D3282=0,0,SUMIF(매도완료!$J:$J,Sheet2!$B3282,매도완료!$S:$S))+IF(D3282=0,0,SUMIF(ING!$J:$J,Sheet2!$B3282,ING!$S:$S))</f>
        <v>0</v>
      </c>
      <c r="H3282" s="16">
        <f t="shared" si="103"/>
        <v>16526331.214762365</v>
      </c>
    </row>
    <row r="3283" spans="2:8" hidden="1" x14ac:dyDescent="0.4">
      <c r="B3283" s="1">
        <v>45832</v>
      </c>
      <c r="C3283" s="16">
        <f>SUMIF(매도완료!$G:$G,Sheet2!$B3283,매도완료!$P:$P)+SUMIF(ING!$G:$G,Sheet2!$B3283,ING!$P:$P)</f>
        <v>8720</v>
      </c>
      <c r="D3283" s="16">
        <f>SUMIF(매도완료!$J:$J,Sheet2!$B3283,매도완료!$P:$P)+SUMIF(ING!$J:$J,Sheet2!$B3283,ING!$P:$P)</f>
        <v>2580200</v>
      </c>
      <c r="E3283" s="16">
        <f t="shared" si="102"/>
        <v>178550428.33239999</v>
      </c>
      <c r="G3283" s="16">
        <f>IF(D3283=0,0,SUMIF(매도완료!$J:$J,Sheet2!$B3283,매도완료!$S:$S))+IF(D3283=0,0,SUMIF(ING!$J:$J,Sheet2!$B3283,ING!$S:$S))</f>
        <v>203311.94500000001</v>
      </c>
      <c r="H3283" s="16">
        <f t="shared" si="103"/>
        <v>16729643.159762366</v>
      </c>
    </row>
    <row r="3284" spans="2:8" hidden="1" x14ac:dyDescent="0.4">
      <c r="B3284" s="1">
        <v>45833</v>
      </c>
      <c r="C3284" s="16">
        <f>SUMIF(매도완료!$G:$G,Sheet2!$B3284,매도완료!$P:$P)+SUMIF(ING!$G:$G,Sheet2!$B3284,ING!$P:$P)</f>
        <v>6674470</v>
      </c>
      <c r="D3284" s="16">
        <f>SUMIF(매도완료!$J:$J,Sheet2!$B3284,매도완료!$P:$P)+SUMIF(ING!$J:$J,Sheet2!$B3284,ING!$P:$P)</f>
        <v>3375800</v>
      </c>
      <c r="E3284" s="16">
        <f t="shared" si="102"/>
        <v>181849098.33239999</v>
      </c>
      <c r="G3284" s="16">
        <f>IF(D3284=0,0,SUMIF(매도완료!$J:$J,Sheet2!$B3284,매도완료!$S:$S))+IF(D3284=0,0,SUMIF(ING!$J:$J,Sheet2!$B3284,ING!$S:$S))</f>
        <v>634113</v>
      </c>
      <c r="H3284" s="16">
        <f t="shared" si="103"/>
        <v>17363756.159762368</v>
      </c>
    </row>
    <row r="3285" spans="2:8" hidden="1" x14ac:dyDescent="0.4">
      <c r="B3285" s="1">
        <v>45834</v>
      </c>
      <c r="C3285" s="16">
        <f>SUMIF(매도완료!$G:$G,Sheet2!$B3285,매도완료!$P:$P)+SUMIF(ING!$G:$G,Sheet2!$B3285,ING!$P:$P)</f>
        <v>2189200</v>
      </c>
      <c r="D3285" s="16">
        <f>SUMIF(매도완료!$J:$J,Sheet2!$B3285,매도완료!$P:$P)+SUMIF(ING!$J:$J,Sheet2!$B3285,ING!$P:$P)</f>
        <v>2611000</v>
      </c>
      <c r="E3285" s="16">
        <f t="shared" si="102"/>
        <v>181427298.33239999</v>
      </c>
      <c r="G3285" s="16">
        <f>IF(D3285=0,0,SUMIF(매도완료!$J:$J,Sheet2!$B3285,매도완료!$S:$S))+IF(D3285=0,0,SUMIF(ING!$J:$J,Sheet2!$B3285,ING!$S:$S))</f>
        <v>483958.35000000003</v>
      </c>
      <c r="H3285" s="16">
        <f t="shared" si="103"/>
        <v>17847714.509762369</v>
      </c>
    </row>
    <row r="3286" spans="2:8" hidden="1" x14ac:dyDescent="0.4">
      <c r="B3286" s="1">
        <v>45835</v>
      </c>
      <c r="C3286" s="16">
        <f>SUMIF(매도완료!$G:$G,Sheet2!$B3286,매도완료!$P:$P)+SUMIF(ING!$G:$G,Sheet2!$B3286,ING!$P:$P)</f>
        <v>718690</v>
      </c>
      <c r="D3286" s="16">
        <f>SUMIF(매도완료!$J:$J,Sheet2!$B3286,매도완료!$P:$P)+SUMIF(ING!$J:$J,Sheet2!$B3286,ING!$P:$P)</f>
        <v>0</v>
      </c>
      <c r="E3286" s="16">
        <f t="shared" si="102"/>
        <v>182145988.33239999</v>
      </c>
      <c r="G3286" s="16">
        <f>IF(D3286=0,0,SUMIF(매도완료!$J:$J,Sheet2!$B3286,매도완료!$S:$S))+IF(D3286=0,0,SUMIF(ING!$J:$J,Sheet2!$B3286,ING!$S:$S))</f>
        <v>0</v>
      </c>
      <c r="H3286" s="16">
        <f t="shared" si="103"/>
        <v>17847714.509762369</v>
      </c>
    </row>
    <row r="3287" spans="2:8" hidden="1" x14ac:dyDescent="0.4">
      <c r="B3287" s="1">
        <v>45836</v>
      </c>
      <c r="C3287" s="16">
        <f>SUMIF(매도완료!$G:$G,Sheet2!$B3287,매도완료!$P:$P)+SUMIF(ING!$G:$G,Sheet2!$B3287,ING!$P:$P)</f>
        <v>0</v>
      </c>
      <c r="D3287" s="16">
        <f>SUMIF(매도완료!$J:$J,Sheet2!$B3287,매도완료!$P:$P)+SUMIF(ING!$J:$J,Sheet2!$B3287,ING!$P:$P)</f>
        <v>0</v>
      </c>
      <c r="E3287" s="16">
        <f t="shared" si="102"/>
        <v>182145988.33239999</v>
      </c>
      <c r="G3287" s="16">
        <f>IF(D3287=0,0,SUMIF(매도완료!$J:$J,Sheet2!$B3287,매도완료!$S:$S))+IF(D3287=0,0,SUMIF(ING!$J:$J,Sheet2!$B3287,ING!$S:$S))</f>
        <v>0</v>
      </c>
      <c r="H3287" s="16">
        <f t="shared" si="103"/>
        <v>17847714.509762369</v>
      </c>
    </row>
    <row r="3288" spans="2:8" hidden="1" x14ac:dyDescent="0.4">
      <c r="B3288" s="1">
        <v>45837</v>
      </c>
      <c r="C3288" s="16">
        <f>SUMIF(매도완료!$G:$G,Sheet2!$B3288,매도완료!$P:$P)+SUMIF(ING!$G:$G,Sheet2!$B3288,ING!$P:$P)</f>
        <v>0</v>
      </c>
      <c r="D3288" s="16">
        <f>SUMIF(매도완료!$J:$J,Sheet2!$B3288,매도완료!$P:$P)+SUMIF(ING!$J:$J,Sheet2!$B3288,ING!$P:$P)</f>
        <v>0</v>
      </c>
      <c r="E3288" s="16">
        <f t="shared" si="102"/>
        <v>182145988.33239999</v>
      </c>
      <c r="G3288" s="16">
        <f>IF(D3288=0,0,SUMIF(매도완료!$J:$J,Sheet2!$B3288,매도완료!$S:$S))+IF(D3288=0,0,SUMIF(ING!$J:$J,Sheet2!$B3288,ING!$S:$S))</f>
        <v>0</v>
      </c>
      <c r="H3288" s="16">
        <f t="shared" si="103"/>
        <v>17847714.509762369</v>
      </c>
    </row>
    <row r="3289" spans="2:8" hidden="1" x14ac:dyDescent="0.4">
      <c r="B3289" s="1">
        <v>45838</v>
      </c>
      <c r="C3289" s="16">
        <f>SUMIF(매도완료!$G:$G,Sheet2!$B3289,매도완료!$P:$P)+SUMIF(ING!$G:$G,Sheet2!$B3289,ING!$P:$P)</f>
        <v>2982145</v>
      </c>
      <c r="D3289" s="16">
        <f>SUMIF(매도완료!$J:$J,Sheet2!$B3289,매도완료!$P:$P)+SUMIF(ING!$J:$J,Sheet2!$B3289,ING!$P:$P)</f>
        <v>7029160</v>
      </c>
      <c r="E3289" s="16">
        <f t="shared" si="102"/>
        <v>178098973.33239999</v>
      </c>
      <c r="G3289" s="16">
        <f>IF(D3289=0,0,SUMIF(매도완료!$J:$J,Sheet2!$B3289,매도완료!$S:$S))+IF(D3289=0,0,SUMIF(ING!$J:$J,Sheet2!$B3289,ING!$S:$S))</f>
        <v>1430871.2749999999</v>
      </c>
      <c r="H3289" s="16">
        <f t="shared" si="103"/>
        <v>19278585.784762368</v>
      </c>
    </row>
    <row r="3290" spans="2:8" x14ac:dyDescent="0.4">
      <c r="B3290" s="1">
        <v>45839</v>
      </c>
      <c r="C3290" s="16">
        <f>SUMIF(매도완료!$G:$G,Sheet2!$B3290,매도완료!$P:$P)+SUMIF(ING!$G:$G,Sheet2!$B3290,ING!$P:$P)</f>
        <v>7830840</v>
      </c>
      <c r="D3290" s="16">
        <f>SUMIF(매도완료!$J:$J,Sheet2!$B3290,매도완료!$P:$P)+SUMIF(ING!$J:$J,Sheet2!$B3290,ING!$P:$P)</f>
        <v>0</v>
      </c>
      <c r="E3290" s="16">
        <f t="shared" si="102"/>
        <v>185929813.33239999</v>
      </c>
      <c r="G3290" s="16">
        <f>IF(D3290=0,0,SUMIF(매도완료!$J:$J,Sheet2!$B3290,매도완료!$S:$S))+IF(D3290=0,0,SUMIF(ING!$J:$J,Sheet2!$B3290,ING!$S:$S))</f>
        <v>0</v>
      </c>
      <c r="H3290" s="16">
        <f t="shared" si="103"/>
        <v>19278585.784762368</v>
      </c>
    </row>
    <row r="3291" spans="2:8" hidden="1" x14ac:dyDescent="0.4">
      <c r="B3291" s="1">
        <v>45840</v>
      </c>
      <c r="C3291" s="16">
        <f>SUMIF(매도완료!$G:$G,Sheet2!$B3291,매도완료!$P:$P)+SUMIF(ING!$G:$G,Sheet2!$B3291,ING!$P:$P)</f>
        <v>3502530</v>
      </c>
      <c r="D3291" s="16">
        <f>SUMIF(매도완료!$J:$J,Sheet2!$B3291,매도완료!$P:$P)+SUMIF(ING!$J:$J,Sheet2!$B3291,ING!$P:$P)</f>
        <v>3521720</v>
      </c>
      <c r="E3291" s="16">
        <f t="shared" si="102"/>
        <v>185910623.33239999</v>
      </c>
      <c r="G3291" s="16">
        <f>IF(D3291=0,0,SUMIF(매도완료!$J:$J,Sheet2!$B3291,매도완료!$S:$S))+IF(D3291=0,0,SUMIF(ING!$J:$J,Sheet2!$B3291,ING!$S:$S))</f>
        <v>505009.5</v>
      </c>
      <c r="H3291" s="16">
        <f t="shared" si="103"/>
        <v>19783595.284762368</v>
      </c>
    </row>
    <row r="3292" spans="2:8" hidden="1" x14ac:dyDescent="0.4">
      <c r="B3292" s="1">
        <v>45841</v>
      </c>
      <c r="C3292" s="16">
        <f>SUMIF(매도완료!$G:$G,Sheet2!$B3292,매도완료!$P:$P)+SUMIF(ING!$G:$G,Sheet2!$B3292,ING!$P:$P)</f>
        <v>364200</v>
      </c>
      <c r="D3292" s="16">
        <f>SUMIF(매도완료!$J:$J,Sheet2!$B3292,매도완료!$P:$P)+SUMIF(ING!$J:$J,Sheet2!$B3292,ING!$P:$P)</f>
        <v>1839000</v>
      </c>
      <c r="E3292" s="16">
        <f t="shared" si="102"/>
        <v>184435823.33239999</v>
      </c>
      <c r="G3292" s="16">
        <f>IF(D3292=0,0,SUMIF(매도완료!$J:$J,Sheet2!$B3292,매도완료!$S:$S))+IF(D3292=0,0,SUMIF(ING!$J:$J,Sheet2!$B3292,ING!$S:$S))</f>
        <v>107506.65</v>
      </c>
      <c r="H3292" s="16">
        <f t="shared" si="103"/>
        <v>19891101.934762366</v>
      </c>
    </row>
    <row r="3293" spans="2:8" hidden="1" x14ac:dyDescent="0.4">
      <c r="B3293" s="1">
        <v>45842</v>
      </c>
      <c r="C3293" s="16">
        <f>SUMIF(매도완료!$G:$G,Sheet2!$B3293,매도완료!$P:$P)+SUMIF(ING!$G:$G,Sheet2!$B3293,ING!$P:$P)</f>
        <v>465590</v>
      </c>
      <c r="D3293" s="16">
        <f>SUMIF(매도완료!$J:$J,Sheet2!$B3293,매도완료!$P:$P)+SUMIF(ING!$J:$J,Sheet2!$B3293,ING!$P:$P)</f>
        <v>0</v>
      </c>
      <c r="E3293" s="16">
        <f t="shared" si="102"/>
        <v>184901413.33239999</v>
      </c>
      <c r="G3293" s="16">
        <f>IF(D3293=0,0,SUMIF(매도완료!$J:$J,Sheet2!$B3293,매도완료!$S:$S))+IF(D3293=0,0,SUMIF(ING!$J:$J,Sheet2!$B3293,ING!$S:$S))</f>
        <v>0</v>
      </c>
      <c r="H3293" s="16">
        <f t="shared" si="103"/>
        <v>19891101.934762366</v>
      </c>
    </row>
    <row r="3294" spans="2:8" hidden="1" x14ac:dyDescent="0.4">
      <c r="B3294" s="1">
        <v>45843</v>
      </c>
      <c r="C3294" s="16">
        <f>SUMIF(매도완료!$G:$G,Sheet2!$B3294,매도완료!$P:$P)+SUMIF(ING!$G:$G,Sheet2!$B3294,ING!$P:$P)</f>
        <v>0</v>
      </c>
      <c r="D3294" s="16">
        <f>SUMIF(매도완료!$J:$J,Sheet2!$B3294,매도완료!$P:$P)+SUMIF(ING!$J:$J,Sheet2!$B3294,ING!$P:$P)</f>
        <v>0</v>
      </c>
      <c r="E3294" s="16">
        <f t="shared" si="102"/>
        <v>184901413.33239999</v>
      </c>
      <c r="G3294" s="16">
        <f>IF(D3294=0,0,SUMIF(매도완료!$J:$J,Sheet2!$B3294,매도완료!$S:$S))+IF(D3294=0,0,SUMIF(ING!$J:$J,Sheet2!$B3294,ING!$S:$S))</f>
        <v>0</v>
      </c>
      <c r="H3294" s="16">
        <f t="shared" si="103"/>
        <v>19891101.934762366</v>
      </c>
    </row>
    <row r="3295" spans="2:8" hidden="1" x14ac:dyDescent="0.4">
      <c r="B3295" s="1">
        <v>45844</v>
      </c>
      <c r="C3295" s="16">
        <f>SUMIF(매도완료!$G:$G,Sheet2!$B3295,매도완료!$P:$P)+SUMIF(ING!$G:$G,Sheet2!$B3295,ING!$P:$P)</f>
        <v>0</v>
      </c>
      <c r="D3295" s="16">
        <f>SUMIF(매도완료!$J:$J,Sheet2!$B3295,매도완료!$P:$P)+SUMIF(ING!$J:$J,Sheet2!$B3295,ING!$P:$P)</f>
        <v>0</v>
      </c>
      <c r="E3295" s="16">
        <f t="shared" si="102"/>
        <v>184901413.33239999</v>
      </c>
      <c r="G3295" s="16">
        <f>IF(D3295=0,0,SUMIF(매도완료!$J:$J,Sheet2!$B3295,매도완료!$S:$S))+IF(D3295=0,0,SUMIF(ING!$J:$J,Sheet2!$B3295,ING!$S:$S))</f>
        <v>0</v>
      </c>
      <c r="H3295" s="16">
        <f t="shared" si="103"/>
        <v>19891101.934762366</v>
      </c>
    </row>
    <row r="3296" spans="2:8" hidden="1" x14ac:dyDescent="0.4">
      <c r="B3296" s="1">
        <v>45845</v>
      </c>
      <c r="C3296" s="16">
        <f>SUMIF(매도완료!$G:$G,Sheet2!$B3296,매도완료!$P:$P)+SUMIF(ING!$G:$G,Sheet2!$B3296,ING!$P:$P)</f>
        <v>18395</v>
      </c>
      <c r="D3296" s="16">
        <f>SUMIF(매도완료!$J:$J,Sheet2!$B3296,매도완료!$P:$P)+SUMIF(ING!$J:$J,Sheet2!$B3296,ING!$P:$P)</f>
        <v>0</v>
      </c>
      <c r="E3296" s="16">
        <f t="shared" si="102"/>
        <v>184919808.33239999</v>
      </c>
      <c r="G3296" s="16">
        <f>IF(D3296=0,0,SUMIF(매도완료!$J:$J,Sheet2!$B3296,매도완료!$S:$S))+IF(D3296=0,0,SUMIF(ING!$J:$J,Sheet2!$B3296,ING!$S:$S))</f>
        <v>0</v>
      </c>
      <c r="H3296" s="16">
        <f t="shared" si="103"/>
        <v>19891101.934762366</v>
      </c>
    </row>
    <row r="3297" spans="2:8" hidden="1" x14ac:dyDescent="0.4">
      <c r="B3297" s="1">
        <v>45846</v>
      </c>
      <c r="C3297" s="16">
        <f>SUMIF(매도완료!$G:$G,Sheet2!$B3297,매도완료!$P:$P)+SUMIF(ING!$G:$G,Sheet2!$B3297,ING!$P:$P)</f>
        <v>697440</v>
      </c>
      <c r="D3297" s="16">
        <f>SUMIF(매도완료!$J:$J,Sheet2!$B3297,매도완료!$P:$P)+SUMIF(ING!$J:$J,Sheet2!$B3297,ING!$P:$P)</f>
        <v>2377720</v>
      </c>
      <c r="E3297" s="16">
        <f t="shared" si="102"/>
        <v>183239528.33239999</v>
      </c>
      <c r="G3297" s="16">
        <f>IF(D3297=0,0,SUMIF(매도완료!$J:$J,Sheet2!$B3297,매도완료!$S:$S))+IF(D3297=0,0,SUMIF(ING!$J:$J,Sheet2!$B3297,ING!$S:$S))</f>
        <v>333357.05</v>
      </c>
      <c r="H3297" s="16">
        <f t="shared" si="103"/>
        <v>20224458.984762367</v>
      </c>
    </row>
    <row r="3298" spans="2:8" hidden="1" x14ac:dyDescent="0.4">
      <c r="B3298" s="1">
        <v>45847</v>
      </c>
      <c r="C3298" s="16">
        <f>SUMIF(매도완료!$G:$G,Sheet2!$B3298,매도완료!$P:$P)+SUMIF(ING!$G:$G,Sheet2!$B3298,ING!$P:$P)</f>
        <v>458840</v>
      </c>
      <c r="D3298" s="16">
        <f>SUMIF(매도완료!$J:$J,Sheet2!$B3298,매도완료!$P:$P)+SUMIF(ING!$J:$J,Sheet2!$B3298,ING!$P:$P)</f>
        <v>3715500</v>
      </c>
      <c r="E3298" s="16">
        <f t="shared" si="102"/>
        <v>179982868.33239999</v>
      </c>
      <c r="G3298" s="16">
        <f>IF(D3298=0,0,SUMIF(매도완료!$J:$J,Sheet2!$B3298,매도완료!$S:$S))+IF(D3298=0,0,SUMIF(ING!$J:$J,Sheet2!$B3298,ING!$S:$S))</f>
        <v>566864.17500000005</v>
      </c>
      <c r="H3298" s="16">
        <f t="shared" si="103"/>
        <v>20791323.159762368</v>
      </c>
    </row>
    <row r="3299" spans="2:8" hidden="1" x14ac:dyDescent="0.4">
      <c r="B3299" s="1">
        <v>45848</v>
      </c>
      <c r="C3299" s="16">
        <f>SUMIF(매도완료!$G:$G,Sheet2!$B3299,매도완료!$P:$P)+SUMIF(ING!$G:$G,Sheet2!$B3299,ING!$P:$P)</f>
        <v>6544500</v>
      </c>
      <c r="D3299" s="16">
        <f>SUMIF(매도완료!$J:$J,Sheet2!$B3299,매도완료!$P:$P)+SUMIF(ING!$J:$J,Sheet2!$B3299,ING!$P:$P)</f>
        <v>5863300</v>
      </c>
      <c r="E3299" s="16">
        <f t="shared" si="102"/>
        <v>180664068.33239999</v>
      </c>
      <c r="G3299" s="16">
        <f>IF(D3299=0,0,SUMIF(매도완료!$J:$J,Sheet2!$B3299,매도완료!$S:$S))+IF(D3299=0,0,SUMIF(ING!$J:$J,Sheet2!$B3299,ING!$S:$S))</f>
        <v>731659.45499999996</v>
      </c>
      <c r="H3299" s="16">
        <f t="shared" si="103"/>
        <v>21522982.614762366</v>
      </c>
    </row>
    <row r="3300" spans="2:8" hidden="1" x14ac:dyDescent="0.4">
      <c r="B3300" s="1">
        <v>45849</v>
      </c>
      <c r="C3300" s="16">
        <f>SUMIF(매도완료!$G:$G,Sheet2!$B3300,매도완료!$P:$P)+SUMIF(ING!$G:$G,Sheet2!$B3300,ING!$P:$P)</f>
        <v>844795</v>
      </c>
      <c r="D3300" s="16">
        <f>SUMIF(매도완료!$J:$J,Sheet2!$B3300,매도완료!$P:$P)+SUMIF(ING!$J:$J,Sheet2!$B3300,ING!$P:$P)</f>
        <v>0</v>
      </c>
      <c r="E3300" s="16">
        <f t="shared" si="102"/>
        <v>181508863.33239999</v>
      </c>
      <c r="G3300" s="16">
        <f>IF(D3300=0,0,SUMIF(매도완료!$J:$J,Sheet2!$B3300,매도완료!$S:$S))+IF(D3300=0,0,SUMIF(ING!$J:$J,Sheet2!$B3300,ING!$S:$S))</f>
        <v>0</v>
      </c>
      <c r="H3300" s="16">
        <f t="shared" si="103"/>
        <v>21522982.614762366</v>
      </c>
    </row>
    <row r="3301" spans="2:8" hidden="1" x14ac:dyDescent="0.4">
      <c r="B3301" s="1">
        <v>45850</v>
      </c>
      <c r="C3301" s="16">
        <f>SUMIF(매도완료!$G:$G,Sheet2!$B3301,매도완료!$P:$P)+SUMIF(ING!$G:$G,Sheet2!$B3301,ING!$P:$P)</f>
        <v>0</v>
      </c>
      <c r="D3301" s="16">
        <f>SUMIF(매도완료!$J:$J,Sheet2!$B3301,매도완료!$P:$P)+SUMIF(ING!$J:$J,Sheet2!$B3301,ING!$P:$P)</f>
        <v>0</v>
      </c>
      <c r="E3301" s="16">
        <f t="shared" si="102"/>
        <v>181508863.33239999</v>
      </c>
      <c r="G3301" s="16">
        <f>IF(D3301=0,0,SUMIF(매도완료!$J:$J,Sheet2!$B3301,매도완료!$S:$S))+IF(D3301=0,0,SUMIF(ING!$J:$J,Sheet2!$B3301,ING!$S:$S))</f>
        <v>0</v>
      </c>
      <c r="H3301" s="16">
        <f t="shared" si="103"/>
        <v>21522982.614762366</v>
      </c>
    </row>
    <row r="3302" spans="2:8" hidden="1" x14ac:dyDescent="0.4">
      <c r="B3302" s="1">
        <v>45851</v>
      </c>
      <c r="C3302" s="16">
        <f>SUMIF(매도완료!$G:$G,Sheet2!$B3302,매도완료!$P:$P)+SUMIF(ING!$G:$G,Sheet2!$B3302,ING!$P:$P)</f>
        <v>0</v>
      </c>
      <c r="D3302" s="16">
        <f>SUMIF(매도완료!$J:$J,Sheet2!$B3302,매도완료!$P:$P)+SUMIF(ING!$J:$J,Sheet2!$B3302,ING!$P:$P)</f>
        <v>0</v>
      </c>
      <c r="E3302" s="16">
        <f t="shared" si="102"/>
        <v>181508863.33239999</v>
      </c>
      <c r="G3302" s="16">
        <f>IF(D3302=0,0,SUMIF(매도완료!$J:$J,Sheet2!$B3302,매도완료!$S:$S))+IF(D3302=0,0,SUMIF(ING!$J:$J,Sheet2!$B3302,ING!$S:$S))</f>
        <v>0</v>
      </c>
      <c r="H3302" s="16">
        <f t="shared" si="103"/>
        <v>21522982.614762366</v>
      </c>
    </row>
    <row r="3303" spans="2:8" hidden="1" x14ac:dyDescent="0.4">
      <c r="B3303" s="1">
        <v>45852</v>
      </c>
      <c r="C3303" s="16">
        <f>SUMIF(매도완료!$G:$G,Sheet2!$B3303,매도완료!$P:$P)+SUMIF(ING!$G:$G,Sheet2!$B3303,ING!$P:$P)</f>
        <v>838540</v>
      </c>
      <c r="D3303" s="16">
        <f>SUMIF(매도완료!$J:$J,Sheet2!$B3303,매도완료!$P:$P)+SUMIF(ING!$J:$J,Sheet2!$B3303,ING!$P:$P)</f>
        <v>0</v>
      </c>
      <c r="E3303" s="16">
        <f t="shared" si="102"/>
        <v>182347403.33239999</v>
      </c>
      <c r="G3303" s="16">
        <f>IF(D3303=0,0,SUMIF(매도완료!$J:$J,Sheet2!$B3303,매도완료!$S:$S))+IF(D3303=0,0,SUMIF(ING!$J:$J,Sheet2!$B3303,ING!$S:$S))</f>
        <v>0</v>
      </c>
      <c r="H3303" s="16">
        <f t="shared" si="103"/>
        <v>21522982.614762366</v>
      </c>
    </row>
    <row r="3304" spans="2:8" hidden="1" x14ac:dyDescent="0.4">
      <c r="B3304" s="1">
        <v>45853</v>
      </c>
      <c r="C3304" s="16">
        <f>SUMIF(매도완료!$G:$G,Sheet2!$B3304,매도완료!$P:$P)+SUMIF(ING!$G:$G,Sheet2!$B3304,ING!$P:$P)</f>
        <v>7521</v>
      </c>
      <c r="D3304" s="16">
        <f>SUMIF(매도완료!$J:$J,Sheet2!$B3304,매도완료!$P:$P)+SUMIF(ING!$J:$J,Sheet2!$B3304,ING!$P:$P)</f>
        <v>0</v>
      </c>
      <c r="E3304" s="16">
        <f t="shared" si="102"/>
        <v>182354924.33239999</v>
      </c>
      <c r="G3304" s="16">
        <f>IF(D3304=0,0,SUMIF(매도완료!$J:$J,Sheet2!$B3304,매도완료!$S:$S))+IF(D3304=0,0,SUMIF(ING!$J:$J,Sheet2!$B3304,ING!$S:$S))</f>
        <v>0</v>
      </c>
      <c r="H3304" s="16">
        <f t="shared" si="103"/>
        <v>21522982.614762366</v>
      </c>
    </row>
    <row r="3305" spans="2:8" hidden="1" x14ac:dyDescent="0.4">
      <c r="B3305" s="1">
        <v>45854</v>
      </c>
      <c r="C3305" s="16">
        <f>SUMIF(매도완료!$G:$G,Sheet2!$B3305,매도완료!$P:$P)+SUMIF(ING!$G:$G,Sheet2!$B3305,ING!$P:$P)</f>
        <v>2075390</v>
      </c>
      <c r="D3305" s="16">
        <f>SUMIF(매도완료!$J:$J,Sheet2!$B3305,매도완료!$P:$P)+SUMIF(ING!$J:$J,Sheet2!$B3305,ING!$P:$P)</f>
        <v>1787900</v>
      </c>
      <c r="E3305" s="16">
        <f t="shared" si="102"/>
        <v>182642414.33239999</v>
      </c>
      <c r="G3305" s="16">
        <f>IF(D3305=0,0,SUMIF(매도완료!$J:$J,Sheet2!$B3305,매도완료!$S:$S))+IF(D3305=0,0,SUMIF(ING!$J:$J,Sheet2!$B3305,ING!$S:$S))</f>
        <v>449828.19999999995</v>
      </c>
      <c r="H3305" s="16">
        <f t="shared" si="103"/>
        <v>21972810.814762365</v>
      </c>
    </row>
    <row r="3306" spans="2:8" hidden="1" x14ac:dyDescent="0.4">
      <c r="B3306" s="1">
        <v>45855</v>
      </c>
      <c r="C3306" s="16">
        <f>SUMIF(매도완료!$G:$G,Sheet2!$B3306,매도완료!$P:$P)+SUMIF(ING!$G:$G,Sheet2!$B3306,ING!$P:$P)</f>
        <v>393900</v>
      </c>
      <c r="D3306" s="16">
        <f>SUMIF(매도완료!$J:$J,Sheet2!$B3306,매도완료!$P:$P)+SUMIF(ING!$J:$J,Sheet2!$B3306,ING!$P:$P)</f>
        <v>0</v>
      </c>
      <c r="E3306" s="16">
        <f t="shared" si="102"/>
        <v>183036314.33239999</v>
      </c>
      <c r="G3306" s="16">
        <f>IF(D3306=0,0,SUMIF(매도완료!$J:$J,Sheet2!$B3306,매도완료!$S:$S))+IF(D3306=0,0,SUMIF(ING!$J:$J,Sheet2!$B3306,ING!$S:$S))</f>
        <v>0</v>
      </c>
      <c r="H3306" s="16">
        <f t="shared" si="103"/>
        <v>21972810.814762365</v>
      </c>
    </row>
    <row r="3307" spans="2:8" hidden="1" x14ac:dyDescent="0.4">
      <c r="B3307" s="1">
        <v>45856</v>
      </c>
      <c r="C3307" s="16">
        <f>SUMIF(매도완료!$G:$G,Sheet2!$B3307,매도완료!$P:$P)+SUMIF(ING!$G:$G,Sheet2!$B3307,ING!$P:$P)</f>
        <v>3285</v>
      </c>
      <c r="D3307" s="16">
        <f>SUMIF(매도완료!$J:$J,Sheet2!$B3307,매도완료!$P:$P)+SUMIF(ING!$J:$J,Sheet2!$B3307,ING!$P:$P)</f>
        <v>0</v>
      </c>
      <c r="E3307" s="16">
        <f t="shared" si="102"/>
        <v>183039599.33239999</v>
      </c>
      <c r="G3307" s="16">
        <f>IF(D3307=0,0,SUMIF(매도완료!$J:$J,Sheet2!$B3307,매도완료!$S:$S))+IF(D3307=0,0,SUMIF(ING!$J:$J,Sheet2!$B3307,ING!$S:$S))</f>
        <v>0</v>
      </c>
      <c r="H3307" s="16">
        <f t="shared" si="103"/>
        <v>21972810.814762365</v>
      </c>
    </row>
    <row r="3308" spans="2:8" hidden="1" x14ac:dyDescent="0.4">
      <c r="B3308" s="1">
        <v>45857</v>
      </c>
      <c r="C3308" s="16">
        <f>SUMIF(매도완료!$G:$G,Sheet2!$B3308,매도완료!$P:$P)+SUMIF(ING!$G:$G,Sheet2!$B3308,ING!$P:$P)</f>
        <v>0</v>
      </c>
      <c r="D3308" s="16">
        <f>SUMIF(매도완료!$J:$J,Sheet2!$B3308,매도완료!$P:$P)+SUMIF(ING!$J:$J,Sheet2!$B3308,ING!$P:$P)</f>
        <v>0</v>
      </c>
      <c r="E3308" s="16">
        <f t="shared" si="102"/>
        <v>183039599.33239999</v>
      </c>
      <c r="G3308" s="16">
        <f>IF(D3308=0,0,SUMIF(매도완료!$J:$J,Sheet2!$B3308,매도완료!$S:$S))+IF(D3308=0,0,SUMIF(ING!$J:$J,Sheet2!$B3308,ING!$S:$S))</f>
        <v>0</v>
      </c>
      <c r="H3308" s="16">
        <f t="shared" si="103"/>
        <v>21972810.814762365</v>
      </c>
    </row>
    <row r="3309" spans="2:8" hidden="1" x14ac:dyDescent="0.4">
      <c r="B3309" s="1">
        <v>45858</v>
      </c>
      <c r="C3309" s="16">
        <f>SUMIF(매도완료!$G:$G,Sheet2!$B3309,매도완료!$P:$P)+SUMIF(ING!$G:$G,Sheet2!$B3309,ING!$P:$P)</f>
        <v>0</v>
      </c>
      <c r="D3309" s="16">
        <f>SUMIF(매도완료!$J:$J,Sheet2!$B3309,매도완료!$P:$P)+SUMIF(ING!$J:$J,Sheet2!$B3309,ING!$P:$P)</f>
        <v>0</v>
      </c>
      <c r="E3309" s="16">
        <f t="shared" si="102"/>
        <v>183039599.33239999</v>
      </c>
      <c r="G3309" s="16">
        <f>IF(D3309=0,0,SUMIF(매도완료!$J:$J,Sheet2!$B3309,매도완료!$S:$S))+IF(D3309=0,0,SUMIF(ING!$J:$J,Sheet2!$B3309,ING!$S:$S))</f>
        <v>0</v>
      </c>
      <c r="H3309" s="16">
        <f t="shared" si="103"/>
        <v>21972810.814762365</v>
      </c>
    </row>
    <row r="3310" spans="2:8" hidden="1" x14ac:dyDescent="0.4">
      <c r="B3310" s="1">
        <v>45859</v>
      </c>
      <c r="C3310" s="16">
        <f>SUMIF(매도완료!$G:$G,Sheet2!$B3310,매도완료!$P:$P)+SUMIF(ING!$G:$G,Sheet2!$B3310,ING!$P:$P)</f>
        <v>258545</v>
      </c>
      <c r="D3310" s="16">
        <f>SUMIF(매도완료!$J:$J,Sheet2!$B3310,매도완료!$P:$P)+SUMIF(ING!$J:$J,Sheet2!$B3310,ING!$P:$P)</f>
        <v>1931150</v>
      </c>
      <c r="E3310" s="16">
        <f t="shared" si="102"/>
        <v>181366994.33239999</v>
      </c>
      <c r="G3310" s="16">
        <f>IF(D3310=0,0,SUMIF(매도완료!$J:$J,Sheet2!$B3310,매도완료!$S:$S))+IF(D3310=0,0,SUMIF(ING!$J:$J,Sheet2!$B3310,ING!$S:$S))</f>
        <v>440086.64</v>
      </c>
      <c r="H3310" s="16">
        <f t="shared" si="103"/>
        <v>22412897.454762366</v>
      </c>
    </row>
    <row r="3311" spans="2:8" hidden="1" x14ac:dyDescent="0.4">
      <c r="B3311" s="1">
        <v>45860</v>
      </c>
      <c r="C3311" s="16">
        <f>SUMIF(매도완료!$G:$G,Sheet2!$B3311,매도완료!$P:$P)+SUMIF(ING!$G:$G,Sheet2!$B3311,ING!$P:$P)</f>
        <v>7728</v>
      </c>
      <c r="D3311" s="16">
        <f>SUMIF(매도완료!$J:$J,Sheet2!$B3311,매도완료!$P:$P)+SUMIF(ING!$J:$J,Sheet2!$B3311,ING!$P:$P)</f>
        <v>0</v>
      </c>
      <c r="E3311" s="16">
        <f t="shared" si="102"/>
        <v>181374722.33239999</v>
      </c>
      <c r="G3311" s="16">
        <f>IF(D3311=0,0,SUMIF(매도완료!$J:$J,Sheet2!$B3311,매도완료!$S:$S))+IF(D3311=0,0,SUMIF(ING!$J:$J,Sheet2!$B3311,ING!$S:$S))</f>
        <v>0</v>
      </c>
      <c r="H3311" s="16">
        <f t="shared" si="103"/>
        <v>22412897.454762366</v>
      </c>
    </row>
    <row r="3312" spans="2:8" hidden="1" x14ac:dyDescent="0.4">
      <c r="B3312" s="1">
        <v>45861</v>
      </c>
      <c r="C3312" s="16">
        <f>SUMIF(매도완료!$G:$G,Sheet2!$B3312,매도완료!$P:$P)+SUMIF(ING!$G:$G,Sheet2!$B3312,ING!$P:$P)</f>
        <v>385480</v>
      </c>
      <c r="D3312" s="16">
        <f>SUMIF(매도완료!$J:$J,Sheet2!$B3312,매도완료!$P:$P)+SUMIF(ING!$J:$J,Sheet2!$B3312,ING!$P:$P)</f>
        <v>0</v>
      </c>
      <c r="E3312" s="16">
        <f t="shared" si="102"/>
        <v>181760202.33239999</v>
      </c>
      <c r="G3312" s="16">
        <f>IF(D3312=0,0,SUMIF(매도완료!$J:$J,Sheet2!$B3312,매도완료!$S:$S))+IF(D3312=0,0,SUMIF(ING!$J:$J,Sheet2!$B3312,ING!$S:$S))</f>
        <v>0</v>
      </c>
      <c r="H3312" s="16">
        <f t="shared" si="103"/>
        <v>22412897.454762366</v>
      </c>
    </row>
    <row r="3313" spans="2:8" hidden="1" x14ac:dyDescent="0.4">
      <c r="B3313" s="1">
        <v>45862</v>
      </c>
      <c r="C3313" s="16">
        <f>SUMIF(매도완료!$G:$G,Sheet2!$B3313,매도완료!$P:$P)+SUMIF(ING!$G:$G,Sheet2!$B3313,ING!$P:$P)</f>
        <v>356400</v>
      </c>
      <c r="D3313" s="16">
        <f>SUMIF(매도완료!$J:$J,Sheet2!$B3313,매도완료!$P:$P)+SUMIF(ING!$J:$J,Sheet2!$B3313,ING!$P:$P)</f>
        <v>0</v>
      </c>
      <c r="E3313" s="16">
        <f t="shared" si="102"/>
        <v>182116602.33239999</v>
      </c>
      <c r="G3313" s="16">
        <f>IF(D3313=0,0,SUMIF(매도완료!$J:$J,Sheet2!$B3313,매도완료!$S:$S))+IF(D3313=0,0,SUMIF(ING!$J:$J,Sheet2!$B3313,ING!$S:$S))</f>
        <v>0</v>
      </c>
      <c r="H3313" s="16">
        <f t="shared" si="103"/>
        <v>22412897.454762366</v>
      </c>
    </row>
    <row r="3314" spans="2:8" hidden="1" x14ac:dyDescent="0.4">
      <c r="B3314" s="1">
        <v>45863</v>
      </c>
      <c r="C3314" s="16">
        <f>SUMIF(매도완료!$G:$G,Sheet2!$B3314,매도완료!$P:$P)+SUMIF(ING!$G:$G,Sheet2!$B3314,ING!$P:$P)</f>
        <v>3245</v>
      </c>
      <c r="D3314" s="16">
        <f>SUMIF(매도완료!$J:$J,Sheet2!$B3314,매도완료!$P:$P)+SUMIF(ING!$J:$J,Sheet2!$B3314,ING!$P:$P)</f>
        <v>0</v>
      </c>
      <c r="E3314" s="16">
        <f t="shared" si="102"/>
        <v>182119847.33239999</v>
      </c>
      <c r="G3314" s="16">
        <f>IF(D3314=0,0,SUMIF(매도완료!$J:$J,Sheet2!$B3314,매도완료!$S:$S))+IF(D3314=0,0,SUMIF(ING!$J:$J,Sheet2!$B3314,ING!$S:$S))</f>
        <v>0</v>
      </c>
      <c r="H3314" s="16">
        <f t="shared" si="103"/>
        <v>22412897.454762366</v>
      </c>
    </row>
    <row r="3315" spans="2:8" hidden="1" x14ac:dyDescent="0.4">
      <c r="B3315" s="1">
        <v>45864</v>
      </c>
      <c r="C3315" s="16">
        <f>SUMIF(매도완료!$G:$G,Sheet2!$B3315,매도완료!$P:$P)+SUMIF(ING!$G:$G,Sheet2!$B3315,ING!$P:$P)</f>
        <v>0</v>
      </c>
      <c r="D3315" s="16">
        <f>SUMIF(매도완료!$J:$J,Sheet2!$B3315,매도완료!$P:$P)+SUMIF(ING!$J:$J,Sheet2!$B3315,ING!$P:$P)</f>
        <v>0</v>
      </c>
      <c r="E3315" s="16">
        <f t="shared" si="102"/>
        <v>182119847.33239999</v>
      </c>
      <c r="G3315" s="16">
        <f>IF(D3315=0,0,SUMIF(매도완료!$J:$J,Sheet2!$B3315,매도완료!$S:$S))+IF(D3315=0,0,SUMIF(ING!$J:$J,Sheet2!$B3315,ING!$S:$S))</f>
        <v>0</v>
      </c>
      <c r="H3315" s="16">
        <f t="shared" si="103"/>
        <v>22412897.454762366</v>
      </c>
    </row>
    <row r="3316" spans="2:8" hidden="1" x14ac:dyDescent="0.4">
      <c r="B3316" s="1">
        <v>45865</v>
      </c>
      <c r="C3316" s="16">
        <f>SUMIF(매도완료!$G:$G,Sheet2!$B3316,매도완료!$P:$P)+SUMIF(ING!$G:$G,Sheet2!$B3316,ING!$P:$P)</f>
        <v>0</v>
      </c>
      <c r="D3316" s="16">
        <f>SUMIF(매도완료!$J:$J,Sheet2!$B3316,매도완료!$P:$P)+SUMIF(ING!$J:$J,Sheet2!$B3316,ING!$P:$P)</f>
        <v>0</v>
      </c>
      <c r="E3316" s="16">
        <f t="shared" si="102"/>
        <v>182119847.33239999</v>
      </c>
      <c r="G3316" s="16">
        <f>IF(D3316=0,0,SUMIF(매도완료!$J:$J,Sheet2!$B3316,매도완료!$S:$S))+IF(D3316=0,0,SUMIF(ING!$J:$J,Sheet2!$B3316,ING!$S:$S))</f>
        <v>0</v>
      </c>
      <c r="H3316" s="16">
        <f t="shared" si="103"/>
        <v>22412897.454762366</v>
      </c>
    </row>
    <row r="3317" spans="2:8" hidden="1" x14ac:dyDescent="0.4">
      <c r="B3317" s="1">
        <v>45866</v>
      </c>
      <c r="C3317" s="16">
        <f>SUMIF(매도완료!$G:$G,Sheet2!$B3317,매도완료!$P:$P)+SUMIF(ING!$G:$G,Sheet2!$B3317,ING!$P:$P)</f>
        <v>18110</v>
      </c>
      <c r="D3317" s="16">
        <f>SUMIF(매도완료!$J:$J,Sheet2!$B3317,매도완료!$P:$P)+SUMIF(ING!$J:$J,Sheet2!$B3317,ING!$P:$P)</f>
        <v>0</v>
      </c>
      <c r="E3317" s="16">
        <f t="shared" si="102"/>
        <v>182137957.33239999</v>
      </c>
      <c r="G3317" s="16">
        <f>IF(D3317=0,0,SUMIF(매도완료!$J:$J,Sheet2!$B3317,매도완료!$S:$S))+IF(D3317=0,0,SUMIF(ING!$J:$J,Sheet2!$B3317,ING!$S:$S))</f>
        <v>0</v>
      </c>
      <c r="H3317" s="16">
        <f t="shared" si="103"/>
        <v>22412897.454762366</v>
      </c>
    </row>
    <row r="3318" spans="2:8" hidden="1" x14ac:dyDescent="0.4">
      <c r="B3318" s="1">
        <v>45867</v>
      </c>
      <c r="C3318" s="16">
        <f>SUMIF(매도완료!$G:$G,Sheet2!$B3318,매도완료!$P:$P)+SUMIF(ING!$G:$G,Sheet2!$B3318,ING!$P:$P)</f>
        <v>44282</v>
      </c>
      <c r="D3318" s="16">
        <f>SUMIF(매도완료!$J:$J,Sheet2!$B3318,매도완료!$P:$P)+SUMIF(ING!$J:$J,Sheet2!$B3318,ING!$P:$P)</f>
        <v>2567000</v>
      </c>
      <c r="E3318" s="16">
        <f t="shared" si="102"/>
        <v>179615239.33239999</v>
      </c>
      <c r="G3318" s="16">
        <f>IF(D3318=0,0,SUMIF(매도완료!$J:$J,Sheet2!$B3318,매도완료!$S:$S))+IF(D3318=0,0,SUMIF(ING!$J:$J,Sheet2!$B3318,ING!$S:$S))</f>
        <v>298877.8</v>
      </c>
      <c r="H3318" s="16">
        <f t="shared" si="103"/>
        <v>22711775.254762366</v>
      </c>
    </row>
    <row r="3319" spans="2:8" hidden="1" x14ac:dyDescent="0.4">
      <c r="B3319" s="1">
        <v>45868</v>
      </c>
      <c r="C3319" s="16">
        <f>SUMIF(매도완료!$G:$G,Sheet2!$B3319,매도완료!$P:$P)+SUMIF(ING!$G:$G,Sheet2!$B3319,ING!$P:$P)</f>
        <v>617800</v>
      </c>
      <c r="D3319" s="16">
        <f>SUMIF(매도완료!$J:$J,Sheet2!$B3319,매도완료!$P:$P)+SUMIF(ING!$J:$J,Sheet2!$B3319,ING!$P:$P)</f>
        <v>3803000</v>
      </c>
      <c r="E3319" s="16">
        <f t="shared" si="102"/>
        <v>176430039.33239999</v>
      </c>
      <c r="G3319" s="16">
        <f>IF(D3319=0,0,SUMIF(매도완료!$J:$J,Sheet2!$B3319,매도완료!$S:$S))+IF(D3319=0,0,SUMIF(ING!$J:$J,Sheet2!$B3319,ING!$S:$S))</f>
        <v>224826</v>
      </c>
      <c r="H3319" s="16">
        <f t="shared" si="103"/>
        <v>22936601.254762366</v>
      </c>
    </row>
    <row r="3320" spans="2:8" hidden="1" x14ac:dyDescent="0.4">
      <c r="B3320" s="1">
        <v>45869</v>
      </c>
      <c r="C3320" s="16">
        <f>SUMIF(매도완료!$G:$G,Sheet2!$B3320,매도완료!$P:$P)+SUMIF(ING!$G:$G,Sheet2!$B3320,ING!$P:$P)</f>
        <v>29550</v>
      </c>
      <c r="D3320" s="16">
        <f>SUMIF(매도완료!$J:$J,Sheet2!$B3320,매도완료!$P:$P)+SUMIF(ING!$J:$J,Sheet2!$B3320,ING!$P:$P)</f>
        <v>0</v>
      </c>
      <c r="E3320" s="16">
        <f t="shared" si="102"/>
        <v>176459589.33239999</v>
      </c>
      <c r="G3320" s="16">
        <f>IF(D3320=0,0,SUMIF(매도완료!$J:$J,Sheet2!$B3320,매도완료!$S:$S))+IF(D3320=0,0,SUMIF(ING!$J:$J,Sheet2!$B3320,ING!$S:$S))</f>
        <v>0</v>
      </c>
      <c r="H3320" s="16">
        <f t="shared" si="103"/>
        <v>22936601.254762366</v>
      </c>
    </row>
    <row r="3321" spans="2:8" x14ac:dyDescent="0.4">
      <c r="B3321" s="1">
        <v>45870</v>
      </c>
      <c r="C3321" s="16">
        <f>SUMIF(매도완료!$G:$G,Sheet2!$B3321,매도완료!$P:$P)+SUMIF(ING!$G:$G,Sheet2!$B3321,ING!$P:$P)</f>
        <v>3260</v>
      </c>
      <c r="D3321" s="16">
        <f>SUMIF(매도완료!$J:$J,Sheet2!$B3321,매도완료!$P:$P)+SUMIF(ING!$J:$J,Sheet2!$B3321,ING!$P:$P)</f>
        <v>0</v>
      </c>
      <c r="E3321" s="16">
        <f t="shared" si="102"/>
        <v>176462849.33239999</v>
      </c>
      <c r="G3321" s="16">
        <f>IF(D3321=0,0,SUMIF(매도완료!$J:$J,Sheet2!$B3321,매도완료!$S:$S))+IF(D3321=0,0,SUMIF(ING!$J:$J,Sheet2!$B3321,ING!$S:$S))</f>
        <v>0</v>
      </c>
      <c r="H3321" s="16">
        <f t="shared" si="103"/>
        <v>22936601.254762366</v>
      </c>
    </row>
    <row r="3322" spans="2:8" hidden="1" x14ac:dyDescent="0.4">
      <c r="B3322" s="1">
        <v>45871</v>
      </c>
      <c r="C3322" s="16">
        <f>SUMIF(매도완료!$G:$G,Sheet2!$B3322,매도완료!$P:$P)+SUMIF(ING!$G:$G,Sheet2!$B3322,ING!$P:$P)</f>
        <v>0</v>
      </c>
      <c r="D3322" s="16">
        <f>SUMIF(매도완료!$J:$J,Sheet2!$B3322,매도완료!$P:$P)+SUMIF(ING!$J:$J,Sheet2!$B3322,ING!$P:$P)</f>
        <v>0</v>
      </c>
      <c r="E3322" s="16">
        <f t="shared" si="102"/>
        <v>176462849.33239999</v>
      </c>
      <c r="G3322" s="16">
        <f>IF(D3322=0,0,SUMIF(매도완료!$J:$J,Sheet2!$B3322,매도완료!$S:$S))+IF(D3322=0,0,SUMIF(ING!$J:$J,Sheet2!$B3322,ING!$S:$S))</f>
        <v>0</v>
      </c>
      <c r="H3322" s="16">
        <f t="shared" si="103"/>
        <v>22936601.254762366</v>
      </c>
    </row>
    <row r="3323" spans="2:8" hidden="1" x14ac:dyDescent="0.4">
      <c r="B3323" s="1">
        <v>45872</v>
      </c>
      <c r="C3323" s="16">
        <f>SUMIF(매도완료!$G:$G,Sheet2!$B3323,매도완료!$P:$P)+SUMIF(ING!$G:$G,Sheet2!$B3323,ING!$P:$P)</f>
        <v>0</v>
      </c>
      <c r="D3323" s="16">
        <f>SUMIF(매도완료!$J:$J,Sheet2!$B3323,매도완료!$P:$P)+SUMIF(ING!$J:$J,Sheet2!$B3323,ING!$P:$P)</f>
        <v>0</v>
      </c>
      <c r="E3323" s="16">
        <f t="shared" si="102"/>
        <v>176462849.33239999</v>
      </c>
      <c r="G3323" s="16">
        <f>IF(D3323=0,0,SUMIF(매도완료!$J:$J,Sheet2!$B3323,매도완료!$S:$S))+IF(D3323=0,0,SUMIF(ING!$J:$J,Sheet2!$B3323,ING!$S:$S))</f>
        <v>0</v>
      </c>
      <c r="H3323" s="16">
        <f t="shared" si="103"/>
        <v>22936601.254762366</v>
      </c>
    </row>
    <row r="3324" spans="2:8" hidden="1" x14ac:dyDescent="0.4">
      <c r="B3324" s="1">
        <v>45873</v>
      </c>
      <c r="C3324" s="16">
        <f>SUMIF(매도완료!$G:$G,Sheet2!$B3324,매도완료!$P:$P)+SUMIF(ING!$G:$G,Sheet2!$B3324,ING!$P:$P)</f>
        <v>17390</v>
      </c>
      <c r="D3324" s="16">
        <f>SUMIF(매도완료!$J:$J,Sheet2!$B3324,매도완료!$P:$P)+SUMIF(ING!$J:$J,Sheet2!$B3324,ING!$P:$P)</f>
        <v>0</v>
      </c>
      <c r="E3324" s="16">
        <f t="shared" si="102"/>
        <v>176480239.33239999</v>
      </c>
      <c r="G3324" s="16">
        <f>IF(D3324=0,0,SUMIF(매도완료!$J:$J,Sheet2!$B3324,매도완료!$S:$S))+IF(D3324=0,0,SUMIF(ING!$J:$J,Sheet2!$B3324,ING!$S:$S))</f>
        <v>0</v>
      </c>
      <c r="H3324" s="16">
        <f t="shared" si="103"/>
        <v>22936601.254762366</v>
      </c>
    </row>
    <row r="3325" spans="2:8" hidden="1" x14ac:dyDescent="0.4">
      <c r="B3325" s="1">
        <v>45874</v>
      </c>
      <c r="C3325" s="16">
        <f>SUMIF(매도완료!$G:$G,Sheet2!$B3325,매도완료!$P:$P)+SUMIF(ING!$G:$G,Sheet2!$B3325,ING!$P:$P)</f>
        <v>7167</v>
      </c>
      <c r="D3325" s="16">
        <f>SUMIF(매도완료!$J:$J,Sheet2!$B3325,매도완료!$P:$P)+SUMIF(ING!$J:$J,Sheet2!$B3325,ING!$P:$P)</f>
        <v>0</v>
      </c>
      <c r="E3325" s="16">
        <f t="shared" si="102"/>
        <v>176487406.33239999</v>
      </c>
      <c r="G3325" s="16">
        <f>IF(D3325=0,0,SUMIF(매도완료!$J:$J,Sheet2!$B3325,매도완료!$S:$S))+IF(D3325=0,0,SUMIF(ING!$J:$J,Sheet2!$B3325,ING!$S:$S))</f>
        <v>0</v>
      </c>
      <c r="H3325" s="16">
        <f t="shared" si="103"/>
        <v>22936601.254762366</v>
      </c>
    </row>
    <row r="3326" spans="2:8" hidden="1" x14ac:dyDescent="0.4">
      <c r="B3326" s="1">
        <v>45875</v>
      </c>
      <c r="C3326" s="16">
        <f>SUMIF(매도완료!$G:$G,Sheet2!$B3326,매도완료!$P:$P)+SUMIF(ING!$G:$G,Sheet2!$B3326,ING!$P:$P)</f>
        <v>50840</v>
      </c>
      <c r="D3326" s="16">
        <f>SUMIF(매도완료!$J:$J,Sheet2!$B3326,매도완료!$P:$P)+SUMIF(ING!$J:$J,Sheet2!$B3326,ING!$P:$P)</f>
        <v>0</v>
      </c>
      <c r="E3326" s="16">
        <f t="shared" si="102"/>
        <v>176538246.33239999</v>
      </c>
      <c r="G3326" s="16">
        <f>IF(D3326=0,0,SUMIF(매도완료!$J:$J,Sheet2!$B3326,매도완료!$S:$S))+IF(D3326=0,0,SUMIF(ING!$J:$J,Sheet2!$B3326,ING!$S:$S))</f>
        <v>0</v>
      </c>
      <c r="H3326" s="16">
        <f t="shared" si="103"/>
        <v>22936601.254762366</v>
      </c>
    </row>
    <row r="3327" spans="2:8" hidden="1" x14ac:dyDescent="0.4">
      <c r="B3327" s="1">
        <v>45876</v>
      </c>
      <c r="C3327" s="16">
        <f>SUMIF(매도완료!$G:$G,Sheet2!$B3327,매도완료!$P:$P)+SUMIF(ING!$G:$G,Sheet2!$B3327,ING!$P:$P)</f>
        <v>29750</v>
      </c>
      <c r="D3327" s="16">
        <f>SUMIF(매도완료!$J:$J,Sheet2!$B3327,매도완료!$P:$P)+SUMIF(ING!$J:$J,Sheet2!$B3327,ING!$P:$P)</f>
        <v>0</v>
      </c>
      <c r="E3327" s="16">
        <f t="shared" si="102"/>
        <v>176567996.33239999</v>
      </c>
      <c r="G3327" s="16">
        <f>IF(D3327=0,0,SUMIF(매도완료!$J:$J,Sheet2!$B3327,매도완료!$S:$S))+IF(D3327=0,0,SUMIF(ING!$J:$J,Sheet2!$B3327,ING!$S:$S))</f>
        <v>0</v>
      </c>
      <c r="H3327" s="16">
        <f t="shared" si="103"/>
        <v>22936601.254762366</v>
      </c>
    </row>
    <row r="3328" spans="2:8" hidden="1" x14ac:dyDescent="0.4">
      <c r="B3328" s="1">
        <v>45877</v>
      </c>
      <c r="C3328" s="16">
        <f>SUMIF(매도완료!$G:$G,Sheet2!$B3328,매도완료!$P:$P)+SUMIF(ING!$G:$G,Sheet2!$B3328,ING!$P:$P)</f>
        <v>3190</v>
      </c>
      <c r="D3328" s="16">
        <f>SUMIF(매도완료!$J:$J,Sheet2!$B3328,매도완료!$P:$P)+SUMIF(ING!$J:$J,Sheet2!$B3328,ING!$P:$P)</f>
        <v>0</v>
      </c>
      <c r="E3328" s="16">
        <f t="shared" si="102"/>
        <v>176571186.33239999</v>
      </c>
      <c r="G3328" s="16">
        <f>IF(D3328=0,0,SUMIF(매도완료!$J:$J,Sheet2!$B3328,매도완료!$S:$S))+IF(D3328=0,0,SUMIF(ING!$J:$J,Sheet2!$B3328,ING!$S:$S))</f>
        <v>0</v>
      </c>
      <c r="H3328" s="16">
        <f t="shared" si="103"/>
        <v>22936601.254762366</v>
      </c>
    </row>
    <row r="3329" spans="2:8" hidden="1" x14ac:dyDescent="0.4">
      <c r="B3329" s="1">
        <v>45878</v>
      </c>
      <c r="C3329" s="16">
        <f>SUMIF(매도완료!$G:$G,Sheet2!$B3329,매도완료!$P:$P)+SUMIF(ING!$G:$G,Sheet2!$B3329,ING!$P:$P)</f>
        <v>0</v>
      </c>
      <c r="D3329" s="16">
        <f>SUMIF(매도완료!$J:$J,Sheet2!$B3329,매도완료!$P:$P)+SUMIF(ING!$J:$J,Sheet2!$B3329,ING!$P:$P)</f>
        <v>0</v>
      </c>
      <c r="E3329" s="16">
        <f t="shared" si="102"/>
        <v>176571186.33239999</v>
      </c>
      <c r="G3329" s="16">
        <f>IF(D3329=0,0,SUMIF(매도완료!$J:$J,Sheet2!$B3329,매도완료!$S:$S))+IF(D3329=0,0,SUMIF(ING!$J:$J,Sheet2!$B3329,ING!$S:$S))</f>
        <v>0</v>
      </c>
      <c r="H3329" s="16">
        <f t="shared" si="103"/>
        <v>22936601.254762366</v>
      </c>
    </row>
    <row r="3330" spans="2:8" hidden="1" x14ac:dyDescent="0.4">
      <c r="B3330" s="1">
        <v>45879</v>
      </c>
      <c r="C3330" s="16">
        <f>SUMIF(매도완료!$G:$G,Sheet2!$B3330,매도완료!$P:$P)+SUMIF(ING!$G:$G,Sheet2!$B3330,ING!$P:$P)</f>
        <v>0</v>
      </c>
      <c r="D3330" s="16">
        <f>SUMIF(매도완료!$J:$J,Sheet2!$B3330,매도완료!$P:$P)+SUMIF(ING!$J:$J,Sheet2!$B3330,ING!$P:$P)</f>
        <v>0</v>
      </c>
      <c r="E3330" s="16">
        <f t="shared" si="102"/>
        <v>176571186.33239999</v>
      </c>
      <c r="G3330" s="16">
        <f>IF(D3330=0,0,SUMIF(매도완료!$J:$J,Sheet2!$B3330,매도완료!$S:$S))+IF(D3330=0,0,SUMIF(ING!$J:$J,Sheet2!$B3330,ING!$S:$S))</f>
        <v>0</v>
      </c>
      <c r="H3330" s="16">
        <f t="shared" si="103"/>
        <v>22936601.254762366</v>
      </c>
    </row>
    <row r="3331" spans="2:8" hidden="1" x14ac:dyDescent="0.4">
      <c r="B3331" s="1">
        <v>45880</v>
      </c>
      <c r="C3331" s="16">
        <f>SUMIF(매도완료!$G:$G,Sheet2!$B3331,매도완료!$P:$P)+SUMIF(ING!$G:$G,Sheet2!$B3331,ING!$P:$P)</f>
        <v>653080</v>
      </c>
      <c r="D3331" s="16">
        <f>SUMIF(매도완료!$J:$J,Sheet2!$B3331,매도완료!$P:$P)+SUMIF(ING!$J:$J,Sheet2!$B3331,ING!$P:$P)</f>
        <v>0</v>
      </c>
      <c r="E3331" s="16">
        <f t="shared" si="102"/>
        <v>177224266.33239999</v>
      </c>
      <c r="G3331" s="16">
        <f>IF(D3331=0,0,SUMIF(매도완료!$J:$J,Sheet2!$B3331,매도완료!$S:$S))+IF(D3331=0,0,SUMIF(ING!$J:$J,Sheet2!$B3331,ING!$S:$S))</f>
        <v>0</v>
      </c>
      <c r="H3331" s="16">
        <f t="shared" si="103"/>
        <v>22936601.254762366</v>
      </c>
    </row>
    <row r="3332" spans="2:8" hidden="1" x14ac:dyDescent="0.4">
      <c r="B3332" s="1">
        <v>45881</v>
      </c>
      <c r="C3332" s="16">
        <f>SUMIF(매도완료!$G:$G,Sheet2!$B3332,매도완료!$P:$P)+SUMIF(ING!$G:$G,Sheet2!$B3332,ING!$P:$P)</f>
        <v>2478603</v>
      </c>
      <c r="D3332" s="16">
        <f>SUMIF(매도완료!$J:$J,Sheet2!$B3332,매도완료!$P:$P)+SUMIF(ING!$J:$J,Sheet2!$B3332,ING!$P:$P)</f>
        <v>0</v>
      </c>
      <c r="E3332" s="16">
        <f t="shared" ref="E3332:E3395" si="104">E3331+C3332-D3332</f>
        <v>179702869.33239999</v>
      </c>
      <c r="G3332" s="16">
        <f>IF(D3332=0,0,SUMIF(매도완료!$J:$J,Sheet2!$B3332,매도완료!$S:$S))+IF(D3332=0,0,SUMIF(ING!$J:$J,Sheet2!$B3332,ING!$S:$S))</f>
        <v>0</v>
      </c>
      <c r="H3332" s="16">
        <f t="shared" ref="H3332:H3395" si="105">H3331+G3332</f>
        <v>22936601.254762366</v>
      </c>
    </row>
    <row r="3333" spans="2:8" hidden="1" x14ac:dyDescent="0.4">
      <c r="B3333" s="1">
        <v>45882</v>
      </c>
      <c r="C3333" s="16">
        <f>SUMIF(매도완료!$G:$G,Sheet2!$B3333,매도완료!$P:$P)+SUMIF(ING!$G:$G,Sheet2!$B3333,ING!$P:$P)</f>
        <v>2070140</v>
      </c>
      <c r="D3333" s="16">
        <f>SUMIF(매도완료!$J:$J,Sheet2!$B3333,매도완료!$P:$P)+SUMIF(ING!$J:$J,Sheet2!$B3333,ING!$P:$P)</f>
        <v>0</v>
      </c>
      <c r="E3333" s="16">
        <f t="shared" si="104"/>
        <v>181773009.33239999</v>
      </c>
      <c r="G3333" s="16">
        <f>IF(D3333=0,0,SUMIF(매도완료!$J:$J,Sheet2!$B3333,매도완료!$S:$S))+IF(D3333=0,0,SUMIF(ING!$J:$J,Sheet2!$B3333,ING!$S:$S))</f>
        <v>0</v>
      </c>
      <c r="H3333" s="16">
        <f t="shared" si="105"/>
        <v>22936601.254762366</v>
      </c>
    </row>
    <row r="3334" spans="2:8" hidden="1" x14ac:dyDescent="0.4">
      <c r="B3334" s="1">
        <v>45883</v>
      </c>
      <c r="C3334" s="16">
        <f>SUMIF(매도완료!$G:$G,Sheet2!$B3334,매도완료!$P:$P)+SUMIF(ING!$G:$G,Sheet2!$B3334,ING!$P:$P)</f>
        <v>29550</v>
      </c>
      <c r="D3334" s="16">
        <f>SUMIF(매도완료!$J:$J,Sheet2!$B3334,매도완료!$P:$P)+SUMIF(ING!$J:$J,Sheet2!$B3334,ING!$P:$P)</f>
        <v>0</v>
      </c>
      <c r="E3334" s="16">
        <f t="shared" si="104"/>
        <v>181802559.33239999</v>
      </c>
      <c r="G3334" s="16">
        <f>IF(D3334=0,0,SUMIF(매도완료!$J:$J,Sheet2!$B3334,매도완료!$S:$S))+IF(D3334=0,0,SUMIF(ING!$J:$J,Sheet2!$B3334,ING!$S:$S))</f>
        <v>0</v>
      </c>
      <c r="H3334" s="16">
        <f t="shared" si="105"/>
        <v>22936601.254762366</v>
      </c>
    </row>
    <row r="3335" spans="2:8" hidden="1" x14ac:dyDescent="0.4">
      <c r="B3335" s="1">
        <v>45884</v>
      </c>
      <c r="C3335" s="16">
        <f>SUMIF(매도완료!$G:$G,Sheet2!$B3335,매도완료!$P:$P)+SUMIF(ING!$G:$G,Sheet2!$B3335,ING!$P:$P)</f>
        <v>0</v>
      </c>
      <c r="D3335" s="16">
        <f>SUMIF(매도완료!$J:$J,Sheet2!$B3335,매도완료!$P:$P)+SUMIF(ING!$J:$J,Sheet2!$B3335,ING!$P:$P)</f>
        <v>0</v>
      </c>
      <c r="E3335" s="16">
        <f t="shared" si="104"/>
        <v>181802559.33239999</v>
      </c>
      <c r="G3335" s="16">
        <f>IF(D3335=0,0,SUMIF(매도완료!$J:$J,Sheet2!$B3335,매도완료!$S:$S))+IF(D3335=0,0,SUMIF(ING!$J:$J,Sheet2!$B3335,ING!$S:$S))</f>
        <v>0</v>
      </c>
      <c r="H3335" s="16">
        <f t="shared" si="105"/>
        <v>22936601.254762366</v>
      </c>
    </row>
    <row r="3336" spans="2:8" hidden="1" x14ac:dyDescent="0.4">
      <c r="B3336" s="1">
        <v>45885</v>
      </c>
      <c r="C3336" s="16">
        <f>SUMIF(매도완료!$G:$G,Sheet2!$B3336,매도완료!$P:$P)+SUMIF(ING!$G:$G,Sheet2!$B3336,ING!$P:$P)</f>
        <v>0</v>
      </c>
      <c r="D3336" s="16">
        <f>SUMIF(매도완료!$J:$J,Sheet2!$B3336,매도완료!$P:$P)+SUMIF(ING!$J:$J,Sheet2!$B3336,ING!$P:$P)</f>
        <v>0</v>
      </c>
      <c r="E3336" s="16">
        <f t="shared" si="104"/>
        <v>181802559.33239999</v>
      </c>
      <c r="G3336" s="16">
        <f>IF(D3336=0,0,SUMIF(매도완료!$J:$J,Sheet2!$B3336,매도완료!$S:$S))+IF(D3336=0,0,SUMIF(ING!$J:$J,Sheet2!$B3336,ING!$S:$S))</f>
        <v>0</v>
      </c>
      <c r="H3336" s="16">
        <f t="shared" si="105"/>
        <v>22936601.254762366</v>
      </c>
    </row>
    <row r="3337" spans="2:8" hidden="1" x14ac:dyDescent="0.4">
      <c r="B3337" s="1">
        <v>45886</v>
      </c>
      <c r="C3337" s="16">
        <f>SUMIF(매도완료!$G:$G,Sheet2!$B3337,매도완료!$P:$P)+SUMIF(ING!$G:$G,Sheet2!$B3337,ING!$P:$P)</f>
        <v>0</v>
      </c>
      <c r="D3337" s="16">
        <f>SUMIF(매도완료!$J:$J,Sheet2!$B3337,매도완료!$P:$P)+SUMIF(ING!$J:$J,Sheet2!$B3337,ING!$P:$P)</f>
        <v>0</v>
      </c>
      <c r="E3337" s="16">
        <f t="shared" si="104"/>
        <v>181802559.33239999</v>
      </c>
      <c r="G3337" s="16">
        <f>IF(D3337=0,0,SUMIF(매도완료!$J:$J,Sheet2!$B3337,매도완료!$S:$S))+IF(D3337=0,0,SUMIF(ING!$J:$J,Sheet2!$B3337,ING!$S:$S))</f>
        <v>0</v>
      </c>
      <c r="H3337" s="16">
        <f t="shared" si="105"/>
        <v>22936601.254762366</v>
      </c>
    </row>
    <row r="3338" spans="2:8" hidden="1" x14ac:dyDescent="0.4">
      <c r="B3338" s="1">
        <v>45887</v>
      </c>
      <c r="C3338" s="16">
        <f>SUMIF(매도완료!$G:$G,Sheet2!$B3338,매도완료!$P:$P)+SUMIF(ING!$G:$G,Sheet2!$B3338,ING!$P:$P)</f>
        <v>1932810</v>
      </c>
      <c r="D3338" s="16">
        <f>SUMIF(매도완료!$J:$J,Sheet2!$B3338,매도완료!$P:$P)+SUMIF(ING!$J:$J,Sheet2!$B3338,ING!$P:$P)</f>
        <v>0</v>
      </c>
      <c r="E3338" s="16">
        <f t="shared" si="104"/>
        <v>183735369.33239999</v>
      </c>
      <c r="G3338" s="16">
        <f>IF(D3338=0,0,SUMIF(매도완료!$J:$J,Sheet2!$B3338,매도완료!$S:$S))+IF(D3338=0,0,SUMIF(ING!$J:$J,Sheet2!$B3338,ING!$S:$S))</f>
        <v>0</v>
      </c>
      <c r="H3338" s="16">
        <f t="shared" si="105"/>
        <v>22936601.254762366</v>
      </c>
    </row>
    <row r="3339" spans="2:8" hidden="1" x14ac:dyDescent="0.4">
      <c r="B3339" s="1">
        <v>45888</v>
      </c>
      <c r="C3339" s="16">
        <f>SUMIF(매도완료!$G:$G,Sheet2!$B3339,매도완료!$P:$P)+SUMIF(ING!$G:$G,Sheet2!$B3339,ING!$P:$P)</f>
        <v>6862</v>
      </c>
      <c r="D3339" s="16">
        <f>SUMIF(매도완료!$J:$J,Sheet2!$B3339,매도완료!$P:$P)+SUMIF(ING!$J:$J,Sheet2!$B3339,ING!$P:$P)</f>
        <v>0</v>
      </c>
      <c r="E3339" s="16">
        <f t="shared" si="104"/>
        <v>183742231.33239999</v>
      </c>
      <c r="G3339" s="16">
        <f>IF(D3339=0,0,SUMIF(매도완료!$J:$J,Sheet2!$B3339,매도완료!$S:$S))+IF(D3339=0,0,SUMIF(ING!$J:$J,Sheet2!$B3339,ING!$S:$S))</f>
        <v>0</v>
      </c>
      <c r="H3339" s="16">
        <f t="shared" si="105"/>
        <v>22936601.254762366</v>
      </c>
    </row>
    <row r="3340" spans="2:8" hidden="1" x14ac:dyDescent="0.4">
      <c r="B3340" s="1">
        <v>45889</v>
      </c>
      <c r="C3340" s="16">
        <f>SUMIF(매도완료!$G:$G,Sheet2!$B3340,매도완료!$P:$P)+SUMIF(ING!$G:$G,Sheet2!$B3340,ING!$P:$P)</f>
        <v>49500</v>
      </c>
      <c r="D3340" s="16">
        <f>SUMIF(매도완료!$J:$J,Sheet2!$B3340,매도완료!$P:$P)+SUMIF(ING!$J:$J,Sheet2!$B3340,ING!$P:$P)</f>
        <v>0</v>
      </c>
      <c r="E3340" s="16">
        <f t="shared" si="104"/>
        <v>183791731.33239999</v>
      </c>
      <c r="G3340" s="16">
        <f>IF(D3340=0,0,SUMIF(매도완료!$J:$J,Sheet2!$B3340,매도완료!$S:$S))+IF(D3340=0,0,SUMIF(ING!$J:$J,Sheet2!$B3340,ING!$S:$S))</f>
        <v>0</v>
      </c>
      <c r="H3340" s="16">
        <f t="shared" si="105"/>
        <v>22936601.254762366</v>
      </c>
    </row>
    <row r="3341" spans="2:8" hidden="1" x14ac:dyDescent="0.4">
      <c r="B3341" s="1">
        <v>45890</v>
      </c>
      <c r="C3341" s="16">
        <f>SUMIF(매도완료!$G:$G,Sheet2!$B3341,매도완료!$P:$P)+SUMIF(ING!$G:$G,Sheet2!$B3341,ING!$P:$P)</f>
        <v>29450</v>
      </c>
      <c r="D3341" s="16">
        <f>SUMIF(매도완료!$J:$J,Sheet2!$B3341,매도완료!$P:$P)+SUMIF(ING!$J:$J,Sheet2!$B3341,ING!$P:$P)</f>
        <v>0</v>
      </c>
      <c r="E3341" s="16">
        <f t="shared" si="104"/>
        <v>183821181.33239999</v>
      </c>
      <c r="G3341" s="16">
        <f>IF(D3341=0,0,SUMIF(매도완료!$J:$J,Sheet2!$B3341,매도완료!$S:$S))+IF(D3341=0,0,SUMIF(ING!$J:$J,Sheet2!$B3341,ING!$S:$S))</f>
        <v>0</v>
      </c>
      <c r="H3341" s="16">
        <f t="shared" si="105"/>
        <v>22936601.254762366</v>
      </c>
    </row>
    <row r="3342" spans="2:8" hidden="1" x14ac:dyDescent="0.4">
      <c r="B3342" s="1">
        <v>45891</v>
      </c>
      <c r="C3342" s="16">
        <f>SUMIF(매도완료!$G:$G,Sheet2!$B3342,매도완료!$P:$P)+SUMIF(ING!$G:$G,Sheet2!$B3342,ING!$P:$P)</f>
        <v>3150</v>
      </c>
      <c r="D3342" s="16">
        <f>SUMIF(매도완료!$J:$J,Sheet2!$B3342,매도완료!$P:$P)+SUMIF(ING!$J:$J,Sheet2!$B3342,ING!$P:$P)</f>
        <v>0</v>
      </c>
      <c r="E3342" s="16">
        <f t="shared" si="104"/>
        <v>183824331.33239999</v>
      </c>
      <c r="G3342" s="16">
        <f>IF(D3342=0,0,SUMIF(매도완료!$J:$J,Sheet2!$B3342,매도완료!$S:$S))+IF(D3342=0,0,SUMIF(ING!$J:$J,Sheet2!$B3342,ING!$S:$S))</f>
        <v>0</v>
      </c>
      <c r="H3342" s="16">
        <f t="shared" si="105"/>
        <v>22936601.254762366</v>
      </c>
    </row>
    <row r="3343" spans="2:8" hidden="1" x14ac:dyDescent="0.4">
      <c r="B3343" s="1">
        <v>45892</v>
      </c>
      <c r="C3343" s="16">
        <f>SUMIF(매도완료!$G:$G,Sheet2!$B3343,매도완료!$P:$P)+SUMIF(ING!$G:$G,Sheet2!$B3343,ING!$P:$P)</f>
        <v>0</v>
      </c>
      <c r="D3343" s="16">
        <f>SUMIF(매도완료!$J:$J,Sheet2!$B3343,매도완료!$P:$P)+SUMIF(ING!$J:$J,Sheet2!$B3343,ING!$P:$P)</f>
        <v>0</v>
      </c>
      <c r="E3343" s="16">
        <f t="shared" si="104"/>
        <v>183824331.33239999</v>
      </c>
      <c r="G3343" s="16">
        <f>IF(D3343=0,0,SUMIF(매도완료!$J:$J,Sheet2!$B3343,매도완료!$S:$S))+IF(D3343=0,0,SUMIF(ING!$J:$J,Sheet2!$B3343,ING!$S:$S))</f>
        <v>0</v>
      </c>
      <c r="H3343" s="16">
        <f t="shared" si="105"/>
        <v>22936601.254762366</v>
      </c>
    </row>
    <row r="3344" spans="2:8" hidden="1" x14ac:dyDescent="0.4">
      <c r="B3344" s="1">
        <v>45893</v>
      </c>
      <c r="C3344" s="16">
        <f>SUMIF(매도완료!$G:$G,Sheet2!$B3344,매도완료!$P:$P)+SUMIF(ING!$G:$G,Sheet2!$B3344,ING!$P:$P)</f>
        <v>0</v>
      </c>
      <c r="D3344" s="16">
        <f>SUMIF(매도완료!$J:$J,Sheet2!$B3344,매도완료!$P:$P)+SUMIF(ING!$J:$J,Sheet2!$B3344,ING!$P:$P)</f>
        <v>0</v>
      </c>
      <c r="E3344" s="16">
        <f t="shared" si="104"/>
        <v>183824331.33239999</v>
      </c>
      <c r="G3344" s="16">
        <f>IF(D3344=0,0,SUMIF(매도완료!$J:$J,Sheet2!$B3344,매도완료!$S:$S))+IF(D3344=0,0,SUMIF(ING!$J:$J,Sheet2!$B3344,ING!$S:$S))</f>
        <v>0</v>
      </c>
      <c r="H3344" s="16">
        <f t="shared" si="105"/>
        <v>22936601.254762366</v>
      </c>
    </row>
    <row r="3345" spans="2:8" hidden="1" x14ac:dyDescent="0.4">
      <c r="B3345" s="1">
        <v>45894</v>
      </c>
      <c r="C3345" s="16">
        <f>SUMIF(매도완료!$G:$G,Sheet2!$B3345,매도완료!$P:$P)+SUMIF(ING!$G:$G,Sheet2!$B3345,ING!$P:$P)</f>
        <v>20463020</v>
      </c>
      <c r="D3345" s="16">
        <f>SUMIF(매도완료!$J:$J,Sheet2!$B3345,매도완료!$P:$P)+SUMIF(ING!$J:$J,Sheet2!$B3345,ING!$P:$P)</f>
        <v>0</v>
      </c>
      <c r="E3345" s="16">
        <f t="shared" si="104"/>
        <v>204287351.33239999</v>
      </c>
      <c r="G3345" s="16">
        <f>IF(D3345=0,0,SUMIF(매도완료!$J:$J,Sheet2!$B3345,매도완료!$S:$S))+IF(D3345=0,0,SUMIF(ING!$J:$J,Sheet2!$B3345,ING!$S:$S))</f>
        <v>0</v>
      </c>
      <c r="H3345" s="16">
        <f t="shared" si="105"/>
        <v>22936601.254762366</v>
      </c>
    </row>
    <row r="3346" spans="2:8" hidden="1" x14ac:dyDescent="0.4">
      <c r="B3346" s="1">
        <v>45895</v>
      </c>
      <c r="C3346" s="16">
        <f>SUMIF(매도완료!$G:$G,Sheet2!$B3346,매도완료!$P:$P)+SUMIF(ING!$G:$G,Sheet2!$B3346,ING!$P:$P)</f>
        <v>6599</v>
      </c>
      <c r="D3346" s="16">
        <f>SUMIF(매도완료!$J:$J,Sheet2!$B3346,매도완료!$P:$P)+SUMIF(ING!$J:$J,Sheet2!$B3346,ING!$P:$P)</f>
        <v>0</v>
      </c>
      <c r="E3346" s="16">
        <f t="shared" si="104"/>
        <v>204293950.33239999</v>
      </c>
      <c r="G3346" s="16">
        <f>IF(D3346=0,0,SUMIF(매도완료!$J:$J,Sheet2!$B3346,매도완료!$S:$S))+IF(D3346=0,0,SUMIF(ING!$J:$J,Sheet2!$B3346,ING!$S:$S))</f>
        <v>0</v>
      </c>
      <c r="H3346" s="16">
        <f t="shared" si="105"/>
        <v>22936601.254762366</v>
      </c>
    </row>
    <row r="3347" spans="2:8" hidden="1" x14ac:dyDescent="0.4">
      <c r="B3347" s="1">
        <v>45896</v>
      </c>
      <c r="C3347" s="16">
        <f>SUMIF(매도완료!$G:$G,Sheet2!$B3347,매도완료!$P:$P)+SUMIF(ING!$G:$G,Sheet2!$B3347,ING!$P:$P)</f>
        <v>11530380</v>
      </c>
      <c r="D3347" s="16">
        <f>SUMIF(매도완료!$J:$J,Sheet2!$B3347,매도완료!$P:$P)+SUMIF(ING!$J:$J,Sheet2!$B3347,ING!$P:$P)</f>
        <v>11489500</v>
      </c>
      <c r="E3347" s="16">
        <f t="shared" si="104"/>
        <v>204334830.33239999</v>
      </c>
      <c r="G3347" s="16">
        <f>IF(D3347=0,0,SUMIF(매도완료!$J:$J,Sheet2!$B3347,매도완료!$S:$S))+IF(D3347=0,0,SUMIF(ING!$J:$J,Sheet2!$B3347,ING!$S:$S))</f>
        <v>193887.35999999999</v>
      </c>
      <c r="H3347" s="16">
        <f t="shared" si="105"/>
        <v>23130488.614762366</v>
      </c>
    </row>
    <row r="3348" spans="2:8" hidden="1" x14ac:dyDescent="0.4">
      <c r="B3348" s="1">
        <v>45897</v>
      </c>
      <c r="C3348" s="16">
        <f>SUMIF(매도완료!$G:$G,Sheet2!$B3348,매도완료!$P:$P)+SUMIF(ING!$G:$G,Sheet2!$B3348,ING!$P:$P)</f>
        <v>5621250</v>
      </c>
      <c r="D3348" s="16">
        <f>SUMIF(매도완료!$J:$J,Sheet2!$B3348,매도완료!$P:$P)+SUMIF(ING!$J:$J,Sheet2!$B3348,ING!$P:$P)</f>
        <v>13235000</v>
      </c>
      <c r="E3348" s="16">
        <f t="shared" si="104"/>
        <v>196721080.33239999</v>
      </c>
      <c r="G3348" s="16">
        <f>IF(D3348=0,0,SUMIF(매도완료!$J:$J,Sheet2!$B3348,매도완료!$S:$S))+IF(D3348=0,0,SUMIF(ING!$J:$J,Sheet2!$B3348,ING!$S:$S))</f>
        <v>580779.06164383562</v>
      </c>
      <c r="H3348" s="16">
        <f t="shared" si="105"/>
        <v>23711267.676406201</v>
      </c>
    </row>
    <row r="3349" spans="2:8" hidden="1" x14ac:dyDescent="0.4">
      <c r="B3349" s="1">
        <v>45898</v>
      </c>
      <c r="C3349" s="16">
        <f>SUMIF(매도완료!$G:$G,Sheet2!$B3349,매도완료!$P:$P)+SUMIF(ING!$G:$G,Sheet2!$B3349,ING!$P:$P)</f>
        <v>6709985</v>
      </c>
      <c r="D3349" s="16">
        <f>SUMIF(매도완료!$J:$J,Sheet2!$B3349,매도완료!$P:$P)+SUMIF(ING!$J:$J,Sheet2!$B3349,ING!$P:$P)</f>
        <v>0</v>
      </c>
      <c r="E3349" s="16">
        <f t="shared" si="104"/>
        <v>203431065.33239999</v>
      </c>
      <c r="G3349" s="16">
        <f>IF(D3349=0,0,SUMIF(매도완료!$J:$J,Sheet2!$B3349,매도완료!$S:$S))+IF(D3349=0,0,SUMIF(ING!$J:$J,Sheet2!$B3349,ING!$S:$S))</f>
        <v>0</v>
      </c>
      <c r="H3349" s="16">
        <f t="shared" si="105"/>
        <v>23711267.676406201</v>
      </c>
    </row>
    <row r="3350" spans="2:8" hidden="1" x14ac:dyDescent="0.4">
      <c r="B3350" s="1">
        <v>45899</v>
      </c>
      <c r="C3350" s="16">
        <f>SUMIF(매도완료!$G:$G,Sheet2!$B3350,매도완료!$P:$P)+SUMIF(ING!$G:$G,Sheet2!$B3350,ING!$P:$P)</f>
        <v>0</v>
      </c>
      <c r="D3350" s="16">
        <f>SUMIF(매도완료!$J:$J,Sheet2!$B3350,매도완료!$P:$P)+SUMIF(ING!$J:$J,Sheet2!$B3350,ING!$P:$P)</f>
        <v>0</v>
      </c>
      <c r="E3350" s="16">
        <f t="shared" si="104"/>
        <v>203431065.33239999</v>
      </c>
      <c r="G3350" s="16">
        <f>IF(D3350=0,0,SUMIF(매도완료!$J:$J,Sheet2!$B3350,매도완료!$S:$S))+IF(D3350=0,0,SUMIF(ING!$J:$J,Sheet2!$B3350,ING!$S:$S))</f>
        <v>0</v>
      </c>
      <c r="H3350" s="16">
        <f t="shared" si="105"/>
        <v>23711267.676406201</v>
      </c>
    </row>
    <row r="3351" spans="2:8" hidden="1" x14ac:dyDescent="0.4">
      <c r="B3351" s="1">
        <v>45900</v>
      </c>
      <c r="C3351" s="16">
        <f>SUMIF(매도완료!$G:$G,Sheet2!$B3351,매도완료!$P:$P)+SUMIF(ING!$G:$G,Sheet2!$B3351,ING!$P:$P)</f>
        <v>0</v>
      </c>
      <c r="D3351" s="16">
        <f>SUMIF(매도완료!$J:$J,Sheet2!$B3351,매도완료!$P:$P)+SUMIF(ING!$J:$J,Sheet2!$B3351,ING!$P:$P)</f>
        <v>0</v>
      </c>
      <c r="E3351" s="16">
        <f t="shared" si="104"/>
        <v>203431065.33239999</v>
      </c>
      <c r="G3351" s="16">
        <f>IF(D3351=0,0,SUMIF(매도완료!$J:$J,Sheet2!$B3351,매도완료!$S:$S))+IF(D3351=0,0,SUMIF(ING!$J:$J,Sheet2!$B3351,ING!$S:$S))</f>
        <v>0</v>
      </c>
      <c r="H3351" s="16">
        <f t="shared" si="105"/>
        <v>23711267.676406201</v>
      </c>
    </row>
    <row r="3352" spans="2:8" x14ac:dyDescent="0.4">
      <c r="B3352" s="1">
        <v>45901</v>
      </c>
      <c r="C3352" s="16">
        <f>SUMIF(매도완료!$G:$G,Sheet2!$B3352,매도완료!$P:$P)+SUMIF(ING!$G:$G,Sheet2!$B3352,ING!$P:$P)</f>
        <v>18870</v>
      </c>
      <c r="D3352" s="16">
        <f>SUMIF(매도완료!$J:$J,Sheet2!$B3352,매도완료!$P:$P)+SUMIF(ING!$J:$J,Sheet2!$B3352,ING!$P:$P)</f>
        <v>6707000</v>
      </c>
      <c r="E3352" s="16">
        <f t="shared" si="104"/>
        <v>196742935.33239999</v>
      </c>
      <c r="G3352" s="16">
        <f>IF(D3352=0,0,SUMIF(매도완료!$J:$J,Sheet2!$B3352,매도완료!$S:$S))+IF(D3352=0,0,SUMIF(ING!$J:$J,Sheet2!$B3352,ING!$S:$S))</f>
        <v>461750</v>
      </c>
      <c r="H3352" s="16">
        <f t="shared" si="105"/>
        <v>24173017.676406201</v>
      </c>
    </row>
    <row r="3353" spans="2:8" hidden="1" x14ac:dyDescent="0.4">
      <c r="B3353" s="1">
        <v>45902</v>
      </c>
      <c r="C3353" s="16">
        <f>SUMIF(매도완료!$G:$G,Sheet2!$B3353,매도완료!$P:$P)+SUMIF(ING!$G:$G,Sheet2!$B3353,ING!$P:$P)</f>
        <v>2510146</v>
      </c>
      <c r="D3353" s="16">
        <f>SUMIF(매도완료!$J:$J,Sheet2!$B3353,매도완료!$P:$P)+SUMIF(ING!$J:$J,Sheet2!$B3353,ING!$P:$P)</f>
        <v>2388000</v>
      </c>
      <c r="E3353" s="16">
        <f t="shared" si="104"/>
        <v>196865081.33239999</v>
      </c>
      <c r="G3353" s="16">
        <f>IF(D3353=0,0,SUMIF(매도완료!$J:$J,Sheet2!$B3353,매도완료!$S:$S))+IF(D3353=0,0,SUMIF(ING!$J:$J,Sheet2!$B3353,ING!$S:$S))</f>
        <v>223906</v>
      </c>
      <c r="H3353" s="16">
        <f t="shared" si="105"/>
        <v>24396923.676406201</v>
      </c>
    </row>
    <row r="3354" spans="2:8" hidden="1" x14ac:dyDescent="0.4">
      <c r="B3354" s="1">
        <v>45903</v>
      </c>
      <c r="C3354" s="16">
        <f>SUMIF(매도완료!$G:$G,Sheet2!$B3354,매도완료!$P:$P)+SUMIF(ING!$G:$G,Sheet2!$B3354,ING!$P:$P)</f>
        <v>7231640</v>
      </c>
      <c r="D3354" s="16">
        <f>SUMIF(매도완료!$J:$J,Sheet2!$B3354,매도완료!$P:$P)+SUMIF(ING!$J:$J,Sheet2!$B3354,ING!$P:$P)</f>
        <v>0</v>
      </c>
      <c r="E3354" s="16">
        <f t="shared" si="104"/>
        <v>204096721.33239999</v>
      </c>
      <c r="G3354" s="16">
        <f>IF(D3354=0,0,SUMIF(매도완료!$J:$J,Sheet2!$B3354,매도완료!$S:$S))+IF(D3354=0,0,SUMIF(ING!$J:$J,Sheet2!$B3354,ING!$S:$S))</f>
        <v>0</v>
      </c>
      <c r="H3354" s="16">
        <f t="shared" si="105"/>
        <v>24396923.676406201</v>
      </c>
    </row>
    <row r="3355" spans="2:8" hidden="1" x14ac:dyDescent="0.4">
      <c r="B3355" s="1">
        <v>45904</v>
      </c>
      <c r="C3355" s="16">
        <f>SUMIF(매도완료!$G:$G,Sheet2!$B3355,매도완료!$P:$P)+SUMIF(ING!$G:$G,Sheet2!$B3355,ING!$P:$P)</f>
        <v>578100</v>
      </c>
      <c r="D3355" s="16">
        <f>SUMIF(매도완료!$J:$J,Sheet2!$B3355,매도완료!$P:$P)+SUMIF(ING!$J:$J,Sheet2!$B3355,ING!$P:$P)</f>
        <v>5238000</v>
      </c>
      <c r="E3355" s="16">
        <f t="shared" si="104"/>
        <v>199436821.33239999</v>
      </c>
      <c r="G3355" s="16">
        <f>IF(D3355=0,0,SUMIF(매도완료!$J:$J,Sheet2!$B3355,매도완료!$S:$S))+IF(D3355=0,0,SUMIF(ING!$J:$J,Sheet2!$B3355,ING!$S:$S))</f>
        <v>524962</v>
      </c>
      <c r="H3355" s="16">
        <f t="shared" si="105"/>
        <v>24921885.676406201</v>
      </c>
    </row>
    <row r="3356" spans="2:8" hidden="1" x14ac:dyDescent="0.4">
      <c r="B3356" s="1">
        <v>45905</v>
      </c>
      <c r="C3356" s="16">
        <f>SUMIF(매도완료!$G:$G,Sheet2!$B3356,매도완료!$P:$P)+SUMIF(ING!$G:$G,Sheet2!$B3356,ING!$P:$P)</f>
        <v>3856545</v>
      </c>
      <c r="D3356" s="16">
        <f>SUMIF(매도완료!$J:$J,Sheet2!$B3356,매도완료!$P:$P)+SUMIF(ING!$J:$J,Sheet2!$B3356,ING!$P:$P)</f>
        <v>0</v>
      </c>
      <c r="E3356" s="16">
        <f t="shared" si="104"/>
        <v>203293366.33239999</v>
      </c>
      <c r="G3356" s="16">
        <f>IF(D3356=0,0,SUMIF(매도완료!$J:$J,Sheet2!$B3356,매도완료!$S:$S))+IF(D3356=0,0,SUMIF(ING!$J:$J,Sheet2!$B3356,ING!$S:$S))</f>
        <v>0</v>
      </c>
      <c r="H3356" s="16">
        <f t="shared" si="105"/>
        <v>24921885.676406201</v>
      </c>
    </row>
    <row r="3357" spans="2:8" hidden="1" x14ac:dyDescent="0.4">
      <c r="B3357" s="1">
        <v>45906</v>
      </c>
      <c r="C3357" s="16">
        <f>SUMIF(매도완료!$G:$G,Sheet2!$B3357,매도완료!$P:$P)+SUMIF(ING!$G:$G,Sheet2!$B3357,ING!$P:$P)</f>
        <v>0</v>
      </c>
      <c r="D3357" s="16">
        <f>SUMIF(매도완료!$J:$J,Sheet2!$B3357,매도완료!$P:$P)+SUMIF(ING!$J:$J,Sheet2!$B3357,ING!$P:$P)</f>
        <v>0</v>
      </c>
      <c r="E3357" s="16">
        <f t="shared" si="104"/>
        <v>203293366.33239999</v>
      </c>
      <c r="G3357" s="16">
        <f>IF(D3357=0,0,SUMIF(매도완료!$J:$J,Sheet2!$B3357,매도완료!$S:$S))+IF(D3357=0,0,SUMIF(ING!$J:$J,Sheet2!$B3357,ING!$S:$S))</f>
        <v>0</v>
      </c>
      <c r="H3357" s="16">
        <f t="shared" si="105"/>
        <v>24921885.676406201</v>
      </c>
    </row>
    <row r="3358" spans="2:8" hidden="1" x14ac:dyDescent="0.4">
      <c r="B3358" s="1">
        <v>45907</v>
      </c>
      <c r="C3358" s="16">
        <f>SUMIF(매도완료!$G:$G,Sheet2!$B3358,매도완료!$P:$P)+SUMIF(ING!$G:$G,Sheet2!$B3358,ING!$P:$P)</f>
        <v>0</v>
      </c>
      <c r="D3358" s="16">
        <f>SUMIF(매도완료!$J:$J,Sheet2!$B3358,매도완료!$P:$P)+SUMIF(ING!$J:$J,Sheet2!$B3358,ING!$P:$P)</f>
        <v>0</v>
      </c>
      <c r="E3358" s="16">
        <f t="shared" si="104"/>
        <v>203293366.33239999</v>
      </c>
      <c r="G3358" s="16">
        <f>IF(D3358=0,0,SUMIF(매도완료!$J:$J,Sheet2!$B3358,매도완료!$S:$S))+IF(D3358=0,0,SUMIF(ING!$J:$J,Sheet2!$B3358,ING!$S:$S))</f>
        <v>0</v>
      </c>
      <c r="H3358" s="16">
        <f t="shared" si="105"/>
        <v>24921885.676406201</v>
      </c>
    </row>
    <row r="3359" spans="2:8" hidden="1" x14ac:dyDescent="0.4">
      <c r="B3359" s="1">
        <v>45908</v>
      </c>
      <c r="C3359" s="16">
        <f>SUMIF(매도완료!$G:$G,Sheet2!$B3359,매도완료!$P:$P)+SUMIF(ING!$G:$G,Sheet2!$B3359,ING!$P:$P)</f>
        <v>1533865</v>
      </c>
      <c r="D3359" s="16">
        <f>SUMIF(매도완료!$J:$J,Sheet2!$B3359,매도완료!$P:$P)+SUMIF(ING!$J:$J,Sheet2!$B3359,ING!$P:$P)</f>
        <v>0</v>
      </c>
      <c r="E3359" s="16">
        <f t="shared" si="104"/>
        <v>204827231.33239999</v>
      </c>
      <c r="G3359" s="16">
        <f>IF(D3359=0,0,SUMIF(매도완료!$J:$J,Sheet2!$B3359,매도완료!$S:$S))+IF(D3359=0,0,SUMIF(ING!$J:$J,Sheet2!$B3359,ING!$S:$S))</f>
        <v>0</v>
      </c>
      <c r="H3359" s="16">
        <f t="shared" si="105"/>
        <v>24921885.676406201</v>
      </c>
    </row>
    <row r="3360" spans="2:8" hidden="1" x14ac:dyDescent="0.4">
      <c r="B3360" s="1">
        <v>45909</v>
      </c>
      <c r="C3360" s="16">
        <f>SUMIF(매도완료!$G:$G,Sheet2!$B3360,매도완료!$P:$P)+SUMIF(ING!$G:$G,Sheet2!$B3360,ING!$P:$P)</f>
        <v>6342</v>
      </c>
      <c r="D3360" s="16">
        <f>SUMIF(매도완료!$J:$J,Sheet2!$B3360,매도완료!$P:$P)+SUMIF(ING!$J:$J,Sheet2!$B3360,ING!$P:$P)</f>
        <v>3737700</v>
      </c>
      <c r="E3360" s="16">
        <f t="shared" si="104"/>
        <v>201095873.33239999</v>
      </c>
      <c r="G3360" s="16">
        <f>IF(D3360=0,0,SUMIF(매도완료!$J:$J,Sheet2!$B3360,매도완료!$S:$S))+IF(D3360=0,0,SUMIF(ING!$J:$J,Sheet2!$B3360,ING!$S:$S))</f>
        <v>459923.7</v>
      </c>
      <c r="H3360" s="16">
        <f t="shared" si="105"/>
        <v>25381809.3764062</v>
      </c>
    </row>
    <row r="3361" spans="2:8" hidden="1" x14ac:dyDescent="0.4">
      <c r="B3361" s="1">
        <v>45910</v>
      </c>
      <c r="C3361" s="16">
        <f>SUMIF(매도완료!$G:$G,Sheet2!$B3361,매도완료!$P:$P)+SUMIF(ING!$G:$G,Sheet2!$B3361,ING!$P:$P)</f>
        <v>570739</v>
      </c>
      <c r="D3361" s="16">
        <f>SUMIF(매도완료!$J:$J,Sheet2!$B3361,매도완료!$P:$P)+SUMIF(ING!$J:$J,Sheet2!$B3361,ING!$P:$P)</f>
        <v>6734090</v>
      </c>
      <c r="E3361" s="16">
        <f t="shared" si="104"/>
        <v>194932522.33239999</v>
      </c>
      <c r="G3361" s="16">
        <f>IF(D3361=0,0,SUMIF(매도완료!$J:$J,Sheet2!$B3361,매도완료!$S:$S))+IF(D3361=0,0,SUMIF(ING!$J:$J,Sheet2!$B3361,ING!$S:$S))</f>
        <v>1359925.6649999998</v>
      </c>
      <c r="H3361" s="16">
        <f t="shared" si="105"/>
        <v>26741735.041406199</v>
      </c>
    </row>
    <row r="3362" spans="2:8" hidden="1" x14ac:dyDescent="0.4">
      <c r="B3362" s="1">
        <v>45911</v>
      </c>
      <c r="C3362" s="16">
        <f>SUMIF(매도완료!$G:$G,Sheet2!$B3362,매도완료!$P:$P)+SUMIF(ING!$G:$G,Sheet2!$B3362,ING!$P:$P)</f>
        <v>29950</v>
      </c>
      <c r="D3362" s="16">
        <f>SUMIF(매도완료!$J:$J,Sheet2!$B3362,매도완료!$P:$P)+SUMIF(ING!$J:$J,Sheet2!$B3362,ING!$P:$P)</f>
        <v>8274063.4199999999</v>
      </c>
      <c r="E3362" s="16">
        <f t="shared" si="104"/>
        <v>186688408.91240001</v>
      </c>
      <c r="G3362" s="16">
        <f>IF(D3362=0,0,SUMIF(매도완료!$J:$J,Sheet2!$B3362,매도완료!$S:$S))+IF(D3362=0,0,SUMIF(ING!$J:$J,Sheet2!$B3362,ING!$S:$S))</f>
        <v>10309759.894979998</v>
      </c>
      <c r="H3362" s="16">
        <f t="shared" si="105"/>
        <v>37051494.936386198</v>
      </c>
    </row>
    <row r="3363" spans="2:8" hidden="1" x14ac:dyDescent="0.4">
      <c r="B3363" s="1">
        <v>45912</v>
      </c>
      <c r="C3363" s="16">
        <f>SUMIF(매도완료!$G:$G,Sheet2!$B3363,매도완료!$P:$P)+SUMIF(ING!$G:$G,Sheet2!$B3363,ING!$P:$P)</f>
        <v>2830</v>
      </c>
      <c r="D3363" s="16">
        <f>SUMIF(매도완료!$J:$J,Sheet2!$B3363,매도완료!$P:$P)+SUMIF(ING!$J:$J,Sheet2!$B3363,ING!$P:$P)</f>
        <v>7002050</v>
      </c>
      <c r="E3363" s="16">
        <f t="shared" si="104"/>
        <v>179689188.91240001</v>
      </c>
      <c r="G3363" s="16">
        <f>IF(D3363=0,0,SUMIF(매도완료!$J:$J,Sheet2!$B3363,매도완료!$S:$S))+IF(D3363=0,0,SUMIF(ING!$J:$J,Sheet2!$B3363,ING!$S:$S))</f>
        <v>366220.21750000003</v>
      </c>
      <c r="H3363" s="16">
        <f t="shared" si="105"/>
        <v>37417715.153886199</v>
      </c>
    </row>
    <row r="3364" spans="2:8" hidden="1" x14ac:dyDescent="0.4">
      <c r="B3364" s="1">
        <v>45913</v>
      </c>
      <c r="C3364" s="16">
        <f>SUMIF(매도완료!$G:$G,Sheet2!$B3364,매도완료!$P:$P)+SUMIF(ING!$G:$G,Sheet2!$B3364,ING!$P:$P)</f>
        <v>0</v>
      </c>
      <c r="D3364" s="16">
        <f>SUMIF(매도완료!$J:$J,Sheet2!$B3364,매도완료!$P:$P)+SUMIF(ING!$J:$J,Sheet2!$B3364,ING!$P:$P)</f>
        <v>0</v>
      </c>
      <c r="E3364" s="16">
        <f t="shared" si="104"/>
        <v>179689188.91240001</v>
      </c>
      <c r="G3364" s="16">
        <f>IF(D3364=0,0,SUMIF(매도완료!$J:$J,Sheet2!$B3364,매도완료!$S:$S))+IF(D3364=0,0,SUMIF(ING!$J:$J,Sheet2!$B3364,ING!$S:$S))</f>
        <v>0</v>
      </c>
      <c r="H3364" s="16">
        <f t="shared" si="105"/>
        <v>37417715.153886199</v>
      </c>
    </row>
    <row r="3365" spans="2:8" hidden="1" x14ac:dyDescent="0.4">
      <c r="B3365" s="1">
        <v>45914</v>
      </c>
      <c r="C3365" s="16">
        <f>SUMIF(매도완료!$G:$G,Sheet2!$B3365,매도완료!$P:$P)+SUMIF(ING!$G:$G,Sheet2!$B3365,ING!$P:$P)</f>
        <v>4296199.4879999999</v>
      </c>
      <c r="D3365" s="16">
        <f>SUMIF(매도완료!$J:$J,Sheet2!$B3365,매도완료!$P:$P)+SUMIF(ING!$J:$J,Sheet2!$B3365,ING!$P:$P)</f>
        <v>4296199.4879999999</v>
      </c>
      <c r="E3365" s="16">
        <f t="shared" si="104"/>
        <v>179689188.91240001</v>
      </c>
      <c r="G3365" s="16">
        <f>IF(D3365=0,0,SUMIF(매도완료!$J:$J,Sheet2!$B3365,매도완료!$S:$S))+IF(D3365=0,0,SUMIF(ING!$J:$J,Sheet2!$B3365,ING!$S:$S))</f>
        <v>0</v>
      </c>
      <c r="H3365" s="16">
        <f t="shared" si="105"/>
        <v>37417715.153886199</v>
      </c>
    </row>
    <row r="3366" spans="2:8" hidden="1" x14ac:dyDescent="0.4">
      <c r="B3366" s="1">
        <v>45915</v>
      </c>
      <c r="C3366" s="16">
        <f>SUMIF(매도완료!$G:$G,Sheet2!$B3366,매도완료!$P:$P)+SUMIF(ING!$G:$G,Sheet2!$B3366,ING!$P:$P)</f>
        <v>19990</v>
      </c>
      <c r="D3366" s="16">
        <f>SUMIF(매도완료!$J:$J,Sheet2!$B3366,매도완료!$P:$P)+SUMIF(ING!$J:$J,Sheet2!$B3366,ING!$P:$P)</f>
        <v>0</v>
      </c>
      <c r="E3366" s="16">
        <f t="shared" si="104"/>
        <v>179709178.91240001</v>
      </c>
      <c r="G3366" s="16">
        <f>IF(D3366=0,0,SUMIF(매도완료!$J:$J,Sheet2!$B3366,매도완료!$S:$S))+IF(D3366=0,0,SUMIF(ING!$J:$J,Sheet2!$B3366,ING!$S:$S))</f>
        <v>0</v>
      </c>
      <c r="H3366" s="16">
        <f t="shared" si="105"/>
        <v>37417715.153886199</v>
      </c>
    </row>
    <row r="3367" spans="2:8" hidden="1" x14ac:dyDescent="0.4">
      <c r="B3367" s="1">
        <v>45916</v>
      </c>
      <c r="C3367" s="16">
        <f>SUMIF(매도완료!$G:$G,Sheet2!$B3367,매도완료!$P:$P)+SUMIF(ING!$G:$G,Sheet2!$B3367,ING!$P:$P)</f>
        <v>1402617</v>
      </c>
      <c r="D3367" s="16">
        <f>SUMIF(매도완료!$J:$J,Sheet2!$B3367,매도완료!$P:$P)+SUMIF(ING!$J:$J,Sheet2!$B3367,ING!$P:$P)</f>
        <v>0</v>
      </c>
      <c r="E3367" s="16">
        <f t="shared" si="104"/>
        <v>181111795.91240001</v>
      </c>
      <c r="G3367" s="16">
        <f>IF(D3367=0,0,SUMIF(매도완료!$J:$J,Sheet2!$B3367,매도완료!$S:$S))+IF(D3367=0,0,SUMIF(ING!$J:$J,Sheet2!$B3367,ING!$S:$S))</f>
        <v>0</v>
      </c>
      <c r="H3367" s="16">
        <f t="shared" si="105"/>
        <v>37417715.153886199</v>
      </c>
    </row>
    <row r="3368" spans="2:8" hidden="1" x14ac:dyDescent="0.4">
      <c r="B3368" s="1">
        <v>45917</v>
      </c>
      <c r="C3368" s="16">
        <f>SUMIF(매도완료!$G:$G,Sheet2!$B3368,매도완료!$P:$P)+SUMIF(ING!$G:$G,Sheet2!$B3368,ING!$P:$P)</f>
        <v>1315140</v>
      </c>
      <c r="D3368" s="16">
        <f>SUMIF(매도완료!$J:$J,Sheet2!$B3368,매도완료!$P:$P)+SUMIF(ING!$J:$J,Sheet2!$B3368,ING!$P:$P)</f>
        <v>9572000</v>
      </c>
      <c r="E3368" s="16">
        <f t="shared" si="104"/>
        <v>172854935.91240001</v>
      </c>
      <c r="G3368" s="16">
        <f>IF(D3368=0,0,SUMIF(매도완료!$J:$J,Sheet2!$B3368,매도완료!$S:$S))+IF(D3368=0,0,SUMIF(ING!$J:$J,Sheet2!$B3368,ING!$S:$S))</f>
        <v>1140398.0753424657</v>
      </c>
      <c r="H3368" s="16">
        <f t="shared" si="105"/>
        <v>38558113.229228668</v>
      </c>
    </row>
    <row r="3369" spans="2:8" hidden="1" x14ac:dyDescent="0.4">
      <c r="B3369" s="1">
        <v>45918</v>
      </c>
      <c r="C3369" s="16">
        <f>SUMIF(매도완료!$G:$G,Sheet2!$B3369,매도완료!$P:$P)+SUMIF(ING!$G:$G,Sheet2!$B3369,ING!$P:$P)</f>
        <v>965550</v>
      </c>
      <c r="D3369" s="16">
        <f>SUMIF(매도완료!$J:$J,Sheet2!$B3369,매도완료!$P:$P)+SUMIF(ING!$J:$J,Sheet2!$B3369,ING!$P:$P)</f>
        <v>5901000</v>
      </c>
      <c r="E3369" s="16">
        <f t="shared" si="104"/>
        <v>167919485.91240001</v>
      </c>
      <c r="G3369" s="16">
        <f>IF(D3369=0,0,SUMIF(매도완료!$J:$J,Sheet2!$B3369,매도완료!$S:$S))+IF(D3369=0,0,SUMIF(ING!$J:$J,Sheet2!$B3369,ING!$S:$S))</f>
        <v>384010.6</v>
      </c>
      <c r="H3369" s="16">
        <f t="shared" si="105"/>
        <v>38942123.829228669</v>
      </c>
    </row>
    <row r="3370" spans="2:8" hidden="1" x14ac:dyDescent="0.4">
      <c r="B3370" s="1">
        <v>45919</v>
      </c>
      <c r="C3370" s="16">
        <f>SUMIF(매도완료!$G:$G,Sheet2!$B3370,매도완료!$P:$P)+SUMIF(ING!$G:$G,Sheet2!$B3370,ING!$P:$P)</f>
        <v>10366575</v>
      </c>
      <c r="D3370" s="16">
        <f>SUMIF(매도완료!$J:$J,Sheet2!$B3370,매도완료!$P:$P)+SUMIF(ING!$J:$J,Sheet2!$B3370,ING!$P:$P)</f>
        <v>5155000</v>
      </c>
      <c r="E3370" s="16">
        <f t="shared" si="104"/>
        <v>173131060.91240001</v>
      </c>
      <c r="G3370" s="16">
        <f>IF(D3370=0,0,SUMIF(매도완료!$J:$J,Sheet2!$B3370,매도완료!$S:$S))+IF(D3370=0,0,SUMIF(ING!$J:$J,Sheet2!$B3370,ING!$S:$S))</f>
        <v>411862.74999999994</v>
      </c>
      <c r="H3370" s="16">
        <f t="shared" si="105"/>
        <v>39353986.579228669</v>
      </c>
    </row>
    <row r="3371" spans="2:8" hidden="1" x14ac:dyDescent="0.4">
      <c r="B3371" s="1">
        <v>45920</v>
      </c>
      <c r="C3371" s="16">
        <f>SUMIF(매도완료!$G:$G,Sheet2!$B3371,매도완료!$P:$P)+SUMIF(ING!$G:$G,Sheet2!$B3371,ING!$P:$P)</f>
        <v>200600</v>
      </c>
      <c r="D3371" s="16">
        <f>SUMIF(매도완료!$J:$J,Sheet2!$B3371,매도완료!$P:$P)+SUMIF(ING!$J:$J,Sheet2!$B3371,ING!$P:$P)</f>
        <v>0</v>
      </c>
      <c r="E3371" s="16">
        <f t="shared" si="104"/>
        <v>173331660.91240001</v>
      </c>
      <c r="G3371" s="16">
        <f>IF(D3371=0,0,SUMIF(매도완료!$J:$J,Sheet2!$B3371,매도완료!$S:$S))+IF(D3371=0,0,SUMIF(ING!$J:$J,Sheet2!$B3371,ING!$S:$S))</f>
        <v>0</v>
      </c>
      <c r="H3371" s="16">
        <f t="shared" si="105"/>
        <v>39353986.579228669</v>
      </c>
    </row>
    <row r="3372" spans="2:8" hidden="1" x14ac:dyDescent="0.4">
      <c r="B3372" s="1">
        <v>45921</v>
      </c>
      <c r="C3372" s="16">
        <f>SUMIF(매도완료!$G:$G,Sheet2!$B3372,매도완료!$P:$P)+SUMIF(ING!$G:$G,Sheet2!$B3372,ING!$P:$P)</f>
        <v>0</v>
      </c>
      <c r="D3372" s="16">
        <f>SUMIF(매도완료!$J:$J,Sheet2!$B3372,매도완료!$P:$P)+SUMIF(ING!$J:$J,Sheet2!$B3372,ING!$P:$P)</f>
        <v>0</v>
      </c>
      <c r="E3372" s="16">
        <f t="shared" si="104"/>
        <v>173331660.91240001</v>
      </c>
      <c r="G3372" s="16">
        <f>IF(D3372=0,0,SUMIF(매도완료!$J:$J,Sheet2!$B3372,매도완료!$S:$S))+IF(D3372=0,0,SUMIF(ING!$J:$J,Sheet2!$B3372,ING!$S:$S))</f>
        <v>0</v>
      </c>
      <c r="H3372" s="16">
        <f t="shared" si="105"/>
        <v>39353986.579228669</v>
      </c>
    </row>
    <row r="3373" spans="2:8" hidden="1" x14ac:dyDescent="0.4">
      <c r="B3373" s="1">
        <v>45922</v>
      </c>
      <c r="C3373" s="16">
        <f>SUMIF(매도완료!$G:$G,Sheet2!$B3373,매도완료!$P:$P)+SUMIF(ING!$G:$G,Sheet2!$B3373,ING!$P:$P)</f>
        <v>2355795</v>
      </c>
      <c r="D3373" s="16">
        <f>SUMIF(매도완료!$J:$J,Sheet2!$B3373,매도완료!$P:$P)+SUMIF(ING!$J:$J,Sheet2!$B3373,ING!$P:$P)</f>
        <v>0</v>
      </c>
      <c r="E3373" s="16">
        <f t="shared" si="104"/>
        <v>175687455.91240001</v>
      </c>
      <c r="G3373" s="16">
        <f>IF(D3373=0,0,SUMIF(매도완료!$J:$J,Sheet2!$B3373,매도완료!$S:$S))+IF(D3373=0,0,SUMIF(ING!$J:$J,Sheet2!$B3373,ING!$S:$S))</f>
        <v>0</v>
      </c>
      <c r="H3373" s="16">
        <f t="shared" si="105"/>
        <v>39353986.579228669</v>
      </c>
    </row>
    <row r="3374" spans="2:8" hidden="1" x14ac:dyDescent="0.4">
      <c r="B3374" s="1">
        <v>45923</v>
      </c>
      <c r="C3374" s="16">
        <f>SUMIF(매도완료!$G:$G,Sheet2!$B3374,매도완료!$P:$P)+SUMIF(ING!$G:$G,Sheet2!$B3374,ING!$P:$P)</f>
        <v>8054521</v>
      </c>
      <c r="D3374" s="16">
        <f>SUMIF(매도완료!$J:$J,Sheet2!$B3374,매도완료!$P:$P)+SUMIF(ING!$J:$J,Sheet2!$B3374,ING!$P:$P)</f>
        <v>148000</v>
      </c>
      <c r="E3374" s="16">
        <f t="shared" si="104"/>
        <v>183593976.91240001</v>
      </c>
      <c r="G3374" s="16">
        <f>IF(D3374=0,0,SUMIF(매도완료!$J:$J,Sheet2!$B3374,매도완료!$S:$S))+IF(D3374=0,0,SUMIF(ING!$J:$J,Sheet2!$B3374,ING!$S:$S))</f>
        <v>-41076</v>
      </c>
      <c r="H3374" s="16">
        <f t="shared" si="105"/>
        <v>39312910.579228669</v>
      </c>
    </row>
    <row r="3375" spans="2:8" hidden="1" x14ac:dyDescent="0.4">
      <c r="B3375" s="1">
        <v>45924</v>
      </c>
      <c r="C3375" s="16">
        <f>SUMIF(매도완료!$G:$G,Sheet2!$B3375,매도완료!$P:$P)+SUMIF(ING!$G:$G,Sheet2!$B3375,ING!$P:$P)</f>
        <v>1827570</v>
      </c>
      <c r="D3375" s="16">
        <f>SUMIF(매도완료!$J:$J,Sheet2!$B3375,매도완료!$P:$P)+SUMIF(ING!$J:$J,Sheet2!$B3375,ING!$P:$P)</f>
        <v>0</v>
      </c>
      <c r="E3375" s="16">
        <f t="shared" si="104"/>
        <v>185421546.91240001</v>
      </c>
      <c r="G3375" s="16">
        <f>IF(D3375=0,0,SUMIF(매도완료!$J:$J,Sheet2!$B3375,매도완료!$S:$S))+IF(D3375=0,0,SUMIF(ING!$J:$J,Sheet2!$B3375,ING!$S:$S))</f>
        <v>0</v>
      </c>
      <c r="H3375" s="16">
        <f t="shared" si="105"/>
        <v>39312910.579228669</v>
      </c>
    </row>
    <row r="3376" spans="2:8" hidden="1" x14ac:dyDescent="0.4">
      <c r="B3376" s="1">
        <v>45925</v>
      </c>
      <c r="C3376" s="16">
        <f>SUMIF(매도완료!$G:$G,Sheet2!$B3376,매도완료!$P:$P)+SUMIF(ING!$G:$G,Sheet2!$B3376,ING!$P:$P)</f>
        <v>28900</v>
      </c>
      <c r="D3376" s="16">
        <f>SUMIF(매도완료!$J:$J,Sheet2!$B3376,매도완료!$P:$P)+SUMIF(ING!$J:$J,Sheet2!$B3376,ING!$P:$P)</f>
        <v>2753900</v>
      </c>
      <c r="E3376" s="16">
        <f t="shared" si="104"/>
        <v>182696546.91240001</v>
      </c>
      <c r="G3376" s="16">
        <f>IF(D3376=0,0,SUMIF(매도완료!$J:$J,Sheet2!$B3376,매도완료!$S:$S))+IF(D3376=0,0,SUMIF(ING!$J:$J,Sheet2!$B3376,ING!$S:$S))</f>
        <v>141336.91499999998</v>
      </c>
      <c r="H3376" s="16">
        <f t="shared" si="105"/>
        <v>39454247.494228669</v>
      </c>
    </row>
    <row r="3377" spans="2:8" hidden="1" x14ac:dyDescent="0.4">
      <c r="B3377" s="1">
        <v>45926</v>
      </c>
      <c r="C3377" s="16">
        <f>SUMIF(매도완료!$G:$G,Sheet2!$B3377,매도완료!$P:$P)+SUMIF(ING!$G:$G,Sheet2!$B3377,ING!$P:$P)</f>
        <v>3025</v>
      </c>
      <c r="D3377" s="16">
        <f>SUMIF(매도완료!$J:$J,Sheet2!$B3377,매도완료!$P:$P)+SUMIF(ING!$J:$J,Sheet2!$B3377,ING!$P:$P)</f>
        <v>2745000</v>
      </c>
      <c r="E3377" s="16">
        <f t="shared" si="104"/>
        <v>179954571.91240001</v>
      </c>
      <c r="G3377" s="16">
        <f>IF(D3377=0,0,SUMIF(매도완료!$J:$J,Sheet2!$B3377,매도완료!$S:$S))+IF(D3377=0,0,SUMIF(ING!$J:$J,Sheet2!$B3377,ING!$S:$S))</f>
        <v>414840.75</v>
      </c>
      <c r="H3377" s="16">
        <f t="shared" si="105"/>
        <v>39869088.244228669</v>
      </c>
    </row>
    <row r="3378" spans="2:8" hidden="1" x14ac:dyDescent="0.4">
      <c r="B3378" s="1">
        <v>45927</v>
      </c>
      <c r="C3378" s="16">
        <f>SUMIF(매도완료!$G:$G,Sheet2!$B3378,매도완료!$P:$P)+SUMIF(ING!$G:$G,Sheet2!$B3378,ING!$P:$P)</f>
        <v>0</v>
      </c>
      <c r="D3378" s="16">
        <f>SUMIF(매도완료!$J:$J,Sheet2!$B3378,매도완료!$P:$P)+SUMIF(ING!$J:$J,Sheet2!$B3378,ING!$P:$P)</f>
        <v>0</v>
      </c>
      <c r="E3378" s="16">
        <f t="shared" si="104"/>
        <v>179954571.91240001</v>
      </c>
      <c r="G3378" s="16">
        <f>IF(D3378=0,0,SUMIF(매도완료!$J:$J,Sheet2!$B3378,매도완료!$S:$S))+IF(D3378=0,0,SUMIF(ING!$J:$J,Sheet2!$B3378,ING!$S:$S))</f>
        <v>0</v>
      </c>
      <c r="H3378" s="16">
        <f t="shared" si="105"/>
        <v>39869088.244228669</v>
      </c>
    </row>
    <row r="3379" spans="2:8" hidden="1" x14ac:dyDescent="0.4">
      <c r="B3379" s="1">
        <v>45928</v>
      </c>
      <c r="C3379" s="16">
        <f>SUMIF(매도완료!$G:$G,Sheet2!$B3379,매도완료!$P:$P)+SUMIF(ING!$G:$G,Sheet2!$B3379,ING!$P:$P)</f>
        <v>0</v>
      </c>
      <c r="D3379" s="16">
        <f>SUMIF(매도완료!$J:$J,Sheet2!$B3379,매도완료!$P:$P)+SUMIF(ING!$J:$J,Sheet2!$B3379,ING!$P:$P)</f>
        <v>0</v>
      </c>
      <c r="E3379" s="16">
        <f t="shared" si="104"/>
        <v>179954571.91240001</v>
      </c>
      <c r="G3379" s="16">
        <f>IF(D3379=0,0,SUMIF(매도완료!$J:$J,Sheet2!$B3379,매도완료!$S:$S))+IF(D3379=0,0,SUMIF(ING!$J:$J,Sheet2!$B3379,ING!$S:$S))</f>
        <v>0</v>
      </c>
      <c r="H3379" s="16">
        <f t="shared" si="105"/>
        <v>39869088.244228669</v>
      </c>
    </row>
    <row r="3380" spans="2:8" hidden="1" x14ac:dyDescent="0.4">
      <c r="B3380" s="1">
        <v>45929</v>
      </c>
      <c r="C3380" s="16">
        <f>SUMIF(매도완료!$G:$G,Sheet2!$B3380,매도완료!$P:$P)+SUMIF(ING!$G:$G,Sheet2!$B3380,ING!$P:$P)</f>
        <v>149675</v>
      </c>
      <c r="D3380" s="16">
        <f>SUMIF(매도완료!$J:$J,Sheet2!$B3380,매도완료!$P:$P)+SUMIF(ING!$J:$J,Sheet2!$B3380,ING!$P:$P)</f>
        <v>0</v>
      </c>
      <c r="E3380" s="16">
        <f t="shared" si="104"/>
        <v>180104246.91240001</v>
      </c>
      <c r="G3380" s="16">
        <f>IF(D3380=0,0,SUMIF(매도완료!$J:$J,Sheet2!$B3380,매도완료!$S:$S))+IF(D3380=0,0,SUMIF(ING!$J:$J,Sheet2!$B3380,ING!$S:$S))</f>
        <v>0</v>
      </c>
      <c r="H3380" s="16">
        <f t="shared" si="105"/>
        <v>39869088.244228669</v>
      </c>
    </row>
    <row r="3381" spans="2:8" hidden="1" x14ac:dyDescent="0.4">
      <c r="B3381" s="1">
        <v>45930</v>
      </c>
      <c r="C3381" s="16">
        <f>SUMIF(매도완료!$G:$G,Sheet2!$B3381,매도완료!$P:$P)+SUMIF(ING!$G:$G,Sheet2!$B3381,ING!$P:$P)</f>
        <v>1958560</v>
      </c>
      <c r="D3381" s="16">
        <f>SUMIF(매도완료!$J:$J,Sheet2!$B3381,매도완료!$P:$P)+SUMIF(ING!$J:$J,Sheet2!$B3381,ING!$P:$P)</f>
        <v>2234304</v>
      </c>
      <c r="E3381" s="16">
        <f t="shared" si="104"/>
        <v>179828502.91240001</v>
      </c>
      <c r="G3381" s="16">
        <f>IF(D3381=0,0,SUMIF(매도완료!$J:$J,Sheet2!$B3381,매도완료!$S:$S))+IF(D3381=0,0,SUMIF(ING!$J:$J,Sheet2!$B3381,ING!$S:$S))</f>
        <v>126050</v>
      </c>
      <c r="H3381" s="16">
        <f t="shared" si="105"/>
        <v>39995138.244228669</v>
      </c>
    </row>
    <row r="3382" spans="2:8" x14ac:dyDescent="0.4">
      <c r="B3382" s="1">
        <v>45931</v>
      </c>
      <c r="C3382" s="16">
        <f>SUMIF(매도완료!$G:$G,Sheet2!$B3382,매도완료!$P:$P)+SUMIF(ING!$G:$G,Sheet2!$B3382,ING!$P:$P)</f>
        <v>244680</v>
      </c>
      <c r="D3382" s="16">
        <f>SUMIF(매도완료!$J:$J,Sheet2!$B3382,매도완료!$P:$P)+SUMIF(ING!$J:$J,Sheet2!$B3382,ING!$P:$P)</f>
        <v>10320023.780000001</v>
      </c>
      <c r="E3382" s="16">
        <f t="shared" si="104"/>
        <v>169753159.13240001</v>
      </c>
      <c r="G3382" s="16">
        <f>IF(D3382=0,0,SUMIF(매도완료!$J:$J,Sheet2!$B3382,매도완료!$S:$S))+IF(D3382=0,0,SUMIF(ING!$J:$J,Sheet2!$B3382,ING!$S:$S))</f>
        <v>1022514.5646334396</v>
      </c>
      <c r="H3382" s="16">
        <f t="shared" si="105"/>
        <v>41017652.808862105</v>
      </c>
    </row>
    <row r="3383" spans="2:8" hidden="1" x14ac:dyDescent="0.4">
      <c r="B3383" s="1">
        <v>45932</v>
      </c>
      <c r="C3383" s="16">
        <f>SUMIF(매도완료!$G:$G,Sheet2!$B3383,매도완료!$P:$P)+SUMIF(ING!$G:$G,Sheet2!$B3383,ING!$P:$P)</f>
        <v>2652300</v>
      </c>
      <c r="D3383" s="16">
        <f>SUMIF(매도완료!$J:$J,Sheet2!$B3383,매도완료!$P:$P)+SUMIF(ING!$J:$J,Sheet2!$B3383,ING!$P:$P)</f>
        <v>0</v>
      </c>
      <c r="E3383" s="16">
        <f t="shared" si="104"/>
        <v>172405459.13240001</v>
      </c>
      <c r="G3383" s="16">
        <f>IF(D3383=0,0,SUMIF(매도완료!$J:$J,Sheet2!$B3383,매도완료!$S:$S))+IF(D3383=0,0,SUMIF(ING!$J:$J,Sheet2!$B3383,ING!$S:$S))</f>
        <v>0</v>
      </c>
      <c r="H3383" s="16">
        <f t="shared" si="105"/>
        <v>41017652.808862105</v>
      </c>
    </row>
    <row r="3384" spans="2:8" hidden="1" x14ac:dyDescent="0.4">
      <c r="B3384" s="1">
        <v>45933</v>
      </c>
      <c r="C3384" s="16">
        <f>SUMIF(매도완료!$G:$G,Sheet2!$B3384,매도완료!$P:$P)+SUMIF(ING!$G:$G,Sheet2!$B3384,ING!$P:$P)</f>
        <v>0</v>
      </c>
      <c r="D3384" s="16">
        <f>SUMIF(매도완료!$J:$J,Sheet2!$B3384,매도완료!$P:$P)+SUMIF(ING!$J:$J,Sheet2!$B3384,ING!$P:$P)</f>
        <v>5355263.2980000004</v>
      </c>
      <c r="E3384" s="16">
        <f t="shared" si="104"/>
        <v>167050195.8344</v>
      </c>
      <c r="G3384" s="16">
        <f>IF(D3384=0,0,SUMIF(매도완료!$J:$J,Sheet2!$B3384,매도완료!$S:$S))+IF(D3384=0,0,SUMIF(ING!$J:$J,Sheet2!$B3384,ING!$S:$S))</f>
        <v>-2843469.8912980002</v>
      </c>
      <c r="H3384" s="16">
        <f t="shared" si="105"/>
        <v>38174182.917564102</v>
      </c>
    </row>
    <row r="3385" spans="2:8" hidden="1" x14ac:dyDescent="0.4">
      <c r="B3385" s="1">
        <v>45934</v>
      </c>
      <c r="C3385" s="16">
        <f>SUMIF(매도완료!$G:$G,Sheet2!$B3385,매도완료!$P:$P)+SUMIF(ING!$G:$G,Sheet2!$B3385,ING!$P:$P)</f>
        <v>0</v>
      </c>
      <c r="D3385" s="16">
        <f>SUMIF(매도완료!$J:$J,Sheet2!$B3385,매도완료!$P:$P)+SUMIF(ING!$J:$J,Sheet2!$B3385,ING!$P:$P)</f>
        <v>0</v>
      </c>
      <c r="E3385" s="16">
        <f t="shared" si="104"/>
        <v>167050195.8344</v>
      </c>
      <c r="G3385" s="16">
        <f>IF(D3385=0,0,SUMIF(매도완료!$J:$J,Sheet2!$B3385,매도완료!$S:$S))+IF(D3385=0,0,SUMIF(ING!$J:$J,Sheet2!$B3385,ING!$S:$S))</f>
        <v>0</v>
      </c>
      <c r="H3385" s="16">
        <f t="shared" si="105"/>
        <v>38174182.917564102</v>
      </c>
    </row>
    <row r="3386" spans="2:8" hidden="1" x14ac:dyDescent="0.4">
      <c r="B3386" s="1">
        <v>45935</v>
      </c>
      <c r="C3386" s="16">
        <f>SUMIF(매도완료!$G:$G,Sheet2!$B3386,매도완료!$P:$P)+SUMIF(ING!$G:$G,Sheet2!$B3386,ING!$P:$P)</f>
        <v>0</v>
      </c>
      <c r="D3386" s="16">
        <f>SUMIF(매도완료!$J:$J,Sheet2!$B3386,매도완료!$P:$P)+SUMIF(ING!$J:$J,Sheet2!$B3386,ING!$P:$P)</f>
        <v>0</v>
      </c>
      <c r="E3386" s="16">
        <f t="shared" si="104"/>
        <v>167050195.8344</v>
      </c>
      <c r="G3386" s="16">
        <f>IF(D3386=0,0,SUMIF(매도완료!$J:$J,Sheet2!$B3386,매도완료!$S:$S))+IF(D3386=0,0,SUMIF(ING!$J:$J,Sheet2!$B3386,ING!$S:$S))</f>
        <v>0</v>
      </c>
      <c r="H3386" s="16">
        <f t="shared" si="105"/>
        <v>38174182.917564102</v>
      </c>
    </row>
    <row r="3387" spans="2:8" hidden="1" x14ac:dyDescent="0.4">
      <c r="B3387" s="1">
        <v>45936</v>
      </c>
      <c r="C3387" s="16">
        <f>SUMIF(매도완료!$G:$G,Sheet2!$B3387,매도완료!$P:$P)+SUMIF(ING!$G:$G,Sheet2!$B3387,ING!$P:$P)</f>
        <v>0</v>
      </c>
      <c r="D3387" s="16">
        <f>SUMIF(매도완료!$J:$J,Sheet2!$B3387,매도완료!$P:$P)+SUMIF(ING!$J:$J,Sheet2!$B3387,ING!$P:$P)</f>
        <v>0</v>
      </c>
      <c r="E3387" s="16">
        <f t="shared" si="104"/>
        <v>167050195.8344</v>
      </c>
      <c r="G3387" s="16">
        <f>IF(D3387=0,0,SUMIF(매도완료!$J:$J,Sheet2!$B3387,매도완료!$S:$S))+IF(D3387=0,0,SUMIF(ING!$J:$J,Sheet2!$B3387,ING!$S:$S))</f>
        <v>0</v>
      </c>
      <c r="H3387" s="16">
        <f t="shared" si="105"/>
        <v>38174182.917564102</v>
      </c>
    </row>
    <row r="3388" spans="2:8" hidden="1" x14ac:dyDescent="0.4">
      <c r="B3388" s="1">
        <v>45937</v>
      </c>
      <c r="C3388" s="16">
        <f>SUMIF(매도완료!$G:$G,Sheet2!$B3388,매도완료!$P:$P)+SUMIF(ING!$G:$G,Sheet2!$B3388,ING!$P:$P)</f>
        <v>0</v>
      </c>
      <c r="D3388" s="16">
        <f>SUMIF(매도완료!$J:$J,Sheet2!$B3388,매도완료!$P:$P)+SUMIF(ING!$J:$J,Sheet2!$B3388,ING!$P:$P)</f>
        <v>0</v>
      </c>
      <c r="E3388" s="16">
        <f t="shared" si="104"/>
        <v>167050195.8344</v>
      </c>
      <c r="G3388" s="16">
        <f>IF(D3388=0,0,SUMIF(매도완료!$J:$J,Sheet2!$B3388,매도완료!$S:$S))+IF(D3388=0,0,SUMIF(ING!$J:$J,Sheet2!$B3388,ING!$S:$S))</f>
        <v>0</v>
      </c>
      <c r="H3388" s="16">
        <f t="shared" si="105"/>
        <v>38174182.917564102</v>
      </c>
    </row>
    <row r="3389" spans="2:8" hidden="1" x14ac:dyDescent="0.4">
      <c r="B3389" s="1">
        <v>45938</v>
      </c>
      <c r="C3389" s="16">
        <f>SUMIF(매도완료!$G:$G,Sheet2!$B3389,매도완료!$P:$P)+SUMIF(ING!$G:$G,Sheet2!$B3389,ING!$P:$P)</f>
        <v>0</v>
      </c>
      <c r="D3389" s="16">
        <f>SUMIF(매도완료!$J:$J,Sheet2!$B3389,매도완료!$P:$P)+SUMIF(ING!$J:$J,Sheet2!$B3389,ING!$P:$P)</f>
        <v>0</v>
      </c>
      <c r="E3389" s="16">
        <f t="shared" si="104"/>
        <v>167050195.8344</v>
      </c>
      <c r="G3389" s="16">
        <f>IF(D3389=0,0,SUMIF(매도완료!$J:$J,Sheet2!$B3389,매도완료!$S:$S))+IF(D3389=0,0,SUMIF(ING!$J:$J,Sheet2!$B3389,ING!$S:$S))</f>
        <v>0</v>
      </c>
      <c r="H3389" s="16">
        <f t="shared" si="105"/>
        <v>38174182.917564102</v>
      </c>
    </row>
    <row r="3390" spans="2:8" hidden="1" x14ac:dyDescent="0.4">
      <c r="B3390" s="1">
        <v>45939</v>
      </c>
      <c r="C3390" s="16">
        <f>SUMIF(매도완료!$G:$G,Sheet2!$B3390,매도완료!$P:$P)+SUMIF(ING!$G:$G,Sheet2!$B3390,ING!$P:$P)</f>
        <v>0</v>
      </c>
      <c r="D3390" s="16">
        <f>SUMIF(매도완료!$J:$J,Sheet2!$B3390,매도완료!$P:$P)+SUMIF(ING!$J:$J,Sheet2!$B3390,ING!$P:$P)</f>
        <v>0</v>
      </c>
      <c r="E3390" s="16">
        <f t="shared" si="104"/>
        <v>167050195.8344</v>
      </c>
      <c r="G3390" s="16">
        <f>IF(D3390=0,0,SUMIF(매도완료!$J:$J,Sheet2!$B3390,매도완료!$S:$S))+IF(D3390=0,0,SUMIF(ING!$J:$J,Sheet2!$B3390,ING!$S:$S))</f>
        <v>0</v>
      </c>
      <c r="H3390" s="16">
        <f t="shared" si="105"/>
        <v>38174182.917564102</v>
      </c>
    </row>
    <row r="3391" spans="2:8" hidden="1" x14ac:dyDescent="0.4">
      <c r="B3391" s="1">
        <v>45940</v>
      </c>
      <c r="C3391" s="16">
        <f>SUMIF(매도완료!$G:$G,Sheet2!$B3391,매도완료!$P:$P)+SUMIF(ING!$G:$G,Sheet2!$B3391,ING!$P:$P)</f>
        <v>3717941</v>
      </c>
      <c r="D3391" s="16">
        <f>SUMIF(매도완료!$J:$J,Sheet2!$B3391,매도완료!$P:$P)+SUMIF(ING!$J:$J,Sheet2!$B3391,ING!$P:$P)</f>
        <v>7657200</v>
      </c>
      <c r="E3391" s="16">
        <f t="shared" si="104"/>
        <v>163110936.8344</v>
      </c>
      <c r="G3391" s="16">
        <f>IF(D3391=0,0,SUMIF(매도완료!$J:$J,Sheet2!$B3391,매도완료!$S:$S))+IF(D3391=0,0,SUMIF(ING!$J:$J,Sheet2!$B3391,ING!$S:$S))</f>
        <v>1134512.51</v>
      </c>
      <c r="H3391" s="16">
        <f t="shared" si="105"/>
        <v>39308695.427564099</v>
      </c>
    </row>
    <row r="3392" spans="2:8" hidden="1" x14ac:dyDescent="0.4">
      <c r="B3392" s="1">
        <v>45941</v>
      </c>
      <c r="C3392" s="16">
        <f>SUMIF(매도완료!$G:$G,Sheet2!$B3392,매도완료!$P:$P)+SUMIF(ING!$G:$G,Sheet2!$B3392,ING!$P:$P)</f>
        <v>0</v>
      </c>
      <c r="D3392" s="16">
        <f>SUMIF(매도완료!$J:$J,Sheet2!$B3392,매도완료!$P:$P)+SUMIF(ING!$J:$J,Sheet2!$B3392,ING!$P:$P)</f>
        <v>0</v>
      </c>
      <c r="E3392" s="16">
        <f t="shared" si="104"/>
        <v>163110936.8344</v>
      </c>
      <c r="G3392" s="16">
        <f>IF(D3392=0,0,SUMIF(매도완료!$J:$J,Sheet2!$B3392,매도완료!$S:$S))+IF(D3392=0,0,SUMIF(ING!$J:$J,Sheet2!$B3392,ING!$S:$S))</f>
        <v>0</v>
      </c>
      <c r="H3392" s="16">
        <f t="shared" si="105"/>
        <v>39308695.427564099</v>
      </c>
    </row>
    <row r="3393" spans="2:8" hidden="1" x14ac:dyDescent="0.4">
      <c r="B3393" s="1">
        <v>45942</v>
      </c>
      <c r="C3393" s="16">
        <f>SUMIF(매도완료!$G:$G,Sheet2!$B3393,매도완료!$P:$P)+SUMIF(ING!$G:$G,Sheet2!$B3393,ING!$P:$P)</f>
        <v>0</v>
      </c>
      <c r="D3393" s="16">
        <f>SUMIF(매도완료!$J:$J,Sheet2!$B3393,매도완료!$P:$P)+SUMIF(ING!$J:$J,Sheet2!$B3393,ING!$P:$P)</f>
        <v>0</v>
      </c>
      <c r="E3393" s="16">
        <f t="shared" si="104"/>
        <v>163110936.8344</v>
      </c>
      <c r="G3393" s="16">
        <f>IF(D3393=0,0,SUMIF(매도완료!$J:$J,Sheet2!$B3393,매도완료!$S:$S))+IF(D3393=0,0,SUMIF(ING!$J:$J,Sheet2!$B3393,ING!$S:$S))</f>
        <v>0</v>
      </c>
      <c r="H3393" s="16">
        <f t="shared" si="105"/>
        <v>39308695.427564099</v>
      </c>
    </row>
    <row r="3394" spans="2:8" hidden="1" x14ac:dyDescent="0.4">
      <c r="B3394" s="1">
        <v>45943</v>
      </c>
      <c r="C3394" s="16">
        <f>SUMIF(매도완료!$G:$G,Sheet2!$B3394,매도완료!$P:$P)+SUMIF(ING!$G:$G,Sheet2!$B3394,ING!$P:$P)</f>
        <v>7361460</v>
      </c>
      <c r="D3394" s="16">
        <f>SUMIF(매도완료!$J:$J,Sheet2!$B3394,매도완료!$P:$P)+SUMIF(ING!$J:$J,Sheet2!$B3394,ING!$P:$P)</f>
        <v>0</v>
      </c>
      <c r="E3394" s="16">
        <f t="shared" si="104"/>
        <v>170472396.8344</v>
      </c>
      <c r="G3394" s="16">
        <f>IF(D3394=0,0,SUMIF(매도완료!$J:$J,Sheet2!$B3394,매도완료!$S:$S))+IF(D3394=0,0,SUMIF(ING!$J:$J,Sheet2!$B3394,ING!$S:$S))</f>
        <v>0</v>
      </c>
      <c r="H3394" s="16">
        <f t="shared" si="105"/>
        <v>39308695.427564099</v>
      </c>
    </row>
    <row r="3395" spans="2:8" hidden="1" x14ac:dyDescent="0.4">
      <c r="B3395" s="1">
        <v>45944</v>
      </c>
      <c r="C3395" s="16">
        <f>SUMIF(매도완료!$G:$G,Sheet2!$B3395,매도완료!$P:$P)+SUMIF(ING!$G:$G,Sheet2!$B3395,ING!$P:$P)</f>
        <v>3991354</v>
      </c>
      <c r="D3395" s="16">
        <f>SUMIF(매도완료!$J:$J,Sheet2!$B3395,매도완료!$P:$P)+SUMIF(ING!$J:$J,Sheet2!$B3395,ING!$P:$P)</f>
        <v>0</v>
      </c>
      <c r="E3395" s="16">
        <f t="shared" si="104"/>
        <v>174463750.8344</v>
      </c>
      <c r="G3395" s="16">
        <f>IF(D3395=0,0,SUMIF(매도완료!$J:$J,Sheet2!$B3395,매도완료!$S:$S))+IF(D3395=0,0,SUMIF(ING!$J:$J,Sheet2!$B3395,ING!$S:$S))</f>
        <v>0</v>
      </c>
      <c r="H3395" s="16">
        <f t="shared" si="105"/>
        <v>39308695.427564099</v>
      </c>
    </row>
    <row r="3396" spans="2:8" hidden="1" x14ac:dyDescent="0.4">
      <c r="B3396" s="1">
        <v>45945</v>
      </c>
      <c r="C3396" s="16">
        <f>SUMIF(매도완료!$G:$G,Sheet2!$B3396,매도완료!$P:$P)+SUMIF(ING!$G:$G,Sheet2!$B3396,ING!$P:$P)</f>
        <v>346890</v>
      </c>
      <c r="D3396" s="16">
        <f>SUMIF(매도완료!$J:$J,Sheet2!$B3396,매도완료!$P:$P)+SUMIF(ING!$J:$J,Sheet2!$B3396,ING!$P:$P)</f>
        <v>5780000</v>
      </c>
      <c r="E3396" s="16">
        <f t="shared" ref="E3396:E3459" si="106">E3395+C3396-D3396</f>
        <v>169030640.8344</v>
      </c>
      <c r="G3396" s="16">
        <f>IF(D3396=0,0,SUMIF(매도완료!$J:$J,Sheet2!$B3396,매도완료!$S:$S))+IF(D3396=0,0,SUMIF(ING!$J:$J,Sheet2!$B3396,ING!$S:$S))</f>
        <v>647524.65753424657</v>
      </c>
      <c r="H3396" s="16">
        <f t="shared" ref="H3396:H3459" si="107">H3395+G3396</f>
        <v>39956220.085098349</v>
      </c>
    </row>
    <row r="3397" spans="2:8" hidden="1" x14ac:dyDescent="0.4">
      <c r="B3397" s="1">
        <v>45946</v>
      </c>
      <c r="C3397" s="16">
        <f>SUMIF(매도완료!$G:$G,Sheet2!$B3397,매도완료!$P:$P)+SUMIF(ING!$G:$G,Sheet2!$B3397,ING!$P:$P)</f>
        <v>1333550</v>
      </c>
      <c r="D3397" s="16">
        <f>SUMIF(매도완료!$J:$J,Sheet2!$B3397,매도완료!$P:$P)+SUMIF(ING!$J:$J,Sheet2!$B3397,ING!$P:$P)</f>
        <v>0</v>
      </c>
      <c r="E3397" s="16">
        <f t="shared" si="106"/>
        <v>170364190.8344</v>
      </c>
      <c r="G3397" s="16">
        <f>IF(D3397=0,0,SUMIF(매도완료!$J:$J,Sheet2!$B3397,매도완료!$S:$S))+IF(D3397=0,0,SUMIF(ING!$J:$J,Sheet2!$B3397,ING!$S:$S))</f>
        <v>0</v>
      </c>
      <c r="H3397" s="16">
        <f t="shared" si="107"/>
        <v>39956220.085098349</v>
      </c>
    </row>
    <row r="3398" spans="2:8" hidden="1" x14ac:dyDescent="0.4">
      <c r="B3398" s="1">
        <v>45947</v>
      </c>
      <c r="C3398" s="16">
        <f>SUMIF(매도완료!$G:$G,Sheet2!$B3398,매도완료!$P:$P)+SUMIF(ING!$G:$G,Sheet2!$B3398,ING!$P:$P)</f>
        <v>3250135</v>
      </c>
      <c r="D3398" s="16">
        <f>SUMIF(매도완료!$J:$J,Sheet2!$B3398,매도완료!$P:$P)+SUMIF(ING!$J:$J,Sheet2!$B3398,ING!$P:$P)</f>
        <v>0</v>
      </c>
      <c r="E3398" s="16">
        <f t="shared" si="106"/>
        <v>173614325.8344</v>
      </c>
      <c r="G3398" s="16">
        <f>IF(D3398=0,0,SUMIF(매도완료!$J:$J,Sheet2!$B3398,매도완료!$S:$S))+IF(D3398=0,0,SUMIF(ING!$J:$J,Sheet2!$B3398,ING!$S:$S))</f>
        <v>0</v>
      </c>
      <c r="H3398" s="16">
        <f t="shared" si="107"/>
        <v>39956220.085098349</v>
      </c>
    </row>
    <row r="3399" spans="2:8" hidden="1" x14ac:dyDescent="0.4">
      <c r="B3399" s="1">
        <v>45948</v>
      </c>
      <c r="C3399" s="16">
        <f>SUMIF(매도완료!$G:$G,Sheet2!$B3399,매도완료!$P:$P)+SUMIF(ING!$G:$G,Sheet2!$B3399,ING!$P:$P)</f>
        <v>0</v>
      </c>
      <c r="D3399" s="16">
        <f>SUMIF(매도완료!$J:$J,Sheet2!$B3399,매도완료!$P:$P)+SUMIF(ING!$J:$J,Sheet2!$B3399,ING!$P:$P)</f>
        <v>0</v>
      </c>
      <c r="E3399" s="16">
        <f t="shared" si="106"/>
        <v>173614325.8344</v>
      </c>
      <c r="G3399" s="16">
        <f>IF(D3399=0,0,SUMIF(매도완료!$J:$J,Sheet2!$B3399,매도완료!$S:$S))+IF(D3399=0,0,SUMIF(ING!$J:$J,Sheet2!$B3399,ING!$S:$S))</f>
        <v>0</v>
      </c>
      <c r="H3399" s="16">
        <f t="shared" si="107"/>
        <v>39956220.085098349</v>
      </c>
    </row>
    <row r="3400" spans="2:8" hidden="1" x14ac:dyDescent="0.4">
      <c r="B3400" s="1">
        <v>45949</v>
      </c>
      <c r="C3400" s="16">
        <f>SUMIF(매도완료!$G:$G,Sheet2!$B3400,매도완료!$P:$P)+SUMIF(ING!$G:$G,Sheet2!$B3400,ING!$P:$P)</f>
        <v>0</v>
      </c>
      <c r="D3400" s="16">
        <f>SUMIF(매도완료!$J:$J,Sheet2!$B3400,매도완료!$P:$P)+SUMIF(ING!$J:$J,Sheet2!$B3400,ING!$P:$P)</f>
        <v>0</v>
      </c>
      <c r="E3400" s="16">
        <f t="shared" si="106"/>
        <v>173614325.8344</v>
      </c>
      <c r="G3400" s="16">
        <f>IF(D3400=0,0,SUMIF(매도완료!$J:$J,Sheet2!$B3400,매도완료!$S:$S))+IF(D3400=0,0,SUMIF(ING!$J:$J,Sheet2!$B3400,ING!$S:$S))</f>
        <v>0</v>
      </c>
      <c r="H3400" s="16">
        <f t="shared" si="107"/>
        <v>39956220.085098349</v>
      </c>
    </row>
    <row r="3401" spans="2:8" hidden="1" x14ac:dyDescent="0.4">
      <c r="B3401" s="1">
        <v>45950</v>
      </c>
      <c r="C3401" s="16">
        <f>SUMIF(매도완료!$G:$G,Sheet2!$B3401,매도완료!$P:$P)+SUMIF(ING!$G:$G,Sheet2!$B3401,ING!$P:$P)</f>
        <v>17395</v>
      </c>
      <c r="D3401" s="16">
        <f>SUMIF(매도완료!$J:$J,Sheet2!$B3401,매도완료!$P:$P)+SUMIF(ING!$J:$J,Sheet2!$B3401,ING!$P:$P)</f>
        <v>723500</v>
      </c>
      <c r="E3401" s="16">
        <f t="shared" si="106"/>
        <v>172908220.8344</v>
      </c>
      <c r="G3401" s="16">
        <f>IF(D3401=0,0,SUMIF(매도완료!$J:$J,Sheet2!$B3401,매도완료!$S:$S))+IF(D3401=0,0,SUMIF(ING!$J:$J,Sheet2!$B3401,ING!$S:$S))</f>
        <v>132693.75</v>
      </c>
      <c r="H3401" s="16">
        <f t="shared" si="107"/>
        <v>40088913.835098349</v>
      </c>
    </row>
    <row r="3402" spans="2:8" hidden="1" x14ac:dyDescent="0.4">
      <c r="B3402" s="1">
        <v>45951</v>
      </c>
      <c r="C3402" s="16">
        <f>SUMIF(매도완료!$G:$G,Sheet2!$B3402,매도완료!$P:$P)+SUMIF(ING!$G:$G,Sheet2!$B3402,ING!$P:$P)</f>
        <v>2370510</v>
      </c>
      <c r="D3402" s="16">
        <f>SUMIF(매도완료!$J:$J,Sheet2!$B3402,매도완료!$P:$P)+SUMIF(ING!$J:$J,Sheet2!$B3402,ING!$P:$P)</f>
        <v>0</v>
      </c>
      <c r="E3402" s="16">
        <f t="shared" si="106"/>
        <v>175278730.8344</v>
      </c>
      <c r="G3402" s="16">
        <f>IF(D3402=0,0,SUMIF(매도완료!$J:$J,Sheet2!$B3402,매도완료!$S:$S))+IF(D3402=0,0,SUMIF(ING!$J:$J,Sheet2!$B3402,ING!$S:$S))</f>
        <v>0</v>
      </c>
      <c r="H3402" s="16">
        <f t="shared" si="107"/>
        <v>40088913.835098349</v>
      </c>
    </row>
    <row r="3403" spans="2:8" hidden="1" x14ac:dyDescent="0.4">
      <c r="B3403" s="1">
        <v>45952</v>
      </c>
      <c r="C3403" s="16">
        <f>SUMIF(매도완료!$G:$G,Sheet2!$B3403,매도완료!$P:$P)+SUMIF(ING!$G:$G,Sheet2!$B3403,ING!$P:$P)</f>
        <v>137400</v>
      </c>
      <c r="D3403" s="16">
        <f>SUMIF(매도완료!$J:$J,Sheet2!$B3403,매도완료!$P:$P)+SUMIF(ING!$J:$J,Sheet2!$B3403,ING!$P:$P)</f>
        <v>0</v>
      </c>
      <c r="E3403" s="16">
        <f t="shared" si="106"/>
        <v>175416130.8344</v>
      </c>
      <c r="G3403" s="16">
        <f>IF(D3403=0,0,SUMIF(매도완료!$J:$J,Sheet2!$B3403,매도완료!$S:$S))+IF(D3403=0,0,SUMIF(ING!$J:$J,Sheet2!$B3403,ING!$S:$S))</f>
        <v>0</v>
      </c>
      <c r="H3403" s="16">
        <f t="shared" si="107"/>
        <v>40088913.835098349</v>
      </c>
    </row>
    <row r="3404" spans="2:8" hidden="1" x14ac:dyDescent="0.4">
      <c r="B3404" s="1">
        <v>45953</v>
      </c>
      <c r="C3404" s="16">
        <f>SUMIF(매도완료!$G:$G,Sheet2!$B3404,매도완료!$P:$P)+SUMIF(ING!$G:$G,Sheet2!$B3404,ING!$P:$P)</f>
        <v>402070</v>
      </c>
      <c r="D3404" s="16">
        <f>SUMIF(매도완료!$J:$J,Sheet2!$B3404,매도완료!$P:$P)+SUMIF(ING!$J:$J,Sheet2!$B3404,ING!$P:$P)</f>
        <v>0</v>
      </c>
      <c r="E3404" s="16">
        <f t="shared" si="106"/>
        <v>175818200.8344</v>
      </c>
      <c r="G3404" s="16">
        <f>IF(D3404=0,0,SUMIF(매도완료!$J:$J,Sheet2!$B3404,매도완료!$S:$S))+IF(D3404=0,0,SUMIF(ING!$J:$J,Sheet2!$B3404,ING!$S:$S))</f>
        <v>0</v>
      </c>
      <c r="H3404" s="16">
        <f t="shared" si="107"/>
        <v>40088913.835098349</v>
      </c>
    </row>
    <row r="3405" spans="2:8" hidden="1" x14ac:dyDescent="0.4">
      <c r="B3405" s="1">
        <v>45954</v>
      </c>
      <c r="C3405" s="16">
        <f>SUMIF(매도완료!$G:$G,Sheet2!$B3405,매도완료!$P:$P)+SUMIF(ING!$G:$G,Sheet2!$B3405,ING!$P:$P)</f>
        <v>101590</v>
      </c>
      <c r="D3405" s="16">
        <f>SUMIF(매도완료!$J:$J,Sheet2!$B3405,매도완료!$P:$P)+SUMIF(ING!$J:$J,Sheet2!$B3405,ING!$P:$P)</f>
        <v>3150000</v>
      </c>
      <c r="E3405" s="16">
        <f t="shared" si="106"/>
        <v>172769790.8344</v>
      </c>
      <c r="G3405" s="16">
        <f>IF(D3405=0,0,SUMIF(매도완료!$J:$J,Sheet2!$B3405,매도완료!$S:$S))+IF(D3405=0,0,SUMIF(ING!$J:$J,Sheet2!$B3405,ING!$S:$S))</f>
        <v>720477.94520547939</v>
      </c>
      <c r="H3405" s="16">
        <f t="shared" si="107"/>
        <v>40809391.780303828</v>
      </c>
    </row>
    <row r="3406" spans="2:8" hidden="1" x14ac:dyDescent="0.4">
      <c r="B3406" s="1">
        <v>45955</v>
      </c>
      <c r="C3406" s="16">
        <f>SUMIF(매도완료!$G:$G,Sheet2!$B3406,매도완료!$P:$P)+SUMIF(ING!$G:$G,Sheet2!$B3406,ING!$P:$P)</f>
        <v>0</v>
      </c>
      <c r="D3406" s="16">
        <f>SUMIF(매도완료!$J:$J,Sheet2!$B3406,매도완료!$P:$P)+SUMIF(ING!$J:$J,Sheet2!$B3406,ING!$P:$P)</f>
        <v>0</v>
      </c>
      <c r="E3406" s="16">
        <f t="shared" si="106"/>
        <v>172769790.8344</v>
      </c>
      <c r="G3406" s="16">
        <f>IF(D3406=0,0,SUMIF(매도완료!$J:$J,Sheet2!$B3406,매도완료!$S:$S))+IF(D3406=0,0,SUMIF(ING!$J:$J,Sheet2!$B3406,ING!$S:$S))</f>
        <v>0</v>
      </c>
      <c r="H3406" s="16">
        <f t="shared" si="107"/>
        <v>40809391.780303828</v>
      </c>
    </row>
    <row r="3407" spans="2:8" hidden="1" x14ac:dyDescent="0.4">
      <c r="B3407" s="1">
        <v>45956</v>
      </c>
      <c r="C3407" s="16">
        <f>SUMIF(매도완료!$G:$G,Sheet2!$B3407,매도완료!$P:$P)+SUMIF(ING!$G:$G,Sheet2!$B3407,ING!$P:$P)</f>
        <v>0</v>
      </c>
      <c r="D3407" s="16">
        <f>SUMIF(매도완료!$J:$J,Sheet2!$B3407,매도완료!$P:$P)+SUMIF(ING!$J:$J,Sheet2!$B3407,ING!$P:$P)</f>
        <v>0</v>
      </c>
      <c r="E3407" s="16">
        <f t="shared" si="106"/>
        <v>172769790.8344</v>
      </c>
      <c r="G3407" s="16">
        <f>IF(D3407=0,0,SUMIF(매도완료!$J:$J,Sheet2!$B3407,매도완료!$S:$S))+IF(D3407=0,0,SUMIF(ING!$J:$J,Sheet2!$B3407,ING!$S:$S))</f>
        <v>0</v>
      </c>
      <c r="H3407" s="16">
        <f t="shared" si="107"/>
        <v>40809391.780303828</v>
      </c>
    </row>
    <row r="3408" spans="2:8" hidden="1" x14ac:dyDescent="0.4">
      <c r="B3408" s="1">
        <v>45957</v>
      </c>
      <c r="C3408" s="16">
        <f>SUMIF(매도완료!$G:$G,Sheet2!$B3408,매도완료!$P:$P)+SUMIF(ING!$G:$G,Sheet2!$B3408,ING!$P:$P)</f>
        <v>706655</v>
      </c>
      <c r="D3408" s="16">
        <f>SUMIF(매도완료!$J:$J,Sheet2!$B3408,매도완료!$P:$P)+SUMIF(ING!$J:$J,Sheet2!$B3408,ING!$P:$P)</f>
        <v>0</v>
      </c>
      <c r="E3408" s="16">
        <f t="shared" si="106"/>
        <v>173476445.8344</v>
      </c>
      <c r="G3408" s="16">
        <f>IF(D3408=0,0,SUMIF(매도완료!$J:$J,Sheet2!$B3408,매도완료!$S:$S))+IF(D3408=0,0,SUMIF(ING!$J:$J,Sheet2!$B3408,ING!$S:$S))</f>
        <v>0</v>
      </c>
      <c r="H3408" s="16">
        <f t="shared" si="107"/>
        <v>40809391.780303828</v>
      </c>
    </row>
    <row r="3409" spans="2:8" hidden="1" x14ac:dyDescent="0.4">
      <c r="B3409" s="1">
        <v>45958</v>
      </c>
      <c r="C3409" s="16">
        <f>SUMIF(매도완료!$G:$G,Sheet2!$B3409,매도완료!$P:$P)+SUMIF(ING!$G:$G,Sheet2!$B3409,ING!$P:$P)</f>
        <v>2113645</v>
      </c>
      <c r="D3409" s="16">
        <f>SUMIF(매도완료!$J:$J,Sheet2!$B3409,매도완료!$P:$P)+SUMIF(ING!$J:$J,Sheet2!$B3409,ING!$P:$P)</f>
        <v>2873400</v>
      </c>
      <c r="E3409" s="16">
        <f t="shared" si="106"/>
        <v>172716690.8344</v>
      </c>
      <c r="G3409" s="16">
        <f>IF(D3409=0,0,SUMIF(매도완료!$J:$J,Sheet2!$B3409,매도완료!$S:$S))+IF(D3409=0,0,SUMIF(ING!$J:$J,Sheet2!$B3409,ING!$S:$S))</f>
        <v>571974.01500000001</v>
      </c>
      <c r="H3409" s="16">
        <f t="shared" si="107"/>
        <v>41381365.795303829</v>
      </c>
    </row>
    <row r="3410" spans="2:8" hidden="1" x14ac:dyDescent="0.4">
      <c r="B3410" s="1">
        <v>45959</v>
      </c>
      <c r="C3410" s="16">
        <f>SUMIF(매도완료!$G:$G,Sheet2!$B3410,매도완료!$P:$P)+SUMIF(ING!$G:$G,Sheet2!$B3410,ING!$P:$P)</f>
        <v>4511750</v>
      </c>
      <c r="D3410" s="16">
        <f>SUMIF(매도완료!$J:$J,Sheet2!$B3410,매도완료!$P:$P)+SUMIF(ING!$J:$J,Sheet2!$B3410,ING!$P:$P)</f>
        <v>0</v>
      </c>
      <c r="E3410" s="16">
        <f t="shared" si="106"/>
        <v>177228440.8344</v>
      </c>
      <c r="G3410" s="16">
        <f>IF(D3410=0,0,SUMIF(매도완료!$J:$J,Sheet2!$B3410,매도완료!$S:$S))+IF(D3410=0,0,SUMIF(ING!$J:$J,Sheet2!$B3410,ING!$S:$S))</f>
        <v>0</v>
      </c>
      <c r="H3410" s="16">
        <f t="shared" si="107"/>
        <v>41381365.795303829</v>
      </c>
    </row>
    <row r="3411" spans="2:8" hidden="1" x14ac:dyDescent="0.4">
      <c r="B3411" s="1">
        <v>45960</v>
      </c>
      <c r="C3411" s="16">
        <f>SUMIF(매도완료!$G:$G,Sheet2!$B3411,매도완료!$P:$P)+SUMIF(ING!$G:$G,Sheet2!$B3411,ING!$P:$P)</f>
        <v>139250</v>
      </c>
      <c r="D3411" s="16">
        <f>SUMIF(매도완료!$J:$J,Sheet2!$B3411,매도완료!$P:$P)+SUMIF(ING!$J:$J,Sheet2!$B3411,ING!$P:$P)</f>
        <v>5241400</v>
      </c>
      <c r="E3411" s="16">
        <f t="shared" si="106"/>
        <v>172126290.8344</v>
      </c>
      <c r="G3411" s="16">
        <f>IF(D3411=0,0,SUMIF(매도완료!$J:$J,Sheet2!$B3411,매도완료!$S:$S))+IF(D3411=0,0,SUMIF(ING!$J:$J,Sheet2!$B3411,ING!$S:$S))</f>
        <v>1500152</v>
      </c>
      <c r="H3411" s="16">
        <f t="shared" si="107"/>
        <v>42881517.795303829</v>
      </c>
    </row>
    <row r="3412" spans="2:8" hidden="1" x14ac:dyDescent="0.4">
      <c r="B3412" s="1">
        <v>45961</v>
      </c>
      <c r="C3412" s="16">
        <f>SUMIF(매도완료!$G:$G,Sheet2!$B3412,매도완료!$P:$P)+SUMIF(ING!$G:$G,Sheet2!$B3412,ING!$P:$P)</f>
        <v>2652420</v>
      </c>
      <c r="D3412" s="16">
        <f>SUMIF(매도완료!$J:$J,Sheet2!$B3412,매도완료!$P:$P)+SUMIF(ING!$J:$J,Sheet2!$B3412,ING!$P:$P)</f>
        <v>0</v>
      </c>
      <c r="E3412" s="16">
        <f t="shared" si="106"/>
        <v>174778710.8344</v>
      </c>
      <c r="G3412" s="16">
        <f>IF(D3412=0,0,SUMIF(매도완료!$J:$J,Sheet2!$B3412,매도완료!$S:$S))+IF(D3412=0,0,SUMIF(ING!$J:$J,Sheet2!$B3412,ING!$S:$S))</f>
        <v>0</v>
      </c>
      <c r="H3412" s="16">
        <f t="shared" si="107"/>
        <v>42881517.795303829</v>
      </c>
    </row>
    <row r="3413" spans="2:8" x14ac:dyDescent="0.4">
      <c r="B3413" s="1">
        <v>45962</v>
      </c>
      <c r="C3413" s="16">
        <f>SUMIF(매도완료!$G:$G,Sheet2!$B3413,매도완료!$P:$P)+SUMIF(ING!$G:$G,Sheet2!$B3413,ING!$P:$P)</f>
        <v>0</v>
      </c>
      <c r="D3413" s="16">
        <f>SUMIF(매도완료!$J:$J,Sheet2!$B3413,매도완료!$P:$P)+SUMIF(ING!$J:$J,Sheet2!$B3413,ING!$P:$P)</f>
        <v>0</v>
      </c>
      <c r="E3413" s="16">
        <f t="shared" si="106"/>
        <v>174778710.8344</v>
      </c>
      <c r="G3413" s="16">
        <f>IF(D3413=0,0,SUMIF(매도완료!$J:$J,Sheet2!$B3413,매도완료!$S:$S))+IF(D3413=0,0,SUMIF(ING!$J:$J,Sheet2!$B3413,ING!$S:$S))</f>
        <v>0</v>
      </c>
      <c r="H3413" s="16">
        <f t="shared" si="107"/>
        <v>42881517.795303829</v>
      </c>
    </row>
    <row r="3414" spans="2:8" hidden="1" x14ac:dyDescent="0.4">
      <c r="B3414" s="1">
        <v>45963</v>
      </c>
      <c r="C3414" s="16">
        <f>SUMIF(매도완료!$G:$G,Sheet2!$B3414,매도완료!$P:$P)+SUMIF(ING!$G:$G,Sheet2!$B3414,ING!$P:$P)</f>
        <v>0</v>
      </c>
      <c r="D3414" s="16">
        <f>SUMIF(매도완료!$J:$J,Sheet2!$B3414,매도완료!$P:$P)+SUMIF(ING!$J:$J,Sheet2!$B3414,ING!$P:$P)</f>
        <v>0</v>
      </c>
      <c r="E3414" s="16">
        <f t="shared" si="106"/>
        <v>174778710.8344</v>
      </c>
      <c r="G3414" s="16">
        <f>IF(D3414=0,0,SUMIF(매도완료!$J:$J,Sheet2!$B3414,매도완료!$S:$S))+IF(D3414=0,0,SUMIF(ING!$J:$J,Sheet2!$B3414,ING!$S:$S))</f>
        <v>0</v>
      </c>
      <c r="H3414" s="16">
        <f t="shared" si="107"/>
        <v>42881517.795303829</v>
      </c>
    </row>
    <row r="3415" spans="2:8" hidden="1" x14ac:dyDescent="0.4">
      <c r="B3415" s="1">
        <v>45964</v>
      </c>
      <c r="C3415" s="16">
        <f>SUMIF(매도완료!$G:$G,Sheet2!$B3415,매도완료!$P:$P)+SUMIF(ING!$G:$G,Sheet2!$B3415,ING!$P:$P)</f>
        <v>1868430</v>
      </c>
      <c r="D3415" s="16">
        <f>SUMIF(매도완료!$J:$J,Sheet2!$B3415,매도완료!$P:$P)+SUMIF(ING!$J:$J,Sheet2!$B3415,ING!$P:$P)</f>
        <v>0</v>
      </c>
      <c r="E3415" s="16">
        <f t="shared" si="106"/>
        <v>176647140.8344</v>
      </c>
      <c r="G3415" s="16">
        <f>IF(D3415=0,0,SUMIF(매도완료!$J:$J,Sheet2!$B3415,매도완료!$S:$S))+IF(D3415=0,0,SUMIF(ING!$J:$J,Sheet2!$B3415,ING!$S:$S))</f>
        <v>0</v>
      </c>
      <c r="H3415" s="16">
        <f t="shared" si="107"/>
        <v>42881517.795303829</v>
      </c>
    </row>
    <row r="3416" spans="2:8" hidden="1" x14ac:dyDescent="0.4">
      <c r="B3416" s="1">
        <v>45965</v>
      </c>
      <c r="C3416" s="16">
        <f>SUMIF(매도완료!$G:$G,Sheet2!$B3416,매도완료!$P:$P)+SUMIF(ING!$G:$G,Sheet2!$B3416,ING!$P:$P)</f>
        <v>1208762</v>
      </c>
      <c r="D3416" s="16">
        <f>SUMIF(매도완료!$J:$J,Sheet2!$B3416,매도완료!$P:$P)+SUMIF(ING!$J:$J,Sheet2!$B3416,ING!$P:$P)</f>
        <v>0</v>
      </c>
      <c r="E3416" s="16">
        <f t="shared" si="106"/>
        <v>177855902.8344</v>
      </c>
      <c r="G3416" s="16">
        <f>IF(D3416=0,0,SUMIF(매도완료!$J:$J,Sheet2!$B3416,매도완료!$S:$S))+IF(D3416=0,0,SUMIF(ING!$J:$J,Sheet2!$B3416,ING!$S:$S))</f>
        <v>0</v>
      </c>
      <c r="H3416" s="16">
        <f t="shared" si="107"/>
        <v>42881517.795303829</v>
      </c>
    </row>
    <row r="3417" spans="2:8" hidden="1" x14ac:dyDescent="0.4">
      <c r="B3417" s="1">
        <v>45966</v>
      </c>
      <c r="C3417" s="16">
        <f>SUMIF(매도완료!$G:$G,Sheet2!$B3417,매도완료!$P:$P)+SUMIF(ING!$G:$G,Sheet2!$B3417,ING!$P:$P)</f>
        <v>158600</v>
      </c>
      <c r="D3417" s="16">
        <f>SUMIF(매도완료!$J:$J,Sheet2!$B3417,매도완료!$P:$P)+SUMIF(ING!$J:$J,Sheet2!$B3417,ING!$P:$P)</f>
        <v>0</v>
      </c>
      <c r="E3417" s="16">
        <f t="shared" si="106"/>
        <v>178014502.8344</v>
      </c>
      <c r="G3417" s="16">
        <f>IF(D3417=0,0,SUMIF(매도완료!$J:$J,Sheet2!$B3417,매도완료!$S:$S))+IF(D3417=0,0,SUMIF(ING!$J:$J,Sheet2!$B3417,ING!$S:$S))</f>
        <v>0</v>
      </c>
      <c r="H3417" s="16">
        <f t="shared" si="107"/>
        <v>42881517.795303829</v>
      </c>
    </row>
    <row r="3418" spans="2:8" hidden="1" x14ac:dyDescent="0.4">
      <c r="B3418" s="1">
        <v>45967</v>
      </c>
      <c r="C3418" s="16">
        <f>SUMIF(매도완료!$G:$G,Sheet2!$B3418,매도완료!$P:$P)+SUMIF(ING!$G:$G,Sheet2!$B3418,ING!$P:$P)</f>
        <v>136300</v>
      </c>
      <c r="D3418" s="16">
        <f>SUMIF(매도완료!$J:$J,Sheet2!$B3418,매도완료!$P:$P)+SUMIF(ING!$J:$J,Sheet2!$B3418,ING!$P:$P)</f>
        <v>0</v>
      </c>
      <c r="E3418" s="16">
        <f t="shared" si="106"/>
        <v>178150802.8344</v>
      </c>
      <c r="G3418" s="16">
        <f>IF(D3418=0,0,SUMIF(매도완료!$J:$J,Sheet2!$B3418,매도완료!$S:$S))+IF(D3418=0,0,SUMIF(ING!$J:$J,Sheet2!$B3418,ING!$S:$S))</f>
        <v>0</v>
      </c>
      <c r="H3418" s="16">
        <f t="shared" si="107"/>
        <v>42881517.795303829</v>
      </c>
    </row>
    <row r="3419" spans="2:8" hidden="1" x14ac:dyDescent="0.4">
      <c r="B3419" s="1">
        <v>45968</v>
      </c>
      <c r="C3419" s="16">
        <f>SUMIF(매도완료!$G:$G,Sheet2!$B3419,매도완료!$P:$P)+SUMIF(ING!$G:$G,Sheet2!$B3419,ING!$P:$P)</f>
        <v>105300</v>
      </c>
      <c r="D3419" s="16">
        <f>SUMIF(매도완료!$J:$J,Sheet2!$B3419,매도완료!$P:$P)+SUMIF(ING!$J:$J,Sheet2!$B3419,ING!$P:$P)</f>
        <v>0</v>
      </c>
      <c r="E3419" s="16">
        <f t="shared" si="106"/>
        <v>178256102.8344</v>
      </c>
      <c r="G3419" s="16">
        <f>IF(D3419=0,0,SUMIF(매도완료!$J:$J,Sheet2!$B3419,매도완료!$S:$S))+IF(D3419=0,0,SUMIF(ING!$J:$J,Sheet2!$B3419,ING!$S:$S))</f>
        <v>0</v>
      </c>
      <c r="H3419" s="16">
        <f t="shared" si="107"/>
        <v>42881517.795303829</v>
      </c>
    </row>
    <row r="3420" spans="2:8" hidden="1" x14ac:dyDescent="0.4">
      <c r="B3420" s="1">
        <v>45969</v>
      </c>
      <c r="C3420" s="16">
        <f>SUMIF(매도완료!$G:$G,Sheet2!$B3420,매도완료!$P:$P)+SUMIF(ING!$G:$G,Sheet2!$B3420,ING!$P:$P)</f>
        <v>0</v>
      </c>
      <c r="D3420" s="16">
        <f>SUMIF(매도완료!$J:$J,Sheet2!$B3420,매도완료!$P:$P)+SUMIF(ING!$J:$J,Sheet2!$B3420,ING!$P:$P)</f>
        <v>0</v>
      </c>
      <c r="E3420" s="16">
        <f t="shared" si="106"/>
        <v>178256102.8344</v>
      </c>
      <c r="G3420" s="16">
        <f>IF(D3420=0,0,SUMIF(매도완료!$J:$J,Sheet2!$B3420,매도완료!$S:$S))+IF(D3420=0,0,SUMIF(ING!$J:$J,Sheet2!$B3420,ING!$S:$S))</f>
        <v>0</v>
      </c>
      <c r="H3420" s="16">
        <f t="shared" si="107"/>
        <v>42881517.795303829</v>
      </c>
    </row>
    <row r="3421" spans="2:8" hidden="1" x14ac:dyDescent="0.4">
      <c r="B3421" s="1">
        <v>45970</v>
      </c>
      <c r="C3421" s="16">
        <f>SUMIF(매도완료!$G:$G,Sheet2!$B3421,매도완료!$P:$P)+SUMIF(ING!$G:$G,Sheet2!$B3421,ING!$P:$P)</f>
        <v>0</v>
      </c>
      <c r="D3421" s="16">
        <f>SUMIF(매도완료!$J:$J,Sheet2!$B3421,매도완료!$P:$P)+SUMIF(ING!$J:$J,Sheet2!$B3421,ING!$P:$P)</f>
        <v>0</v>
      </c>
      <c r="E3421" s="16">
        <f t="shared" si="106"/>
        <v>178256102.8344</v>
      </c>
      <c r="G3421" s="16">
        <f>IF(D3421=0,0,SUMIF(매도완료!$J:$J,Sheet2!$B3421,매도완료!$S:$S))+IF(D3421=0,0,SUMIF(ING!$J:$J,Sheet2!$B3421,ING!$S:$S))</f>
        <v>0</v>
      </c>
      <c r="H3421" s="16">
        <f t="shared" si="107"/>
        <v>42881517.795303829</v>
      </c>
    </row>
    <row r="3422" spans="2:8" hidden="1" x14ac:dyDescent="0.4">
      <c r="B3422" s="1">
        <v>45971</v>
      </c>
      <c r="C3422" s="16">
        <f>SUMIF(매도완료!$G:$G,Sheet2!$B3422,매도완료!$P:$P)+SUMIF(ING!$G:$G,Sheet2!$B3422,ING!$P:$P)</f>
        <v>398940</v>
      </c>
      <c r="D3422" s="16">
        <f>SUMIF(매도완료!$J:$J,Sheet2!$B3422,매도완료!$P:$P)+SUMIF(ING!$J:$J,Sheet2!$B3422,ING!$P:$P)</f>
        <v>1055600</v>
      </c>
      <c r="E3422" s="16">
        <f t="shared" si="106"/>
        <v>177599442.8344</v>
      </c>
      <c r="G3422" s="16">
        <f>IF(D3422=0,0,SUMIF(매도완료!$J:$J,Sheet2!$B3422,매도완료!$S:$S))+IF(D3422=0,0,SUMIF(ING!$J:$J,Sheet2!$B3422,ING!$S:$S))</f>
        <v>124307.45000000011</v>
      </c>
      <c r="H3422" s="16">
        <f t="shared" si="107"/>
        <v>43005825.245303832</v>
      </c>
    </row>
    <row r="3423" spans="2:8" hidden="1" x14ac:dyDescent="0.4">
      <c r="B3423" s="1">
        <v>45972</v>
      </c>
      <c r="C3423" s="16">
        <f>SUMIF(매도완료!$G:$G,Sheet2!$B3423,매도완료!$P:$P)+SUMIF(ING!$G:$G,Sheet2!$B3423,ING!$P:$P)</f>
        <v>45858</v>
      </c>
      <c r="D3423" s="16">
        <f>SUMIF(매도완료!$J:$J,Sheet2!$B3423,매도완료!$P:$P)+SUMIF(ING!$J:$J,Sheet2!$B3423,ING!$P:$P)</f>
        <v>0</v>
      </c>
      <c r="E3423" s="16">
        <f t="shared" si="106"/>
        <v>177645300.8344</v>
      </c>
      <c r="G3423" s="16">
        <f>IF(D3423=0,0,SUMIF(매도완료!$J:$J,Sheet2!$B3423,매도완료!$S:$S))+IF(D3423=0,0,SUMIF(ING!$J:$J,Sheet2!$B3423,ING!$S:$S))</f>
        <v>0</v>
      </c>
      <c r="H3423" s="16">
        <f t="shared" si="107"/>
        <v>43005825.245303832</v>
      </c>
    </row>
    <row r="3424" spans="2:8" hidden="1" x14ac:dyDescent="0.4">
      <c r="B3424" s="1">
        <v>45973</v>
      </c>
      <c r="C3424" s="16">
        <f>SUMIF(매도완료!$G:$G,Sheet2!$B3424,매도완료!$P:$P)+SUMIF(ING!$G:$G,Sheet2!$B3424,ING!$P:$P)</f>
        <v>1637880</v>
      </c>
      <c r="D3424" s="16">
        <f>SUMIF(매도완료!$J:$J,Sheet2!$B3424,매도완료!$P:$P)+SUMIF(ING!$J:$J,Sheet2!$B3424,ING!$P:$P)</f>
        <v>3670005</v>
      </c>
      <c r="E3424" s="16">
        <f t="shared" si="106"/>
        <v>175613175.8344</v>
      </c>
      <c r="G3424" s="16">
        <f>IF(D3424=0,0,SUMIF(매도완료!$J:$J,Sheet2!$B3424,매도완료!$S:$S))+IF(D3424=0,0,SUMIF(ING!$J:$J,Sheet2!$B3424,ING!$S:$S))</f>
        <v>1179790.0425</v>
      </c>
      <c r="H3424" s="16">
        <f t="shared" si="107"/>
        <v>44185615.287803829</v>
      </c>
    </row>
    <row r="3425" spans="2:8" hidden="1" x14ac:dyDescent="0.4">
      <c r="B3425" s="1">
        <v>45974</v>
      </c>
      <c r="C3425" s="16">
        <f>SUMIF(매도완료!$G:$G,Sheet2!$B3425,매도완료!$P:$P)+SUMIF(ING!$G:$G,Sheet2!$B3425,ING!$P:$P)</f>
        <v>139800</v>
      </c>
      <c r="D3425" s="16">
        <f>SUMIF(매도완료!$J:$J,Sheet2!$B3425,매도완료!$P:$P)+SUMIF(ING!$J:$J,Sheet2!$B3425,ING!$P:$P)</f>
        <v>0</v>
      </c>
      <c r="E3425" s="16">
        <f t="shared" si="106"/>
        <v>175752975.8344</v>
      </c>
      <c r="G3425" s="16">
        <f>IF(D3425=0,0,SUMIF(매도완료!$J:$J,Sheet2!$B3425,매도완료!$S:$S))+IF(D3425=0,0,SUMIF(ING!$J:$J,Sheet2!$B3425,ING!$S:$S))</f>
        <v>0</v>
      </c>
      <c r="H3425" s="16">
        <f t="shared" si="107"/>
        <v>44185615.287803829</v>
      </c>
    </row>
    <row r="3426" spans="2:8" hidden="1" x14ac:dyDescent="0.4">
      <c r="B3426" s="1">
        <v>45975</v>
      </c>
      <c r="C3426" s="16">
        <f>SUMIF(매도완료!$G:$G,Sheet2!$B3426,매도완료!$P:$P)+SUMIF(ING!$G:$G,Sheet2!$B3426,ING!$P:$P)</f>
        <v>105710</v>
      </c>
      <c r="D3426" s="16">
        <f>SUMIF(매도완료!$J:$J,Sheet2!$B3426,매도완료!$P:$P)+SUMIF(ING!$J:$J,Sheet2!$B3426,ING!$P:$P)</f>
        <v>0</v>
      </c>
      <c r="E3426" s="16">
        <f t="shared" si="106"/>
        <v>175858685.8344</v>
      </c>
      <c r="G3426" s="16">
        <f>IF(D3426=0,0,SUMIF(매도완료!$J:$J,Sheet2!$B3426,매도완료!$S:$S))+IF(D3426=0,0,SUMIF(ING!$J:$J,Sheet2!$B3426,ING!$S:$S))</f>
        <v>0</v>
      </c>
      <c r="H3426" s="16">
        <f t="shared" si="107"/>
        <v>44185615.287803829</v>
      </c>
    </row>
    <row r="3427" spans="2:8" hidden="1" x14ac:dyDescent="0.4">
      <c r="B3427" s="1">
        <v>45976</v>
      </c>
      <c r="C3427" s="16">
        <f>SUMIF(매도완료!$G:$G,Sheet2!$B3427,매도완료!$P:$P)+SUMIF(ING!$G:$G,Sheet2!$B3427,ING!$P:$P)</f>
        <v>0</v>
      </c>
      <c r="D3427" s="16">
        <f>SUMIF(매도완료!$J:$J,Sheet2!$B3427,매도완료!$P:$P)+SUMIF(ING!$J:$J,Sheet2!$B3427,ING!$P:$P)</f>
        <v>0</v>
      </c>
      <c r="E3427" s="16">
        <f t="shared" si="106"/>
        <v>175858685.8344</v>
      </c>
      <c r="G3427" s="16">
        <f>IF(D3427=0,0,SUMIF(매도완료!$J:$J,Sheet2!$B3427,매도완료!$S:$S))+IF(D3427=0,0,SUMIF(ING!$J:$J,Sheet2!$B3427,ING!$S:$S))</f>
        <v>0</v>
      </c>
      <c r="H3427" s="16">
        <f t="shared" si="107"/>
        <v>44185615.287803829</v>
      </c>
    </row>
    <row r="3428" spans="2:8" hidden="1" x14ac:dyDescent="0.4">
      <c r="B3428" s="1">
        <v>45977</v>
      </c>
      <c r="C3428" s="16">
        <f>SUMIF(매도완료!$G:$G,Sheet2!$B3428,매도완료!$P:$P)+SUMIF(ING!$G:$G,Sheet2!$B3428,ING!$P:$P)</f>
        <v>0</v>
      </c>
      <c r="D3428" s="16">
        <f>SUMIF(매도완료!$J:$J,Sheet2!$B3428,매도완료!$P:$P)+SUMIF(ING!$J:$J,Sheet2!$B3428,ING!$P:$P)</f>
        <v>0</v>
      </c>
      <c r="E3428" s="16">
        <f t="shared" si="106"/>
        <v>175858685.8344</v>
      </c>
      <c r="G3428" s="16">
        <f>IF(D3428=0,0,SUMIF(매도완료!$J:$J,Sheet2!$B3428,매도완료!$S:$S))+IF(D3428=0,0,SUMIF(ING!$J:$J,Sheet2!$B3428,ING!$S:$S))</f>
        <v>0</v>
      </c>
      <c r="H3428" s="16">
        <f t="shared" si="107"/>
        <v>44185615.287803829</v>
      </c>
    </row>
    <row r="3429" spans="2:8" hidden="1" x14ac:dyDescent="0.4">
      <c r="B3429" s="1">
        <v>45978</v>
      </c>
      <c r="C3429" s="16">
        <f>SUMIF(매도완료!$G:$G,Sheet2!$B3429,매도완료!$P:$P)+SUMIF(ING!$G:$G,Sheet2!$B3429,ING!$P:$P)</f>
        <v>15965</v>
      </c>
      <c r="D3429" s="16">
        <f>SUMIF(매도완료!$J:$J,Sheet2!$B3429,매도완료!$P:$P)+SUMIF(ING!$J:$J,Sheet2!$B3429,ING!$P:$P)</f>
        <v>0</v>
      </c>
      <c r="E3429" s="16">
        <f t="shared" si="106"/>
        <v>175874650.8344</v>
      </c>
      <c r="G3429" s="16">
        <f>IF(D3429=0,0,SUMIF(매도완료!$J:$J,Sheet2!$B3429,매도완료!$S:$S))+IF(D3429=0,0,SUMIF(ING!$J:$J,Sheet2!$B3429,ING!$S:$S))</f>
        <v>0</v>
      </c>
      <c r="H3429" s="16">
        <f t="shared" si="107"/>
        <v>44185615.287803829</v>
      </c>
    </row>
    <row r="3430" spans="2:8" hidden="1" x14ac:dyDescent="0.4">
      <c r="B3430" s="1">
        <v>45979</v>
      </c>
      <c r="C3430" s="16">
        <f>SUMIF(매도완료!$G:$G,Sheet2!$B3430,매도완료!$P:$P)+SUMIF(ING!$G:$G,Sheet2!$B3430,ING!$P:$P)</f>
        <v>45600</v>
      </c>
      <c r="D3430" s="16">
        <f>SUMIF(매도완료!$J:$J,Sheet2!$B3430,매도완료!$P:$P)+SUMIF(ING!$J:$J,Sheet2!$B3430,ING!$P:$P)</f>
        <v>0</v>
      </c>
      <c r="E3430" s="16">
        <f t="shared" si="106"/>
        <v>175920250.8344</v>
      </c>
      <c r="G3430" s="16">
        <f>IF(D3430=0,0,SUMIF(매도완료!$J:$J,Sheet2!$B3430,매도완료!$S:$S))+IF(D3430=0,0,SUMIF(ING!$J:$J,Sheet2!$B3430,ING!$S:$S))</f>
        <v>0</v>
      </c>
      <c r="H3430" s="16">
        <f t="shared" si="107"/>
        <v>44185615.287803829</v>
      </c>
    </row>
    <row r="3431" spans="2:8" hidden="1" x14ac:dyDescent="0.4">
      <c r="B3431" s="1">
        <v>45980</v>
      </c>
      <c r="C3431" s="16">
        <f>SUMIF(매도완료!$G:$G,Sheet2!$B3431,매도완료!$P:$P)+SUMIF(ING!$G:$G,Sheet2!$B3431,ING!$P:$P)</f>
        <v>150340</v>
      </c>
      <c r="D3431" s="16">
        <f>SUMIF(매도완료!$J:$J,Sheet2!$B3431,매도완료!$P:$P)+SUMIF(ING!$J:$J,Sheet2!$B3431,ING!$P:$P)</f>
        <v>0</v>
      </c>
      <c r="E3431" s="16">
        <f t="shared" si="106"/>
        <v>176070590.8344</v>
      </c>
      <c r="G3431" s="16">
        <f>IF(D3431=0,0,SUMIF(매도완료!$J:$J,Sheet2!$B3431,매도완료!$S:$S))+IF(D3431=0,0,SUMIF(ING!$J:$J,Sheet2!$B3431,ING!$S:$S))</f>
        <v>0</v>
      </c>
      <c r="H3431" s="16">
        <f t="shared" si="107"/>
        <v>44185615.287803829</v>
      </c>
    </row>
    <row r="3432" spans="2:8" hidden="1" x14ac:dyDescent="0.4">
      <c r="B3432" s="1">
        <v>45981</v>
      </c>
      <c r="C3432" s="16">
        <f>SUMIF(매도완료!$G:$G,Sheet2!$B3432,매도완료!$P:$P)+SUMIF(ING!$G:$G,Sheet2!$B3432,ING!$P:$P)</f>
        <v>144600</v>
      </c>
      <c r="D3432" s="16">
        <f>SUMIF(매도완료!$J:$J,Sheet2!$B3432,매도완료!$P:$P)+SUMIF(ING!$J:$J,Sheet2!$B3432,ING!$P:$P)</f>
        <v>0</v>
      </c>
      <c r="E3432" s="16">
        <f t="shared" si="106"/>
        <v>176215190.8344</v>
      </c>
      <c r="G3432" s="16">
        <f>IF(D3432=0,0,SUMIF(매도완료!$J:$J,Sheet2!$B3432,매도완료!$S:$S))+IF(D3432=0,0,SUMIF(ING!$J:$J,Sheet2!$B3432,ING!$S:$S))</f>
        <v>0</v>
      </c>
      <c r="H3432" s="16">
        <f t="shared" si="107"/>
        <v>44185615.287803829</v>
      </c>
    </row>
    <row r="3433" spans="2:8" hidden="1" x14ac:dyDescent="0.4">
      <c r="B3433" s="1">
        <v>45982</v>
      </c>
      <c r="C3433" s="16">
        <f>SUMIF(매도완료!$G:$G,Sheet2!$B3433,매도완료!$P:$P)+SUMIF(ING!$G:$G,Sheet2!$B3433,ING!$P:$P)</f>
        <v>112990</v>
      </c>
      <c r="D3433" s="16">
        <f>SUMIF(매도완료!$J:$J,Sheet2!$B3433,매도완료!$P:$P)+SUMIF(ING!$J:$J,Sheet2!$B3433,ING!$P:$P)</f>
        <v>0</v>
      </c>
      <c r="E3433" s="16">
        <f t="shared" si="106"/>
        <v>176328180.8344</v>
      </c>
      <c r="G3433" s="16">
        <f>IF(D3433=0,0,SUMIF(매도완료!$J:$J,Sheet2!$B3433,매도완료!$S:$S))+IF(D3433=0,0,SUMIF(ING!$J:$J,Sheet2!$B3433,ING!$S:$S))</f>
        <v>0</v>
      </c>
      <c r="H3433" s="16">
        <f t="shared" si="107"/>
        <v>44185615.287803829</v>
      </c>
    </row>
    <row r="3434" spans="2:8" hidden="1" x14ac:dyDescent="0.4">
      <c r="B3434" s="1">
        <v>45983</v>
      </c>
      <c r="C3434" s="16">
        <f>SUMIF(매도완료!$G:$G,Sheet2!$B3434,매도완료!$P:$P)+SUMIF(ING!$G:$G,Sheet2!$B3434,ING!$P:$P)</f>
        <v>0</v>
      </c>
      <c r="D3434" s="16">
        <f>SUMIF(매도완료!$J:$J,Sheet2!$B3434,매도완료!$P:$P)+SUMIF(ING!$J:$J,Sheet2!$B3434,ING!$P:$P)</f>
        <v>0</v>
      </c>
      <c r="E3434" s="16">
        <f t="shared" si="106"/>
        <v>176328180.8344</v>
      </c>
      <c r="G3434" s="16">
        <f>IF(D3434=0,0,SUMIF(매도완료!$J:$J,Sheet2!$B3434,매도완료!$S:$S))+IF(D3434=0,0,SUMIF(ING!$J:$J,Sheet2!$B3434,ING!$S:$S))</f>
        <v>0</v>
      </c>
      <c r="H3434" s="16">
        <f t="shared" si="107"/>
        <v>44185615.287803829</v>
      </c>
    </row>
    <row r="3435" spans="2:8" hidden="1" x14ac:dyDescent="0.4">
      <c r="B3435" s="1">
        <v>45984</v>
      </c>
      <c r="C3435" s="16">
        <f>SUMIF(매도완료!$G:$G,Sheet2!$B3435,매도완료!$P:$P)+SUMIF(ING!$G:$G,Sheet2!$B3435,ING!$P:$P)</f>
        <v>0</v>
      </c>
      <c r="D3435" s="16">
        <f>SUMIF(매도완료!$J:$J,Sheet2!$B3435,매도완료!$P:$P)+SUMIF(ING!$J:$J,Sheet2!$B3435,ING!$P:$P)</f>
        <v>0</v>
      </c>
      <c r="E3435" s="16">
        <f t="shared" si="106"/>
        <v>176328180.8344</v>
      </c>
      <c r="G3435" s="16">
        <f>IF(D3435=0,0,SUMIF(매도완료!$J:$J,Sheet2!$B3435,매도완료!$S:$S))+IF(D3435=0,0,SUMIF(ING!$J:$J,Sheet2!$B3435,ING!$S:$S))</f>
        <v>0</v>
      </c>
      <c r="H3435" s="16">
        <f t="shared" si="107"/>
        <v>44185615.287803829</v>
      </c>
    </row>
    <row r="3436" spans="2:8" hidden="1" x14ac:dyDescent="0.4">
      <c r="B3436" s="1">
        <v>45985</v>
      </c>
      <c r="C3436" s="16">
        <f>SUMIF(매도완료!$G:$G,Sheet2!$B3436,매도완료!$P:$P)+SUMIF(ING!$G:$G,Sheet2!$B3436,ING!$P:$P)</f>
        <v>194940</v>
      </c>
      <c r="D3436" s="16">
        <f>SUMIF(매도완료!$J:$J,Sheet2!$B3436,매도완료!$P:$P)+SUMIF(ING!$J:$J,Sheet2!$B3436,ING!$P:$P)</f>
        <v>0</v>
      </c>
      <c r="E3436" s="16">
        <f t="shared" si="106"/>
        <v>176523120.8344</v>
      </c>
      <c r="G3436" s="16">
        <f>IF(D3436=0,0,SUMIF(매도완료!$J:$J,Sheet2!$B3436,매도완료!$S:$S))+IF(D3436=0,0,SUMIF(ING!$J:$J,Sheet2!$B3436,ING!$S:$S))</f>
        <v>0</v>
      </c>
      <c r="H3436" s="16">
        <f t="shared" si="107"/>
        <v>44185615.287803829</v>
      </c>
    </row>
    <row r="3437" spans="2:8" hidden="1" x14ac:dyDescent="0.4">
      <c r="B3437" s="1">
        <v>45986</v>
      </c>
      <c r="C3437" s="16">
        <f>SUMIF(매도완료!$G:$G,Sheet2!$B3437,매도완료!$P:$P)+SUMIF(ING!$G:$G,Sheet2!$B3437,ING!$P:$P)</f>
        <v>566001</v>
      </c>
      <c r="D3437" s="16">
        <f>SUMIF(매도완료!$J:$J,Sheet2!$B3437,매도완료!$P:$P)+SUMIF(ING!$J:$J,Sheet2!$B3437,ING!$P:$P)</f>
        <v>3729400</v>
      </c>
      <c r="E3437" s="16">
        <f t="shared" si="106"/>
        <v>173359721.8344</v>
      </c>
      <c r="G3437" s="16">
        <f>IF(D3437=0,0,SUMIF(매도완료!$J:$J,Sheet2!$B3437,매도완료!$S:$S))+IF(D3437=0,0,SUMIF(ING!$J:$J,Sheet2!$B3437,ING!$S:$S))</f>
        <v>397683.3899999999</v>
      </c>
      <c r="H3437" s="16">
        <f t="shared" si="107"/>
        <v>44583298.677803829</v>
      </c>
    </row>
    <row r="3438" spans="2:8" hidden="1" x14ac:dyDescent="0.4">
      <c r="B3438" s="1">
        <v>45987</v>
      </c>
      <c r="C3438" s="16">
        <f>SUMIF(매도완료!$G:$G,Sheet2!$B3438,매도완료!$P:$P)+SUMIF(ING!$G:$G,Sheet2!$B3438,ING!$P:$P)</f>
        <v>1934020</v>
      </c>
      <c r="D3438" s="16">
        <f>SUMIF(매도완료!$J:$J,Sheet2!$B3438,매도완료!$P:$P)+SUMIF(ING!$J:$J,Sheet2!$B3438,ING!$P:$P)</f>
        <v>0</v>
      </c>
      <c r="E3438" s="16">
        <f t="shared" si="106"/>
        <v>175293741.8344</v>
      </c>
      <c r="G3438" s="16">
        <f>IF(D3438=0,0,SUMIF(매도완료!$J:$J,Sheet2!$B3438,매도완료!$S:$S))+IF(D3438=0,0,SUMIF(ING!$J:$J,Sheet2!$B3438,ING!$S:$S))</f>
        <v>0</v>
      </c>
      <c r="H3438" s="16">
        <f t="shared" si="107"/>
        <v>44583298.677803829</v>
      </c>
    </row>
    <row r="3439" spans="2:8" hidden="1" x14ac:dyDescent="0.4">
      <c r="B3439" s="1">
        <v>45988</v>
      </c>
      <c r="C3439" s="16">
        <f>SUMIF(매도완료!$G:$G,Sheet2!$B3439,매도완료!$P:$P)+SUMIF(ING!$G:$G,Sheet2!$B3439,ING!$P:$P)</f>
        <v>410950</v>
      </c>
      <c r="D3439" s="16">
        <f>SUMIF(매도완료!$J:$J,Sheet2!$B3439,매도완료!$P:$P)+SUMIF(ING!$J:$J,Sheet2!$B3439,ING!$P:$P)</f>
        <v>0</v>
      </c>
      <c r="E3439" s="16">
        <f t="shared" si="106"/>
        <v>175704691.8344</v>
      </c>
      <c r="G3439" s="16">
        <f>IF(D3439=0,0,SUMIF(매도완료!$J:$J,Sheet2!$B3439,매도완료!$S:$S))+IF(D3439=0,0,SUMIF(ING!$J:$J,Sheet2!$B3439,ING!$S:$S))</f>
        <v>0</v>
      </c>
      <c r="H3439" s="16">
        <f t="shared" si="107"/>
        <v>44583298.677803829</v>
      </c>
    </row>
    <row r="3440" spans="2:8" hidden="1" x14ac:dyDescent="0.4">
      <c r="B3440" s="1">
        <v>45989</v>
      </c>
      <c r="C3440" s="16">
        <f>SUMIF(매도완료!$G:$G,Sheet2!$B3440,매도완료!$P:$P)+SUMIF(ING!$G:$G,Sheet2!$B3440,ING!$P:$P)</f>
        <v>293775</v>
      </c>
      <c r="D3440" s="16">
        <f>SUMIF(매도완료!$J:$J,Sheet2!$B3440,매도완료!$P:$P)+SUMIF(ING!$J:$J,Sheet2!$B3440,ING!$P:$P)</f>
        <v>0</v>
      </c>
      <c r="E3440" s="16">
        <f t="shared" si="106"/>
        <v>175998466.8344</v>
      </c>
      <c r="G3440" s="16">
        <f>IF(D3440=0,0,SUMIF(매도완료!$J:$J,Sheet2!$B3440,매도완료!$S:$S))+IF(D3440=0,0,SUMIF(ING!$J:$J,Sheet2!$B3440,ING!$S:$S))</f>
        <v>0</v>
      </c>
      <c r="H3440" s="16">
        <f t="shared" si="107"/>
        <v>44583298.677803829</v>
      </c>
    </row>
    <row r="3441" spans="2:8" hidden="1" x14ac:dyDescent="0.4">
      <c r="B3441" s="1">
        <v>45990</v>
      </c>
      <c r="C3441" s="16">
        <f>SUMIF(매도완료!$G:$G,Sheet2!$B3441,매도완료!$P:$P)+SUMIF(ING!$G:$G,Sheet2!$B3441,ING!$P:$P)</f>
        <v>0</v>
      </c>
      <c r="D3441" s="16">
        <f>SUMIF(매도완료!$J:$J,Sheet2!$B3441,매도완료!$P:$P)+SUMIF(ING!$J:$J,Sheet2!$B3441,ING!$P:$P)</f>
        <v>0</v>
      </c>
      <c r="E3441" s="16">
        <f t="shared" si="106"/>
        <v>175998466.8344</v>
      </c>
      <c r="G3441" s="16">
        <f>IF(D3441=0,0,SUMIF(매도완료!$J:$J,Sheet2!$B3441,매도완료!$S:$S))+IF(D3441=0,0,SUMIF(ING!$J:$J,Sheet2!$B3441,ING!$S:$S))</f>
        <v>0</v>
      </c>
      <c r="H3441" s="16">
        <f t="shared" si="107"/>
        <v>44583298.677803829</v>
      </c>
    </row>
    <row r="3442" spans="2:8" hidden="1" x14ac:dyDescent="0.4">
      <c r="B3442" s="1">
        <v>45991</v>
      </c>
      <c r="C3442" s="16">
        <f>SUMIF(매도완료!$G:$G,Sheet2!$B3442,매도완료!$P:$P)+SUMIF(ING!$G:$G,Sheet2!$B3442,ING!$P:$P)</f>
        <v>0</v>
      </c>
      <c r="D3442" s="16">
        <f>SUMIF(매도완료!$J:$J,Sheet2!$B3442,매도완료!$P:$P)+SUMIF(ING!$J:$J,Sheet2!$B3442,ING!$P:$P)</f>
        <v>0</v>
      </c>
      <c r="E3442" s="16">
        <f t="shared" si="106"/>
        <v>175998466.8344</v>
      </c>
      <c r="G3442" s="16">
        <f>IF(D3442=0,0,SUMIF(매도완료!$J:$J,Sheet2!$B3442,매도완료!$S:$S))+IF(D3442=0,0,SUMIF(ING!$J:$J,Sheet2!$B3442,ING!$S:$S))</f>
        <v>0</v>
      </c>
      <c r="H3442" s="16">
        <f t="shared" si="107"/>
        <v>44583298.677803829</v>
      </c>
    </row>
    <row r="3443" spans="2:8" x14ac:dyDescent="0.4">
      <c r="B3443" s="1">
        <v>45992</v>
      </c>
      <c r="C3443" s="16">
        <f>SUMIF(매도완료!$G:$G,Sheet2!$B3443,매도완료!$P:$P)+SUMIF(ING!$G:$G,Sheet2!$B3443,ING!$P:$P)</f>
        <v>16655</v>
      </c>
      <c r="D3443" s="16">
        <f>SUMIF(매도완료!$J:$J,Sheet2!$B3443,매도완료!$P:$P)+SUMIF(ING!$J:$J,Sheet2!$B3443,ING!$P:$P)</f>
        <v>0</v>
      </c>
      <c r="E3443" s="16">
        <f t="shared" si="106"/>
        <v>176015121.8344</v>
      </c>
      <c r="G3443" s="16">
        <f>IF(D3443=0,0,SUMIF(매도완료!$J:$J,Sheet2!$B3443,매도완료!$S:$S))+IF(D3443=0,0,SUMIF(ING!$J:$J,Sheet2!$B3443,ING!$S:$S))</f>
        <v>0</v>
      </c>
      <c r="H3443" s="16">
        <f t="shared" si="107"/>
        <v>44583298.677803829</v>
      </c>
    </row>
    <row r="3444" spans="2:8" hidden="1" x14ac:dyDescent="0.4">
      <c r="B3444" s="1">
        <v>45993</v>
      </c>
      <c r="C3444" s="16">
        <f>SUMIF(매도완료!$G:$G,Sheet2!$B3444,매도완료!$P:$P)+SUMIF(ING!$G:$G,Sheet2!$B3444,ING!$P:$P)</f>
        <v>859845</v>
      </c>
      <c r="D3444" s="16">
        <f>SUMIF(매도완료!$J:$J,Sheet2!$B3444,매도완료!$P:$P)+SUMIF(ING!$J:$J,Sheet2!$B3444,ING!$P:$P)</f>
        <v>0</v>
      </c>
      <c r="E3444" s="16">
        <f t="shared" si="106"/>
        <v>176874966.8344</v>
      </c>
      <c r="G3444" s="16">
        <f>IF(D3444=0,0,SUMIF(매도완료!$J:$J,Sheet2!$B3444,매도완료!$S:$S))+IF(D3444=0,0,SUMIF(ING!$J:$J,Sheet2!$B3444,ING!$S:$S))</f>
        <v>0</v>
      </c>
      <c r="H3444" s="16">
        <f t="shared" si="107"/>
        <v>44583298.677803829</v>
      </c>
    </row>
    <row r="3445" spans="2:8" hidden="1" x14ac:dyDescent="0.4">
      <c r="B3445" s="1">
        <v>45994</v>
      </c>
      <c r="C3445" s="16">
        <f>SUMIF(매도완료!$G:$G,Sheet2!$B3445,매도완료!$P:$P)+SUMIF(ING!$G:$G,Sheet2!$B3445,ING!$P:$P)</f>
        <v>182300</v>
      </c>
      <c r="D3445" s="16">
        <f>SUMIF(매도완료!$J:$J,Sheet2!$B3445,매도완료!$P:$P)+SUMIF(ING!$J:$J,Sheet2!$B3445,ING!$P:$P)</f>
        <v>1813026</v>
      </c>
      <c r="E3445" s="16">
        <f t="shared" si="106"/>
        <v>175244240.8344</v>
      </c>
      <c r="G3445" s="16">
        <f>IF(D3445=0,0,SUMIF(매도완료!$J:$J,Sheet2!$B3445,매도완료!$S:$S))+IF(D3445=0,0,SUMIF(ING!$J:$J,Sheet2!$B3445,ING!$S:$S))</f>
        <v>541531.04700000002</v>
      </c>
      <c r="H3445" s="16">
        <f t="shared" si="107"/>
        <v>45124829.724803828</v>
      </c>
    </row>
    <row r="3446" spans="2:8" hidden="1" x14ac:dyDescent="0.4">
      <c r="B3446" s="1">
        <v>45995</v>
      </c>
      <c r="C3446" s="16">
        <f>SUMIF(매도완료!$G:$G,Sheet2!$B3446,매도완료!$P:$P)+SUMIF(ING!$G:$G,Sheet2!$B3446,ING!$P:$P)</f>
        <v>159750</v>
      </c>
      <c r="D3446" s="16">
        <f>SUMIF(매도완료!$J:$J,Sheet2!$B3446,매도완료!$P:$P)+SUMIF(ING!$J:$J,Sheet2!$B3446,ING!$P:$P)</f>
        <v>0</v>
      </c>
      <c r="E3446" s="16">
        <f t="shared" si="106"/>
        <v>175403990.8344</v>
      </c>
      <c r="G3446" s="16">
        <f>IF(D3446=0,0,SUMIF(매도완료!$J:$J,Sheet2!$B3446,매도완료!$S:$S))+IF(D3446=0,0,SUMIF(ING!$J:$J,Sheet2!$B3446,ING!$S:$S))</f>
        <v>0</v>
      </c>
      <c r="H3446" s="16">
        <f t="shared" si="107"/>
        <v>45124829.724803828</v>
      </c>
    </row>
    <row r="3447" spans="2:8" hidden="1" x14ac:dyDescent="0.4">
      <c r="B3447" s="1">
        <v>45996</v>
      </c>
      <c r="C3447" s="16">
        <f>SUMIF(매도완료!$G:$G,Sheet2!$B3447,매도완료!$P:$P)+SUMIF(ING!$G:$G,Sheet2!$B3447,ING!$P:$P)</f>
        <v>124095</v>
      </c>
      <c r="D3447" s="16">
        <f>SUMIF(매도완료!$J:$J,Sheet2!$B3447,매도완료!$P:$P)+SUMIF(ING!$J:$J,Sheet2!$B3447,ING!$P:$P)</f>
        <v>0</v>
      </c>
      <c r="E3447" s="16">
        <f t="shared" si="106"/>
        <v>175528085.8344</v>
      </c>
      <c r="G3447" s="16">
        <f>IF(D3447=0,0,SUMIF(매도완료!$J:$J,Sheet2!$B3447,매도완료!$S:$S))+IF(D3447=0,0,SUMIF(ING!$J:$J,Sheet2!$B3447,ING!$S:$S))</f>
        <v>0</v>
      </c>
      <c r="H3447" s="16">
        <f t="shared" si="107"/>
        <v>45124829.724803828</v>
      </c>
    </row>
    <row r="3448" spans="2:8" hidden="1" x14ac:dyDescent="0.4">
      <c r="B3448" s="1">
        <v>45997</v>
      </c>
      <c r="C3448" s="16">
        <f>SUMIF(매도완료!$G:$G,Sheet2!$B3448,매도완료!$P:$P)+SUMIF(ING!$G:$G,Sheet2!$B3448,ING!$P:$P)</f>
        <v>0</v>
      </c>
      <c r="D3448" s="16">
        <f>SUMIF(매도완료!$J:$J,Sheet2!$B3448,매도완료!$P:$P)+SUMIF(ING!$J:$J,Sheet2!$B3448,ING!$P:$P)</f>
        <v>0</v>
      </c>
      <c r="E3448" s="16">
        <f t="shared" si="106"/>
        <v>175528085.8344</v>
      </c>
      <c r="G3448" s="16">
        <f>IF(D3448=0,0,SUMIF(매도완료!$J:$J,Sheet2!$B3448,매도완료!$S:$S))+IF(D3448=0,0,SUMIF(ING!$J:$J,Sheet2!$B3448,ING!$S:$S))</f>
        <v>0</v>
      </c>
      <c r="H3448" s="16">
        <f t="shared" si="107"/>
        <v>45124829.724803828</v>
      </c>
    </row>
    <row r="3449" spans="2:8" hidden="1" x14ac:dyDescent="0.4">
      <c r="B3449" s="1">
        <v>45998</v>
      </c>
      <c r="C3449" s="16">
        <f>SUMIF(매도완료!$G:$G,Sheet2!$B3449,매도완료!$P:$P)+SUMIF(ING!$G:$G,Sheet2!$B3449,ING!$P:$P)</f>
        <v>0</v>
      </c>
      <c r="D3449" s="16">
        <f>SUMIF(매도완료!$J:$J,Sheet2!$B3449,매도완료!$P:$P)+SUMIF(ING!$J:$J,Sheet2!$B3449,ING!$P:$P)</f>
        <v>0</v>
      </c>
      <c r="E3449" s="16">
        <f t="shared" si="106"/>
        <v>175528085.8344</v>
      </c>
      <c r="G3449" s="16">
        <f>IF(D3449=0,0,SUMIF(매도완료!$J:$J,Sheet2!$B3449,매도완료!$S:$S))+IF(D3449=0,0,SUMIF(ING!$J:$J,Sheet2!$B3449,ING!$S:$S))</f>
        <v>0</v>
      </c>
      <c r="H3449" s="16">
        <f t="shared" si="107"/>
        <v>45124829.724803828</v>
      </c>
    </row>
    <row r="3450" spans="2:8" hidden="1" x14ac:dyDescent="0.4">
      <c r="B3450" s="1">
        <v>45999</v>
      </c>
      <c r="C3450" s="16">
        <f>SUMIF(매도완료!$G:$G,Sheet2!$B3450,매도완료!$P:$P)+SUMIF(ING!$G:$G,Sheet2!$B3450,ING!$P:$P)</f>
        <v>17650</v>
      </c>
      <c r="D3450" s="16">
        <f>SUMIF(매도완료!$J:$J,Sheet2!$B3450,매도완료!$P:$P)+SUMIF(ING!$J:$J,Sheet2!$B3450,ING!$P:$P)</f>
        <v>0</v>
      </c>
      <c r="E3450" s="16">
        <f t="shared" si="106"/>
        <v>175545735.8344</v>
      </c>
      <c r="G3450" s="16">
        <f>IF(D3450=0,0,SUMIF(매도완료!$J:$J,Sheet2!$B3450,매도완료!$S:$S))+IF(D3450=0,0,SUMIF(ING!$J:$J,Sheet2!$B3450,ING!$S:$S))</f>
        <v>0</v>
      </c>
      <c r="H3450" s="16">
        <f t="shared" si="107"/>
        <v>45124829.724803828</v>
      </c>
    </row>
    <row r="3451" spans="2:8" hidden="1" x14ac:dyDescent="0.4">
      <c r="B3451" s="1">
        <v>46000</v>
      </c>
      <c r="C3451" s="16">
        <f>SUMIF(매도완료!$G:$G,Sheet2!$B3451,매도완료!$P:$P)+SUMIF(ING!$G:$G,Sheet2!$B3451,ING!$P:$P)</f>
        <v>9696305</v>
      </c>
      <c r="D3451" s="16">
        <f>SUMIF(매도완료!$J:$J,Sheet2!$B3451,매도완료!$P:$P)+SUMIF(ING!$J:$J,Sheet2!$B3451,ING!$P:$P)</f>
        <v>0</v>
      </c>
      <c r="E3451" s="16">
        <f t="shared" si="106"/>
        <v>185242040.8344</v>
      </c>
      <c r="G3451" s="16">
        <f>IF(D3451=0,0,SUMIF(매도완료!$J:$J,Sheet2!$B3451,매도완료!$S:$S))+IF(D3451=0,0,SUMIF(ING!$J:$J,Sheet2!$B3451,ING!$S:$S))</f>
        <v>0</v>
      </c>
      <c r="H3451" s="16">
        <f t="shared" si="107"/>
        <v>45124829.724803828</v>
      </c>
    </row>
    <row r="3452" spans="2:8" hidden="1" x14ac:dyDescent="0.4">
      <c r="B3452" s="1">
        <v>46001</v>
      </c>
      <c r="C3452" s="16">
        <f>SUMIF(매도완료!$G:$G,Sheet2!$B3452,매도완료!$P:$P)+SUMIF(ING!$G:$G,Sheet2!$B3452,ING!$P:$P)</f>
        <v>608390</v>
      </c>
      <c r="D3452" s="16">
        <f>SUMIF(매도완료!$J:$J,Sheet2!$B3452,매도완료!$P:$P)+SUMIF(ING!$J:$J,Sheet2!$B3452,ING!$P:$P)</f>
        <v>0</v>
      </c>
      <c r="E3452" s="16">
        <f t="shared" si="106"/>
        <v>185850430.8344</v>
      </c>
      <c r="G3452" s="16">
        <f>IF(D3452=0,0,SUMIF(매도완료!$J:$J,Sheet2!$B3452,매도완료!$S:$S))+IF(D3452=0,0,SUMIF(ING!$J:$J,Sheet2!$B3452,ING!$S:$S))</f>
        <v>0</v>
      </c>
      <c r="H3452" s="16">
        <f t="shared" si="107"/>
        <v>45124829.724803828</v>
      </c>
    </row>
    <row r="3453" spans="2:8" hidden="1" x14ac:dyDescent="0.4">
      <c r="B3453" s="1">
        <v>46002</v>
      </c>
      <c r="C3453" s="16">
        <f>SUMIF(매도완료!$G:$G,Sheet2!$B3453,매도완료!$P:$P)+SUMIF(ING!$G:$G,Sheet2!$B3453,ING!$P:$P)</f>
        <v>53700</v>
      </c>
      <c r="D3453" s="16">
        <f>SUMIF(매도완료!$J:$J,Sheet2!$B3453,매도완료!$P:$P)+SUMIF(ING!$J:$J,Sheet2!$B3453,ING!$P:$P)</f>
        <v>0</v>
      </c>
      <c r="E3453" s="16">
        <f t="shared" si="106"/>
        <v>185904130.8344</v>
      </c>
      <c r="G3453" s="16">
        <f>IF(D3453=0,0,SUMIF(매도완료!$J:$J,Sheet2!$B3453,매도완료!$S:$S))+IF(D3453=0,0,SUMIF(ING!$J:$J,Sheet2!$B3453,ING!$S:$S))</f>
        <v>0</v>
      </c>
      <c r="H3453" s="16">
        <f t="shared" si="107"/>
        <v>45124829.724803828</v>
      </c>
    </row>
    <row r="3454" spans="2:8" hidden="1" x14ac:dyDescent="0.4">
      <c r="B3454" s="1">
        <v>46003</v>
      </c>
      <c r="C3454" s="16">
        <f>SUMIF(매도완료!$G:$G,Sheet2!$B3454,매도완료!$P:$P)+SUMIF(ING!$G:$G,Sheet2!$B3454,ING!$P:$P)</f>
        <v>138510</v>
      </c>
      <c r="D3454" s="16">
        <f>SUMIF(매도완료!$J:$J,Sheet2!$B3454,매도완료!$P:$P)+SUMIF(ING!$J:$J,Sheet2!$B3454,ING!$P:$P)</f>
        <v>2304800</v>
      </c>
      <c r="E3454" s="16">
        <f t="shared" si="106"/>
        <v>183737840.8344</v>
      </c>
      <c r="G3454" s="16">
        <f>IF(D3454=0,0,SUMIF(매도완료!$J:$J,Sheet2!$B3454,매도완료!$S:$S))+IF(D3454=0,0,SUMIF(ING!$J:$J,Sheet2!$B3454,ING!$S:$S))</f>
        <v>690663.96499999997</v>
      </c>
      <c r="H3454" s="16">
        <f t="shared" si="107"/>
        <v>45815493.689803831</v>
      </c>
    </row>
    <row r="3455" spans="2:8" hidden="1" x14ac:dyDescent="0.4">
      <c r="B3455" s="1">
        <v>46004</v>
      </c>
      <c r="C3455" s="16">
        <f>SUMIF(매도완료!$G:$G,Sheet2!$B3455,매도완료!$P:$P)+SUMIF(ING!$G:$G,Sheet2!$B3455,ING!$P:$P)</f>
        <v>0</v>
      </c>
      <c r="D3455" s="16">
        <f>SUMIF(매도완료!$J:$J,Sheet2!$B3455,매도완료!$P:$P)+SUMIF(ING!$J:$J,Sheet2!$B3455,ING!$P:$P)</f>
        <v>0</v>
      </c>
      <c r="E3455" s="16">
        <f t="shared" si="106"/>
        <v>183737840.8344</v>
      </c>
      <c r="G3455" s="16">
        <f>IF(D3455=0,0,SUMIF(매도완료!$J:$J,Sheet2!$B3455,매도완료!$S:$S))+IF(D3455=0,0,SUMIF(ING!$J:$J,Sheet2!$B3455,ING!$S:$S))</f>
        <v>0</v>
      </c>
      <c r="H3455" s="16">
        <f t="shared" si="107"/>
        <v>45815493.689803831</v>
      </c>
    </row>
    <row r="3456" spans="2:8" hidden="1" x14ac:dyDescent="0.4">
      <c r="B3456" s="1">
        <v>46005</v>
      </c>
      <c r="C3456" s="16">
        <f>SUMIF(매도완료!$G:$G,Sheet2!$B3456,매도완료!$P:$P)+SUMIF(ING!$G:$G,Sheet2!$B3456,ING!$P:$P)</f>
        <v>0</v>
      </c>
      <c r="D3456" s="16">
        <f>SUMIF(매도완료!$J:$J,Sheet2!$B3456,매도완료!$P:$P)+SUMIF(ING!$J:$J,Sheet2!$B3456,ING!$P:$P)</f>
        <v>0</v>
      </c>
      <c r="E3456" s="16">
        <f t="shared" si="106"/>
        <v>183737840.8344</v>
      </c>
      <c r="G3456" s="16">
        <f>IF(D3456=0,0,SUMIF(매도완료!$J:$J,Sheet2!$B3456,매도완료!$S:$S))+IF(D3456=0,0,SUMIF(ING!$J:$J,Sheet2!$B3456,ING!$S:$S))</f>
        <v>0</v>
      </c>
      <c r="H3456" s="16">
        <f t="shared" si="107"/>
        <v>45815493.689803831</v>
      </c>
    </row>
    <row r="3457" spans="2:8" hidden="1" x14ac:dyDescent="0.4">
      <c r="B3457" s="1">
        <v>46006</v>
      </c>
      <c r="C3457" s="16">
        <f>SUMIF(매도완료!$G:$G,Sheet2!$B3457,매도완료!$P:$P)+SUMIF(ING!$G:$G,Sheet2!$B3457,ING!$P:$P)</f>
        <v>17070</v>
      </c>
      <c r="D3457" s="16">
        <f>SUMIF(매도완료!$J:$J,Sheet2!$B3457,매도완료!$P:$P)+SUMIF(ING!$J:$J,Sheet2!$B3457,ING!$P:$P)</f>
        <v>0</v>
      </c>
      <c r="E3457" s="16">
        <f t="shared" si="106"/>
        <v>183754910.8344</v>
      </c>
      <c r="G3457" s="16">
        <f>IF(D3457=0,0,SUMIF(매도완료!$J:$J,Sheet2!$B3457,매도완료!$S:$S))+IF(D3457=0,0,SUMIF(ING!$J:$J,Sheet2!$B3457,ING!$S:$S))</f>
        <v>0</v>
      </c>
      <c r="H3457" s="16">
        <f t="shared" si="107"/>
        <v>45815493.689803831</v>
      </c>
    </row>
    <row r="3458" spans="2:8" hidden="1" x14ac:dyDescent="0.4">
      <c r="B3458" s="1">
        <v>46007</v>
      </c>
      <c r="C3458" s="16">
        <f>SUMIF(매도완료!$G:$G,Sheet2!$B3458,매도완료!$P:$P)+SUMIF(ING!$G:$G,Sheet2!$B3458,ING!$P:$P)</f>
        <v>86725</v>
      </c>
      <c r="D3458" s="16">
        <f>SUMIF(매도완료!$J:$J,Sheet2!$B3458,매도완료!$P:$P)+SUMIF(ING!$J:$J,Sheet2!$B3458,ING!$P:$P)</f>
        <v>19500</v>
      </c>
      <c r="E3458" s="16">
        <f t="shared" si="106"/>
        <v>183822135.8344</v>
      </c>
      <c r="G3458" s="16">
        <f>IF(D3458=0,0,SUMIF(매도완료!$J:$J,Sheet2!$B3458,매도완료!$S:$S))+IF(D3458=0,0,SUMIF(ING!$J:$J,Sheet2!$B3458,ING!$S:$S))</f>
        <v>28977.174999999999</v>
      </c>
      <c r="H3458" s="16">
        <f t="shared" si="107"/>
        <v>45844470.864803828</v>
      </c>
    </row>
    <row r="3459" spans="2:8" hidden="1" x14ac:dyDescent="0.4">
      <c r="B3459" s="1">
        <v>46008</v>
      </c>
      <c r="C3459" s="16">
        <f>SUMIF(매도완료!$G:$G,Sheet2!$B3459,매도완료!$P:$P)+SUMIF(ING!$G:$G,Sheet2!$B3459,ING!$P:$P)</f>
        <v>110920</v>
      </c>
      <c r="D3459" s="16">
        <f>SUMIF(매도완료!$J:$J,Sheet2!$B3459,매도완료!$P:$P)+SUMIF(ING!$J:$J,Sheet2!$B3459,ING!$P:$P)</f>
        <v>0</v>
      </c>
      <c r="E3459" s="16">
        <f t="shared" si="106"/>
        <v>183933055.8344</v>
      </c>
      <c r="G3459" s="16">
        <f>IF(D3459=0,0,SUMIF(매도완료!$J:$J,Sheet2!$B3459,매도완료!$S:$S))+IF(D3459=0,0,SUMIF(ING!$J:$J,Sheet2!$B3459,ING!$S:$S))</f>
        <v>0</v>
      </c>
      <c r="H3459" s="16">
        <f t="shared" si="107"/>
        <v>45844470.864803828</v>
      </c>
    </row>
    <row r="3460" spans="2:8" hidden="1" x14ac:dyDescent="0.4">
      <c r="B3460" s="1">
        <v>46009</v>
      </c>
      <c r="C3460" s="16">
        <f>SUMIF(매도완료!$G:$G,Sheet2!$B3460,매도완료!$P:$P)+SUMIF(ING!$G:$G,Sheet2!$B3460,ING!$P:$P)</f>
        <v>53000</v>
      </c>
      <c r="D3460" s="16">
        <f>SUMIF(매도완료!$J:$J,Sheet2!$B3460,매도완료!$P:$P)+SUMIF(ING!$J:$J,Sheet2!$B3460,ING!$P:$P)</f>
        <v>831850</v>
      </c>
      <c r="E3460" s="16">
        <f t="shared" ref="E3460:E3523" si="108">E3459+C3460-D3460</f>
        <v>183154205.8344</v>
      </c>
      <c r="G3460" s="16">
        <f>IF(D3460=0,0,SUMIF(매도완료!$J:$J,Sheet2!$B3460,매도완료!$S:$S))+IF(D3460=0,0,SUMIF(ING!$J:$J,Sheet2!$B3460,ING!$S:$S))</f>
        <v>199226.0975</v>
      </c>
      <c r="H3460" s="16">
        <f t="shared" ref="H3460:H3523" si="109">H3459+G3460</f>
        <v>46043696.962303825</v>
      </c>
    </row>
    <row r="3461" spans="2:8" hidden="1" x14ac:dyDescent="0.4">
      <c r="B3461" s="1">
        <v>46010</v>
      </c>
      <c r="C3461" s="16">
        <f>SUMIF(매도완료!$G:$G,Sheet2!$B3461,매도완료!$P:$P)+SUMIF(ING!$G:$G,Sheet2!$B3461,ING!$P:$P)</f>
        <v>146830</v>
      </c>
      <c r="D3461" s="16">
        <f>SUMIF(매도완료!$J:$J,Sheet2!$B3461,매도완료!$P:$P)+SUMIF(ING!$J:$J,Sheet2!$B3461,ING!$P:$P)</f>
        <v>5561150</v>
      </c>
      <c r="E3461" s="16">
        <f t="shared" si="108"/>
        <v>177739885.8344</v>
      </c>
      <c r="G3461" s="16">
        <f>IF(D3461=0,0,SUMIF(매도완료!$J:$J,Sheet2!$B3461,매도완료!$S:$S))+IF(D3461=0,0,SUMIF(ING!$J:$J,Sheet2!$B3461,ING!$S:$S))</f>
        <v>898758.75750000018</v>
      </c>
      <c r="H3461" s="16">
        <f t="shared" si="109"/>
        <v>46942455.719803825</v>
      </c>
    </row>
    <row r="3462" spans="2:8" hidden="1" x14ac:dyDescent="0.4">
      <c r="B3462" s="1">
        <v>46011</v>
      </c>
      <c r="C3462" s="16">
        <f>SUMIF(매도완료!$G:$G,Sheet2!$B3462,매도완료!$P:$P)+SUMIF(ING!$G:$G,Sheet2!$B3462,ING!$P:$P)</f>
        <v>0</v>
      </c>
      <c r="D3462" s="16">
        <f>SUMIF(매도완료!$J:$J,Sheet2!$B3462,매도완료!$P:$P)+SUMIF(ING!$J:$J,Sheet2!$B3462,ING!$P:$P)</f>
        <v>0</v>
      </c>
      <c r="E3462" s="16">
        <f t="shared" si="108"/>
        <v>177739885.8344</v>
      </c>
      <c r="G3462" s="16">
        <f>IF(D3462=0,0,SUMIF(매도완료!$J:$J,Sheet2!$B3462,매도완료!$S:$S))+IF(D3462=0,0,SUMIF(ING!$J:$J,Sheet2!$B3462,ING!$S:$S))</f>
        <v>0</v>
      </c>
      <c r="H3462" s="16">
        <f t="shared" si="109"/>
        <v>46942455.719803825</v>
      </c>
    </row>
    <row r="3463" spans="2:8" hidden="1" x14ac:dyDescent="0.4">
      <c r="B3463" s="1">
        <v>46012</v>
      </c>
      <c r="C3463" s="16">
        <f>SUMIF(매도완료!$G:$G,Sheet2!$B3463,매도완료!$P:$P)+SUMIF(ING!$G:$G,Sheet2!$B3463,ING!$P:$P)</f>
        <v>0</v>
      </c>
      <c r="D3463" s="16">
        <f>SUMIF(매도완료!$J:$J,Sheet2!$B3463,매도완료!$P:$P)+SUMIF(ING!$J:$J,Sheet2!$B3463,ING!$P:$P)</f>
        <v>0</v>
      </c>
      <c r="E3463" s="16">
        <f t="shared" si="108"/>
        <v>177739885.8344</v>
      </c>
      <c r="G3463" s="16">
        <f>IF(D3463=0,0,SUMIF(매도완료!$J:$J,Sheet2!$B3463,매도완료!$S:$S))+IF(D3463=0,0,SUMIF(ING!$J:$J,Sheet2!$B3463,ING!$S:$S))</f>
        <v>0</v>
      </c>
      <c r="H3463" s="16">
        <f t="shared" si="109"/>
        <v>46942455.719803825</v>
      </c>
    </row>
    <row r="3464" spans="2:8" hidden="1" x14ac:dyDescent="0.4">
      <c r="B3464" s="1">
        <v>46013</v>
      </c>
      <c r="C3464" s="16">
        <f>SUMIF(매도완료!$G:$G,Sheet2!$B3464,매도완료!$P:$P)+SUMIF(ING!$G:$G,Sheet2!$B3464,ING!$P:$P)</f>
        <v>1424295</v>
      </c>
      <c r="D3464" s="16">
        <f>SUMIF(매도완료!$J:$J,Sheet2!$B3464,매도완료!$P:$P)+SUMIF(ING!$J:$J,Sheet2!$B3464,ING!$P:$P)</f>
        <v>0</v>
      </c>
      <c r="E3464" s="16">
        <f t="shared" si="108"/>
        <v>179164180.8344</v>
      </c>
      <c r="G3464" s="16">
        <f>IF(D3464=0,0,SUMIF(매도완료!$J:$J,Sheet2!$B3464,매도완료!$S:$S))+IF(D3464=0,0,SUMIF(ING!$J:$J,Sheet2!$B3464,ING!$S:$S))</f>
        <v>0</v>
      </c>
      <c r="H3464" s="16">
        <f t="shared" si="109"/>
        <v>46942455.719803825</v>
      </c>
    </row>
    <row r="3465" spans="2:8" hidden="1" x14ac:dyDescent="0.4">
      <c r="B3465" s="1">
        <v>46014</v>
      </c>
      <c r="C3465" s="16">
        <f>SUMIF(매도완료!$G:$G,Sheet2!$B3465,매도완료!$P:$P)+SUMIF(ING!$G:$G,Sheet2!$B3465,ING!$P:$P)</f>
        <v>2651375</v>
      </c>
      <c r="D3465" s="16">
        <f>SUMIF(매도완료!$J:$J,Sheet2!$B3465,매도완료!$P:$P)+SUMIF(ING!$J:$J,Sheet2!$B3465,ING!$P:$P)</f>
        <v>7875000</v>
      </c>
      <c r="E3465" s="16">
        <f t="shared" si="108"/>
        <v>173940555.8344</v>
      </c>
      <c r="G3465" s="16">
        <f>IF(D3465=0,0,SUMIF(매도완료!$J:$J,Sheet2!$B3465,매도완료!$S:$S))+IF(D3465=0,0,SUMIF(ING!$J:$J,Sheet2!$B3465,ING!$S:$S))</f>
        <v>486857.5</v>
      </c>
      <c r="H3465" s="16">
        <f t="shared" si="109"/>
        <v>47429313.219803825</v>
      </c>
    </row>
    <row r="3466" spans="2:8" hidden="1" x14ac:dyDescent="0.4">
      <c r="B3466" s="1">
        <v>46015</v>
      </c>
      <c r="C3466" s="16">
        <f>SUMIF(매도완료!$G:$G,Sheet2!$B3466,매도완료!$P:$P)+SUMIF(ING!$G:$G,Sheet2!$B3466,ING!$P:$P)</f>
        <v>10031000</v>
      </c>
      <c r="D3466" s="16">
        <f>SUMIF(매도완료!$J:$J,Sheet2!$B3466,매도완료!$P:$P)+SUMIF(ING!$J:$J,Sheet2!$B3466,ING!$P:$P)</f>
        <v>0</v>
      </c>
      <c r="E3466" s="16">
        <f t="shared" si="108"/>
        <v>183971555.8344</v>
      </c>
      <c r="G3466" s="16">
        <f>IF(D3466=0,0,SUMIF(매도완료!$J:$J,Sheet2!$B3466,매도완료!$S:$S))+IF(D3466=0,0,SUMIF(ING!$J:$J,Sheet2!$B3466,ING!$S:$S))</f>
        <v>0</v>
      </c>
      <c r="H3466" s="16">
        <f t="shared" si="109"/>
        <v>47429313.219803825</v>
      </c>
    </row>
    <row r="3467" spans="2:8" hidden="1" x14ac:dyDescent="0.4">
      <c r="B3467" s="1">
        <v>46016</v>
      </c>
      <c r="C3467" s="16">
        <f>SUMIF(매도완료!$G:$G,Sheet2!$B3467,매도완료!$P:$P)+SUMIF(ING!$G:$G,Sheet2!$B3467,ING!$P:$P)</f>
        <v>0</v>
      </c>
      <c r="D3467" s="16">
        <f>SUMIF(매도완료!$J:$J,Sheet2!$B3467,매도완료!$P:$P)+SUMIF(ING!$J:$J,Sheet2!$B3467,ING!$P:$P)</f>
        <v>0</v>
      </c>
      <c r="E3467" s="16">
        <f t="shared" si="108"/>
        <v>183971555.8344</v>
      </c>
      <c r="G3467" s="16">
        <f>IF(D3467=0,0,SUMIF(매도완료!$J:$J,Sheet2!$B3467,매도완료!$S:$S))+IF(D3467=0,0,SUMIF(ING!$J:$J,Sheet2!$B3467,ING!$S:$S))</f>
        <v>0</v>
      </c>
      <c r="H3467" s="16">
        <f t="shared" si="109"/>
        <v>47429313.219803825</v>
      </c>
    </row>
    <row r="3468" spans="2:8" hidden="1" x14ac:dyDescent="0.4">
      <c r="B3468" s="1">
        <v>46017</v>
      </c>
      <c r="C3468" s="16">
        <f>SUMIF(매도완료!$G:$G,Sheet2!$B3468,매도완료!$P:$P)+SUMIF(ING!$G:$G,Sheet2!$B3468,ING!$P:$P)</f>
        <v>1288545</v>
      </c>
      <c r="D3468" s="16">
        <f>SUMIF(매도완료!$J:$J,Sheet2!$B3468,매도완료!$P:$P)+SUMIF(ING!$J:$J,Sheet2!$B3468,ING!$P:$P)</f>
        <v>0</v>
      </c>
      <c r="E3468" s="16">
        <f t="shared" si="108"/>
        <v>185260100.8344</v>
      </c>
      <c r="G3468" s="16">
        <f>IF(D3468=0,0,SUMIF(매도완료!$J:$J,Sheet2!$B3468,매도완료!$S:$S))+IF(D3468=0,0,SUMIF(ING!$J:$J,Sheet2!$B3468,ING!$S:$S))</f>
        <v>0</v>
      </c>
      <c r="H3468" s="16">
        <f t="shared" si="109"/>
        <v>47429313.219803825</v>
      </c>
    </row>
    <row r="3469" spans="2:8" hidden="1" x14ac:dyDescent="0.4">
      <c r="B3469" s="1">
        <v>46018</v>
      </c>
      <c r="C3469" s="16">
        <f>SUMIF(매도완료!$G:$G,Sheet2!$B3469,매도완료!$P:$P)+SUMIF(ING!$G:$G,Sheet2!$B3469,ING!$P:$P)</f>
        <v>0</v>
      </c>
      <c r="D3469" s="16">
        <f>SUMIF(매도완료!$J:$J,Sheet2!$B3469,매도완료!$P:$P)+SUMIF(ING!$J:$J,Sheet2!$B3469,ING!$P:$P)</f>
        <v>0</v>
      </c>
      <c r="E3469" s="16">
        <f t="shared" si="108"/>
        <v>185260100.8344</v>
      </c>
      <c r="G3469" s="16">
        <f>IF(D3469=0,0,SUMIF(매도완료!$J:$J,Sheet2!$B3469,매도완료!$S:$S))+IF(D3469=0,0,SUMIF(ING!$J:$J,Sheet2!$B3469,ING!$S:$S))</f>
        <v>0</v>
      </c>
      <c r="H3469" s="16">
        <f t="shared" si="109"/>
        <v>47429313.219803825</v>
      </c>
    </row>
    <row r="3470" spans="2:8" hidden="1" x14ac:dyDescent="0.4">
      <c r="B3470" s="1">
        <v>46019</v>
      </c>
      <c r="C3470" s="16">
        <f>SUMIF(매도완료!$G:$G,Sheet2!$B3470,매도완료!$P:$P)+SUMIF(ING!$G:$G,Sheet2!$B3470,ING!$P:$P)</f>
        <v>0</v>
      </c>
      <c r="D3470" s="16">
        <f>SUMIF(매도완료!$J:$J,Sheet2!$B3470,매도완료!$P:$P)+SUMIF(ING!$J:$J,Sheet2!$B3470,ING!$P:$P)</f>
        <v>0</v>
      </c>
      <c r="E3470" s="16">
        <f t="shared" si="108"/>
        <v>185260100.8344</v>
      </c>
      <c r="G3470" s="16">
        <f>IF(D3470=0,0,SUMIF(매도완료!$J:$J,Sheet2!$B3470,매도완료!$S:$S))+IF(D3470=0,0,SUMIF(ING!$J:$J,Sheet2!$B3470,ING!$S:$S))</f>
        <v>0</v>
      </c>
      <c r="H3470" s="16">
        <f t="shared" si="109"/>
        <v>47429313.219803825</v>
      </c>
    </row>
    <row r="3471" spans="2:8" hidden="1" x14ac:dyDescent="0.4">
      <c r="B3471" s="1">
        <v>46020</v>
      </c>
      <c r="C3471" s="16">
        <f>SUMIF(매도완료!$G:$G,Sheet2!$B3471,매도완료!$P:$P)+SUMIF(ING!$G:$G,Sheet2!$B3471,ING!$P:$P)</f>
        <v>1975190</v>
      </c>
      <c r="D3471" s="16">
        <f>SUMIF(매도완료!$J:$J,Sheet2!$B3471,매도완료!$P:$P)+SUMIF(ING!$J:$J,Sheet2!$B3471,ING!$P:$P)</f>
        <v>8000000</v>
      </c>
      <c r="E3471" s="16">
        <f t="shared" si="108"/>
        <v>179235290.8344</v>
      </c>
      <c r="G3471" s="16">
        <f>IF(D3471=0,0,SUMIF(매도완료!$J:$J,Sheet2!$B3471,매도완료!$S:$S))+IF(D3471=0,0,SUMIF(ING!$J:$J,Sheet2!$B3471,ING!$S:$S))</f>
        <v>386810</v>
      </c>
      <c r="H3471" s="16">
        <f t="shared" si="109"/>
        <v>47816123.219803825</v>
      </c>
    </row>
    <row r="3472" spans="2:8" hidden="1" x14ac:dyDescent="0.4">
      <c r="B3472" s="1">
        <v>46021</v>
      </c>
      <c r="C3472" s="16">
        <f>SUMIF(매도완료!$G:$G,Sheet2!$B3472,매도완료!$P:$P)+SUMIF(ING!$G:$G,Sheet2!$B3472,ING!$P:$P)</f>
        <v>494565</v>
      </c>
      <c r="D3472" s="16">
        <f>SUMIF(매도완료!$J:$J,Sheet2!$B3472,매도완료!$P:$P)+SUMIF(ING!$J:$J,Sheet2!$B3472,ING!$P:$P)</f>
        <v>0</v>
      </c>
      <c r="E3472" s="16">
        <f t="shared" si="108"/>
        <v>179729855.8344</v>
      </c>
      <c r="G3472" s="16">
        <f>IF(D3472=0,0,SUMIF(매도완료!$J:$J,Sheet2!$B3472,매도완료!$S:$S))+IF(D3472=0,0,SUMIF(ING!$J:$J,Sheet2!$B3472,ING!$S:$S))</f>
        <v>0</v>
      </c>
      <c r="H3472" s="16">
        <f t="shared" si="109"/>
        <v>47816123.219803825</v>
      </c>
    </row>
    <row r="3473" spans="2:8" hidden="1" x14ac:dyDescent="0.4">
      <c r="B3473" s="1">
        <v>46022</v>
      </c>
      <c r="C3473" s="16">
        <f>SUMIF(매도완료!$G:$G,Sheet2!$B3473,매도완료!$P:$P)+SUMIF(ING!$G:$G,Sheet2!$B3473,ING!$P:$P)</f>
        <v>0</v>
      </c>
      <c r="D3473" s="16">
        <f>SUMIF(매도완료!$J:$J,Sheet2!$B3473,매도완료!$P:$P)+SUMIF(ING!$J:$J,Sheet2!$B3473,ING!$P:$P)</f>
        <v>0</v>
      </c>
      <c r="E3473" s="16">
        <f t="shared" si="108"/>
        <v>179729855.8344</v>
      </c>
      <c r="G3473" s="16">
        <f>IF(D3473=0,0,SUMIF(매도완료!$J:$J,Sheet2!$B3473,매도완료!$S:$S))+IF(D3473=0,0,SUMIF(ING!$J:$J,Sheet2!$B3473,ING!$S:$S))</f>
        <v>0</v>
      </c>
      <c r="H3473" s="16">
        <f t="shared" si="109"/>
        <v>47816123.219803825</v>
      </c>
    </row>
    <row r="3474" spans="2:8" x14ac:dyDescent="0.4">
      <c r="B3474" s="1">
        <v>46023</v>
      </c>
      <c r="C3474" s="16">
        <f>SUMIF(매도완료!$G:$G,Sheet2!$B3474,매도완료!$P:$P)+SUMIF(ING!$G:$G,Sheet2!$B3474,ING!$P:$P)</f>
        <v>0</v>
      </c>
      <c r="D3474" s="16">
        <f>SUMIF(매도완료!$J:$J,Sheet2!$B3474,매도완료!$P:$P)+SUMIF(ING!$J:$J,Sheet2!$B3474,ING!$P:$P)</f>
        <v>0</v>
      </c>
      <c r="E3474" s="16">
        <f t="shared" si="108"/>
        <v>179729855.8344</v>
      </c>
      <c r="G3474" s="16">
        <f>IF(D3474=0,0,SUMIF(매도완료!$J:$J,Sheet2!$B3474,매도완료!$S:$S))+IF(D3474=0,0,SUMIF(ING!$J:$J,Sheet2!$B3474,ING!$S:$S))</f>
        <v>0</v>
      </c>
      <c r="H3474" s="16">
        <f t="shared" si="109"/>
        <v>47816123.219803825</v>
      </c>
    </row>
    <row r="3475" spans="2:8" hidden="1" x14ac:dyDescent="0.4">
      <c r="B3475" s="1">
        <v>46024</v>
      </c>
      <c r="C3475" s="16">
        <f>SUMIF(매도완료!$G:$G,Sheet2!$B3475,매도완료!$P:$P)+SUMIF(ING!$G:$G,Sheet2!$B3475,ING!$P:$P)</f>
        <v>289140</v>
      </c>
      <c r="D3475" s="16">
        <f>SUMIF(매도완료!$J:$J,Sheet2!$B3475,매도완료!$P:$P)+SUMIF(ING!$J:$J,Sheet2!$B3475,ING!$P:$P)</f>
        <v>0</v>
      </c>
      <c r="E3475" s="16">
        <f t="shared" si="108"/>
        <v>180018995.8344</v>
      </c>
      <c r="G3475" s="16">
        <f>IF(D3475=0,0,SUMIF(매도완료!$J:$J,Sheet2!$B3475,매도완료!$S:$S))+IF(D3475=0,0,SUMIF(ING!$J:$J,Sheet2!$B3475,ING!$S:$S))</f>
        <v>0</v>
      </c>
      <c r="H3475" s="16">
        <f t="shared" si="109"/>
        <v>47816123.219803825</v>
      </c>
    </row>
    <row r="3476" spans="2:8" hidden="1" x14ac:dyDescent="0.4">
      <c r="B3476" s="1">
        <v>46025</v>
      </c>
      <c r="C3476" s="16">
        <f>SUMIF(매도완료!$G:$G,Sheet2!$B3476,매도완료!$P:$P)+SUMIF(ING!$G:$G,Sheet2!$B3476,ING!$P:$P)</f>
        <v>0</v>
      </c>
      <c r="D3476" s="16">
        <f>SUMIF(매도완료!$J:$J,Sheet2!$B3476,매도완료!$P:$P)+SUMIF(ING!$J:$J,Sheet2!$B3476,ING!$P:$P)</f>
        <v>0</v>
      </c>
      <c r="E3476" s="16">
        <f t="shared" si="108"/>
        <v>180018995.8344</v>
      </c>
      <c r="G3476" s="16">
        <f>IF(D3476=0,0,SUMIF(매도완료!$J:$J,Sheet2!$B3476,매도완료!$S:$S))+IF(D3476=0,0,SUMIF(ING!$J:$J,Sheet2!$B3476,ING!$S:$S))</f>
        <v>0</v>
      </c>
      <c r="H3476" s="16">
        <f t="shared" si="109"/>
        <v>47816123.219803825</v>
      </c>
    </row>
    <row r="3477" spans="2:8" hidden="1" x14ac:dyDescent="0.4">
      <c r="B3477" s="1">
        <v>46026</v>
      </c>
      <c r="C3477" s="16">
        <f>SUMIF(매도완료!$G:$G,Sheet2!$B3477,매도완료!$P:$P)+SUMIF(ING!$G:$G,Sheet2!$B3477,ING!$P:$P)</f>
        <v>0</v>
      </c>
      <c r="D3477" s="16">
        <f>SUMIF(매도완료!$J:$J,Sheet2!$B3477,매도완료!$P:$P)+SUMIF(ING!$J:$J,Sheet2!$B3477,ING!$P:$P)</f>
        <v>0</v>
      </c>
      <c r="E3477" s="16">
        <f t="shared" si="108"/>
        <v>180018995.8344</v>
      </c>
      <c r="G3477" s="16">
        <f>IF(D3477=0,0,SUMIF(매도완료!$J:$J,Sheet2!$B3477,매도완료!$S:$S))+IF(D3477=0,0,SUMIF(ING!$J:$J,Sheet2!$B3477,ING!$S:$S))</f>
        <v>0</v>
      </c>
      <c r="H3477" s="16">
        <f t="shared" si="109"/>
        <v>47816123.219803825</v>
      </c>
    </row>
    <row r="3478" spans="2:8" hidden="1" x14ac:dyDescent="0.4">
      <c r="B3478" s="1">
        <v>46027</v>
      </c>
      <c r="C3478" s="16">
        <f>SUMIF(매도완료!$G:$G,Sheet2!$B3478,매도완료!$P:$P)+SUMIF(ING!$G:$G,Sheet2!$B3478,ING!$P:$P)</f>
        <v>17300</v>
      </c>
      <c r="D3478" s="16">
        <f>SUMIF(매도완료!$J:$J,Sheet2!$B3478,매도완료!$P:$P)+SUMIF(ING!$J:$J,Sheet2!$B3478,ING!$P:$P)</f>
        <v>0</v>
      </c>
      <c r="E3478" s="16">
        <f t="shared" si="108"/>
        <v>180036295.8344</v>
      </c>
      <c r="G3478" s="16">
        <f>IF(D3478=0,0,SUMIF(매도완료!$J:$J,Sheet2!$B3478,매도완료!$S:$S))+IF(D3478=0,0,SUMIF(ING!$J:$J,Sheet2!$B3478,ING!$S:$S))</f>
        <v>0</v>
      </c>
      <c r="H3478" s="16">
        <f t="shared" si="109"/>
        <v>47816123.219803825</v>
      </c>
    </row>
    <row r="3479" spans="2:8" hidden="1" x14ac:dyDescent="0.4">
      <c r="B3479" s="1">
        <v>46028</v>
      </c>
      <c r="C3479" s="16">
        <f>SUMIF(매도완료!$G:$G,Sheet2!$B3479,매도완료!$P:$P)+SUMIF(ING!$G:$G,Sheet2!$B3479,ING!$P:$P)</f>
        <v>67480</v>
      </c>
      <c r="D3479" s="16">
        <f>SUMIF(매도완료!$J:$J,Sheet2!$B3479,매도완료!$P:$P)+SUMIF(ING!$J:$J,Sheet2!$B3479,ING!$P:$P)</f>
        <v>0</v>
      </c>
      <c r="E3479" s="16">
        <f t="shared" si="108"/>
        <v>180103775.8344</v>
      </c>
      <c r="G3479" s="16">
        <f>IF(D3479=0,0,SUMIF(매도완료!$J:$J,Sheet2!$B3479,매도완료!$S:$S))+IF(D3479=0,0,SUMIF(ING!$J:$J,Sheet2!$B3479,ING!$S:$S))</f>
        <v>0</v>
      </c>
      <c r="H3479" s="16">
        <f t="shared" si="109"/>
        <v>47816123.219803825</v>
      </c>
    </row>
    <row r="3480" spans="2:8" hidden="1" x14ac:dyDescent="0.4">
      <c r="B3480" s="1">
        <v>46029</v>
      </c>
      <c r="C3480" s="16">
        <f>SUMIF(매도완료!$G:$G,Sheet2!$B3480,매도완료!$P:$P)+SUMIF(ING!$G:$G,Sheet2!$B3480,ING!$P:$P)</f>
        <v>6430457</v>
      </c>
      <c r="D3480" s="16">
        <f>SUMIF(매도완료!$J:$J,Sheet2!$B3480,매도완료!$P:$P)+SUMIF(ING!$J:$J,Sheet2!$B3480,ING!$P:$P)</f>
        <v>0</v>
      </c>
      <c r="E3480" s="16">
        <f t="shared" si="108"/>
        <v>186534232.8344</v>
      </c>
      <c r="G3480" s="16">
        <f>IF(D3480=0,0,SUMIF(매도완료!$J:$J,Sheet2!$B3480,매도완료!$S:$S))+IF(D3480=0,0,SUMIF(ING!$J:$J,Sheet2!$B3480,ING!$S:$S))</f>
        <v>0</v>
      </c>
      <c r="H3480" s="16">
        <f t="shared" si="109"/>
        <v>47816123.219803825</v>
      </c>
    </row>
    <row r="3481" spans="2:8" hidden="1" x14ac:dyDescent="0.4">
      <c r="B3481" s="1">
        <v>46030</v>
      </c>
      <c r="C3481" s="16">
        <f>SUMIF(매도완료!$G:$G,Sheet2!$B3481,매도완료!$P:$P)+SUMIF(ING!$G:$G,Sheet2!$B3481,ING!$P:$P)</f>
        <v>3701950</v>
      </c>
      <c r="D3481" s="16">
        <f>SUMIF(매도완료!$J:$J,Sheet2!$B3481,매도완료!$P:$P)+SUMIF(ING!$J:$J,Sheet2!$B3481,ING!$P:$P)</f>
        <v>0</v>
      </c>
      <c r="E3481" s="16">
        <f t="shared" si="108"/>
        <v>190236182.8344</v>
      </c>
      <c r="G3481" s="16">
        <f>IF(D3481=0,0,SUMIF(매도완료!$J:$J,Sheet2!$B3481,매도완료!$S:$S))+IF(D3481=0,0,SUMIF(ING!$J:$J,Sheet2!$B3481,ING!$S:$S))</f>
        <v>0</v>
      </c>
      <c r="H3481" s="16">
        <f t="shared" si="109"/>
        <v>47816123.219803825</v>
      </c>
    </row>
    <row r="3482" spans="2:8" hidden="1" x14ac:dyDescent="0.4">
      <c r="B3482" s="1">
        <v>46031</v>
      </c>
      <c r="C3482" s="16">
        <f>SUMIF(매도완료!$G:$G,Sheet2!$B3482,매도완료!$P:$P)+SUMIF(ING!$G:$G,Sheet2!$B3482,ING!$P:$P)</f>
        <v>117480</v>
      </c>
      <c r="D3482" s="16">
        <f>SUMIF(매도완료!$J:$J,Sheet2!$B3482,매도완료!$P:$P)+SUMIF(ING!$J:$J,Sheet2!$B3482,ING!$P:$P)</f>
        <v>0</v>
      </c>
      <c r="E3482" s="16">
        <f t="shared" si="108"/>
        <v>190353662.8344</v>
      </c>
      <c r="G3482" s="16">
        <f>IF(D3482=0,0,SUMIF(매도완료!$J:$J,Sheet2!$B3482,매도완료!$S:$S))+IF(D3482=0,0,SUMIF(ING!$J:$J,Sheet2!$B3482,ING!$S:$S))</f>
        <v>0</v>
      </c>
      <c r="H3482" s="16">
        <f t="shared" si="109"/>
        <v>47816123.219803825</v>
      </c>
    </row>
    <row r="3483" spans="2:8" hidden="1" x14ac:dyDescent="0.4">
      <c r="B3483" s="1">
        <v>46032</v>
      </c>
      <c r="C3483" s="16">
        <f>SUMIF(매도완료!$G:$G,Sheet2!$B3483,매도완료!$P:$P)+SUMIF(ING!$G:$G,Sheet2!$B3483,ING!$P:$P)</f>
        <v>0</v>
      </c>
      <c r="D3483" s="16">
        <f>SUMIF(매도완료!$J:$J,Sheet2!$B3483,매도완료!$P:$P)+SUMIF(ING!$J:$J,Sheet2!$B3483,ING!$P:$P)</f>
        <v>0</v>
      </c>
      <c r="E3483" s="16">
        <f t="shared" si="108"/>
        <v>190353662.8344</v>
      </c>
      <c r="G3483" s="16">
        <f>IF(D3483=0,0,SUMIF(매도완료!$J:$J,Sheet2!$B3483,매도완료!$S:$S))+IF(D3483=0,0,SUMIF(ING!$J:$J,Sheet2!$B3483,ING!$S:$S))</f>
        <v>0</v>
      </c>
      <c r="H3483" s="16">
        <f t="shared" si="109"/>
        <v>47816123.219803825</v>
      </c>
    </row>
    <row r="3484" spans="2:8" hidden="1" x14ac:dyDescent="0.4">
      <c r="B3484" s="1">
        <v>46033</v>
      </c>
      <c r="C3484" s="16">
        <f>SUMIF(매도완료!$G:$G,Sheet2!$B3484,매도완료!$P:$P)+SUMIF(ING!$G:$G,Sheet2!$B3484,ING!$P:$P)</f>
        <v>0</v>
      </c>
      <c r="D3484" s="16">
        <f>SUMIF(매도완료!$J:$J,Sheet2!$B3484,매도완료!$P:$P)+SUMIF(ING!$J:$J,Sheet2!$B3484,ING!$P:$P)</f>
        <v>0</v>
      </c>
      <c r="E3484" s="16">
        <f t="shared" si="108"/>
        <v>190353662.8344</v>
      </c>
      <c r="G3484" s="16">
        <f>IF(D3484=0,0,SUMIF(매도완료!$J:$J,Sheet2!$B3484,매도완료!$S:$S))+IF(D3484=0,0,SUMIF(ING!$J:$J,Sheet2!$B3484,ING!$S:$S))</f>
        <v>0</v>
      </c>
      <c r="H3484" s="16">
        <f t="shared" si="109"/>
        <v>47816123.219803825</v>
      </c>
    </row>
    <row r="3485" spans="2:8" hidden="1" x14ac:dyDescent="0.4">
      <c r="B3485" s="1">
        <v>46034</v>
      </c>
      <c r="C3485" s="16">
        <f>SUMIF(매도완료!$G:$G,Sheet2!$B3485,매도완료!$P:$P)+SUMIF(ING!$G:$G,Sheet2!$B3485,ING!$P:$P)</f>
        <v>136035</v>
      </c>
      <c r="D3485" s="16">
        <f>SUMIF(매도완료!$J:$J,Sheet2!$B3485,매도완료!$P:$P)+SUMIF(ING!$J:$J,Sheet2!$B3485,ING!$P:$P)</f>
        <v>0</v>
      </c>
      <c r="E3485" s="16">
        <f t="shared" si="108"/>
        <v>190489697.8344</v>
      </c>
      <c r="G3485" s="16">
        <f>IF(D3485=0,0,SUMIF(매도완료!$J:$J,Sheet2!$B3485,매도완료!$S:$S))+IF(D3485=0,0,SUMIF(ING!$J:$J,Sheet2!$B3485,ING!$S:$S))</f>
        <v>0</v>
      </c>
      <c r="H3485" s="16">
        <f t="shared" si="109"/>
        <v>47816123.219803825</v>
      </c>
    </row>
    <row r="3486" spans="2:8" hidden="1" x14ac:dyDescent="0.4">
      <c r="B3486" s="1">
        <v>46035</v>
      </c>
      <c r="C3486" s="16">
        <f>SUMIF(매도완료!$G:$G,Sheet2!$B3486,매도완료!$P:$P)+SUMIF(ING!$G:$G,Sheet2!$B3486,ING!$P:$P)</f>
        <v>66515</v>
      </c>
      <c r="D3486" s="16">
        <f>SUMIF(매도완료!$J:$J,Sheet2!$B3486,매도완료!$P:$P)+SUMIF(ING!$J:$J,Sheet2!$B3486,ING!$P:$P)</f>
        <v>0</v>
      </c>
      <c r="E3486" s="16">
        <f t="shared" si="108"/>
        <v>190556212.8344</v>
      </c>
      <c r="G3486" s="16">
        <f>IF(D3486=0,0,SUMIF(매도완료!$J:$J,Sheet2!$B3486,매도완료!$S:$S))+IF(D3486=0,0,SUMIF(ING!$J:$J,Sheet2!$B3486,ING!$S:$S))</f>
        <v>0</v>
      </c>
      <c r="H3486" s="16">
        <f t="shared" si="109"/>
        <v>47816123.219803825</v>
      </c>
    </row>
    <row r="3487" spans="2:8" hidden="1" x14ac:dyDescent="0.4">
      <c r="B3487" s="1">
        <v>46036</v>
      </c>
      <c r="C3487" s="16">
        <f>SUMIF(매도완료!$G:$G,Sheet2!$B3487,매도완료!$P:$P)+SUMIF(ING!$G:$G,Sheet2!$B3487,ING!$P:$P)</f>
        <v>72090</v>
      </c>
      <c r="D3487" s="16">
        <f>SUMIF(매도완료!$J:$J,Sheet2!$B3487,매도완료!$P:$P)+SUMIF(ING!$J:$J,Sheet2!$B3487,ING!$P:$P)</f>
        <v>0</v>
      </c>
      <c r="E3487" s="16">
        <f t="shared" si="108"/>
        <v>190628302.8344</v>
      </c>
      <c r="G3487" s="16">
        <f>IF(D3487=0,0,SUMIF(매도완료!$J:$J,Sheet2!$B3487,매도완료!$S:$S))+IF(D3487=0,0,SUMIF(ING!$J:$J,Sheet2!$B3487,ING!$S:$S))</f>
        <v>0</v>
      </c>
      <c r="H3487" s="16">
        <f t="shared" si="109"/>
        <v>47816123.219803825</v>
      </c>
    </row>
    <row r="3488" spans="2:8" hidden="1" x14ac:dyDescent="0.4">
      <c r="B3488" s="1">
        <v>46037</v>
      </c>
      <c r="C3488" s="16">
        <f>SUMIF(매도완료!$G:$G,Sheet2!$B3488,매도완료!$P:$P)+SUMIF(ING!$G:$G,Sheet2!$B3488,ING!$P:$P)</f>
        <v>26950</v>
      </c>
      <c r="D3488" s="16">
        <f>SUMIF(매도완료!$J:$J,Sheet2!$B3488,매도완료!$P:$P)+SUMIF(ING!$J:$J,Sheet2!$B3488,ING!$P:$P)</f>
        <v>0</v>
      </c>
      <c r="E3488" s="16">
        <f t="shared" si="108"/>
        <v>190655252.8344</v>
      </c>
      <c r="G3488" s="16">
        <f>IF(D3488=0,0,SUMIF(매도완료!$J:$J,Sheet2!$B3488,매도완료!$S:$S))+IF(D3488=0,0,SUMIF(ING!$J:$J,Sheet2!$B3488,ING!$S:$S))</f>
        <v>0</v>
      </c>
      <c r="H3488" s="16">
        <f t="shared" si="109"/>
        <v>47816123.219803825</v>
      </c>
    </row>
    <row r="3489" spans="2:8" hidden="1" x14ac:dyDescent="0.4">
      <c r="B3489" s="1">
        <v>46038</v>
      </c>
      <c r="C3489" s="16">
        <f>SUMIF(매도완료!$G:$G,Sheet2!$B3489,매도완료!$P:$P)+SUMIF(ING!$G:$G,Sheet2!$B3489,ING!$P:$P)</f>
        <v>114580</v>
      </c>
      <c r="D3489" s="16">
        <f>SUMIF(매도완료!$J:$J,Sheet2!$B3489,매도완료!$P:$P)+SUMIF(ING!$J:$J,Sheet2!$B3489,ING!$P:$P)</f>
        <v>0</v>
      </c>
      <c r="E3489" s="16">
        <f t="shared" si="108"/>
        <v>190769832.8344</v>
      </c>
      <c r="G3489" s="16">
        <f>IF(D3489=0,0,SUMIF(매도완료!$J:$J,Sheet2!$B3489,매도완료!$S:$S))+IF(D3489=0,0,SUMIF(ING!$J:$J,Sheet2!$B3489,ING!$S:$S))</f>
        <v>0</v>
      </c>
      <c r="H3489" s="16">
        <f t="shared" si="109"/>
        <v>47816123.219803825</v>
      </c>
    </row>
    <row r="3490" spans="2:8" hidden="1" x14ac:dyDescent="0.4">
      <c r="B3490" s="1">
        <v>46039</v>
      </c>
      <c r="C3490" s="16">
        <f>SUMIF(매도완료!$G:$G,Sheet2!$B3490,매도완료!$P:$P)+SUMIF(ING!$G:$G,Sheet2!$B3490,ING!$P:$P)</f>
        <v>0</v>
      </c>
      <c r="D3490" s="16">
        <f>SUMIF(매도완료!$J:$J,Sheet2!$B3490,매도완료!$P:$P)+SUMIF(ING!$J:$J,Sheet2!$B3490,ING!$P:$P)</f>
        <v>0</v>
      </c>
      <c r="E3490" s="16">
        <f t="shared" si="108"/>
        <v>190769832.8344</v>
      </c>
      <c r="G3490" s="16">
        <f>IF(D3490=0,0,SUMIF(매도완료!$J:$J,Sheet2!$B3490,매도완료!$S:$S))+IF(D3490=0,0,SUMIF(ING!$J:$J,Sheet2!$B3490,ING!$S:$S))</f>
        <v>0</v>
      </c>
      <c r="H3490" s="16">
        <f t="shared" si="109"/>
        <v>47816123.219803825</v>
      </c>
    </row>
    <row r="3491" spans="2:8" hidden="1" x14ac:dyDescent="0.4">
      <c r="B3491" s="1">
        <v>46040</v>
      </c>
      <c r="C3491" s="16">
        <f>SUMIF(매도완료!$G:$G,Sheet2!$B3491,매도완료!$P:$P)+SUMIF(ING!$G:$G,Sheet2!$B3491,ING!$P:$P)</f>
        <v>0</v>
      </c>
      <c r="D3491" s="16">
        <f>SUMIF(매도완료!$J:$J,Sheet2!$B3491,매도완료!$P:$P)+SUMIF(ING!$J:$J,Sheet2!$B3491,ING!$P:$P)</f>
        <v>0</v>
      </c>
      <c r="E3491" s="16">
        <f t="shared" si="108"/>
        <v>190769832.8344</v>
      </c>
      <c r="G3491" s="16">
        <f>IF(D3491=0,0,SUMIF(매도완료!$J:$J,Sheet2!$B3491,매도완료!$S:$S))+IF(D3491=0,0,SUMIF(ING!$J:$J,Sheet2!$B3491,ING!$S:$S))</f>
        <v>0</v>
      </c>
      <c r="H3491" s="16">
        <f t="shared" si="109"/>
        <v>47816123.219803825</v>
      </c>
    </row>
    <row r="3492" spans="2:8" hidden="1" x14ac:dyDescent="0.4">
      <c r="B3492" s="1">
        <v>46041</v>
      </c>
      <c r="C3492" s="16">
        <f>SUMIF(매도완료!$G:$G,Sheet2!$B3492,매도완료!$P:$P)+SUMIF(ING!$G:$G,Sheet2!$B3492,ING!$P:$P)</f>
        <v>16190</v>
      </c>
      <c r="D3492" s="16">
        <f>SUMIF(매도완료!$J:$J,Sheet2!$B3492,매도완료!$P:$P)+SUMIF(ING!$J:$J,Sheet2!$B3492,ING!$P:$P)</f>
        <v>1336000</v>
      </c>
      <c r="E3492" s="16">
        <f t="shared" si="108"/>
        <v>189450022.8344</v>
      </c>
      <c r="G3492" s="16">
        <f>IF(D3492=0,0,SUMIF(매도완료!$J:$J,Sheet2!$B3492,매도완료!$S:$S))+IF(D3492=0,0,SUMIF(ING!$J:$J,Sheet2!$B3492,ING!$S:$S))</f>
        <v>1332170</v>
      </c>
      <c r="H3492" s="16">
        <f t="shared" si="109"/>
        <v>49148293.219803825</v>
      </c>
    </row>
    <row r="3493" spans="2:8" hidden="1" x14ac:dyDescent="0.4">
      <c r="B3493" s="1">
        <v>46042</v>
      </c>
      <c r="C3493" s="16">
        <f>SUMIF(매도완료!$G:$G,Sheet2!$B3493,매도완료!$P:$P)+SUMIF(ING!$G:$G,Sheet2!$B3493,ING!$P:$P)</f>
        <v>64400</v>
      </c>
      <c r="D3493" s="16">
        <f>SUMIF(매도완료!$J:$J,Sheet2!$B3493,매도완료!$P:$P)+SUMIF(ING!$J:$J,Sheet2!$B3493,ING!$P:$P)</f>
        <v>0</v>
      </c>
      <c r="E3493" s="16">
        <f t="shared" si="108"/>
        <v>189514422.8344</v>
      </c>
      <c r="G3493" s="16">
        <f>IF(D3493=0,0,SUMIF(매도완료!$J:$J,Sheet2!$B3493,매도완료!$S:$S))+IF(D3493=0,0,SUMIF(ING!$J:$J,Sheet2!$B3493,ING!$S:$S))</f>
        <v>0</v>
      </c>
      <c r="H3493" s="16">
        <f t="shared" si="109"/>
        <v>49148293.219803825</v>
      </c>
    </row>
    <row r="3494" spans="2:8" hidden="1" x14ac:dyDescent="0.4">
      <c r="B3494" s="1">
        <v>46043</v>
      </c>
      <c r="C3494" s="16">
        <f>SUMIF(매도완료!$G:$G,Sheet2!$B3494,매도완료!$P:$P)+SUMIF(ING!$G:$G,Sheet2!$B3494,ING!$P:$P)</f>
        <v>78960</v>
      </c>
      <c r="D3494" s="16">
        <f>SUMIF(매도완료!$J:$J,Sheet2!$B3494,매도완료!$P:$P)+SUMIF(ING!$J:$J,Sheet2!$B3494,ING!$P:$P)</f>
        <v>0</v>
      </c>
      <c r="E3494" s="16">
        <f t="shared" si="108"/>
        <v>189593382.8344</v>
      </c>
      <c r="G3494" s="16">
        <f>IF(D3494=0,0,SUMIF(매도완료!$J:$J,Sheet2!$B3494,매도완료!$S:$S))+IF(D3494=0,0,SUMIF(ING!$J:$J,Sheet2!$B3494,ING!$S:$S))</f>
        <v>0</v>
      </c>
      <c r="H3494" s="16">
        <f t="shared" si="109"/>
        <v>49148293.219803825</v>
      </c>
    </row>
    <row r="3495" spans="2:8" hidden="1" x14ac:dyDescent="0.4">
      <c r="B3495" s="1">
        <v>46044</v>
      </c>
      <c r="C3495" s="16">
        <f>SUMIF(매도완료!$G:$G,Sheet2!$B3495,매도완료!$P:$P)+SUMIF(ING!$G:$G,Sheet2!$B3495,ING!$P:$P)</f>
        <v>554200</v>
      </c>
      <c r="D3495" s="16">
        <f>SUMIF(매도완료!$J:$J,Sheet2!$B3495,매도완료!$P:$P)+SUMIF(ING!$J:$J,Sheet2!$B3495,ING!$P:$P)</f>
        <v>0</v>
      </c>
      <c r="E3495" s="16">
        <f t="shared" si="108"/>
        <v>190147582.8344</v>
      </c>
      <c r="G3495" s="16">
        <f>IF(D3495=0,0,SUMIF(매도완료!$J:$J,Sheet2!$B3495,매도완료!$S:$S))+IF(D3495=0,0,SUMIF(ING!$J:$J,Sheet2!$B3495,ING!$S:$S))</f>
        <v>0</v>
      </c>
      <c r="H3495" s="16">
        <f t="shared" si="109"/>
        <v>49148293.219803825</v>
      </c>
    </row>
    <row r="3496" spans="2:8" hidden="1" x14ac:dyDescent="0.4">
      <c r="B3496" s="1">
        <v>46045</v>
      </c>
      <c r="C3496" s="16">
        <f>SUMIF(매도완료!$G:$G,Sheet2!$B3496,매도완료!$P:$P)+SUMIF(ING!$G:$G,Sheet2!$B3496,ING!$P:$P)</f>
        <v>1098470</v>
      </c>
      <c r="D3496" s="16">
        <f>SUMIF(매도완료!$J:$J,Sheet2!$B3496,매도완료!$P:$P)+SUMIF(ING!$J:$J,Sheet2!$B3496,ING!$P:$P)</f>
        <v>0</v>
      </c>
      <c r="E3496" s="16">
        <f t="shared" si="108"/>
        <v>191246052.8344</v>
      </c>
      <c r="G3496" s="16">
        <f>IF(D3496=0,0,SUMIF(매도완료!$J:$J,Sheet2!$B3496,매도완료!$S:$S))+IF(D3496=0,0,SUMIF(ING!$J:$J,Sheet2!$B3496,ING!$S:$S))</f>
        <v>0</v>
      </c>
      <c r="H3496" s="16">
        <f t="shared" si="109"/>
        <v>49148293.219803825</v>
      </c>
    </row>
    <row r="3497" spans="2:8" hidden="1" x14ac:dyDescent="0.4">
      <c r="B3497" s="1">
        <v>46046</v>
      </c>
      <c r="C3497" s="16">
        <f>SUMIF(매도완료!$G:$G,Sheet2!$B3497,매도완료!$P:$P)+SUMIF(ING!$G:$G,Sheet2!$B3497,ING!$P:$P)</f>
        <v>0</v>
      </c>
      <c r="D3497" s="16">
        <f>SUMIF(매도완료!$J:$J,Sheet2!$B3497,매도완료!$P:$P)+SUMIF(ING!$J:$J,Sheet2!$B3497,ING!$P:$P)</f>
        <v>0</v>
      </c>
      <c r="E3497" s="16">
        <f t="shared" si="108"/>
        <v>191246052.8344</v>
      </c>
      <c r="G3497" s="16">
        <f>IF(D3497=0,0,SUMIF(매도완료!$J:$J,Sheet2!$B3497,매도완료!$S:$S))+IF(D3497=0,0,SUMIF(ING!$J:$J,Sheet2!$B3497,ING!$S:$S))</f>
        <v>0</v>
      </c>
      <c r="H3497" s="16">
        <f t="shared" si="109"/>
        <v>49148293.219803825</v>
      </c>
    </row>
    <row r="3498" spans="2:8" hidden="1" x14ac:dyDescent="0.4">
      <c r="B3498" s="1">
        <v>46047</v>
      </c>
      <c r="C3498" s="16">
        <f>SUMIF(매도완료!$G:$G,Sheet2!$B3498,매도완료!$P:$P)+SUMIF(ING!$G:$G,Sheet2!$B3498,ING!$P:$P)</f>
        <v>0</v>
      </c>
      <c r="D3498" s="16">
        <f>SUMIF(매도완료!$J:$J,Sheet2!$B3498,매도완료!$P:$P)+SUMIF(ING!$J:$J,Sheet2!$B3498,ING!$P:$P)</f>
        <v>0</v>
      </c>
      <c r="E3498" s="16">
        <f t="shared" si="108"/>
        <v>191246052.8344</v>
      </c>
      <c r="G3498" s="16">
        <f>IF(D3498=0,0,SUMIF(매도완료!$J:$J,Sheet2!$B3498,매도완료!$S:$S))+IF(D3498=0,0,SUMIF(ING!$J:$J,Sheet2!$B3498,ING!$S:$S))</f>
        <v>0</v>
      </c>
      <c r="H3498" s="16">
        <f t="shared" si="109"/>
        <v>49148293.219803825</v>
      </c>
    </row>
    <row r="3499" spans="2:8" hidden="1" x14ac:dyDescent="0.4">
      <c r="B3499" s="1">
        <v>46048</v>
      </c>
      <c r="C3499" s="16">
        <f>SUMIF(매도완료!$G:$G,Sheet2!$B3499,매도완료!$P:$P)+SUMIF(ING!$G:$G,Sheet2!$B3499,ING!$P:$P)</f>
        <v>1581335</v>
      </c>
      <c r="D3499" s="16">
        <f>SUMIF(매도완료!$J:$J,Sheet2!$B3499,매도완료!$P:$P)+SUMIF(ING!$J:$J,Sheet2!$B3499,ING!$P:$P)</f>
        <v>0</v>
      </c>
      <c r="E3499" s="16">
        <f t="shared" si="108"/>
        <v>192827387.8344</v>
      </c>
      <c r="G3499" s="16">
        <f>IF(D3499=0,0,SUMIF(매도완료!$J:$J,Sheet2!$B3499,매도완료!$S:$S))+IF(D3499=0,0,SUMIF(ING!$J:$J,Sheet2!$B3499,ING!$S:$S))</f>
        <v>0</v>
      </c>
      <c r="H3499" s="16">
        <f t="shared" si="109"/>
        <v>49148293.219803825</v>
      </c>
    </row>
    <row r="3500" spans="2:8" hidden="1" x14ac:dyDescent="0.4">
      <c r="B3500" s="1">
        <v>46049</v>
      </c>
      <c r="C3500" s="16">
        <f>SUMIF(매도완료!$G:$G,Sheet2!$B3500,매도완료!$P:$P)+SUMIF(ING!$G:$G,Sheet2!$B3500,ING!$P:$P)</f>
        <v>72120</v>
      </c>
      <c r="D3500" s="16">
        <f>SUMIF(매도완료!$J:$J,Sheet2!$B3500,매도완료!$P:$P)+SUMIF(ING!$J:$J,Sheet2!$B3500,ING!$P:$P)</f>
        <v>3990000</v>
      </c>
      <c r="E3500" s="16">
        <f t="shared" si="108"/>
        <v>188909507.8344</v>
      </c>
      <c r="G3500" s="16">
        <f>IF(D3500=0,0,SUMIF(매도완료!$J:$J,Sheet2!$B3500,매도완료!$S:$S))+IF(D3500=0,0,SUMIF(ING!$J:$J,Sheet2!$B3500,ING!$S:$S))</f>
        <v>-32530.5</v>
      </c>
      <c r="H3500" s="16">
        <f t="shared" si="109"/>
        <v>49115762.719803825</v>
      </c>
    </row>
    <row r="3501" spans="2:8" hidden="1" x14ac:dyDescent="0.4">
      <c r="B3501" s="1">
        <v>46050</v>
      </c>
      <c r="C3501" s="16">
        <f>SUMIF(매도완료!$G:$G,Sheet2!$B3501,매도완료!$P:$P)+SUMIF(ING!$G:$G,Sheet2!$B3501,ING!$P:$P)</f>
        <v>80200</v>
      </c>
      <c r="D3501" s="16">
        <f>SUMIF(매도완료!$J:$J,Sheet2!$B3501,매도완료!$P:$P)+SUMIF(ING!$J:$J,Sheet2!$B3501,ING!$P:$P)</f>
        <v>0</v>
      </c>
      <c r="E3501" s="16">
        <f t="shared" si="108"/>
        <v>188989707.8344</v>
      </c>
      <c r="G3501" s="16">
        <f>IF(D3501=0,0,SUMIF(매도완료!$J:$J,Sheet2!$B3501,매도완료!$S:$S))+IF(D3501=0,0,SUMIF(ING!$J:$J,Sheet2!$B3501,ING!$S:$S))</f>
        <v>0</v>
      </c>
      <c r="H3501" s="16">
        <f t="shared" si="109"/>
        <v>49115762.719803825</v>
      </c>
    </row>
    <row r="3502" spans="2:8" hidden="1" x14ac:dyDescent="0.4">
      <c r="B3502" s="1">
        <v>46051</v>
      </c>
      <c r="C3502" s="16">
        <f>SUMIF(매도완료!$G:$G,Sheet2!$B3502,매도완료!$P:$P)+SUMIF(ING!$G:$G,Sheet2!$B3502,ING!$P:$P)</f>
        <v>32600</v>
      </c>
      <c r="D3502" s="16">
        <f>SUMIF(매도완료!$J:$J,Sheet2!$B3502,매도완료!$P:$P)+SUMIF(ING!$J:$J,Sheet2!$B3502,ING!$P:$P)</f>
        <v>0</v>
      </c>
      <c r="E3502" s="16">
        <f t="shared" si="108"/>
        <v>189022307.8344</v>
      </c>
      <c r="G3502" s="16">
        <f>IF(D3502=0,0,SUMIF(매도완료!$J:$J,Sheet2!$B3502,매도완료!$S:$S))+IF(D3502=0,0,SUMIF(ING!$J:$J,Sheet2!$B3502,ING!$S:$S))</f>
        <v>0</v>
      </c>
      <c r="H3502" s="16">
        <f t="shared" si="109"/>
        <v>49115762.719803825</v>
      </c>
    </row>
    <row r="3503" spans="2:8" hidden="1" x14ac:dyDescent="0.4">
      <c r="B3503" s="1">
        <v>46052</v>
      </c>
      <c r="C3503" s="16">
        <f>SUMIF(매도완료!$G:$G,Sheet2!$B3503,매도완료!$P:$P)+SUMIF(ING!$G:$G,Sheet2!$B3503,ING!$P:$P)</f>
        <v>4560700</v>
      </c>
      <c r="D3503" s="16">
        <f>SUMIF(매도완료!$J:$J,Sheet2!$B3503,매도완료!$P:$P)+SUMIF(ING!$J:$J,Sheet2!$B3503,ING!$P:$P)</f>
        <v>0</v>
      </c>
      <c r="E3503" s="16">
        <f t="shared" si="108"/>
        <v>193583007.8344</v>
      </c>
      <c r="G3503" s="16">
        <f>IF(D3503=0,0,SUMIF(매도완료!$J:$J,Sheet2!$B3503,매도완료!$S:$S))+IF(D3503=0,0,SUMIF(ING!$J:$J,Sheet2!$B3503,ING!$S:$S))</f>
        <v>0</v>
      </c>
      <c r="H3503" s="16">
        <f t="shared" si="109"/>
        <v>49115762.719803825</v>
      </c>
    </row>
    <row r="3504" spans="2:8" hidden="1" x14ac:dyDescent="0.4">
      <c r="B3504" s="1">
        <v>46053</v>
      </c>
      <c r="C3504" s="16">
        <f>SUMIF(매도완료!$G:$G,Sheet2!$B3504,매도완료!$P:$P)+SUMIF(ING!$G:$G,Sheet2!$B3504,ING!$P:$P)</f>
        <v>0</v>
      </c>
      <c r="D3504" s="16">
        <f>SUMIF(매도완료!$J:$J,Sheet2!$B3504,매도완료!$P:$P)+SUMIF(ING!$J:$J,Sheet2!$B3504,ING!$P:$P)</f>
        <v>0</v>
      </c>
      <c r="E3504" s="16">
        <f t="shared" si="108"/>
        <v>193583007.8344</v>
      </c>
      <c r="G3504" s="16">
        <f>IF(D3504=0,0,SUMIF(매도완료!$J:$J,Sheet2!$B3504,매도완료!$S:$S))+IF(D3504=0,0,SUMIF(ING!$J:$J,Sheet2!$B3504,ING!$S:$S))</f>
        <v>0</v>
      </c>
      <c r="H3504" s="16">
        <f t="shared" si="109"/>
        <v>49115762.719803825</v>
      </c>
    </row>
    <row r="3505" spans="2:8" x14ac:dyDescent="0.4">
      <c r="B3505" s="1">
        <v>46054</v>
      </c>
      <c r="C3505" s="16">
        <f>SUMIF(매도완료!$G:$G,Sheet2!$B3505,매도완료!$P:$P)+SUMIF(ING!$G:$G,Sheet2!$B3505,ING!$P:$P)</f>
        <v>0</v>
      </c>
      <c r="D3505" s="16">
        <f>SUMIF(매도완료!$J:$J,Sheet2!$B3505,매도완료!$P:$P)+SUMIF(ING!$J:$J,Sheet2!$B3505,ING!$P:$P)</f>
        <v>0</v>
      </c>
      <c r="E3505" s="16">
        <f t="shared" si="108"/>
        <v>193583007.8344</v>
      </c>
      <c r="G3505" s="16">
        <f>IF(D3505=0,0,SUMIF(매도완료!$J:$J,Sheet2!$B3505,매도완료!$S:$S))+IF(D3505=0,0,SUMIF(ING!$J:$J,Sheet2!$B3505,ING!$S:$S))</f>
        <v>0</v>
      </c>
      <c r="H3505" s="16">
        <f t="shared" si="109"/>
        <v>49115762.719803825</v>
      </c>
    </row>
    <row r="3506" spans="2:8" hidden="1" x14ac:dyDescent="0.4">
      <c r="B3506" s="1">
        <v>46055</v>
      </c>
      <c r="C3506" s="16">
        <f>SUMIF(매도완료!$G:$G,Sheet2!$B3506,매도완료!$P:$P)+SUMIF(ING!$G:$G,Sheet2!$B3506,ING!$P:$P)</f>
        <v>1786490</v>
      </c>
      <c r="D3506" s="16">
        <f>SUMIF(매도완료!$J:$J,Sheet2!$B3506,매도완료!$P:$P)+SUMIF(ING!$J:$J,Sheet2!$B3506,ING!$P:$P)</f>
        <v>0</v>
      </c>
      <c r="E3506" s="16">
        <f t="shared" si="108"/>
        <v>195369497.8344</v>
      </c>
      <c r="G3506" s="16">
        <f>IF(D3506=0,0,SUMIF(매도완료!$J:$J,Sheet2!$B3506,매도완료!$S:$S))+IF(D3506=0,0,SUMIF(ING!$J:$J,Sheet2!$B3506,ING!$S:$S))</f>
        <v>0</v>
      </c>
      <c r="H3506" s="16">
        <f t="shared" si="109"/>
        <v>49115762.719803825</v>
      </c>
    </row>
    <row r="3507" spans="2:8" hidden="1" x14ac:dyDescent="0.4">
      <c r="B3507" s="1">
        <v>46056</v>
      </c>
      <c r="C3507" s="16">
        <f>SUMIF(매도완료!$G:$G,Sheet2!$B3507,매도완료!$P:$P)+SUMIF(ING!$G:$G,Sheet2!$B3507,ING!$P:$P)</f>
        <v>66665</v>
      </c>
      <c r="D3507" s="16">
        <f>SUMIF(매도완료!$J:$J,Sheet2!$B3507,매도완료!$P:$P)+SUMIF(ING!$J:$J,Sheet2!$B3507,ING!$P:$P)</f>
        <v>0</v>
      </c>
      <c r="E3507" s="16">
        <f t="shared" si="108"/>
        <v>195436162.8344</v>
      </c>
      <c r="G3507" s="16">
        <f>IF(D3507=0,0,SUMIF(매도완료!$J:$J,Sheet2!$B3507,매도완료!$S:$S))+IF(D3507=0,0,SUMIF(ING!$J:$J,Sheet2!$B3507,ING!$S:$S))</f>
        <v>0</v>
      </c>
      <c r="H3507" s="16">
        <f t="shared" si="109"/>
        <v>49115762.719803825</v>
      </c>
    </row>
    <row r="3508" spans="2:8" hidden="1" x14ac:dyDescent="0.4">
      <c r="B3508" s="1">
        <v>46057</v>
      </c>
      <c r="C3508" s="16">
        <f>SUMIF(매도완료!$G:$G,Sheet2!$B3508,매도완료!$P:$P)+SUMIF(ING!$G:$G,Sheet2!$B3508,ING!$P:$P)</f>
        <v>81960</v>
      </c>
      <c r="D3508" s="16">
        <f>SUMIF(매도완료!$J:$J,Sheet2!$B3508,매도완료!$P:$P)+SUMIF(ING!$J:$J,Sheet2!$B3508,ING!$P:$P)</f>
        <v>4917570</v>
      </c>
      <c r="E3508" s="16">
        <f t="shared" si="108"/>
        <v>190600552.8344</v>
      </c>
      <c r="G3508" s="16">
        <f>IF(D3508=0,0,SUMIF(매도완료!$J:$J,Sheet2!$B3508,매도완료!$S:$S))+IF(D3508=0,0,SUMIF(ING!$J:$J,Sheet2!$B3508,ING!$S:$S))</f>
        <v>961832.02</v>
      </c>
      <c r="H3508" s="16">
        <f t="shared" si="109"/>
        <v>50077594.739803828</v>
      </c>
    </row>
    <row r="3509" spans="2:8" hidden="1" x14ac:dyDescent="0.4">
      <c r="B3509" s="1">
        <v>46058</v>
      </c>
      <c r="C3509" s="16">
        <f>SUMIF(매도완료!$G:$G,Sheet2!$B3509,매도완료!$P:$P)+SUMIF(ING!$G:$G,Sheet2!$B3509,ING!$P:$P)</f>
        <v>1970600</v>
      </c>
      <c r="D3509" s="16">
        <f>SUMIF(매도완료!$J:$J,Sheet2!$B3509,매도완료!$P:$P)+SUMIF(ING!$J:$J,Sheet2!$B3509,ING!$P:$P)</f>
        <v>9921270</v>
      </c>
      <c r="E3509" s="16">
        <f t="shared" si="108"/>
        <v>182649882.8344</v>
      </c>
      <c r="G3509" s="16">
        <f>IF(D3509=0,0,SUMIF(매도완료!$J:$J,Sheet2!$B3509,매도완료!$S:$S))+IF(D3509=0,0,SUMIF(ING!$J:$J,Sheet2!$B3509,ING!$S:$S))</f>
        <v>814903.10000000033</v>
      </c>
      <c r="H3509" s="16">
        <f t="shared" si="109"/>
        <v>50892497.83980383</v>
      </c>
    </row>
    <row r="3510" spans="2:8" hidden="1" x14ac:dyDescent="0.4">
      <c r="B3510" s="1">
        <v>46059</v>
      </c>
      <c r="C3510" s="16">
        <f>SUMIF(매도완료!$G:$G,Sheet2!$B3510,매도완료!$P:$P)+SUMIF(ING!$G:$G,Sheet2!$B3510,ING!$P:$P)</f>
        <v>9445280</v>
      </c>
      <c r="D3510" s="16">
        <f>SUMIF(매도완료!$J:$J,Sheet2!$B3510,매도완료!$P:$P)+SUMIF(ING!$J:$J,Sheet2!$B3510,ING!$P:$P)</f>
        <v>0</v>
      </c>
      <c r="E3510" s="16">
        <f t="shared" si="108"/>
        <v>192095162.8344</v>
      </c>
      <c r="G3510" s="16">
        <f>IF(D3510=0,0,SUMIF(매도완료!$J:$J,Sheet2!$B3510,매도완료!$S:$S))+IF(D3510=0,0,SUMIF(ING!$J:$J,Sheet2!$B3510,ING!$S:$S))</f>
        <v>0</v>
      </c>
      <c r="H3510" s="16">
        <f t="shared" si="109"/>
        <v>50892497.83980383</v>
      </c>
    </row>
    <row r="3511" spans="2:8" hidden="1" x14ac:dyDescent="0.4">
      <c r="B3511" s="1">
        <v>46060</v>
      </c>
      <c r="C3511" s="16">
        <f>SUMIF(매도완료!$G:$G,Sheet2!$B3511,매도완료!$P:$P)+SUMIF(ING!$G:$G,Sheet2!$B3511,ING!$P:$P)</f>
        <v>0</v>
      </c>
      <c r="D3511" s="16">
        <f>SUMIF(매도완료!$J:$J,Sheet2!$B3511,매도완료!$P:$P)+SUMIF(ING!$J:$J,Sheet2!$B3511,ING!$P:$P)</f>
        <v>0</v>
      </c>
      <c r="E3511" s="16">
        <f t="shared" si="108"/>
        <v>192095162.8344</v>
      </c>
      <c r="G3511" s="16">
        <f>IF(D3511=0,0,SUMIF(매도완료!$J:$J,Sheet2!$B3511,매도완료!$S:$S))+IF(D3511=0,0,SUMIF(ING!$J:$J,Sheet2!$B3511,ING!$S:$S))</f>
        <v>0</v>
      </c>
      <c r="H3511" s="16">
        <f t="shared" si="109"/>
        <v>50892497.83980383</v>
      </c>
    </row>
    <row r="3512" spans="2:8" hidden="1" x14ac:dyDescent="0.4">
      <c r="B3512" s="1">
        <v>46061</v>
      </c>
      <c r="C3512" s="16">
        <f>SUMIF(매도완료!$G:$G,Sheet2!$B3512,매도완료!$P:$P)+SUMIF(ING!$G:$G,Sheet2!$B3512,ING!$P:$P)</f>
        <v>0</v>
      </c>
      <c r="D3512" s="16">
        <f>SUMIF(매도완료!$J:$J,Sheet2!$B3512,매도완료!$P:$P)+SUMIF(ING!$J:$J,Sheet2!$B3512,ING!$P:$P)</f>
        <v>0</v>
      </c>
      <c r="E3512" s="16">
        <f t="shared" si="108"/>
        <v>192095162.8344</v>
      </c>
      <c r="G3512" s="16">
        <f>IF(D3512=0,0,SUMIF(매도완료!$J:$J,Sheet2!$B3512,매도완료!$S:$S))+IF(D3512=0,0,SUMIF(ING!$J:$J,Sheet2!$B3512,ING!$S:$S))</f>
        <v>0</v>
      </c>
      <c r="H3512" s="16">
        <f t="shared" si="109"/>
        <v>50892497.83980383</v>
      </c>
    </row>
    <row r="3513" spans="2:8" hidden="1" x14ac:dyDescent="0.4">
      <c r="B3513" s="1">
        <v>46062</v>
      </c>
      <c r="C3513" s="16">
        <f>SUMIF(매도완료!$G:$G,Sheet2!$B3513,매도완료!$P:$P)+SUMIF(ING!$G:$G,Sheet2!$B3513,ING!$P:$P)</f>
        <v>20920</v>
      </c>
      <c r="D3513" s="16">
        <f>SUMIF(매도완료!$J:$J,Sheet2!$B3513,매도완료!$P:$P)+SUMIF(ING!$J:$J,Sheet2!$B3513,ING!$P:$P)</f>
        <v>0</v>
      </c>
      <c r="E3513" s="16">
        <f t="shared" si="108"/>
        <v>192116082.8344</v>
      </c>
      <c r="G3513" s="16">
        <f>IF(D3513=0,0,SUMIF(매도완료!$J:$J,Sheet2!$B3513,매도완료!$S:$S))+IF(D3513=0,0,SUMIF(ING!$J:$J,Sheet2!$B3513,ING!$S:$S))</f>
        <v>0</v>
      </c>
      <c r="H3513" s="16">
        <f t="shared" si="109"/>
        <v>50892497.83980383</v>
      </c>
    </row>
    <row r="3514" spans="2:8" hidden="1" x14ac:dyDescent="0.4">
      <c r="B3514" s="1">
        <v>46063</v>
      </c>
      <c r="C3514" s="16">
        <f>SUMIF(매도완료!$G:$G,Sheet2!$B3514,매도완료!$P:$P)+SUMIF(ING!$G:$G,Sheet2!$B3514,ING!$P:$P)</f>
        <v>424930</v>
      </c>
      <c r="D3514" s="16">
        <f>SUMIF(매도완료!$J:$J,Sheet2!$B3514,매도완료!$P:$P)+SUMIF(ING!$J:$J,Sheet2!$B3514,ING!$P:$P)</f>
        <v>7844920</v>
      </c>
      <c r="E3514" s="16">
        <f t="shared" si="108"/>
        <v>184696092.8344</v>
      </c>
      <c r="G3514" s="16">
        <f>IF(D3514=0,0,SUMIF(매도완료!$J:$J,Sheet2!$B3514,매도완료!$S:$S))+IF(D3514=0,0,SUMIF(ING!$J:$J,Sheet2!$B3514,ING!$S:$S))</f>
        <v>2131437.87</v>
      </c>
      <c r="H3514" s="16">
        <f t="shared" si="109"/>
        <v>53023935.709803827</v>
      </c>
    </row>
    <row r="3515" spans="2:8" hidden="1" x14ac:dyDescent="0.4">
      <c r="B3515" s="1">
        <v>46064</v>
      </c>
      <c r="C3515" s="16">
        <f>SUMIF(매도완료!$G:$G,Sheet2!$B3515,매도완료!$P:$P)+SUMIF(ING!$G:$G,Sheet2!$B3515,ING!$P:$P)</f>
        <v>5691700</v>
      </c>
      <c r="D3515" s="16">
        <f>SUMIF(매도완료!$J:$J,Sheet2!$B3515,매도완료!$P:$P)+SUMIF(ING!$J:$J,Sheet2!$B3515,ING!$P:$P)</f>
        <v>0</v>
      </c>
      <c r="E3515" s="16">
        <f t="shared" si="108"/>
        <v>190387792.8344</v>
      </c>
      <c r="G3515" s="16">
        <f>IF(D3515=0,0,SUMIF(매도완료!$J:$J,Sheet2!$B3515,매도완료!$S:$S))+IF(D3515=0,0,SUMIF(ING!$J:$J,Sheet2!$B3515,ING!$S:$S))</f>
        <v>0</v>
      </c>
      <c r="H3515" s="16">
        <f t="shared" si="109"/>
        <v>53023935.709803827</v>
      </c>
    </row>
    <row r="3516" spans="2:8" hidden="1" x14ac:dyDescent="0.4">
      <c r="B3516" s="1">
        <v>46065</v>
      </c>
      <c r="C3516" s="16">
        <f>SUMIF(매도완료!$G:$G,Sheet2!$B3516,매도완료!$P:$P)+SUMIF(ING!$G:$G,Sheet2!$B3516,ING!$P:$P)</f>
        <v>2907550</v>
      </c>
      <c r="D3516" s="16">
        <f>SUMIF(매도완료!$J:$J,Sheet2!$B3516,매도완료!$P:$P)+SUMIF(ING!$J:$J,Sheet2!$B3516,ING!$P:$P)</f>
        <v>0</v>
      </c>
      <c r="E3516" s="16">
        <f t="shared" si="108"/>
        <v>193295342.8344</v>
      </c>
      <c r="G3516" s="16">
        <f>IF(D3516=0,0,SUMIF(매도완료!$J:$J,Sheet2!$B3516,매도완료!$S:$S))+IF(D3516=0,0,SUMIF(ING!$J:$J,Sheet2!$B3516,ING!$S:$S))</f>
        <v>0</v>
      </c>
      <c r="H3516" s="16">
        <f t="shared" si="109"/>
        <v>53023935.709803827</v>
      </c>
    </row>
    <row r="3517" spans="2:8" hidden="1" x14ac:dyDescent="0.4">
      <c r="B3517" s="1">
        <v>46066</v>
      </c>
      <c r="C3517" s="16">
        <f>SUMIF(매도완료!$G:$G,Sheet2!$B3517,매도완료!$P:$P)+SUMIF(ING!$G:$G,Sheet2!$B3517,ING!$P:$P)</f>
        <v>1370160</v>
      </c>
      <c r="D3517" s="16">
        <f>SUMIF(매도완료!$J:$J,Sheet2!$B3517,매도완료!$P:$P)+SUMIF(ING!$J:$J,Sheet2!$B3517,ING!$P:$P)</f>
        <v>0</v>
      </c>
      <c r="E3517" s="16">
        <f t="shared" si="108"/>
        <v>194665502.8344</v>
      </c>
      <c r="G3517" s="16">
        <f>IF(D3517=0,0,SUMIF(매도완료!$J:$J,Sheet2!$B3517,매도완료!$S:$S))+IF(D3517=0,0,SUMIF(ING!$J:$J,Sheet2!$B3517,ING!$S:$S))</f>
        <v>0</v>
      </c>
      <c r="H3517" s="16">
        <f t="shared" si="109"/>
        <v>53023935.709803827</v>
      </c>
    </row>
    <row r="3518" spans="2:8" hidden="1" x14ac:dyDescent="0.4">
      <c r="B3518" s="1">
        <v>46067</v>
      </c>
      <c r="C3518" s="16">
        <f>SUMIF(매도완료!$G:$G,Sheet2!$B3518,매도완료!$P:$P)+SUMIF(ING!$G:$G,Sheet2!$B3518,ING!$P:$P)</f>
        <v>0</v>
      </c>
      <c r="D3518" s="16">
        <f>SUMIF(매도완료!$J:$J,Sheet2!$B3518,매도완료!$P:$P)+SUMIF(ING!$J:$J,Sheet2!$B3518,ING!$P:$P)</f>
        <v>0</v>
      </c>
      <c r="E3518" s="16">
        <f t="shared" si="108"/>
        <v>194665502.8344</v>
      </c>
      <c r="G3518" s="16">
        <f>IF(D3518=0,0,SUMIF(매도완료!$J:$J,Sheet2!$B3518,매도완료!$S:$S))+IF(D3518=0,0,SUMIF(ING!$J:$J,Sheet2!$B3518,ING!$S:$S))</f>
        <v>0</v>
      </c>
      <c r="H3518" s="16">
        <f t="shared" si="109"/>
        <v>53023935.709803827</v>
      </c>
    </row>
    <row r="3519" spans="2:8" hidden="1" x14ac:dyDescent="0.4">
      <c r="B3519" s="1">
        <v>46068</v>
      </c>
      <c r="C3519" s="16">
        <f>SUMIF(매도완료!$G:$G,Sheet2!$B3519,매도완료!$P:$P)+SUMIF(ING!$G:$G,Sheet2!$B3519,ING!$P:$P)</f>
        <v>0</v>
      </c>
      <c r="D3519" s="16">
        <f>SUMIF(매도완료!$J:$J,Sheet2!$B3519,매도완료!$P:$P)+SUMIF(ING!$J:$J,Sheet2!$B3519,ING!$P:$P)</f>
        <v>0</v>
      </c>
      <c r="E3519" s="16">
        <f t="shared" si="108"/>
        <v>194665502.8344</v>
      </c>
      <c r="G3519" s="16">
        <f>IF(D3519=0,0,SUMIF(매도완료!$J:$J,Sheet2!$B3519,매도완료!$S:$S))+IF(D3519=0,0,SUMIF(ING!$J:$J,Sheet2!$B3519,ING!$S:$S))</f>
        <v>0</v>
      </c>
      <c r="H3519" s="16">
        <f t="shared" si="109"/>
        <v>53023935.709803827</v>
      </c>
    </row>
    <row r="3520" spans="2:8" hidden="1" x14ac:dyDescent="0.4">
      <c r="B3520" s="1">
        <v>46069</v>
      </c>
      <c r="C3520" s="16">
        <f>SUMIF(매도완료!$G:$G,Sheet2!$B3520,매도완료!$P:$P)+SUMIF(ING!$G:$G,Sheet2!$B3520,ING!$P:$P)</f>
        <v>0</v>
      </c>
      <c r="D3520" s="16">
        <f>SUMIF(매도완료!$J:$J,Sheet2!$B3520,매도완료!$P:$P)+SUMIF(ING!$J:$J,Sheet2!$B3520,ING!$P:$P)</f>
        <v>0</v>
      </c>
      <c r="E3520" s="16">
        <f t="shared" si="108"/>
        <v>194665502.8344</v>
      </c>
      <c r="G3520" s="16">
        <f>IF(D3520=0,0,SUMIF(매도완료!$J:$J,Sheet2!$B3520,매도완료!$S:$S))+IF(D3520=0,0,SUMIF(ING!$J:$J,Sheet2!$B3520,ING!$S:$S))</f>
        <v>0</v>
      </c>
      <c r="H3520" s="16">
        <f t="shared" si="109"/>
        <v>53023935.709803827</v>
      </c>
    </row>
    <row r="3521" spans="2:8" hidden="1" x14ac:dyDescent="0.4">
      <c r="B3521" s="1">
        <v>46070</v>
      </c>
      <c r="C3521" s="16">
        <f>SUMIF(매도완료!$G:$G,Sheet2!$B3521,매도완료!$P:$P)+SUMIF(ING!$G:$G,Sheet2!$B3521,ING!$P:$P)</f>
        <v>0</v>
      </c>
      <c r="D3521" s="16">
        <f>SUMIF(매도완료!$J:$J,Sheet2!$B3521,매도완료!$P:$P)+SUMIF(ING!$J:$J,Sheet2!$B3521,ING!$P:$P)</f>
        <v>0</v>
      </c>
      <c r="E3521" s="16">
        <f t="shared" si="108"/>
        <v>194665502.8344</v>
      </c>
      <c r="G3521" s="16">
        <f>IF(D3521=0,0,SUMIF(매도완료!$J:$J,Sheet2!$B3521,매도완료!$S:$S))+IF(D3521=0,0,SUMIF(ING!$J:$J,Sheet2!$B3521,ING!$S:$S))</f>
        <v>0</v>
      </c>
      <c r="H3521" s="16">
        <f t="shared" si="109"/>
        <v>53023935.709803827</v>
      </c>
    </row>
    <row r="3522" spans="2:8" hidden="1" x14ac:dyDescent="0.4">
      <c r="B3522" s="1">
        <v>46071</v>
      </c>
      <c r="C3522" s="16">
        <f>SUMIF(매도완료!$G:$G,Sheet2!$B3522,매도완료!$P:$P)+SUMIF(ING!$G:$G,Sheet2!$B3522,ING!$P:$P)</f>
        <v>0</v>
      </c>
      <c r="D3522" s="16">
        <f>SUMIF(매도완료!$J:$J,Sheet2!$B3522,매도완료!$P:$P)+SUMIF(ING!$J:$J,Sheet2!$B3522,ING!$P:$P)</f>
        <v>0</v>
      </c>
      <c r="E3522" s="16">
        <f t="shared" si="108"/>
        <v>194665502.8344</v>
      </c>
      <c r="G3522" s="16">
        <f>IF(D3522=0,0,SUMIF(매도완료!$J:$J,Sheet2!$B3522,매도완료!$S:$S))+IF(D3522=0,0,SUMIF(ING!$J:$J,Sheet2!$B3522,ING!$S:$S))</f>
        <v>0</v>
      </c>
      <c r="H3522" s="16">
        <f t="shared" si="109"/>
        <v>53023935.709803827</v>
      </c>
    </row>
    <row r="3523" spans="2:8" hidden="1" x14ac:dyDescent="0.4">
      <c r="B3523" s="1">
        <v>46072</v>
      </c>
      <c r="C3523" s="16">
        <f>SUMIF(매도완료!$G:$G,Sheet2!$B3523,매도완료!$P:$P)+SUMIF(ING!$G:$G,Sheet2!$B3523,ING!$P:$P)</f>
        <v>193735</v>
      </c>
      <c r="D3523" s="16">
        <f>SUMIF(매도완료!$J:$J,Sheet2!$B3523,매도완료!$P:$P)+SUMIF(ING!$J:$J,Sheet2!$B3523,ING!$P:$P)</f>
        <v>0</v>
      </c>
      <c r="E3523" s="16">
        <f t="shared" si="108"/>
        <v>194859237.8344</v>
      </c>
      <c r="G3523" s="16">
        <f>IF(D3523=0,0,SUMIF(매도완료!$J:$J,Sheet2!$B3523,매도완료!$S:$S))+IF(D3523=0,0,SUMIF(ING!$J:$J,Sheet2!$B3523,ING!$S:$S))</f>
        <v>0</v>
      </c>
      <c r="H3523" s="16">
        <f t="shared" si="109"/>
        <v>53023935.709803827</v>
      </c>
    </row>
    <row r="3524" spans="2:8" hidden="1" x14ac:dyDescent="0.4">
      <c r="B3524" s="1">
        <v>46073</v>
      </c>
      <c r="C3524" s="16">
        <f>SUMIF(매도완료!$G:$G,Sheet2!$B3524,매도완료!$P:$P)+SUMIF(ING!$G:$G,Sheet2!$B3524,ING!$P:$P)</f>
        <v>172920</v>
      </c>
      <c r="D3524" s="16">
        <f>SUMIF(매도완료!$J:$J,Sheet2!$B3524,매도완료!$P:$P)+SUMIF(ING!$J:$J,Sheet2!$B3524,ING!$P:$P)</f>
        <v>0</v>
      </c>
      <c r="E3524" s="16">
        <f t="shared" ref="E3524:E3587" si="110">E3523+C3524-D3524</f>
        <v>195032157.8344</v>
      </c>
      <c r="G3524" s="16">
        <f>IF(D3524=0,0,SUMIF(매도완료!$J:$J,Sheet2!$B3524,매도완료!$S:$S))+IF(D3524=0,0,SUMIF(ING!$J:$J,Sheet2!$B3524,ING!$S:$S))</f>
        <v>0</v>
      </c>
      <c r="H3524" s="16">
        <f t="shared" ref="H3524:H3587" si="111">H3523+G3524</f>
        <v>53023935.709803827</v>
      </c>
    </row>
    <row r="3525" spans="2:8" hidden="1" x14ac:dyDescent="0.4">
      <c r="B3525" s="1">
        <v>46074</v>
      </c>
      <c r="C3525" s="16">
        <f>SUMIF(매도완료!$G:$G,Sheet2!$B3525,매도완료!$P:$P)+SUMIF(ING!$G:$G,Sheet2!$B3525,ING!$P:$P)</f>
        <v>0</v>
      </c>
      <c r="D3525" s="16">
        <f>SUMIF(매도완료!$J:$J,Sheet2!$B3525,매도완료!$P:$P)+SUMIF(ING!$J:$J,Sheet2!$B3525,ING!$P:$P)</f>
        <v>0</v>
      </c>
      <c r="E3525" s="16">
        <f t="shared" si="110"/>
        <v>195032157.8344</v>
      </c>
      <c r="G3525" s="16">
        <f>IF(D3525=0,0,SUMIF(매도완료!$J:$J,Sheet2!$B3525,매도완료!$S:$S))+IF(D3525=0,0,SUMIF(ING!$J:$J,Sheet2!$B3525,ING!$S:$S))</f>
        <v>0</v>
      </c>
      <c r="H3525" s="16">
        <f t="shared" si="111"/>
        <v>53023935.709803827</v>
      </c>
    </row>
    <row r="3526" spans="2:8" hidden="1" x14ac:dyDescent="0.4">
      <c r="B3526" s="1">
        <v>46075</v>
      </c>
      <c r="C3526" s="16">
        <f>SUMIF(매도완료!$G:$G,Sheet2!$B3526,매도완료!$P:$P)+SUMIF(ING!$G:$G,Sheet2!$B3526,ING!$P:$P)</f>
        <v>0</v>
      </c>
      <c r="D3526" s="16">
        <f>SUMIF(매도완료!$J:$J,Sheet2!$B3526,매도완료!$P:$P)+SUMIF(ING!$J:$J,Sheet2!$B3526,ING!$P:$P)</f>
        <v>0</v>
      </c>
      <c r="E3526" s="16">
        <f t="shared" si="110"/>
        <v>195032157.8344</v>
      </c>
      <c r="G3526" s="16">
        <f>IF(D3526=0,0,SUMIF(매도완료!$J:$J,Sheet2!$B3526,매도완료!$S:$S))+IF(D3526=0,0,SUMIF(ING!$J:$J,Sheet2!$B3526,ING!$S:$S))</f>
        <v>0</v>
      </c>
      <c r="H3526" s="16">
        <f t="shared" si="111"/>
        <v>53023935.709803827</v>
      </c>
    </row>
    <row r="3527" spans="2:8" hidden="1" x14ac:dyDescent="0.4">
      <c r="B3527" s="1">
        <v>46076</v>
      </c>
      <c r="C3527" s="16">
        <f>SUMIF(매도완료!$G:$G,Sheet2!$B3527,매도완료!$P:$P)+SUMIF(ING!$G:$G,Sheet2!$B3527,ING!$P:$P)</f>
        <v>23780</v>
      </c>
      <c r="D3527" s="16">
        <f>SUMIF(매도완료!$J:$J,Sheet2!$B3527,매도완료!$P:$P)+SUMIF(ING!$J:$J,Sheet2!$B3527,ING!$P:$P)</f>
        <v>5809200</v>
      </c>
      <c r="E3527" s="16">
        <f t="shared" si="110"/>
        <v>189246737.8344</v>
      </c>
      <c r="G3527" s="16">
        <f>IF(D3527=0,0,SUMIF(매도완료!$J:$J,Sheet2!$B3527,매도완료!$S:$S))+IF(D3527=0,0,SUMIF(ING!$J:$J,Sheet2!$B3527,ING!$S:$S))</f>
        <v>662231.20000000007</v>
      </c>
      <c r="H3527" s="16">
        <f t="shared" si="111"/>
        <v>53686166.90980383</v>
      </c>
    </row>
    <row r="3528" spans="2:8" hidden="1" x14ac:dyDescent="0.4">
      <c r="B3528" s="1">
        <v>46077</v>
      </c>
      <c r="C3528" s="16">
        <f>SUMIF(매도완료!$G:$G,Sheet2!$B3528,매도완료!$P:$P)+SUMIF(ING!$G:$G,Sheet2!$B3528,ING!$P:$P)</f>
        <v>68765</v>
      </c>
      <c r="D3528" s="16">
        <f>SUMIF(매도완료!$J:$J,Sheet2!$B3528,매도완료!$P:$P)+SUMIF(ING!$J:$J,Sheet2!$B3528,ING!$P:$P)</f>
        <v>0</v>
      </c>
      <c r="E3528" s="16">
        <f t="shared" si="110"/>
        <v>189315502.8344</v>
      </c>
      <c r="G3528" s="16">
        <f>IF(D3528=0,0,SUMIF(매도완료!$J:$J,Sheet2!$B3528,매도완료!$S:$S))+IF(D3528=0,0,SUMIF(ING!$J:$J,Sheet2!$B3528,ING!$S:$S))</f>
        <v>0</v>
      </c>
      <c r="H3528" s="16">
        <f t="shared" si="111"/>
        <v>53686166.90980383</v>
      </c>
    </row>
    <row r="3529" spans="2:8" hidden="1" x14ac:dyDescent="0.4">
      <c r="B3529" s="1">
        <v>46078</v>
      </c>
      <c r="C3529" s="16">
        <f>SUMIF(매도완료!$G:$G,Sheet2!$B3529,매도완료!$P:$P)+SUMIF(ING!$G:$G,Sheet2!$B3529,ING!$P:$P)</f>
        <v>83040</v>
      </c>
      <c r="D3529" s="16">
        <f>SUMIF(매도완료!$J:$J,Sheet2!$B3529,매도완료!$P:$P)+SUMIF(ING!$J:$J,Sheet2!$B3529,ING!$P:$P)</f>
        <v>0</v>
      </c>
      <c r="E3529" s="16">
        <f t="shared" si="110"/>
        <v>189398542.8344</v>
      </c>
      <c r="G3529" s="16">
        <f>IF(D3529=0,0,SUMIF(매도완료!$J:$J,Sheet2!$B3529,매도완료!$S:$S))+IF(D3529=0,0,SUMIF(ING!$J:$J,Sheet2!$B3529,ING!$S:$S))</f>
        <v>0</v>
      </c>
      <c r="H3529" s="16">
        <f t="shared" si="111"/>
        <v>53686166.90980383</v>
      </c>
    </row>
    <row r="3530" spans="2:8" hidden="1" x14ac:dyDescent="0.4">
      <c r="B3530" s="1">
        <v>46079</v>
      </c>
      <c r="C3530" s="16">
        <f>SUMIF(매도완료!$G:$G,Sheet2!$B3530,매도완료!$P:$P)+SUMIF(ING!$G:$G,Sheet2!$B3530,ING!$P:$P)</f>
        <v>62600</v>
      </c>
      <c r="D3530" s="16">
        <f>SUMIF(매도완료!$J:$J,Sheet2!$B3530,매도완료!$P:$P)+SUMIF(ING!$J:$J,Sheet2!$B3530,ING!$P:$P)</f>
        <v>0</v>
      </c>
      <c r="E3530" s="16">
        <f t="shared" si="110"/>
        <v>189461142.8344</v>
      </c>
      <c r="G3530" s="16">
        <f>IF(D3530=0,0,SUMIF(매도완료!$J:$J,Sheet2!$B3530,매도완료!$S:$S))+IF(D3530=0,0,SUMIF(ING!$J:$J,Sheet2!$B3530,ING!$S:$S))</f>
        <v>0</v>
      </c>
      <c r="H3530" s="16">
        <f t="shared" si="111"/>
        <v>53686166.90980383</v>
      </c>
    </row>
    <row r="3531" spans="2:8" hidden="1" x14ac:dyDescent="0.4">
      <c r="B3531" s="1">
        <v>46080</v>
      </c>
      <c r="C3531" s="16">
        <f>SUMIF(매도완료!$G:$G,Sheet2!$B3531,매도완료!$P:$P)+SUMIF(ING!$G:$G,Sheet2!$B3531,ING!$P:$P)</f>
        <v>169900</v>
      </c>
      <c r="D3531" s="16">
        <f>SUMIF(매도완료!$J:$J,Sheet2!$B3531,매도완료!$P:$P)+SUMIF(ING!$J:$J,Sheet2!$B3531,ING!$P:$P)</f>
        <v>4403400</v>
      </c>
      <c r="E3531" s="16">
        <f t="shared" si="110"/>
        <v>185227642.8344</v>
      </c>
      <c r="G3531" s="16">
        <f>IF(D3531=0,0,SUMIF(매도완료!$J:$J,Sheet2!$B3531,매도완료!$S:$S))+IF(D3531=0,0,SUMIF(ING!$J:$J,Sheet2!$B3531,ING!$S:$S))</f>
        <v>2533338</v>
      </c>
      <c r="H3531" s="16">
        <f t="shared" si="111"/>
        <v>56219504.90980383</v>
      </c>
    </row>
    <row r="3532" spans="2:8" hidden="1" x14ac:dyDescent="0.4">
      <c r="B3532" s="1">
        <v>46081</v>
      </c>
      <c r="C3532" s="16">
        <f>SUMIF(매도완료!$G:$G,Sheet2!$B3532,매도완료!$P:$P)+SUMIF(ING!$G:$G,Sheet2!$B3532,ING!$P:$P)</f>
        <v>0</v>
      </c>
      <c r="D3532" s="16">
        <f>SUMIF(매도완료!$J:$J,Sheet2!$B3532,매도완료!$P:$P)+SUMIF(ING!$J:$J,Sheet2!$B3532,ING!$P:$P)</f>
        <v>0</v>
      </c>
      <c r="E3532" s="16">
        <f t="shared" si="110"/>
        <v>185227642.8344</v>
      </c>
      <c r="G3532" s="16">
        <f>IF(D3532=0,0,SUMIF(매도완료!$J:$J,Sheet2!$B3532,매도완료!$S:$S))+IF(D3532=0,0,SUMIF(ING!$J:$J,Sheet2!$B3532,ING!$S:$S))</f>
        <v>0</v>
      </c>
      <c r="H3532" s="16">
        <f t="shared" si="111"/>
        <v>56219504.90980383</v>
      </c>
    </row>
    <row r="3533" spans="2:8" x14ac:dyDescent="0.4">
      <c r="B3533" s="1">
        <v>46082</v>
      </c>
      <c r="C3533" s="16">
        <f>SUMIF(매도완료!$G:$G,Sheet2!$B3533,매도완료!$P:$P)+SUMIF(ING!$G:$G,Sheet2!$B3533,ING!$P:$P)</f>
        <v>0</v>
      </c>
      <c r="D3533" s="16">
        <f>SUMIF(매도완료!$J:$J,Sheet2!$B3533,매도완료!$P:$P)+SUMIF(ING!$J:$J,Sheet2!$B3533,ING!$P:$P)</f>
        <v>0</v>
      </c>
      <c r="E3533" s="16">
        <f t="shared" si="110"/>
        <v>185227642.8344</v>
      </c>
      <c r="G3533" s="16">
        <f>IF(D3533=0,0,SUMIF(매도완료!$J:$J,Sheet2!$B3533,매도완료!$S:$S))+IF(D3533=0,0,SUMIF(ING!$J:$J,Sheet2!$B3533,ING!$S:$S))</f>
        <v>0</v>
      </c>
      <c r="H3533" s="16">
        <f t="shared" si="111"/>
        <v>56219504.90980383</v>
      </c>
    </row>
    <row r="3534" spans="2:8" hidden="1" x14ac:dyDescent="0.4">
      <c r="B3534" s="1">
        <v>46083</v>
      </c>
      <c r="C3534" s="16">
        <f>SUMIF(매도완료!$G:$G,Sheet2!$B3534,매도완료!$P:$P)+SUMIF(ING!$G:$G,Sheet2!$B3534,ING!$P:$P)</f>
        <v>0</v>
      </c>
      <c r="D3534" s="16">
        <f>SUMIF(매도완료!$J:$J,Sheet2!$B3534,매도완료!$P:$P)+SUMIF(ING!$J:$J,Sheet2!$B3534,ING!$P:$P)</f>
        <v>0</v>
      </c>
      <c r="E3534" s="16">
        <f t="shared" si="110"/>
        <v>185227642.8344</v>
      </c>
      <c r="G3534" s="16">
        <f>IF(D3534=0,0,SUMIF(매도완료!$J:$J,Sheet2!$B3534,매도완료!$S:$S))+IF(D3534=0,0,SUMIF(ING!$J:$J,Sheet2!$B3534,ING!$S:$S))</f>
        <v>0</v>
      </c>
      <c r="H3534" s="16">
        <f t="shared" si="111"/>
        <v>56219504.90980383</v>
      </c>
    </row>
    <row r="3535" spans="2:8" hidden="1" x14ac:dyDescent="0.4">
      <c r="B3535" s="1">
        <v>46084</v>
      </c>
      <c r="C3535" s="16">
        <f>SUMIF(매도완료!$G:$G,Sheet2!$B3535,매도완료!$P:$P)+SUMIF(ING!$G:$G,Sheet2!$B3535,ING!$P:$P)</f>
        <v>2078815</v>
      </c>
      <c r="D3535" s="16">
        <f>SUMIF(매도완료!$J:$J,Sheet2!$B3535,매도완료!$P:$P)+SUMIF(ING!$J:$J,Sheet2!$B3535,ING!$P:$P)</f>
        <v>4256180</v>
      </c>
      <c r="E3535" s="16">
        <f t="shared" si="110"/>
        <v>183050277.8344</v>
      </c>
      <c r="G3535" s="16">
        <f>IF(D3535=0,0,SUMIF(매도완료!$J:$J,Sheet2!$B3535,매도완료!$S:$S))+IF(D3535=0,0,SUMIF(ING!$J:$J,Sheet2!$B3535,ING!$S:$S))</f>
        <v>452932.39999999956</v>
      </c>
      <c r="H3535" s="16">
        <f t="shared" si="111"/>
        <v>56672437.309803829</v>
      </c>
    </row>
    <row r="3536" spans="2:8" hidden="1" x14ac:dyDescent="0.4">
      <c r="B3536" s="1">
        <v>46085</v>
      </c>
      <c r="C3536" s="16">
        <f>SUMIF(매도완료!$G:$G,Sheet2!$B3536,매도완료!$P:$P)+SUMIF(ING!$G:$G,Sheet2!$B3536,ING!$P:$P)</f>
        <v>2315560</v>
      </c>
      <c r="D3536" s="16">
        <f>SUMIF(매도완료!$J:$J,Sheet2!$B3536,매도완료!$P:$P)+SUMIF(ING!$J:$J,Sheet2!$B3536,ING!$P:$P)</f>
        <v>0</v>
      </c>
      <c r="E3536" s="16">
        <f t="shared" si="110"/>
        <v>185365837.8344</v>
      </c>
      <c r="G3536" s="16">
        <f>IF(D3536=0,0,SUMIF(매도완료!$J:$J,Sheet2!$B3536,매도완료!$S:$S))+IF(D3536=0,0,SUMIF(ING!$J:$J,Sheet2!$B3536,ING!$S:$S))</f>
        <v>0</v>
      </c>
      <c r="H3536" s="16">
        <f t="shared" si="111"/>
        <v>56672437.309803829</v>
      </c>
    </row>
    <row r="3537" spans="2:8" hidden="1" x14ac:dyDescent="0.4">
      <c r="B3537" s="1">
        <v>46086</v>
      </c>
      <c r="C3537" s="16">
        <f>SUMIF(매도완료!$G:$G,Sheet2!$B3537,매도완료!$P:$P)+SUMIF(ING!$G:$G,Sheet2!$B3537,ING!$P:$P)</f>
        <v>2075865</v>
      </c>
      <c r="D3537" s="16">
        <f>SUMIF(매도완료!$J:$J,Sheet2!$B3537,매도완료!$P:$P)+SUMIF(ING!$J:$J,Sheet2!$B3537,ING!$P:$P)</f>
        <v>0</v>
      </c>
      <c r="E3537" s="16">
        <f t="shared" si="110"/>
        <v>187441702.8344</v>
      </c>
      <c r="G3537" s="16">
        <f>IF(D3537=0,0,SUMIF(매도완료!$J:$J,Sheet2!$B3537,매도완료!$S:$S))+IF(D3537=0,0,SUMIF(ING!$J:$J,Sheet2!$B3537,ING!$S:$S))</f>
        <v>0</v>
      </c>
      <c r="H3537" s="16">
        <f t="shared" si="111"/>
        <v>56672437.309803829</v>
      </c>
    </row>
    <row r="3538" spans="2:8" hidden="1" x14ac:dyDescent="0.4">
      <c r="B3538" s="1">
        <v>46087</v>
      </c>
      <c r="C3538" s="16">
        <f>SUMIF(매도완료!$G:$G,Sheet2!$B3538,매도완료!$P:$P)+SUMIF(ING!$G:$G,Sheet2!$B3538,ING!$P:$P)</f>
        <v>146100</v>
      </c>
      <c r="D3538" s="16">
        <f>SUMIF(매도완료!$J:$J,Sheet2!$B3538,매도완료!$P:$P)+SUMIF(ING!$J:$J,Sheet2!$B3538,ING!$P:$P)</f>
        <v>0</v>
      </c>
      <c r="E3538" s="16">
        <f t="shared" si="110"/>
        <v>187587802.8344</v>
      </c>
      <c r="G3538" s="16">
        <f>IF(D3538=0,0,SUMIF(매도완료!$J:$J,Sheet2!$B3538,매도완료!$S:$S))+IF(D3538=0,0,SUMIF(ING!$J:$J,Sheet2!$B3538,ING!$S:$S))</f>
        <v>0</v>
      </c>
      <c r="H3538" s="16">
        <f t="shared" si="111"/>
        <v>56672437.309803829</v>
      </c>
    </row>
    <row r="3539" spans="2:8" hidden="1" x14ac:dyDescent="0.4">
      <c r="B3539" s="1">
        <v>46088</v>
      </c>
      <c r="C3539" s="16">
        <f>SUMIF(매도완료!$G:$G,Sheet2!$B3539,매도완료!$P:$P)+SUMIF(ING!$G:$G,Sheet2!$B3539,ING!$P:$P)</f>
        <v>0</v>
      </c>
      <c r="D3539" s="16">
        <f>SUMIF(매도완료!$J:$J,Sheet2!$B3539,매도완료!$P:$P)+SUMIF(ING!$J:$J,Sheet2!$B3539,ING!$P:$P)</f>
        <v>0</v>
      </c>
      <c r="E3539" s="16">
        <f t="shared" si="110"/>
        <v>187587802.8344</v>
      </c>
      <c r="G3539" s="16">
        <f>IF(D3539=0,0,SUMIF(매도완료!$J:$J,Sheet2!$B3539,매도완료!$S:$S))+IF(D3539=0,0,SUMIF(ING!$J:$J,Sheet2!$B3539,ING!$S:$S))</f>
        <v>0</v>
      </c>
      <c r="H3539" s="16">
        <f t="shared" si="111"/>
        <v>56672437.309803829</v>
      </c>
    </row>
    <row r="3540" spans="2:8" hidden="1" x14ac:dyDescent="0.4">
      <c r="B3540" s="1">
        <v>46089</v>
      </c>
      <c r="C3540" s="16">
        <f>SUMIF(매도완료!$G:$G,Sheet2!$B3540,매도완료!$P:$P)+SUMIF(ING!$G:$G,Sheet2!$B3540,ING!$P:$P)</f>
        <v>0</v>
      </c>
      <c r="D3540" s="16">
        <f>SUMIF(매도완료!$J:$J,Sheet2!$B3540,매도완료!$P:$P)+SUMIF(ING!$J:$J,Sheet2!$B3540,ING!$P:$P)</f>
        <v>0</v>
      </c>
      <c r="E3540" s="16">
        <f t="shared" si="110"/>
        <v>187587802.8344</v>
      </c>
      <c r="G3540" s="16">
        <f>IF(D3540=0,0,SUMIF(매도완료!$J:$J,Sheet2!$B3540,매도완료!$S:$S))+IF(D3540=0,0,SUMIF(ING!$J:$J,Sheet2!$B3540,ING!$S:$S))</f>
        <v>0</v>
      </c>
      <c r="H3540" s="16">
        <f t="shared" si="111"/>
        <v>56672437.309803829</v>
      </c>
    </row>
    <row r="3541" spans="2:8" hidden="1" x14ac:dyDescent="0.4">
      <c r="B3541" s="1">
        <v>46090</v>
      </c>
      <c r="C3541" s="16">
        <f>SUMIF(매도완료!$G:$G,Sheet2!$B3541,매도완료!$P:$P)+SUMIF(ING!$G:$G,Sheet2!$B3541,ING!$P:$P)</f>
        <v>66980</v>
      </c>
      <c r="D3541" s="16">
        <f>SUMIF(매도완료!$J:$J,Sheet2!$B3541,매도완료!$P:$P)+SUMIF(ING!$J:$J,Sheet2!$B3541,ING!$P:$P)</f>
        <v>0</v>
      </c>
      <c r="E3541" s="16">
        <f t="shared" si="110"/>
        <v>187654782.8344</v>
      </c>
      <c r="G3541" s="16">
        <f>IF(D3541=0,0,SUMIF(매도완료!$J:$J,Sheet2!$B3541,매도완료!$S:$S))+IF(D3541=0,0,SUMIF(ING!$J:$J,Sheet2!$B3541,ING!$S:$S))</f>
        <v>0</v>
      </c>
      <c r="H3541" s="16">
        <f t="shared" si="111"/>
        <v>56672437.309803829</v>
      </c>
    </row>
    <row r="3542" spans="2:8" hidden="1" x14ac:dyDescent="0.4">
      <c r="B3542" s="1">
        <v>46091</v>
      </c>
      <c r="C3542" s="16">
        <f>SUMIF(매도완료!$G:$G,Sheet2!$B3542,매도완료!$P:$P)+SUMIF(ING!$G:$G,Sheet2!$B3542,ING!$P:$P)</f>
        <v>356620</v>
      </c>
      <c r="D3542" s="16">
        <f>SUMIF(매도완료!$J:$J,Sheet2!$B3542,매도완료!$P:$P)+SUMIF(ING!$J:$J,Sheet2!$B3542,ING!$P:$P)</f>
        <v>0</v>
      </c>
      <c r="E3542" s="16">
        <f t="shared" si="110"/>
        <v>188011402.8344</v>
      </c>
      <c r="G3542" s="16">
        <f>IF(D3542=0,0,SUMIF(매도완료!$J:$J,Sheet2!$B3542,매도완료!$S:$S))+IF(D3542=0,0,SUMIF(ING!$J:$J,Sheet2!$B3542,ING!$S:$S))</f>
        <v>0</v>
      </c>
      <c r="H3542" s="16">
        <f t="shared" si="111"/>
        <v>56672437.309803829</v>
      </c>
    </row>
    <row r="3543" spans="2:8" hidden="1" x14ac:dyDescent="0.4">
      <c r="B3543" s="1">
        <v>46092</v>
      </c>
      <c r="C3543" s="16">
        <f>SUMIF(매도완료!$G:$G,Sheet2!$B3543,매도완료!$P:$P)+SUMIF(ING!$G:$G,Sheet2!$B3543,ING!$P:$P)</f>
        <v>78300</v>
      </c>
      <c r="D3543" s="16">
        <f>SUMIF(매도완료!$J:$J,Sheet2!$B3543,매도완료!$P:$P)+SUMIF(ING!$J:$J,Sheet2!$B3543,ING!$P:$P)</f>
        <v>0</v>
      </c>
      <c r="E3543" s="16">
        <f t="shared" si="110"/>
        <v>188089702.8344</v>
      </c>
      <c r="G3543" s="16">
        <f>IF(D3543=0,0,SUMIF(매도완료!$J:$J,Sheet2!$B3543,매도완료!$S:$S))+IF(D3543=0,0,SUMIF(ING!$J:$J,Sheet2!$B3543,ING!$S:$S))</f>
        <v>0</v>
      </c>
      <c r="H3543" s="16">
        <f t="shared" si="111"/>
        <v>56672437.309803829</v>
      </c>
    </row>
    <row r="3544" spans="2:8" hidden="1" x14ac:dyDescent="0.4">
      <c r="B3544" s="1">
        <v>46093</v>
      </c>
      <c r="C3544" s="16">
        <f>SUMIF(매도완료!$G:$G,Sheet2!$B3544,매도완료!$P:$P)+SUMIF(ING!$G:$G,Sheet2!$B3544,ING!$P:$P)</f>
        <v>57600</v>
      </c>
      <c r="D3544" s="16">
        <f>SUMIF(매도완료!$J:$J,Sheet2!$B3544,매도완료!$P:$P)+SUMIF(ING!$J:$J,Sheet2!$B3544,ING!$P:$P)</f>
        <v>0</v>
      </c>
      <c r="E3544" s="16">
        <f t="shared" si="110"/>
        <v>188147302.8344</v>
      </c>
      <c r="G3544" s="16">
        <f>IF(D3544=0,0,SUMIF(매도완료!$J:$J,Sheet2!$B3544,매도완료!$S:$S))+IF(D3544=0,0,SUMIF(ING!$J:$J,Sheet2!$B3544,ING!$S:$S))</f>
        <v>0</v>
      </c>
      <c r="H3544" s="16">
        <f t="shared" si="111"/>
        <v>56672437.309803829</v>
      </c>
    </row>
    <row r="3545" spans="2:8" hidden="1" x14ac:dyDescent="0.4">
      <c r="B3545" s="1">
        <v>46094</v>
      </c>
      <c r="C3545" s="16">
        <f>SUMIF(매도완료!$G:$G,Sheet2!$B3545,매도완료!$P:$P)+SUMIF(ING!$G:$G,Sheet2!$B3545,ING!$P:$P)</f>
        <v>147120</v>
      </c>
      <c r="D3545" s="16">
        <f>SUMIF(매도완료!$J:$J,Sheet2!$B3545,매도완료!$P:$P)+SUMIF(ING!$J:$J,Sheet2!$B3545,ING!$P:$P)</f>
        <v>6707100</v>
      </c>
      <c r="E3545" s="16">
        <f t="shared" si="110"/>
        <v>181587322.8344</v>
      </c>
      <c r="G3545" s="16">
        <f>IF(D3545=0,0,SUMIF(매도완료!$J:$J,Sheet2!$B3545,매도완료!$S:$S))+IF(D3545=0,0,SUMIF(ING!$J:$J,Sheet2!$B3545,ING!$S:$S))</f>
        <v>2445170.7999999998</v>
      </c>
      <c r="H3545" s="16">
        <f t="shared" si="111"/>
        <v>59117608.109803826</v>
      </c>
    </row>
    <row r="3546" spans="2:8" hidden="1" x14ac:dyDescent="0.4">
      <c r="B3546" s="1">
        <v>46095</v>
      </c>
      <c r="C3546" s="16">
        <f>SUMIF(매도완료!$G:$G,Sheet2!$B3546,매도완료!$P:$P)+SUMIF(ING!$G:$G,Sheet2!$B3546,ING!$P:$P)</f>
        <v>0</v>
      </c>
      <c r="D3546" s="16">
        <f>SUMIF(매도완료!$J:$J,Sheet2!$B3546,매도완료!$P:$P)+SUMIF(ING!$J:$J,Sheet2!$B3546,ING!$P:$P)</f>
        <v>0</v>
      </c>
      <c r="E3546" s="16">
        <f t="shared" si="110"/>
        <v>181587322.8344</v>
      </c>
      <c r="G3546" s="16">
        <f>IF(D3546=0,0,SUMIF(매도완료!$J:$J,Sheet2!$B3546,매도완료!$S:$S))+IF(D3546=0,0,SUMIF(ING!$J:$J,Sheet2!$B3546,ING!$S:$S))</f>
        <v>0</v>
      </c>
      <c r="H3546" s="16">
        <f t="shared" si="111"/>
        <v>59117608.109803826</v>
      </c>
    </row>
    <row r="3547" spans="2:8" hidden="1" x14ac:dyDescent="0.4">
      <c r="B3547" s="1">
        <v>46096</v>
      </c>
      <c r="C3547" s="16">
        <f>SUMIF(매도완료!$G:$G,Sheet2!$B3547,매도완료!$P:$P)+SUMIF(ING!$G:$G,Sheet2!$B3547,ING!$P:$P)</f>
        <v>0</v>
      </c>
      <c r="D3547" s="16">
        <f>SUMIF(매도완료!$J:$J,Sheet2!$B3547,매도완료!$P:$P)+SUMIF(ING!$J:$J,Sheet2!$B3547,ING!$P:$P)</f>
        <v>0</v>
      </c>
      <c r="E3547" s="16">
        <f t="shared" si="110"/>
        <v>181587322.8344</v>
      </c>
      <c r="G3547" s="16">
        <f>IF(D3547=0,0,SUMIF(매도완료!$J:$J,Sheet2!$B3547,매도완료!$S:$S))+IF(D3547=0,0,SUMIF(ING!$J:$J,Sheet2!$B3547,ING!$S:$S))</f>
        <v>0</v>
      </c>
      <c r="H3547" s="16">
        <f t="shared" si="111"/>
        <v>59117608.109803826</v>
      </c>
    </row>
    <row r="3548" spans="2:8" hidden="1" x14ac:dyDescent="0.4">
      <c r="B3548" s="1">
        <v>46097</v>
      </c>
      <c r="C3548" s="16">
        <f>SUMIF(매도완료!$G:$G,Sheet2!$B3548,매도완료!$P:$P)+SUMIF(ING!$G:$G,Sheet2!$B3548,ING!$P:$P)</f>
        <v>96770</v>
      </c>
      <c r="D3548" s="16">
        <f>SUMIF(매도완료!$J:$J,Sheet2!$B3548,매도완료!$P:$P)+SUMIF(ING!$J:$J,Sheet2!$B3548,ING!$P:$P)</f>
        <v>0</v>
      </c>
      <c r="E3548" s="16">
        <f t="shared" si="110"/>
        <v>181684092.8344</v>
      </c>
      <c r="G3548" s="16">
        <f>IF(D3548=0,0,SUMIF(매도완료!$J:$J,Sheet2!$B3548,매도완료!$S:$S))+IF(D3548=0,0,SUMIF(ING!$J:$J,Sheet2!$B3548,ING!$S:$S))</f>
        <v>0</v>
      </c>
      <c r="H3548" s="16">
        <f t="shared" si="111"/>
        <v>59117608.109803826</v>
      </c>
    </row>
    <row r="3549" spans="2:8" hidden="1" x14ac:dyDescent="0.4">
      <c r="B3549" s="1">
        <v>46098</v>
      </c>
      <c r="C3549" s="16">
        <f>SUMIF(매도완료!$G:$G,Sheet2!$B3549,매도완료!$P:$P)+SUMIF(ING!$G:$G,Sheet2!$B3549,ING!$P:$P)</f>
        <v>518743</v>
      </c>
      <c r="D3549" s="16">
        <f>SUMIF(매도완료!$J:$J,Sheet2!$B3549,매도완료!$P:$P)+SUMIF(ING!$J:$J,Sheet2!$B3549,ING!$P:$P)</f>
        <v>0</v>
      </c>
      <c r="E3549" s="16">
        <f t="shared" si="110"/>
        <v>182202835.8344</v>
      </c>
      <c r="G3549" s="16">
        <f>IF(D3549=0,0,SUMIF(매도완료!$J:$J,Sheet2!$B3549,매도완료!$S:$S))+IF(D3549=0,0,SUMIF(ING!$J:$J,Sheet2!$B3549,ING!$S:$S))</f>
        <v>0</v>
      </c>
      <c r="H3549" s="16">
        <f t="shared" si="111"/>
        <v>59117608.109803826</v>
      </c>
    </row>
    <row r="3550" spans="2:8" hidden="1" x14ac:dyDescent="0.4">
      <c r="B3550" s="1">
        <v>46099</v>
      </c>
      <c r="C3550" s="16">
        <f>SUMIF(매도완료!$G:$G,Sheet2!$B3550,매도완료!$P:$P)+SUMIF(ING!$G:$G,Sheet2!$B3550,ING!$P:$P)</f>
        <v>78760</v>
      </c>
      <c r="D3550" s="16">
        <f>SUMIF(매도완료!$J:$J,Sheet2!$B3550,매도완료!$P:$P)+SUMIF(ING!$J:$J,Sheet2!$B3550,ING!$P:$P)</f>
        <v>0</v>
      </c>
      <c r="E3550" s="16">
        <f t="shared" si="110"/>
        <v>182281595.8344</v>
      </c>
      <c r="G3550" s="16">
        <f>IF(D3550=0,0,SUMIF(매도완료!$J:$J,Sheet2!$B3550,매도완료!$S:$S))+IF(D3550=0,0,SUMIF(ING!$J:$J,Sheet2!$B3550,ING!$S:$S))</f>
        <v>0</v>
      </c>
      <c r="H3550" s="16">
        <f t="shared" si="111"/>
        <v>59117608.109803826</v>
      </c>
    </row>
    <row r="3551" spans="2:8" hidden="1" x14ac:dyDescent="0.4">
      <c r="B3551" s="1">
        <v>46100</v>
      </c>
      <c r="C3551" s="16">
        <f>SUMIF(매도완료!$G:$G,Sheet2!$B3551,매도완료!$P:$P)+SUMIF(ING!$G:$G,Sheet2!$B3551,ING!$P:$P)</f>
        <v>1881290</v>
      </c>
      <c r="D3551" s="16">
        <f>SUMIF(매도완료!$J:$J,Sheet2!$B3551,매도완료!$P:$P)+SUMIF(ING!$J:$J,Sheet2!$B3551,ING!$P:$P)</f>
        <v>0</v>
      </c>
      <c r="E3551" s="16">
        <f t="shared" si="110"/>
        <v>184162885.8344</v>
      </c>
      <c r="G3551" s="16">
        <f>IF(D3551=0,0,SUMIF(매도완료!$J:$J,Sheet2!$B3551,매도완료!$S:$S))+IF(D3551=0,0,SUMIF(ING!$J:$J,Sheet2!$B3551,ING!$S:$S))</f>
        <v>0</v>
      </c>
      <c r="H3551" s="16">
        <f t="shared" si="111"/>
        <v>59117608.109803826</v>
      </c>
    </row>
    <row r="3552" spans="2:8" hidden="1" x14ac:dyDescent="0.4">
      <c r="B3552" s="1">
        <v>46101</v>
      </c>
      <c r="C3552" s="16">
        <f>SUMIF(매도완료!$G:$G,Sheet2!$B3552,매도완료!$P:$P)+SUMIF(ING!$G:$G,Sheet2!$B3552,ING!$P:$P)</f>
        <v>3845800</v>
      </c>
      <c r="D3552" s="16">
        <f>SUMIF(매도완료!$J:$J,Sheet2!$B3552,매도완료!$P:$P)+SUMIF(ING!$J:$J,Sheet2!$B3552,ING!$P:$P)</f>
        <v>1026000</v>
      </c>
      <c r="E3552" s="16">
        <f t="shared" si="110"/>
        <v>186982685.8344</v>
      </c>
      <c r="G3552" s="16">
        <f>IF(D3552=0,0,SUMIF(매도완료!$J:$J,Sheet2!$B3552,매도완료!$S:$S))+IF(D3552=0,0,SUMIF(ING!$J:$J,Sheet2!$B3552,ING!$S:$S))</f>
        <v>836178</v>
      </c>
      <c r="H3552" s="16">
        <f t="shared" si="111"/>
        <v>59953786.109803826</v>
      </c>
    </row>
    <row r="3553" spans="2:8" hidden="1" x14ac:dyDescent="0.4">
      <c r="B3553" s="1">
        <v>46102</v>
      </c>
      <c r="C3553" s="16">
        <f>SUMIF(매도완료!$G:$G,Sheet2!$B3553,매도완료!$P:$P)+SUMIF(ING!$G:$G,Sheet2!$B3553,ING!$P:$P)</f>
        <v>0</v>
      </c>
      <c r="D3553" s="16">
        <f>SUMIF(매도완료!$J:$J,Sheet2!$B3553,매도완료!$P:$P)+SUMIF(ING!$J:$J,Sheet2!$B3553,ING!$P:$P)</f>
        <v>0</v>
      </c>
      <c r="E3553" s="16">
        <f t="shared" si="110"/>
        <v>186982685.8344</v>
      </c>
      <c r="G3553" s="16">
        <f>IF(D3553=0,0,SUMIF(매도완료!$J:$J,Sheet2!$B3553,매도완료!$S:$S))+IF(D3553=0,0,SUMIF(ING!$J:$J,Sheet2!$B3553,ING!$S:$S))</f>
        <v>0</v>
      </c>
      <c r="H3553" s="16">
        <f t="shared" si="111"/>
        <v>59953786.109803826</v>
      </c>
    </row>
    <row r="3554" spans="2:8" hidden="1" x14ac:dyDescent="0.4">
      <c r="B3554" s="1">
        <v>46103</v>
      </c>
      <c r="C3554" s="16">
        <f>SUMIF(매도완료!$G:$G,Sheet2!$B3554,매도완료!$P:$P)+SUMIF(ING!$G:$G,Sheet2!$B3554,ING!$P:$P)</f>
        <v>0</v>
      </c>
      <c r="D3554" s="16">
        <f>SUMIF(매도완료!$J:$J,Sheet2!$B3554,매도완료!$P:$P)+SUMIF(ING!$J:$J,Sheet2!$B3554,ING!$P:$P)</f>
        <v>0</v>
      </c>
      <c r="E3554" s="16">
        <f t="shared" si="110"/>
        <v>186982685.8344</v>
      </c>
      <c r="G3554" s="16">
        <f>IF(D3554=0,0,SUMIF(매도완료!$J:$J,Sheet2!$B3554,매도완료!$S:$S))+IF(D3554=0,0,SUMIF(ING!$J:$J,Sheet2!$B3554,ING!$S:$S))</f>
        <v>0</v>
      </c>
      <c r="H3554" s="16">
        <f t="shared" si="111"/>
        <v>59953786.109803826</v>
      </c>
    </row>
    <row r="3555" spans="2:8" hidden="1" x14ac:dyDescent="0.4">
      <c r="B3555" s="1">
        <v>46104</v>
      </c>
      <c r="C3555" s="16">
        <f>SUMIF(매도완료!$G:$G,Sheet2!$B3555,매도완료!$P:$P)+SUMIF(ING!$G:$G,Sheet2!$B3555,ING!$P:$P)</f>
        <v>3795806</v>
      </c>
      <c r="D3555" s="16">
        <f>SUMIF(매도완료!$J:$J,Sheet2!$B3555,매도완료!$P:$P)+SUMIF(ING!$J:$J,Sheet2!$B3555,ING!$P:$P)</f>
        <v>0</v>
      </c>
      <c r="E3555" s="16">
        <f t="shared" si="110"/>
        <v>190778491.8344</v>
      </c>
      <c r="G3555" s="16">
        <f>IF(D3555=0,0,SUMIF(매도완료!$J:$J,Sheet2!$B3555,매도완료!$S:$S))+IF(D3555=0,0,SUMIF(ING!$J:$J,Sheet2!$B3555,ING!$S:$S))</f>
        <v>0</v>
      </c>
      <c r="H3555" s="16">
        <f t="shared" si="111"/>
        <v>59953786.109803826</v>
      </c>
    </row>
    <row r="3556" spans="2:8" hidden="1" x14ac:dyDescent="0.4">
      <c r="B3556" s="1">
        <v>46105</v>
      </c>
      <c r="C3556" s="16">
        <f>SUMIF(매도완료!$G:$G,Sheet2!$B3556,매도완료!$P:$P)+SUMIF(ING!$G:$G,Sheet2!$B3556,ING!$P:$P)</f>
        <v>3315</v>
      </c>
      <c r="D3556" s="16">
        <f>SUMIF(매도완료!$J:$J,Sheet2!$B3556,매도완료!$P:$P)+SUMIF(ING!$J:$J,Sheet2!$B3556,ING!$P:$P)</f>
        <v>0</v>
      </c>
      <c r="E3556" s="16">
        <f t="shared" si="110"/>
        <v>190781806.8344</v>
      </c>
      <c r="G3556" s="16">
        <f>IF(D3556=0,0,SUMIF(매도완료!$J:$J,Sheet2!$B3556,매도완료!$S:$S))+IF(D3556=0,0,SUMIF(ING!$J:$J,Sheet2!$B3556,ING!$S:$S))</f>
        <v>0</v>
      </c>
      <c r="H3556" s="16">
        <f t="shared" si="111"/>
        <v>59953786.109803826</v>
      </c>
    </row>
    <row r="3557" spans="2:8" hidden="1" x14ac:dyDescent="0.4">
      <c r="B3557" s="1">
        <v>46106</v>
      </c>
      <c r="C3557" s="16">
        <f>SUMIF(매도완료!$G:$G,Sheet2!$B3557,매도완료!$P:$P)+SUMIF(ING!$G:$G,Sheet2!$B3557,ING!$P:$P)</f>
        <v>33220</v>
      </c>
      <c r="D3557" s="16">
        <f>SUMIF(매도완료!$J:$J,Sheet2!$B3557,매도완료!$P:$P)+SUMIF(ING!$J:$J,Sheet2!$B3557,ING!$P:$P)</f>
        <v>3676000</v>
      </c>
      <c r="E3557" s="16">
        <f t="shared" si="110"/>
        <v>187139026.8344</v>
      </c>
      <c r="G3557" s="16">
        <f>IF(D3557=0,0,SUMIF(매도완료!$J:$J,Sheet2!$B3557,매도완료!$S:$S))+IF(D3557=0,0,SUMIF(ING!$J:$J,Sheet2!$B3557,ING!$S:$S))</f>
        <v>2136012</v>
      </c>
      <c r="H3557" s="16">
        <f t="shared" si="111"/>
        <v>62089798.109803826</v>
      </c>
    </row>
    <row r="3558" spans="2:8" hidden="1" x14ac:dyDescent="0.4">
      <c r="B3558" s="1">
        <v>46107</v>
      </c>
      <c r="C3558" s="16">
        <f>SUMIF(매도완료!$G:$G,Sheet2!$B3558,매도완료!$P:$P)+SUMIF(ING!$G:$G,Sheet2!$B3558,ING!$P:$P)</f>
        <v>58000</v>
      </c>
      <c r="D3558" s="16">
        <f>SUMIF(매도완료!$J:$J,Sheet2!$B3558,매도완료!$P:$P)+SUMIF(ING!$J:$J,Sheet2!$B3558,ING!$P:$P)</f>
        <v>0</v>
      </c>
      <c r="E3558" s="16">
        <f t="shared" si="110"/>
        <v>187197026.8344</v>
      </c>
      <c r="G3558" s="16">
        <f>IF(D3558=0,0,SUMIF(매도완료!$J:$J,Sheet2!$B3558,매도완료!$S:$S))+IF(D3558=0,0,SUMIF(ING!$J:$J,Sheet2!$B3558,ING!$S:$S))</f>
        <v>0</v>
      </c>
      <c r="H3558" s="16">
        <f t="shared" si="111"/>
        <v>62089798.109803826</v>
      </c>
    </row>
    <row r="3559" spans="2:8" hidden="1" x14ac:dyDescent="0.4">
      <c r="B3559" s="1">
        <v>46108</v>
      </c>
      <c r="C3559" s="16">
        <f>SUMIF(매도완료!$G:$G,Sheet2!$B3559,매도완료!$P:$P)+SUMIF(ING!$G:$G,Sheet2!$B3559,ING!$P:$P)</f>
        <v>3645820</v>
      </c>
      <c r="D3559" s="16">
        <f>SUMIF(매도완료!$J:$J,Sheet2!$B3559,매도완료!$P:$P)+SUMIF(ING!$J:$J,Sheet2!$B3559,ING!$P:$P)</f>
        <v>0</v>
      </c>
      <c r="E3559" s="16">
        <f t="shared" si="110"/>
        <v>190842846.8344</v>
      </c>
      <c r="G3559" s="16">
        <f>IF(D3559=0,0,SUMIF(매도완료!$J:$J,Sheet2!$B3559,매도완료!$S:$S))+IF(D3559=0,0,SUMIF(ING!$J:$J,Sheet2!$B3559,ING!$S:$S))</f>
        <v>0</v>
      </c>
      <c r="H3559" s="16">
        <f t="shared" si="111"/>
        <v>62089798.109803826</v>
      </c>
    </row>
    <row r="3560" spans="2:8" hidden="1" x14ac:dyDescent="0.4">
      <c r="B3560" s="1">
        <v>46109</v>
      </c>
      <c r="C3560" s="16">
        <f>SUMIF(매도완료!$G:$G,Sheet2!$B3560,매도완료!$P:$P)+SUMIF(ING!$G:$G,Sheet2!$B3560,ING!$P:$P)</f>
        <v>0</v>
      </c>
      <c r="D3560" s="16">
        <f>SUMIF(매도완료!$J:$J,Sheet2!$B3560,매도완료!$P:$P)+SUMIF(ING!$J:$J,Sheet2!$B3560,ING!$P:$P)</f>
        <v>0</v>
      </c>
      <c r="E3560" s="16">
        <f t="shared" si="110"/>
        <v>190842846.8344</v>
      </c>
      <c r="G3560" s="16">
        <f>IF(D3560=0,0,SUMIF(매도완료!$J:$J,Sheet2!$B3560,매도완료!$S:$S))+IF(D3560=0,0,SUMIF(ING!$J:$J,Sheet2!$B3560,ING!$S:$S))</f>
        <v>0</v>
      </c>
      <c r="H3560" s="16">
        <f t="shared" si="111"/>
        <v>62089798.109803826</v>
      </c>
    </row>
    <row r="3561" spans="2:8" hidden="1" x14ac:dyDescent="0.4">
      <c r="B3561" s="1">
        <v>46110</v>
      </c>
      <c r="C3561" s="16">
        <f>SUMIF(매도완료!$G:$G,Sheet2!$B3561,매도완료!$P:$P)+SUMIF(ING!$G:$G,Sheet2!$B3561,ING!$P:$P)</f>
        <v>0</v>
      </c>
      <c r="D3561" s="16">
        <f>SUMIF(매도완료!$J:$J,Sheet2!$B3561,매도완료!$P:$P)+SUMIF(ING!$J:$J,Sheet2!$B3561,ING!$P:$P)</f>
        <v>0</v>
      </c>
      <c r="E3561" s="16">
        <f t="shared" si="110"/>
        <v>190842846.8344</v>
      </c>
      <c r="G3561" s="16">
        <f>IF(D3561=0,0,SUMIF(매도완료!$J:$J,Sheet2!$B3561,매도완료!$S:$S))+IF(D3561=0,0,SUMIF(ING!$J:$J,Sheet2!$B3561,ING!$S:$S))</f>
        <v>0</v>
      </c>
      <c r="H3561" s="16">
        <f t="shared" si="111"/>
        <v>62089798.109803826</v>
      </c>
    </row>
    <row r="3562" spans="2:8" hidden="1" x14ac:dyDescent="0.4">
      <c r="B3562" s="1">
        <v>46111</v>
      </c>
      <c r="C3562" s="16">
        <f>SUMIF(매도완료!$G:$G,Sheet2!$B3562,매도완료!$P:$P)+SUMIF(ING!$G:$G,Sheet2!$B3562,ING!$P:$P)</f>
        <v>2371590</v>
      </c>
      <c r="D3562" s="16">
        <f>SUMIF(매도완료!$J:$J,Sheet2!$B3562,매도완료!$P:$P)+SUMIF(ING!$J:$J,Sheet2!$B3562,ING!$P:$P)</f>
        <v>0</v>
      </c>
      <c r="E3562" s="16">
        <f t="shared" si="110"/>
        <v>193214436.8344</v>
      </c>
      <c r="G3562" s="16">
        <f>IF(D3562=0,0,SUMIF(매도완료!$J:$J,Sheet2!$B3562,매도완료!$S:$S))+IF(D3562=0,0,SUMIF(ING!$J:$J,Sheet2!$B3562,ING!$S:$S))</f>
        <v>0</v>
      </c>
      <c r="H3562" s="16">
        <f t="shared" si="111"/>
        <v>62089798.109803826</v>
      </c>
    </row>
    <row r="3563" spans="2:8" hidden="1" x14ac:dyDescent="0.4">
      <c r="B3563" s="1">
        <v>46112</v>
      </c>
      <c r="C3563" s="16">
        <f>SUMIF(매도완료!$G:$G,Sheet2!$B3563,매도완료!$P:$P)+SUMIF(ING!$G:$G,Sheet2!$B3563,ING!$P:$P)</f>
        <v>12652110</v>
      </c>
      <c r="D3563" s="16">
        <f>SUMIF(매도완료!$J:$J,Sheet2!$B3563,매도완료!$P:$P)+SUMIF(ING!$J:$J,Sheet2!$B3563,ING!$P:$P)</f>
        <v>0</v>
      </c>
      <c r="E3563" s="16">
        <f t="shared" si="110"/>
        <v>205866546.8344</v>
      </c>
      <c r="G3563" s="16">
        <f>IF(D3563=0,0,SUMIF(매도완료!$J:$J,Sheet2!$B3563,매도완료!$S:$S))+IF(D3563=0,0,SUMIF(ING!$J:$J,Sheet2!$B3563,ING!$S:$S))</f>
        <v>0</v>
      </c>
      <c r="H3563" s="16">
        <f t="shared" si="111"/>
        <v>62089798.109803826</v>
      </c>
    </row>
    <row r="3564" spans="2:8" x14ac:dyDescent="0.4">
      <c r="B3564" s="1">
        <v>46113</v>
      </c>
      <c r="C3564" s="16">
        <f>SUMIF(매도완료!$G:$G,Sheet2!$B3564,매도완료!$P:$P)+SUMIF(ING!$G:$G,Sheet2!$B3564,ING!$P:$P)</f>
        <v>42710</v>
      </c>
      <c r="D3564" s="16">
        <f>SUMIF(매도완료!$J:$J,Sheet2!$B3564,매도완료!$P:$P)+SUMIF(ING!$J:$J,Sheet2!$B3564,ING!$P:$P)</f>
        <v>0</v>
      </c>
      <c r="E3564" s="16">
        <f t="shared" si="110"/>
        <v>205909256.8344</v>
      </c>
      <c r="G3564" s="16">
        <f>IF(D3564=0,0,SUMIF(매도완료!$J:$J,Sheet2!$B3564,매도완료!$S:$S))+IF(D3564=0,0,SUMIF(ING!$J:$J,Sheet2!$B3564,ING!$S:$S))</f>
        <v>0</v>
      </c>
      <c r="H3564" s="16">
        <f t="shared" si="111"/>
        <v>62089798.109803826</v>
      </c>
    </row>
    <row r="3565" spans="2:8" x14ac:dyDescent="0.4">
      <c r="B3565" s="1">
        <v>46114</v>
      </c>
      <c r="C3565" s="16">
        <f>SUMIF(매도완료!$G:$G,Sheet2!$B3565,매도완료!$P:$P)+SUMIF(ING!$G:$G,Sheet2!$B3565,ING!$P:$P)</f>
        <v>54700</v>
      </c>
      <c r="D3565" s="16">
        <f>SUMIF(매도완료!$J:$J,Sheet2!$B3565,매도완료!$P:$P)+SUMIF(ING!$J:$J,Sheet2!$B3565,ING!$P:$P)</f>
        <v>0</v>
      </c>
      <c r="E3565" s="16">
        <f t="shared" si="110"/>
        <v>205963956.8344</v>
      </c>
      <c r="G3565" s="16">
        <f>IF(D3565=0,0,SUMIF(매도완료!$J:$J,Sheet2!$B3565,매도완료!$S:$S))+IF(D3565=0,0,SUMIF(ING!$J:$J,Sheet2!$B3565,ING!$S:$S))</f>
        <v>0</v>
      </c>
      <c r="H3565" s="16">
        <f t="shared" si="111"/>
        <v>62089798.109803826</v>
      </c>
    </row>
    <row r="3566" spans="2:8" x14ac:dyDescent="0.4">
      <c r="B3566" s="1">
        <v>46115</v>
      </c>
      <c r="C3566" s="16">
        <f>SUMIF(매도완료!$G:$G,Sheet2!$B3566,매도완료!$P:$P)+SUMIF(ING!$G:$G,Sheet2!$B3566,ING!$P:$P)</f>
        <v>136260</v>
      </c>
      <c r="D3566" s="16">
        <f>SUMIF(매도완료!$J:$J,Sheet2!$B3566,매도완료!$P:$P)+SUMIF(ING!$J:$J,Sheet2!$B3566,ING!$P:$P)</f>
        <v>0</v>
      </c>
      <c r="E3566" s="16">
        <f t="shared" si="110"/>
        <v>206100216.8344</v>
      </c>
      <c r="G3566" s="16">
        <f>IF(D3566=0,0,SUMIF(매도완료!$J:$J,Sheet2!$B3566,매도완료!$S:$S))+IF(D3566=0,0,SUMIF(ING!$J:$J,Sheet2!$B3566,ING!$S:$S))</f>
        <v>0</v>
      </c>
      <c r="H3566" s="16">
        <f t="shared" si="111"/>
        <v>62089798.109803826</v>
      </c>
    </row>
    <row r="3567" spans="2:8" x14ac:dyDescent="0.4">
      <c r="B3567" s="1">
        <v>46116</v>
      </c>
      <c r="C3567" s="16">
        <f>SUMIF(매도완료!$G:$G,Sheet2!$B3567,매도완료!$P:$P)+SUMIF(ING!$G:$G,Sheet2!$B3567,ING!$P:$P)</f>
        <v>0</v>
      </c>
      <c r="D3567" s="16">
        <f>SUMIF(매도완료!$J:$J,Sheet2!$B3567,매도완료!$P:$P)+SUMIF(ING!$J:$J,Sheet2!$B3567,ING!$P:$P)</f>
        <v>0</v>
      </c>
      <c r="E3567" s="16">
        <f t="shared" si="110"/>
        <v>206100216.8344</v>
      </c>
      <c r="G3567" s="16">
        <f>IF(D3567=0,0,SUMIF(매도완료!$J:$J,Sheet2!$B3567,매도완료!$S:$S))+IF(D3567=0,0,SUMIF(ING!$J:$J,Sheet2!$B3567,ING!$S:$S))</f>
        <v>0</v>
      </c>
      <c r="H3567" s="16">
        <f t="shared" si="111"/>
        <v>62089798.109803826</v>
      </c>
    </row>
    <row r="3568" spans="2:8" x14ac:dyDescent="0.4">
      <c r="B3568" s="1">
        <v>46117</v>
      </c>
      <c r="C3568" s="16">
        <f>SUMIF(매도완료!$G:$G,Sheet2!$B3568,매도완료!$P:$P)+SUMIF(ING!$G:$G,Sheet2!$B3568,ING!$P:$P)</f>
        <v>0</v>
      </c>
      <c r="D3568" s="16">
        <f>SUMIF(매도완료!$J:$J,Sheet2!$B3568,매도완료!$P:$P)+SUMIF(ING!$J:$J,Sheet2!$B3568,ING!$P:$P)</f>
        <v>0</v>
      </c>
      <c r="E3568" s="16">
        <f t="shared" si="110"/>
        <v>206100216.8344</v>
      </c>
      <c r="G3568" s="16">
        <f>IF(D3568=0,0,SUMIF(매도완료!$J:$J,Sheet2!$B3568,매도완료!$S:$S))+IF(D3568=0,0,SUMIF(ING!$J:$J,Sheet2!$B3568,ING!$S:$S))</f>
        <v>0</v>
      </c>
      <c r="H3568" s="16">
        <f t="shared" si="111"/>
        <v>62089798.109803826</v>
      </c>
    </row>
    <row r="3569" spans="2:8" x14ac:dyDescent="0.4">
      <c r="B3569" s="1">
        <v>46118</v>
      </c>
      <c r="C3569" s="16">
        <f>SUMIF(매도완료!$G:$G,Sheet2!$B3569,매도완료!$P:$P)+SUMIF(ING!$G:$G,Sheet2!$B3569,ING!$P:$P)</f>
        <v>46150</v>
      </c>
      <c r="D3569" s="16">
        <f>SUMIF(매도완료!$J:$J,Sheet2!$B3569,매도완료!$P:$P)+SUMIF(ING!$J:$J,Sheet2!$B3569,ING!$P:$P)</f>
        <v>0</v>
      </c>
      <c r="E3569" s="16">
        <f t="shared" si="110"/>
        <v>206146366.8344</v>
      </c>
      <c r="G3569" s="16">
        <f>IF(D3569=0,0,SUMIF(매도완료!$J:$J,Sheet2!$B3569,매도완료!$S:$S))+IF(D3569=0,0,SUMIF(ING!$J:$J,Sheet2!$B3569,ING!$S:$S))</f>
        <v>0</v>
      </c>
      <c r="H3569" s="16">
        <f t="shared" si="111"/>
        <v>62089798.109803826</v>
      </c>
    </row>
    <row r="3570" spans="2:8" x14ac:dyDescent="0.4">
      <c r="B3570" s="1">
        <v>46119</v>
      </c>
      <c r="C3570" s="16">
        <f>SUMIF(매도완료!$G:$G,Sheet2!$B3570,매도완료!$P:$P)+SUMIF(ING!$G:$G,Sheet2!$B3570,ING!$P:$P)</f>
        <v>18635</v>
      </c>
      <c r="D3570" s="16">
        <f>SUMIF(매도완료!$J:$J,Sheet2!$B3570,매도완료!$P:$P)+SUMIF(ING!$J:$J,Sheet2!$B3570,ING!$P:$P)</f>
        <v>0</v>
      </c>
      <c r="E3570" s="16">
        <f t="shared" si="110"/>
        <v>206165001.8344</v>
      </c>
      <c r="G3570" s="16">
        <f>IF(D3570=0,0,SUMIF(매도완료!$J:$J,Sheet2!$B3570,매도완료!$S:$S))+IF(D3570=0,0,SUMIF(ING!$J:$J,Sheet2!$B3570,ING!$S:$S))</f>
        <v>0</v>
      </c>
      <c r="H3570" s="16">
        <f t="shared" si="111"/>
        <v>62089798.109803826</v>
      </c>
    </row>
    <row r="3571" spans="2:8" x14ac:dyDescent="0.4">
      <c r="B3571" s="1">
        <v>46120</v>
      </c>
      <c r="C3571" s="16">
        <f>SUMIF(매도완료!$G:$G,Sheet2!$B3571,매도완료!$P:$P)+SUMIF(ING!$G:$G,Sheet2!$B3571,ING!$P:$P)</f>
        <v>43670</v>
      </c>
      <c r="D3571" s="16">
        <f>SUMIF(매도완료!$J:$J,Sheet2!$B3571,매도완료!$P:$P)+SUMIF(ING!$J:$J,Sheet2!$B3571,ING!$P:$P)</f>
        <v>0</v>
      </c>
      <c r="E3571" s="16">
        <f t="shared" si="110"/>
        <v>206208671.8344</v>
      </c>
      <c r="G3571" s="16">
        <f>IF(D3571=0,0,SUMIF(매도완료!$J:$J,Sheet2!$B3571,매도완료!$S:$S))+IF(D3571=0,0,SUMIF(ING!$J:$J,Sheet2!$B3571,ING!$S:$S))</f>
        <v>0</v>
      </c>
      <c r="H3571" s="16">
        <f t="shared" si="111"/>
        <v>62089798.109803826</v>
      </c>
    </row>
    <row r="3572" spans="2:8" x14ac:dyDescent="0.4">
      <c r="B3572" s="1">
        <v>46121</v>
      </c>
      <c r="C3572" s="16">
        <f>SUMIF(매도완료!$G:$G,Sheet2!$B3572,매도완료!$P:$P)+SUMIF(ING!$G:$G,Sheet2!$B3572,ING!$P:$P)</f>
        <v>52600</v>
      </c>
      <c r="D3572" s="16">
        <f>SUMIF(매도완료!$J:$J,Sheet2!$B3572,매도완료!$P:$P)+SUMIF(ING!$J:$J,Sheet2!$B3572,ING!$P:$P)</f>
        <v>5095000</v>
      </c>
      <c r="E3572" s="16">
        <f t="shared" si="110"/>
        <v>201166271.8344</v>
      </c>
      <c r="G3572" s="16">
        <f>IF(D3572=0,0,SUMIF(매도완료!$J:$J,Sheet2!$B3572,매도완료!$S:$S))+IF(D3572=0,0,SUMIF(ING!$J:$J,Sheet2!$B3572,ING!$S:$S))</f>
        <v>716982</v>
      </c>
      <c r="H3572" s="16">
        <f t="shared" si="111"/>
        <v>62806780.109803826</v>
      </c>
    </row>
    <row r="3573" spans="2:8" x14ac:dyDescent="0.4">
      <c r="B3573" s="1">
        <v>46122</v>
      </c>
      <c r="C3573" s="16">
        <f>SUMIF(매도완료!$G:$G,Sheet2!$B3573,매도완료!$P:$P)+SUMIF(ING!$G:$G,Sheet2!$B3573,ING!$P:$P)</f>
        <v>357100</v>
      </c>
      <c r="D3573" s="16">
        <f>SUMIF(매도완료!$J:$J,Sheet2!$B3573,매도완료!$P:$P)+SUMIF(ING!$J:$J,Sheet2!$B3573,ING!$P:$P)</f>
        <v>4830000</v>
      </c>
      <c r="E3573" s="16">
        <f t="shared" si="110"/>
        <v>196693371.8344</v>
      </c>
      <c r="G3573" s="16">
        <f>IF(D3573=0,0,SUMIF(매도완료!$J:$J,Sheet2!$B3573,매도완료!$S:$S))+IF(D3573=0,0,SUMIF(ING!$J:$J,Sheet2!$B3573,ING!$S:$S))</f>
        <v>1307310</v>
      </c>
      <c r="H3573" s="16">
        <f t="shared" si="111"/>
        <v>64114090.109803826</v>
      </c>
    </row>
    <row r="3574" spans="2:8" x14ac:dyDescent="0.4">
      <c r="B3574" s="1">
        <v>46123</v>
      </c>
      <c r="C3574" s="16">
        <f>SUMIF(매도완료!$G:$G,Sheet2!$B3574,매도완료!$P:$P)+SUMIF(ING!$G:$G,Sheet2!$B3574,ING!$P:$P)</f>
        <v>0</v>
      </c>
      <c r="D3574" s="16">
        <f>SUMIF(매도완료!$J:$J,Sheet2!$B3574,매도완료!$P:$P)+SUMIF(ING!$J:$J,Sheet2!$B3574,ING!$P:$P)</f>
        <v>0</v>
      </c>
      <c r="E3574" s="16">
        <f t="shared" si="110"/>
        <v>196693371.8344</v>
      </c>
      <c r="G3574" s="16">
        <f>IF(D3574=0,0,SUMIF(매도완료!$J:$J,Sheet2!$B3574,매도완료!$S:$S))+IF(D3574=0,0,SUMIF(ING!$J:$J,Sheet2!$B3574,ING!$S:$S))</f>
        <v>0</v>
      </c>
      <c r="H3574" s="16">
        <f t="shared" si="111"/>
        <v>64114090.109803826</v>
      </c>
    </row>
    <row r="3575" spans="2:8" x14ac:dyDescent="0.4">
      <c r="B3575" s="1">
        <v>46124</v>
      </c>
      <c r="C3575" s="16">
        <f>SUMIF(매도완료!$G:$G,Sheet2!$B3575,매도완료!$P:$P)+SUMIF(ING!$G:$G,Sheet2!$B3575,ING!$P:$P)</f>
        <v>0</v>
      </c>
      <c r="D3575" s="16">
        <f>SUMIF(매도완료!$J:$J,Sheet2!$B3575,매도완료!$P:$P)+SUMIF(ING!$J:$J,Sheet2!$B3575,ING!$P:$P)</f>
        <v>0</v>
      </c>
      <c r="E3575" s="16">
        <f t="shared" si="110"/>
        <v>196693371.8344</v>
      </c>
      <c r="G3575" s="16">
        <f>IF(D3575=0,0,SUMIF(매도완료!$J:$J,Sheet2!$B3575,매도완료!$S:$S))+IF(D3575=0,0,SUMIF(ING!$J:$J,Sheet2!$B3575,ING!$S:$S))</f>
        <v>0</v>
      </c>
      <c r="H3575" s="16">
        <f t="shared" si="111"/>
        <v>64114090.109803826</v>
      </c>
    </row>
    <row r="3576" spans="2:8" x14ac:dyDescent="0.4">
      <c r="B3576" s="1">
        <v>46125</v>
      </c>
      <c r="C3576" s="16">
        <f>SUMIF(매도완료!$G:$G,Sheet2!$B3576,매도완료!$P:$P)+SUMIF(ING!$G:$G,Sheet2!$B3576,ING!$P:$P)</f>
        <v>47820</v>
      </c>
      <c r="D3576" s="16">
        <f>SUMIF(매도완료!$J:$J,Sheet2!$B3576,매도완료!$P:$P)+SUMIF(ING!$J:$J,Sheet2!$B3576,ING!$P:$P)</f>
        <v>0</v>
      </c>
      <c r="E3576" s="16">
        <f t="shared" si="110"/>
        <v>196741191.8344</v>
      </c>
      <c r="G3576" s="16">
        <f>IF(D3576=0,0,SUMIF(매도완료!$J:$J,Sheet2!$B3576,매도완료!$S:$S))+IF(D3576=0,0,SUMIF(ING!$J:$J,Sheet2!$B3576,ING!$S:$S))</f>
        <v>0</v>
      </c>
      <c r="H3576" s="16">
        <f t="shared" si="111"/>
        <v>64114090.109803826</v>
      </c>
    </row>
    <row r="3577" spans="2:8" x14ac:dyDescent="0.4">
      <c r="B3577" s="1">
        <v>46126</v>
      </c>
      <c r="C3577" s="16">
        <f>SUMIF(매도완료!$G:$G,Sheet2!$B3577,매도완료!$P:$P)+SUMIF(ING!$G:$G,Sheet2!$B3577,ING!$P:$P)</f>
        <v>18730</v>
      </c>
      <c r="D3577" s="16">
        <f>SUMIF(매도완료!$J:$J,Sheet2!$B3577,매도완료!$P:$P)+SUMIF(ING!$J:$J,Sheet2!$B3577,ING!$P:$P)</f>
        <v>3044589</v>
      </c>
      <c r="E3577" s="16">
        <f t="shared" si="110"/>
        <v>193715332.8344</v>
      </c>
      <c r="G3577" s="16">
        <f>IF(D3577=0,0,SUMIF(매도완료!$J:$J,Sheet2!$B3577,매도완료!$S:$S))+IF(D3577=0,0,SUMIF(ING!$J:$J,Sheet2!$B3577,ING!$S:$S))</f>
        <v>368361</v>
      </c>
      <c r="H3577" s="16">
        <f t="shared" si="111"/>
        <v>64482451.109803826</v>
      </c>
    </row>
    <row r="3578" spans="2:8" x14ac:dyDescent="0.4">
      <c r="B3578" s="1">
        <v>46127</v>
      </c>
      <c r="C3578" s="16">
        <f>SUMIF(매도완료!$G:$G,Sheet2!$B3578,매도완료!$P:$P)+SUMIF(ING!$G:$G,Sheet2!$B3578,ING!$P:$P)</f>
        <v>255730</v>
      </c>
      <c r="D3578" s="16">
        <f>SUMIF(매도완료!$J:$J,Sheet2!$B3578,매도완료!$P:$P)+SUMIF(ING!$J:$J,Sheet2!$B3578,ING!$P:$P)</f>
        <v>7714600</v>
      </c>
      <c r="E3578" s="16">
        <f t="shared" si="110"/>
        <v>186256462.8344</v>
      </c>
      <c r="G3578" s="16">
        <f>IF(D3578=0,0,SUMIF(매도완료!$J:$J,Sheet2!$B3578,매도완료!$S:$S))+IF(D3578=0,0,SUMIF(ING!$J:$J,Sheet2!$B3578,ING!$S:$S))</f>
        <v>956236.90999999992</v>
      </c>
      <c r="H3578" s="16">
        <f t="shared" si="111"/>
        <v>65438688.019803822</v>
      </c>
    </row>
    <row r="3579" spans="2:8" x14ac:dyDescent="0.4">
      <c r="B3579" s="1">
        <v>46128</v>
      </c>
      <c r="C3579" s="16">
        <f>SUMIF(매도완료!$G:$G,Sheet2!$B3579,매도완료!$P:$P)+SUMIF(ING!$G:$G,Sheet2!$B3579,ING!$P:$P)</f>
        <v>12781200</v>
      </c>
      <c r="D3579" s="16">
        <f>SUMIF(매도완료!$J:$J,Sheet2!$B3579,매도완료!$P:$P)+SUMIF(ING!$J:$J,Sheet2!$B3579,ING!$P:$P)</f>
        <v>13476110</v>
      </c>
      <c r="E3579" s="16">
        <f t="shared" si="110"/>
        <v>185561552.8344</v>
      </c>
      <c r="G3579" s="16">
        <f>IF(D3579=0,0,SUMIF(매도완료!$J:$J,Sheet2!$B3579,매도완료!$S:$S))+IF(D3579=0,0,SUMIF(ING!$J:$J,Sheet2!$B3579,ING!$S:$S))</f>
        <v>1025836</v>
      </c>
      <c r="H3579" s="16">
        <f t="shared" si="111"/>
        <v>66464524.019803822</v>
      </c>
    </row>
    <row r="3580" spans="2:8" x14ac:dyDescent="0.4">
      <c r="B3580" s="1">
        <v>46129</v>
      </c>
      <c r="C3580" s="16">
        <f>SUMIF(매도완료!$G:$G,Sheet2!$B3580,매도완료!$P:$P)+SUMIF(ING!$G:$G,Sheet2!$B3580,ING!$P:$P)</f>
        <v>15328700</v>
      </c>
      <c r="D3580" s="16">
        <f>SUMIF(매도완료!$J:$J,Sheet2!$B3580,매도완료!$P:$P)+SUMIF(ING!$J:$J,Sheet2!$B3580,ING!$P:$P)</f>
        <v>815000</v>
      </c>
      <c r="E3580" s="16">
        <f t="shared" si="110"/>
        <v>200075252.8344</v>
      </c>
      <c r="G3580" s="16">
        <f>IF(D3580=0,0,SUMIF(매도완료!$J:$J,Sheet2!$B3580,매도완료!$S:$S))+IF(D3580=0,0,SUMIF(ING!$J:$J,Sheet2!$B3580,ING!$S:$S))</f>
        <v>11304</v>
      </c>
      <c r="H3580" s="16">
        <f t="shared" si="111"/>
        <v>66475828.019803822</v>
      </c>
    </row>
    <row r="3581" spans="2:8" x14ac:dyDescent="0.4">
      <c r="B3581" s="1">
        <v>46130</v>
      </c>
      <c r="C3581" s="16">
        <f>SUMIF(매도완료!$G:$G,Sheet2!$B3581,매도완료!$P:$P)+SUMIF(ING!$G:$G,Sheet2!$B3581,ING!$P:$P)</f>
        <v>0</v>
      </c>
      <c r="D3581" s="16">
        <f>SUMIF(매도완료!$J:$J,Sheet2!$B3581,매도완료!$P:$P)+SUMIF(ING!$J:$J,Sheet2!$B3581,ING!$P:$P)</f>
        <v>0</v>
      </c>
      <c r="E3581" s="16">
        <f t="shared" si="110"/>
        <v>200075252.8344</v>
      </c>
      <c r="G3581" s="16">
        <f>IF(D3581=0,0,SUMIF(매도완료!$J:$J,Sheet2!$B3581,매도완료!$S:$S))+IF(D3581=0,0,SUMIF(ING!$J:$J,Sheet2!$B3581,ING!$S:$S))</f>
        <v>0</v>
      </c>
      <c r="H3581" s="16">
        <f t="shared" si="111"/>
        <v>66475828.019803822</v>
      </c>
    </row>
    <row r="3582" spans="2:8" x14ac:dyDescent="0.4">
      <c r="B3582" s="1">
        <v>46131</v>
      </c>
      <c r="C3582" s="16">
        <f>SUMIF(매도완료!$G:$G,Sheet2!$B3582,매도완료!$P:$P)+SUMIF(ING!$G:$G,Sheet2!$B3582,ING!$P:$P)</f>
        <v>0</v>
      </c>
      <c r="D3582" s="16">
        <f>SUMIF(매도완료!$J:$J,Sheet2!$B3582,매도완료!$P:$P)+SUMIF(ING!$J:$J,Sheet2!$B3582,ING!$P:$P)</f>
        <v>0</v>
      </c>
      <c r="E3582" s="16">
        <f t="shared" si="110"/>
        <v>200075252.8344</v>
      </c>
      <c r="G3582" s="16">
        <f>IF(D3582=0,0,SUMIF(매도완료!$J:$J,Sheet2!$B3582,매도완료!$S:$S))+IF(D3582=0,0,SUMIF(ING!$J:$J,Sheet2!$B3582,ING!$S:$S))</f>
        <v>0</v>
      </c>
      <c r="H3582" s="16">
        <f t="shared" si="111"/>
        <v>66475828.019803822</v>
      </c>
    </row>
    <row r="3583" spans="2:8" x14ac:dyDescent="0.4">
      <c r="B3583" s="1">
        <v>46132</v>
      </c>
      <c r="C3583" s="16">
        <f>SUMIF(매도완료!$G:$G,Sheet2!$B3583,매도완료!$P:$P)+SUMIF(ING!$G:$G,Sheet2!$B3583,ING!$P:$P)</f>
        <v>3900350</v>
      </c>
      <c r="D3583" s="16">
        <f>SUMIF(매도완료!$J:$J,Sheet2!$B3583,매도완료!$P:$P)+SUMIF(ING!$J:$J,Sheet2!$B3583,ING!$P:$P)</f>
        <v>3850000</v>
      </c>
      <c r="E3583" s="16">
        <f t="shared" si="110"/>
        <v>200125602.8344</v>
      </c>
      <c r="G3583" s="16">
        <f>IF(D3583=0,0,SUMIF(매도완료!$J:$J,Sheet2!$B3583,매도완료!$S:$S))+IF(D3583=0,0,SUMIF(ING!$J:$J,Sheet2!$B3583,ING!$S:$S))</f>
        <v>102080</v>
      </c>
      <c r="H3583" s="16">
        <f t="shared" si="111"/>
        <v>66577908.019803822</v>
      </c>
    </row>
    <row r="3584" spans="2:8" x14ac:dyDescent="0.4">
      <c r="B3584" s="1">
        <v>46133</v>
      </c>
      <c r="C3584" s="16">
        <f>SUMIF(매도완료!$G:$G,Sheet2!$B3584,매도완료!$P:$P)+SUMIF(ING!$G:$G,Sheet2!$B3584,ING!$P:$P)</f>
        <v>19960</v>
      </c>
      <c r="D3584" s="16">
        <f>SUMIF(매도완료!$J:$J,Sheet2!$B3584,매도완료!$P:$P)+SUMIF(ING!$J:$J,Sheet2!$B3584,ING!$P:$P)</f>
        <v>7233485</v>
      </c>
      <c r="E3584" s="16">
        <f t="shared" si="110"/>
        <v>192912077.8344</v>
      </c>
      <c r="G3584" s="16">
        <f>IF(D3584=0,0,SUMIF(매도완료!$J:$J,Sheet2!$B3584,매도완료!$S:$S))+IF(D3584=0,0,SUMIF(ING!$J:$J,Sheet2!$B3584,ING!$S:$S))</f>
        <v>1027427.235999999</v>
      </c>
      <c r="H3584" s="16">
        <f t="shared" si="111"/>
        <v>67605335.255803823</v>
      </c>
    </row>
    <row r="3585" spans="2:8" x14ac:dyDescent="0.4">
      <c r="B3585" s="1">
        <v>46134</v>
      </c>
      <c r="C3585" s="16">
        <f>SUMIF(매도완료!$G:$G,Sheet2!$B3585,매도완료!$P:$P)+SUMIF(ING!$G:$G,Sheet2!$B3585,ING!$P:$P)</f>
        <v>48420</v>
      </c>
      <c r="D3585" s="16">
        <f>SUMIF(매도완료!$J:$J,Sheet2!$B3585,매도완료!$P:$P)+SUMIF(ING!$J:$J,Sheet2!$B3585,ING!$P:$P)</f>
        <v>190243552</v>
      </c>
      <c r="E3585" s="16">
        <f t="shared" si="110"/>
        <v>2716945.8343999982</v>
      </c>
      <c r="G3585" s="16">
        <f>IF(D3585=0,0,SUMIF(매도완료!$J:$J,Sheet2!$B3585,매도완료!$S:$S))+IF(D3585=0,0,SUMIF(ING!$J:$J,Sheet2!$B3585,ING!$S:$S))</f>
        <v>-23464484.377999991</v>
      </c>
      <c r="H3585" s="16">
        <f t="shared" si="111"/>
        <v>44140850.877803832</v>
      </c>
    </row>
    <row r="3586" spans="2:8" x14ac:dyDescent="0.4">
      <c r="B3586" s="1">
        <v>46135</v>
      </c>
      <c r="C3586" s="16">
        <f>SUMIF(매도완료!$G:$G,Sheet2!$B3586,매도완료!$P:$P)+SUMIF(ING!$G:$G,Sheet2!$B3586,ING!$P:$P)</f>
        <v>72150</v>
      </c>
      <c r="D3586" s="16">
        <f>SUMIF(매도완료!$J:$J,Sheet2!$B3586,매도완료!$P:$P)+SUMIF(ING!$J:$J,Sheet2!$B3586,ING!$P:$P)</f>
        <v>0</v>
      </c>
      <c r="E3586" s="16">
        <f t="shared" si="110"/>
        <v>2789095.8343999982</v>
      </c>
      <c r="G3586" s="16">
        <f>IF(D3586=0,0,SUMIF(매도완료!$J:$J,Sheet2!$B3586,매도완료!$S:$S))+IF(D3586=0,0,SUMIF(ING!$J:$J,Sheet2!$B3586,ING!$S:$S))</f>
        <v>0</v>
      </c>
      <c r="H3586" s="16">
        <f t="shared" si="111"/>
        <v>44140850.877803832</v>
      </c>
    </row>
    <row r="3587" spans="2:8" x14ac:dyDescent="0.4">
      <c r="B3587" s="1">
        <v>46136</v>
      </c>
      <c r="C3587" s="16">
        <f>SUMIF(매도완료!$G:$G,Sheet2!$B3587,매도완료!$P:$P)+SUMIF(ING!$G:$G,Sheet2!$B3587,ING!$P:$P)</f>
        <v>169420</v>
      </c>
      <c r="D3587" s="16">
        <f>SUMIF(매도완료!$J:$J,Sheet2!$B3587,매도완료!$P:$P)+SUMIF(ING!$J:$J,Sheet2!$B3587,ING!$P:$P)</f>
        <v>0</v>
      </c>
      <c r="E3587" s="16">
        <f t="shared" si="110"/>
        <v>2958515.8343999982</v>
      </c>
      <c r="G3587" s="16">
        <f>IF(D3587=0,0,SUMIF(매도완료!$J:$J,Sheet2!$B3587,매도완료!$S:$S))+IF(D3587=0,0,SUMIF(ING!$J:$J,Sheet2!$B3587,ING!$S:$S))</f>
        <v>0</v>
      </c>
      <c r="H3587" s="16">
        <f t="shared" si="111"/>
        <v>44140850.877803832</v>
      </c>
    </row>
    <row r="3588" spans="2:8" x14ac:dyDescent="0.4">
      <c r="B3588" s="1">
        <v>46137</v>
      </c>
      <c r="C3588" s="16">
        <f>SUMIF(매도완료!$G:$G,Sheet2!$B3588,매도완료!$P:$P)+SUMIF(ING!$G:$G,Sheet2!$B3588,ING!$P:$P)</f>
        <v>0</v>
      </c>
      <c r="D3588" s="16">
        <f>SUMIF(매도완료!$J:$J,Sheet2!$B3588,매도완료!$P:$P)+SUMIF(ING!$J:$J,Sheet2!$B3588,ING!$P:$P)</f>
        <v>0</v>
      </c>
      <c r="E3588" s="16">
        <f t="shared" ref="E3588:E3651" si="112">E3587+C3588-D3588</f>
        <v>2958515.8343999982</v>
      </c>
      <c r="G3588" s="16">
        <f>IF(D3588=0,0,SUMIF(매도완료!$J:$J,Sheet2!$B3588,매도완료!$S:$S))+IF(D3588=0,0,SUMIF(ING!$J:$J,Sheet2!$B3588,ING!$S:$S))</f>
        <v>0</v>
      </c>
      <c r="H3588" s="16">
        <f t="shared" ref="H3588:H3651" si="113">H3587+G3588</f>
        <v>44140850.877803832</v>
      </c>
    </row>
    <row r="3589" spans="2:8" x14ac:dyDescent="0.4">
      <c r="B3589" s="1">
        <v>46138</v>
      </c>
      <c r="C3589" s="16">
        <f>SUMIF(매도완료!$G:$G,Sheet2!$B3589,매도완료!$P:$P)+SUMIF(ING!$G:$G,Sheet2!$B3589,ING!$P:$P)</f>
        <v>0</v>
      </c>
      <c r="D3589" s="16">
        <f>SUMIF(매도완료!$J:$J,Sheet2!$B3589,매도완료!$P:$P)+SUMIF(ING!$J:$J,Sheet2!$B3589,ING!$P:$P)</f>
        <v>0</v>
      </c>
      <c r="E3589" s="16">
        <f t="shared" si="112"/>
        <v>2958515.8343999982</v>
      </c>
      <c r="G3589" s="16">
        <f>IF(D3589=0,0,SUMIF(매도완료!$J:$J,Sheet2!$B3589,매도완료!$S:$S))+IF(D3589=0,0,SUMIF(ING!$J:$J,Sheet2!$B3589,ING!$S:$S))</f>
        <v>0</v>
      </c>
      <c r="H3589" s="16">
        <f t="shared" si="113"/>
        <v>44140850.877803832</v>
      </c>
    </row>
    <row r="3590" spans="2:8" x14ac:dyDescent="0.4">
      <c r="B3590" s="1">
        <v>46139</v>
      </c>
      <c r="C3590" s="16">
        <f>SUMIF(매도완료!$G:$G,Sheet2!$B3590,매도완료!$P:$P)+SUMIF(ING!$G:$G,Sheet2!$B3590,ING!$P:$P)</f>
        <v>279301950</v>
      </c>
      <c r="D3590" s="16">
        <f>SUMIF(매도완료!$J:$J,Sheet2!$B3590,매도완료!$P:$P)+SUMIF(ING!$J:$J,Sheet2!$B3590,ING!$P:$P)</f>
        <v>178715600</v>
      </c>
      <c r="E3590" s="16">
        <f t="shared" si="112"/>
        <v>103544865.8344</v>
      </c>
      <c r="G3590" s="16">
        <f>IF(D3590=0,0,SUMIF(매도완료!$J:$J,Sheet2!$B3590,매도완료!$S:$S))+IF(D3590=0,0,SUMIF(ING!$J:$J,Sheet2!$B3590,ING!$S:$S))</f>
        <v>2710822.2824999969</v>
      </c>
      <c r="H3590" s="16">
        <f t="shared" si="113"/>
        <v>46851673.160303831</v>
      </c>
    </row>
    <row r="3591" spans="2:8" x14ac:dyDescent="0.4">
      <c r="B3591" s="1">
        <v>46140</v>
      </c>
      <c r="C3591" s="16">
        <f>SUMIF(매도완료!$G:$G,Sheet2!$B3591,매도완료!$P:$P)+SUMIF(ING!$G:$G,Sheet2!$B3591,ING!$P:$P)</f>
        <v>0</v>
      </c>
      <c r="D3591" s="16">
        <f>SUMIF(매도완료!$J:$J,Sheet2!$B3591,매도완료!$P:$P)+SUMIF(ING!$J:$J,Sheet2!$B3591,ING!$P:$P)</f>
        <v>0</v>
      </c>
      <c r="E3591" s="16">
        <f t="shared" si="112"/>
        <v>103544865.8344</v>
      </c>
      <c r="G3591" s="16">
        <f>IF(D3591=0,0,SUMIF(매도완료!$J:$J,Sheet2!$B3591,매도완료!$S:$S))+IF(D3591=0,0,SUMIF(ING!$J:$J,Sheet2!$B3591,ING!$S:$S))</f>
        <v>0</v>
      </c>
      <c r="H3591" s="16">
        <f t="shared" si="113"/>
        <v>46851673.160303831</v>
      </c>
    </row>
    <row r="3592" spans="2:8" x14ac:dyDescent="0.4">
      <c r="B3592" s="1">
        <v>46141</v>
      </c>
      <c r="C3592" s="16">
        <f>SUMIF(매도완료!$G:$G,Sheet2!$B3592,매도완료!$P:$P)+SUMIF(ING!$G:$G,Sheet2!$B3592,ING!$P:$P)</f>
        <v>0</v>
      </c>
      <c r="D3592" s="16">
        <f>SUMIF(매도완료!$J:$J,Sheet2!$B3592,매도완료!$P:$P)+SUMIF(ING!$J:$J,Sheet2!$B3592,ING!$P:$P)</f>
        <v>0</v>
      </c>
      <c r="E3592" s="16">
        <f t="shared" si="112"/>
        <v>103544865.8344</v>
      </c>
      <c r="G3592" s="16">
        <f>IF(D3592=0,0,SUMIF(매도완료!$J:$J,Sheet2!$B3592,매도완료!$S:$S))+IF(D3592=0,0,SUMIF(ING!$J:$J,Sheet2!$B3592,ING!$S:$S))</f>
        <v>0</v>
      </c>
      <c r="H3592" s="16">
        <f t="shared" si="113"/>
        <v>46851673.160303831</v>
      </c>
    </row>
    <row r="3593" spans="2:8" x14ac:dyDescent="0.4">
      <c r="B3593" s="1">
        <v>46142</v>
      </c>
      <c r="C3593" s="16">
        <f>SUMIF(매도완료!$G:$G,Sheet2!$B3593,매도완료!$P:$P)+SUMIF(ING!$G:$G,Sheet2!$B3593,ING!$P:$P)</f>
        <v>0</v>
      </c>
      <c r="D3593" s="16">
        <f>SUMIF(매도완료!$J:$J,Sheet2!$B3593,매도완료!$P:$P)+SUMIF(ING!$J:$J,Sheet2!$B3593,ING!$P:$P)</f>
        <v>0</v>
      </c>
      <c r="E3593" s="16">
        <f t="shared" si="112"/>
        <v>103544865.8344</v>
      </c>
      <c r="G3593" s="16">
        <f>IF(D3593=0,0,SUMIF(매도완료!$J:$J,Sheet2!$B3593,매도완료!$S:$S))+IF(D3593=0,0,SUMIF(ING!$J:$J,Sheet2!$B3593,ING!$S:$S))</f>
        <v>0</v>
      </c>
      <c r="H3593" s="16">
        <f t="shared" si="113"/>
        <v>46851673.160303831</v>
      </c>
    </row>
    <row r="3594" spans="2:8" x14ac:dyDescent="0.4">
      <c r="B3594" s="1">
        <v>46143</v>
      </c>
      <c r="C3594" s="16">
        <f>SUMIF(매도완료!$G:$G,Sheet2!$B3594,매도완료!$P:$P)+SUMIF(ING!$G:$G,Sheet2!$B3594,ING!$P:$P)</f>
        <v>0</v>
      </c>
      <c r="D3594" s="16">
        <f>SUMIF(매도완료!$J:$J,Sheet2!$B3594,매도완료!$P:$P)+SUMIF(ING!$J:$J,Sheet2!$B3594,ING!$P:$P)</f>
        <v>0</v>
      </c>
      <c r="E3594" s="16">
        <f t="shared" si="112"/>
        <v>103544865.8344</v>
      </c>
      <c r="G3594" s="16">
        <f>IF(D3594=0,0,SUMIF(매도완료!$J:$J,Sheet2!$B3594,매도완료!$S:$S))+IF(D3594=0,0,SUMIF(ING!$J:$J,Sheet2!$B3594,ING!$S:$S))</f>
        <v>0</v>
      </c>
      <c r="H3594" s="16">
        <f t="shared" si="113"/>
        <v>46851673.160303831</v>
      </c>
    </row>
    <row r="3595" spans="2:8" x14ac:dyDescent="0.4">
      <c r="B3595" s="1">
        <v>46144</v>
      </c>
      <c r="C3595" s="16">
        <f>SUMIF(매도완료!$G:$G,Sheet2!$B3595,매도완료!$P:$P)+SUMIF(ING!$G:$G,Sheet2!$B3595,ING!$P:$P)</f>
        <v>0</v>
      </c>
      <c r="D3595" s="16">
        <f>SUMIF(매도완료!$J:$J,Sheet2!$B3595,매도완료!$P:$P)+SUMIF(ING!$J:$J,Sheet2!$B3595,ING!$P:$P)</f>
        <v>0</v>
      </c>
      <c r="E3595" s="16">
        <f t="shared" si="112"/>
        <v>103544865.8344</v>
      </c>
      <c r="G3595" s="16">
        <f>IF(D3595=0,0,SUMIF(매도완료!$J:$J,Sheet2!$B3595,매도완료!$S:$S))+IF(D3595=0,0,SUMIF(ING!$J:$J,Sheet2!$B3595,ING!$S:$S))</f>
        <v>0</v>
      </c>
      <c r="H3595" s="16">
        <f t="shared" si="113"/>
        <v>46851673.160303831</v>
      </c>
    </row>
    <row r="3596" spans="2:8" x14ac:dyDescent="0.4">
      <c r="B3596" s="1">
        <v>46145</v>
      </c>
      <c r="C3596" s="16">
        <f>SUMIF(매도완료!$G:$G,Sheet2!$B3596,매도완료!$P:$P)+SUMIF(ING!$G:$G,Sheet2!$B3596,ING!$P:$P)</f>
        <v>0</v>
      </c>
      <c r="D3596" s="16">
        <f>SUMIF(매도완료!$J:$J,Sheet2!$B3596,매도완료!$P:$P)+SUMIF(ING!$J:$J,Sheet2!$B3596,ING!$P:$P)</f>
        <v>0</v>
      </c>
      <c r="E3596" s="16">
        <f t="shared" si="112"/>
        <v>103544865.8344</v>
      </c>
      <c r="G3596" s="16">
        <f>IF(D3596=0,0,SUMIF(매도완료!$J:$J,Sheet2!$B3596,매도완료!$S:$S))+IF(D3596=0,0,SUMIF(ING!$J:$J,Sheet2!$B3596,ING!$S:$S))</f>
        <v>0</v>
      </c>
      <c r="H3596" s="16">
        <f t="shared" si="113"/>
        <v>46851673.160303831</v>
      </c>
    </row>
    <row r="3597" spans="2:8" x14ac:dyDescent="0.4">
      <c r="B3597" s="1">
        <v>46146</v>
      </c>
      <c r="C3597" s="16">
        <f>SUMIF(매도완료!$G:$G,Sheet2!$B3597,매도완료!$P:$P)+SUMIF(ING!$G:$G,Sheet2!$B3597,ING!$P:$P)</f>
        <v>0</v>
      </c>
      <c r="D3597" s="16">
        <f>SUMIF(매도완료!$J:$J,Sheet2!$B3597,매도완료!$P:$P)+SUMIF(ING!$J:$J,Sheet2!$B3597,ING!$P:$P)</f>
        <v>0</v>
      </c>
      <c r="E3597" s="16">
        <f t="shared" si="112"/>
        <v>103544865.8344</v>
      </c>
      <c r="G3597" s="16">
        <f>IF(D3597=0,0,SUMIF(매도완료!$J:$J,Sheet2!$B3597,매도완료!$S:$S))+IF(D3597=0,0,SUMIF(ING!$J:$J,Sheet2!$B3597,ING!$S:$S))</f>
        <v>0</v>
      </c>
      <c r="H3597" s="16">
        <f t="shared" si="113"/>
        <v>46851673.160303831</v>
      </c>
    </row>
    <row r="3598" spans="2:8" x14ac:dyDescent="0.4">
      <c r="B3598" s="1">
        <v>46147</v>
      </c>
      <c r="C3598" s="16">
        <f>SUMIF(매도완료!$G:$G,Sheet2!$B3598,매도완료!$P:$P)+SUMIF(ING!$G:$G,Sheet2!$B3598,ING!$P:$P)</f>
        <v>0</v>
      </c>
      <c r="D3598" s="16">
        <f>SUMIF(매도완료!$J:$J,Sheet2!$B3598,매도완료!$P:$P)+SUMIF(ING!$J:$J,Sheet2!$B3598,ING!$P:$P)</f>
        <v>0</v>
      </c>
      <c r="E3598" s="16">
        <f t="shared" si="112"/>
        <v>103544865.8344</v>
      </c>
      <c r="G3598" s="16">
        <f>IF(D3598=0,0,SUMIF(매도완료!$J:$J,Sheet2!$B3598,매도완료!$S:$S))+IF(D3598=0,0,SUMIF(ING!$J:$J,Sheet2!$B3598,ING!$S:$S))</f>
        <v>0</v>
      </c>
      <c r="H3598" s="16">
        <f t="shared" si="113"/>
        <v>46851673.160303831</v>
      </c>
    </row>
    <row r="3599" spans="2:8" x14ac:dyDescent="0.4">
      <c r="B3599" s="1">
        <v>46148</v>
      </c>
      <c r="C3599" s="16">
        <f>SUMIF(매도완료!$G:$G,Sheet2!$B3599,매도완료!$P:$P)+SUMIF(ING!$G:$G,Sheet2!$B3599,ING!$P:$P)</f>
        <v>0</v>
      </c>
      <c r="D3599" s="16">
        <f>SUMIF(매도완료!$J:$J,Sheet2!$B3599,매도완료!$P:$P)+SUMIF(ING!$J:$J,Sheet2!$B3599,ING!$P:$P)</f>
        <v>0</v>
      </c>
      <c r="E3599" s="16">
        <f t="shared" si="112"/>
        <v>103544865.8344</v>
      </c>
      <c r="G3599" s="16">
        <f>IF(D3599=0,0,SUMIF(매도완료!$J:$J,Sheet2!$B3599,매도완료!$S:$S))+IF(D3599=0,0,SUMIF(ING!$J:$J,Sheet2!$B3599,ING!$S:$S))</f>
        <v>0</v>
      </c>
      <c r="H3599" s="16">
        <f t="shared" si="113"/>
        <v>46851673.160303831</v>
      </c>
    </row>
    <row r="3600" spans="2:8" x14ac:dyDescent="0.4">
      <c r="B3600" s="1">
        <v>46149</v>
      </c>
      <c r="C3600" s="16">
        <f>SUMIF(매도완료!$G:$G,Sheet2!$B3600,매도완료!$P:$P)+SUMIF(ING!$G:$G,Sheet2!$B3600,ING!$P:$P)</f>
        <v>0</v>
      </c>
      <c r="D3600" s="16">
        <f>SUMIF(매도완료!$J:$J,Sheet2!$B3600,매도완료!$P:$P)+SUMIF(ING!$J:$J,Sheet2!$B3600,ING!$P:$P)</f>
        <v>0</v>
      </c>
      <c r="E3600" s="16">
        <f t="shared" si="112"/>
        <v>103544865.8344</v>
      </c>
      <c r="G3600" s="16">
        <f>IF(D3600=0,0,SUMIF(매도완료!$J:$J,Sheet2!$B3600,매도완료!$S:$S))+IF(D3600=0,0,SUMIF(ING!$J:$J,Sheet2!$B3600,ING!$S:$S))</f>
        <v>0</v>
      </c>
      <c r="H3600" s="16">
        <f t="shared" si="113"/>
        <v>46851673.160303831</v>
      </c>
    </row>
    <row r="3601" spans="2:8" x14ac:dyDescent="0.4">
      <c r="B3601" s="1">
        <v>46150</v>
      </c>
      <c r="C3601" s="16">
        <f>SUMIF(매도완료!$G:$G,Sheet2!$B3601,매도완료!$P:$P)+SUMIF(ING!$G:$G,Sheet2!$B3601,ING!$P:$P)</f>
        <v>0</v>
      </c>
      <c r="D3601" s="16">
        <f>SUMIF(매도완료!$J:$J,Sheet2!$B3601,매도완료!$P:$P)+SUMIF(ING!$J:$J,Sheet2!$B3601,ING!$P:$P)</f>
        <v>0</v>
      </c>
      <c r="E3601" s="16">
        <f t="shared" si="112"/>
        <v>103544865.8344</v>
      </c>
      <c r="G3601" s="16">
        <f>IF(D3601=0,0,SUMIF(매도완료!$J:$J,Sheet2!$B3601,매도완료!$S:$S))+IF(D3601=0,0,SUMIF(ING!$J:$J,Sheet2!$B3601,ING!$S:$S))</f>
        <v>0</v>
      </c>
      <c r="H3601" s="16">
        <f t="shared" si="113"/>
        <v>46851673.160303831</v>
      </c>
    </row>
    <row r="3602" spans="2:8" x14ac:dyDescent="0.4">
      <c r="B3602" s="1">
        <v>46151</v>
      </c>
      <c r="C3602" s="16">
        <f>SUMIF(매도완료!$G:$G,Sheet2!$B3602,매도완료!$P:$P)+SUMIF(ING!$G:$G,Sheet2!$B3602,ING!$P:$P)</f>
        <v>0</v>
      </c>
      <c r="D3602" s="16">
        <f>SUMIF(매도완료!$J:$J,Sheet2!$B3602,매도완료!$P:$P)+SUMIF(ING!$J:$J,Sheet2!$B3602,ING!$P:$P)</f>
        <v>0</v>
      </c>
      <c r="E3602" s="16">
        <f t="shared" si="112"/>
        <v>103544865.8344</v>
      </c>
      <c r="G3602" s="16">
        <f>IF(D3602=0,0,SUMIF(매도완료!$J:$J,Sheet2!$B3602,매도완료!$S:$S))+IF(D3602=0,0,SUMIF(ING!$J:$J,Sheet2!$B3602,ING!$S:$S))</f>
        <v>0</v>
      </c>
      <c r="H3602" s="16">
        <f t="shared" si="113"/>
        <v>46851673.160303831</v>
      </c>
    </row>
    <row r="3603" spans="2:8" x14ac:dyDescent="0.4">
      <c r="B3603" s="1">
        <v>46152</v>
      </c>
      <c r="C3603" s="16">
        <f>SUMIF(매도완료!$G:$G,Sheet2!$B3603,매도완료!$P:$P)+SUMIF(ING!$G:$G,Sheet2!$B3603,ING!$P:$P)</f>
        <v>0</v>
      </c>
      <c r="D3603" s="16">
        <f>SUMIF(매도완료!$J:$J,Sheet2!$B3603,매도완료!$P:$P)+SUMIF(ING!$J:$J,Sheet2!$B3603,ING!$P:$P)</f>
        <v>0</v>
      </c>
      <c r="E3603" s="16">
        <f t="shared" si="112"/>
        <v>103544865.8344</v>
      </c>
      <c r="G3603" s="16">
        <f>IF(D3603=0,0,SUMIF(매도완료!$J:$J,Sheet2!$B3603,매도완료!$S:$S))+IF(D3603=0,0,SUMIF(ING!$J:$J,Sheet2!$B3603,ING!$S:$S))</f>
        <v>0</v>
      </c>
      <c r="H3603" s="16">
        <f t="shared" si="113"/>
        <v>46851673.160303831</v>
      </c>
    </row>
    <row r="3604" spans="2:8" x14ac:dyDescent="0.4">
      <c r="B3604" s="1">
        <v>46153</v>
      </c>
      <c r="C3604" s="16">
        <f>SUMIF(매도완료!$G:$G,Sheet2!$B3604,매도완료!$P:$P)+SUMIF(ING!$G:$G,Sheet2!$B3604,ING!$P:$P)</f>
        <v>0</v>
      </c>
      <c r="D3604" s="16">
        <f>SUMIF(매도완료!$J:$J,Sheet2!$B3604,매도완료!$P:$P)+SUMIF(ING!$J:$J,Sheet2!$B3604,ING!$P:$P)</f>
        <v>0</v>
      </c>
      <c r="E3604" s="16">
        <f t="shared" si="112"/>
        <v>103544865.8344</v>
      </c>
      <c r="G3604" s="16">
        <f>IF(D3604=0,0,SUMIF(매도완료!$J:$J,Sheet2!$B3604,매도완료!$S:$S))+IF(D3604=0,0,SUMIF(ING!$J:$J,Sheet2!$B3604,ING!$S:$S))</f>
        <v>0</v>
      </c>
      <c r="H3604" s="16">
        <f t="shared" si="113"/>
        <v>46851673.160303831</v>
      </c>
    </row>
    <row r="3605" spans="2:8" x14ac:dyDescent="0.4">
      <c r="B3605" s="1">
        <v>46154</v>
      </c>
      <c r="C3605" s="16">
        <f>SUMIF(매도완료!$G:$G,Sheet2!$B3605,매도완료!$P:$P)+SUMIF(ING!$G:$G,Sheet2!$B3605,ING!$P:$P)</f>
        <v>0</v>
      </c>
      <c r="D3605" s="16">
        <f>SUMIF(매도완료!$J:$J,Sheet2!$B3605,매도완료!$P:$P)+SUMIF(ING!$J:$J,Sheet2!$B3605,ING!$P:$P)</f>
        <v>0</v>
      </c>
      <c r="E3605" s="16">
        <f t="shared" si="112"/>
        <v>103544865.8344</v>
      </c>
      <c r="G3605" s="16">
        <f>IF(D3605=0,0,SUMIF(매도완료!$J:$J,Sheet2!$B3605,매도완료!$S:$S))+IF(D3605=0,0,SUMIF(ING!$J:$J,Sheet2!$B3605,ING!$S:$S))</f>
        <v>0</v>
      </c>
      <c r="H3605" s="16">
        <f t="shared" si="113"/>
        <v>46851673.160303831</v>
      </c>
    </row>
    <row r="3606" spans="2:8" x14ac:dyDescent="0.4">
      <c r="B3606" s="1">
        <v>46155</v>
      </c>
      <c r="C3606" s="16">
        <f>SUMIF(매도완료!$G:$G,Sheet2!$B3606,매도완료!$P:$P)+SUMIF(ING!$G:$G,Sheet2!$B3606,ING!$P:$P)</f>
        <v>0</v>
      </c>
      <c r="D3606" s="16">
        <f>SUMIF(매도완료!$J:$J,Sheet2!$B3606,매도완료!$P:$P)+SUMIF(ING!$J:$J,Sheet2!$B3606,ING!$P:$P)</f>
        <v>0</v>
      </c>
      <c r="E3606" s="16">
        <f t="shared" si="112"/>
        <v>103544865.8344</v>
      </c>
      <c r="G3606" s="16">
        <f>IF(D3606=0,0,SUMIF(매도완료!$J:$J,Sheet2!$B3606,매도완료!$S:$S))+IF(D3606=0,0,SUMIF(ING!$J:$J,Sheet2!$B3606,ING!$S:$S))</f>
        <v>0</v>
      </c>
      <c r="H3606" s="16">
        <f t="shared" si="113"/>
        <v>46851673.160303831</v>
      </c>
    </row>
    <row r="3607" spans="2:8" x14ac:dyDescent="0.4">
      <c r="B3607" s="1">
        <v>46156</v>
      </c>
      <c r="C3607" s="16">
        <f>SUMIF(매도완료!$G:$G,Sheet2!$B3607,매도완료!$P:$P)+SUMIF(ING!$G:$G,Sheet2!$B3607,ING!$P:$P)</f>
        <v>0</v>
      </c>
      <c r="D3607" s="16">
        <f>SUMIF(매도완료!$J:$J,Sheet2!$B3607,매도완료!$P:$P)+SUMIF(ING!$J:$J,Sheet2!$B3607,ING!$P:$P)</f>
        <v>0</v>
      </c>
      <c r="E3607" s="16">
        <f t="shared" si="112"/>
        <v>103544865.8344</v>
      </c>
      <c r="G3607" s="16">
        <f>IF(D3607=0,0,SUMIF(매도완료!$J:$J,Sheet2!$B3607,매도완료!$S:$S))+IF(D3607=0,0,SUMIF(ING!$J:$J,Sheet2!$B3607,ING!$S:$S))</f>
        <v>0</v>
      </c>
      <c r="H3607" s="16">
        <f t="shared" si="113"/>
        <v>46851673.160303831</v>
      </c>
    </row>
    <row r="3608" spans="2:8" x14ac:dyDescent="0.4">
      <c r="B3608" s="1">
        <v>46157</v>
      </c>
      <c r="C3608" s="16">
        <f>SUMIF(매도완료!$G:$G,Sheet2!$B3608,매도완료!$P:$P)+SUMIF(ING!$G:$G,Sheet2!$B3608,ING!$P:$P)</f>
        <v>0</v>
      </c>
      <c r="D3608" s="16">
        <f>SUMIF(매도완료!$J:$J,Sheet2!$B3608,매도완료!$P:$P)+SUMIF(ING!$J:$J,Sheet2!$B3608,ING!$P:$P)</f>
        <v>0</v>
      </c>
      <c r="E3608" s="16">
        <f t="shared" si="112"/>
        <v>103544865.8344</v>
      </c>
      <c r="G3608" s="16">
        <f>IF(D3608=0,0,SUMIF(매도완료!$J:$J,Sheet2!$B3608,매도완료!$S:$S))+IF(D3608=0,0,SUMIF(ING!$J:$J,Sheet2!$B3608,ING!$S:$S))</f>
        <v>0</v>
      </c>
      <c r="H3608" s="16">
        <f t="shared" si="113"/>
        <v>46851673.160303831</v>
      </c>
    </row>
    <row r="3609" spans="2:8" x14ac:dyDescent="0.4">
      <c r="B3609" s="1">
        <v>46158</v>
      </c>
      <c r="C3609" s="16">
        <f>SUMIF(매도완료!$G:$G,Sheet2!$B3609,매도완료!$P:$P)+SUMIF(ING!$G:$G,Sheet2!$B3609,ING!$P:$P)</f>
        <v>0</v>
      </c>
      <c r="D3609" s="16">
        <f>SUMIF(매도완료!$J:$J,Sheet2!$B3609,매도완료!$P:$P)+SUMIF(ING!$J:$J,Sheet2!$B3609,ING!$P:$P)</f>
        <v>0</v>
      </c>
      <c r="E3609" s="16">
        <f t="shared" si="112"/>
        <v>103544865.8344</v>
      </c>
      <c r="G3609" s="16">
        <f>IF(D3609=0,0,SUMIF(매도완료!$J:$J,Sheet2!$B3609,매도완료!$S:$S))+IF(D3609=0,0,SUMIF(ING!$J:$J,Sheet2!$B3609,ING!$S:$S))</f>
        <v>0</v>
      </c>
      <c r="H3609" s="16">
        <f t="shared" si="113"/>
        <v>46851673.160303831</v>
      </c>
    </row>
    <row r="3610" spans="2:8" x14ac:dyDescent="0.4">
      <c r="B3610" s="1">
        <v>46159</v>
      </c>
      <c r="C3610" s="16">
        <f>SUMIF(매도완료!$G:$G,Sheet2!$B3610,매도완료!$P:$P)+SUMIF(ING!$G:$G,Sheet2!$B3610,ING!$P:$P)</f>
        <v>0</v>
      </c>
      <c r="D3610" s="16">
        <f>SUMIF(매도완료!$J:$J,Sheet2!$B3610,매도완료!$P:$P)+SUMIF(ING!$J:$J,Sheet2!$B3610,ING!$P:$P)</f>
        <v>0</v>
      </c>
      <c r="E3610" s="16">
        <f t="shared" si="112"/>
        <v>103544865.8344</v>
      </c>
      <c r="G3610" s="16">
        <f>IF(D3610=0,0,SUMIF(매도완료!$J:$J,Sheet2!$B3610,매도완료!$S:$S))+IF(D3610=0,0,SUMIF(ING!$J:$J,Sheet2!$B3610,ING!$S:$S))</f>
        <v>0</v>
      </c>
      <c r="H3610" s="16">
        <f t="shared" si="113"/>
        <v>46851673.160303831</v>
      </c>
    </row>
    <row r="3611" spans="2:8" x14ac:dyDescent="0.4">
      <c r="B3611" s="1">
        <v>46160</v>
      </c>
      <c r="C3611" s="16">
        <f>SUMIF(매도완료!$G:$G,Sheet2!$B3611,매도완료!$P:$P)+SUMIF(ING!$G:$G,Sheet2!$B3611,ING!$P:$P)</f>
        <v>0</v>
      </c>
      <c r="D3611" s="16">
        <f>SUMIF(매도완료!$J:$J,Sheet2!$B3611,매도완료!$P:$P)+SUMIF(ING!$J:$J,Sheet2!$B3611,ING!$P:$P)</f>
        <v>0</v>
      </c>
      <c r="E3611" s="16">
        <f t="shared" si="112"/>
        <v>103544865.8344</v>
      </c>
      <c r="G3611" s="16">
        <f>IF(D3611=0,0,SUMIF(매도완료!$J:$J,Sheet2!$B3611,매도완료!$S:$S))+IF(D3611=0,0,SUMIF(ING!$J:$J,Sheet2!$B3611,ING!$S:$S))</f>
        <v>0</v>
      </c>
      <c r="H3611" s="16">
        <f t="shared" si="113"/>
        <v>46851673.160303831</v>
      </c>
    </row>
    <row r="3612" spans="2:8" x14ac:dyDescent="0.4">
      <c r="B3612" s="1">
        <v>46161</v>
      </c>
      <c r="C3612" s="16">
        <f>SUMIF(매도완료!$G:$G,Sheet2!$B3612,매도완료!$P:$P)+SUMIF(ING!$G:$G,Sheet2!$B3612,ING!$P:$P)</f>
        <v>0</v>
      </c>
      <c r="D3612" s="16">
        <f>SUMIF(매도완료!$J:$J,Sheet2!$B3612,매도완료!$P:$P)+SUMIF(ING!$J:$J,Sheet2!$B3612,ING!$P:$P)</f>
        <v>0</v>
      </c>
      <c r="E3612" s="16">
        <f t="shared" si="112"/>
        <v>103544865.8344</v>
      </c>
      <c r="G3612" s="16">
        <f>IF(D3612=0,0,SUMIF(매도완료!$J:$J,Sheet2!$B3612,매도완료!$S:$S))+IF(D3612=0,0,SUMIF(ING!$J:$J,Sheet2!$B3612,ING!$S:$S))</f>
        <v>0</v>
      </c>
      <c r="H3612" s="16">
        <f t="shared" si="113"/>
        <v>46851673.160303831</v>
      </c>
    </row>
    <row r="3613" spans="2:8" x14ac:dyDescent="0.4">
      <c r="B3613" s="1">
        <v>46162</v>
      </c>
      <c r="C3613" s="16">
        <f>SUMIF(매도완료!$G:$G,Sheet2!$B3613,매도완료!$P:$P)+SUMIF(ING!$G:$G,Sheet2!$B3613,ING!$P:$P)</f>
        <v>0</v>
      </c>
      <c r="D3613" s="16">
        <f>SUMIF(매도완료!$J:$J,Sheet2!$B3613,매도완료!$P:$P)+SUMIF(ING!$J:$J,Sheet2!$B3613,ING!$P:$P)</f>
        <v>0</v>
      </c>
      <c r="E3613" s="16">
        <f t="shared" si="112"/>
        <v>103544865.8344</v>
      </c>
      <c r="G3613" s="16">
        <f>IF(D3613=0,0,SUMIF(매도완료!$J:$J,Sheet2!$B3613,매도완료!$S:$S))+IF(D3613=0,0,SUMIF(ING!$J:$J,Sheet2!$B3613,ING!$S:$S))</f>
        <v>0</v>
      </c>
      <c r="H3613" s="16">
        <f t="shared" si="113"/>
        <v>46851673.160303831</v>
      </c>
    </row>
    <row r="3614" spans="2:8" x14ac:dyDescent="0.4">
      <c r="B3614" s="1">
        <v>46163</v>
      </c>
      <c r="C3614" s="16">
        <f>SUMIF(매도완료!$G:$G,Sheet2!$B3614,매도완료!$P:$P)+SUMIF(ING!$G:$G,Sheet2!$B3614,ING!$P:$P)</f>
        <v>0</v>
      </c>
      <c r="D3614" s="16">
        <f>SUMIF(매도완료!$J:$J,Sheet2!$B3614,매도완료!$P:$P)+SUMIF(ING!$J:$J,Sheet2!$B3614,ING!$P:$P)</f>
        <v>0</v>
      </c>
      <c r="E3614" s="16">
        <f t="shared" si="112"/>
        <v>103544865.8344</v>
      </c>
      <c r="G3614" s="16">
        <f>IF(D3614=0,0,SUMIF(매도완료!$J:$J,Sheet2!$B3614,매도완료!$S:$S))+IF(D3614=0,0,SUMIF(ING!$J:$J,Sheet2!$B3614,ING!$S:$S))</f>
        <v>0</v>
      </c>
      <c r="H3614" s="16">
        <f t="shared" si="113"/>
        <v>46851673.160303831</v>
      </c>
    </row>
    <row r="3615" spans="2:8" x14ac:dyDescent="0.4">
      <c r="B3615" s="1">
        <v>46164</v>
      </c>
      <c r="C3615" s="16">
        <f>SUMIF(매도완료!$G:$G,Sheet2!$B3615,매도완료!$P:$P)+SUMIF(ING!$G:$G,Sheet2!$B3615,ING!$P:$P)</f>
        <v>0</v>
      </c>
      <c r="D3615" s="16">
        <f>SUMIF(매도완료!$J:$J,Sheet2!$B3615,매도완료!$P:$P)+SUMIF(ING!$J:$J,Sheet2!$B3615,ING!$P:$P)</f>
        <v>0</v>
      </c>
      <c r="E3615" s="16">
        <f t="shared" si="112"/>
        <v>103544865.8344</v>
      </c>
      <c r="G3615" s="16">
        <f>IF(D3615=0,0,SUMIF(매도완료!$J:$J,Sheet2!$B3615,매도완료!$S:$S))+IF(D3615=0,0,SUMIF(ING!$J:$J,Sheet2!$B3615,ING!$S:$S))</f>
        <v>0</v>
      </c>
      <c r="H3615" s="16">
        <f t="shared" si="113"/>
        <v>46851673.160303831</v>
      </c>
    </row>
    <row r="3616" spans="2:8" x14ac:dyDescent="0.4">
      <c r="B3616" s="1">
        <v>46165</v>
      </c>
      <c r="C3616" s="16">
        <f>SUMIF(매도완료!$G:$G,Sheet2!$B3616,매도완료!$P:$P)+SUMIF(ING!$G:$G,Sheet2!$B3616,ING!$P:$P)</f>
        <v>0</v>
      </c>
      <c r="D3616" s="16">
        <f>SUMIF(매도완료!$J:$J,Sheet2!$B3616,매도완료!$P:$P)+SUMIF(ING!$J:$J,Sheet2!$B3616,ING!$P:$P)</f>
        <v>0</v>
      </c>
      <c r="E3616" s="16">
        <f t="shared" si="112"/>
        <v>103544865.8344</v>
      </c>
      <c r="G3616" s="16">
        <f>IF(D3616=0,0,SUMIF(매도완료!$J:$J,Sheet2!$B3616,매도완료!$S:$S))+IF(D3616=0,0,SUMIF(ING!$J:$J,Sheet2!$B3616,ING!$S:$S))</f>
        <v>0</v>
      </c>
      <c r="H3616" s="16">
        <f t="shared" si="113"/>
        <v>46851673.160303831</v>
      </c>
    </row>
    <row r="3617" spans="2:8" x14ac:dyDescent="0.4">
      <c r="B3617" s="1">
        <v>46166</v>
      </c>
      <c r="C3617" s="16">
        <f>SUMIF(매도완료!$G:$G,Sheet2!$B3617,매도완료!$P:$P)+SUMIF(ING!$G:$G,Sheet2!$B3617,ING!$P:$P)</f>
        <v>0</v>
      </c>
      <c r="D3617" s="16">
        <f>SUMIF(매도완료!$J:$J,Sheet2!$B3617,매도완료!$P:$P)+SUMIF(ING!$J:$J,Sheet2!$B3617,ING!$P:$P)</f>
        <v>0</v>
      </c>
      <c r="E3617" s="16">
        <f t="shared" si="112"/>
        <v>103544865.8344</v>
      </c>
      <c r="G3617" s="16">
        <f>IF(D3617=0,0,SUMIF(매도완료!$J:$J,Sheet2!$B3617,매도완료!$S:$S))+IF(D3617=0,0,SUMIF(ING!$J:$J,Sheet2!$B3617,ING!$S:$S))</f>
        <v>0</v>
      </c>
      <c r="H3617" s="16">
        <f t="shared" si="113"/>
        <v>46851673.160303831</v>
      </c>
    </row>
    <row r="3618" spans="2:8" x14ac:dyDescent="0.4">
      <c r="B3618" s="1">
        <v>46167</v>
      </c>
      <c r="C3618" s="16">
        <f>SUMIF(매도완료!$G:$G,Sheet2!$B3618,매도완료!$P:$P)+SUMIF(ING!$G:$G,Sheet2!$B3618,ING!$P:$P)</f>
        <v>0</v>
      </c>
      <c r="D3618" s="16">
        <f>SUMIF(매도완료!$J:$J,Sheet2!$B3618,매도완료!$P:$P)+SUMIF(ING!$J:$J,Sheet2!$B3618,ING!$P:$P)</f>
        <v>0</v>
      </c>
      <c r="E3618" s="16">
        <f t="shared" si="112"/>
        <v>103544865.8344</v>
      </c>
      <c r="G3618" s="16">
        <f>IF(D3618=0,0,SUMIF(매도완료!$J:$J,Sheet2!$B3618,매도완료!$S:$S))+IF(D3618=0,0,SUMIF(ING!$J:$J,Sheet2!$B3618,ING!$S:$S))</f>
        <v>0</v>
      </c>
      <c r="H3618" s="16">
        <f t="shared" si="113"/>
        <v>46851673.160303831</v>
      </c>
    </row>
    <row r="3619" spans="2:8" x14ac:dyDescent="0.4">
      <c r="B3619" s="1">
        <v>46168</v>
      </c>
      <c r="C3619" s="16">
        <f>SUMIF(매도완료!$G:$G,Sheet2!$B3619,매도완료!$P:$P)+SUMIF(ING!$G:$G,Sheet2!$B3619,ING!$P:$P)</f>
        <v>0</v>
      </c>
      <c r="D3619" s="16">
        <f>SUMIF(매도완료!$J:$J,Sheet2!$B3619,매도완료!$P:$P)+SUMIF(ING!$J:$J,Sheet2!$B3619,ING!$P:$P)</f>
        <v>0</v>
      </c>
      <c r="E3619" s="16">
        <f t="shared" si="112"/>
        <v>103544865.8344</v>
      </c>
      <c r="G3619" s="16">
        <f>IF(D3619=0,0,SUMIF(매도완료!$J:$J,Sheet2!$B3619,매도완료!$S:$S))+IF(D3619=0,0,SUMIF(ING!$J:$J,Sheet2!$B3619,ING!$S:$S))</f>
        <v>0</v>
      </c>
      <c r="H3619" s="16">
        <f t="shared" si="113"/>
        <v>46851673.160303831</v>
      </c>
    </row>
    <row r="3620" spans="2:8" x14ac:dyDescent="0.4">
      <c r="B3620" s="1">
        <v>46169</v>
      </c>
      <c r="C3620" s="16">
        <f>SUMIF(매도완료!$G:$G,Sheet2!$B3620,매도완료!$P:$P)+SUMIF(ING!$G:$G,Sheet2!$B3620,ING!$P:$P)</f>
        <v>0</v>
      </c>
      <c r="D3620" s="16">
        <f>SUMIF(매도완료!$J:$J,Sheet2!$B3620,매도완료!$P:$P)+SUMIF(ING!$J:$J,Sheet2!$B3620,ING!$P:$P)</f>
        <v>0</v>
      </c>
      <c r="E3620" s="16">
        <f t="shared" si="112"/>
        <v>103544865.8344</v>
      </c>
      <c r="G3620" s="16">
        <f>IF(D3620=0,0,SUMIF(매도완료!$J:$J,Sheet2!$B3620,매도완료!$S:$S))+IF(D3620=0,0,SUMIF(ING!$J:$J,Sheet2!$B3620,ING!$S:$S))</f>
        <v>0</v>
      </c>
      <c r="H3620" s="16">
        <f t="shared" si="113"/>
        <v>46851673.160303831</v>
      </c>
    </row>
    <row r="3621" spans="2:8" x14ac:dyDescent="0.4">
      <c r="B3621" s="1">
        <v>46170</v>
      </c>
      <c r="C3621" s="16">
        <f>SUMIF(매도완료!$G:$G,Sheet2!$B3621,매도완료!$P:$P)+SUMIF(ING!$G:$G,Sheet2!$B3621,ING!$P:$P)</f>
        <v>0</v>
      </c>
      <c r="D3621" s="16">
        <f>SUMIF(매도완료!$J:$J,Sheet2!$B3621,매도완료!$P:$P)+SUMIF(ING!$J:$J,Sheet2!$B3621,ING!$P:$P)</f>
        <v>0</v>
      </c>
      <c r="E3621" s="16">
        <f t="shared" si="112"/>
        <v>103544865.8344</v>
      </c>
      <c r="G3621" s="16">
        <f>IF(D3621=0,0,SUMIF(매도완료!$J:$J,Sheet2!$B3621,매도완료!$S:$S))+IF(D3621=0,0,SUMIF(ING!$J:$J,Sheet2!$B3621,ING!$S:$S))</f>
        <v>0</v>
      </c>
      <c r="H3621" s="16">
        <f t="shared" si="113"/>
        <v>46851673.160303831</v>
      </c>
    </row>
    <row r="3622" spans="2:8" x14ac:dyDescent="0.4">
      <c r="B3622" s="1">
        <v>46171</v>
      </c>
      <c r="C3622" s="16">
        <f>SUMIF(매도완료!$G:$G,Sheet2!$B3622,매도완료!$P:$P)+SUMIF(ING!$G:$G,Sheet2!$B3622,ING!$P:$P)</f>
        <v>0</v>
      </c>
      <c r="D3622" s="16">
        <f>SUMIF(매도완료!$J:$J,Sheet2!$B3622,매도완료!$P:$P)+SUMIF(ING!$J:$J,Sheet2!$B3622,ING!$P:$P)</f>
        <v>0</v>
      </c>
      <c r="E3622" s="16">
        <f t="shared" si="112"/>
        <v>103544865.8344</v>
      </c>
      <c r="G3622" s="16">
        <f>IF(D3622=0,0,SUMIF(매도완료!$J:$J,Sheet2!$B3622,매도완료!$S:$S))+IF(D3622=0,0,SUMIF(ING!$J:$J,Sheet2!$B3622,ING!$S:$S))</f>
        <v>0</v>
      </c>
      <c r="H3622" s="16">
        <f t="shared" si="113"/>
        <v>46851673.160303831</v>
      </c>
    </row>
    <row r="3623" spans="2:8" x14ac:dyDescent="0.4">
      <c r="B3623" s="1">
        <v>46172</v>
      </c>
      <c r="C3623" s="16">
        <f>SUMIF(매도완료!$G:$G,Sheet2!$B3623,매도완료!$P:$P)+SUMIF(ING!$G:$G,Sheet2!$B3623,ING!$P:$P)</f>
        <v>0</v>
      </c>
      <c r="D3623" s="16">
        <f>SUMIF(매도완료!$J:$J,Sheet2!$B3623,매도완료!$P:$P)+SUMIF(ING!$J:$J,Sheet2!$B3623,ING!$P:$P)</f>
        <v>0</v>
      </c>
      <c r="E3623" s="16">
        <f t="shared" si="112"/>
        <v>103544865.8344</v>
      </c>
      <c r="G3623" s="16">
        <f>IF(D3623=0,0,SUMIF(매도완료!$J:$J,Sheet2!$B3623,매도완료!$S:$S))+IF(D3623=0,0,SUMIF(ING!$J:$J,Sheet2!$B3623,ING!$S:$S))</f>
        <v>0</v>
      </c>
      <c r="H3623" s="16">
        <f t="shared" si="113"/>
        <v>46851673.160303831</v>
      </c>
    </row>
    <row r="3624" spans="2:8" x14ac:dyDescent="0.4">
      <c r="B3624" s="1">
        <v>46173</v>
      </c>
      <c r="C3624" s="16">
        <f>SUMIF(매도완료!$G:$G,Sheet2!$B3624,매도완료!$P:$P)+SUMIF(ING!$G:$G,Sheet2!$B3624,ING!$P:$P)</f>
        <v>0</v>
      </c>
      <c r="D3624" s="16">
        <f>SUMIF(매도완료!$J:$J,Sheet2!$B3624,매도완료!$P:$P)+SUMIF(ING!$J:$J,Sheet2!$B3624,ING!$P:$P)</f>
        <v>0</v>
      </c>
      <c r="E3624" s="16">
        <f t="shared" si="112"/>
        <v>103544865.8344</v>
      </c>
      <c r="G3624" s="16">
        <f>IF(D3624=0,0,SUMIF(매도완료!$J:$J,Sheet2!$B3624,매도완료!$S:$S))+IF(D3624=0,0,SUMIF(ING!$J:$J,Sheet2!$B3624,ING!$S:$S))</f>
        <v>0</v>
      </c>
      <c r="H3624" s="16">
        <f t="shared" si="113"/>
        <v>46851673.160303831</v>
      </c>
    </row>
    <row r="3625" spans="2:8" x14ac:dyDescent="0.4">
      <c r="B3625" s="1">
        <v>46174</v>
      </c>
      <c r="C3625" s="16">
        <f>SUMIF(매도완료!$G:$G,Sheet2!$B3625,매도완료!$P:$P)+SUMIF(ING!$G:$G,Sheet2!$B3625,ING!$P:$P)</f>
        <v>0</v>
      </c>
      <c r="D3625" s="16">
        <f>SUMIF(매도완료!$J:$J,Sheet2!$B3625,매도완료!$P:$P)+SUMIF(ING!$J:$J,Sheet2!$B3625,ING!$P:$P)</f>
        <v>0</v>
      </c>
      <c r="E3625" s="16">
        <f t="shared" si="112"/>
        <v>103544865.8344</v>
      </c>
      <c r="G3625" s="16">
        <f>IF(D3625=0,0,SUMIF(매도완료!$J:$J,Sheet2!$B3625,매도완료!$S:$S))+IF(D3625=0,0,SUMIF(ING!$J:$J,Sheet2!$B3625,ING!$S:$S))</f>
        <v>0</v>
      </c>
      <c r="H3625" s="16">
        <f t="shared" si="113"/>
        <v>46851673.160303831</v>
      </c>
    </row>
    <row r="3626" spans="2:8" x14ac:dyDescent="0.4">
      <c r="B3626" s="1">
        <v>46175</v>
      </c>
      <c r="C3626" s="16">
        <f>SUMIF(매도완료!$G:$G,Sheet2!$B3626,매도완료!$P:$P)+SUMIF(ING!$G:$G,Sheet2!$B3626,ING!$P:$P)</f>
        <v>0</v>
      </c>
      <c r="D3626" s="16">
        <f>SUMIF(매도완료!$J:$J,Sheet2!$B3626,매도완료!$P:$P)+SUMIF(ING!$J:$J,Sheet2!$B3626,ING!$P:$P)</f>
        <v>0</v>
      </c>
      <c r="E3626" s="16">
        <f t="shared" si="112"/>
        <v>103544865.8344</v>
      </c>
      <c r="G3626" s="16">
        <f>IF(D3626=0,0,SUMIF(매도완료!$J:$J,Sheet2!$B3626,매도완료!$S:$S))+IF(D3626=0,0,SUMIF(ING!$J:$J,Sheet2!$B3626,ING!$S:$S))</f>
        <v>0</v>
      </c>
      <c r="H3626" s="16">
        <f t="shared" si="113"/>
        <v>46851673.160303831</v>
      </c>
    </row>
    <row r="3627" spans="2:8" x14ac:dyDescent="0.4">
      <c r="B3627" s="1">
        <v>46176</v>
      </c>
      <c r="C3627" s="16">
        <f>SUMIF(매도완료!$G:$G,Sheet2!$B3627,매도완료!$P:$P)+SUMIF(ING!$G:$G,Sheet2!$B3627,ING!$P:$P)</f>
        <v>0</v>
      </c>
      <c r="D3627" s="16">
        <f>SUMIF(매도완료!$J:$J,Sheet2!$B3627,매도완료!$P:$P)+SUMIF(ING!$J:$J,Sheet2!$B3627,ING!$P:$P)</f>
        <v>0</v>
      </c>
      <c r="E3627" s="16">
        <f t="shared" si="112"/>
        <v>103544865.8344</v>
      </c>
      <c r="G3627" s="16">
        <f>IF(D3627=0,0,SUMIF(매도완료!$J:$J,Sheet2!$B3627,매도완료!$S:$S))+IF(D3627=0,0,SUMIF(ING!$J:$J,Sheet2!$B3627,ING!$S:$S))</f>
        <v>0</v>
      </c>
      <c r="H3627" s="16">
        <f t="shared" si="113"/>
        <v>46851673.160303831</v>
      </c>
    </row>
    <row r="3628" spans="2:8" x14ac:dyDescent="0.4">
      <c r="B3628" s="1">
        <v>46177</v>
      </c>
      <c r="C3628" s="16">
        <f>SUMIF(매도완료!$G:$G,Sheet2!$B3628,매도완료!$P:$P)+SUMIF(ING!$G:$G,Sheet2!$B3628,ING!$P:$P)</f>
        <v>0</v>
      </c>
      <c r="D3628" s="16">
        <f>SUMIF(매도완료!$J:$J,Sheet2!$B3628,매도완료!$P:$P)+SUMIF(ING!$J:$J,Sheet2!$B3628,ING!$P:$P)</f>
        <v>0</v>
      </c>
      <c r="E3628" s="16">
        <f t="shared" si="112"/>
        <v>103544865.8344</v>
      </c>
      <c r="G3628" s="16">
        <f>IF(D3628=0,0,SUMIF(매도완료!$J:$J,Sheet2!$B3628,매도완료!$S:$S))+IF(D3628=0,0,SUMIF(ING!$J:$J,Sheet2!$B3628,ING!$S:$S))</f>
        <v>0</v>
      </c>
      <c r="H3628" s="16">
        <f t="shared" si="113"/>
        <v>46851673.160303831</v>
      </c>
    </row>
    <row r="3629" spans="2:8" x14ac:dyDescent="0.4">
      <c r="B3629" s="1">
        <v>46178</v>
      </c>
      <c r="C3629" s="16">
        <f>SUMIF(매도완료!$G:$G,Sheet2!$B3629,매도완료!$P:$P)+SUMIF(ING!$G:$G,Sheet2!$B3629,ING!$P:$P)</f>
        <v>0</v>
      </c>
      <c r="D3629" s="16">
        <f>SUMIF(매도완료!$J:$J,Sheet2!$B3629,매도완료!$P:$P)+SUMIF(ING!$J:$J,Sheet2!$B3629,ING!$P:$P)</f>
        <v>0</v>
      </c>
      <c r="E3629" s="16">
        <f t="shared" si="112"/>
        <v>103544865.8344</v>
      </c>
      <c r="G3629" s="16">
        <f>IF(D3629=0,0,SUMIF(매도완료!$J:$J,Sheet2!$B3629,매도완료!$S:$S))+IF(D3629=0,0,SUMIF(ING!$J:$J,Sheet2!$B3629,ING!$S:$S))</f>
        <v>0</v>
      </c>
      <c r="H3629" s="16">
        <f t="shared" si="113"/>
        <v>46851673.160303831</v>
      </c>
    </row>
    <row r="3630" spans="2:8" x14ac:dyDescent="0.4">
      <c r="B3630" s="1">
        <v>46179</v>
      </c>
      <c r="C3630" s="16">
        <f>SUMIF(매도완료!$G:$G,Sheet2!$B3630,매도완료!$P:$P)+SUMIF(ING!$G:$G,Sheet2!$B3630,ING!$P:$P)</f>
        <v>0</v>
      </c>
      <c r="D3630" s="16">
        <f>SUMIF(매도완료!$J:$J,Sheet2!$B3630,매도완료!$P:$P)+SUMIF(ING!$J:$J,Sheet2!$B3630,ING!$P:$P)</f>
        <v>0</v>
      </c>
      <c r="E3630" s="16">
        <f t="shared" si="112"/>
        <v>103544865.8344</v>
      </c>
      <c r="G3630" s="16">
        <f>IF(D3630=0,0,SUMIF(매도완료!$J:$J,Sheet2!$B3630,매도완료!$S:$S))+IF(D3630=0,0,SUMIF(ING!$J:$J,Sheet2!$B3630,ING!$S:$S))</f>
        <v>0</v>
      </c>
      <c r="H3630" s="16">
        <f t="shared" si="113"/>
        <v>46851673.160303831</v>
      </c>
    </row>
    <row r="3631" spans="2:8" x14ac:dyDescent="0.4">
      <c r="B3631" s="1">
        <v>46180</v>
      </c>
      <c r="C3631" s="16">
        <f>SUMIF(매도완료!$G:$G,Sheet2!$B3631,매도완료!$P:$P)+SUMIF(ING!$G:$G,Sheet2!$B3631,ING!$P:$P)</f>
        <v>0</v>
      </c>
      <c r="D3631" s="16">
        <f>SUMIF(매도완료!$J:$J,Sheet2!$B3631,매도완료!$P:$P)+SUMIF(ING!$J:$J,Sheet2!$B3631,ING!$P:$P)</f>
        <v>0</v>
      </c>
      <c r="E3631" s="16">
        <f t="shared" si="112"/>
        <v>103544865.8344</v>
      </c>
      <c r="G3631" s="16">
        <f>IF(D3631=0,0,SUMIF(매도완료!$J:$J,Sheet2!$B3631,매도완료!$S:$S))+IF(D3631=0,0,SUMIF(ING!$J:$J,Sheet2!$B3631,ING!$S:$S))</f>
        <v>0</v>
      </c>
      <c r="H3631" s="16">
        <f t="shared" si="113"/>
        <v>46851673.160303831</v>
      </c>
    </row>
    <row r="3632" spans="2:8" x14ac:dyDescent="0.4">
      <c r="B3632" s="1">
        <v>46181</v>
      </c>
      <c r="C3632" s="16">
        <f>SUMIF(매도완료!$G:$G,Sheet2!$B3632,매도완료!$P:$P)+SUMIF(ING!$G:$G,Sheet2!$B3632,ING!$P:$P)</f>
        <v>0</v>
      </c>
      <c r="D3632" s="16">
        <f>SUMIF(매도완료!$J:$J,Sheet2!$B3632,매도완료!$P:$P)+SUMIF(ING!$J:$J,Sheet2!$B3632,ING!$P:$P)</f>
        <v>0</v>
      </c>
      <c r="E3632" s="16">
        <f t="shared" si="112"/>
        <v>103544865.8344</v>
      </c>
      <c r="G3632" s="16">
        <f>IF(D3632=0,0,SUMIF(매도완료!$J:$J,Sheet2!$B3632,매도완료!$S:$S))+IF(D3632=0,0,SUMIF(ING!$J:$J,Sheet2!$B3632,ING!$S:$S))</f>
        <v>0</v>
      </c>
      <c r="H3632" s="16">
        <f t="shared" si="113"/>
        <v>46851673.160303831</v>
      </c>
    </row>
    <row r="3633" spans="2:8" x14ac:dyDescent="0.4">
      <c r="B3633" s="1">
        <v>46182</v>
      </c>
      <c r="C3633" s="16">
        <f>SUMIF(매도완료!$G:$G,Sheet2!$B3633,매도완료!$P:$P)+SUMIF(ING!$G:$G,Sheet2!$B3633,ING!$P:$P)</f>
        <v>0</v>
      </c>
      <c r="D3633" s="16">
        <f>SUMIF(매도완료!$J:$J,Sheet2!$B3633,매도완료!$P:$P)+SUMIF(ING!$J:$J,Sheet2!$B3633,ING!$P:$P)</f>
        <v>0</v>
      </c>
      <c r="E3633" s="16">
        <f t="shared" si="112"/>
        <v>103544865.8344</v>
      </c>
      <c r="G3633" s="16">
        <f>IF(D3633=0,0,SUMIF(매도완료!$J:$J,Sheet2!$B3633,매도완료!$S:$S))+IF(D3633=0,0,SUMIF(ING!$J:$J,Sheet2!$B3633,ING!$S:$S))</f>
        <v>0</v>
      </c>
      <c r="H3633" s="16">
        <f t="shared" si="113"/>
        <v>46851673.160303831</v>
      </c>
    </row>
    <row r="3634" spans="2:8" x14ac:dyDescent="0.4">
      <c r="B3634" s="1">
        <v>46183</v>
      </c>
      <c r="C3634" s="16">
        <f>SUMIF(매도완료!$G:$G,Sheet2!$B3634,매도완료!$P:$P)+SUMIF(ING!$G:$G,Sheet2!$B3634,ING!$P:$P)</f>
        <v>0</v>
      </c>
      <c r="D3634" s="16">
        <f>SUMIF(매도완료!$J:$J,Sheet2!$B3634,매도완료!$P:$P)+SUMIF(ING!$J:$J,Sheet2!$B3634,ING!$P:$P)</f>
        <v>0</v>
      </c>
      <c r="E3634" s="16">
        <f t="shared" si="112"/>
        <v>103544865.8344</v>
      </c>
      <c r="G3634" s="16">
        <f>IF(D3634=0,0,SUMIF(매도완료!$J:$J,Sheet2!$B3634,매도완료!$S:$S))+IF(D3634=0,0,SUMIF(ING!$J:$J,Sheet2!$B3634,ING!$S:$S))</f>
        <v>0</v>
      </c>
      <c r="H3634" s="16">
        <f t="shared" si="113"/>
        <v>46851673.160303831</v>
      </c>
    </row>
    <row r="3635" spans="2:8" x14ac:dyDescent="0.4">
      <c r="B3635" s="1">
        <v>46184</v>
      </c>
      <c r="C3635" s="16">
        <f>SUMIF(매도완료!$G:$G,Sheet2!$B3635,매도완료!$P:$P)+SUMIF(ING!$G:$G,Sheet2!$B3635,ING!$P:$P)</f>
        <v>0</v>
      </c>
      <c r="D3635" s="16">
        <f>SUMIF(매도완료!$J:$J,Sheet2!$B3635,매도완료!$P:$P)+SUMIF(ING!$J:$J,Sheet2!$B3635,ING!$P:$P)</f>
        <v>0</v>
      </c>
      <c r="E3635" s="16">
        <f t="shared" si="112"/>
        <v>103544865.8344</v>
      </c>
      <c r="G3635" s="16">
        <f>IF(D3635=0,0,SUMIF(매도완료!$J:$J,Sheet2!$B3635,매도완료!$S:$S))+IF(D3635=0,0,SUMIF(ING!$J:$J,Sheet2!$B3635,ING!$S:$S))</f>
        <v>0</v>
      </c>
      <c r="H3635" s="16">
        <f t="shared" si="113"/>
        <v>46851673.160303831</v>
      </c>
    </row>
    <row r="3636" spans="2:8" x14ac:dyDescent="0.4">
      <c r="B3636" s="1">
        <v>46185</v>
      </c>
      <c r="C3636" s="16">
        <f>SUMIF(매도완료!$G:$G,Sheet2!$B3636,매도완료!$P:$P)+SUMIF(ING!$G:$G,Sheet2!$B3636,ING!$P:$P)</f>
        <v>0</v>
      </c>
      <c r="D3636" s="16">
        <f>SUMIF(매도완료!$J:$J,Sheet2!$B3636,매도완료!$P:$P)+SUMIF(ING!$J:$J,Sheet2!$B3636,ING!$P:$P)</f>
        <v>0</v>
      </c>
      <c r="E3636" s="16">
        <f t="shared" si="112"/>
        <v>103544865.8344</v>
      </c>
      <c r="G3636" s="16">
        <f>IF(D3636=0,0,SUMIF(매도완료!$J:$J,Sheet2!$B3636,매도완료!$S:$S))+IF(D3636=0,0,SUMIF(ING!$J:$J,Sheet2!$B3636,ING!$S:$S))</f>
        <v>0</v>
      </c>
      <c r="H3636" s="16">
        <f t="shared" si="113"/>
        <v>46851673.160303831</v>
      </c>
    </row>
    <row r="3637" spans="2:8" x14ac:dyDescent="0.4">
      <c r="B3637" s="1">
        <v>46186</v>
      </c>
      <c r="C3637" s="16">
        <f>SUMIF(매도완료!$G:$G,Sheet2!$B3637,매도완료!$P:$P)+SUMIF(ING!$G:$G,Sheet2!$B3637,ING!$P:$P)</f>
        <v>0</v>
      </c>
      <c r="D3637" s="16">
        <f>SUMIF(매도완료!$J:$J,Sheet2!$B3637,매도완료!$P:$P)+SUMIF(ING!$J:$J,Sheet2!$B3637,ING!$P:$P)</f>
        <v>0</v>
      </c>
      <c r="E3637" s="16">
        <f t="shared" si="112"/>
        <v>103544865.8344</v>
      </c>
      <c r="G3637" s="16">
        <f>IF(D3637=0,0,SUMIF(매도완료!$J:$J,Sheet2!$B3637,매도완료!$S:$S))+IF(D3637=0,0,SUMIF(ING!$J:$J,Sheet2!$B3637,ING!$S:$S))</f>
        <v>0</v>
      </c>
      <c r="H3637" s="16">
        <f t="shared" si="113"/>
        <v>46851673.160303831</v>
      </c>
    </row>
    <row r="3638" spans="2:8" x14ac:dyDescent="0.4">
      <c r="B3638" s="1">
        <v>46187</v>
      </c>
      <c r="C3638" s="16">
        <f>SUMIF(매도완료!$G:$G,Sheet2!$B3638,매도완료!$P:$P)+SUMIF(ING!$G:$G,Sheet2!$B3638,ING!$P:$P)</f>
        <v>0</v>
      </c>
      <c r="D3638" s="16">
        <f>SUMIF(매도완료!$J:$J,Sheet2!$B3638,매도완료!$P:$P)+SUMIF(ING!$J:$J,Sheet2!$B3638,ING!$P:$P)</f>
        <v>0</v>
      </c>
      <c r="E3638" s="16">
        <f t="shared" si="112"/>
        <v>103544865.8344</v>
      </c>
      <c r="G3638" s="16">
        <f>IF(D3638=0,0,SUMIF(매도완료!$J:$J,Sheet2!$B3638,매도완료!$S:$S))+IF(D3638=0,0,SUMIF(ING!$J:$J,Sheet2!$B3638,ING!$S:$S))</f>
        <v>0</v>
      </c>
      <c r="H3638" s="16">
        <f t="shared" si="113"/>
        <v>46851673.160303831</v>
      </c>
    </row>
    <row r="3639" spans="2:8" x14ac:dyDescent="0.4">
      <c r="B3639" s="1">
        <v>46188</v>
      </c>
      <c r="C3639" s="16">
        <f>SUMIF(매도완료!$G:$G,Sheet2!$B3639,매도완료!$P:$P)+SUMIF(ING!$G:$G,Sheet2!$B3639,ING!$P:$P)</f>
        <v>0</v>
      </c>
      <c r="D3639" s="16">
        <f>SUMIF(매도완료!$J:$J,Sheet2!$B3639,매도완료!$P:$P)+SUMIF(ING!$J:$J,Sheet2!$B3639,ING!$P:$P)</f>
        <v>0</v>
      </c>
      <c r="E3639" s="16">
        <f t="shared" si="112"/>
        <v>103544865.8344</v>
      </c>
      <c r="G3639" s="16">
        <f>IF(D3639=0,0,SUMIF(매도완료!$J:$J,Sheet2!$B3639,매도완료!$S:$S))+IF(D3639=0,0,SUMIF(ING!$J:$J,Sheet2!$B3639,ING!$S:$S))</f>
        <v>0</v>
      </c>
      <c r="H3639" s="16">
        <f t="shared" si="113"/>
        <v>46851673.160303831</v>
      </c>
    </row>
    <row r="3640" spans="2:8" x14ac:dyDescent="0.4">
      <c r="B3640" s="1">
        <v>46189</v>
      </c>
      <c r="C3640" s="16">
        <f>SUMIF(매도완료!$G:$G,Sheet2!$B3640,매도완료!$P:$P)+SUMIF(ING!$G:$G,Sheet2!$B3640,ING!$P:$P)</f>
        <v>0</v>
      </c>
      <c r="D3640" s="16">
        <f>SUMIF(매도완료!$J:$J,Sheet2!$B3640,매도완료!$P:$P)+SUMIF(ING!$J:$J,Sheet2!$B3640,ING!$P:$P)</f>
        <v>0</v>
      </c>
      <c r="E3640" s="16">
        <f t="shared" si="112"/>
        <v>103544865.8344</v>
      </c>
      <c r="G3640" s="16">
        <f>IF(D3640=0,0,SUMIF(매도완료!$J:$J,Sheet2!$B3640,매도완료!$S:$S))+IF(D3640=0,0,SUMIF(ING!$J:$J,Sheet2!$B3640,ING!$S:$S))</f>
        <v>0</v>
      </c>
      <c r="H3640" s="16">
        <f t="shared" si="113"/>
        <v>46851673.160303831</v>
      </c>
    </row>
    <row r="3641" spans="2:8" x14ac:dyDescent="0.4">
      <c r="B3641" s="1">
        <v>46190</v>
      </c>
      <c r="C3641" s="16">
        <f>SUMIF(매도완료!$G:$G,Sheet2!$B3641,매도완료!$P:$P)+SUMIF(ING!$G:$G,Sheet2!$B3641,ING!$P:$P)</f>
        <v>0</v>
      </c>
      <c r="D3641" s="16">
        <f>SUMIF(매도완료!$J:$J,Sheet2!$B3641,매도완료!$P:$P)+SUMIF(ING!$J:$J,Sheet2!$B3641,ING!$P:$P)</f>
        <v>0</v>
      </c>
      <c r="E3641" s="16">
        <f t="shared" si="112"/>
        <v>103544865.8344</v>
      </c>
      <c r="G3641" s="16">
        <f>IF(D3641=0,0,SUMIF(매도완료!$J:$J,Sheet2!$B3641,매도완료!$S:$S))+IF(D3641=0,0,SUMIF(ING!$J:$J,Sheet2!$B3641,ING!$S:$S))</f>
        <v>0</v>
      </c>
      <c r="H3641" s="16">
        <f t="shared" si="113"/>
        <v>46851673.160303831</v>
      </c>
    </row>
    <row r="3642" spans="2:8" x14ac:dyDescent="0.4">
      <c r="B3642" s="1">
        <v>46191</v>
      </c>
      <c r="C3642" s="16">
        <f>SUMIF(매도완료!$G:$G,Sheet2!$B3642,매도완료!$P:$P)+SUMIF(ING!$G:$G,Sheet2!$B3642,ING!$P:$P)</f>
        <v>0</v>
      </c>
      <c r="D3642" s="16">
        <f>SUMIF(매도완료!$J:$J,Sheet2!$B3642,매도완료!$P:$P)+SUMIF(ING!$J:$J,Sheet2!$B3642,ING!$P:$P)</f>
        <v>0</v>
      </c>
      <c r="E3642" s="16">
        <f t="shared" si="112"/>
        <v>103544865.8344</v>
      </c>
      <c r="G3642" s="16">
        <f>IF(D3642=0,0,SUMIF(매도완료!$J:$J,Sheet2!$B3642,매도완료!$S:$S))+IF(D3642=0,0,SUMIF(ING!$J:$J,Sheet2!$B3642,ING!$S:$S))</f>
        <v>0</v>
      </c>
      <c r="H3642" s="16">
        <f t="shared" si="113"/>
        <v>46851673.160303831</v>
      </c>
    </row>
    <row r="3643" spans="2:8" x14ac:dyDescent="0.4">
      <c r="B3643" s="1">
        <v>46192</v>
      </c>
      <c r="C3643" s="16">
        <f>SUMIF(매도완료!$G:$G,Sheet2!$B3643,매도완료!$P:$P)+SUMIF(ING!$G:$G,Sheet2!$B3643,ING!$P:$P)</f>
        <v>0</v>
      </c>
      <c r="D3643" s="16">
        <f>SUMIF(매도완료!$J:$J,Sheet2!$B3643,매도완료!$P:$P)+SUMIF(ING!$J:$J,Sheet2!$B3643,ING!$P:$P)</f>
        <v>0</v>
      </c>
      <c r="E3643" s="16">
        <f t="shared" si="112"/>
        <v>103544865.8344</v>
      </c>
      <c r="G3643" s="16">
        <f>IF(D3643=0,0,SUMIF(매도완료!$J:$J,Sheet2!$B3643,매도완료!$S:$S))+IF(D3643=0,0,SUMIF(ING!$J:$J,Sheet2!$B3643,ING!$S:$S))</f>
        <v>0</v>
      </c>
      <c r="H3643" s="16">
        <f t="shared" si="113"/>
        <v>46851673.160303831</v>
      </c>
    </row>
    <row r="3644" spans="2:8" x14ac:dyDescent="0.4">
      <c r="B3644" s="1">
        <v>46193</v>
      </c>
      <c r="C3644" s="16">
        <f>SUMIF(매도완료!$G:$G,Sheet2!$B3644,매도완료!$P:$P)+SUMIF(ING!$G:$G,Sheet2!$B3644,ING!$P:$P)</f>
        <v>0</v>
      </c>
      <c r="D3644" s="16">
        <f>SUMIF(매도완료!$J:$J,Sheet2!$B3644,매도완료!$P:$P)+SUMIF(ING!$J:$J,Sheet2!$B3644,ING!$P:$P)</f>
        <v>0</v>
      </c>
      <c r="E3644" s="16">
        <f t="shared" si="112"/>
        <v>103544865.8344</v>
      </c>
      <c r="G3644" s="16">
        <f>IF(D3644=0,0,SUMIF(매도완료!$J:$J,Sheet2!$B3644,매도완료!$S:$S))+IF(D3644=0,0,SUMIF(ING!$J:$J,Sheet2!$B3644,ING!$S:$S))</f>
        <v>0</v>
      </c>
      <c r="H3644" s="16">
        <f t="shared" si="113"/>
        <v>46851673.160303831</v>
      </c>
    </row>
    <row r="3645" spans="2:8" x14ac:dyDescent="0.4">
      <c r="B3645" s="1">
        <v>46194</v>
      </c>
      <c r="C3645" s="16">
        <f>SUMIF(매도완료!$G:$G,Sheet2!$B3645,매도완료!$P:$P)+SUMIF(ING!$G:$G,Sheet2!$B3645,ING!$P:$P)</f>
        <v>0</v>
      </c>
      <c r="D3645" s="16">
        <f>SUMIF(매도완료!$J:$J,Sheet2!$B3645,매도완료!$P:$P)+SUMIF(ING!$J:$J,Sheet2!$B3645,ING!$P:$P)</f>
        <v>0</v>
      </c>
      <c r="E3645" s="16">
        <f t="shared" si="112"/>
        <v>103544865.8344</v>
      </c>
      <c r="G3645" s="16">
        <f>IF(D3645=0,0,SUMIF(매도완료!$J:$J,Sheet2!$B3645,매도완료!$S:$S))+IF(D3645=0,0,SUMIF(ING!$J:$J,Sheet2!$B3645,ING!$S:$S))</f>
        <v>0</v>
      </c>
      <c r="H3645" s="16">
        <f t="shared" si="113"/>
        <v>46851673.160303831</v>
      </c>
    </row>
    <row r="3646" spans="2:8" x14ac:dyDescent="0.4">
      <c r="B3646" s="1">
        <v>46195</v>
      </c>
      <c r="C3646" s="16">
        <f>SUMIF(매도완료!$G:$G,Sheet2!$B3646,매도완료!$P:$P)+SUMIF(ING!$G:$G,Sheet2!$B3646,ING!$P:$P)</f>
        <v>0</v>
      </c>
      <c r="D3646" s="16">
        <f>SUMIF(매도완료!$J:$J,Sheet2!$B3646,매도완료!$P:$P)+SUMIF(ING!$J:$J,Sheet2!$B3646,ING!$P:$P)</f>
        <v>0</v>
      </c>
      <c r="E3646" s="16">
        <f t="shared" si="112"/>
        <v>103544865.8344</v>
      </c>
      <c r="G3646" s="16">
        <f>IF(D3646=0,0,SUMIF(매도완료!$J:$J,Sheet2!$B3646,매도완료!$S:$S))+IF(D3646=0,0,SUMIF(ING!$J:$J,Sheet2!$B3646,ING!$S:$S))</f>
        <v>0</v>
      </c>
      <c r="H3646" s="16">
        <f t="shared" si="113"/>
        <v>46851673.160303831</v>
      </c>
    </row>
    <row r="3647" spans="2:8" x14ac:dyDescent="0.4">
      <c r="B3647" s="1">
        <v>46196</v>
      </c>
      <c r="C3647" s="16">
        <f>SUMIF(매도완료!$G:$G,Sheet2!$B3647,매도완료!$P:$P)+SUMIF(ING!$G:$G,Sheet2!$B3647,ING!$P:$P)</f>
        <v>0</v>
      </c>
      <c r="D3647" s="16">
        <f>SUMIF(매도완료!$J:$J,Sheet2!$B3647,매도완료!$P:$P)+SUMIF(ING!$J:$J,Sheet2!$B3647,ING!$P:$P)</f>
        <v>0</v>
      </c>
      <c r="E3647" s="16">
        <f t="shared" si="112"/>
        <v>103544865.8344</v>
      </c>
      <c r="G3647" s="16">
        <f>IF(D3647=0,0,SUMIF(매도완료!$J:$J,Sheet2!$B3647,매도완료!$S:$S))+IF(D3647=0,0,SUMIF(ING!$J:$J,Sheet2!$B3647,ING!$S:$S))</f>
        <v>0</v>
      </c>
      <c r="H3647" s="16">
        <f t="shared" si="113"/>
        <v>46851673.160303831</v>
      </c>
    </row>
    <row r="3648" spans="2:8" x14ac:dyDescent="0.4">
      <c r="B3648" s="1">
        <v>46197</v>
      </c>
      <c r="C3648" s="16">
        <f>SUMIF(매도완료!$G:$G,Sheet2!$B3648,매도완료!$P:$P)+SUMIF(ING!$G:$G,Sheet2!$B3648,ING!$P:$P)</f>
        <v>0</v>
      </c>
      <c r="D3648" s="16">
        <f>SUMIF(매도완료!$J:$J,Sheet2!$B3648,매도완료!$P:$P)+SUMIF(ING!$J:$J,Sheet2!$B3648,ING!$P:$P)</f>
        <v>0</v>
      </c>
      <c r="E3648" s="16">
        <f t="shared" si="112"/>
        <v>103544865.8344</v>
      </c>
      <c r="G3648" s="16">
        <f>IF(D3648=0,0,SUMIF(매도완료!$J:$J,Sheet2!$B3648,매도완료!$S:$S))+IF(D3648=0,0,SUMIF(ING!$J:$J,Sheet2!$B3648,ING!$S:$S))</f>
        <v>0</v>
      </c>
      <c r="H3648" s="16">
        <f t="shared" si="113"/>
        <v>46851673.160303831</v>
      </c>
    </row>
    <row r="3649" spans="2:8" x14ac:dyDescent="0.4">
      <c r="B3649" s="1">
        <v>46198</v>
      </c>
      <c r="C3649" s="16">
        <f>SUMIF(매도완료!$G:$G,Sheet2!$B3649,매도완료!$P:$P)+SUMIF(ING!$G:$G,Sheet2!$B3649,ING!$P:$P)</f>
        <v>0</v>
      </c>
      <c r="D3649" s="16">
        <f>SUMIF(매도완료!$J:$J,Sheet2!$B3649,매도완료!$P:$P)+SUMIF(ING!$J:$J,Sheet2!$B3649,ING!$P:$P)</f>
        <v>0</v>
      </c>
      <c r="E3649" s="16">
        <f t="shared" si="112"/>
        <v>103544865.8344</v>
      </c>
      <c r="G3649" s="16">
        <f>IF(D3649=0,0,SUMIF(매도완료!$J:$J,Sheet2!$B3649,매도완료!$S:$S))+IF(D3649=0,0,SUMIF(ING!$J:$J,Sheet2!$B3649,ING!$S:$S))</f>
        <v>0</v>
      </c>
      <c r="H3649" s="16">
        <f t="shared" si="113"/>
        <v>46851673.160303831</v>
      </c>
    </row>
    <row r="3650" spans="2:8" x14ac:dyDescent="0.4">
      <c r="B3650" s="1">
        <v>46199</v>
      </c>
      <c r="C3650" s="16">
        <f>SUMIF(매도완료!$G:$G,Sheet2!$B3650,매도완료!$P:$P)+SUMIF(ING!$G:$G,Sheet2!$B3650,ING!$P:$P)</f>
        <v>0</v>
      </c>
      <c r="D3650" s="16">
        <f>SUMIF(매도완료!$J:$J,Sheet2!$B3650,매도완료!$P:$P)+SUMIF(ING!$J:$J,Sheet2!$B3650,ING!$P:$P)</f>
        <v>0</v>
      </c>
      <c r="E3650" s="16">
        <f t="shared" si="112"/>
        <v>103544865.8344</v>
      </c>
      <c r="G3650" s="16">
        <f>IF(D3650=0,0,SUMIF(매도완료!$J:$J,Sheet2!$B3650,매도완료!$S:$S))+IF(D3650=0,0,SUMIF(ING!$J:$J,Sheet2!$B3650,ING!$S:$S))</f>
        <v>0</v>
      </c>
      <c r="H3650" s="16">
        <f t="shared" si="113"/>
        <v>46851673.160303831</v>
      </c>
    </row>
    <row r="3651" spans="2:8" x14ac:dyDescent="0.4">
      <c r="B3651" s="1">
        <v>46200</v>
      </c>
      <c r="C3651" s="16">
        <f>SUMIF(매도완료!$G:$G,Sheet2!$B3651,매도완료!$P:$P)+SUMIF(ING!$G:$G,Sheet2!$B3651,ING!$P:$P)</f>
        <v>0</v>
      </c>
      <c r="D3651" s="16">
        <f>SUMIF(매도완료!$J:$J,Sheet2!$B3651,매도완료!$P:$P)+SUMIF(ING!$J:$J,Sheet2!$B3651,ING!$P:$P)</f>
        <v>0</v>
      </c>
      <c r="E3651" s="16">
        <f t="shared" si="112"/>
        <v>103544865.8344</v>
      </c>
      <c r="G3651" s="16">
        <f>IF(D3651=0,0,SUMIF(매도완료!$J:$J,Sheet2!$B3651,매도완료!$S:$S))+IF(D3651=0,0,SUMIF(ING!$J:$J,Sheet2!$B3651,ING!$S:$S))</f>
        <v>0</v>
      </c>
      <c r="H3651" s="16">
        <f t="shared" si="113"/>
        <v>46851673.160303831</v>
      </c>
    </row>
    <row r="3652" spans="2:8" x14ac:dyDescent="0.4">
      <c r="B3652" s="1">
        <v>46201</v>
      </c>
      <c r="C3652" s="16">
        <f>SUMIF(매도완료!$G:$G,Sheet2!$B3652,매도완료!$P:$P)+SUMIF(ING!$G:$G,Sheet2!$B3652,ING!$P:$P)</f>
        <v>0</v>
      </c>
      <c r="D3652" s="16">
        <f>SUMIF(매도완료!$J:$J,Sheet2!$B3652,매도완료!$P:$P)+SUMIF(ING!$J:$J,Sheet2!$B3652,ING!$P:$P)</f>
        <v>0</v>
      </c>
      <c r="E3652" s="16">
        <f t="shared" ref="E3652:E3715" si="114">E3651+C3652-D3652</f>
        <v>103544865.8344</v>
      </c>
      <c r="G3652" s="16">
        <f>IF(D3652=0,0,SUMIF(매도완료!$J:$J,Sheet2!$B3652,매도완료!$S:$S))+IF(D3652=0,0,SUMIF(ING!$J:$J,Sheet2!$B3652,ING!$S:$S))</f>
        <v>0</v>
      </c>
      <c r="H3652" s="16">
        <f t="shared" ref="H3652:H3715" si="115">H3651+G3652</f>
        <v>46851673.160303831</v>
      </c>
    </row>
    <row r="3653" spans="2:8" x14ac:dyDescent="0.4">
      <c r="B3653" s="1">
        <v>46202</v>
      </c>
      <c r="C3653" s="16">
        <f>SUMIF(매도완료!$G:$G,Sheet2!$B3653,매도완료!$P:$P)+SUMIF(ING!$G:$G,Sheet2!$B3653,ING!$P:$P)</f>
        <v>0</v>
      </c>
      <c r="D3653" s="16">
        <f>SUMIF(매도완료!$J:$J,Sheet2!$B3653,매도완료!$P:$P)+SUMIF(ING!$J:$J,Sheet2!$B3653,ING!$P:$P)</f>
        <v>0</v>
      </c>
      <c r="E3653" s="16">
        <f t="shared" si="114"/>
        <v>103544865.8344</v>
      </c>
      <c r="G3653" s="16">
        <f>IF(D3653=0,0,SUMIF(매도완료!$J:$J,Sheet2!$B3653,매도완료!$S:$S))+IF(D3653=0,0,SUMIF(ING!$J:$J,Sheet2!$B3653,ING!$S:$S))</f>
        <v>0</v>
      </c>
      <c r="H3653" s="16">
        <f t="shared" si="115"/>
        <v>46851673.160303831</v>
      </c>
    </row>
    <row r="3654" spans="2:8" x14ac:dyDescent="0.4">
      <c r="B3654" s="1">
        <v>46203</v>
      </c>
      <c r="C3654" s="16">
        <f>SUMIF(매도완료!$G:$G,Sheet2!$B3654,매도완료!$P:$P)+SUMIF(ING!$G:$G,Sheet2!$B3654,ING!$P:$P)</f>
        <v>0</v>
      </c>
      <c r="D3654" s="16">
        <f>SUMIF(매도완료!$J:$J,Sheet2!$B3654,매도완료!$P:$P)+SUMIF(ING!$J:$J,Sheet2!$B3654,ING!$P:$P)</f>
        <v>0</v>
      </c>
      <c r="E3654" s="16">
        <f t="shared" si="114"/>
        <v>103544865.8344</v>
      </c>
      <c r="G3654" s="16">
        <f>IF(D3654=0,0,SUMIF(매도완료!$J:$J,Sheet2!$B3654,매도완료!$S:$S))+IF(D3654=0,0,SUMIF(ING!$J:$J,Sheet2!$B3654,ING!$S:$S))</f>
        <v>0</v>
      </c>
      <c r="H3654" s="16">
        <f t="shared" si="115"/>
        <v>46851673.160303831</v>
      </c>
    </row>
    <row r="3655" spans="2:8" x14ac:dyDescent="0.4">
      <c r="B3655" s="1">
        <v>46204</v>
      </c>
      <c r="C3655" s="16">
        <f>SUMIF(매도완료!$G:$G,Sheet2!$B3655,매도완료!$P:$P)+SUMIF(ING!$G:$G,Sheet2!$B3655,ING!$P:$P)</f>
        <v>0</v>
      </c>
      <c r="D3655" s="16">
        <f>SUMIF(매도완료!$J:$J,Sheet2!$B3655,매도완료!$P:$P)+SUMIF(ING!$J:$J,Sheet2!$B3655,ING!$P:$P)</f>
        <v>0</v>
      </c>
      <c r="E3655" s="16">
        <f t="shared" si="114"/>
        <v>103544865.8344</v>
      </c>
      <c r="G3655" s="16">
        <f>IF(D3655=0,0,SUMIF(매도완료!$J:$J,Sheet2!$B3655,매도완료!$S:$S))+IF(D3655=0,0,SUMIF(ING!$J:$J,Sheet2!$B3655,ING!$S:$S))</f>
        <v>0</v>
      </c>
      <c r="H3655" s="16">
        <f t="shared" si="115"/>
        <v>46851673.160303831</v>
      </c>
    </row>
    <row r="3656" spans="2:8" x14ac:dyDescent="0.4">
      <c r="B3656" s="1">
        <v>46205</v>
      </c>
      <c r="C3656" s="16">
        <f>SUMIF(매도완료!$G:$G,Sheet2!$B3656,매도완료!$P:$P)+SUMIF(ING!$G:$G,Sheet2!$B3656,ING!$P:$P)</f>
        <v>0</v>
      </c>
      <c r="D3656" s="16">
        <f>SUMIF(매도완료!$J:$J,Sheet2!$B3656,매도완료!$P:$P)+SUMIF(ING!$J:$J,Sheet2!$B3656,ING!$P:$P)</f>
        <v>0</v>
      </c>
      <c r="E3656" s="16">
        <f t="shared" si="114"/>
        <v>103544865.8344</v>
      </c>
      <c r="G3656" s="16">
        <f>IF(D3656=0,0,SUMIF(매도완료!$J:$J,Sheet2!$B3656,매도완료!$S:$S))+IF(D3656=0,0,SUMIF(ING!$J:$J,Sheet2!$B3656,ING!$S:$S))</f>
        <v>0</v>
      </c>
      <c r="H3656" s="16">
        <f t="shared" si="115"/>
        <v>46851673.160303831</v>
      </c>
    </row>
    <row r="3657" spans="2:8" x14ac:dyDescent="0.4">
      <c r="B3657" s="1">
        <v>46206</v>
      </c>
      <c r="C3657" s="16">
        <f>SUMIF(매도완료!$G:$G,Sheet2!$B3657,매도완료!$P:$P)+SUMIF(ING!$G:$G,Sheet2!$B3657,ING!$P:$P)</f>
        <v>0</v>
      </c>
      <c r="D3657" s="16">
        <f>SUMIF(매도완료!$J:$J,Sheet2!$B3657,매도완료!$P:$P)+SUMIF(ING!$J:$J,Sheet2!$B3657,ING!$P:$P)</f>
        <v>0</v>
      </c>
      <c r="E3657" s="16">
        <f t="shared" si="114"/>
        <v>103544865.8344</v>
      </c>
      <c r="G3657" s="16">
        <f>IF(D3657=0,0,SUMIF(매도완료!$J:$J,Sheet2!$B3657,매도완료!$S:$S))+IF(D3657=0,0,SUMIF(ING!$J:$J,Sheet2!$B3657,ING!$S:$S))</f>
        <v>0</v>
      </c>
      <c r="H3657" s="16">
        <f t="shared" si="115"/>
        <v>46851673.160303831</v>
      </c>
    </row>
    <row r="3658" spans="2:8" x14ac:dyDescent="0.4">
      <c r="B3658" s="1">
        <v>46207</v>
      </c>
      <c r="C3658" s="16">
        <f>SUMIF(매도완료!$G:$G,Sheet2!$B3658,매도완료!$P:$P)+SUMIF(ING!$G:$G,Sheet2!$B3658,ING!$P:$P)</f>
        <v>0</v>
      </c>
      <c r="D3658" s="16">
        <f>SUMIF(매도완료!$J:$J,Sheet2!$B3658,매도완료!$P:$P)+SUMIF(ING!$J:$J,Sheet2!$B3658,ING!$P:$P)</f>
        <v>0</v>
      </c>
      <c r="E3658" s="16">
        <f t="shared" si="114"/>
        <v>103544865.8344</v>
      </c>
      <c r="G3658" s="16">
        <f>IF(D3658=0,0,SUMIF(매도완료!$J:$J,Sheet2!$B3658,매도완료!$S:$S))+IF(D3658=0,0,SUMIF(ING!$J:$J,Sheet2!$B3658,ING!$S:$S))</f>
        <v>0</v>
      </c>
      <c r="H3658" s="16">
        <f t="shared" si="115"/>
        <v>46851673.160303831</v>
      </c>
    </row>
    <row r="3659" spans="2:8" x14ac:dyDescent="0.4">
      <c r="B3659" s="1">
        <v>46208</v>
      </c>
      <c r="C3659" s="16">
        <f>SUMIF(매도완료!$G:$G,Sheet2!$B3659,매도완료!$P:$P)+SUMIF(ING!$G:$G,Sheet2!$B3659,ING!$P:$P)</f>
        <v>0</v>
      </c>
      <c r="D3659" s="16">
        <f>SUMIF(매도완료!$J:$J,Sheet2!$B3659,매도완료!$P:$P)+SUMIF(ING!$J:$J,Sheet2!$B3659,ING!$P:$P)</f>
        <v>0</v>
      </c>
      <c r="E3659" s="16">
        <f t="shared" si="114"/>
        <v>103544865.8344</v>
      </c>
      <c r="G3659" s="16">
        <f>IF(D3659=0,0,SUMIF(매도완료!$J:$J,Sheet2!$B3659,매도완료!$S:$S))+IF(D3659=0,0,SUMIF(ING!$J:$J,Sheet2!$B3659,ING!$S:$S))</f>
        <v>0</v>
      </c>
      <c r="H3659" s="16">
        <f t="shared" si="115"/>
        <v>46851673.160303831</v>
      </c>
    </row>
    <row r="3660" spans="2:8" x14ac:dyDescent="0.4">
      <c r="B3660" s="1">
        <v>46209</v>
      </c>
      <c r="C3660" s="16">
        <f>SUMIF(매도완료!$G:$G,Sheet2!$B3660,매도완료!$P:$P)+SUMIF(ING!$G:$G,Sheet2!$B3660,ING!$P:$P)</f>
        <v>0</v>
      </c>
      <c r="D3660" s="16">
        <f>SUMIF(매도완료!$J:$J,Sheet2!$B3660,매도완료!$P:$P)+SUMIF(ING!$J:$J,Sheet2!$B3660,ING!$P:$P)</f>
        <v>0</v>
      </c>
      <c r="E3660" s="16">
        <f t="shared" si="114"/>
        <v>103544865.8344</v>
      </c>
      <c r="G3660" s="16">
        <f>IF(D3660=0,0,SUMIF(매도완료!$J:$J,Sheet2!$B3660,매도완료!$S:$S))+IF(D3660=0,0,SUMIF(ING!$J:$J,Sheet2!$B3660,ING!$S:$S))</f>
        <v>0</v>
      </c>
      <c r="H3660" s="16">
        <f t="shared" si="115"/>
        <v>46851673.160303831</v>
      </c>
    </row>
    <row r="3661" spans="2:8" x14ac:dyDescent="0.4">
      <c r="B3661" s="1">
        <v>46210</v>
      </c>
      <c r="C3661" s="16">
        <f>SUMIF(매도완료!$G:$G,Sheet2!$B3661,매도완료!$P:$P)+SUMIF(ING!$G:$G,Sheet2!$B3661,ING!$P:$P)</f>
        <v>0</v>
      </c>
      <c r="D3661" s="16">
        <f>SUMIF(매도완료!$J:$J,Sheet2!$B3661,매도완료!$P:$P)+SUMIF(ING!$J:$J,Sheet2!$B3661,ING!$P:$P)</f>
        <v>0</v>
      </c>
      <c r="E3661" s="16">
        <f t="shared" si="114"/>
        <v>103544865.8344</v>
      </c>
      <c r="G3661" s="16">
        <f>IF(D3661=0,0,SUMIF(매도완료!$J:$J,Sheet2!$B3661,매도완료!$S:$S))+IF(D3661=0,0,SUMIF(ING!$J:$J,Sheet2!$B3661,ING!$S:$S))</f>
        <v>0</v>
      </c>
      <c r="H3661" s="16">
        <f t="shared" si="115"/>
        <v>46851673.160303831</v>
      </c>
    </row>
    <row r="3662" spans="2:8" x14ac:dyDescent="0.4">
      <c r="B3662" s="1">
        <v>46211</v>
      </c>
      <c r="C3662" s="16">
        <f>SUMIF(매도완료!$G:$G,Sheet2!$B3662,매도완료!$P:$P)+SUMIF(ING!$G:$G,Sheet2!$B3662,ING!$P:$P)</f>
        <v>0</v>
      </c>
      <c r="D3662" s="16">
        <f>SUMIF(매도완료!$J:$J,Sheet2!$B3662,매도완료!$P:$P)+SUMIF(ING!$J:$J,Sheet2!$B3662,ING!$P:$P)</f>
        <v>0</v>
      </c>
      <c r="E3662" s="16">
        <f t="shared" si="114"/>
        <v>103544865.8344</v>
      </c>
      <c r="G3662" s="16">
        <f>IF(D3662=0,0,SUMIF(매도완료!$J:$J,Sheet2!$B3662,매도완료!$S:$S))+IF(D3662=0,0,SUMIF(ING!$J:$J,Sheet2!$B3662,ING!$S:$S))</f>
        <v>0</v>
      </c>
      <c r="H3662" s="16">
        <f t="shared" si="115"/>
        <v>46851673.160303831</v>
      </c>
    </row>
    <row r="3663" spans="2:8" x14ac:dyDescent="0.4">
      <c r="B3663" s="1">
        <v>46212</v>
      </c>
      <c r="C3663" s="16">
        <f>SUMIF(매도완료!$G:$G,Sheet2!$B3663,매도완료!$P:$P)+SUMIF(ING!$G:$G,Sheet2!$B3663,ING!$P:$P)</f>
        <v>0</v>
      </c>
      <c r="D3663" s="16">
        <f>SUMIF(매도완료!$J:$J,Sheet2!$B3663,매도완료!$P:$P)+SUMIF(ING!$J:$J,Sheet2!$B3663,ING!$P:$P)</f>
        <v>0</v>
      </c>
      <c r="E3663" s="16">
        <f t="shared" si="114"/>
        <v>103544865.8344</v>
      </c>
      <c r="G3663" s="16">
        <f>IF(D3663=0,0,SUMIF(매도완료!$J:$J,Sheet2!$B3663,매도완료!$S:$S))+IF(D3663=0,0,SUMIF(ING!$J:$J,Sheet2!$B3663,ING!$S:$S))</f>
        <v>0</v>
      </c>
      <c r="H3663" s="16">
        <f t="shared" si="115"/>
        <v>46851673.160303831</v>
      </c>
    </row>
    <row r="3664" spans="2:8" x14ac:dyDescent="0.4">
      <c r="B3664" s="1">
        <v>46213</v>
      </c>
      <c r="C3664" s="16">
        <f>SUMIF(매도완료!$G:$G,Sheet2!$B3664,매도완료!$P:$P)+SUMIF(ING!$G:$G,Sheet2!$B3664,ING!$P:$P)</f>
        <v>0</v>
      </c>
      <c r="D3664" s="16">
        <f>SUMIF(매도완료!$J:$J,Sheet2!$B3664,매도완료!$P:$P)+SUMIF(ING!$J:$J,Sheet2!$B3664,ING!$P:$P)</f>
        <v>0</v>
      </c>
      <c r="E3664" s="16">
        <f t="shared" si="114"/>
        <v>103544865.8344</v>
      </c>
      <c r="G3664" s="16">
        <f>IF(D3664=0,0,SUMIF(매도완료!$J:$J,Sheet2!$B3664,매도완료!$S:$S))+IF(D3664=0,0,SUMIF(ING!$J:$J,Sheet2!$B3664,ING!$S:$S))</f>
        <v>0</v>
      </c>
      <c r="H3664" s="16">
        <f t="shared" si="115"/>
        <v>46851673.160303831</v>
      </c>
    </row>
    <row r="3665" spans="2:8" x14ac:dyDescent="0.4">
      <c r="B3665" s="1">
        <v>46214</v>
      </c>
      <c r="C3665" s="16">
        <f>SUMIF(매도완료!$G:$G,Sheet2!$B3665,매도완료!$P:$P)+SUMIF(ING!$G:$G,Sheet2!$B3665,ING!$P:$P)</f>
        <v>0</v>
      </c>
      <c r="D3665" s="16">
        <f>SUMIF(매도완료!$J:$J,Sheet2!$B3665,매도완료!$P:$P)+SUMIF(ING!$J:$J,Sheet2!$B3665,ING!$P:$P)</f>
        <v>0</v>
      </c>
      <c r="E3665" s="16">
        <f t="shared" si="114"/>
        <v>103544865.8344</v>
      </c>
      <c r="G3665" s="16">
        <f>IF(D3665=0,0,SUMIF(매도완료!$J:$J,Sheet2!$B3665,매도완료!$S:$S))+IF(D3665=0,0,SUMIF(ING!$J:$J,Sheet2!$B3665,ING!$S:$S))</f>
        <v>0</v>
      </c>
      <c r="H3665" s="16">
        <f t="shared" si="115"/>
        <v>46851673.160303831</v>
      </c>
    </row>
    <row r="3666" spans="2:8" x14ac:dyDescent="0.4">
      <c r="B3666" s="1">
        <v>46215</v>
      </c>
      <c r="C3666" s="16">
        <f>SUMIF(매도완료!$G:$G,Sheet2!$B3666,매도완료!$P:$P)+SUMIF(ING!$G:$G,Sheet2!$B3666,ING!$P:$P)</f>
        <v>0</v>
      </c>
      <c r="D3666" s="16">
        <f>SUMIF(매도완료!$J:$J,Sheet2!$B3666,매도완료!$P:$P)+SUMIF(ING!$J:$J,Sheet2!$B3666,ING!$P:$P)</f>
        <v>0</v>
      </c>
      <c r="E3666" s="16">
        <f t="shared" si="114"/>
        <v>103544865.8344</v>
      </c>
      <c r="G3666" s="16">
        <f>IF(D3666=0,0,SUMIF(매도완료!$J:$J,Sheet2!$B3666,매도완료!$S:$S))+IF(D3666=0,0,SUMIF(ING!$J:$J,Sheet2!$B3666,ING!$S:$S))</f>
        <v>0</v>
      </c>
      <c r="H3666" s="16">
        <f t="shared" si="115"/>
        <v>46851673.160303831</v>
      </c>
    </row>
    <row r="3667" spans="2:8" x14ac:dyDescent="0.4">
      <c r="B3667" s="1">
        <v>46216</v>
      </c>
      <c r="C3667" s="16">
        <f>SUMIF(매도완료!$G:$G,Sheet2!$B3667,매도완료!$P:$P)+SUMIF(ING!$G:$G,Sheet2!$B3667,ING!$P:$P)</f>
        <v>0</v>
      </c>
      <c r="D3667" s="16">
        <f>SUMIF(매도완료!$J:$J,Sheet2!$B3667,매도완료!$P:$P)+SUMIF(ING!$J:$J,Sheet2!$B3667,ING!$P:$P)</f>
        <v>0</v>
      </c>
      <c r="E3667" s="16">
        <f t="shared" si="114"/>
        <v>103544865.8344</v>
      </c>
      <c r="G3667" s="16">
        <f>IF(D3667=0,0,SUMIF(매도완료!$J:$J,Sheet2!$B3667,매도완료!$S:$S))+IF(D3667=0,0,SUMIF(ING!$J:$J,Sheet2!$B3667,ING!$S:$S))</f>
        <v>0</v>
      </c>
      <c r="H3667" s="16">
        <f t="shared" si="115"/>
        <v>46851673.160303831</v>
      </c>
    </row>
    <row r="3668" spans="2:8" x14ac:dyDescent="0.4">
      <c r="B3668" s="1">
        <v>46217</v>
      </c>
      <c r="C3668" s="16">
        <f>SUMIF(매도완료!$G:$G,Sheet2!$B3668,매도완료!$P:$P)+SUMIF(ING!$G:$G,Sheet2!$B3668,ING!$P:$P)</f>
        <v>0</v>
      </c>
      <c r="D3668" s="16">
        <f>SUMIF(매도완료!$J:$J,Sheet2!$B3668,매도완료!$P:$P)+SUMIF(ING!$J:$J,Sheet2!$B3668,ING!$P:$P)</f>
        <v>0</v>
      </c>
      <c r="E3668" s="16">
        <f t="shared" si="114"/>
        <v>103544865.8344</v>
      </c>
      <c r="G3668" s="16">
        <f>IF(D3668=0,0,SUMIF(매도완료!$J:$J,Sheet2!$B3668,매도완료!$S:$S))+IF(D3668=0,0,SUMIF(ING!$J:$J,Sheet2!$B3668,ING!$S:$S))</f>
        <v>0</v>
      </c>
      <c r="H3668" s="16">
        <f t="shared" si="115"/>
        <v>46851673.160303831</v>
      </c>
    </row>
    <row r="3669" spans="2:8" x14ac:dyDescent="0.4">
      <c r="B3669" s="1">
        <v>46218</v>
      </c>
      <c r="C3669" s="16">
        <f>SUMIF(매도완료!$G:$G,Sheet2!$B3669,매도완료!$P:$P)+SUMIF(ING!$G:$G,Sheet2!$B3669,ING!$P:$P)</f>
        <v>0</v>
      </c>
      <c r="D3669" s="16">
        <f>SUMIF(매도완료!$J:$J,Sheet2!$B3669,매도완료!$P:$P)+SUMIF(ING!$J:$J,Sheet2!$B3669,ING!$P:$P)</f>
        <v>0</v>
      </c>
      <c r="E3669" s="16">
        <f t="shared" si="114"/>
        <v>103544865.8344</v>
      </c>
      <c r="G3669" s="16">
        <f>IF(D3669=0,0,SUMIF(매도완료!$J:$J,Sheet2!$B3669,매도완료!$S:$S))+IF(D3669=0,0,SUMIF(ING!$J:$J,Sheet2!$B3669,ING!$S:$S))</f>
        <v>0</v>
      </c>
      <c r="H3669" s="16">
        <f t="shared" si="115"/>
        <v>46851673.160303831</v>
      </c>
    </row>
    <row r="3670" spans="2:8" x14ac:dyDescent="0.4">
      <c r="B3670" s="1">
        <v>46219</v>
      </c>
      <c r="C3670" s="16">
        <f>SUMIF(매도완료!$G:$G,Sheet2!$B3670,매도완료!$P:$P)+SUMIF(ING!$G:$G,Sheet2!$B3670,ING!$P:$P)</f>
        <v>0</v>
      </c>
      <c r="D3670" s="16">
        <f>SUMIF(매도완료!$J:$J,Sheet2!$B3670,매도완료!$P:$P)+SUMIF(ING!$J:$J,Sheet2!$B3670,ING!$P:$P)</f>
        <v>0</v>
      </c>
      <c r="E3670" s="16">
        <f t="shared" si="114"/>
        <v>103544865.8344</v>
      </c>
      <c r="G3670" s="16">
        <f>IF(D3670=0,0,SUMIF(매도완료!$J:$J,Sheet2!$B3670,매도완료!$S:$S))+IF(D3670=0,0,SUMIF(ING!$J:$J,Sheet2!$B3670,ING!$S:$S))</f>
        <v>0</v>
      </c>
      <c r="H3670" s="16">
        <f t="shared" si="115"/>
        <v>46851673.160303831</v>
      </c>
    </row>
    <row r="3671" spans="2:8" x14ac:dyDescent="0.4">
      <c r="B3671" s="1">
        <v>46220</v>
      </c>
      <c r="C3671" s="16">
        <f>SUMIF(매도완료!$G:$G,Sheet2!$B3671,매도완료!$P:$P)+SUMIF(ING!$G:$G,Sheet2!$B3671,ING!$P:$P)</f>
        <v>0</v>
      </c>
      <c r="D3671" s="16">
        <f>SUMIF(매도완료!$J:$J,Sheet2!$B3671,매도완료!$P:$P)+SUMIF(ING!$J:$J,Sheet2!$B3671,ING!$P:$P)</f>
        <v>0</v>
      </c>
      <c r="E3671" s="16">
        <f t="shared" si="114"/>
        <v>103544865.8344</v>
      </c>
      <c r="G3671" s="16">
        <f>IF(D3671=0,0,SUMIF(매도완료!$J:$J,Sheet2!$B3671,매도완료!$S:$S))+IF(D3671=0,0,SUMIF(ING!$J:$J,Sheet2!$B3671,ING!$S:$S))</f>
        <v>0</v>
      </c>
      <c r="H3671" s="16">
        <f t="shared" si="115"/>
        <v>46851673.160303831</v>
      </c>
    </row>
    <row r="3672" spans="2:8" x14ac:dyDescent="0.4">
      <c r="B3672" s="1">
        <v>46221</v>
      </c>
      <c r="C3672" s="16">
        <f>SUMIF(매도완료!$G:$G,Sheet2!$B3672,매도완료!$P:$P)+SUMIF(ING!$G:$G,Sheet2!$B3672,ING!$P:$P)</f>
        <v>0</v>
      </c>
      <c r="D3672" s="16">
        <f>SUMIF(매도완료!$J:$J,Sheet2!$B3672,매도완료!$P:$P)+SUMIF(ING!$J:$J,Sheet2!$B3672,ING!$P:$P)</f>
        <v>0</v>
      </c>
      <c r="E3672" s="16">
        <f t="shared" si="114"/>
        <v>103544865.8344</v>
      </c>
      <c r="G3672" s="16">
        <f>IF(D3672=0,0,SUMIF(매도완료!$J:$J,Sheet2!$B3672,매도완료!$S:$S))+IF(D3672=0,0,SUMIF(ING!$J:$J,Sheet2!$B3672,ING!$S:$S))</f>
        <v>0</v>
      </c>
      <c r="H3672" s="16">
        <f t="shared" si="115"/>
        <v>46851673.160303831</v>
      </c>
    </row>
    <row r="3673" spans="2:8" x14ac:dyDescent="0.4">
      <c r="B3673" s="1">
        <v>46222</v>
      </c>
      <c r="C3673" s="16">
        <f>SUMIF(매도완료!$G:$G,Sheet2!$B3673,매도완료!$P:$P)+SUMIF(ING!$G:$G,Sheet2!$B3673,ING!$P:$P)</f>
        <v>0</v>
      </c>
      <c r="D3673" s="16">
        <f>SUMIF(매도완료!$J:$J,Sheet2!$B3673,매도완료!$P:$P)+SUMIF(ING!$J:$J,Sheet2!$B3673,ING!$P:$P)</f>
        <v>0</v>
      </c>
      <c r="E3673" s="16">
        <f t="shared" si="114"/>
        <v>103544865.8344</v>
      </c>
      <c r="G3673" s="16">
        <f>IF(D3673=0,0,SUMIF(매도완료!$J:$J,Sheet2!$B3673,매도완료!$S:$S))+IF(D3673=0,0,SUMIF(ING!$J:$J,Sheet2!$B3673,ING!$S:$S))</f>
        <v>0</v>
      </c>
      <c r="H3673" s="16">
        <f t="shared" si="115"/>
        <v>46851673.160303831</v>
      </c>
    </row>
    <row r="3674" spans="2:8" x14ac:dyDescent="0.4">
      <c r="B3674" s="1">
        <v>46223</v>
      </c>
      <c r="C3674" s="16">
        <f>SUMIF(매도완료!$G:$G,Sheet2!$B3674,매도완료!$P:$P)+SUMIF(ING!$G:$G,Sheet2!$B3674,ING!$P:$P)</f>
        <v>0</v>
      </c>
      <c r="D3674" s="16">
        <f>SUMIF(매도완료!$J:$J,Sheet2!$B3674,매도완료!$P:$P)+SUMIF(ING!$J:$J,Sheet2!$B3674,ING!$P:$P)</f>
        <v>0</v>
      </c>
      <c r="E3674" s="16">
        <f t="shared" si="114"/>
        <v>103544865.8344</v>
      </c>
      <c r="G3674" s="16">
        <f>IF(D3674=0,0,SUMIF(매도완료!$J:$J,Sheet2!$B3674,매도완료!$S:$S))+IF(D3674=0,0,SUMIF(ING!$J:$J,Sheet2!$B3674,ING!$S:$S))</f>
        <v>0</v>
      </c>
      <c r="H3674" s="16">
        <f t="shared" si="115"/>
        <v>46851673.160303831</v>
      </c>
    </row>
    <row r="3675" spans="2:8" x14ac:dyDescent="0.4">
      <c r="B3675" s="1">
        <v>46224</v>
      </c>
      <c r="C3675" s="16">
        <f>SUMIF(매도완료!$G:$G,Sheet2!$B3675,매도완료!$P:$P)+SUMIF(ING!$G:$G,Sheet2!$B3675,ING!$P:$P)</f>
        <v>0</v>
      </c>
      <c r="D3675" s="16">
        <f>SUMIF(매도완료!$J:$J,Sheet2!$B3675,매도완료!$P:$P)+SUMIF(ING!$J:$J,Sheet2!$B3675,ING!$P:$P)</f>
        <v>0</v>
      </c>
      <c r="E3675" s="16">
        <f t="shared" si="114"/>
        <v>103544865.8344</v>
      </c>
      <c r="G3675" s="16">
        <f>IF(D3675=0,0,SUMIF(매도완료!$J:$J,Sheet2!$B3675,매도완료!$S:$S))+IF(D3675=0,0,SUMIF(ING!$J:$J,Sheet2!$B3675,ING!$S:$S))</f>
        <v>0</v>
      </c>
      <c r="H3675" s="16">
        <f t="shared" si="115"/>
        <v>46851673.160303831</v>
      </c>
    </row>
    <row r="3676" spans="2:8" x14ac:dyDescent="0.4">
      <c r="B3676" s="1">
        <v>46225</v>
      </c>
      <c r="C3676" s="16">
        <f>SUMIF(매도완료!$G:$G,Sheet2!$B3676,매도완료!$P:$P)+SUMIF(ING!$G:$G,Sheet2!$B3676,ING!$P:$P)</f>
        <v>0</v>
      </c>
      <c r="D3676" s="16">
        <f>SUMIF(매도완료!$J:$J,Sheet2!$B3676,매도완료!$P:$P)+SUMIF(ING!$J:$J,Sheet2!$B3676,ING!$P:$P)</f>
        <v>0</v>
      </c>
      <c r="E3676" s="16">
        <f t="shared" si="114"/>
        <v>103544865.8344</v>
      </c>
      <c r="G3676" s="16">
        <f>IF(D3676=0,0,SUMIF(매도완료!$J:$J,Sheet2!$B3676,매도완료!$S:$S))+IF(D3676=0,0,SUMIF(ING!$J:$J,Sheet2!$B3676,ING!$S:$S))</f>
        <v>0</v>
      </c>
      <c r="H3676" s="16">
        <f t="shared" si="115"/>
        <v>46851673.160303831</v>
      </c>
    </row>
    <row r="3677" spans="2:8" x14ac:dyDescent="0.4">
      <c r="B3677" s="1">
        <v>46226</v>
      </c>
      <c r="C3677" s="16">
        <f>SUMIF(매도완료!$G:$G,Sheet2!$B3677,매도완료!$P:$P)+SUMIF(ING!$G:$G,Sheet2!$B3677,ING!$P:$P)</f>
        <v>0</v>
      </c>
      <c r="D3677" s="16">
        <f>SUMIF(매도완료!$J:$J,Sheet2!$B3677,매도완료!$P:$P)+SUMIF(ING!$J:$J,Sheet2!$B3677,ING!$P:$P)</f>
        <v>0</v>
      </c>
      <c r="E3677" s="16">
        <f t="shared" si="114"/>
        <v>103544865.8344</v>
      </c>
      <c r="G3677" s="16">
        <f>IF(D3677=0,0,SUMIF(매도완료!$J:$J,Sheet2!$B3677,매도완료!$S:$S))+IF(D3677=0,0,SUMIF(ING!$J:$J,Sheet2!$B3677,ING!$S:$S))</f>
        <v>0</v>
      </c>
      <c r="H3677" s="16">
        <f t="shared" si="115"/>
        <v>46851673.160303831</v>
      </c>
    </row>
    <row r="3678" spans="2:8" x14ac:dyDescent="0.4">
      <c r="B3678" s="1">
        <v>46227</v>
      </c>
      <c r="C3678" s="16">
        <f>SUMIF(매도완료!$G:$G,Sheet2!$B3678,매도완료!$P:$P)+SUMIF(ING!$G:$G,Sheet2!$B3678,ING!$P:$P)</f>
        <v>0</v>
      </c>
      <c r="D3678" s="16">
        <f>SUMIF(매도완료!$J:$J,Sheet2!$B3678,매도완료!$P:$P)+SUMIF(ING!$J:$J,Sheet2!$B3678,ING!$P:$P)</f>
        <v>0</v>
      </c>
      <c r="E3678" s="16">
        <f t="shared" si="114"/>
        <v>103544865.8344</v>
      </c>
      <c r="G3678" s="16">
        <f>IF(D3678=0,0,SUMIF(매도완료!$J:$J,Sheet2!$B3678,매도완료!$S:$S))+IF(D3678=0,0,SUMIF(ING!$J:$J,Sheet2!$B3678,ING!$S:$S))</f>
        <v>0</v>
      </c>
      <c r="H3678" s="16">
        <f t="shared" si="115"/>
        <v>46851673.160303831</v>
      </c>
    </row>
    <row r="3679" spans="2:8" x14ac:dyDescent="0.4">
      <c r="B3679" s="1">
        <v>46228</v>
      </c>
      <c r="C3679" s="16">
        <f>SUMIF(매도완료!$G:$G,Sheet2!$B3679,매도완료!$P:$P)+SUMIF(ING!$G:$G,Sheet2!$B3679,ING!$P:$P)</f>
        <v>0</v>
      </c>
      <c r="D3679" s="16">
        <f>SUMIF(매도완료!$J:$J,Sheet2!$B3679,매도완료!$P:$P)+SUMIF(ING!$J:$J,Sheet2!$B3679,ING!$P:$P)</f>
        <v>0</v>
      </c>
      <c r="E3679" s="16">
        <f t="shared" si="114"/>
        <v>103544865.8344</v>
      </c>
      <c r="G3679" s="16">
        <f>IF(D3679=0,0,SUMIF(매도완료!$J:$J,Sheet2!$B3679,매도완료!$S:$S))+IF(D3679=0,0,SUMIF(ING!$J:$J,Sheet2!$B3679,ING!$S:$S))</f>
        <v>0</v>
      </c>
      <c r="H3679" s="16">
        <f t="shared" si="115"/>
        <v>46851673.160303831</v>
      </c>
    </row>
    <row r="3680" spans="2:8" x14ac:dyDescent="0.4">
      <c r="B3680" s="1">
        <v>46229</v>
      </c>
      <c r="C3680" s="16">
        <f>SUMIF(매도완료!$G:$G,Sheet2!$B3680,매도완료!$P:$P)+SUMIF(ING!$G:$G,Sheet2!$B3680,ING!$P:$P)</f>
        <v>0</v>
      </c>
      <c r="D3680" s="16">
        <f>SUMIF(매도완료!$J:$J,Sheet2!$B3680,매도완료!$P:$P)+SUMIF(ING!$J:$J,Sheet2!$B3680,ING!$P:$P)</f>
        <v>0</v>
      </c>
      <c r="E3680" s="16">
        <f t="shared" si="114"/>
        <v>103544865.8344</v>
      </c>
      <c r="G3680" s="16">
        <f>IF(D3680=0,0,SUMIF(매도완료!$J:$J,Sheet2!$B3680,매도완료!$S:$S))+IF(D3680=0,0,SUMIF(ING!$J:$J,Sheet2!$B3680,ING!$S:$S))</f>
        <v>0</v>
      </c>
      <c r="H3680" s="16">
        <f t="shared" si="115"/>
        <v>46851673.160303831</v>
      </c>
    </row>
    <row r="3681" spans="2:8" x14ac:dyDescent="0.4">
      <c r="B3681" s="1">
        <v>46230</v>
      </c>
      <c r="C3681" s="16">
        <f>SUMIF(매도완료!$G:$G,Sheet2!$B3681,매도완료!$P:$P)+SUMIF(ING!$G:$G,Sheet2!$B3681,ING!$P:$P)</f>
        <v>0</v>
      </c>
      <c r="D3681" s="16">
        <f>SUMIF(매도완료!$J:$J,Sheet2!$B3681,매도완료!$P:$P)+SUMIF(ING!$J:$J,Sheet2!$B3681,ING!$P:$P)</f>
        <v>0</v>
      </c>
      <c r="E3681" s="16">
        <f t="shared" si="114"/>
        <v>103544865.8344</v>
      </c>
      <c r="G3681" s="16">
        <f>IF(D3681=0,0,SUMIF(매도완료!$J:$J,Sheet2!$B3681,매도완료!$S:$S))+IF(D3681=0,0,SUMIF(ING!$J:$J,Sheet2!$B3681,ING!$S:$S))</f>
        <v>0</v>
      </c>
      <c r="H3681" s="16">
        <f t="shared" si="115"/>
        <v>46851673.160303831</v>
      </c>
    </row>
    <row r="3682" spans="2:8" x14ac:dyDescent="0.4">
      <c r="B3682" s="1">
        <v>46231</v>
      </c>
      <c r="C3682" s="16">
        <f>SUMIF(매도완료!$G:$G,Sheet2!$B3682,매도완료!$P:$P)+SUMIF(ING!$G:$G,Sheet2!$B3682,ING!$P:$P)</f>
        <v>0</v>
      </c>
      <c r="D3682" s="16">
        <f>SUMIF(매도완료!$J:$J,Sheet2!$B3682,매도완료!$P:$P)+SUMIF(ING!$J:$J,Sheet2!$B3682,ING!$P:$P)</f>
        <v>0</v>
      </c>
      <c r="E3682" s="16">
        <f t="shared" si="114"/>
        <v>103544865.8344</v>
      </c>
      <c r="G3682" s="16">
        <f>IF(D3682=0,0,SUMIF(매도완료!$J:$J,Sheet2!$B3682,매도완료!$S:$S))+IF(D3682=0,0,SUMIF(ING!$J:$J,Sheet2!$B3682,ING!$S:$S))</f>
        <v>0</v>
      </c>
      <c r="H3682" s="16">
        <f t="shared" si="115"/>
        <v>46851673.160303831</v>
      </c>
    </row>
    <row r="3683" spans="2:8" x14ac:dyDescent="0.4">
      <c r="B3683" s="1">
        <v>46232</v>
      </c>
      <c r="C3683" s="16">
        <f>SUMIF(매도완료!$G:$G,Sheet2!$B3683,매도완료!$P:$P)+SUMIF(ING!$G:$G,Sheet2!$B3683,ING!$P:$P)</f>
        <v>0</v>
      </c>
      <c r="D3683" s="16">
        <f>SUMIF(매도완료!$J:$J,Sheet2!$B3683,매도완료!$P:$P)+SUMIF(ING!$J:$J,Sheet2!$B3683,ING!$P:$P)</f>
        <v>0</v>
      </c>
      <c r="E3683" s="16">
        <f t="shared" si="114"/>
        <v>103544865.8344</v>
      </c>
      <c r="G3683" s="16">
        <f>IF(D3683=0,0,SUMIF(매도완료!$J:$J,Sheet2!$B3683,매도완료!$S:$S))+IF(D3683=0,0,SUMIF(ING!$J:$J,Sheet2!$B3683,ING!$S:$S))</f>
        <v>0</v>
      </c>
      <c r="H3683" s="16">
        <f t="shared" si="115"/>
        <v>46851673.160303831</v>
      </c>
    </row>
    <row r="3684" spans="2:8" x14ac:dyDescent="0.4">
      <c r="B3684" s="1">
        <v>46233</v>
      </c>
      <c r="C3684" s="16">
        <f>SUMIF(매도완료!$G:$G,Sheet2!$B3684,매도완료!$P:$P)+SUMIF(ING!$G:$G,Sheet2!$B3684,ING!$P:$P)</f>
        <v>0</v>
      </c>
      <c r="D3684" s="16">
        <f>SUMIF(매도완료!$J:$J,Sheet2!$B3684,매도완료!$P:$P)+SUMIF(ING!$J:$J,Sheet2!$B3684,ING!$P:$P)</f>
        <v>0</v>
      </c>
      <c r="E3684" s="16">
        <f t="shared" si="114"/>
        <v>103544865.8344</v>
      </c>
      <c r="G3684" s="16">
        <f>IF(D3684=0,0,SUMIF(매도완료!$J:$J,Sheet2!$B3684,매도완료!$S:$S))+IF(D3684=0,0,SUMIF(ING!$J:$J,Sheet2!$B3684,ING!$S:$S))</f>
        <v>0</v>
      </c>
      <c r="H3684" s="16">
        <f t="shared" si="115"/>
        <v>46851673.160303831</v>
      </c>
    </row>
    <row r="3685" spans="2:8" x14ac:dyDescent="0.4">
      <c r="B3685" s="1">
        <v>46234</v>
      </c>
      <c r="C3685" s="16">
        <f>SUMIF(매도완료!$G:$G,Sheet2!$B3685,매도완료!$P:$P)+SUMIF(ING!$G:$G,Sheet2!$B3685,ING!$P:$P)</f>
        <v>0</v>
      </c>
      <c r="D3685" s="16">
        <f>SUMIF(매도완료!$J:$J,Sheet2!$B3685,매도완료!$P:$P)+SUMIF(ING!$J:$J,Sheet2!$B3685,ING!$P:$P)</f>
        <v>0</v>
      </c>
      <c r="E3685" s="16">
        <f t="shared" si="114"/>
        <v>103544865.8344</v>
      </c>
      <c r="G3685" s="16">
        <f>IF(D3685=0,0,SUMIF(매도완료!$J:$J,Sheet2!$B3685,매도완료!$S:$S))+IF(D3685=0,0,SUMIF(ING!$J:$J,Sheet2!$B3685,ING!$S:$S))</f>
        <v>0</v>
      </c>
      <c r="H3685" s="16">
        <f t="shared" si="115"/>
        <v>46851673.160303831</v>
      </c>
    </row>
    <row r="3686" spans="2:8" x14ac:dyDescent="0.4">
      <c r="B3686" s="1">
        <v>46235</v>
      </c>
      <c r="C3686" s="16">
        <f>SUMIF(매도완료!$G:$G,Sheet2!$B3686,매도완료!$P:$P)+SUMIF(ING!$G:$G,Sheet2!$B3686,ING!$P:$P)</f>
        <v>0</v>
      </c>
      <c r="D3686" s="16">
        <f>SUMIF(매도완료!$J:$J,Sheet2!$B3686,매도완료!$P:$P)+SUMIF(ING!$J:$J,Sheet2!$B3686,ING!$P:$P)</f>
        <v>0</v>
      </c>
      <c r="E3686" s="16">
        <f t="shared" si="114"/>
        <v>103544865.8344</v>
      </c>
      <c r="G3686" s="16">
        <f>IF(D3686=0,0,SUMIF(매도완료!$J:$J,Sheet2!$B3686,매도완료!$S:$S))+IF(D3686=0,0,SUMIF(ING!$J:$J,Sheet2!$B3686,ING!$S:$S))</f>
        <v>0</v>
      </c>
      <c r="H3686" s="16">
        <f t="shared" si="115"/>
        <v>46851673.160303831</v>
      </c>
    </row>
    <row r="3687" spans="2:8" x14ac:dyDescent="0.4">
      <c r="B3687" s="1">
        <v>46236</v>
      </c>
      <c r="C3687" s="16">
        <f>SUMIF(매도완료!$G:$G,Sheet2!$B3687,매도완료!$P:$P)+SUMIF(ING!$G:$G,Sheet2!$B3687,ING!$P:$P)</f>
        <v>0</v>
      </c>
      <c r="D3687" s="16">
        <f>SUMIF(매도완료!$J:$J,Sheet2!$B3687,매도완료!$P:$P)+SUMIF(ING!$J:$J,Sheet2!$B3687,ING!$P:$P)</f>
        <v>0</v>
      </c>
      <c r="E3687" s="16">
        <f t="shared" si="114"/>
        <v>103544865.8344</v>
      </c>
      <c r="G3687" s="16">
        <f>IF(D3687=0,0,SUMIF(매도완료!$J:$J,Sheet2!$B3687,매도완료!$S:$S))+IF(D3687=0,0,SUMIF(ING!$J:$J,Sheet2!$B3687,ING!$S:$S))</f>
        <v>0</v>
      </c>
      <c r="H3687" s="16">
        <f t="shared" si="115"/>
        <v>46851673.160303831</v>
      </c>
    </row>
    <row r="3688" spans="2:8" x14ac:dyDescent="0.4">
      <c r="B3688" s="1">
        <v>46237</v>
      </c>
      <c r="C3688" s="16">
        <f>SUMIF(매도완료!$G:$G,Sheet2!$B3688,매도완료!$P:$P)+SUMIF(ING!$G:$G,Sheet2!$B3688,ING!$P:$P)</f>
        <v>0</v>
      </c>
      <c r="D3688" s="16">
        <f>SUMIF(매도완료!$J:$J,Sheet2!$B3688,매도완료!$P:$P)+SUMIF(ING!$J:$J,Sheet2!$B3688,ING!$P:$P)</f>
        <v>0</v>
      </c>
      <c r="E3688" s="16">
        <f t="shared" si="114"/>
        <v>103544865.8344</v>
      </c>
      <c r="G3688" s="16">
        <f>IF(D3688=0,0,SUMIF(매도완료!$J:$J,Sheet2!$B3688,매도완료!$S:$S))+IF(D3688=0,0,SUMIF(ING!$J:$J,Sheet2!$B3688,ING!$S:$S))</f>
        <v>0</v>
      </c>
      <c r="H3688" s="16">
        <f t="shared" si="115"/>
        <v>46851673.160303831</v>
      </c>
    </row>
    <row r="3689" spans="2:8" x14ac:dyDescent="0.4">
      <c r="B3689" s="1">
        <v>46238</v>
      </c>
      <c r="C3689" s="16">
        <f>SUMIF(매도완료!$G:$G,Sheet2!$B3689,매도완료!$P:$P)+SUMIF(ING!$G:$G,Sheet2!$B3689,ING!$P:$P)</f>
        <v>0</v>
      </c>
      <c r="D3689" s="16">
        <f>SUMIF(매도완료!$J:$J,Sheet2!$B3689,매도완료!$P:$P)+SUMIF(ING!$J:$J,Sheet2!$B3689,ING!$P:$P)</f>
        <v>0</v>
      </c>
      <c r="E3689" s="16">
        <f t="shared" si="114"/>
        <v>103544865.8344</v>
      </c>
      <c r="G3689" s="16">
        <f>IF(D3689=0,0,SUMIF(매도완료!$J:$J,Sheet2!$B3689,매도완료!$S:$S))+IF(D3689=0,0,SUMIF(ING!$J:$J,Sheet2!$B3689,ING!$S:$S))</f>
        <v>0</v>
      </c>
      <c r="H3689" s="16">
        <f t="shared" si="115"/>
        <v>46851673.160303831</v>
      </c>
    </row>
    <row r="3690" spans="2:8" x14ac:dyDescent="0.4">
      <c r="B3690" s="1">
        <v>46239</v>
      </c>
      <c r="C3690" s="16">
        <f>SUMIF(매도완료!$G:$G,Sheet2!$B3690,매도완료!$P:$P)+SUMIF(ING!$G:$G,Sheet2!$B3690,ING!$P:$P)</f>
        <v>0</v>
      </c>
      <c r="D3690" s="16">
        <f>SUMIF(매도완료!$J:$J,Sheet2!$B3690,매도완료!$P:$P)+SUMIF(ING!$J:$J,Sheet2!$B3690,ING!$P:$P)</f>
        <v>0</v>
      </c>
      <c r="E3690" s="16">
        <f t="shared" si="114"/>
        <v>103544865.8344</v>
      </c>
      <c r="G3690" s="16">
        <f>IF(D3690=0,0,SUMIF(매도완료!$J:$J,Sheet2!$B3690,매도완료!$S:$S))+IF(D3690=0,0,SUMIF(ING!$J:$J,Sheet2!$B3690,ING!$S:$S))</f>
        <v>0</v>
      </c>
      <c r="H3690" s="16">
        <f t="shared" si="115"/>
        <v>46851673.160303831</v>
      </c>
    </row>
    <row r="3691" spans="2:8" x14ac:dyDescent="0.4">
      <c r="B3691" s="1">
        <v>46240</v>
      </c>
      <c r="C3691" s="16">
        <f>SUMIF(매도완료!$G:$G,Sheet2!$B3691,매도완료!$P:$P)+SUMIF(ING!$G:$G,Sheet2!$B3691,ING!$P:$P)</f>
        <v>0</v>
      </c>
      <c r="D3691" s="16">
        <f>SUMIF(매도완료!$J:$J,Sheet2!$B3691,매도완료!$P:$P)+SUMIF(ING!$J:$J,Sheet2!$B3691,ING!$P:$P)</f>
        <v>0</v>
      </c>
      <c r="E3691" s="16">
        <f t="shared" si="114"/>
        <v>103544865.8344</v>
      </c>
      <c r="G3691" s="16">
        <f>IF(D3691=0,0,SUMIF(매도완료!$J:$J,Sheet2!$B3691,매도완료!$S:$S))+IF(D3691=0,0,SUMIF(ING!$J:$J,Sheet2!$B3691,ING!$S:$S))</f>
        <v>0</v>
      </c>
      <c r="H3691" s="16">
        <f t="shared" si="115"/>
        <v>46851673.160303831</v>
      </c>
    </row>
    <row r="3692" spans="2:8" x14ac:dyDescent="0.4">
      <c r="B3692" s="1">
        <v>46241</v>
      </c>
      <c r="C3692" s="16">
        <f>SUMIF(매도완료!$G:$G,Sheet2!$B3692,매도완료!$P:$P)+SUMIF(ING!$G:$G,Sheet2!$B3692,ING!$P:$P)</f>
        <v>0</v>
      </c>
      <c r="D3692" s="16">
        <f>SUMIF(매도완료!$J:$J,Sheet2!$B3692,매도완료!$P:$P)+SUMIF(ING!$J:$J,Sheet2!$B3692,ING!$P:$P)</f>
        <v>0</v>
      </c>
      <c r="E3692" s="16">
        <f t="shared" si="114"/>
        <v>103544865.8344</v>
      </c>
      <c r="G3692" s="16">
        <f>IF(D3692=0,0,SUMIF(매도완료!$J:$J,Sheet2!$B3692,매도완료!$S:$S))+IF(D3692=0,0,SUMIF(ING!$J:$J,Sheet2!$B3692,ING!$S:$S))</f>
        <v>0</v>
      </c>
      <c r="H3692" s="16">
        <f t="shared" si="115"/>
        <v>46851673.160303831</v>
      </c>
    </row>
    <row r="3693" spans="2:8" x14ac:dyDescent="0.4">
      <c r="B3693" s="1">
        <v>46242</v>
      </c>
      <c r="C3693" s="16">
        <f>SUMIF(매도완료!$G:$G,Sheet2!$B3693,매도완료!$P:$P)+SUMIF(ING!$G:$G,Sheet2!$B3693,ING!$P:$P)</f>
        <v>0</v>
      </c>
      <c r="D3693" s="16">
        <f>SUMIF(매도완료!$J:$J,Sheet2!$B3693,매도완료!$P:$P)+SUMIF(ING!$J:$J,Sheet2!$B3693,ING!$P:$P)</f>
        <v>0</v>
      </c>
      <c r="E3693" s="16">
        <f t="shared" si="114"/>
        <v>103544865.8344</v>
      </c>
      <c r="G3693" s="16">
        <f>IF(D3693=0,0,SUMIF(매도완료!$J:$J,Sheet2!$B3693,매도완료!$S:$S))+IF(D3693=0,0,SUMIF(ING!$J:$J,Sheet2!$B3693,ING!$S:$S))</f>
        <v>0</v>
      </c>
      <c r="H3693" s="16">
        <f t="shared" si="115"/>
        <v>46851673.160303831</v>
      </c>
    </row>
    <row r="3694" spans="2:8" x14ac:dyDescent="0.4">
      <c r="B3694" s="1">
        <v>46243</v>
      </c>
      <c r="C3694" s="16">
        <f>SUMIF(매도완료!$G:$G,Sheet2!$B3694,매도완료!$P:$P)+SUMIF(ING!$G:$G,Sheet2!$B3694,ING!$P:$P)</f>
        <v>0</v>
      </c>
      <c r="D3694" s="16">
        <f>SUMIF(매도완료!$J:$J,Sheet2!$B3694,매도완료!$P:$P)+SUMIF(ING!$J:$J,Sheet2!$B3694,ING!$P:$P)</f>
        <v>0</v>
      </c>
      <c r="E3694" s="16">
        <f t="shared" si="114"/>
        <v>103544865.8344</v>
      </c>
      <c r="G3694" s="16">
        <f>IF(D3694=0,0,SUMIF(매도완료!$J:$J,Sheet2!$B3694,매도완료!$S:$S))+IF(D3694=0,0,SUMIF(ING!$J:$J,Sheet2!$B3694,ING!$S:$S))</f>
        <v>0</v>
      </c>
      <c r="H3694" s="16">
        <f t="shared" si="115"/>
        <v>46851673.160303831</v>
      </c>
    </row>
    <row r="3695" spans="2:8" x14ac:dyDescent="0.4">
      <c r="B3695" s="1">
        <v>46244</v>
      </c>
      <c r="C3695" s="16">
        <f>SUMIF(매도완료!$G:$G,Sheet2!$B3695,매도완료!$P:$P)+SUMIF(ING!$G:$G,Sheet2!$B3695,ING!$P:$P)</f>
        <v>0</v>
      </c>
      <c r="D3695" s="16">
        <f>SUMIF(매도완료!$J:$J,Sheet2!$B3695,매도완료!$P:$P)+SUMIF(ING!$J:$J,Sheet2!$B3695,ING!$P:$P)</f>
        <v>0</v>
      </c>
      <c r="E3695" s="16">
        <f t="shared" si="114"/>
        <v>103544865.8344</v>
      </c>
      <c r="G3695" s="16">
        <f>IF(D3695=0,0,SUMIF(매도완료!$J:$J,Sheet2!$B3695,매도완료!$S:$S))+IF(D3695=0,0,SUMIF(ING!$J:$J,Sheet2!$B3695,ING!$S:$S))</f>
        <v>0</v>
      </c>
      <c r="H3695" s="16">
        <f t="shared" si="115"/>
        <v>46851673.160303831</v>
      </c>
    </row>
    <row r="3696" spans="2:8" x14ac:dyDescent="0.4">
      <c r="B3696" s="1">
        <v>46245</v>
      </c>
      <c r="C3696" s="16">
        <f>SUMIF(매도완료!$G:$G,Sheet2!$B3696,매도완료!$P:$P)+SUMIF(ING!$G:$G,Sheet2!$B3696,ING!$P:$P)</f>
        <v>0</v>
      </c>
      <c r="D3696" s="16">
        <f>SUMIF(매도완료!$J:$J,Sheet2!$B3696,매도완료!$P:$P)+SUMIF(ING!$J:$J,Sheet2!$B3696,ING!$P:$P)</f>
        <v>0</v>
      </c>
      <c r="E3696" s="16">
        <f t="shared" si="114"/>
        <v>103544865.8344</v>
      </c>
      <c r="G3696" s="16">
        <f>IF(D3696=0,0,SUMIF(매도완료!$J:$J,Sheet2!$B3696,매도완료!$S:$S))+IF(D3696=0,0,SUMIF(ING!$J:$J,Sheet2!$B3696,ING!$S:$S))</f>
        <v>0</v>
      </c>
      <c r="H3696" s="16">
        <f t="shared" si="115"/>
        <v>46851673.160303831</v>
      </c>
    </row>
    <row r="3697" spans="2:8" x14ac:dyDescent="0.4">
      <c r="B3697" s="1">
        <v>46246</v>
      </c>
      <c r="C3697" s="16">
        <f>SUMIF(매도완료!$G:$G,Sheet2!$B3697,매도완료!$P:$P)+SUMIF(ING!$G:$G,Sheet2!$B3697,ING!$P:$P)</f>
        <v>0</v>
      </c>
      <c r="D3697" s="16">
        <f>SUMIF(매도완료!$J:$J,Sheet2!$B3697,매도완료!$P:$P)+SUMIF(ING!$J:$J,Sheet2!$B3697,ING!$P:$P)</f>
        <v>0</v>
      </c>
      <c r="E3697" s="16">
        <f t="shared" si="114"/>
        <v>103544865.8344</v>
      </c>
      <c r="G3697" s="16">
        <f>IF(D3697=0,0,SUMIF(매도완료!$J:$J,Sheet2!$B3697,매도완료!$S:$S))+IF(D3697=0,0,SUMIF(ING!$J:$J,Sheet2!$B3697,ING!$S:$S))</f>
        <v>0</v>
      </c>
      <c r="H3697" s="16">
        <f t="shared" si="115"/>
        <v>46851673.160303831</v>
      </c>
    </row>
    <row r="3698" spans="2:8" x14ac:dyDescent="0.4">
      <c r="B3698" s="1">
        <v>46247</v>
      </c>
      <c r="C3698" s="16">
        <f>SUMIF(매도완료!$G:$G,Sheet2!$B3698,매도완료!$P:$P)+SUMIF(ING!$G:$G,Sheet2!$B3698,ING!$P:$P)</f>
        <v>0</v>
      </c>
      <c r="D3698" s="16">
        <f>SUMIF(매도완료!$J:$J,Sheet2!$B3698,매도완료!$P:$P)+SUMIF(ING!$J:$J,Sheet2!$B3698,ING!$P:$P)</f>
        <v>0</v>
      </c>
      <c r="E3698" s="16">
        <f t="shared" si="114"/>
        <v>103544865.8344</v>
      </c>
      <c r="G3698" s="16">
        <f>IF(D3698=0,0,SUMIF(매도완료!$J:$J,Sheet2!$B3698,매도완료!$S:$S))+IF(D3698=0,0,SUMIF(ING!$J:$J,Sheet2!$B3698,ING!$S:$S))</f>
        <v>0</v>
      </c>
      <c r="H3698" s="16">
        <f t="shared" si="115"/>
        <v>46851673.160303831</v>
      </c>
    </row>
    <row r="3699" spans="2:8" x14ac:dyDescent="0.4">
      <c r="B3699" s="1">
        <v>46248</v>
      </c>
      <c r="C3699" s="16">
        <f>SUMIF(매도완료!$G:$G,Sheet2!$B3699,매도완료!$P:$P)+SUMIF(ING!$G:$G,Sheet2!$B3699,ING!$P:$P)</f>
        <v>0</v>
      </c>
      <c r="D3699" s="16">
        <f>SUMIF(매도완료!$J:$J,Sheet2!$B3699,매도완료!$P:$P)+SUMIF(ING!$J:$J,Sheet2!$B3699,ING!$P:$P)</f>
        <v>0</v>
      </c>
      <c r="E3699" s="16">
        <f t="shared" si="114"/>
        <v>103544865.8344</v>
      </c>
      <c r="G3699" s="16">
        <f>IF(D3699=0,0,SUMIF(매도완료!$J:$J,Sheet2!$B3699,매도완료!$S:$S))+IF(D3699=0,0,SUMIF(ING!$J:$J,Sheet2!$B3699,ING!$S:$S))</f>
        <v>0</v>
      </c>
      <c r="H3699" s="16">
        <f t="shared" si="115"/>
        <v>46851673.160303831</v>
      </c>
    </row>
    <row r="3700" spans="2:8" x14ac:dyDescent="0.4">
      <c r="B3700" s="1">
        <v>46249</v>
      </c>
      <c r="C3700" s="16">
        <f>SUMIF(매도완료!$G:$G,Sheet2!$B3700,매도완료!$P:$P)+SUMIF(ING!$G:$G,Sheet2!$B3700,ING!$P:$P)</f>
        <v>0</v>
      </c>
      <c r="D3700" s="16">
        <f>SUMIF(매도완료!$J:$J,Sheet2!$B3700,매도완료!$P:$P)+SUMIF(ING!$J:$J,Sheet2!$B3700,ING!$P:$P)</f>
        <v>0</v>
      </c>
      <c r="E3700" s="16">
        <f t="shared" si="114"/>
        <v>103544865.8344</v>
      </c>
      <c r="G3700" s="16">
        <f>IF(D3700=0,0,SUMIF(매도완료!$J:$J,Sheet2!$B3700,매도완료!$S:$S))+IF(D3700=0,0,SUMIF(ING!$J:$J,Sheet2!$B3700,ING!$S:$S))</f>
        <v>0</v>
      </c>
      <c r="H3700" s="16">
        <f t="shared" si="115"/>
        <v>46851673.160303831</v>
      </c>
    </row>
    <row r="3701" spans="2:8" x14ac:dyDescent="0.4">
      <c r="B3701" s="1">
        <v>46250</v>
      </c>
      <c r="C3701" s="16">
        <f>SUMIF(매도완료!$G:$G,Sheet2!$B3701,매도완료!$P:$P)+SUMIF(ING!$G:$G,Sheet2!$B3701,ING!$P:$P)</f>
        <v>0</v>
      </c>
      <c r="D3701" s="16">
        <f>SUMIF(매도완료!$J:$J,Sheet2!$B3701,매도완료!$P:$P)+SUMIF(ING!$J:$J,Sheet2!$B3701,ING!$P:$P)</f>
        <v>0</v>
      </c>
      <c r="E3701" s="16">
        <f t="shared" si="114"/>
        <v>103544865.8344</v>
      </c>
      <c r="G3701" s="16">
        <f>IF(D3701=0,0,SUMIF(매도완료!$J:$J,Sheet2!$B3701,매도완료!$S:$S))+IF(D3701=0,0,SUMIF(ING!$J:$J,Sheet2!$B3701,ING!$S:$S))</f>
        <v>0</v>
      </c>
      <c r="H3701" s="16">
        <f t="shared" si="115"/>
        <v>46851673.160303831</v>
      </c>
    </row>
    <row r="3702" spans="2:8" x14ac:dyDescent="0.4">
      <c r="B3702" s="1">
        <v>46251</v>
      </c>
      <c r="C3702" s="16">
        <f>SUMIF(매도완료!$G:$G,Sheet2!$B3702,매도완료!$P:$P)+SUMIF(ING!$G:$G,Sheet2!$B3702,ING!$P:$P)</f>
        <v>0</v>
      </c>
      <c r="D3702" s="16">
        <f>SUMIF(매도완료!$J:$J,Sheet2!$B3702,매도완료!$P:$P)+SUMIF(ING!$J:$J,Sheet2!$B3702,ING!$P:$P)</f>
        <v>0</v>
      </c>
      <c r="E3702" s="16">
        <f t="shared" si="114"/>
        <v>103544865.8344</v>
      </c>
      <c r="G3702" s="16">
        <f>IF(D3702=0,0,SUMIF(매도완료!$J:$J,Sheet2!$B3702,매도완료!$S:$S))+IF(D3702=0,0,SUMIF(ING!$J:$J,Sheet2!$B3702,ING!$S:$S))</f>
        <v>0</v>
      </c>
      <c r="H3702" s="16">
        <f t="shared" si="115"/>
        <v>46851673.160303831</v>
      </c>
    </row>
    <row r="3703" spans="2:8" x14ac:dyDescent="0.4">
      <c r="B3703" s="1">
        <v>46252</v>
      </c>
      <c r="C3703" s="16">
        <f>SUMIF(매도완료!$G:$G,Sheet2!$B3703,매도완료!$P:$P)+SUMIF(ING!$G:$G,Sheet2!$B3703,ING!$P:$P)</f>
        <v>0</v>
      </c>
      <c r="D3703" s="16">
        <f>SUMIF(매도완료!$J:$J,Sheet2!$B3703,매도완료!$P:$P)+SUMIF(ING!$J:$J,Sheet2!$B3703,ING!$P:$P)</f>
        <v>0</v>
      </c>
      <c r="E3703" s="16">
        <f t="shared" si="114"/>
        <v>103544865.8344</v>
      </c>
      <c r="G3703" s="16">
        <f>IF(D3703=0,0,SUMIF(매도완료!$J:$J,Sheet2!$B3703,매도완료!$S:$S))+IF(D3703=0,0,SUMIF(ING!$J:$J,Sheet2!$B3703,ING!$S:$S))</f>
        <v>0</v>
      </c>
      <c r="H3703" s="16">
        <f t="shared" si="115"/>
        <v>46851673.160303831</v>
      </c>
    </row>
    <row r="3704" spans="2:8" x14ac:dyDescent="0.4">
      <c r="B3704" s="1">
        <v>46253</v>
      </c>
      <c r="C3704" s="16">
        <f>SUMIF(매도완료!$G:$G,Sheet2!$B3704,매도완료!$P:$P)+SUMIF(ING!$G:$G,Sheet2!$B3704,ING!$P:$P)</f>
        <v>0</v>
      </c>
      <c r="D3704" s="16">
        <f>SUMIF(매도완료!$J:$J,Sheet2!$B3704,매도완료!$P:$P)+SUMIF(ING!$J:$J,Sheet2!$B3704,ING!$P:$P)</f>
        <v>0</v>
      </c>
      <c r="E3704" s="16">
        <f t="shared" si="114"/>
        <v>103544865.8344</v>
      </c>
      <c r="G3704" s="16">
        <f>IF(D3704=0,0,SUMIF(매도완료!$J:$J,Sheet2!$B3704,매도완료!$S:$S))+IF(D3704=0,0,SUMIF(ING!$J:$J,Sheet2!$B3704,ING!$S:$S))</f>
        <v>0</v>
      </c>
      <c r="H3704" s="16">
        <f t="shared" si="115"/>
        <v>46851673.160303831</v>
      </c>
    </row>
    <row r="3705" spans="2:8" x14ac:dyDescent="0.4">
      <c r="B3705" s="1">
        <v>46254</v>
      </c>
      <c r="C3705" s="16">
        <f>SUMIF(매도완료!$G:$G,Sheet2!$B3705,매도완료!$P:$P)+SUMIF(ING!$G:$G,Sheet2!$B3705,ING!$P:$P)</f>
        <v>0</v>
      </c>
      <c r="D3705" s="16">
        <f>SUMIF(매도완료!$J:$J,Sheet2!$B3705,매도완료!$P:$P)+SUMIF(ING!$J:$J,Sheet2!$B3705,ING!$P:$P)</f>
        <v>0</v>
      </c>
      <c r="E3705" s="16">
        <f t="shared" si="114"/>
        <v>103544865.8344</v>
      </c>
      <c r="G3705" s="16">
        <f>IF(D3705=0,0,SUMIF(매도완료!$J:$J,Sheet2!$B3705,매도완료!$S:$S))+IF(D3705=0,0,SUMIF(ING!$J:$J,Sheet2!$B3705,ING!$S:$S))</f>
        <v>0</v>
      </c>
      <c r="H3705" s="16">
        <f t="shared" si="115"/>
        <v>46851673.160303831</v>
      </c>
    </row>
    <row r="3706" spans="2:8" x14ac:dyDescent="0.4">
      <c r="B3706" s="1">
        <v>46255</v>
      </c>
      <c r="C3706" s="16">
        <f>SUMIF(매도완료!$G:$G,Sheet2!$B3706,매도완료!$P:$P)+SUMIF(ING!$G:$G,Sheet2!$B3706,ING!$P:$P)</f>
        <v>0</v>
      </c>
      <c r="D3706" s="16">
        <f>SUMIF(매도완료!$J:$J,Sheet2!$B3706,매도완료!$P:$P)+SUMIF(ING!$J:$J,Sheet2!$B3706,ING!$P:$P)</f>
        <v>0</v>
      </c>
      <c r="E3706" s="16">
        <f t="shared" si="114"/>
        <v>103544865.8344</v>
      </c>
      <c r="G3706" s="16">
        <f>IF(D3706=0,0,SUMIF(매도완료!$J:$J,Sheet2!$B3706,매도완료!$S:$S))+IF(D3706=0,0,SUMIF(ING!$J:$J,Sheet2!$B3706,ING!$S:$S))</f>
        <v>0</v>
      </c>
      <c r="H3706" s="16">
        <f t="shared" si="115"/>
        <v>46851673.160303831</v>
      </c>
    </row>
    <row r="3707" spans="2:8" x14ac:dyDescent="0.4">
      <c r="B3707" s="1">
        <v>46256</v>
      </c>
      <c r="C3707" s="16">
        <f>SUMIF(매도완료!$G:$G,Sheet2!$B3707,매도완료!$P:$P)+SUMIF(ING!$G:$G,Sheet2!$B3707,ING!$P:$P)</f>
        <v>0</v>
      </c>
      <c r="D3707" s="16">
        <f>SUMIF(매도완료!$J:$J,Sheet2!$B3707,매도완료!$P:$P)+SUMIF(ING!$J:$J,Sheet2!$B3707,ING!$P:$P)</f>
        <v>0</v>
      </c>
      <c r="E3707" s="16">
        <f t="shared" si="114"/>
        <v>103544865.8344</v>
      </c>
      <c r="G3707" s="16">
        <f>IF(D3707=0,0,SUMIF(매도완료!$J:$J,Sheet2!$B3707,매도완료!$S:$S))+IF(D3707=0,0,SUMIF(ING!$J:$J,Sheet2!$B3707,ING!$S:$S))</f>
        <v>0</v>
      </c>
      <c r="H3707" s="16">
        <f t="shared" si="115"/>
        <v>46851673.160303831</v>
      </c>
    </row>
    <row r="3708" spans="2:8" x14ac:dyDescent="0.4">
      <c r="B3708" s="1">
        <v>46257</v>
      </c>
      <c r="C3708" s="16">
        <f>SUMIF(매도완료!$G:$G,Sheet2!$B3708,매도완료!$P:$P)+SUMIF(ING!$G:$G,Sheet2!$B3708,ING!$P:$P)</f>
        <v>0</v>
      </c>
      <c r="D3708" s="16">
        <f>SUMIF(매도완료!$J:$J,Sheet2!$B3708,매도완료!$P:$P)+SUMIF(ING!$J:$J,Sheet2!$B3708,ING!$P:$P)</f>
        <v>0</v>
      </c>
      <c r="E3708" s="16">
        <f t="shared" si="114"/>
        <v>103544865.8344</v>
      </c>
      <c r="G3708" s="16">
        <f>IF(D3708=0,0,SUMIF(매도완료!$J:$J,Sheet2!$B3708,매도완료!$S:$S))+IF(D3708=0,0,SUMIF(ING!$J:$J,Sheet2!$B3708,ING!$S:$S))</f>
        <v>0</v>
      </c>
      <c r="H3708" s="16">
        <f t="shared" si="115"/>
        <v>46851673.160303831</v>
      </c>
    </row>
    <row r="3709" spans="2:8" x14ac:dyDescent="0.4">
      <c r="B3709" s="1">
        <v>46258</v>
      </c>
      <c r="C3709" s="16">
        <f>SUMIF(매도완료!$G:$G,Sheet2!$B3709,매도완료!$P:$P)+SUMIF(ING!$G:$G,Sheet2!$B3709,ING!$P:$P)</f>
        <v>0</v>
      </c>
      <c r="D3709" s="16">
        <f>SUMIF(매도완료!$J:$J,Sheet2!$B3709,매도완료!$P:$P)+SUMIF(ING!$J:$J,Sheet2!$B3709,ING!$P:$P)</f>
        <v>0</v>
      </c>
      <c r="E3709" s="16">
        <f t="shared" si="114"/>
        <v>103544865.8344</v>
      </c>
      <c r="G3709" s="16">
        <f>IF(D3709=0,0,SUMIF(매도완료!$J:$J,Sheet2!$B3709,매도완료!$S:$S))+IF(D3709=0,0,SUMIF(ING!$J:$J,Sheet2!$B3709,ING!$S:$S))</f>
        <v>0</v>
      </c>
      <c r="H3709" s="16">
        <f t="shared" si="115"/>
        <v>46851673.160303831</v>
      </c>
    </row>
    <row r="3710" spans="2:8" x14ac:dyDescent="0.4">
      <c r="B3710" s="1">
        <v>46259</v>
      </c>
      <c r="C3710" s="16">
        <f>SUMIF(매도완료!$G:$G,Sheet2!$B3710,매도완료!$P:$P)+SUMIF(ING!$G:$G,Sheet2!$B3710,ING!$P:$P)</f>
        <v>0</v>
      </c>
      <c r="D3710" s="16">
        <f>SUMIF(매도완료!$J:$J,Sheet2!$B3710,매도완료!$P:$P)+SUMIF(ING!$J:$J,Sheet2!$B3710,ING!$P:$P)</f>
        <v>0</v>
      </c>
      <c r="E3710" s="16">
        <f t="shared" si="114"/>
        <v>103544865.8344</v>
      </c>
      <c r="G3710" s="16">
        <f>IF(D3710=0,0,SUMIF(매도완료!$J:$J,Sheet2!$B3710,매도완료!$S:$S))+IF(D3710=0,0,SUMIF(ING!$J:$J,Sheet2!$B3710,ING!$S:$S))</f>
        <v>0</v>
      </c>
      <c r="H3710" s="16">
        <f t="shared" si="115"/>
        <v>46851673.160303831</v>
      </c>
    </row>
    <row r="3711" spans="2:8" x14ac:dyDescent="0.4">
      <c r="B3711" s="1">
        <v>46260</v>
      </c>
      <c r="C3711" s="16">
        <f>SUMIF(매도완료!$G:$G,Sheet2!$B3711,매도완료!$P:$P)+SUMIF(ING!$G:$G,Sheet2!$B3711,ING!$P:$P)</f>
        <v>0</v>
      </c>
      <c r="D3711" s="16">
        <f>SUMIF(매도완료!$J:$J,Sheet2!$B3711,매도완료!$P:$P)+SUMIF(ING!$J:$J,Sheet2!$B3711,ING!$P:$P)</f>
        <v>0</v>
      </c>
      <c r="E3711" s="16">
        <f t="shared" si="114"/>
        <v>103544865.8344</v>
      </c>
      <c r="G3711" s="16">
        <f>IF(D3711=0,0,SUMIF(매도완료!$J:$J,Sheet2!$B3711,매도완료!$S:$S))+IF(D3711=0,0,SUMIF(ING!$J:$J,Sheet2!$B3711,ING!$S:$S))</f>
        <v>0</v>
      </c>
      <c r="H3711" s="16">
        <f t="shared" si="115"/>
        <v>46851673.160303831</v>
      </c>
    </row>
    <row r="3712" spans="2:8" x14ac:dyDescent="0.4">
      <c r="B3712" s="1">
        <v>46261</v>
      </c>
      <c r="C3712" s="16">
        <f>SUMIF(매도완료!$G:$G,Sheet2!$B3712,매도완료!$P:$P)+SUMIF(ING!$G:$G,Sheet2!$B3712,ING!$P:$P)</f>
        <v>0</v>
      </c>
      <c r="D3712" s="16">
        <f>SUMIF(매도완료!$J:$J,Sheet2!$B3712,매도완료!$P:$P)+SUMIF(ING!$J:$J,Sheet2!$B3712,ING!$P:$P)</f>
        <v>0</v>
      </c>
      <c r="E3712" s="16">
        <f t="shared" si="114"/>
        <v>103544865.8344</v>
      </c>
      <c r="G3712" s="16">
        <f>IF(D3712=0,0,SUMIF(매도완료!$J:$J,Sheet2!$B3712,매도완료!$S:$S))+IF(D3712=0,0,SUMIF(ING!$J:$J,Sheet2!$B3712,ING!$S:$S))</f>
        <v>0</v>
      </c>
      <c r="H3712" s="16">
        <f t="shared" si="115"/>
        <v>46851673.160303831</v>
      </c>
    </row>
    <row r="3713" spans="2:8" x14ac:dyDescent="0.4">
      <c r="B3713" s="1">
        <v>46262</v>
      </c>
      <c r="C3713" s="16">
        <f>SUMIF(매도완료!$G:$G,Sheet2!$B3713,매도완료!$P:$P)+SUMIF(ING!$G:$G,Sheet2!$B3713,ING!$P:$P)</f>
        <v>0</v>
      </c>
      <c r="D3713" s="16">
        <f>SUMIF(매도완료!$J:$J,Sheet2!$B3713,매도완료!$P:$P)+SUMIF(ING!$J:$J,Sheet2!$B3713,ING!$P:$P)</f>
        <v>0</v>
      </c>
      <c r="E3713" s="16">
        <f t="shared" si="114"/>
        <v>103544865.8344</v>
      </c>
      <c r="G3713" s="16">
        <f>IF(D3713=0,0,SUMIF(매도완료!$J:$J,Sheet2!$B3713,매도완료!$S:$S))+IF(D3713=0,0,SUMIF(ING!$J:$J,Sheet2!$B3713,ING!$S:$S))</f>
        <v>0</v>
      </c>
      <c r="H3713" s="16">
        <f t="shared" si="115"/>
        <v>46851673.160303831</v>
      </c>
    </row>
    <row r="3714" spans="2:8" x14ac:dyDescent="0.4">
      <c r="B3714" s="1">
        <v>46263</v>
      </c>
      <c r="C3714" s="16">
        <f>SUMIF(매도완료!$G:$G,Sheet2!$B3714,매도완료!$P:$P)+SUMIF(ING!$G:$G,Sheet2!$B3714,ING!$P:$P)</f>
        <v>0</v>
      </c>
      <c r="D3714" s="16">
        <f>SUMIF(매도완료!$J:$J,Sheet2!$B3714,매도완료!$P:$P)+SUMIF(ING!$J:$J,Sheet2!$B3714,ING!$P:$P)</f>
        <v>0</v>
      </c>
      <c r="E3714" s="16">
        <f t="shared" si="114"/>
        <v>103544865.8344</v>
      </c>
      <c r="G3714" s="16">
        <f>IF(D3714=0,0,SUMIF(매도완료!$J:$J,Sheet2!$B3714,매도완료!$S:$S))+IF(D3714=0,0,SUMIF(ING!$J:$J,Sheet2!$B3714,ING!$S:$S))</f>
        <v>0</v>
      </c>
      <c r="H3714" s="16">
        <f t="shared" si="115"/>
        <v>46851673.160303831</v>
      </c>
    </row>
    <row r="3715" spans="2:8" x14ac:dyDescent="0.4">
      <c r="B3715" s="1">
        <v>46264</v>
      </c>
      <c r="C3715" s="16">
        <f>SUMIF(매도완료!$G:$G,Sheet2!$B3715,매도완료!$P:$P)+SUMIF(ING!$G:$G,Sheet2!$B3715,ING!$P:$P)</f>
        <v>0</v>
      </c>
      <c r="D3715" s="16">
        <f>SUMIF(매도완료!$J:$J,Sheet2!$B3715,매도완료!$P:$P)+SUMIF(ING!$J:$J,Sheet2!$B3715,ING!$P:$P)</f>
        <v>0</v>
      </c>
      <c r="E3715" s="16">
        <f t="shared" si="114"/>
        <v>103544865.8344</v>
      </c>
      <c r="G3715" s="16">
        <f>IF(D3715=0,0,SUMIF(매도완료!$J:$J,Sheet2!$B3715,매도완료!$S:$S))+IF(D3715=0,0,SUMIF(ING!$J:$J,Sheet2!$B3715,ING!$S:$S))</f>
        <v>0</v>
      </c>
      <c r="H3715" s="16">
        <f t="shared" si="115"/>
        <v>46851673.160303831</v>
      </c>
    </row>
    <row r="3716" spans="2:8" x14ac:dyDescent="0.4">
      <c r="B3716" s="1">
        <v>46265</v>
      </c>
      <c r="C3716" s="16">
        <f>SUMIF(매도완료!$G:$G,Sheet2!$B3716,매도완료!$P:$P)+SUMIF(ING!$G:$G,Sheet2!$B3716,ING!$P:$P)</f>
        <v>0</v>
      </c>
      <c r="D3716" s="16">
        <f>SUMIF(매도완료!$J:$J,Sheet2!$B3716,매도완료!$P:$P)+SUMIF(ING!$J:$J,Sheet2!$B3716,ING!$P:$P)</f>
        <v>0</v>
      </c>
      <c r="E3716" s="16">
        <f t="shared" ref="E3716:E3779" si="116">E3715+C3716-D3716</f>
        <v>103544865.8344</v>
      </c>
      <c r="G3716" s="16">
        <f>IF(D3716=0,0,SUMIF(매도완료!$J:$J,Sheet2!$B3716,매도완료!$S:$S))+IF(D3716=0,0,SUMIF(ING!$J:$J,Sheet2!$B3716,ING!$S:$S))</f>
        <v>0</v>
      </c>
      <c r="H3716" s="16">
        <f t="shared" ref="H3716:H3779" si="117">H3715+G3716</f>
        <v>46851673.160303831</v>
      </c>
    </row>
  </sheetData>
  <phoneticPr fontId="9" type="noConversion"/>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C6:Y838"/>
  <sheetViews>
    <sheetView topLeftCell="B809" workbookViewId="0">
      <selection activeCell="V834" activeCellId="3" sqref="V821:V822 V825:V827 V832 V834:V835"/>
    </sheetView>
  </sheetViews>
  <sheetFormatPr defaultRowHeight="17.399999999999999" x14ac:dyDescent="0.4"/>
  <cols>
    <col min="4" max="4" width="12.59765625" style="405" customWidth="1"/>
    <col min="6" max="6" width="0.5" style="405" customWidth="1"/>
    <col min="7" max="7" width="14.8984375" style="405" customWidth="1"/>
    <col min="10" max="10" width="14" style="405" customWidth="1"/>
    <col min="13" max="13" width="4.69921875" style="405" customWidth="1"/>
    <col min="14" max="14" width="13.59765625" style="405" customWidth="1"/>
    <col min="15" max="15" width="12.09765625" style="405" bestFit="1" customWidth="1"/>
    <col min="18" max="18" width="13.59765625" style="405" bestFit="1" customWidth="1"/>
    <col min="19" max="19" width="10.8984375" style="405" customWidth="1"/>
    <col min="22" max="22" width="12.19921875" style="405" customWidth="1"/>
    <col min="24" max="24" width="13.59765625" style="405" bestFit="1" customWidth="1"/>
  </cols>
  <sheetData>
    <row r="6" spans="3:11" x14ac:dyDescent="0.4">
      <c r="C6" s="50" t="s">
        <v>700</v>
      </c>
      <c r="D6" s="51"/>
      <c r="E6" s="51"/>
      <c r="F6" s="51"/>
      <c r="G6" s="51"/>
      <c r="H6" s="51"/>
      <c r="I6" s="51"/>
      <c r="J6" s="51"/>
      <c r="K6" s="52"/>
    </row>
    <row r="7" spans="3:11" ht="18" customHeight="1" thickBot="1" x14ac:dyDescent="0.45">
      <c r="C7" s="53"/>
      <c r="D7" s="47"/>
      <c r="E7" s="47"/>
      <c r="F7" s="47"/>
      <c r="G7" s="47"/>
      <c r="H7" s="48" t="s">
        <v>701</v>
      </c>
      <c r="K7" s="54"/>
    </row>
    <row r="8" spans="3:11" x14ac:dyDescent="0.4">
      <c r="C8" s="53"/>
      <c r="D8" t="s">
        <v>702</v>
      </c>
      <c r="E8" s="16">
        <v>380000</v>
      </c>
      <c r="G8" t="s">
        <v>703</v>
      </c>
      <c r="H8" s="16">
        <v>190000</v>
      </c>
      <c r="K8" s="54"/>
    </row>
    <row r="9" spans="3:11" x14ac:dyDescent="0.4">
      <c r="C9" s="53"/>
      <c r="D9" t="s">
        <v>704</v>
      </c>
      <c r="E9" s="16">
        <v>8700</v>
      </c>
      <c r="G9" t="s">
        <v>705</v>
      </c>
      <c r="H9" s="16">
        <v>23000</v>
      </c>
      <c r="K9" s="54"/>
    </row>
    <row r="10" spans="3:11" x14ac:dyDescent="0.4">
      <c r="C10" s="53"/>
      <c r="D10" t="s">
        <v>706</v>
      </c>
      <c r="E10" s="16">
        <v>19848</v>
      </c>
      <c r="G10" t="s">
        <v>707</v>
      </c>
      <c r="H10" s="16">
        <v>36000</v>
      </c>
      <c r="K10" s="54"/>
    </row>
    <row r="11" spans="3:11" x14ac:dyDescent="0.4">
      <c r="C11" s="53"/>
      <c r="D11" t="s">
        <v>708</v>
      </c>
      <c r="E11" s="16">
        <v>10857</v>
      </c>
      <c r="G11" t="s">
        <v>709</v>
      </c>
      <c r="H11" s="16">
        <v>10000</v>
      </c>
      <c r="K11" s="54"/>
    </row>
    <row r="12" spans="3:11" x14ac:dyDescent="0.4">
      <c r="C12" s="53"/>
      <c r="D12" t="s">
        <v>710</v>
      </c>
      <c r="E12" s="16">
        <v>8174</v>
      </c>
      <c r="H12" s="16"/>
      <c r="K12" s="54"/>
    </row>
    <row r="13" spans="3:11" x14ac:dyDescent="0.4">
      <c r="C13" s="53"/>
      <c r="D13" t="s">
        <v>711</v>
      </c>
      <c r="E13" s="16">
        <v>18544</v>
      </c>
      <c r="H13" s="16"/>
      <c r="K13" s="54"/>
    </row>
    <row r="14" spans="3:11" x14ac:dyDescent="0.4">
      <c r="C14" s="53"/>
      <c r="E14" s="16"/>
      <c r="H14" s="16"/>
      <c r="K14" s="54"/>
    </row>
    <row r="15" spans="3:11" x14ac:dyDescent="0.4">
      <c r="C15" s="53"/>
      <c r="D15" t="s">
        <v>712</v>
      </c>
      <c r="E15" s="16">
        <f>SUM(E8:E14)</f>
        <v>446123</v>
      </c>
      <c r="G15" t="s">
        <v>712</v>
      </c>
      <c r="H15" s="16">
        <f>SUM(H8:H14)</f>
        <v>259000</v>
      </c>
      <c r="K15" s="54"/>
    </row>
    <row r="16" spans="3:11" x14ac:dyDescent="0.4">
      <c r="C16" s="53"/>
      <c r="E16" s="16"/>
      <c r="G16" t="s">
        <v>713</v>
      </c>
      <c r="H16" s="16">
        <f>E15-H15-E13</f>
        <v>168579</v>
      </c>
      <c r="K16" s="54"/>
    </row>
    <row r="17" spans="3:14" x14ac:dyDescent="0.4">
      <c r="C17" s="53"/>
      <c r="G17" t="s">
        <v>714</v>
      </c>
      <c r="H17" s="16">
        <v>25000</v>
      </c>
      <c r="J17" t="s">
        <v>715</v>
      </c>
      <c r="K17" s="54" t="s">
        <v>716</v>
      </c>
    </row>
    <row r="18" spans="3:14" x14ac:dyDescent="0.4">
      <c r="C18" s="53"/>
      <c r="E18" s="16"/>
      <c r="G18" t="s">
        <v>717</v>
      </c>
      <c r="H18" s="16">
        <v>40000</v>
      </c>
      <c r="I18" t="s">
        <v>718</v>
      </c>
      <c r="J18" s="2">
        <f>J19/0.6</f>
        <v>389298.33333333337</v>
      </c>
      <c r="K18" s="58">
        <v>450000</v>
      </c>
    </row>
    <row r="19" spans="3:14" x14ac:dyDescent="0.4">
      <c r="C19" s="53"/>
      <c r="E19" s="16"/>
      <c r="H19" s="16"/>
      <c r="I19" t="s">
        <v>719</v>
      </c>
      <c r="J19" s="2">
        <f>H16+H17+H18</f>
        <v>233579</v>
      </c>
      <c r="K19" s="58">
        <f>H16+H17+H18</f>
        <v>233579</v>
      </c>
    </row>
    <row r="20" spans="3:14" x14ac:dyDescent="0.4">
      <c r="C20" s="53"/>
      <c r="E20" s="16"/>
      <c r="H20" s="16"/>
      <c r="I20" t="s">
        <v>614</v>
      </c>
      <c r="J20" s="2">
        <f>J18*0.4</f>
        <v>155719.33333333334</v>
      </c>
      <c r="K20" s="58">
        <f>K18-K19</f>
        <v>216421</v>
      </c>
    </row>
    <row r="21" spans="3:14" x14ac:dyDescent="0.4">
      <c r="C21" s="55"/>
      <c r="D21" s="56"/>
      <c r="E21" s="57"/>
      <c r="F21" s="56"/>
      <c r="G21" s="56"/>
      <c r="H21" s="57"/>
      <c r="I21" s="56" t="s">
        <v>720</v>
      </c>
      <c r="J21" s="59">
        <f>J20/J18</f>
        <v>0.39999999999999997</v>
      </c>
      <c r="K21" s="60">
        <f>K20/K18</f>
        <v>0.48093555555555556</v>
      </c>
    </row>
    <row r="22" spans="3:14" x14ac:dyDescent="0.4">
      <c r="E22" s="16"/>
      <c r="H22" s="16"/>
    </row>
    <row r="23" spans="3:14" x14ac:dyDescent="0.4">
      <c r="E23" s="16"/>
      <c r="H23" s="16"/>
    </row>
    <row r="24" spans="3:14" x14ac:dyDescent="0.4">
      <c r="E24" s="16"/>
      <c r="H24" s="16"/>
    </row>
    <row r="25" spans="3:14" x14ac:dyDescent="0.4">
      <c r="E25" s="16"/>
      <c r="H25" s="16"/>
    </row>
    <row r="26" spans="3:14" x14ac:dyDescent="0.4">
      <c r="C26" s="50" t="s">
        <v>700</v>
      </c>
      <c r="D26" s="51"/>
      <c r="E26" s="51"/>
      <c r="F26" s="51"/>
      <c r="G26" s="51"/>
      <c r="H26" s="51"/>
      <c r="I26" s="51"/>
      <c r="J26" s="51"/>
      <c r="K26" s="52"/>
      <c r="N26" s="49"/>
    </row>
    <row r="27" spans="3:14" ht="18" customHeight="1" thickBot="1" x14ac:dyDescent="0.45">
      <c r="C27" s="53"/>
      <c r="D27" s="47"/>
      <c r="E27" s="47"/>
      <c r="F27" s="47"/>
      <c r="G27" s="47"/>
      <c r="H27" s="48" t="s">
        <v>721</v>
      </c>
      <c r="K27" s="54"/>
      <c r="N27" s="16"/>
    </row>
    <row r="28" spans="3:14" x14ac:dyDescent="0.4">
      <c r="C28" s="53"/>
      <c r="D28" t="s">
        <v>702</v>
      </c>
      <c r="E28" s="16">
        <v>380000</v>
      </c>
      <c r="G28" t="s">
        <v>703</v>
      </c>
      <c r="H28" s="16">
        <v>190000</v>
      </c>
      <c r="K28" s="54"/>
      <c r="N28" s="20"/>
    </row>
    <row r="29" spans="3:14" x14ac:dyDescent="0.4">
      <c r="C29" s="53"/>
      <c r="D29" t="s">
        <v>704</v>
      </c>
      <c r="E29" s="16">
        <v>620</v>
      </c>
      <c r="G29" t="s">
        <v>705</v>
      </c>
      <c r="H29" s="16">
        <v>23000</v>
      </c>
      <c r="K29" s="54"/>
      <c r="N29" s="16"/>
    </row>
    <row r="30" spans="3:14" x14ac:dyDescent="0.4">
      <c r="C30" s="53"/>
      <c r="D30" t="s">
        <v>706</v>
      </c>
      <c r="E30" s="16">
        <f>15020+4968</f>
        <v>19988</v>
      </c>
      <c r="G30" t="s">
        <v>707</v>
      </c>
      <c r="H30" s="16">
        <v>36000</v>
      </c>
      <c r="K30" s="54"/>
      <c r="N30" s="16"/>
    </row>
    <row r="31" spans="3:14" x14ac:dyDescent="0.4">
      <c r="C31" s="53"/>
      <c r="D31" t="s">
        <v>708</v>
      </c>
      <c r="E31" s="16">
        <v>51130</v>
      </c>
      <c r="G31" t="s">
        <v>709</v>
      </c>
      <c r="H31" s="16">
        <v>35740</v>
      </c>
      <c r="K31" s="54"/>
      <c r="N31" s="16"/>
    </row>
    <row r="32" spans="3:14" x14ac:dyDescent="0.4">
      <c r="C32" s="53"/>
      <c r="D32" t="s">
        <v>710</v>
      </c>
      <c r="E32" s="16">
        <v>6607</v>
      </c>
      <c r="H32" s="16"/>
      <c r="K32" s="54"/>
      <c r="N32" s="16"/>
    </row>
    <row r="33" spans="3:14" x14ac:dyDescent="0.4">
      <c r="C33" s="53"/>
      <c r="D33" t="s">
        <v>711</v>
      </c>
      <c r="E33" s="16">
        <v>18544</v>
      </c>
      <c r="H33" s="16"/>
      <c r="K33" s="54"/>
      <c r="N33" s="16"/>
    </row>
    <row r="34" spans="3:14" x14ac:dyDescent="0.4">
      <c r="C34" s="53"/>
      <c r="E34" s="16"/>
      <c r="H34" s="16"/>
      <c r="K34" s="54"/>
      <c r="N34" s="16"/>
    </row>
    <row r="35" spans="3:14" ht="18" customHeight="1" thickBot="1" x14ac:dyDescent="0.45">
      <c r="C35" s="53"/>
      <c r="D35" t="s">
        <v>712</v>
      </c>
      <c r="E35" s="16">
        <f>SUM(E28:E34)</f>
        <v>476889</v>
      </c>
      <c r="G35" t="s">
        <v>712</v>
      </c>
      <c r="H35" s="16">
        <f>SUM(H28:H34)</f>
        <v>284740</v>
      </c>
      <c r="K35" s="54"/>
      <c r="M35" s="61"/>
      <c r="N35" s="62"/>
    </row>
    <row r="36" spans="3:14" ht="18" customHeight="1" thickTop="1" x14ac:dyDescent="0.4">
      <c r="C36" s="53"/>
      <c r="E36" s="16"/>
      <c r="G36" t="s">
        <v>713</v>
      </c>
      <c r="H36" s="16">
        <f>E35-H35-E33</f>
        <v>173605</v>
      </c>
      <c r="K36" s="54"/>
      <c r="M36" s="18"/>
      <c r="N36" s="20"/>
    </row>
    <row r="37" spans="3:14" x14ac:dyDescent="0.4">
      <c r="C37" s="53"/>
      <c r="G37" t="s">
        <v>714</v>
      </c>
      <c r="H37" s="16">
        <v>0</v>
      </c>
      <c r="J37" t="s">
        <v>715</v>
      </c>
      <c r="K37" s="54" t="s">
        <v>716</v>
      </c>
      <c r="N37" s="16"/>
    </row>
    <row r="38" spans="3:14" x14ac:dyDescent="0.4">
      <c r="C38" s="53"/>
      <c r="E38" s="16"/>
      <c r="G38" t="s">
        <v>717</v>
      </c>
      <c r="H38" s="16">
        <v>40000</v>
      </c>
      <c r="I38" t="s">
        <v>718</v>
      </c>
      <c r="J38" s="2">
        <f>J39/0.6</f>
        <v>356008.33333333337</v>
      </c>
      <c r="K38" s="58">
        <v>450000</v>
      </c>
    </row>
    <row r="39" spans="3:14" x14ac:dyDescent="0.4">
      <c r="C39" s="53"/>
      <c r="E39" s="16"/>
      <c r="H39" s="16"/>
      <c r="I39" t="s">
        <v>719</v>
      </c>
      <c r="J39" s="2">
        <f>H36+H37+H38</f>
        <v>213605</v>
      </c>
      <c r="K39" s="58">
        <f>H36+H37+H38</f>
        <v>213605</v>
      </c>
    </row>
    <row r="40" spans="3:14" x14ac:dyDescent="0.4">
      <c r="C40" s="53"/>
      <c r="E40" s="16"/>
      <c r="H40" s="16"/>
      <c r="I40" t="s">
        <v>614</v>
      </c>
      <c r="J40" s="2">
        <f>J38*0.4</f>
        <v>142403.33333333334</v>
      </c>
      <c r="K40" s="58">
        <f>K38-K39</f>
        <v>236395</v>
      </c>
    </row>
    <row r="41" spans="3:14" x14ac:dyDescent="0.4">
      <c r="C41" s="55"/>
      <c r="D41" s="56"/>
      <c r="E41" s="57"/>
      <c r="F41" s="56"/>
      <c r="G41" s="56"/>
      <c r="H41" s="57"/>
      <c r="I41" s="56" t="s">
        <v>720</v>
      </c>
      <c r="J41" s="59">
        <f>J40/J38</f>
        <v>0.39999999999999997</v>
      </c>
      <c r="K41" s="60">
        <f>K40/K38</f>
        <v>0.52532222222222225</v>
      </c>
    </row>
    <row r="46" spans="3:14" x14ac:dyDescent="0.4">
      <c r="C46" s="50" t="s">
        <v>700</v>
      </c>
      <c r="D46" s="51"/>
      <c r="E46" s="51"/>
      <c r="F46" s="51"/>
      <c r="G46" s="51"/>
      <c r="H46" s="51"/>
      <c r="I46" s="51"/>
      <c r="J46" s="51"/>
      <c r="K46" s="52"/>
    </row>
    <row r="47" spans="3:14" ht="18" customHeight="1" thickBot="1" x14ac:dyDescent="0.45">
      <c r="C47" s="53"/>
      <c r="D47" s="47"/>
      <c r="E47" s="47"/>
      <c r="F47" s="47"/>
      <c r="G47" s="47"/>
      <c r="H47" s="48" t="s">
        <v>722</v>
      </c>
      <c r="K47" s="54"/>
    </row>
    <row r="48" spans="3:14" x14ac:dyDescent="0.4">
      <c r="C48" s="53"/>
      <c r="D48" t="s">
        <v>702</v>
      </c>
      <c r="E48" s="16">
        <v>380000</v>
      </c>
      <c r="G48" t="s">
        <v>703</v>
      </c>
      <c r="H48" s="16">
        <v>190000</v>
      </c>
      <c r="K48" s="54"/>
    </row>
    <row r="49" spans="3:12" x14ac:dyDescent="0.4">
      <c r="C49" s="53"/>
      <c r="D49" t="s">
        <v>704</v>
      </c>
      <c r="E49" s="16">
        <f>4200-3400</f>
        <v>800</v>
      </c>
      <c r="G49" t="s">
        <v>705</v>
      </c>
      <c r="H49" s="16">
        <v>23000</v>
      </c>
      <c r="K49" s="54"/>
    </row>
    <row r="50" spans="3:12" x14ac:dyDescent="0.4">
      <c r="C50" s="53"/>
      <c r="D50" t="s">
        <v>706</v>
      </c>
      <c r="E50" s="16">
        <v>14967</v>
      </c>
      <c r="G50" t="s">
        <v>707</v>
      </c>
      <c r="H50" s="16">
        <v>36000</v>
      </c>
      <c r="K50" s="54"/>
    </row>
    <row r="51" spans="3:12" x14ac:dyDescent="0.4">
      <c r="C51" s="53"/>
      <c r="D51" t="s">
        <v>708</v>
      </c>
      <c r="E51" s="16">
        <v>46800</v>
      </c>
      <c r="G51" t="s">
        <v>709</v>
      </c>
      <c r="H51" s="16">
        <v>23850</v>
      </c>
      <c r="K51" s="54"/>
    </row>
    <row r="52" spans="3:12" x14ac:dyDescent="0.4">
      <c r="C52" s="53"/>
      <c r="D52" t="s">
        <v>710</v>
      </c>
      <c r="E52" s="16">
        <v>6806</v>
      </c>
      <c r="H52" s="16"/>
      <c r="K52" s="54"/>
    </row>
    <row r="53" spans="3:12" x14ac:dyDescent="0.4">
      <c r="C53" s="53"/>
      <c r="D53" t="s">
        <v>711</v>
      </c>
      <c r="E53" s="16">
        <v>18544</v>
      </c>
      <c r="H53" s="16"/>
      <c r="K53" s="54"/>
    </row>
    <row r="54" spans="3:12" x14ac:dyDescent="0.4">
      <c r="C54" s="53"/>
      <c r="E54" s="16"/>
      <c r="H54" s="16"/>
      <c r="K54" s="54"/>
    </row>
    <row r="55" spans="3:12" x14ac:dyDescent="0.4">
      <c r="C55" s="53"/>
      <c r="D55" t="s">
        <v>712</v>
      </c>
      <c r="E55" s="16">
        <f>SUM(E48:E54)</f>
        <v>467917</v>
      </c>
      <c r="G55" t="s">
        <v>712</v>
      </c>
      <c r="H55" s="16">
        <f>SUM(H48:H54)</f>
        <v>272850</v>
      </c>
      <c r="K55" s="54"/>
    </row>
    <row r="56" spans="3:12" x14ac:dyDescent="0.4">
      <c r="C56" s="53"/>
      <c r="E56" s="16"/>
      <c r="G56" t="s">
        <v>713</v>
      </c>
      <c r="H56" s="16">
        <f>E55-H55-E53</f>
        <v>176523</v>
      </c>
      <c r="K56" s="54"/>
    </row>
    <row r="57" spans="3:12" x14ac:dyDescent="0.4">
      <c r="C57" s="53"/>
      <c r="G57" t="s">
        <v>714</v>
      </c>
      <c r="H57" s="16">
        <v>12000</v>
      </c>
      <c r="J57" t="s">
        <v>715</v>
      </c>
      <c r="K57" s="54" t="s">
        <v>716</v>
      </c>
    </row>
    <row r="58" spans="3:12" x14ac:dyDescent="0.4">
      <c r="C58" s="53"/>
      <c r="E58" s="16"/>
      <c r="G58" t="s">
        <v>717</v>
      </c>
      <c r="H58" s="16">
        <v>40000</v>
      </c>
      <c r="I58" t="s">
        <v>718</v>
      </c>
      <c r="J58" s="2">
        <f>J59/0.6</f>
        <v>380871.66666666669</v>
      </c>
      <c r="K58" s="58">
        <v>450000</v>
      </c>
    </row>
    <row r="59" spans="3:12" x14ac:dyDescent="0.4">
      <c r="C59" s="53"/>
      <c r="E59" s="16"/>
      <c r="H59" s="16"/>
      <c r="I59" t="s">
        <v>719</v>
      </c>
      <c r="J59" s="2">
        <f>H56+H57+H58</f>
        <v>228523</v>
      </c>
      <c r="K59" s="58">
        <f>H56+H57+H58</f>
        <v>228523</v>
      </c>
      <c r="L59">
        <f>K59+K59/0.7</f>
        <v>554984.42857142864</v>
      </c>
    </row>
    <row r="60" spans="3:12" x14ac:dyDescent="0.4">
      <c r="C60" s="53"/>
      <c r="E60" s="16"/>
      <c r="H60" s="16"/>
      <c r="I60" t="s">
        <v>614</v>
      </c>
      <c r="J60" s="2">
        <f>J58*0.4</f>
        <v>152348.66666666669</v>
      </c>
      <c r="K60" s="58">
        <f>K58-K59</f>
        <v>221477</v>
      </c>
    </row>
    <row r="61" spans="3:12" x14ac:dyDescent="0.4">
      <c r="C61" s="55"/>
      <c r="D61" s="56"/>
      <c r="E61" s="57"/>
      <c r="F61" s="56"/>
      <c r="G61" s="56"/>
      <c r="H61" s="57"/>
      <c r="I61" s="56" t="s">
        <v>720</v>
      </c>
      <c r="J61" s="59">
        <f>J60/J58</f>
        <v>0.4</v>
      </c>
      <c r="K61" s="60">
        <f>K60/K58</f>
        <v>0.49217111111111111</v>
      </c>
    </row>
    <row r="65" spans="3:11" x14ac:dyDescent="0.4">
      <c r="C65" s="50" t="s">
        <v>700</v>
      </c>
      <c r="D65" s="51"/>
      <c r="E65" s="51"/>
      <c r="F65" s="51"/>
      <c r="G65" s="51"/>
      <c r="H65" s="51"/>
      <c r="I65" s="51"/>
      <c r="J65" s="51"/>
      <c r="K65" s="52"/>
    </row>
    <row r="66" spans="3:11" ht="18" customHeight="1" thickBot="1" x14ac:dyDescent="0.45">
      <c r="C66" s="53"/>
      <c r="D66" s="47"/>
      <c r="E66" s="47"/>
      <c r="F66" s="47"/>
      <c r="G66" s="47"/>
      <c r="H66" s="48" t="s">
        <v>723</v>
      </c>
      <c r="K66" s="54"/>
    </row>
    <row r="67" spans="3:11" x14ac:dyDescent="0.4">
      <c r="C67" s="53"/>
      <c r="D67" t="s">
        <v>702</v>
      </c>
      <c r="E67" s="16">
        <v>380000</v>
      </c>
      <c r="G67" t="s">
        <v>703</v>
      </c>
      <c r="H67" s="16">
        <v>190000</v>
      </c>
      <c r="K67" s="54"/>
    </row>
    <row r="68" spans="3:11" x14ac:dyDescent="0.4">
      <c r="C68" s="53"/>
      <c r="D68" t="s">
        <v>704</v>
      </c>
      <c r="E68" s="16">
        <v>700</v>
      </c>
      <c r="G68" t="s">
        <v>707</v>
      </c>
      <c r="H68" s="16">
        <v>36000</v>
      </c>
      <c r="K68" s="54"/>
    </row>
    <row r="69" spans="3:11" x14ac:dyDescent="0.4">
      <c r="C69" s="53"/>
      <c r="D69" t="s">
        <v>706</v>
      </c>
      <c r="E69" s="16">
        <v>15943</v>
      </c>
      <c r="G69" t="s">
        <v>709</v>
      </c>
      <c r="H69" s="16">
        <v>33850</v>
      </c>
      <c r="K69" s="54"/>
    </row>
    <row r="70" spans="3:11" x14ac:dyDescent="0.4">
      <c r="C70" s="53"/>
      <c r="D70" t="s">
        <v>708</v>
      </c>
      <c r="E70" s="16">
        <v>36200</v>
      </c>
      <c r="K70" s="54"/>
    </row>
    <row r="71" spans="3:11" x14ac:dyDescent="0.4">
      <c r="C71" s="53"/>
      <c r="D71" t="s">
        <v>710</v>
      </c>
      <c r="E71" s="16">
        <v>5050</v>
      </c>
      <c r="H71" s="16"/>
      <c r="K71" s="54"/>
    </row>
    <row r="72" spans="3:11" x14ac:dyDescent="0.4">
      <c r="C72" s="53"/>
      <c r="D72" t="s">
        <v>711</v>
      </c>
      <c r="E72" s="16">
        <v>18544</v>
      </c>
      <c r="H72" s="16"/>
      <c r="K72" s="54"/>
    </row>
    <row r="73" spans="3:11" x14ac:dyDescent="0.4">
      <c r="C73" s="53"/>
      <c r="E73" s="16"/>
      <c r="H73" s="16"/>
      <c r="K73" s="54"/>
    </row>
    <row r="74" spans="3:11" x14ac:dyDescent="0.4">
      <c r="C74" s="53"/>
      <c r="D74" t="s">
        <v>712</v>
      </c>
      <c r="E74" s="16">
        <f>SUM(E67:E73)</f>
        <v>456437</v>
      </c>
      <c r="G74" t="s">
        <v>712</v>
      </c>
      <c r="H74" s="16">
        <f>SUM(H67:H73)</f>
        <v>259850</v>
      </c>
      <c r="K74" s="54"/>
    </row>
    <row r="75" spans="3:11" x14ac:dyDescent="0.4">
      <c r="C75" s="53"/>
      <c r="E75" s="16"/>
      <c r="G75" t="s">
        <v>713</v>
      </c>
      <c r="H75" s="16">
        <f>E74-H74-E72</f>
        <v>178043</v>
      </c>
      <c r="K75" s="54"/>
    </row>
    <row r="76" spans="3:11" x14ac:dyDescent="0.4">
      <c r="C76" s="53"/>
      <c r="G76" t="s">
        <v>714</v>
      </c>
      <c r="H76" s="16">
        <v>0</v>
      </c>
      <c r="J76" t="s">
        <v>715</v>
      </c>
      <c r="K76" s="54" t="s">
        <v>716</v>
      </c>
    </row>
    <row r="77" spans="3:11" x14ac:dyDescent="0.4">
      <c r="C77" s="53"/>
      <c r="E77" s="16"/>
      <c r="G77" t="s">
        <v>717</v>
      </c>
      <c r="H77" s="16">
        <v>40000</v>
      </c>
      <c r="I77" t="s">
        <v>718</v>
      </c>
      <c r="J77" s="2">
        <f>J78/0.6</f>
        <v>363405</v>
      </c>
      <c r="K77" s="58">
        <v>450000</v>
      </c>
    </row>
    <row r="78" spans="3:11" x14ac:dyDescent="0.4">
      <c r="C78" s="53"/>
      <c r="E78" s="16"/>
      <c r="H78" s="16"/>
      <c r="I78" t="s">
        <v>719</v>
      </c>
      <c r="J78" s="2">
        <f>H75+H76+H77</f>
        <v>218043</v>
      </c>
      <c r="K78" s="58">
        <f>H75+H76+H77</f>
        <v>218043</v>
      </c>
    </row>
    <row r="79" spans="3:11" x14ac:dyDescent="0.4">
      <c r="C79" s="53"/>
      <c r="E79" s="16"/>
      <c r="H79" s="16"/>
      <c r="I79" t="s">
        <v>614</v>
      </c>
      <c r="J79" s="2">
        <f>J77*0.4</f>
        <v>145362</v>
      </c>
      <c r="K79" s="58">
        <f>K77-K78</f>
        <v>231957</v>
      </c>
    </row>
    <row r="80" spans="3:11" x14ac:dyDescent="0.4">
      <c r="C80" s="55"/>
      <c r="D80" s="56"/>
      <c r="E80" s="57"/>
      <c r="F80" s="56"/>
      <c r="G80" s="56"/>
      <c r="H80" s="57"/>
      <c r="I80" s="56" t="s">
        <v>720</v>
      </c>
      <c r="J80" s="59">
        <f>J79/J77</f>
        <v>0.4</v>
      </c>
      <c r="K80" s="60">
        <f>K79/K77</f>
        <v>0.51546000000000003</v>
      </c>
    </row>
    <row r="85" spans="3:11" x14ac:dyDescent="0.4">
      <c r="C85" s="50" t="s">
        <v>700</v>
      </c>
      <c r="D85" s="51"/>
      <c r="E85" s="51"/>
      <c r="F85" s="51"/>
      <c r="G85" s="51"/>
      <c r="H85" s="51"/>
      <c r="I85" s="51"/>
      <c r="J85" s="51"/>
      <c r="K85" s="52"/>
    </row>
    <row r="86" spans="3:11" ht="18" customHeight="1" thickBot="1" x14ac:dyDescent="0.45">
      <c r="C86" s="53"/>
      <c r="D86" s="47"/>
      <c r="E86" s="47"/>
      <c r="F86" s="47"/>
      <c r="G86" s="47"/>
      <c r="H86" s="48" t="s">
        <v>724</v>
      </c>
      <c r="K86" s="54"/>
    </row>
    <row r="87" spans="3:11" x14ac:dyDescent="0.4">
      <c r="C87" s="53"/>
      <c r="D87" t="s">
        <v>702</v>
      </c>
      <c r="E87" s="16">
        <v>380000</v>
      </c>
      <c r="G87" t="s">
        <v>703</v>
      </c>
      <c r="H87" s="16">
        <v>190000</v>
      </c>
      <c r="K87" s="54"/>
    </row>
    <row r="88" spans="3:11" x14ac:dyDescent="0.4">
      <c r="C88" s="53"/>
      <c r="D88" t="s">
        <v>704</v>
      </c>
      <c r="E88" s="16">
        <v>400</v>
      </c>
      <c r="G88" t="s">
        <v>707</v>
      </c>
      <c r="H88" s="16">
        <v>36000</v>
      </c>
      <c r="K88" s="54"/>
    </row>
    <row r="89" spans="3:11" x14ac:dyDescent="0.4">
      <c r="C89" s="53"/>
      <c r="D89" t="s">
        <v>706</v>
      </c>
      <c r="E89" s="16">
        <v>8474</v>
      </c>
      <c r="G89" t="s">
        <v>709</v>
      </c>
      <c r="H89" s="16">
        <v>31360</v>
      </c>
      <c r="K89" s="54"/>
    </row>
    <row r="90" spans="3:11" x14ac:dyDescent="0.4">
      <c r="C90" s="53"/>
      <c r="D90" t="s">
        <v>708</v>
      </c>
      <c r="E90" s="16">
        <v>52568</v>
      </c>
      <c r="K90" s="54"/>
    </row>
    <row r="91" spans="3:11" x14ac:dyDescent="0.4">
      <c r="C91" s="53"/>
      <c r="D91" t="s">
        <v>725</v>
      </c>
      <c r="E91" s="16">
        <v>9708</v>
      </c>
      <c r="K91" s="54"/>
    </row>
    <row r="92" spans="3:11" x14ac:dyDescent="0.4">
      <c r="C92" s="53"/>
      <c r="D92" t="s">
        <v>710</v>
      </c>
      <c r="E92" s="16">
        <v>4946</v>
      </c>
      <c r="H92" s="16"/>
      <c r="K92" s="54"/>
    </row>
    <row r="93" spans="3:11" x14ac:dyDescent="0.4">
      <c r="C93" s="53"/>
      <c r="D93" t="s">
        <v>711</v>
      </c>
      <c r="E93" s="16">
        <v>18544</v>
      </c>
      <c r="H93" s="16"/>
      <c r="K93" s="54"/>
    </row>
    <row r="94" spans="3:11" x14ac:dyDescent="0.4">
      <c r="C94" s="53"/>
      <c r="E94" s="16"/>
      <c r="H94" s="16"/>
      <c r="K94" s="54"/>
    </row>
    <row r="95" spans="3:11" x14ac:dyDescent="0.4">
      <c r="C95" s="53"/>
      <c r="D95" t="s">
        <v>712</v>
      </c>
      <c r="E95" s="16">
        <f>SUM(E87:E94)</f>
        <v>474640</v>
      </c>
      <c r="G95" t="s">
        <v>712</v>
      </c>
      <c r="H95" s="16">
        <f>SUM(H87:H94)</f>
        <v>257360</v>
      </c>
      <c r="K95" s="54"/>
    </row>
    <row r="96" spans="3:11" x14ac:dyDescent="0.4">
      <c r="C96" s="53"/>
      <c r="E96" s="16"/>
      <c r="G96" t="s">
        <v>713</v>
      </c>
      <c r="H96" s="16">
        <f>E95-H95-E93</f>
        <v>198736</v>
      </c>
      <c r="K96" s="54"/>
    </row>
    <row r="97" spans="3:11" x14ac:dyDescent="0.4">
      <c r="C97" s="53"/>
      <c r="G97" t="s">
        <v>714</v>
      </c>
      <c r="H97" s="16">
        <v>5500</v>
      </c>
      <c r="J97" t="s">
        <v>715</v>
      </c>
      <c r="K97" s="54" t="s">
        <v>716</v>
      </c>
    </row>
    <row r="98" spans="3:11" x14ac:dyDescent="0.4">
      <c r="C98" s="53"/>
      <c r="E98" s="16"/>
      <c r="G98" t="s">
        <v>717</v>
      </c>
      <c r="H98" s="16">
        <v>40000</v>
      </c>
      <c r="I98" t="s">
        <v>718</v>
      </c>
      <c r="J98" s="2">
        <f>J99/0.6</f>
        <v>407060</v>
      </c>
      <c r="K98" s="58">
        <v>450000</v>
      </c>
    </row>
    <row r="99" spans="3:11" x14ac:dyDescent="0.4">
      <c r="C99" s="53"/>
      <c r="E99" s="16"/>
      <c r="H99" s="16"/>
      <c r="I99" t="s">
        <v>719</v>
      </c>
      <c r="J99" s="2">
        <f>H96+H97+H98</f>
        <v>244236</v>
      </c>
      <c r="K99" s="58">
        <f>H96+H97+H98</f>
        <v>244236</v>
      </c>
    </row>
    <row r="100" spans="3:11" x14ac:dyDescent="0.4">
      <c r="C100" s="53"/>
      <c r="E100" s="16"/>
      <c r="H100" s="16"/>
      <c r="I100" t="s">
        <v>614</v>
      </c>
      <c r="J100" s="2">
        <f>J98*0.4</f>
        <v>162824</v>
      </c>
      <c r="K100" s="58">
        <f>K98-K99</f>
        <v>205764</v>
      </c>
    </row>
    <row r="101" spans="3:11" x14ac:dyDescent="0.4">
      <c r="C101" s="55"/>
      <c r="D101" s="56"/>
      <c r="E101" s="57"/>
      <c r="F101" s="56"/>
      <c r="G101" s="56"/>
      <c r="H101" s="57"/>
      <c r="I101" s="56" t="s">
        <v>720</v>
      </c>
      <c r="J101" s="59">
        <f>J100/J98</f>
        <v>0.4</v>
      </c>
      <c r="K101" s="60">
        <f>K100/K98</f>
        <v>0.45725333333333334</v>
      </c>
    </row>
    <row r="106" spans="3:11" x14ac:dyDescent="0.4">
      <c r="C106" s="50" t="s">
        <v>700</v>
      </c>
      <c r="D106" s="51"/>
      <c r="E106" s="51"/>
      <c r="F106" s="51"/>
      <c r="G106" s="51"/>
      <c r="H106" s="51"/>
      <c r="I106" s="51"/>
      <c r="J106" s="51"/>
      <c r="K106" s="52"/>
    </row>
    <row r="107" spans="3:11" ht="18" customHeight="1" thickBot="1" x14ac:dyDescent="0.45">
      <c r="C107" s="53"/>
      <c r="D107" s="47"/>
      <c r="E107" s="47"/>
      <c r="F107" s="47"/>
      <c r="G107" s="47"/>
      <c r="H107" s="48" t="s">
        <v>726</v>
      </c>
      <c r="K107" s="54"/>
    </row>
    <row r="108" spans="3:11" x14ac:dyDescent="0.4">
      <c r="C108" s="53"/>
      <c r="D108" t="s">
        <v>702</v>
      </c>
      <c r="E108" s="16">
        <v>380000</v>
      </c>
      <c r="G108" t="s">
        <v>703</v>
      </c>
      <c r="H108" s="16">
        <v>190000</v>
      </c>
      <c r="K108" s="54"/>
    </row>
    <row r="109" spans="3:11" x14ac:dyDescent="0.4">
      <c r="C109" s="53"/>
      <c r="D109" t="s">
        <v>704</v>
      </c>
      <c r="E109" s="16">
        <v>730</v>
      </c>
      <c r="G109" t="s">
        <v>707</v>
      </c>
      <c r="H109" s="16">
        <v>36000</v>
      </c>
      <c r="K109" s="54"/>
    </row>
    <row r="110" spans="3:11" x14ac:dyDescent="0.4">
      <c r="C110" s="53"/>
      <c r="D110" t="s">
        <v>706</v>
      </c>
      <c r="E110" s="16">
        <v>8574</v>
      </c>
      <c r="G110" t="s">
        <v>709</v>
      </c>
      <c r="H110" s="16">
        <v>28670</v>
      </c>
      <c r="K110" s="54"/>
    </row>
    <row r="111" spans="3:11" x14ac:dyDescent="0.4">
      <c r="C111" s="53"/>
      <c r="D111" t="s">
        <v>708</v>
      </c>
      <c r="E111" s="16">
        <v>53400</v>
      </c>
      <c r="K111" s="54"/>
    </row>
    <row r="112" spans="3:11" x14ac:dyDescent="0.4">
      <c r="C112" s="53"/>
      <c r="D112" t="s">
        <v>725</v>
      </c>
      <c r="E112" s="16">
        <v>8603</v>
      </c>
      <c r="K112" s="54"/>
    </row>
    <row r="113" spans="3:11" x14ac:dyDescent="0.4">
      <c r="C113" s="53"/>
      <c r="D113" t="s">
        <v>710</v>
      </c>
      <c r="E113" s="16">
        <v>5100</v>
      </c>
      <c r="H113" s="16"/>
      <c r="K113" s="54"/>
    </row>
    <row r="114" spans="3:11" x14ac:dyDescent="0.4">
      <c r="C114" s="53"/>
      <c r="D114" t="s">
        <v>711</v>
      </c>
      <c r="E114" s="16">
        <v>18544</v>
      </c>
      <c r="H114" s="16"/>
      <c r="K114" s="54"/>
    </row>
    <row r="115" spans="3:11" x14ac:dyDescent="0.4">
      <c r="C115" s="53"/>
      <c r="E115" s="16"/>
      <c r="H115" s="16"/>
      <c r="K115" s="54"/>
    </row>
    <row r="116" spans="3:11" x14ac:dyDescent="0.4">
      <c r="C116" s="53"/>
      <c r="D116" t="s">
        <v>712</v>
      </c>
      <c r="E116" s="16">
        <f>SUM(E108:E115)</f>
        <v>474951</v>
      </c>
      <c r="G116" t="s">
        <v>712</v>
      </c>
      <c r="H116" s="16">
        <f>SUM(H108:H115)</f>
        <v>254670</v>
      </c>
      <c r="K116" s="54"/>
    </row>
    <row r="117" spans="3:11" x14ac:dyDescent="0.4">
      <c r="C117" s="53"/>
      <c r="E117" s="16"/>
      <c r="G117" t="s">
        <v>713</v>
      </c>
      <c r="H117" s="16">
        <f>E116-H116-E114</f>
        <v>201737</v>
      </c>
      <c r="K117" s="54"/>
    </row>
    <row r="118" spans="3:11" x14ac:dyDescent="0.4">
      <c r="C118" s="53"/>
      <c r="G118" t="s">
        <v>714</v>
      </c>
      <c r="H118" s="16">
        <v>8400</v>
      </c>
      <c r="J118" t="s">
        <v>715</v>
      </c>
      <c r="K118" s="54" t="s">
        <v>716</v>
      </c>
    </row>
    <row r="119" spans="3:11" x14ac:dyDescent="0.4">
      <c r="C119" s="53"/>
      <c r="E119" s="16"/>
      <c r="G119" t="s">
        <v>717</v>
      </c>
      <c r="H119" s="16">
        <v>40000</v>
      </c>
      <c r="I119" t="s">
        <v>718</v>
      </c>
      <c r="J119" s="2">
        <f>J120/0.6</f>
        <v>416895</v>
      </c>
      <c r="K119" s="58">
        <v>450000</v>
      </c>
    </row>
    <row r="120" spans="3:11" x14ac:dyDescent="0.4">
      <c r="C120" s="53"/>
      <c r="E120" s="16"/>
      <c r="H120" s="16"/>
      <c r="I120" t="s">
        <v>719</v>
      </c>
      <c r="J120" s="2">
        <f>H117+H118+H119</f>
        <v>250137</v>
      </c>
      <c r="K120" s="58">
        <f>H117+H118+H119</f>
        <v>250137</v>
      </c>
    </row>
    <row r="121" spans="3:11" x14ac:dyDescent="0.4">
      <c r="C121" s="53"/>
      <c r="E121" s="16"/>
      <c r="H121" s="16"/>
      <c r="I121" t="s">
        <v>614</v>
      </c>
      <c r="J121" s="2">
        <f>J119*0.4</f>
        <v>166758</v>
      </c>
      <c r="K121" s="58">
        <f>K119-K120</f>
        <v>199863</v>
      </c>
    </row>
    <row r="122" spans="3:11" x14ac:dyDescent="0.4">
      <c r="C122" s="55"/>
      <c r="D122" s="56"/>
      <c r="E122" s="57"/>
      <c r="F122" s="56"/>
      <c r="G122" s="56"/>
      <c r="H122" s="57"/>
      <c r="I122" s="56" t="s">
        <v>720</v>
      </c>
      <c r="J122" s="59">
        <f>J121/J119</f>
        <v>0.4</v>
      </c>
      <c r="K122" s="60">
        <f>K121/K119</f>
        <v>0.44413999999999998</v>
      </c>
    </row>
    <row r="127" spans="3:11" x14ac:dyDescent="0.4">
      <c r="C127" s="50" t="s">
        <v>700</v>
      </c>
      <c r="D127" s="51"/>
      <c r="E127" s="51"/>
      <c r="F127" s="51"/>
      <c r="G127" s="51"/>
      <c r="H127" s="51"/>
      <c r="I127" s="51"/>
      <c r="J127" s="51"/>
      <c r="K127" s="52"/>
    </row>
    <row r="128" spans="3:11" ht="18" customHeight="1" thickBot="1" x14ac:dyDescent="0.45">
      <c r="C128" s="53"/>
      <c r="D128" s="47"/>
      <c r="E128" s="47"/>
      <c r="F128" s="47"/>
      <c r="G128" s="47"/>
      <c r="H128" s="48" t="s">
        <v>727</v>
      </c>
      <c r="K128" s="54"/>
    </row>
    <row r="129" spans="3:11" x14ac:dyDescent="0.4">
      <c r="C129" s="53"/>
      <c r="D129" t="s">
        <v>702</v>
      </c>
      <c r="E129" s="16">
        <v>380000</v>
      </c>
      <c r="G129" t="s">
        <v>703</v>
      </c>
      <c r="H129" s="16">
        <v>190000</v>
      </c>
      <c r="K129" s="54"/>
    </row>
    <row r="130" spans="3:11" x14ac:dyDescent="0.4">
      <c r="C130" s="53"/>
      <c r="D130" t="s">
        <v>704</v>
      </c>
      <c r="E130" s="16">
        <v>1000</v>
      </c>
      <c r="G130" t="s">
        <v>707</v>
      </c>
      <c r="H130" s="16">
        <v>36000</v>
      </c>
      <c r="K130" s="54"/>
    </row>
    <row r="131" spans="3:11" x14ac:dyDescent="0.4">
      <c r="C131" s="53"/>
      <c r="D131" t="s">
        <v>706</v>
      </c>
      <c r="E131" s="16">
        <v>8298</v>
      </c>
      <c r="G131" t="s">
        <v>709</v>
      </c>
      <c r="H131" s="16">
        <v>24670</v>
      </c>
      <c r="K131" s="54"/>
    </row>
    <row r="132" spans="3:11" x14ac:dyDescent="0.4">
      <c r="C132" s="53"/>
      <c r="D132" t="s">
        <v>708</v>
      </c>
      <c r="E132" s="16">
        <v>44310</v>
      </c>
      <c r="K132" s="54"/>
    </row>
    <row r="133" spans="3:11" x14ac:dyDescent="0.4">
      <c r="C133" s="53"/>
      <c r="D133" t="s">
        <v>725</v>
      </c>
      <c r="E133" s="16">
        <v>8688</v>
      </c>
      <c r="K133" s="54"/>
    </row>
    <row r="134" spans="3:11" x14ac:dyDescent="0.4">
      <c r="C134" s="53"/>
      <c r="D134" t="s">
        <v>710</v>
      </c>
      <c r="E134" s="16">
        <v>4834</v>
      </c>
      <c r="H134" s="16"/>
      <c r="K134" s="54"/>
    </row>
    <row r="135" spans="3:11" x14ac:dyDescent="0.4">
      <c r="C135" s="53"/>
      <c r="D135" t="s">
        <v>711</v>
      </c>
      <c r="E135" s="16">
        <v>18544</v>
      </c>
      <c r="H135" s="16"/>
      <c r="K135" s="54"/>
    </row>
    <row r="136" spans="3:11" x14ac:dyDescent="0.4">
      <c r="C136" s="53"/>
      <c r="E136" s="16"/>
      <c r="H136" s="16"/>
      <c r="K136" s="54"/>
    </row>
    <row r="137" spans="3:11" x14ac:dyDescent="0.4">
      <c r="C137" s="53"/>
      <c r="D137" t="s">
        <v>712</v>
      </c>
      <c r="E137" s="16">
        <f>SUM(E129:E136)</f>
        <v>465674</v>
      </c>
      <c r="G137" t="s">
        <v>712</v>
      </c>
      <c r="H137" s="16">
        <f>SUM(H129:H136)</f>
        <v>250670</v>
      </c>
      <c r="K137" s="54"/>
    </row>
    <row r="138" spans="3:11" x14ac:dyDescent="0.4">
      <c r="C138" s="53"/>
      <c r="E138" s="16"/>
      <c r="G138" t="s">
        <v>713</v>
      </c>
      <c r="H138" s="16">
        <f>E137-H137-E135</f>
        <v>196460</v>
      </c>
      <c r="K138" s="54"/>
    </row>
    <row r="139" spans="3:11" x14ac:dyDescent="0.4">
      <c r="C139" s="53"/>
      <c r="G139" t="s">
        <v>714</v>
      </c>
      <c r="H139" s="16">
        <v>12080</v>
      </c>
      <c r="J139" t="s">
        <v>715</v>
      </c>
      <c r="K139" s="54" t="s">
        <v>716</v>
      </c>
    </row>
    <row r="140" spans="3:11" x14ac:dyDescent="0.4">
      <c r="C140" s="53"/>
      <c r="E140" s="16"/>
      <c r="G140" t="s">
        <v>717</v>
      </c>
      <c r="H140" s="16">
        <v>40000</v>
      </c>
      <c r="I140" t="s">
        <v>718</v>
      </c>
      <c r="J140" s="2">
        <f>J141/0.6</f>
        <v>414233.33333333337</v>
      </c>
      <c r="K140" s="58">
        <v>480000</v>
      </c>
    </row>
    <row r="141" spans="3:11" x14ac:dyDescent="0.4">
      <c r="C141" s="53"/>
      <c r="E141" s="16"/>
      <c r="H141" s="16"/>
      <c r="I141" t="s">
        <v>719</v>
      </c>
      <c r="J141" s="2">
        <f>H138+H139+H140</f>
        <v>248540</v>
      </c>
      <c r="K141" s="58">
        <f>H138+H139+H140</f>
        <v>248540</v>
      </c>
    </row>
    <row r="142" spans="3:11" x14ac:dyDescent="0.4">
      <c r="C142" s="53"/>
      <c r="E142" s="16"/>
      <c r="H142" s="16"/>
      <c r="I142" t="s">
        <v>614</v>
      </c>
      <c r="J142" s="2">
        <f>J140*0.4</f>
        <v>165693.33333333337</v>
      </c>
      <c r="K142" s="58">
        <f>K140-K141</f>
        <v>231460</v>
      </c>
    </row>
    <row r="143" spans="3:11" x14ac:dyDescent="0.4">
      <c r="C143" s="55"/>
      <c r="D143" s="56"/>
      <c r="E143" s="57"/>
      <c r="F143" s="56"/>
      <c r="G143" s="56"/>
      <c r="H143" s="57"/>
      <c r="I143" s="56" t="s">
        <v>720</v>
      </c>
      <c r="J143" s="59">
        <f>J142/J140</f>
        <v>0.40000000000000008</v>
      </c>
      <c r="K143" s="60">
        <f>K142/K140</f>
        <v>0.48220833333333335</v>
      </c>
    </row>
    <row r="149" spans="3:11" x14ac:dyDescent="0.4">
      <c r="C149" s="50" t="s">
        <v>700</v>
      </c>
      <c r="D149" s="51"/>
      <c r="E149" s="51"/>
      <c r="F149" s="51"/>
      <c r="G149" s="51"/>
      <c r="H149" s="51"/>
      <c r="I149" s="51"/>
      <c r="J149" s="51"/>
      <c r="K149" s="52"/>
    </row>
    <row r="150" spans="3:11" ht="18" customHeight="1" thickBot="1" x14ac:dyDescent="0.45">
      <c r="C150" s="53"/>
      <c r="D150" s="47"/>
      <c r="E150" s="47"/>
      <c r="F150" s="47"/>
      <c r="G150" s="47"/>
      <c r="H150" s="48" t="s">
        <v>728</v>
      </c>
      <c r="K150" s="54"/>
    </row>
    <row r="151" spans="3:11" x14ac:dyDescent="0.4">
      <c r="C151" s="53"/>
      <c r="D151" t="s">
        <v>702</v>
      </c>
      <c r="E151" s="16">
        <v>380000</v>
      </c>
      <c r="G151" t="s">
        <v>703</v>
      </c>
      <c r="H151" s="16">
        <v>190000</v>
      </c>
      <c r="K151" s="54"/>
    </row>
    <row r="152" spans="3:11" x14ac:dyDescent="0.4">
      <c r="C152" s="53"/>
      <c r="D152" t="s">
        <v>704</v>
      </c>
      <c r="E152" s="16">
        <v>2000</v>
      </c>
      <c r="G152" t="s">
        <v>707</v>
      </c>
      <c r="H152" s="16">
        <v>36000</v>
      </c>
      <c r="K152" s="54"/>
    </row>
    <row r="153" spans="3:11" x14ac:dyDescent="0.4">
      <c r="C153" s="53"/>
      <c r="D153" t="s">
        <v>706</v>
      </c>
      <c r="E153" s="16">
        <v>8615</v>
      </c>
      <c r="G153" t="s">
        <v>709</v>
      </c>
      <c r="H153" s="16">
        <v>23670</v>
      </c>
      <c r="K153" s="54"/>
    </row>
    <row r="154" spans="3:11" x14ac:dyDescent="0.4">
      <c r="C154" s="53"/>
      <c r="D154" t="s">
        <v>708</v>
      </c>
      <c r="E154" s="16">
        <v>48134</v>
      </c>
      <c r="K154" s="54"/>
    </row>
    <row r="155" spans="3:11" x14ac:dyDescent="0.4">
      <c r="C155" s="53"/>
      <c r="D155" t="s">
        <v>725</v>
      </c>
      <c r="E155" s="16">
        <v>8732</v>
      </c>
      <c r="K155" s="54"/>
    </row>
    <row r="156" spans="3:11" x14ac:dyDescent="0.4">
      <c r="C156" s="53"/>
      <c r="D156" t="s">
        <v>710</v>
      </c>
      <c r="E156" s="16">
        <v>4956</v>
      </c>
      <c r="H156" s="16"/>
      <c r="K156" s="54"/>
    </row>
    <row r="157" spans="3:11" x14ac:dyDescent="0.4">
      <c r="C157" s="53"/>
      <c r="D157" t="s">
        <v>711</v>
      </c>
      <c r="E157" s="16">
        <v>18544</v>
      </c>
      <c r="H157" s="16"/>
      <c r="K157" s="54"/>
    </row>
    <row r="158" spans="3:11" x14ac:dyDescent="0.4">
      <c r="C158" s="53"/>
      <c r="E158" s="16"/>
      <c r="H158" s="16"/>
      <c r="K158" s="54"/>
    </row>
    <row r="159" spans="3:11" x14ac:dyDescent="0.4">
      <c r="C159" s="53"/>
      <c r="D159" t="s">
        <v>712</v>
      </c>
      <c r="E159" s="16">
        <f>SUM(E151:E158)</f>
        <v>470981</v>
      </c>
      <c r="G159" t="s">
        <v>712</v>
      </c>
      <c r="H159" s="16">
        <f>SUM(H151:H158)</f>
        <v>249670</v>
      </c>
      <c r="K159" s="54"/>
    </row>
    <row r="160" spans="3:11" x14ac:dyDescent="0.4">
      <c r="C160" s="53"/>
      <c r="E160" s="16"/>
      <c r="G160" t="s">
        <v>713</v>
      </c>
      <c r="H160" s="16">
        <f>E159-H159-E157</f>
        <v>202767</v>
      </c>
      <c r="K160" s="54"/>
    </row>
    <row r="161" spans="3:11" x14ac:dyDescent="0.4">
      <c r="C161" s="53"/>
      <c r="G161" t="s">
        <v>714</v>
      </c>
      <c r="H161" s="16">
        <v>13430</v>
      </c>
      <c r="J161" t="s">
        <v>715</v>
      </c>
      <c r="K161" s="54" t="s">
        <v>716</v>
      </c>
    </row>
    <row r="162" spans="3:11" x14ac:dyDescent="0.4">
      <c r="C162" s="53"/>
      <c r="E162" s="16"/>
      <c r="G162" t="s">
        <v>717</v>
      </c>
      <c r="H162" s="16">
        <v>40000</v>
      </c>
      <c r="I162" t="s">
        <v>718</v>
      </c>
      <c r="J162" s="2">
        <f>J163/0.6</f>
        <v>426995</v>
      </c>
      <c r="K162" s="58">
        <v>480000</v>
      </c>
    </row>
    <row r="163" spans="3:11" x14ac:dyDescent="0.4">
      <c r="C163" s="53"/>
      <c r="E163" s="16"/>
      <c r="H163" s="16"/>
      <c r="I163" t="s">
        <v>719</v>
      </c>
      <c r="J163" s="2">
        <f>H160+H161+H162</f>
        <v>256197</v>
      </c>
      <c r="K163" s="58">
        <f>H160+H161+H162</f>
        <v>256197</v>
      </c>
    </row>
    <row r="164" spans="3:11" x14ac:dyDescent="0.4">
      <c r="C164" s="53"/>
      <c r="E164" s="16"/>
      <c r="H164" s="16"/>
      <c r="I164" t="s">
        <v>614</v>
      </c>
      <c r="J164" s="2">
        <f>J162*0.4</f>
        <v>170798</v>
      </c>
      <c r="K164" s="58">
        <f>K162-K163</f>
        <v>223803</v>
      </c>
    </row>
    <row r="165" spans="3:11" x14ac:dyDescent="0.4">
      <c r="C165" s="55"/>
      <c r="D165" s="56"/>
      <c r="E165" s="57"/>
      <c r="F165" s="56"/>
      <c r="G165" s="56"/>
      <c r="H165" s="57"/>
      <c r="I165" s="56" t="s">
        <v>720</v>
      </c>
      <c r="J165" s="59">
        <f>J164/J162</f>
        <v>0.4</v>
      </c>
      <c r="K165" s="60">
        <f>K164/K162</f>
        <v>0.46625624999999998</v>
      </c>
    </row>
    <row r="168" spans="3:11" x14ac:dyDescent="0.4">
      <c r="C168" s="50" t="s">
        <v>700</v>
      </c>
      <c r="D168" s="51"/>
      <c r="E168" s="51"/>
      <c r="F168" s="51"/>
      <c r="G168" s="51"/>
      <c r="H168" s="51"/>
      <c r="I168" s="51"/>
      <c r="J168" s="51"/>
      <c r="K168" s="52"/>
    </row>
    <row r="169" spans="3:11" ht="18" customHeight="1" thickBot="1" x14ac:dyDescent="0.45">
      <c r="C169" s="53"/>
      <c r="D169" s="47"/>
      <c r="E169" s="47"/>
      <c r="F169" s="47"/>
      <c r="G169" s="47"/>
      <c r="H169" s="48" t="s">
        <v>729</v>
      </c>
      <c r="K169" s="54"/>
    </row>
    <row r="170" spans="3:11" x14ac:dyDescent="0.4">
      <c r="C170" s="53"/>
      <c r="D170" t="s">
        <v>702</v>
      </c>
      <c r="E170" s="16">
        <v>380000</v>
      </c>
      <c r="G170" t="s">
        <v>703</v>
      </c>
      <c r="H170" s="16">
        <v>190000</v>
      </c>
      <c r="K170" s="54"/>
    </row>
    <row r="171" spans="3:11" x14ac:dyDescent="0.4">
      <c r="C171" s="53"/>
      <c r="D171" t="s">
        <v>704</v>
      </c>
      <c r="E171" s="16">
        <v>5900</v>
      </c>
      <c r="G171" t="s">
        <v>707</v>
      </c>
      <c r="H171" s="16">
        <v>36000</v>
      </c>
      <c r="K171" s="54"/>
    </row>
    <row r="172" spans="3:11" x14ac:dyDescent="0.4">
      <c r="C172" s="53"/>
      <c r="D172" t="s">
        <v>706</v>
      </c>
      <c r="E172" s="16">
        <v>5736</v>
      </c>
      <c r="G172" t="s">
        <v>709</v>
      </c>
      <c r="H172" s="16">
        <v>22400</v>
      </c>
      <c r="K172" s="54"/>
    </row>
    <row r="173" spans="3:11" x14ac:dyDescent="0.4">
      <c r="C173" s="53"/>
      <c r="D173" t="s">
        <v>708</v>
      </c>
      <c r="E173" s="16">
        <v>46143</v>
      </c>
      <c r="K173" s="54"/>
    </row>
    <row r="174" spans="3:11" x14ac:dyDescent="0.4">
      <c r="C174" s="53"/>
      <c r="D174" t="s">
        <v>725</v>
      </c>
      <c r="E174" s="16">
        <v>8732</v>
      </c>
      <c r="K174" s="54"/>
    </row>
    <row r="175" spans="3:11" x14ac:dyDescent="0.4">
      <c r="C175" s="53"/>
      <c r="D175" t="s">
        <v>710</v>
      </c>
      <c r="E175" s="16">
        <v>4784</v>
      </c>
      <c r="H175" s="16"/>
      <c r="K175" s="54"/>
    </row>
    <row r="176" spans="3:11" x14ac:dyDescent="0.4">
      <c r="C176" s="53"/>
      <c r="D176" t="s">
        <v>711</v>
      </c>
      <c r="E176" s="16">
        <v>18544</v>
      </c>
      <c r="H176" s="16"/>
      <c r="K176" s="54"/>
    </row>
    <row r="177" spans="3:12" x14ac:dyDescent="0.4">
      <c r="C177" s="53"/>
      <c r="E177" s="16"/>
      <c r="H177" s="16"/>
      <c r="K177" s="54"/>
    </row>
    <row r="178" spans="3:12" x14ac:dyDescent="0.4">
      <c r="C178" s="53"/>
      <c r="D178" t="s">
        <v>712</v>
      </c>
      <c r="E178" s="16">
        <f>SUM(E170:E177)</f>
        <v>469839</v>
      </c>
      <c r="G178" t="s">
        <v>712</v>
      </c>
      <c r="H178" s="16">
        <f>SUM(H170:H177)</f>
        <v>248400</v>
      </c>
      <c r="K178" s="54"/>
    </row>
    <row r="179" spans="3:12" x14ac:dyDescent="0.4">
      <c r="C179" s="53"/>
      <c r="E179" s="16"/>
      <c r="G179" t="s">
        <v>713</v>
      </c>
      <c r="H179" s="16">
        <f>E178-H178-E176</f>
        <v>202895</v>
      </c>
      <c r="K179" s="54"/>
      <c r="L179" s="16">
        <f>E170-H170+E171+E172+E173+E174+E175-H172</f>
        <v>238895</v>
      </c>
    </row>
    <row r="180" spans="3:12" x14ac:dyDescent="0.4">
      <c r="C180" s="53"/>
      <c r="G180" t="s">
        <v>714</v>
      </c>
      <c r="H180" s="16">
        <v>13430</v>
      </c>
      <c r="J180" t="s">
        <v>715</v>
      </c>
      <c r="K180" s="54" t="s">
        <v>716</v>
      </c>
    </row>
    <row r="181" spans="3:12" x14ac:dyDescent="0.4">
      <c r="C181" s="53"/>
      <c r="E181" s="16"/>
      <c r="G181" t="s">
        <v>717</v>
      </c>
      <c r="H181" s="16">
        <v>40000</v>
      </c>
      <c r="I181" t="s">
        <v>718</v>
      </c>
      <c r="J181" s="2">
        <f>J182/0.6</f>
        <v>427208.33333333337</v>
      </c>
      <c r="K181" s="58">
        <v>500000</v>
      </c>
    </row>
    <row r="182" spans="3:12" x14ac:dyDescent="0.4">
      <c r="C182" s="53"/>
      <c r="E182" s="16"/>
      <c r="H182" s="16"/>
      <c r="I182" t="s">
        <v>719</v>
      </c>
      <c r="J182" s="2">
        <f>H179+H180+H181</f>
        <v>256325</v>
      </c>
      <c r="K182" s="58">
        <f>H179+H180+H181</f>
        <v>256325</v>
      </c>
    </row>
    <row r="183" spans="3:12" x14ac:dyDescent="0.4">
      <c r="C183" s="53"/>
      <c r="E183" s="16"/>
      <c r="H183" s="16"/>
      <c r="I183" t="s">
        <v>614</v>
      </c>
      <c r="J183" s="2">
        <f>J181*0.4</f>
        <v>170883.33333333337</v>
      </c>
      <c r="K183" s="58">
        <f>K181-K182</f>
        <v>243675</v>
      </c>
    </row>
    <row r="184" spans="3:12" x14ac:dyDescent="0.4">
      <c r="C184" s="55"/>
      <c r="D184" s="56"/>
      <c r="E184" s="57"/>
      <c r="F184" s="56"/>
      <c r="G184" s="56"/>
      <c r="H184" s="57"/>
      <c r="I184" s="56" t="s">
        <v>720</v>
      </c>
      <c r="J184" s="59">
        <f>J183/J181</f>
        <v>0.40000000000000008</v>
      </c>
      <c r="K184" s="60">
        <f>K183/K181</f>
        <v>0.48735000000000001</v>
      </c>
    </row>
    <row r="189" spans="3:12" x14ac:dyDescent="0.4">
      <c r="C189" s="50" t="s">
        <v>700</v>
      </c>
      <c r="D189" s="51"/>
      <c r="E189" s="51"/>
      <c r="F189" s="51"/>
      <c r="G189" s="51"/>
      <c r="H189" s="51"/>
      <c r="I189" s="51"/>
      <c r="J189" s="51"/>
      <c r="K189" s="52"/>
    </row>
    <row r="190" spans="3:12" ht="18" customHeight="1" thickBot="1" x14ac:dyDescent="0.45">
      <c r="C190" s="53"/>
      <c r="D190" s="47"/>
      <c r="E190" s="47"/>
      <c r="F190" s="47"/>
      <c r="G190" s="47"/>
      <c r="H190" s="48" t="s">
        <v>730</v>
      </c>
      <c r="J190" t="s">
        <v>731</v>
      </c>
      <c r="K190" s="54" t="s">
        <v>716</v>
      </c>
    </row>
    <row r="191" spans="3:12" x14ac:dyDescent="0.4">
      <c r="C191" s="53"/>
      <c r="D191" t="s">
        <v>702</v>
      </c>
      <c r="E191" s="16">
        <v>380000</v>
      </c>
      <c r="G191" t="s">
        <v>703</v>
      </c>
      <c r="H191" s="16">
        <v>190000</v>
      </c>
      <c r="I191" s="76"/>
      <c r="J191" s="76" t="s">
        <v>702</v>
      </c>
      <c r="K191" s="77">
        <v>500000</v>
      </c>
    </row>
    <row r="192" spans="3:12" x14ac:dyDescent="0.4">
      <c r="C192" s="53"/>
      <c r="D192" t="s">
        <v>704</v>
      </c>
      <c r="E192" s="16">
        <v>8651</v>
      </c>
      <c r="G192" t="s">
        <v>707</v>
      </c>
      <c r="H192" s="16">
        <v>36000</v>
      </c>
      <c r="I192" s="73" t="s">
        <v>732</v>
      </c>
      <c r="J192" t="s">
        <v>733</v>
      </c>
      <c r="K192" s="58">
        <v>2000</v>
      </c>
    </row>
    <row r="193" spans="3:11" x14ac:dyDescent="0.4">
      <c r="C193" s="53"/>
      <c r="D193" t="s">
        <v>706</v>
      </c>
      <c r="E193" s="16">
        <v>5805</v>
      </c>
      <c r="G193" t="s">
        <v>709</v>
      </c>
      <c r="H193" s="16">
        <v>27150</v>
      </c>
      <c r="I193" s="73" t="s">
        <v>734</v>
      </c>
      <c r="J193" t="s">
        <v>735</v>
      </c>
      <c r="K193" s="58">
        <v>48000</v>
      </c>
    </row>
    <row r="194" spans="3:11" x14ac:dyDescent="0.4">
      <c r="C194" s="53"/>
      <c r="D194" t="s">
        <v>708</v>
      </c>
      <c r="E194" s="16">
        <v>42320</v>
      </c>
      <c r="I194" s="73" t="s">
        <v>736</v>
      </c>
      <c r="J194" t="s">
        <v>737</v>
      </c>
      <c r="K194" s="58">
        <v>0</v>
      </c>
    </row>
    <row r="195" spans="3:11" x14ac:dyDescent="0.4">
      <c r="C195" s="53"/>
      <c r="D195" t="s">
        <v>725</v>
      </c>
      <c r="E195" s="16">
        <v>8320</v>
      </c>
      <c r="I195" s="74" t="s">
        <v>738</v>
      </c>
      <c r="J195" s="51" t="s">
        <v>739</v>
      </c>
      <c r="K195" s="75">
        <f>K191-K192-K193-K194</f>
        <v>450000</v>
      </c>
    </row>
    <row r="196" spans="3:11" x14ac:dyDescent="0.4">
      <c r="C196" s="53"/>
      <c r="D196" t="s">
        <v>710</v>
      </c>
      <c r="E196" s="16">
        <v>4787</v>
      </c>
      <c r="H196" s="16"/>
      <c r="I196" s="73"/>
      <c r="K196" s="54"/>
    </row>
    <row r="197" spans="3:11" x14ac:dyDescent="0.4">
      <c r="C197" s="53"/>
      <c r="D197" t="s">
        <v>711</v>
      </c>
      <c r="E197" s="16">
        <v>18544</v>
      </c>
      <c r="H197" s="16"/>
      <c r="K197" s="54"/>
    </row>
    <row r="198" spans="3:11" x14ac:dyDescent="0.4">
      <c r="C198" s="53"/>
      <c r="E198" s="16"/>
      <c r="H198" s="16"/>
      <c r="K198" s="54"/>
    </row>
    <row r="199" spans="3:11" x14ac:dyDescent="0.4">
      <c r="C199" s="53"/>
      <c r="D199" t="s">
        <v>712</v>
      </c>
      <c r="E199" s="16">
        <f>SUM(E191:E198)</f>
        <v>468427</v>
      </c>
      <c r="G199" t="s">
        <v>712</v>
      </c>
      <c r="H199" s="16">
        <f>SUM(H191:H198)</f>
        <v>253150</v>
      </c>
      <c r="K199" s="54"/>
    </row>
    <row r="200" spans="3:11" x14ac:dyDescent="0.4">
      <c r="C200" s="53"/>
      <c r="E200" s="16"/>
      <c r="G200" t="s">
        <v>713</v>
      </c>
      <c r="H200" s="16">
        <f>E199-H199-E197</f>
        <v>196733</v>
      </c>
      <c r="K200" s="54"/>
    </row>
    <row r="201" spans="3:11" x14ac:dyDescent="0.4">
      <c r="C201" s="53"/>
      <c r="G201" t="s">
        <v>714</v>
      </c>
      <c r="H201" s="16">
        <v>13430</v>
      </c>
    </row>
    <row r="202" spans="3:11" x14ac:dyDescent="0.4">
      <c r="C202" s="53"/>
      <c r="E202" s="16"/>
      <c r="G202" t="s">
        <v>717</v>
      </c>
      <c r="H202" s="16">
        <v>40000</v>
      </c>
    </row>
    <row r="203" spans="3:11" x14ac:dyDescent="0.4">
      <c r="C203" s="53"/>
      <c r="E203" s="16"/>
      <c r="H203" s="16"/>
    </row>
    <row r="204" spans="3:11" x14ac:dyDescent="0.4">
      <c r="C204" s="53"/>
      <c r="E204" s="16"/>
      <c r="H204" s="16"/>
    </row>
    <row r="205" spans="3:11" x14ac:dyDescent="0.4">
      <c r="C205" s="55"/>
      <c r="D205" s="56"/>
      <c r="E205" s="57"/>
      <c r="F205" s="56"/>
      <c r="G205" s="56"/>
      <c r="H205" s="57"/>
    </row>
    <row r="212" spans="3:14" x14ac:dyDescent="0.4">
      <c r="C212" s="50" t="s">
        <v>700</v>
      </c>
      <c r="D212" s="51"/>
      <c r="E212" s="51"/>
      <c r="F212" s="51"/>
      <c r="G212" s="51"/>
      <c r="H212" s="78"/>
      <c r="I212" s="51"/>
      <c r="J212" s="51"/>
      <c r="K212" s="52"/>
      <c r="N212" s="16"/>
    </row>
    <row r="213" spans="3:14" ht="18" customHeight="1" thickBot="1" x14ac:dyDescent="0.45">
      <c r="C213" s="53"/>
      <c r="D213" s="47"/>
      <c r="E213" s="47"/>
      <c r="F213" s="47"/>
      <c r="G213" s="47"/>
      <c r="H213" s="79" t="s">
        <v>740</v>
      </c>
      <c r="I213" t="s">
        <v>731</v>
      </c>
      <c r="K213" s="54" t="s">
        <v>716</v>
      </c>
      <c r="N213" s="16"/>
    </row>
    <row r="214" spans="3:14" x14ac:dyDescent="0.4">
      <c r="C214" s="53"/>
      <c r="D214" t="s">
        <v>702</v>
      </c>
      <c r="E214" s="16">
        <f>380000-38000</f>
        <v>342000</v>
      </c>
      <c r="G214" t="s">
        <v>703</v>
      </c>
      <c r="H214" s="80">
        <v>190000</v>
      </c>
      <c r="I214" s="76"/>
      <c r="J214" s="76" t="s">
        <v>702</v>
      </c>
      <c r="K214" s="77">
        <v>500000</v>
      </c>
      <c r="N214" s="16"/>
    </row>
    <row r="215" spans="3:14" x14ac:dyDescent="0.4">
      <c r="C215" s="53"/>
      <c r="D215" t="s">
        <v>704</v>
      </c>
      <c r="E215" s="16">
        <v>550</v>
      </c>
      <c r="G215" t="s">
        <v>707</v>
      </c>
      <c r="H215" s="80">
        <v>30000</v>
      </c>
      <c r="I215" s="73" t="s">
        <v>732</v>
      </c>
      <c r="J215" t="s">
        <v>733</v>
      </c>
      <c r="K215" s="58">
        <v>2000</v>
      </c>
      <c r="N215" s="16"/>
    </row>
    <row r="216" spans="3:14" x14ac:dyDescent="0.4">
      <c r="C216" s="53"/>
      <c r="D216" t="s">
        <v>706</v>
      </c>
      <c r="E216" s="16">
        <v>5900</v>
      </c>
      <c r="G216" t="s">
        <v>709</v>
      </c>
      <c r="H216" s="80">
        <v>22000</v>
      </c>
      <c r="I216" s="73" t="s">
        <v>734</v>
      </c>
      <c r="J216" t="s">
        <v>735</v>
      </c>
      <c r="K216" s="58">
        <v>48000</v>
      </c>
      <c r="N216" s="16"/>
    </row>
    <row r="217" spans="3:14" x14ac:dyDescent="0.4">
      <c r="C217" s="53"/>
      <c r="D217" t="s">
        <v>708</v>
      </c>
      <c r="E217" s="16">
        <v>38246</v>
      </c>
      <c r="H217" s="81"/>
      <c r="I217" s="73"/>
      <c r="K217" s="58"/>
      <c r="N217" s="16"/>
    </row>
    <row r="218" spans="3:14" x14ac:dyDescent="0.4">
      <c r="C218" s="53"/>
      <c r="D218" t="s">
        <v>725</v>
      </c>
      <c r="E218" s="16">
        <v>8546</v>
      </c>
      <c r="H218" s="81"/>
      <c r="I218" s="74" t="s">
        <v>738</v>
      </c>
      <c r="J218" s="51" t="s">
        <v>739</v>
      </c>
      <c r="K218" s="75">
        <f>K214-K215-K216-K217</f>
        <v>450000</v>
      </c>
      <c r="M218" t="s">
        <v>741</v>
      </c>
      <c r="N218" s="16"/>
    </row>
    <row r="219" spans="3:14" x14ac:dyDescent="0.4">
      <c r="C219" s="53"/>
      <c r="D219" t="s">
        <v>710</v>
      </c>
      <c r="E219" s="16">
        <v>2600</v>
      </c>
      <c r="H219" s="80"/>
      <c r="I219" s="87"/>
      <c r="K219" s="54"/>
      <c r="M219" t="s">
        <v>742</v>
      </c>
      <c r="N219" s="88">
        <f>4600*5+3000</f>
        <v>26000</v>
      </c>
    </row>
    <row r="220" spans="3:14" ht="18" customHeight="1" thickBot="1" x14ac:dyDescent="0.45">
      <c r="C220" s="53"/>
      <c r="D220" t="s">
        <v>711</v>
      </c>
      <c r="E220" s="16">
        <v>18544</v>
      </c>
      <c r="H220" s="80"/>
      <c r="I220" s="85"/>
      <c r="J220" s="61"/>
      <c r="K220" s="86"/>
      <c r="M220" t="s">
        <v>743</v>
      </c>
      <c r="N220" s="88">
        <f>2500*3+800*2</f>
        <v>9100</v>
      </c>
    </row>
    <row r="221" spans="3:14" ht="18" customHeight="1" thickTop="1" x14ac:dyDescent="0.4">
      <c r="C221" s="53"/>
      <c r="E221" s="16"/>
      <c r="H221" s="80"/>
      <c r="K221" s="54"/>
      <c r="M221" t="s">
        <v>744</v>
      </c>
      <c r="N221" s="89">
        <v>500</v>
      </c>
    </row>
    <row r="222" spans="3:14" x14ac:dyDescent="0.4">
      <c r="C222" s="53"/>
      <c r="D222" t="s">
        <v>712</v>
      </c>
      <c r="E222" s="16">
        <f>SUM(E214:E221)</f>
        <v>416386</v>
      </c>
      <c r="G222" t="s">
        <v>712</v>
      </c>
      <c r="H222" s="80">
        <f>SUM(H214:H221)</f>
        <v>242000</v>
      </c>
      <c r="I222" t="s">
        <v>745</v>
      </c>
      <c r="K222" s="58">
        <f>K215+K216+K217</f>
        <v>50000</v>
      </c>
      <c r="M222" t="s">
        <v>746</v>
      </c>
      <c r="N222" s="89">
        <v>1200</v>
      </c>
    </row>
    <row r="223" spans="3:14" x14ac:dyDescent="0.4">
      <c r="C223" s="53"/>
      <c r="E223" s="16"/>
      <c r="G223" t="s">
        <v>713</v>
      </c>
      <c r="H223" s="80">
        <f>E222-H222-E220</f>
        <v>155842</v>
      </c>
      <c r="I223" t="s">
        <v>747</v>
      </c>
      <c r="K223" s="58">
        <v>300000</v>
      </c>
      <c r="M223" t="s">
        <v>748</v>
      </c>
      <c r="N223" s="89"/>
    </row>
    <row r="224" spans="3:14" x14ac:dyDescent="0.4">
      <c r="C224" s="53"/>
      <c r="G224" t="s">
        <v>714</v>
      </c>
      <c r="H224" s="80">
        <v>16000</v>
      </c>
      <c r="I224" t="s">
        <v>749</v>
      </c>
      <c r="K224" s="58">
        <f>E214-H214</f>
        <v>152000</v>
      </c>
      <c r="M224" t="s">
        <v>750</v>
      </c>
      <c r="N224" s="89">
        <v>2200</v>
      </c>
    </row>
    <row r="225" spans="3:14" x14ac:dyDescent="0.4">
      <c r="C225" s="53"/>
      <c r="E225" s="16"/>
      <c r="G225" t="s">
        <v>717</v>
      </c>
      <c r="H225" s="80">
        <v>40000</v>
      </c>
      <c r="I225" t="s">
        <v>125</v>
      </c>
      <c r="K225" s="58">
        <f>K214-K222-K223-K224</f>
        <v>-2000</v>
      </c>
      <c r="M225" t="s">
        <v>751</v>
      </c>
      <c r="N225" s="16">
        <f>4500*5</f>
        <v>22500</v>
      </c>
    </row>
    <row r="226" spans="3:14" x14ac:dyDescent="0.4">
      <c r="C226" s="53"/>
      <c r="E226" s="16"/>
      <c r="H226" s="80"/>
      <c r="K226" s="58"/>
      <c r="M226" s="56"/>
      <c r="N226" s="56"/>
    </row>
    <row r="227" spans="3:14" x14ac:dyDescent="0.4">
      <c r="C227" s="53"/>
      <c r="E227" s="16"/>
      <c r="H227" s="80"/>
      <c r="K227" s="58"/>
      <c r="M227" t="s">
        <v>712</v>
      </c>
      <c r="N227" s="16">
        <f>N219+N220-N221-N222-N223-N224-N225</f>
        <v>8700</v>
      </c>
    </row>
    <row r="228" spans="3:14" x14ac:dyDescent="0.4">
      <c r="C228" s="55"/>
      <c r="D228" s="56"/>
      <c r="E228" s="57"/>
      <c r="F228" s="56"/>
      <c r="G228" s="56"/>
      <c r="H228" s="82"/>
      <c r="I228" s="83"/>
      <c r="J228" s="56"/>
      <c r="K228" s="84"/>
    </row>
    <row r="230" spans="3:14" x14ac:dyDescent="0.4">
      <c r="N230" s="16"/>
    </row>
    <row r="231" spans="3:14" x14ac:dyDescent="0.4">
      <c r="C231" s="18"/>
      <c r="N231" s="16"/>
    </row>
    <row r="232" spans="3:14" x14ac:dyDescent="0.4">
      <c r="C232" s="50" t="s">
        <v>700</v>
      </c>
      <c r="D232" s="51"/>
      <c r="E232" s="51"/>
      <c r="F232" s="51"/>
      <c r="G232" s="51"/>
      <c r="H232" s="78"/>
      <c r="K232" s="16"/>
    </row>
    <row r="233" spans="3:14" ht="18" customHeight="1" thickBot="1" x14ac:dyDescent="0.45">
      <c r="C233" s="53"/>
      <c r="D233" s="47"/>
      <c r="E233" s="47"/>
      <c r="F233" s="47"/>
      <c r="G233" s="47"/>
      <c r="H233" s="79" t="s">
        <v>752</v>
      </c>
      <c r="K233" s="16"/>
    </row>
    <row r="234" spans="3:14" x14ac:dyDescent="0.4">
      <c r="C234" s="53"/>
      <c r="D234" t="s">
        <v>702</v>
      </c>
      <c r="E234" s="16">
        <v>500000</v>
      </c>
      <c r="G234" t="s">
        <v>753</v>
      </c>
      <c r="H234" s="80">
        <v>300000</v>
      </c>
      <c r="K234" s="16"/>
    </row>
    <row r="235" spans="3:14" x14ac:dyDescent="0.4">
      <c r="C235" s="53"/>
      <c r="D235" t="s">
        <v>704</v>
      </c>
      <c r="E235" s="16">
        <v>2000</v>
      </c>
      <c r="G235" t="s">
        <v>707</v>
      </c>
      <c r="H235" s="80">
        <v>27000</v>
      </c>
      <c r="K235" s="16"/>
    </row>
    <row r="236" spans="3:14" x14ac:dyDescent="0.4">
      <c r="C236" s="53"/>
      <c r="D236" t="s">
        <v>706</v>
      </c>
      <c r="E236" s="16">
        <v>2000</v>
      </c>
      <c r="G236" t="s">
        <v>709</v>
      </c>
      <c r="H236" s="80">
        <v>17000</v>
      </c>
      <c r="K236" s="16"/>
    </row>
    <row r="237" spans="3:14" x14ac:dyDescent="0.4">
      <c r="C237" s="53"/>
      <c r="D237" t="s">
        <v>708</v>
      </c>
      <c r="E237" s="16">
        <v>39740</v>
      </c>
      <c r="H237" s="81"/>
      <c r="K237" s="16"/>
    </row>
    <row r="238" spans="3:14" x14ac:dyDescent="0.4">
      <c r="C238" s="53"/>
      <c r="D238" t="s">
        <v>725</v>
      </c>
      <c r="E238" s="16">
        <v>7080</v>
      </c>
      <c r="H238" s="81"/>
      <c r="K238" s="16"/>
    </row>
    <row r="239" spans="3:14" x14ac:dyDescent="0.4">
      <c r="C239" s="53"/>
      <c r="D239" t="s">
        <v>710</v>
      </c>
      <c r="E239" s="16">
        <v>3750</v>
      </c>
      <c r="H239" s="80"/>
      <c r="K239" s="16"/>
    </row>
    <row r="240" spans="3:14" x14ac:dyDescent="0.4">
      <c r="C240" s="53"/>
      <c r="D240" t="s">
        <v>711</v>
      </c>
      <c r="E240" s="16">
        <v>18922</v>
      </c>
      <c r="H240" s="80"/>
      <c r="K240" s="16"/>
    </row>
    <row r="241" spans="3:14" x14ac:dyDescent="0.4">
      <c r="C241" s="53"/>
      <c r="E241" s="16"/>
      <c r="H241" s="80"/>
      <c r="K241" s="16"/>
    </row>
    <row r="242" spans="3:14" x14ac:dyDescent="0.4">
      <c r="C242" s="53"/>
      <c r="D242" t="s">
        <v>712</v>
      </c>
      <c r="E242" s="16">
        <f>SUM(E234:E241)</f>
        <v>573492</v>
      </c>
      <c r="G242" t="s">
        <v>712</v>
      </c>
      <c r="H242" s="80">
        <f>SUM(H234:H241)</f>
        <v>344000</v>
      </c>
      <c r="K242" s="16"/>
    </row>
    <row r="243" spans="3:14" x14ac:dyDescent="0.4">
      <c r="C243" s="53"/>
      <c r="E243" s="16"/>
      <c r="G243" t="s">
        <v>713</v>
      </c>
      <c r="H243" s="80">
        <f>E242-H242-E240</f>
        <v>210570</v>
      </c>
      <c r="K243" s="16"/>
    </row>
    <row r="244" spans="3:14" x14ac:dyDescent="0.4">
      <c r="C244" s="53"/>
      <c r="G244" t="s">
        <v>714</v>
      </c>
      <c r="H244" s="80">
        <v>23000</v>
      </c>
      <c r="K244" s="16"/>
    </row>
    <row r="245" spans="3:14" x14ac:dyDescent="0.4">
      <c r="C245" s="53"/>
      <c r="E245" s="16"/>
      <c r="G245" t="s">
        <v>717</v>
      </c>
      <c r="H245" s="80">
        <v>40000</v>
      </c>
      <c r="K245" s="16"/>
    </row>
    <row r="246" spans="3:14" x14ac:dyDescent="0.4">
      <c r="C246" s="53"/>
      <c r="E246" s="16"/>
      <c r="H246" s="80"/>
      <c r="K246" s="16"/>
    </row>
    <row r="247" spans="3:14" x14ac:dyDescent="0.4">
      <c r="C247" s="53"/>
      <c r="E247" s="16"/>
      <c r="H247" s="80"/>
      <c r="K247" s="16"/>
    </row>
    <row r="248" spans="3:14" x14ac:dyDescent="0.4">
      <c r="C248" s="55"/>
      <c r="D248" s="56"/>
      <c r="E248" s="57"/>
      <c r="F248" s="56"/>
      <c r="G248" s="56"/>
      <c r="H248" s="82"/>
      <c r="K248" s="16"/>
    </row>
    <row r="249" spans="3:14" x14ac:dyDescent="0.4">
      <c r="N249" s="16"/>
    </row>
    <row r="250" spans="3:14" x14ac:dyDescent="0.4">
      <c r="N250" s="16"/>
    </row>
    <row r="251" spans="3:14" x14ac:dyDescent="0.4">
      <c r="N251" s="16"/>
    </row>
    <row r="252" spans="3:14" x14ac:dyDescent="0.4">
      <c r="N252" s="16"/>
    </row>
    <row r="253" spans="3:14" x14ac:dyDescent="0.4">
      <c r="N253" s="16"/>
    </row>
    <row r="255" spans="3:14" x14ac:dyDescent="0.4">
      <c r="C255" s="50" t="s">
        <v>700</v>
      </c>
      <c r="D255" s="51"/>
      <c r="E255" s="51"/>
      <c r="F255" s="51"/>
      <c r="G255" s="51"/>
      <c r="H255" s="78"/>
    </row>
    <row r="256" spans="3:14" ht="18" customHeight="1" thickBot="1" x14ac:dyDescent="0.45">
      <c r="C256" s="53"/>
      <c r="D256" s="47"/>
      <c r="E256" s="47"/>
      <c r="F256" s="47"/>
      <c r="G256" s="47"/>
      <c r="H256" s="79" t="s">
        <v>754</v>
      </c>
    </row>
    <row r="257" spans="3:8" x14ac:dyDescent="0.4">
      <c r="C257" s="53"/>
      <c r="D257" t="s">
        <v>702</v>
      </c>
      <c r="E257" s="16">
        <v>500000</v>
      </c>
      <c r="G257" t="s">
        <v>753</v>
      </c>
      <c r="H257" s="80">
        <v>300000</v>
      </c>
    </row>
    <row r="258" spans="3:8" x14ac:dyDescent="0.4">
      <c r="C258" s="53"/>
      <c r="D258" t="s">
        <v>704</v>
      </c>
      <c r="E258" s="16">
        <v>7500</v>
      </c>
      <c r="G258" t="s">
        <v>707</v>
      </c>
      <c r="H258" s="80">
        <v>27000</v>
      </c>
    </row>
    <row r="259" spans="3:8" x14ac:dyDescent="0.4">
      <c r="C259" s="53"/>
      <c r="D259" t="s">
        <v>706</v>
      </c>
      <c r="E259" s="16">
        <v>1700</v>
      </c>
      <c r="G259" t="s">
        <v>709</v>
      </c>
      <c r="H259" s="80">
        <v>21000</v>
      </c>
    </row>
    <row r="260" spans="3:8" x14ac:dyDescent="0.4">
      <c r="C260" s="53"/>
      <c r="D260" t="s">
        <v>708</v>
      </c>
      <c r="E260" s="16">
        <v>43400</v>
      </c>
      <c r="H260" s="81"/>
    </row>
    <row r="261" spans="3:8" x14ac:dyDescent="0.4">
      <c r="C261" s="53"/>
      <c r="D261" t="s">
        <v>725</v>
      </c>
      <c r="E261" s="16">
        <v>7556</v>
      </c>
      <c r="H261" s="81"/>
    </row>
    <row r="262" spans="3:8" x14ac:dyDescent="0.4">
      <c r="C262" s="53"/>
      <c r="D262" t="s">
        <v>710</v>
      </c>
      <c r="E262" s="16">
        <v>6649</v>
      </c>
      <c r="H262" s="80"/>
    </row>
    <row r="263" spans="3:8" x14ac:dyDescent="0.4">
      <c r="C263" s="53"/>
      <c r="D263" t="s">
        <v>711</v>
      </c>
      <c r="E263" s="16">
        <v>18922</v>
      </c>
      <c r="H263" s="80"/>
    </row>
    <row r="264" spans="3:8" x14ac:dyDescent="0.4">
      <c r="C264" s="53"/>
      <c r="E264" s="16"/>
      <c r="H264" s="80"/>
    </row>
    <row r="265" spans="3:8" x14ac:dyDescent="0.4">
      <c r="C265" s="53"/>
      <c r="D265" t="s">
        <v>712</v>
      </c>
      <c r="E265" s="16">
        <f>SUM(E257:E264)</f>
        <v>585727</v>
      </c>
      <c r="G265" t="s">
        <v>712</v>
      </c>
      <c r="H265" s="80">
        <f>SUM(H257:H264)</f>
        <v>348000</v>
      </c>
    </row>
    <row r="266" spans="3:8" x14ac:dyDescent="0.4">
      <c r="C266" s="53"/>
      <c r="E266" s="16"/>
      <c r="G266" t="s">
        <v>713</v>
      </c>
      <c r="H266" s="80">
        <f>E265-H265-E263</f>
        <v>218805</v>
      </c>
    </row>
    <row r="267" spans="3:8" x14ac:dyDescent="0.4">
      <c r="C267" s="53"/>
      <c r="G267" t="s">
        <v>714</v>
      </c>
      <c r="H267" s="80">
        <v>23000</v>
      </c>
    </row>
    <row r="268" spans="3:8" x14ac:dyDescent="0.4">
      <c r="C268" s="53"/>
      <c r="E268" s="16"/>
      <c r="G268" t="s">
        <v>717</v>
      </c>
      <c r="H268" s="80">
        <v>40000</v>
      </c>
    </row>
    <row r="269" spans="3:8" x14ac:dyDescent="0.4">
      <c r="C269" s="53"/>
      <c r="E269" s="16"/>
      <c r="H269" s="80"/>
    </row>
    <row r="270" spans="3:8" x14ac:dyDescent="0.4">
      <c r="C270" s="53"/>
      <c r="E270" s="16"/>
      <c r="H270" s="80"/>
    </row>
    <row r="271" spans="3:8" x14ac:dyDescent="0.4">
      <c r="C271" s="55"/>
      <c r="D271" s="56"/>
      <c r="E271" s="57"/>
      <c r="F271" s="56"/>
      <c r="G271" s="56"/>
      <c r="H271" s="82"/>
    </row>
    <row r="277" spans="3:8" x14ac:dyDescent="0.4">
      <c r="C277" s="50" t="s">
        <v>700</v>
      </c>
      <c r="D277" s="51"/>
      <c r="E277" s="51"/>
      <c r="F277" s="51"/>
      <c r="G277" s="51"/>
      <c r="H277" s="78"/>
    </row>
    <row r="278" spans="3:8" ht="18" customHeight="1" thickBot="1" x14ac:dyDescent="0.45">
      <c r="C278" s="53"/>
      <c r="D278" s="47"/>
      <c r="E278" s="47"/>
      <c r="F278" s="47"/>
      <c r="G278" s="47"/>
      <c r="H278" s="79" t="s">
        <v>755</v>
      </c>
    </row>
    <row r="279" spans="3:8" x14ac:dyDescent="0.4">
      <c r="C279" s="53"/>
      <c r="D279" t="s">
        <v>702</v>
      </c>
      <c r="E279" s="16">
        <v>500000</v>
      </c>
      <c r="G279" t="s">
        <v>753</v>
      </c>
      <c r="H279" s="80">
        <v>300000</v>
      </c>
    </row>
    <row r="280" spans="3:8" x14ac:dyDescent="0.4">
      <c r="C280" s="53"/>
      <c r="D280" t="s">
        <v>704</v>
      </c>
      <c r="E280" s="16">
        <v>7560</v>
      </c>
      <c r="G280" t="s">
        <v>707</v>
      </c>
      <c r="H280" s="80">
        <v>25000</v>
      </c>
    </row>
    <row r="281" spans="3:8" x14ac:dyDescent="0.4">
      <c r="C281" s="53"/>
      <c r="D281" t="s">
        <v>706</v>
      </c>
      <c r="E281" s="16">
        <v>1988</v>
      </c>
      <c r="G281" t="s">
        <v>709</v>
      </c>
      <c r="H281" s="80">
        <v>8160</v>
      </c>
    </row>
    <row r="282" spans="3:8" x14ac:dyDescent="0.4">
      <c r="C282" s="53"/>
      <c r="D282" t="s">
        <v>708</v>
      </c>
      <c r="E282" s="16">
        <v>38950</v>
      </c>
      <c r="H282" s="81"/>
    </row>
    <row r="283" spans="3:8" x14ac:dyDescent="0.4">
      <c r="C283" s="53"/>
      <c r="D283" t="s">
        <v>725</v>
      </c>
      <c r="E283" s="16">
        <v>14124</v>
      </c>
      <c r="H283" s="81"/>
    </row>
    <row r="284" spans="3:8" x14ac:dyDescent="0.4">
      <c r="C284" s="53"/>
      <c r="D284" t="s">
        <v>710</v>
      </c>
      <c r="E284" s="16">
        <v>6649</v>
      </c>
      <c r="H284" s="80"/>
    </row>
    <row r="285" spans="3:8" x14ac:dyDescent="0.4">
      <c r="C285" s="53"/>
      <c r="D285" t="s">
        <v>711</v>
      </c>
      <c r="E285" s="16">
        <v>18920</v>
      </c>
      <c r="H285" s="80"/>
    </row>
    <row r="286" spans="3:8" x14ac:dyDescent="0.4">
      <c r="C286" s="53"/>
      <c r="E286" s="16"/>
      <c r="H286" s="80"/>
    </row>
    <row r="287" spans="3:8" x14ac:dyDescent="0.4">
      <c r="C287" s="53"/>
      <c r="D287" t="s">
        <v>712</v>
      </c>
      <c r="E287" s="16">
        <f>SUM(E279:E286)</f>
        <v>588191</v>
      </c>
      <c r="G287" t="s">
        <v>712</v>
      </c>
      <c r="H287" s="80">
        <f>SUM(H279:H286)</f>
        <v>333160</v>
      </c>
    </row>
    <row r="288" spans="3:8" x14ac:dyDescent="0.4">
      <c r="C288" s="53"/>
      <c r="E288" s="16"/>
      <c r="G288" t="s">
        <v>713</v>
      </c>
      <c r="H288" s="80">
        <f>E287-H287-E285</f>
        <v>236111</v>
      </c>
    </row>
    <row r="289" spans="3:8" x14ac:dyDescent="0.4">
      <c r="C289" s="53"/>
      <c r="G289" t="s">
        <v>714</v>
      </c>
      <c r="H289" s="80">
        <v>23000</v>
      </c>
    </row>
    <row r="290" spans="3:8" x14ac:dyDescent="0.4">
      <c r="C290" s="53"/>
      <c r="E290" s="16"/>
      <c r="G290" t="s">
        <v>717</v>
      </c>
      <c r="H290" s="80">
        <v>40000</v>
      </c>
    </row>
    <row r="291" spans="3:8" x14ac:dyDescent="0.4">
      <c r="C291" s="53"/>
      <c r="E291" s="16"/>
      <c r="H291" s="80"/>
    </row>
    <row r="292" spans="3:8" x14ac:dyDescent="0.4">
      <c r="C292" s="53"/>
      <c r="E292" s="16"/>
      <c r="H292" s="80"/>
    </row>
    <row r="293" spans="3:8" x14ac:dyDescent="0.4">
      <c r="C293" s="55"/>
      <c r="D293" s="56"/>
      <c r="E293" s="57"/>
      <c r="F293" s="56"/>
      <c r="G293" s="56"/>
      <c r="H293" s="82"/>
    </row>
    <row r="296" spans="3:8" x14ac:dyDescent="0.4">
      <c r="C296" s="50" t="s">
        <v>700</v>
      </c>
      <c r="D296" s="51"/>
      <c r="E296" s="51"/>
      <c r="F296" s="51"/>
      <c r="G296" s="51"/>
      <c r="H296" s="78"/>
    </row>
    <row r="297" spans="3:8" ht="18" customHeight="1" thickBot="1" x14ac:dyDescent="0.45">
      <c r="C297" s="53"/>
      <c r="D297" s="47"/>
      <c r="E297" s="47"/>
      <c r="F297" s="47"/>
      <c r="G297" s="47"/>
      <c r="H297" s="79" t="s">
        <v>756</v>
      </c>
    </row>
    <row r="298" spans="3:8" x14ac:dyDescent="0.4">
      <c r="C298" s="53"/>
      <c r="D298" t="s">
        <v>702</v>
      </c>
      <c r="E298" s="16">
        <v>500000</v>
      </c>
      <c r="G298" t="s">
        <v>753</v>
      </c>
      <c r="H298" s="80">
        <v>300000</v>
      </c>
    </row>
    <row r="299" spans="3:8" x14ac:dyDescent="0.4">
      <c r="C299" s="53"/>
      <c r="D299" t="s">
        <v>704</v>
      </c>
      <c r="E299" s="16">
        <v>5800</v>
      </c>
      <c r="G299" t="s">
        <v>707</v>
      </c>
      <c r="H299" s="80">
        <v>20000</v>
      </c>
    </row>
    <row r="300" spans="3:8" x14ac:dyDescent="0.4">
      <c r="C300" s="53"/>
      <c r="D300" t="s">
        <v>706</v>
      </c>
      <c r="E300" s="16">
        <v>2330</v>
      </c>
      <c r="G300" t="s">
        <v>709</v>
      </c>
      <c r="H300" s="80">
        <v>4000</v>
      </c>
    </row>
    <row r="301" spans="3:8" x14ac:dyDescent="0.4">
      <c r="C301" s="53"/>
      <c r="D301" t="s">
        <v>708</v>
      </c>
      <c r="E301" s="16">
        <v>26347</v>
      </c>
      <c r="H301" s="81"/>
    </row>
    <row r="302" spans="3:8" x14ac:dyDescent="0.4">
      <c r="C302" s="53"/>
      <c r="D302" t="s">
        <v>725</v>
      </c>
      <c r="E302" s="16">
        <v>11213</v>
      </c>
      <c r="H302" s="81"/>
    </row>
    <row r="303" spans="3:8" x14ac:dyDescent="0.4">
      <c r="C303" s="53"/>
      <c r="D303" t="s">
        <v>710</v>
      </c>
      <c r="E303" s="16">
        <v>3831</v>
      </c>
      <c r="H303" s="80"/>
    </row>
    <row r="304" spans="3:8" x14ac:dyDescent="0.4">
      <c r="C304" s="53"/>
      <c r="D304" t="s">
        <v>711</v>
      </c>
      <c r="E304" s="16">
        <v>18540</v>
      </c>
      <c r="H304" s="80"/>
    </row>
    <row r="305" spans="3:8" x14ac:dyDescent="0.4">
      <c r="C305" s="53"/>
      <c r="E305" s="16"/>
      <c r="H305" s="80"/>
    </row>
    <row r="306" spans="3:8" x14ac:dyDescent="0.4">
      <c r="C306" s="53"/>
      <c r="D306" t="s">
        <v>712</v>
      </c>
      <c r="E306" s="16">
        <f>SUM(E298:E305)</f>
        <v>568061</v>
      </c>
      <c r="G306" t="s">
        <v>712</v>
      </c>
      <c r="H306" s="80">
        <f>SUM(H298:H305)</f>
        <v>324000</v>
      </c>
    </row>
    <row r="307" spans="3:8" x14ac:dyDescent="0.4">
      <c r="C307" s="53"/>
      <c r="E307" s="16"/>
      <c r="G307" t="s">
        <v>713</v>
      </c>
      <c r="H307" s="80">
        <f>E306-H306-E304</f>
        <v>225521</v>
      </c>
    </row>
    <row r="308" spans="3:8" x14ac:dyDescent="0.4">
      <c r="C308" s="53"/>
      <c r="G308" t="s">
        <v>714</v>
      </c>
      <c r="H308" s="80">
        <v>23000</v>
      </c>
    </row>
    <row r="309" spans="3:8" x14ac:dyDescent="0.4">
      <c r="C309" s="53"/>
      <c r="E309" s="16"/>
      <c r="G309" t="s">
        <v>717</v>
      </c>
      <c r="H309" s="80">
        <v>40000</v>
      </c>
    </row>
    <row r="310" spans="3:8" x14ac:dyDescent="0.4">
      <c r="C310" s="53"/>
      <c r="E310" s="16"/>
      <c r="H310" s="80"/>
    </row>
    <row r="311" spans="3:8" x14ac:dyDescent="0.4">
      <c r="C311" s="53"/>
      <c r="E311" s="16"/>
      <c r="H311" s="80"/>
    </row>
    <row r="312" spans="3:8" x14ac:dyDescent="0.4">
      <c r="C312" s="55"/>
      <c r="D312" s="56"/>
      <c r="E312" s="57"/>
      <c r="F312" s="56"/>
      <c r="G312" s="56"/>
      <c r="H312" s="82"/>
    </row>
    <row r="315" spans="3:8" x14ac:dyDescent="0.4">
      <c r="C315" s="50" t="s">
        <v>700</v>
      </c>
      <c r="D315" s="51"/>
      <c r="E315" s="51"/>
      <c r="F315" s="51"/>
      <c r="G315" s="51"/>
      <c r="H315" s="78"/>
    </row>
    <row r="316" spans="3:8" ht="18" customHeight="1" thickBot="1" x14ac:dyDescent="0.45">
      <c r="C316" s="53"/>
      <c r="D316" s="47"/>
      <c r="E316" s="47"/>
      <c r="F316" s="47"/>
      <c r="G316" s="47"/>
      <c r="H316" s="79" t="s">
        <v>757</v>
      </c>
    </row>
    <row r="317" spans="3:8" x14ac:dyDescent="0.4">
      <c r="C317" s="53"/>
      <c r="D317" t="s">
        <v>702</v>
      </c>
      <c r="E317" s="16">
        <v>500000</v>
      </c>
      <c r="G317" t="s">
        <v>753</v>
      </c>
      <c r="H317" s="80">
        <v>300000</v>
      </c>
    </row>
    <row r="318" spans="3:8" x14ac:dyDescent="0.4">
      <c r="C318" s="53"/>
      <c r="D318" t="s">
        <v>704</v>
      </c>
      <c r="E318" s="16">
        <v>8929</v>
      </c>
      <c r="G318" t="s">
        <v>707</v>
      </c>
      <c r="H318" s="80">
        <v>20000</v>
      </c>
    </row>
    <row r="319" spans="3:8" x14ac:dyDescent="0.4">
      <c r="C319" s="53"/>
      <c r="D319" t="s">
        <v>706</v>
      </c>
      <c r="E319" s="16">
        <v>2220</v>
      </c>
      <c r="G319" t="s">
        <v>709</v>
      </c>
      <c r="H319" s="80">
        <v>4000</v>
      </c>
    </row>
    <row r="320" spans="3:8" x14ac:dyDescent="0.4">
      <c r="C320" s="53"/>
      <c r="D320" t="s">
        <v>708</v>
      </c>
      <c r="E320" s="16">
        <v>30122</v>
      </c>
      <c r="H320" s="81"/>
    </row>
    <row r="321" spans="3:8" x14ac:dyDescent="0.4">
      <c r="C321" s="53"/>
      <c r="D321" t="s">
        <v>758</v>
      </c>
      <c r="E321" s="16">
        <v>2133</v>
      </c>
      <c r="H321" s="81"/>
    </row>
    <row r="322" spans="3:8" x14ac:dyDescent="0.4">
      <c r="C322" s="53"/>
      <c r="D322" t="s">
        <v>725</v>
      </c>
      <c r="E322" s="16">
        <v>10900</v>
      </c>
      <c r="H322" s="81"/>
    </row>
    <row r="323" spans="3:8" x14ac:dyDescent="0.4">
      <c r="C323" s="53"/>
      <c r="D323" t="s">
        <v>710</v>
      </c>
      <c r="E323" s="16">
        <v>4169</v>
      </c>
      <c r="H323" s="80"/>
    </row>
    <row r="324" spans="3:8" x14ac:dyDescent="0.4">
      <c r="C324" s="53"/>
      <c r="D324" t="s">
        <v>711</v>
      </c>
      <c r="E324" s="16">
        <v>18540</v>
      </c>
      <c r="H324" s="80"/>
    </row>
    <row r="325" spans="3:8" x14ac:dyDescent="0.4">
      <c r="C325" s="53"/>
      <c r="E325" s="16"/>
      <c r="H325" s="80"/>
    </row>
    <row r="326" spans="3:8" x14ac:dyDescent="0.4">
      <c r="C326" s="53"/>
      <c r="D326" t="s">
        <v>712</v>
      </c>
      <c r="E326" s="16">
        <f>SUM(E317:E325)</f>
        <v>577013</v>
      </c>
      <c r="G326" t="s">
        <v>712</v>
      </c>
      <c r="H326" s="80">
        <f>SUM(H317:H325)</f>
        <v>324000</v>
      </c>
    </row>
    <row r="327" spans="3:8" x14ac:dyDescent="0.4">
      <c r="C327" s="53"/>
      <c r="E327" s="16"/>
      <c r="G327" t="s">
        <v>713</v>
      </c>
      <c r="H327" s="80">
        <f>E326-H326-E324</f>
        <v>234473</v>
      </c>
    </row>
    <row r="328" spans="3:8" x14ac:dyDescent="0.4">
      <c r="C328" s="53"/>
      <c r="G328" t="s">
        <v>714</v>
      </c>
      <c r="H328" s="80">
        <v>48000</v>
      </c>
    </row>
    <row r="329" spans="3:8" x14ac:dyDescent="0.4">
      <c r="C329" s="53"/>
      <c r="D329" s="50" t="s">
        <v>555</v>
      </c>
      <c r="E329" s="75">
        <v>1000</v>
      </c>
      <c r="G329" t="s">
        <v>717</v>
      </c>
      <c r="H329" s="80">
        <v>40000</v>
      </c>
    </row>
    <row r="330" spans="3:8" x14ac:dyDescent="0.4">
      <c r="C330" s="53"/>
      <c r="D330" s="55" t="s">
        <v>557</v>
      </c>
      <c r="E330" s="124">
        <v>1000</v>
      </c>
      <c r="H330" s="80"/>
    </row>
    <row r="331" spans="3:8" x14ac:dyDescent="0.4">
      <c r="C331" s="53"/>
      <c r="E331" s="16"/>
      <c r="H331" s="80"/>
    </row>
    <row r="332" spans="3:8" x14ac:dyDescent="0.4">
      <c r="C332" s="55"/>
      <c r="D332" s="56"/>
      <c r="E332" s="57"/>
      <c r="F332" s="56"/>
      <c r="G332" s="56"/>
      <c r="H332" s="82"/>
    </row>
    <row r="335" spans="3:8" x14ac:dyDescent="0.4">
      <c r="C335" s="50" t="s">
        <v>700</v>
      </c>
      <c r="D335" s="51"/>
      <c r="E335" s="51"/>
      <c r="F335" s="51"/>
      <c r="G335" s="51"/>
      <c r="H335" s="78"/>
    </row>
    <row r="336" spans="3:8" ht="18" customHeight="1" thickBot="1" x14ac:dyDescent="0.45">
      <c r="C336" s="53"/>
      <c r="D336" s="47"/>
      <c r="E336" s="47"/>
      <c r="F336" s="47"/>
      <c r="G336" s="47"/>
      <c r="H336" s="79" t="s">
        <v>759</v>
      </c>
    </row>
    <row r="337" spans="3:10" x14ac:dyDescent="0.4">
      <c r="C337" s="53"/>
      <c r="D337" t="s">
        <v>702</v>
      </c>
      <c r="E337" s="16">
        <v>500000</v>
      </c>
      <c r="G337" t="s">
        <v>753</v>
      </c>
      <c r="H337" s="80">
        <v>300000</v>
      </c>
    </row>
    <row r="338" spans="3:10" x14ac:dyDescent="0.4">
      <c r="C338" s="53"/>
      <c r="D338" t="s">
        <v>704</v>
      </c>
      <c r="E338" s="16">
        <v>1600</v>
      </c>
      <c r="H338" s="80"/>
    </row>
    <row r="339" spans="3:10" x14ac:dyDescent="0.4">
      <c r="C339" s="53"/>
      <c r="D339" t="s">
        <v>706</v>
      </c>
      <c r="E339" s="16">
        <v>2356</v>
      </c>
      <c r="G339" t="s">
        <v>709</v>
      </c>
      <c r="H339" s="80">
        <v>16000</v>
      </c>
    </row>
    <row r="340" spans="3:10" x14ac:dyDescent="0.4">
      <c r="C340" s="53"/>
      <c r="D340" t="s">
        <v>708</v>
      </c>
      <c r="E340" s="16">
        <v>26702</v>
      </c>
      <c r="H340" s="81"/>
    </row>
    <row r="341" spans="3:10" x14ac:dyDescent="0.4">
      <c r="C341" s="53"/>
      <c r="D341" t="s">
        <v>758</v>
      </c>
      <c r="E341" s="16">
        <v>3806</v>
      </c>
      <c r="H341" s="81"/>
      <c r="J341">
        <f>20671-18300</f>
        <v>2371</v>
      </c>
    </row>
    <row r="342" spans="3:10" x14ac:dyDescent="0.4">
      <c r="C342" s="53"/>
      <c r="D342" t="s">
        <v>725</v>
      </c>
      <c r="E342" s="16">
        <v>9940</v>
      </c>
      <c r="H342" s="81"/>
    </row>
    <row r="343" spans="3:10" x14ac:dyDescent="0.4">
      <c r="C343" s="53"/>
      <c r="D343" t="s">
        <v>710</v>
      </c>
      <c r="E343" s="16">
        <v>4148</v>
      </c>
      <c r="H343" s="80"/>
    </row>
    <row r="344" spans="3:10" x14ac:dyDescent="0.4">
      <c r="C344" s="53"/>
      <c r="D344" t="s">
        <v>711</v>
      </c>
      <c r="E344" s="16">
        <v>18300</v>
      </c>
      <c r="H344" s="80"/>
    </row>
    <row r="345" spans="3:10" x14ac:dyDescent="0.4">
      <c r="C345" s="53"/>
      <c r="E345" s="16"/>
      <c r="H345" s="80"/>
    </row>
    <row r="346" spans="3:10" x14ac:dyDescent="0.4">
      <c r="C346" s="53"/>
      <c r="D346" t="s">
        <v>712</v>
      </c>
      <c r="E346" s="16">
        <f>SUM(E337:E345)</f>
        <v>566852</v>
      </c>
      <c r="G346" t="s">
        <v>712</v>
      </c>
      <c r="H346" s="80">
        <f>SUM(H337:H345)</f>
        <v>316000</v>
      </c>
    </row>
    <row r="347" spans="3:10" x14ac:dyDescent="0.4">
      <c r="C347" s="53"/>
      <c r="E347" s="16"/>
      <c r="G347" t="s">
        <v>713</v>
      </c>
      <c r="H347" s="80">
        <f>E346-H346-E344</f>
        <v>232552</v>
      </c>
    </row>
    <row r="348" spans="3:10" x14ac:dyDescent="0.4">
      <c r="C348" s="53"/>
      <c r="H348" s="80"/>
    </row>
    <row r="349" spans="3:10" x14ac:dyDescent="0.4">
      <c r="C349" s="53"/>
      <c r="D349" s="50" t="s">
        <v>555</v>
      </c>
      <c r="E349" s="75">
        <v>3000</v>
      </c>
      <c r="H349" s="80"/>
    </row>
    <row r="350" spans="3:10" x14ac:dyDescent="0.4">
      <c r="C350" s="53"/>
      <c r="D350" s="55" t="s">
        <v>557</v>
      </c>
      <c r="E350" s="124">
        <v>3000</v>
      </c>
      <c r="H350" s="80"/>
    </row>
    <row r="351" spans="3:10" x14ac:dyDescent="0.4">
      <c r="C351" s="53"/>
      <c r="E351" s="16"/>
      <c r="H351" s="80"/>
    </row>
    <row r="352" spans="3:10" x14ac:dyDescent="0.4">
      <c r="C352" s="55"/>
      <c r="D352" s="56"/>
      <c r="E352" s="57"/>
      <c r="F352" s="56"/>
      <c r="G352" s="56"/>
      <c r="H352" s="82"/>
    </row>
    <row r="354" spans="3:14" s="128" customFormat="1" x14ac:dyDescent="0.4">
      <c r="C354" s="150" t="s">
        <v>700</v>
      </c>
      <c r="D354" s="155"/>
      <c r="E354" s="155"/>
      <c r="F354" s="155"/>
      <c r="G354" s="155"/>
      <c r="H354" s="154"/>
    </row>
    <row r="355" spans="3:14" s="128" customFormat="1" ht="18" customHeight="1" thickBot="1" x14ac:dyDescent="0.45">
      <c r="C355" s="147"/>
      <c r="D355" s="153"/>
      <c r="E355" s="153"/>
      <c r="F355" s="153"/>
      <c r="G355" s="153"/>
      <c r="H355" s="152" t="s">
        <v>760</v>
      </c>
    </row>
    <row r="356" spans="3:14" s="128" customFormat="1" x14ac:dyDescent="0.4">
      <c r="C356" s="147"/>
      <c r="D356" s="128" t="s">
        <v>761</v>
      </c>
      <c r="E356" s="131">
        <v>450000</v>
      </c>
      <c r="G356" s="128" t="s">
        <v>753</v>
      </c>
      <c r="H356" s="146">
        <v>300000</v>
      </c>
    </row>
    <row r="357" spans="3:14" s="128" customFormat="1" x14ac:dyDescent="0.4">
      <c r="C357" s="147"/>
      <c r="D357" s="128" t="s">
        <v>762</v>
      </c>
      <c r="E357" s="131">
        <v>50000</v>
      </c>
      <c r="H357" s="146"/>
      <c r="L357" s="131"/>
    </row>
    <row r="358" spans="3:14" s="128" customFormat="1" x14ac:dyDescent="0.4">
      <c r="C358" s="147"/>
      <c r="D358" s="128" t="s">
        <v>763</v>
      </c>
      <c r="E358" s="131">
        <v>35420</v>
      </c>
      <c r="H358" s="146"/>
      <c r="J358" s="128" t="s">
        <v>764</v>
      </c>
      <c r="K358" s="128" t="s">
        <v>765</v>
      </c>
      <c r="L358" s="131">
        <v>380000000</v>
      </c>
    </row>
    <row r="359" spans="3:14" s="128" customFormat="1" x14ac:dyDescent="0.4">
      <c r="C359" s="147"/>
      <c r="D359" s="128" t="s">
        <v>706</v>
      </c>
      <c r="E359" s="131">
        <v>1373</v>
      </c>
      <c r="G359" s="128" t="s">
        <v>709</v>
      </c>
      <c r="H359" s="146">
        <f>19640+4140+31980</f>
        <v>55760</v>
      </c>
      <c r="K359" s="128" t="s">
        <v>766</v>
      </c>
      <c r="L359" s="131">
        <f>500000000-L358</f>
        <v>120000000</v>
      </c>
    </row>
    <row r="360" spans="3:14" s="128" customFormat="1" x14ac:dyDescent="0.4">
      <c r="C360" s="147"/>
      <c r="D360" s="128" t="s">
        <v>708</v>
      </c>
      <c r="E360" s="131">
        <v>24246</v>
      </c>
      <c r="H360" s="151"/>
      <c r="K360" s="128" t="s">
        <v>735</v>
      </c>
      <c r="L360" s="131">
        <v>50000000</v>
      </c>
      <c r="M360" s="128" t="s">
        <v>739</v>
      </c>
      <c r="N360" s="131">
        <v>70000000</v>
      </c>
    </row>
    <row r="361" spans="3:14" s="128" customFormat="1" x14ac:dyDescent="0.4">
      <c r="C361" s="147"/>
      <c r="D361" s="128" t="s">
        <v>758</v>
      </c>
      <c r="E361" s="131">
        <v>3806</v>
      </c>
      <c r="H361" s="151"/>
      <c r="K361" s="128" t="s">
        <v>767</v>
      </c>
      <c r="L361" s="131">
        <v>68110000</v>
      </c>
    </row>
    <row r="362" spans="3:14" s="128" customFormat="1" x14ac:dyDescent="0.4">
      <c r="C362" s="147"/>
      <c r="D362" s="128" t="s">
        <v>725</v>
      </c>
      <c r="E362" s="131">
        <v>9331</v>
      </c>
      <c r="H362" s="151"/>
      <c r="L362" s="131"/>
    </row>
    <row r="363" spans="3:14" s="128" customFormat="1" x14ac:dyDescent="0.4">
      <c r="C363" s="147"/>
      <c r="D363" s="128" t="s">
        <v>710</v>
      </c>
      <c r="E363" s="131">
        <v>3228</v>
      </c>
      <c r="H363" s="146"/>
    </row>
    <row r="364" spans="3:14" s="128" customFormat="1" x14ac:dyDescent="0.4">
      <c r="C364" s="147"/>
      <c r="E364" s="131"/>
      <c r="H364" s="146"/>
    </row>
    <row r="365" spans="3:14" s="128" customFormat="1" x14ac:dyDescent="0.4">
      <c r="C365" s="147"/>
      <c r="E365" s="131"/>
      <c r="H365" s="146"/>
      <c r="L365" s="131"/>
    </row>
    <row r="366" spans="3:14" s="128" customFormat="1" x14ac:dyDescent="0.4">
      <c r="C366" s="147"/>
      <c r="D366" s="128" t="s">
        <v>712</v>
      </c>
      <c r="E366" s="131">
        <f>SUM(E356:E365)</f>
        <v>577404</v>
      </c>
      <c r="G366" s="128" t="s">
        <v>712</v>
      </c>
      <c r="H366" s="146">
        <f>SUM(H356:H365)</f>
        <v>355760</v>
      </c>
      <c r="K366" s="128" t="s">
        <v>768</v>
      </c>
      <c r="L366" s="131">
        <v>1930500</v>
      </c>
    </row>
    <row r="367" spans="3:14" s="128" customFormat="1" x14ac:dyDescent="0.4">
      <c r="C367" s="147"/>
      <c r="E367" s="131"/>
      <c r="G367" s="128" t="s">
        <v>713</v>
      </c>
      <c r="H367" s="146">
        <f>E366-H366-E364</f>
        <v>221644</v>
      </c>
      <c r="K367" s="128" t="s">
        <v>746</v>
      </c>
      <c r="L367" s="131">
        <v>1500000</v>
      </c>
    </row>
    <row r="368" spans="3:14" s="128" customFormat="1" x14ac:dyDescent="0.4">
      <c r="C368" s="147"/>
      <c r="H368" s="146"/>
      <c r="K368" s="128" t="s">
        <v>769</v>
      </c>
      <c r="L368" s="131">
        <v>1550000</v>
      </c>
    </row>
    <row r="369" spans="3:19" s="128" customFormat="1" x14ac:dyDescent="0.4">
      <c r="C369" s="147"/>
      <c r="D369" s="150" t="s">
        <v>555</v>
      </c>
      <c r="E369" s="149">
        <v>3000</v>
      </c>
      <c r="H369" s="146"/>
    </row>
    <row r="370" spans="3:19" s="128" customFormat="1" x14ac:dyDescent="0.4">
      <c r="C370" s="147"/>
      <c r="D370" s="145" t="s">
        <v>557</v>
      </c>
      <c r="E370" s="148">
        <v>3000</v>
      </c>
      <c r="H370" s="146"/>
      <c r="K370" s="128" t="s">
        <v>770</v>
      </c>
      <c r="L370" s="131">
        <f>L359-L360-L361-L362+(L366+L367+L368)</f>
        <v>6870500</v>
      </c>
    </row>
    <row r="371" spans="3:19" s="128" customFormat="1" x14ac:dyDescent="0.4">
      <c r="C371" s="147"/>
      <c r="E371" s="131"/>
      <c r="H371" s="146"/>
    </row>
    <row r="372" spans="3:19" s="128" customFormat="1" x14ac:dyDescent="0.4">
      <c r="C372" s="145"/>
      <c r="D372" s="143"/>
      <c r="E372" s="144"/>
      <c r="F372" s="143"/>
      <c r="G372" s="143"/>
      <c r="H372" s="142"/>
    </row>
    <row r="373" spans="3:19" s="128" customFormat="1" x14ac:dyDescent="0.4">
      <c r="S373" s="129"/>
    </row>
    <row r="374" spans="3:19" s="128" customFormat="1" x14ac:dyDescent="0.4">
      <c r="J374" s="128" t="s">
        <v>771</v>
      </c>
      <c r="K374" s="128" t="s">
        <v>772</v>
      </c>
      <c r="L374" s="129">
        <v>450000000</v>
      </c>
    </row>
    <row r="375" spans="3:19" s="128" customFormat="1" x14ac:dyDescent="0.4">
      <c r="K375" s="128" t="s">
        <v>773</v>
      </c>
      <c r="L375" s="129">
        <v>300000000</v>
      </c>
    </row>
    <row r="376" spans="3:19" s="128" customFormat="1" x14ac:dyDescent="0.4">
      <c r="K376" s="128" t="s">
        <v>709</v>
      </c>
      <c r="L376" s="129">
        <f>H359*1000+L362</f>
        <v>55760000</v>
      </c>
    </row>
    <row r="377" spans="3:19" s="128" customFormat="1" x14ac:dyDescent="0.4">
      <c r="K377" s="128" t="s">
        <v>770</v>
      </c>
      <c r="L377" s="129">
        <f>L370</f>
        <v>6870500</v>
      </c>
    </row>
    <row r="378" spans="3:19" s="128" customFormat="1" x14ac:dyDescent="0.4">
      <c r="L378" s="129"/>
    </row>
    <row r="379" spans="3:19" s="128" customFormat="1" x14ac:dyDescent="0.4">
      <c r="K379" s="128" t="s">
        <v>125</v>
      </c>
      <c r="L379" s="129">
        <f>L374-L375-L376-L377</f>
        <v>87369500</v>
      </c>
    </row>
    <row r="380" spans="3:19" s="128" customFormat="1" x14ac:dyDescent="0.4">
      <c r="L380" s="129"/>
    </row>
    <row r="381" spans="3:19" s="128" customFormat="1" x14ac:dyDescent="0.4">
      <c r="L381" s="129"/>
    </row>
    <row r="382" spans="3:19" s="128" customFormat="1" x14ac:dyDescent="0.4">
      <c r="L382" s="129"/>
    </row>
    <row r="383" spans="3:19" s="128" customFormat="1" x14ac:dyDescent="0.4"/>
    <row r="384" spans="3:19" s="128" customFormat="1" x14ac:dyDescent="0.4"/>
    <row r="385" spans="3:8" s="128" customFormat="1" x14ac:dyDescent="0.4"/>
    <row r="386" spans="3:8" s="128" customFormat="1" x14ac:dyDescent="0.4"/>
    <row r="387" spans="3:8" s="128" customFormat="1" x14ac:dyDescent="0.4"/>
    <row r="390" spans="3:8" x14ac:dyDescent="0.4">
      <c r="C390" s="50" t="s">
        <v>700</v>
      </c>
      <c r="D390" s="51"/>
      <c r="E390" s="51"/>
      <c r="F390" s="51"/>
      <c r="G390" s="51"/>
      <c r="H390" s="78"/>
    </row>
    <row r="391" spans="3:8" ht="18" customHeight="1" thickBot="1" x14ac:dyDescent="0.45">
      <c r="C391" s="53"/>
      <c r="D391" s="47"/>
      <c r="E391" s="47"/>
      <c r="F391" s="47"/>
      <c r="G391" s="47"/>
      <c r="H391" s="79" t="s">
        <v>774</v>
      </c>
    </row>
    <row r="392" spans="3:8" x14ac:dyDescent="0.4">
      <c r="C392" s="53"/>
      <c r="D392" t="s">
        <v>702</v>
      </c>
      <c r="E392" s="16">
        <v>500000</v>
      </c>
      <c r="G392" t="s">
        <v>775</v>
      </c>
      <c r="H392" s="80">
        <v>287000</v>
      </c>
    </row>
    <row r="393" spans="3:8" x14ac:dyDescent="0.4">
      <c r="C393" s="53"/>
      <c r="D393" t="s">
        <v>704</v>
      </c>
      <c r="E393" s="16">
        <v>200</v>
      </c>
      <c r="H393" s="80"/>
    </row>
    <row r="394" spans="3:8" x14ac:dyDescent="0.4">
      <c r="C394" s="53"/>
      <c r="D394" t="s">
        <v>776</v>
      </c>
      <c r="E394" s="16">
        <v>18000</v>
      </c>
      <c r="G394" t="s">
        <v>709</v>
      </c>
      <c r="H394" s="80">
        <v>18000</v>
      </c>
    </row>
    <row r="395" spans="3:8" x14ac:dyDescent="0.4">
      <c r="C395" s="53"/>
      <c r="D395" t="s">
        <v>706</v>
      </c>
      <c r="E395" s="16">
        <v>1529</v>
      </c>
      <c r="H395" s="81"/>
    </row>
    <row r="396" spans="3:8" x14ac:dyDescent="0.4">
      <c r="C396" s="53"/>
      <c r="D396" t="s">
        <v>708</v>
      </c>
      <c r="E396" s="16">
        <v>25235</v>
      </c>
      <c r="H396" s="81"/>
    </row>
    <row r="397" spans="3:8" x14ac:dyDescent="0.4">
      <c r="C397" s="53"/>
      <c r="D397" t="s">
        <v>758</v>
      </c>
      <c r="E397" s="16">
        <v>1769</v>
      </c>
      <c r="H397" s="81"/>
    </row>
    <row r="398" spans="3:8" x14ac:dyDescent="0.4">
      <c r="C398" s="53"/>
      <c r="D398" t="s">
        <v>725</v>
      </c>
      <c r="E398" s="16">
        <v>9351</v>
      </c>
      <c r="H398" s="80"/>
    </row>
    <row r="399" spans="3:8" x14ac:dyDescent="0.4">
      <c r="C399" s="53"/>
      <c r="D399" t="s">
        <v>710</v>
      </c>
      <c r="E399" s="16">
        <v>2537</v>
      </c>
      <c r="H399" s="80"/>
    </row>
    <row r="400" spans="3:8" x14ac:dyDescent="0.4">
      <c r="C400" s="53"/>
      <c r="E400" s="16"/>
      <c r="H400" s="80"/>
    </row>
    <row r="401" spans="3:8" x14ac:dyDescent="0.4">
      <c r="C401" s="53"/>
      <c r="D401" t="s">
        <v>712</v>
      </c>
      <c r="E401" s="16">
        <f>SUM(E392:E400)</f>
        <v>558621</v>
      </c>
      <c r="G401" t="s">
        <v>712</v>
      </c>
      <c r="H401" s="80">
        <f>SUM(H392:H400)</f>
        <v>305000</v>
      </c>
    </row>
    <row r="402" spans="3:8" x14ac:dyDescent="0.4">
      <c r="C402" s="53"/>
      <c r="E402" s="16"/>
      <c r="G402" t="s">
        <v>713</v>
      </c>
      <c r="H402" s="80">
        <f>E401-H401</f>
        <v>253621</v>
      </c>
    </row>
    <row r="403" spans="3:8" x14ac:dyDescent="0.4">
      <c r="C403" s="53"/>
      <c r="H403" s="80"/>
    </row>
    <row r="404" spans="3:8" x14ac:dyDescent="0.4">
      <c r="C404" s="53"/>
      <c r="D404" s="50" t="s">
        <v>555</v>
      </c>
      <c r="E404" s="75">
        <v>3000</v>
      </c>
      <c r="H404" s="80"/>
    </row>
    <row r="405" spans="3:8" x14ac:dyDescent="0.4">
      <c r="C405" s="53"/>
      <c r="D405" s="55" t="s">
        <v>557</v>
      </c>
      <c r="E405" s="124">
        <v>3000</v>
      </c>
      <c r="H405" s="80"/>
    </row>
    <row r="406" spans="3:8" x14ac:dyDescent="0.4">
      <c r="C406" s="53"/>
      <c r="E406" s="16"/>
      <c r="H406" s="80"/>
    </row>
    <row r="407" spans="3:8" x14ac:dyDescent="0.4">
      <c r="C407" s="55"/>
      <c r="D407" s="56"/>
      <c r="E407" s="57"/>
      <c r="F407" s="56"/>
      <c r="G407" s="56"/>
      <c r="H407" s="82"/>
    </row>
    <row r="411" spans="3:8" x14ac:dyDescent="0.4">
      <c r="C411" s="50" t="s">
        <v>700</v>
      </c>
      <c r="D411" s="51"/>
      <c r="E411" s="51"/>
      <c r="F411" s="51"/>
      <c r="G411" s="51"/>
      <c r="H411" s="78"/>
    </row>
    <row r="412" spans="3:8" ht="18" customHeight="1" thickBot="1" x14ac:dyDescent="0.45">
      <c r="C412" s="53"/>
      <c r="D412" s="47"/>
      <c r="E412" s="47"/>
      <c r="F412" s="47"/>
      <c r="G412" s="47"/>
      <c r="H412" s="79" t="s">
        <v>777</v>
      </c>
    </row>
    <row r="413" spans="3:8" x14ac:dyDescent="0.4">
      <c r="C413" s="53"/>
      <c r="D413" t="s">
        <v>702</v>
      </c>
      <c r="E413" s="16">
        <v>500000</v>
      </c>
      <c r="G413" t="s">
        <v>775</v>
      </c>
      <c r="H413" s="80">
        <v>280000</v>
      </c>
    </row>
    <row r="414" spans="3:8" x14ac:dyDescent="0.4">
      <c r="C414" s="53"/>
      <c r="D414" t="s">
        <v>704</v>
      </c>
      <c r="E414" s="16">
        <v>117</v>
      </c>
      <c r="H414" s="80"/>
    </row>
    <row r="415" spans="3:8" x14ac:dyDescent="0.4">
      <c r="C415" s="53"/>
      <c r="D415" t="s">
        <v>776</v>
      </c>
      <c r="E415" s="16">
        <v>27400</v>
      </c>
      <c r="G415" t="s">
        <v>709</v>
      </c>
      <c r="H415" s="80">
        <v>16000</v>
      </c>
    </row>
    <row r="416" spans="3:8" x14ac:dyDescent="0.4">
      <c r="C416" s="53"/>
      <c r="D416" t="s">
        <v>706</v>
      </c>
      <c r="E416" s="16">
        <v>1867</v>
      </c>
      <c r="H416" s="81"/>
    </row>
    <row r="417" spans="3:8" x14ac:dyDescent="0.4">
      <c r="C417" s="53"/>
      <c r="D417" t="s">
        <v>708</v>
      </c>
      <c r="E417" s="16">
        <v>24800</v>
      </c>
      <c r="H417" s="81"/>
    </row>
    <row r="418" spans="3:8" x14ac:dyDescent="0.4">
      <c r="C418" s="53"/>
      <c r="D418" t="s">
        <v>758</v>
      </c>
      <c r="E418" s="16">
        <v>1675</v>
      </c>
      <c r="H418" s="81"/>
    </row>
    <row r="419" spans="3:8" x14ac:dyDescent="0.4">
      <c r="C419" s="53"/>
      <c r="D419" t="s">
        <v>725</v>
      </c>
      <c r="E419" s="16">
        <v>9118</v>
      </c>
      <c r="H419" s="80"/>
    </row>
    <row r="420" spans="3:8" x14ac:dyDescent="0.4">
      <c r="C420" s="53"/>
      <c r="D420" t="s">
        <v>710</v>
      </c>
      <c r="E420" s="16">
        <v>2063</v>
      </c>
      <c r="H420" s="80"/>
    </row>
    <row r="421" spans="3:8" x14ac:dyDescent="0.4">
      <c r="C421" s="53"/>
      <c r="E421" s="16"/>
      <c r="H421" s="80"/>
    </row>
    <row r="422" spans="3:8" x14ac:dyDescent="0.4">
      <c r="C422" s="53"/>
      <c r="D422" t="s">
        <v>712</v>
      </c>
      <c r="E422" s="16">
        <f>SUM(E413:E421)</f>
        <v>567040</v>
      </c>
      <c r="G422" t="s">
        <v>712</v>
      </c>
      <c r="H422" s="80">
        <f>SUM(H413:H421)</f>
        <v>296000</v>
      </c>
    </row>
    <row r="423" spans="3:8" x14ac:dyDescent="0.4">
      <c r="C423" s="53"/>
      <c r="E423" s="16"/>
      <c r="G423" t="s">
        <v>713</v>
      </c>
      <c r="H423" s="80">
        <f>E422-H422</f>
        <v>271040</v>
      </c>
    </row>
    <row r="424" spans="3:8" x14ac:dyDescent="0.4">
      <c r="C424" s="53"/>
      <c r="H424" s="80"/>
    </row>
    <row r="425" spans="3:8" x14ac:dyDescent="0.4">
      <c r="C425" s="53"/>
      <c r="D425" s="50" t="s">
        <v>555</v>
      </c>
      <c r="E425" s="75">
        <v>3000</v>
      </c>
      <c r="H425" s="80"/>
    </row>
    <row r="426" spans="3:8" x14ac:dyDescent="0.4">
      <c r="C426" s="53"/>
      <c r="D426" s="55" t="s">
        <v>557</v>
      </c>
      <c r="E426" s="124">
        <v>3000</v>
      </c>
      <c r="H426" s="80"/>
    </row>
    <row r="427" spans="3:8" x14ac:dyDescent="0.4">
      <c r="C427" s="53"/>
      <c r="E427" s="16"/>
      <c r="H427" s="80"/>
    </row>
    <row r="428" spans="3:8" x14ac:dyDescent="0.4">
      <c r="C428" s="55"/>
      <c r="D428" s="56"/>
      <c r="E428" s="57"/>
      <c r="F428" s="56"/>
      <c r="G428" s="56"/>
      <c r="H428" s="82"/>
    </row>
    <row r="431" spans="3:8" x14ac:dyDescent="0.4">
      <c r="C431" s="50" t="s">
        <v>700</v>
      </c>
      <c r="D431" s="51"/>
      <c r="E431" s="51"/>
      <c r="F431" s="51"/>
      <c r="G431" s="51"/>
      <c r="H431" s="78"/>
    </row>
    <row r="432" spans="3:8" ht="18" customHeight="1" thickBot="1" x14ac:dyDescent="0.45">
      <c r="C432" s="53"/>
      <c r="D432" s="47"/>
      <c r="E432" s="47"/>
      <c r="F432" s="47"/>
      <c r="G432" s="47"/>
      <c r="H432" s="79" t="s">
        <v>778</v>
      </c>
    </row>
    <row r="433" spans="3:8" x14ac:dyDescent="0.4">
      <c r="C433" s="53"/>
      <c r="D433" t="s">
        <v>702</v>
      </c>
      <c r="E433" s="16">
        <v>500000</v>
      </c>
      <c r="G433" t="s">
        <v>775</v>
      </c>
      <c r="H433" s="80">
        <v>268000</v>
      </c>
    </row>
    <row r="434" spans="3:8" x14ac:dyDescent="0.4">
      <c r="C434" s="53"/>
      <c r="D434" t="s">
        <v>704</v>
      </c>
      <c r="E434" s="16">
        <v>200</v>
      </c>
      <c r="H434" s="80"/>
    </row>
    <row r="435" spans="3:8" x14ac:dyDescent="0.4">
      <c r="C435" s="53"/>
      <c r="D435" t="s">
        <v>776</v>
      </c>
      <c r="E435" s="16">
        <v>10000</v>
      </c>
      <c r="G435" t="s">
        <v>709</v>
      </c>
      <c r="H435" s="80">
        <v>27500</v>
      </c>
    </row>
    <row r="436" spans="3:8" x14ac:dyDescent="0.4">
      <c r="C436" s="53"/>
      <c r="D436" t="s">
        <v>706</v>
      </c>
      <c r="E436" s="16">
        <v>2200</v>
      </c>
      <c r="H436" s="81"/>
    </row>
    <row r="437" spans="3:8" x14ac:dyDescent="0.4">
      <c r="C437" s="53"/>
      <c r="D437" t="s">
        <v>708</v>
      </c>
      <c r="E437" s="16">
        <v>25000</v>
      </c>
      <c r="H437" s="81"/>
    </row>
    <row r="438" spans="3:8" x14ac:dyDescent="0.4">
      <c r="C438" s="53"/>
      <c r="D438" t="s">
        <v>758</v>
      </c>
      <c r="E438" s="16">
        <v>470</v>
      </c>
      <c r="H438" s="81"/>
    </row>
    <row r="439" spans="3:8" x14ac:dyDescent="0.4">
      <c r="C439" s="53"/>
      <c r="D439" t="s">
        <v>725</v>
      </c>
      <c r="E439" s="16">
        <v>10600</v>
      </c>
      <c r="H439" s="80"/>
    </row>
    <row r="440" spans="3:8" x14ac:dyDescent="0.4">
      <c r="C440" s="53"/>
      <c r="D440" t="s">
        <v>710</v>
      </c>
      <c r="E440" s="16">
        <v>2400</v>
      </c>
      <c r="H440" s="80"/>
    </row>
    <row r="441" spans="3:8" x14ac:dyDescent="0.4">
      <c r="C441" s="53"/>
      <c r="D441" t="s">
        <v>779</v>
      </c>
      <c r="E441" s="16">
        <v>25000</v>
      </c>
      <c r="H441" s="80"/>
    </row>
    <row r="442" spans="3:8" x14ac:dyDescent="0.4">
      <c r="C442" s="53"/>
      <c r="D442" t="s">
        <v>712</v>
      </c>
      <c r="E442" s="16">
        <f>SUM(E433:E441)</f>
        <v>575870</v>
      </c>
      <c r="G442" t="s">
        <v>712</v>
      </c>
      <c r="H442" s="80">
        <f>SUM(H433:H441)</f>
        <v>295500</v>
      </c>
    </row>
    <row r="443" spans="3:8" x14ac:dyDescent="0.4">
      <c r="C443" s="53"/>
      <c r="E443" s="16"/>
      <c r="G443" t="s">
        <v>713</v>
      </c>
      <c r="H443" s="80">
        <f>E442-H442</f>
        <v>280370</v>
      </c>
    </row>
    <row r="444" spans="3:8" x14ac:dyDescent="0.4">
      <c r="C444" s="53"/>
      <c r="H444" s="80"/>
    </row>
    <row r="445" spans="3:8" x14ac:dyDescent="0.4">
      <c r="C445" s="53"/>
      <c r="D445" s="50" t="s">
        <v>555</v>
      </c>
      <c r="E445" s="75">
        <v>3000</v>
      </c>
      <c r="H445" s="80"/>
    </row>
    <row r="446" spans="3:8" x14ac:dyDescent="0.4">
      <c r="C446" s="53"/>
      <c r="D446" s="55" t="s">
        <v>557</v>
      </c>
      <c r="E446" s="124">
        <v>3000</v>
      </c>
      <c r="H446" s="80"/>
    </row>
    <row r="447" spans="3:8" x14ac:dyDescent="0.4">
      <c r="C447" s="53"/>
      <c r="E447" s="16"/>
      <c r="H447" s="80"/>
    </row>
    <row r="448" spans="3:8" x14ac:dyDescent="0.4">
      <c r="C448" s="55"/>
      <c r="D448" s="56"/>
      <c r="E448" s="57"/>
      <c r="F448" s="56"/>
      <c r="G448" s="56"/>
      <c r="H448" s="82"/>
    </row>
    <row r="449" spans="3:8" s="128" customFormat="1" x14ac:dyDescent="0.4"/>
    <row r="450" spans="3:8" s="128" customFormat="1" x14ac:dyDescent="0.4"/>
    <row r="451" spans="3:8" s="128" customFormat="1" x14ac:dyDescent="0.4"/>
    <row r="452" spans="3:8" s="128" customFormat="1" x14ac:dyDescent="0.4"/>
    <row r="453" spans="3:8" s="128" customFormat="1" x14ac:dyDescent="0.4">
      <c r="C453" s="150" t="s">
        <v>700</v>
      </c>
      <c r="D453" s="155"/>
      <c r="E453" s="155"/>
      <c r="F453" s="155"/>
      <c r="G453" s="155"/>
      <c r="H453" s="154"/>
    </row>
    <row r="454" spans="3:8" s="128" customFormat="1" ht="18" customHeight="1" thickBot="1" x14ac:dyDescent="0.45">
      <c r="C454" s="147"/>
      <c r="D454" s="153"/>
      <c r="E454" s="153"/>
      <c r="F454" s="153"/>
      <c r="G454" s="153"/>
      <c r="H454" s="152" t="s">
        <v>780</v>
      </c>
    </row>
    <row r="455" spans="3:8" s="128" customFormat="1" x14ac:dyDescent="0.4">
      <c r="C455" s="147"/>
      <c r="D455" s="128" t="s">
        <v>702</v>
      </c>
      <c r="E455" s="131">
        <v>500000</v>
      </c>
      <c r="G455" s="128" t="s">
        <v>775</v>
      </c>
      <c r="H455" s="146">
        <v>268000</v>
      </c>
    </row>
    <row r="456" spans="3:8" s="128" customFormat="1" x14ac:dyDescent="0.4">
      <c r="C456" s="147"/>
      <c r="E456" s="131"/>
      <c r="H456" s="146"/>
    </row>
    <row r="457" spans="3:8" s="128" customFormat="1" x14ac:dyDescent="0.4">
      <c r="C457" s="147"/>
      <c r="D457" s="128" t="s">
        <v>763</v>
      </c>
      <c r="E457" s="131">
        <v>2310</v>
      </c>
      <c r="H457" s="146"/>
    </row>
    <row r="458" spans="3:8" s="128" customFormat="1" x14ac:dyDescent="0.4">
      <c r="C458" s="147"/>
      <c r="D458" s="128" t="s">
        <v>706</v>
      </c>
      <c r="E458" s="131">
        <v>2516</v>
      </c>
      <c r="G458" s="128" t="s">
        <v>709</v>
      </c>
      <c r="H458" s="146">
        <v>13000</v>
      </c>
    </row>
    <row r="459" spans="3:8" s="128" customFormat="1" x14ac:dyDescent="0.4">
      <c r="C459" s="147"/>
      <c r="D459" s="128" t="s">
        <v>708</v>
      </c>
      <c r="E459" s="131">
        <v>22966</v>
      </c>
      <c r="H459" s="151"/>
    </row>
    <row r="460" spans="3:8" s="128" customFormat="1" x14ac:dyDescent="0.4">
      <c r="C460" s="147"/>
      <c r="D460" s="128" t="s">
        <v>758</v>
      </c>
      <c r="E460" s="131">
        <v>507</v>
      </c>
      <c r="H460" s="151"/>
    </row>
    <row r="461" spans="3:8" s="128" customFormat="1" x14ac:dyDescent="0.4">
      <c r="C461" s="147"/>
      <c r="D461" s="128" t="s">
        <v>725</v>
      </c>
      <c r="E461" s="131">
        <v>11793</v>
      </c>
      <c r="H461" s="151"/>
    </row>
    <row r="462" spans="3:8" s="128" customFormat="1" x14ac:dyDescent="0.4">
      <c r="C462" s="147"/>
      <c r="D462" s="128" t="s">
        <v>710</v>
      </c>
      <c r="E462" s="131">
        <v>2363</v>
      </c>
      <c r="H462" s="146"/>
    </row>
    <row r="463" spans="3:8" s="128" customFormat="1" x14ac:dyDescent="0.4">
      <c r="C463" s="147"/>
      <c r="D463" s="128" t="s">
        <v>781</v>
      </c>
      <c r="E463" s="131">
        <v>495</v>
      </c>
      <c r="H463" s="146"/>
    </row>
    <row r="464" spans="3:8" s="128" customFormat="1" x14ac:dyDescent="0.4">
      <c r="C464" s="147"/>
      <c r="E464" s="131"/>
      <c r="H464" s="146"/>
    </row>
    <row r="465" spans="3:8" s="128" customFormat="1" x14ac:dyDescent="0.4">
      <c r="C465" s="147"/>
      <c r="D465" s="128" t="s">
        <v>712</v>
      </c>
      <c r="E465" s="131">
        <f>SUM(E455:E464)</f>
        <v>542950</v>
      </c>
      <c r="G465" s="128" t="s">
        <v>712</v>
      </c>
      <c r="H465" s="146">
        <f>SUM(H455:H464)</f>
        <v>281000</v>
      </c>
    </row>
    <row r="466" spans="3:8" s="128" customFormat="1" x14ac:dyDescent="0.4">
      <c r="C466" s="147"/>
      <c r="E466" s="131"/>
      <c r="G466" s="128" t="s">
        <v>713</v>
      </c>
      <c r="H466" s="146">
        <f>E465-H465-E463</f>
        <v>261455</v>
      </c>
    </row>
    <row r="467" spans="3:8" s="128" customFormat="1" x14ac:dyDescent="0.4">
      <c r="C467" s="147"/>
      <c r="H467" s="146"/>
    </row>
    <row r="468" spans="3:8" s="128" customFormat="1" x14ac:dyDescent="0.4">
      <c r="C468" s="147"/>
      <c r="D468" s="150" t="s">
        <v>555</v>
      </c>
      <c r="E468" s="149">
        <v>3000</v>
      </c>
      <c r="H468" s="146"/>
    </row>
    <row r="469" spans="3:8" s="128" customFormat="1" x14ac:dyDescent="0.4">
      <c r="C469" s="147"/>
      <c r="D469" s="145" t="s">
        <v>557</v>
      </c>
      <c r="E469" s="148">
        <v>3000</v>
      </c>
      <c r="H469" s="146"/>
    </row>
    <row r="470" spans="3:8" s="128" customFormat="1" x14ac:dyDescent="0.4">
      <c r="C470" s="147"/>
      <c r="E470" s="131"/>
      <c r="H470" s="146"/>
    </row>
    <row r="471" spans="3:8" s="128" customFormat="1" x14ac:dyDescent="0.4">
      <c r="C471" s="145"/>
      <c r="D471" s="143"/>
      <c r="E471" s="144"/>
      <c r="F471" s="143"/>
      <c r="G471" s="143"/>
      <c r="H471" s="142"/>
    </row>
    <row r="475" spans="3:8" x14ac:dyDescent="0.4">
      <c r="C475" s="50" t="s">
        <v>700</v>
      </c>
      <c r="D475" s="51"/>
      <c r="E475" s="51"/>
      <c r="F475" s="51"/>
      <c r="G475" s="51"/>
      <c r="H475" s="78"/>
    </row>
    <row r="476" spans="3:8" ht="18" customHeight="1" thickBot="1" x14ac:dyDescent="0.45">
      <c r="C476" s="53"/>
      <c r="D476" s="47"/>
      <c r="E476" s="47"/>
      <c r="F476" s="47"/>
      <c r="G476" s="47"/>
      <c r="H476" s="79" t="s">
        <v>782</v>
      </c>
    </row>
    <row r="477" spans="3:8" x14ac:dyDescent="0.4">
      <c r="C477" s="53"/>
      <c r="D477" t="s">
        <v>702</v>
      </c>
      <c r="E477" s="16">
        <v>600000</v>
      </c>
      <c r="G477" t="s">
        <v>783</v>
      </c>
      <c r="H477" s="80">
        <v>350000</v>
      </c>
    </row>
    <row r="478" spans="3:8" x14ac:dyDescent="0.4">
      <c r="C478" s="53"/>
      <c r="D478" t="s">
        <v>704</v>
      </c>
      <c r="E478" s="16">
        <v>53</v>
      </c>
      <c r="H478" s="80"/>
    </row>
    <row r="479" spans="3:8" x14ac:dyDescent="0.4">
      <c r="C479" s="53"/>
      <c r="D479" t="s">
        <v>776</v>
      </c>
      <c r="E479" s="16">
        <v>16595</v>
      </c>
      <c r="G479" t="s">
        <v>709</v>
      </c>
      <c r="H479" s="80">
        <v>10000</v>
      </c>
    </row>
    <row r="480" spans="3:8" x14ac:dyDescent="0.4">
      <c r="C480" s="53"/>
      <c r="D480" t="s">
        <v>784</v>
      </c>
      <c r="E480" s="16">
        <v>9</v>
      </c>
      <c r="H480" s="80"/>
    </row>
    <row r="481" spans="3:8" x14ac:dyDescent="0.4">
      <c r="C481" s="53"/>
      <c r="D481" t="s">
        <v>785</v>
      </c>
      <c r="E481" s="16">
        <v>1445</v>
      </c>
      <c r="H481" s="80"/>
    </row>
    <row r="482" spans="3:8" x14ac:dyDescent="0.4">
      <c r="C482" s="53"/>
      <c r="D482" t="s">
        <v>706</v>
      </c>
      <c r="E482" s="16">
        <v>2037</v>
      </c>
      <c r="H482" s="81"/>
    </row>
    <row r="483" spans="3:8" x14ac:dyDescent="0.4">
      <c r="C483" s="53"/>
      <c r="D483" t="s">
        <v>708</v>
      </c>
      <c r="E483" s="16">
        <v>23824</v>
      </c>
      <c r="H483" s="81"/>
    </row>
    <row r="484" spans="3:8" x14ac:dyDescent="0.4">
      <c r="C484" s="53"/>
      <c r="D484" t="s">
        <v>758</v>
      </c>
      <c r="E484" s="16">
        <v>144</v>
      </c>
      <c r="H484" s="81"/>
    </row>
    <row r="485" spans="3:8" x14ac:dyDescent="0.4">
      <c r="C485" s="53"/>
      <c r="D485" t="s">
        <v>725</v>
      </c>
      <c r="E485" s="16">
        <v>11200</v>
      </c>
      <c r="H485" s="80"/>
    </row>
    <row r="486" spans="3:8" x14ac:dyDescent="0.4">
      <c r="C486" s="53"/>
      <c r="D486" t="s">
        <v>710</v>
      </c>
      <c r="E486" s="16">
        <v>2235</v>
      </c>
      <c r="H486" s="80"/>
    </row>
    <row r="487" spans="3:8" x14ac:dyDescent="0.4">
      <c r="C487" s="53"/>
      <c r="D487" t="s">
        <v>786</v>
      </c>
      <c r="E487" s="16">
        <v>490</v>
      </c>
      <c r="H487" s="80"/>
    </row>
    <row r="488" spans="3:8" x14ac:dyDescent="0.4">
      <c r="C488" s="53"/>
      <c r="D488" t="s">
        <v>779</v>
      </c>
      <c r="E488" s="16">
        <v>20000</v>
      </c>
      <c r="H488" s="80"/>
    </row>
    <row r="489" spans="3:8" x14ac:dyDescent="0.4">
      <c r="C489" s="53"/>
      <c r="D489" t="s">
        <v>712</v>
      </c>
      <c r="E489" s="16">
        <f>SUM(E477:E488)</f>
        <v>678032</v>
      </c>
      <c r="G489" t="s">
        <v>712</v>
      </c>
      <c r="H489" s="80">
        <f>SUM(H477:H488)</f>
        <v>360000</v>
      </c>
    </row>
    <row r="490" spans="3:8" x14ac:dyDescent="0.4">
      <c r="C490" s="53"/>
      <c r="E490" s="16"/>
      <c r="G490" t="s">
        <v>787</v>
      </c>
      <c r="H490" s="80">
        <f>E489-H489</f>
        <v>318032</v>
      </c>
    </row>
    <row r="491" spans="3:8" x14ac:dyDescent="0.4">
      <c r="C491" s="53"/>
      <c r="H491" s="80"/>
    </row>
    <row r="492" spans="3:8" x14ac:dyDescent="0.4">
      <c r="C492" s="53"/>
      <c r="D492" s="50" t="s">
        <v>555</v>
      </c>
      <c r="E492" s="75">
        <v>3000</v>
      </c>
      <c r="H492" s="80"/>
    </row>
    <row r="493" spans="3:8" x14ac:dyDescent="0.4">
      <c r="C493" s="53"/>
      <c r="D493" s="55" t="s">
        <v>557</v>
      </c>
      <c r="E493" s="124">
        <v>3000</v>
      </c>
      <c r="H493" s="80"/>
    </row>
    <row r="494" spans="3:8" x14ac:dyDescent="0.4">
      <c r="C494" s="53"/>
      <c r="E494" s="16"/>
      <c r="H494" s="80"/>
    </row>
    <row r="495" spans="3:8" x14ac:dyDescent="0.4">
      <c r="C495" s="55"/>
      <c r="D495" s="56"/>
      <c r="E495" s="57"/>
      <c r="F495" s="56"/>
      <c r="G495" s="56"/>
      <c r="H495" s="82"/>
    </row>
    <row r="499" spans="3:17" x14ac:dyDescent="0.4">
      <c r="C499" s="50" t="s">
        <v>700</v>
      </c>
      <c r="D499" s="51"/>
      <c r="E499" s="51"/>
      <c r="F499" s="51"/>
      <c r="G499" s="51"/>
      <c r="H499" s="78"/>
    </row>
    <row r="500" spans="3:17" ht="18" customHeight="1" thickBot="1" x14ac:dyDescent="0.45">
      <c r="C500" s="53"/>
      <c r="D500" s="47"/>
      <c r="E500" s="47"/>
      <c r="F500" s="47"/>
      <c r="G500" s="47"/>
      <c r="H500" s="79" t="s">
        <v>788</v>
      </c>
    </row>
    <row r="501" spans="3:17" x14ac:dyDescent="0.4">
      <c r="C501" s="53"/>
      <c r="D501" t="s">
        <v>702</v>
      </c>
      <c r="E501" s="16">
        <v>600000</v>
      </c>
      <c r="G501" t="s">
        <v>783</v>
      </c>
      <c r="H501" s="80">
        <v>350000</v>
      </c>
    </row>
    <row r="502" spans="3:17" x14ac:dyDescent="0.4">
      <c r="C502" s="53"/>
      <c r="D502" t="s">
        <v>704</v>
      </c>
      <c r="E502" s="16">
        <v>17</v>
      </c>
      <c r="H502" s="80"/>
    </row>
    <row r="503" spans="3:17" x14ac:dyDescent="0.4">
      <c r="C503" s="53"/>
      <c r="D503" t="s">
        <v>776</v>
      </c>
      <c r="E503" s="16">
        <v>2749</v>
      </c>
      <c r="G503" t="s">
        <v>709</v>
      </c>
      <c r="H503" s="80">
        <v>5000</v>
      </c>
    </row>
    <row r="504" spans="3:17" x14ac:dyDescent="0.4">
      <c r="C504" s="53"/>
      <c r="D504" t="s">
        <v>784</v>
      </c>
      <c r="E504" s="16">
        <v>63</v>
      </c>
      <c r="H504" s="80"/>
    </row>
    <row r="505" spans="3:17" x14ac:dyDescent="0.4">
      <c r="C505" s="53"/>
      <c r="D505" t="s">
        <v>785</v>
      </c>
      <c r="E505" s="16">
        <v>1445</v>
      </c>
      <c r="H505" s="80"/>
    </row>
    <row r="506" spans="3:17" x14ac:dyDescent="0.4">
      <c r="C506" s="53"/>
      <c r="D506" t="s">
        <v>706</v>
      </c>
      <c r="E506" s="16">
        <v>2034</v>
      </c>
      <c r="H506" s="81"/>
    </row>
    <row r="507" spans="3:17" x14ac:dyDescent="0.4">
      <c r="C507" s="53"/>
      <c r="D507" t="s">
        <v>708</v>
      </c>
      <c r="E507" s="16">
        <v>23185</v>
      </c>
      <c r="H507" s="81"/>
    </row>
    <row r="508" spans="3:17" x14ac:dyDescent="0.4">
      <c r="C508" s="53"/>
      <c r="D508" t="s">
        <v>758</v>
      </c>
      <c r="E508" s="16">
        <v>144</v>
      </c>
      <c r="H508" s="81"/>
      <c r="M508" s="2"/>
      <c r="N508" s="2"/>
      <c r="O508" s="2"/>
      <c r="P508" s="2"/>
      <c r="Q508" s="2"/>
    </row>
    <row r="509" spans="3:17" x14ac:dyDescent="0.4">
      <c r="C509" s="53"/>
      <c r="D509" t="s">
        <v>725</v>
      </c>
      <c r="E509" s="16">
        <v>11050</v>
      </c>
      <c r="H509" s="80"/>
      <c r="M509" s="2"/>
      <c r="N509" s="2"/>
      <c r="O509" s="2"/>
      <c r="P509" s="2"/>
      <c r="Q509" s="2"/>
    </row>
    <row r="510" spans="3:17" x14ac:dyDescent="0.4">
      <c r="C510" s="53"/>
      <c r="D510" t="s">
        <v>710</v>
      </c>
      <c r="E510" s="16">
        <v>2174</v>
      </c>
      <c r="H510" s="80"/>
      <c r="M510" s="2"/>
      <c r="N510" s="2"/>
      <c r="O510" s="2"/>
      <c r="P510" s="2"/>
      <c r="Q510" s="2"/>
    </row>
    <row r="511" spans="3:17" x14ac:dyDescent="0.4">
      <c r="C511" s="53"/>
      <c r="D511" t="s">
        <v>789</v>
      </c>
      <c r="E511" s="16">
        <v>8723</v>
      </c>
      <c r="H511" s="80"/>
      <c r="M511" s="2"/>
      <c r="N511" s="2"/>
      <c r="O511" s="2"/>
      <c r="P511" s="2"/>
      <c r="Q511" s="2"/>
    </row>
    <row r="512" spans="3:17" x14ac:dyDescent="0.4">
      <c r="C512" s="53"/>
      <c r="D512" t="s">
        <v>779</v>
      </c>
      <c r="E512" s="16">
        <v>20000</v>
      </c>
      <c r="H512" s="80"/>
      <c r="M512" s="2"/>
      <c r="N512" s="2"/>
      <c r="O512" s="2"/>
      <c r="P512" s="2"/>
      <c r="Q512" s="2"/>
    </row>
    <row r="513" spans="3:17" x14ac:dyDescent="0.4">
      <c r="C513" s="53"/>
      <c r="D513" t="s">
        <v>712</v>
      </c>
      <c r="E513" s="16">
        <f>SUM(E501:E512)</f>
        <v>671584</v>
      </c>
      <c r="G513" t="s">
        <v>712</v>
      </c>
      <c r="H513" s="80">
        <f>SUM(H501:H512)</f>
        <v>355000</v>
      </c>
      <c r="M513" s="2"/>
      <c r="N513" s="2"/>
      <c r="O513" s="2"/>
      <c r="P513" s="2"/>
      <c r="Q513" s="2"/>
    </row>
    <row r="514" spans="3:17" x14ac:dyDescent="0.4">
      <c r="C514" s="53"/>
      <c r="E514" s="16"/>
      <c r="G514" t="s">
        <v>787</v>
      </c>
      <c r="H514" s="80">
        <f>E513-H513</f>
        <v>316584</v>
      </c>
      <c r="M514" s="2"/>
      <c r="N514" s="2"/>
      <c r="O514" s="2"/>
      <c r="P514" s="2"/>
      <c r="Q514" s="2"/>
    </row>
    <row r="515" spans="3:17" x14ac:dyDescent="0.4">
      <c r="C515" s="53"/>
      <c r="H515" s="80"/>
      <c r="M515" s="2"/>
      <c r="N515" s="2"/>
      <c r="O515" s="2"/>
      <c r="P515" s="2"/>
      <c r="Q515" s="2"/>
    </row>
    <row r="516" spans="3:17" x14ac:dyDescent="0.4">
      <c r="C516" s="53"/>
      <c r="D516" s="50" t="s">
        <v>555</v>
      </c>
      <c r="E516" s="75">
        <v>3000</v>
      </c>
      <c r="H516" s="80"/>
      <c r="N516" s="2"/>
      <c r="O516" s="2"/>
      <c r="P516" s="2"/>
      <c r="Q516" s="2"/>
    </row>
    <row r="517" spans="3:17" x14ac:dyDescent="0.4">
      <c r="C517" s="53"/>
      <c r="D517" s="55" t="s">
        <v>557</v>
      </c>
      <c r="E517" s="124">
        <v>3000</v>
      </c>
      <c r="H517" s="80"/>
      <c r="M517" s="2"/>
      <c r="N517" s="2"/>
      <c r="O517" s="2"/>
      <c r="P517" s="2"/>
      <c r="Q517" s="2"/>
    </row>
    <row r="518" spans="3:17" x14ac:dyDescent="0.4">
      <c r="C518" s="53"/>
      <c r="E518" s="16"/>
      <c r="H518" s="80"/>
      <c r="M518" s="2"/>
      <c r="N518" s="2"/>
      <c r="O518" s="2"/>
      <c r="P518" s="2"/>
      <c r="Q518" s="2"/>
    </row>
    <row r="519" spans="3:17" x14ac:dyDescent="0.4">
      <c r="C519" s="55"/>
      <c r="D519" s="56"/>
      <c r="E519" s="57"/>
      <c r="F519" s="56"/>
      <c r="G519" s="56"/>
      <c r="H519" s="82"/>
      <c r="M519" s="2"/>
      <c r="P519" s="2"/>
      <c r="Q519" s="2"/>
    </row>
    <row r="520" spans="3:17" x14ac:dyDescent="0.4">
      <c r="M520" s="2"/>
      <c r="N520" s="2"/>
      <c r="O520" s="2"/>
      <c r="P520" s="2"/>
      <c r="Q520" s="2"/>
    </row>
    <row r="521" spans="3:17" x14ac:dyDescent="0.4">
      <c r="M521" s="2"/>
      <c r="N521" s="2"/>
      <c r="O521" s="2"/>
      <c r="P521" s="2"/>
      <c r="Q521" s="2"/>
    </row>
    <row r="522" spans="3:17" x14ac:dyDescent="0.4">
      <c r="C522" s="50" t="s">
        <v>700</v>
      </c>
      <c r="D522" s="51"/>
      <c r="E522" s="51"/>
      <c r="F522" s="51"/>
      <c r="G522" s="51"/>
      <c r="H522" s="78"/>
      <c r="N522" s="2"/>
      <c r="O522" s="2"/>
    </row>
    <row r="523" spans="3:17" ht="18" customHeight="1" thickBot="1" x14ac:dyDescent="0.45">
      <c r="C523" s="53"/>
      <c r="D523" s="47"/>
      <c r="E523" s="47"/>
      <c r="F523" s="47"/>
      <c r="G523" s="47"/>
      <c r="H523" s="79" t="s">
        <v>790</v>
      </c>
      <c r="N523" s="2"/>
      <c r="O523" s="2"/>
      <c r="P523" s="2"/>
      <c r="Q523" s="2"/>
    </row>
    <row r="524" spans="3:17" x14ac:dyDescent="0.4">
      <c r="C524" s="53"/>
      <c r="D524" t="s">
        <v>702</v>
      </c>
      <c r="E524" s="16">
        <v>600000</v>
      </c>
      <c r="G524" t="s">
        <v>783</v>
      </c>
      <c r="H524" s="80">
        <v>350000</v>
      </c>
      <c r="N524" s="2"/>
      <c r="O524" s="2"/>
      <c r="P524" s="2"/>
      <c r="Q524" s="2"/>
    </row>
    <row r="525" spans="3:17" x14ac:dyDescent="0.4">
      <c r="C525" s="53"/>
      <c r="D525" t="s">
        <v>704</v>
      </c>
      <c r="E525" s="16">
        <v>267</v>
      </c>
      <c r="H525" s="80"/>
      <c r="N525" s="167"/>
      <c r="O525" s="167"/>
      <c r="P525" s="2"/>
      <c r="Q525" s="2"/>
    </row>
    <row r="526" spans="3:17" x14ac:dyDescent="0.4">
      <c r="C526" s="53"/>
      <c r="D526" t="s">
        <v>776</v>
      </c>
      <c r="E526" s="16">
        <v>18837</v>
      </c>
      <c r="H526" s="80"/>
      <c r="N526" s="2"/>
      <c r="O526" s="2"/>
      <c r="P526" s="2"/>
      <c r="Q526" s="2"/>
    </row>
    <row r="527" spans="3:17" x14ac:dyDescent="0.4">
      <c r="C527" s="53"/>
      <c r="D527" t="s">
        <v>784</v>
      </c>
      <c r="E527" s="16">
        <v>80</v>
      </c>
      <c r="H527" s="80"/>
      <c r="N527" s="2"/>
      <c r="O527" s="2"/>
      <c r="P527" s="2"/>
      <c r="Q527" s="2"/>
    </row>
    <row r="528" spans="3:17" x14ac:dyDescent="0.4">
      <c r="C528" s="53"/>
      <c r="D528" t="s">
        <v>785</v>
      </c>
      <c r="E528" s="16">
        <v>145</v>
      </c>
      <c r="H528" s="80"/>
      <c r="N528" s="2"/>
      <c r="O528" s="2"/>
      <c r="P528" s="2"/>
      <c r="Q528" s="2"/>
    </row>
    <row r="529" spans="3:17" x14ac:dyDescent="0.4">
      <c r="C529" s="53"/>
      <c r="D529" t="s">
        <v>706</v>
      </c>
      <c r="E529" s="16">
        <v>87</v>
      </c>
      <c r="H529" s="81"/>
      <c r="N529" s="2"/>
      <c r="O529" s="2"/>
      <c r="P529" s="2"/>
      <c r="Q529" s="2"/>
    </row>
    <row r="530" spans="3:17" x14ac:dyDescent="0.4">
      <c r="C530" s="53"/>
      <c r="D530" t="s">
        <v>708</v>
      </c>
      <c r="E530" s="16">
        <v>23780</v>
      </c>
      <c r="H530" s="81"/>
      <c r="N530" s="2"/>
      <c r="O530" s="2"/>
      <c r="P530" s="2"/>
      <c r="Q530" s="2"/>
    </row>
    <row r="531" spans="3:17" x14ac:dyDescent="0.4">
      <c r="C531" s="53"/>
      <c r="D531" t="s">
        <v>758</v>
      </c>
      <c r="E531" s="16">
        <v>216</v>
      </c>
      <c r="H531" s="81"/>
      <c r="N531" s="167"/>
      <c r="O531" s="167"/>
      <c r="P531" s="2"/>
      <c r="Q531" s="2"/>
    </row>
    <row r="532" spans="3:17" x14ac:dyDescent="0.4">
      <c r="C532" s="53"/>
      <c r="D532" t="s">
        <v>725</v>
      </c>
      <c r="E532" s="16">
        <v>11541</v>
      </c>
      <c r="H532" s="80"/>
      <c r="N532" s="2"/>
      <c r="O532" s="2"/>
      <c r="P532" s="2"/>
      <c r="Q532" s="2"/>
    </row>
    <row r="533" spans="3:17" x14ac:dyDescent="0.4">
      <c r="C533" s="53"/>
      <c r="D533" t="s">
        <v>710</v>
      </c>
      <c r="E533" s="16">
        <v>2537</v>
      </c>
      <c r="H533" s="80"/>
      <c r="N533" s="2"/>
      <c r="O533" s="2"/>
      <c r="P533" s="2"/>
      <c r="Q533" s="2"/>
    </row>
    <row r="534" spans="3:17" x14ac:dyDescent="0.4">
      <c r="C534" s="53"/>
      <c r="D534" t="s">
        <v>789</v>
      </c>
      <c r="E534" s="16">
        <v>8894</v>
      </c>
      <c r="H534" s="80"/>
      <c r="N534" s="2"/>
      <c r="O534" s="2"/>
      <c r="P534" s="2"/>
      <c r="Q534" s="2"/>
    </row>
    <row r="535" spans="3:17" x14ac:dyDescent="0.4">
      <c r="C535" s="53"/>
      <c r="D535" t="s">
        <v>779</v>
      </c>
      <c r="E535" s="16">
        <v>20000</v>
      </c>
      <c r="H535" s="80"/>
      <c r="N535" s="2"/>
      <c r="O535" s="2"/>
      <c r="P535" s="2"/>
      <c r="Q535" s="2"/>
    </row>
    <row r="536" spans="3:17" x14ac:dyDescent="0.4">
      <c r="C536" s="53"/>
      <c r="D536" t="s">
        <v>712</v>
      </c>
      <c r="E536" s="16">
        <f>SUM(E524:E535)</f>
        <v>686384</v>
      </c>
      <c r="G536" t="s">
        <v>712</v>
      </c>
      <c r="H536" s="80">
        <f>SUM(H524:H535)</f>
        <v>350000</v>
      </c>
      <c r="N536" s="2"/>
      <c r="O536" s="2"/>
      <c r="P536" s="2"/>
      <c r="Q536" s="2"/>
    </row>
    <row r="537" spans="3:17" x14ac:dyDescent="0.4">
      <c r="C537" s="53"/>
      <c r="E537" s="16"/>
      <c r="G537" t="s">
        <v>787</v>
      </c>
      <c r="H537" s="80">
        <f>E536-H536</f>
        <v>336384</v>
      </c>
      <c r="N537" s="167"/>
      <c r="O537" s="167"/>
      <c r="P537" s="2"/>
      <c r="Q537" s="2"/>
    </row>
    <row r="538" spans="3:17" x14ac:dyDescent="0.4">
      <c r="C538" s="53"/>
      <c r="H538" s="80"/>
      <c r="N538" s="2"/>
      <c r="O538" s="2"/>
      <c r="P538" s="2"/>
      <c r="Q538" s="2"/>
    </row>
    <row r="539" spans="3:17" x14ac:dyDescent="0.4">
      <c r="C539" s="53"/>
      <c r="D539" s="50" t="s">
        <v>555</v>
      </c>
      <c r="E539" s="75">
        <v>3000</v>
      </c>
      <c r="H539" s="80"/>
      <c r="N539" s="2"/>
      <c r="O539" s="2"/>
      <c r="P539" s="2"/>
      <c r="Q539" s="2"/>
    </row>
    <row r="540" spans="3:17" x14ac:dyDescent="0.4">
      <c r="C540" s="53"/>
      <c r="D540" s="55" t="s">
        <v>557</v>
      </c>
      <c r="E540" s="124">
        <v>3000</v>
      </c>
      <c r="H540" s="80"/>
      <c r="N540" s="167"/>
      <c r="O540" s="167"/>
      <c r="P540" s="2"/>
      <c r="Q540" s="2"/>
    </row>
    <row r="541" spans="3:17" x14ac:dyDescent="0.4">
      <c r="C541" s="53"/>
      <c r="E541" s="16"/>
      <c r="H541" s="80"/>
      <c r="N541" s="2"/>
      <c r="O541" s="2"/>
      <c r="P541" s="2"/>
      <c r="Q541" s="2"/>
    </row>
    <row r="542" spans="3:17" x14ac:dyDescent="0.4">
      <c r="C542" s="55"/>
      <c r="D542" s="56"/>
      <c r="E542" s="57"/>
      <c r="F542" s="56"/>
      <c r="G542" s="56"/>
      <c r="H542" s="82"/>
      <c r="N542" s="2"/>
      <c r="O542" s="2"/>
      <c r="P542" s="2"/>
      <c r="Q542" s="2"/>
    </row>
    <row r="547" spans="3:8" x14ac:dyDescent="0.4">
      <c r="C547" s="50" t="s">
        <v>700</v>
      </c>
      <c r="D547" s="51"/>
      <c r="E547" s="51"/>
      <c r="F547" s="51"/>
      <c r="G547" s="51"/>
      <c r="H547" s="78"/>
    </row>
    <row r="548" spans="3:8" ht="18" customHeight="1" thickBot="1" x14ac:dyDescent="0.45">
      <c r="C548" s="53"/>
      <c r="D548" s="47"/>
      <c r="E548" s="47"/>
      <c r="F548" s="47"/>
      <c r="G548" s="47"/>
      <c r="H548" s="79" t="s">
        <v>791</v>
      </c>
    </row>
    <row r="549" spans="3:8" x14ac:dyDescent="0.4">
      <c r="C549" s="53"/>
      <c r="D549" t="s">
        <v>702</v>
      </c>
      <c r="E549" s="16">
        <v>600000</v>
      </c>
      <c r="G549" t="s">
        <v>783</v>
      </c>
      <c r="H549" s="80">
        <v>350000</v>
      </c>
    </row>
    <row r="550" spans="3:8" x14ac:dyDescent="0.4">
      <c r="C550" s="53"/>
      <c r="D550" t="s">
        <v>704</v>
      </c>
      <c r="E550" s="16">
        <v>4</v>
      </c>
      <c r="H550" s="80"/>
    </row>
    <row r="551" spans="3:8" x14ac:dyDescent="0.4">
      <c r="C551" s="53"/>
      <c r="D551" t="s">
        <v>776</v>
      </c>
      <c r="E551" s="16">
        <v>10332</v>
      </c>
      <c r="H551" s="80"/>
    </row>
    <row r="552" spans="3:8" x14ac:dyDescent="0.4">
      <c r="C552" s="53"/>
      <c r="D552" t="s">
        <v>784</v>
      </c>
      <c r="E552" s="16">
        <v>80</v>
      </c>
      <c r="H552" s="80"/>
    </row>
    <row r="553" spans="3:8" x14ac:dyDescent="0.4">
      <c r="C553" s="53"/>
      <c r="D553" t="s">
        <v>785</v>
      </c>
      <c r="E553" s="16">
        <v>183</v>
      </c>
      <c r="H553" s="80"/>
    </row>
    <row r="554" spans="3:8" x14ac:dyDescent="0.4">
      <c r="C554" s="53"/>
      <c r="D554" t="s">
        <v>706</v>
      </c>
      <c r="E554" s="16">
        <v>236</v>
      </c>
      <c r="H554" s="81"/>
    </row>
    <row r="555" spans="3:8" x14ac:dyDescent="0.4">
      <c r="C555" s="53"/>
      <c r="D555" t="s">
        <v>708</v>
      </c>
      <c r="E555" s="16">
        <v>42073</v>
      </c>
      <c r="H555" s="81"/>
    </row>
    <row r="556" spans="3:8" x14ac:dyDescent="0.4">
      <c r="C556" s="53"/>
      <c r="D556" t="s">
        <v>758</v>
      </c>
      <c r="E556" s="16">
        <v>244</v>
      </c>
      <c r="H556" s="81"/>
    </row>
    <row r="557" spans="3:8" x14ac:dyDescent="0.4">
      <c r="C557" s="53"/>
      <c r="D557" t="s">
        <v>725</v>
      </c>
      <c r="E557" s="16">
        <v>12077</v>
      </c>
      <c r="H557" s="80"/>
    </row>
    <row r="558" spans="3:8" x14ac:dyDescent="0.4">
      <c r="C558" s="53"/>
      <c r="D558" t="s">
        <v>710</v>
      </c>
      <c r="E558" s="16">
        <v>2782</v>
      </c>
      <c r="H558" s="80"/>
    </row>
    <row r="559" spans="3:8" x14ac:dyDescent="0.4">
      <c r="C559" s="53"/>
      <c r="D559" t="s">
        <v>789</v>
      </c>
      <c r="E559" s="16">
        <v>11000</v>
      </c>
      <c r="H559" s="80"/>
    </row>
    <row r="560" spans="3:8" x14ac:dyDescent="0.4">
      <c r="C560" s="53"/>
      <c r="D560" t="s">
        <v>779</v>
      </c>
      <c r="E560" s="16">
        <v>20000</v>
      </c>
      <c r="H560" s="80"/>
    </row>
    <row r="561" spans="3:8" x14ac:dyDescent="0.4">
      <c r="C561" s="53"/>
      <c r="D561" t="s">
        <v>712</v>
      </c>
      <c r="E561" s="16">
        <f>SUM(E549:E560)</f>
        <v>699011</v>
      </c>
      <c r="G561" t="s">
        <v>712</v>
      </c>
      <c r="H561" s="80">
        <f>SUM(H549:H560)</f>
        <v>350000</v>
      </c>
    </row>
    <row r="562" spans="3:8" x14ac:dyDescent="0.4">
      <c r="C562" s="53"/>
      <c r="E562" s="16"/>
      <c r="G562" t="s">
        <v>787</v>
      </c>
      <c r="H562" s="80">
        <f>E561-H561</f>
        <v>349011</v>
      </c>
    </row>
    <row r="563" spans="3:8" x14ac:dyDescent="0.4">
      <c r="C563" s="53"/>
      <c r="H563" s="80"/>
    </row>
    <row r="564" spans="3:8" x14ac:dyDescent="0.4">
      <c r="C564" s="53"/>
      <c r="D564" s="50" t="s">
        <v>555</v>
      </c>
      <c r="E564" s="75">
        <v>3000</v>
      </c>
      <c r="H564" s="80"/>
    </row>
    <row r="565" spans="3:8" x14ac:dyDescent="0.4">
      <c r="C565" s="53"/>
      <c r="D565" s="55" t="s">
        <v>557</v>
      </c>
      <c r="E565" s="124">
        <v>3000</v>
      </c>
      <c r="H565" s="80"/>
    </row>
    <row r="566" spans="3:8" x14ac:dyDescent="0.4">
      <c r="C566" s="53"/>
      <c r="E566" s="16"/>
      <c r="H566" s="80"/>
    </row>
    <row r="567" spans="3:8" x14ac:dyDescent="0.4">
      <c r="C567" s="55"/>
      <c r="D567" s="56"/>
      <c r="E567" s="57"/>
      <c r="F567" s="56"/>
      <c r="G567" s="56"/>
      <c r="H567" s="82"/>
    </row>
    <row r="570" spans="3:8" x14ac:dyDescent="0.4">
      <c r="C570" s="50" t="s">
        <v>700</v>
      </c>
      <c r="D570" s="51"/>
      <c r="E570" s="51"/>
      <c r="F570" s="51"/>
      <c r="G570" s="51"/>
      <c r="H570" s="78"/>
    </row>
    <row r="571" spans="3:8" ht="18" customHeight="1" thickBot="1" x14ac:dyDescent="0.45">
      <c r="C571" s="53"/>
      <c r="D571" s="47"/>
      <c r="E571" s="47"/>
      <c r="F571" s="47"/>
      <c r="G571" s="47"/>
      <c r="H571" s="79" t="s">
        <v>792</v>
      </c>
    </row>
    <row r="572" spans="3:8" x14ac:dyDescent="0.4">
      <c r="C572" s="53"/>
      <c r="D572" t="s">
        <v>702</v>
      </c>
      <c r="E572" s="16">
        <v>600000</v>
      </c>
      <c r="G572" t="s">
        <v>783</v>
      </c>
      <c r="H572" s="80">
        <v>350000</v>
      </c>
    </row>
    <row r="573" spans="3:8" x14ac:dyDescent="0.4">
      <c r="C573" s="53"/>
      <c r="D573" t="s">
        <v>704</v>
      </c>
      <c r="E573" s="16">
        <v>0</v>
      </c>
      <c r="H573" s="80"/>
    </row>
    <row r="574" spans="3:8" x14ac:dyDescent="0.4">
      <c r="C574" s="53"/>
      <c r="D574" t="s">
        <v>776</v>
      </c>
      <c r="E574" s="16">
        <v>7993</v>
      </c>
      <c r="H574" s="80"/>
    </row>
    <row r="575" spans="3:8" x14ac:dyDescent="0.4">
      <c r="C575" s="53"/>
      <c r="D575" t="s">
        <v>784</v>
      </c>
      <c r="E575" s="16">
        <v>70</v>
      </c>
      <c r="H575" s="80"/>
    </row>
    <row r="576" spans="3:8" x14ac:dyDescent="0.4">
      <c r="C576" s="53"/>
      <c r="D576" t="s">
        <v>785</v>
      </c>
      <c r="E576" s="16">
        <v>76</v>
      </c>
      <c r="H576" s="80"/>
    </row>
    <row r="577" spans="3:8" x14ac:dyDescent="0.4">
      <c r="C577" s="53"/>
      <c r="D577" t="s">
        <v>706</v>
      </c>
      <c r="E577" s="16">
        <v>237</v>
      </c>
      <c r="H577" s="81"/>
    </row>
    <row r="578" spans="3:8" x14ac:dyDescent="0.4">
      <c r="C578" s="53"/>
      <c r="D578" t="s">
        <v>708</v>
      </c>
      <c r="E578" s="16">
        <v>58600</v>
      </c>
      <c r="H578" s="81"/>
    </row>
    <row r="579" spans="3:8" x14ac:dyDescent="0.4">
      <c r="C579" s="53"/>
      <c r="D579" t="s">
        <v>758</v>
      </c>
      <c r="E579" s="16">
        <v>130</v>
      </c>
      <c r="H579" s="81"/>
    </row>
    <row r="580" spans="3:8" x14ac:dyDescent="0.4">
      <c r="C580" s="53"/>
      <c r="D580" t="s">
        <v>725</v>
      </c>
      <c r="E580" s="16">
        <v>11200</v>
      </c>
      <c r="H580" s="80"/>
    </row>
    <row r="581" spans="3:8" x14ac:dyDescent="0.4">
      <c r="C581" s="53"/>
      <c r="D581" t="s">
        <v>710</v>
      </c>
      <c r="E581" s="16">
        <v>2388</v>
      </c>
      <c r="H581" s="80"/>
    </row>
    <row r="582" spans="3:8" x14ac:dyDescent="0.4">
      <c r="C582" s="53"/>
      <c r="D582" t="s">
        <v>789</v>
      </c>
      <c r="E582" s="16">
        <v>10936</v>
      </c>
      <c r="H582" s="80"/>
    </row>
    <row r="583" spans="3:8" x14ac:dyDescent="0.4">
      <c r="C583" s="53"/>
      <c r="D583" t="s">
        <v>779</v>
      </c>
      <c r="E583" s="16">
        <v>20000</v>
      </c>
      <c r="H583" s="80"/>
    </row>
    <row r="584" spans="3:8" x14ac:dyDescent="0.4">
      <c r="C584" s="53"/>
      <c r="D584" t="s">
        <v>712</v>
      </c>
      <c r="E584" s="16">
        <f>SUM(E572:E583)</f>
        <v>711630</v>
      </c>
      <c r="G584" t="s">
        <v>712</v>
      </c>
      <c r="H584" s="80">
        <f>SUM(H572:H583)</f>
        <v>350000</v>
      </c>
    </row>
    <row r="585" spans="3:8" x14ac:dyDescent="0.4">
      <c r="C585" s="53"/>
      <c r="E585" s="16"/>
      <c r="G585" t="s">
        <v>787</v>
      </c>
      <c r="H585" s="80">
        <f>E584-H584</f>
        <v>361630</v>
      </c>
    </row>
    <row r="586" spans="3:8" x14ac:dyDescent="0.4">
      <c r="C586" s="53"/>
      <c r="H586" s="80"/>
    </row>
    <row r="587" spans="3:8" x14ac:dyDescent="0.4">
      <c r="C587" s="53"/>
      <c r="D587" s="50" t="s">
        <v>555</v>
      </c>
      <c r="E587" s="75">
        <v>3000</v>
      </c>
      <c r="H587" s="80"/>
    </row>
    <row r="588" spans="3:8" x14ac:dyDescent="0.4">
      <c r="C588" s="53"/>
      <c r="D588" s="55" t="s">
        <v>557</v>
      </c>
      <c r="E588" s="124">
        <v>3000</v>
      </c>
      <c r="H588" s="80"/>
    </row>
    <row r="589" spans="3:8" x14ac:dyDescent="0.4">
      <c r="C589" s="53"/>
      <c r="E589" s="16"/>
      <c r="H589" s="80"/>
    </row>
    <row r="590" spans="3:8" x14ac:dyDescent="0.4">
      <c r="C590" s="55"/>
      <c r="D590" s="56"/>
      <c r="E590" s="57"/>
      <c r="F590" s="56"/>
      <c r="G590" s="56"/>
      <c r="H590" s="82"/>
    </row>
    <row r="594" spans="9:15" x14ac:dyDescent="0.4">
      <c r="I594" s="50" t="s">
        <v>700</v>
      </c>
      <c r="J594" s="51"/>
      <c r="K594" s="51"/>
      <c r="L594" s="51"/>
      <c r="M594" s="51"/>
      <c r="N594" s="51"/>
      <c r="O594" s="52"/>
    </row>
    <row r="595" spans="9:15" ht="18" customHeight="1" thickBot="1" x14ac:dyDescent="0.45">
      <c r="I595" s="53"/>
      <c r="J595" s="47"/>
      <c r="K595" s="47"/>
      <c r="L595" s="47"/>
      <c r="M595" s="47"/>
      <c r="N595" s="47"/>
      <c r="O595" s="242" t="s">
        <v>793</v>
      </c>
    </row>
    <row r="596" spans="9:15" x14ac:dyDescent="0.4">
      <c r="I596" s="53"/>
      <c r="J596" t="s">
        <v>702</v>
      </c>
      <c r="K596" s="243" t="s">
        <v>794</v>
      </c>
      <c r="L596" s="16">
        <v>600000</v>
      </c>
      <c r="N596" t="s">
        <v>783</v>
      </c>
      <c r="O596" s="58">
        <v>350000</v>
      </c>
    </row>
    <row r="597" spans="9:15" x14ac:dyDescent="0.4">
      <c r="I597" s="53"/>
      <c r="K597" s="243"/>
      <c r="L597" s="16"/>
      <c r="O597" s="58"/>
    </row>
    <row r="598" spans="9:15" x14ac:dyDescent="0.4">
      <c r="I598" s="53"/>
      <c r="J598" t="s">
        <v>704</v>
      </c>
      <c r="K598" s="243" t="s">
        <v>795</v>
      </c>
      <c r="L598" s="16">
        <v>2090</v>
      </c>
      <c r="N598" t="s">
        <v>796</v>
      </c>
      <c r="O598" s="58">
        <v>17000</v>
      </c>
    </row>
    <row r="599" spans="9:15" x14ac:dyDescent="0.4">
      <c r="I599" s="53"/>
      <c r="J599" t="s">
        <v>776</v>
      </c>
      <c r="K599" s="243" t="s">
        <v>797</v>
      </c>
      <c r="L599" s="16">
        <v>1272</v>
      </c>
      <c r="N599" t="s">
        <v>798</v>
      </c>
      <c r="O599" s="58">
        <v>24600</v>
      </c>
    </row>
    <row r="600" spans="9:15" x14ac:dyDescent="0.4">
      <c r="I600" s="53"/>
      <c r="J600" t="s">
        <v>799</v>
      </c>
      <c r="K600" s="243"/>
      <c r="L600" s="16">
        <v>5328</v>
      </c>
      <c r="O600" s="58"/>
    </row>
    <row r="601" spans="9:15" x14ac:dyDescent="0.4">
      <c r="I601" s="53"/>
      <c r="J601" t="s">
        <v>800</v>
      </c>
      <c r="K601" s="243" t="s">
        <v>801</v>
      </c>
      <c r="L601" s="16">
        <v>16</v>
      </c>
      <c r="O601" s="58"/>
    </row>
    <row r="602" spans="9:15" x14ac:dyDescent="0.4">
      <c r="I602" s="53"/>
      <c r="J602" t="s">
        <v>802</v>
      </c>
      <c r="K602" s="243" t="s">
        <v>803</v>
      </c>
      <c r="L602" s="16">
        <v>7700</v>
      </c>
      <c r="O602" s="58"/>
    </row>
    <row r="603" spans="9:15" x14ac:dyDescent="0.4">
      <c r="I603" s="53"/>
      <c r="J603" t="s">
        <v>804</v>
      </c>
      <c r="K603" s="243" t="s">
        <v>805</v>
      </c>
      <c r="L603" s="16">
        <v>12800</v>
      </c>
      <c r="O603" s="54"/>
    </row>
    <row r="604" spans="9:15" x14ac:dyDescent="0.4">
      <c r="I604" s="53"/>
      <c r="J604" t="s">
        <v>785</v>
      </c>
      <c r="K604" s="243" t="s">
        <v>806</v>
      </c>
      <c r="L604" s="16">
        <v>364</v>
      </c>
      <c r="O604" s="54"/>
    </row>
    <row r="605" spans="9:15" x14ac:dyDescent="0.4">
      <c r="I605" s="53"/>
      <c r="J605" t="s">
        <v>807</v>
      </c>
      <c r="K605" s="243" t="s">
        <v>808</v>
      </c>
      <c r="L605" s="16">
        <v>3600</v>
      </c>
      <c r="O605" s="54"/>
    </row>
    <row r="606" spans="9:15" x14ac:dyDescent="0.4">
      <c r="I606" s="53"/>
      <c r="K606" s="243"/>
      <c r="L606" s="16"/>
      <c r="O606" s="54"/>
    </row>
    <row r="607" spans="9:15" x14ac:dyDescent="0.4">
      <c r="I607" s="53"/>
      <c r="J607" t="s">
        <v>789</v>
      </c>
      <c r="K607" s="243" t="s">
        <v>809</v>
      </c>
      <c r="L607" s="16">
        <v>56963</v>
      </c>
      <c r="O607" s="54"/>
    </row>
    <row r="608" spans="9:15" x14ac:dyDescent="0.4">
      <c r="I608" s="53"/>
      <c r="J608" t="s">
        <v>708</v>
      </c>
      <c r="K608" s="243" t="s">
        <v>810</v>
      </c>
      <c r="L608" s="16">
        <v>62287</v>
      </c>
      <c r="O608" s="58"/>
    </row>
    <row r="609" spans="9:15" x14ac:dyDescent="0.4">
      <c r="I609" s="53"/>
      <c r="J609" t="s">
        <v>811</v>
      </c>
      <c r="K609" s="243" t="s">
        <v>812</v>
      </c>
      <c r="L609" s="16">
        <v>0</v>
      </c>
      <c r="O609" s="58"/>
    </row>
    <row r="610" spans="9:15" x14ac:dyDescent="0.4">
      <c r="I610" s="53"/>
      <c r="J610" t="s">
        <v>813</v>
      </c>
      <c r="K610" s="243"/>
      <c r="L610" s="16">
        <v>10675</v>
      </c>
      <c r="O610" s="58"/>
    </row>
    <row r="611" spans="9:15" x14ac:dyDescent="0.4">
      <c r="I611" s="53"/>
      <c r="J611" t="s">
        <v>706</v>
      </c>
      <c r="K611" s="243" t="s">
        <v>814</v>
      </c>
      <c r="L611" s="16">
        <v>85</v>
      </c>
      <c r="O611" s="54"/>
    </row>
    <row r="612" spans="9:15" x14ac:dyDescent="0.4">
      <c r="I612" s="53"/>
      <c r="J612" t="s">
        <v>815</v>
      </c>
      <c r="K612" s="243"/>
      <c r="L612" s="16">
        <v>2810</v>
      </c>
      <c r="O612" s="58"/>
    </row>
    <row r="613" spans="9:15" x14ac:dyDescent="0.4">
      <c r="I613" s="53"/>
      <c r="J613" t="s">
        <v>816</v>
      </c>
      <c r="K613" s="243" t="s">
        <v>817</v>
      </c>
      <c r="L613" s="16">
        <v>0</v>
      </c>
      <c r="O613" s="58"/>
    </row>
    <row r="614" spans="9:15" x14ac:dyDescent="0.4">
      <c r="I614" s="53"/>
      <c r="J614" t="s">
        <v>818</v>
      </c>
      <c r="K614" s="243" t="s">
        <v>819</v>
      </c>
      <c r="L614" s="16">
        <v>6087</v>
      </c>
      <c r="O614" s="58"/>
    </row>
    <row r="615" spans="9:15" x14ac:dyDescent="0.4">
      <c r="I615" s="53"/>
      <c r="J615" t="s">
        <v>758</v>
      </c>
      <c r="K615" s="243"/>
      <c r="L615" s="16">
        <v>171</v>
      </c>
      <c r="O615" s="58"/>
    </row>
    <row r="616" spans="9:15" x14ac:dyDescent="0.4">
      <c r="I616" s="53"/>
      <c r="K616" s="243"/>
      <c r="L616" s="16"/>
      <c r="O616" s="58"/>
    </row>
    <row r="617" spans="9:15" x14ac:dyDescent="0.4">
      <c r="I617" s="53"/>
      <c r="J617" t="s">
        <v>779</v>
      </c>
      <c r="K617" s="243"/>
      <c r="L617" s="16">
        <v>20000</v>
      </c>
      <c r="O617" s="54"/>
    </row>
    <row r="618" spans="9:15" x14ac:dyDescent="0.4">
      <c r="I618" s="53"/>
      <c r="K618" s="243"/>
      <c r="O618" s="54"/>
    </row>
    <row r="619" spans="9:15" x14ac:dyDescent="0.4">
      <c r="I619" s="53"/>
      <c r="J619" t="s">
        <v>712</v>
      </c>
      <c r="L619" s="16">
        <f>SUM(L596:L617)</f>
        <v>792248</v>
      </c>
      <c r="N619" t="s">
        <v>712</v>
      </c>
      <c r="O619" s="58">
        <f>SUM(O596:O617)</f>
        <v>391600</v>
      </c>
    </row>
    <row r="620" spans="9:15" x14ac:dyDescent="0.4">
      <c r="I620" s="53"/>
      <c r="J620" t="s">
        <v>820</v>
      </c>
      <c r="L620" s="16">
        <f>L598+L599+L600+L601+L604+L605+L607+L608+L609+L610+L611+L612+L613+L615</f>
        <v>145661</v>
      </c>
      <c r="N620" t="s">
        <v>787</v>
      </c>
      <c r="O620" s="58">
        <f>L619-O619</f>
        <v>400648</v>
      </c>
    </row>
    <row r="621" spans="9:15" x14ac:dyDescent="0.4">
      <c r="I621" s="53"/>
      <c r="O621" s="58"/>
    </row>
    <row r="622" spans="9:15" x14ac:dyDescent="0.4">
      <c r="I622" s="53"/>
      <c r="J622" s="50" t="s">
        <v>555</v>
      </c>
      <c r="K622" s="240" t="s">
        <v>556</v>
      </c>
      <c r="L622" s="75">
        <v>3000</v>
      </c>
      <c r="O622" s="58"/>
    </row>
    <row r="623" spans="9:15" x14ac:dyDescent="0.4">
      <c r="I623" s="53"/>
      <c r="J623" s="55" t="s">
        <v>557</v>
      </c>
      <c r="K623" s="241" t="s">
        <v>558</v>
      </c>
      <c r="L623" s="124">
        <v>3000</v>
      </c>
      <c r="O623" s="58"/>
    </row>
    <row r="624" spans="9:15" x14ac:dyDescent="0.4">
      <c r="I624" s="55"/>
      <c r="J624" s="56"/>
      <c r="K624" s="56"/>
      <c r="L624" s="57"/>
      <c r="M624" s="56"/>
      <c r="N624" s="56"/>
      <c r="O624" s="124"/>
    </row>
    <row r="628" spans="9:15" x14ac:dyDescent="0.4">
      <c r="I628" s="50" t="s">
        <v>700</v>
      </c>
      <c r="J628" s="51"/>
      <c r="K628" s="51"/>
      <c r="L628" s="51"/>
      <c r="M628" s="51"/>
      <c r="N628" s="51"/>
      <c r="O628" s="52"/>
    </row>
    <row r="629" spans="9:15" ht="18" customHeight="1" thickBot="1" x14ac:dyDescent="0.45">
      <c r="I629" s="53"/>
      <c r="J629" s="47"/>
      <c r="K629" s="47"/>
      <c r="L629" s="47"/>
      <c r="M629" s="47"/>
      <c r="N629" s="47"/>
      <c r="O629" s="242" t="s">
        <v>821</v>
      </c>
    </row>
    <row r="630" spans="9:15" x14ac:dyDescent="0.4">
      <c r="I630" s="53"/>
      <c r="J630" t="s">
        <v>702</v>
      </c>
      <c r="K630" s="243" t="s">
        <v>794</v>
      </c>
      <c r="L630" s="16">
        <v>600000</v>
      </c>
      <c r="N630" t="s">
        <v>783</v>
      </c>
      <c r="O630" s="58">
        <v>350000</v>
      </c>
    </row>
    <row r="631" spans="9:15" x14ac:dyDescent="0.4">
      <c r="I631" s="53"/>
      <c r="K631" s="243"/>
      <c r="L631" s="16"/>
      <c r="O631" s="58"/>
    </row>
    <row r="632" spans="9:15" x14ac:dyDescent="0.4">
      <c r="I632" s="53"/>
      <c r="J632" t="s">
        <v>704</v>
      </c>
      <c r="K632" s="243" t="s">
        <v>795</v>
      </c>
      <c r="L632" s="16">
        <v>329</v>
      </c>
      <c r="N632" t="s">
        <v>796</v>
      </c>
      <c r="O632" s="58">
        <v>16800</v>
      </c>
    </row>
    <row r="633" spans="9:15" x14ac:dyDescent="0.4">
      <c r="I633" s="53"/>
      <c r="J633" t="s">
        <v>776</v>
      </c>
      <c r="K633" s="243" t="s">
        <v>797</v>
      </c>
      <c r="L633" s="16">
        <v>206</v>
      </c>
      <c r="N633" t="s">
        <v>798</v>
      </c>
      <c r="O633" s="58">
        <v>21360</v>
      </c>
    </row>
    <row r="634" spans="9:15" x14ac:dyDescent="0.4">
      <c r="I634" s="53"/>
      <c r="J634" t="s">
        <v>799</v>
      </c>
      <c r="K634" s="243"/>
      <c r="L634" s="16">
        <v>4615</v>
      </c>
      <c r="O634" s="58"/>
    </row>
    <row r="635" spans="9:15" x14ac:dyDescent="0.4">
      <c r="I635" s="53"/>
      <c r="J635" t="s">
        <v>800</v>
      </c>
      <c r="K635" s="243" t="s">
        <v>801</v>
      </c>
      <c r="L635" s="16">
        <v>62</v>
      </c>
      <c r="O635" s="58"/>
    </row>
    <row r="636" spans="9:15" x14ac:dyDescent="0.4">
      <c r="I636" s="53"/>
      <c r="J636" t="s">
        <v>802</v>
      </c>
      <c r="K636" s="243" t="s">
        <v>803</v>
      </c>
      <c r="L636" s="16">
        <v>7750</v>
      </c>
      <c r="O636" s="58"/>
    </row>
    <row r="637" spans="9:15" x14ac:dyDescent="0.4">
      <c r="I637" s="53"/>
      <c r="J637" t="s">
        <v>804</v>
      </c>
      <c r="K637" s="243" t="s">
        <v>805</v>
      </c>
      <c r="L637" s="16">
        <v>12900</v>
      </c>
      <c r="O637" s="54"/>
    </row>
    <row r="638" spans="9:15" x14ac:dyDescent="0.4">
      <c r="I638" s="53"/>
      <c r="J638" t="s">
        <v>785</v>
      </c>
      <c r="K638" s="243" t="s">
        <v>806</v>
      </c>
      <c r="L638" s="16">
        <v>259</v>
      </c>
      <c r="O638" s="54"/>
    </row>
    <row r="639" spans="9:15" x14ac:dyDescent="0.4">
      <c r="I639" s="53"/>
      <c r="J639" t="s">
        <v>807</v>
      </c>
      <c r="K639" s="243" t="s">
        <v>808</v>
      </c>
      <c r="L639" s="16">
        <v>4651</v>
      </c>
      <c r="O639" s="54"/>
    </row>
    <row r="640" spans="9:15" x14ac:dyDescent="0.4">
      <c r="I640" s="53"/>
      <c r="K640" s="243"/>
      <c r="L640" s="16"/>
      <c r="O640" s="54"/>
    </row>
    <row r="641" spans="9:15" x14ac:dyDescent="0.4">
      <c r="I641" s="53"/>
      <c r="J641" t="s">
        <v>789</v>
      </c>
      <c r="K641" s="243" t="s">
        <v>809</v>
      </c>
      <c r="L641" s="16">
        <v>50275</v>
      </c>
      <c r="O641" s="54"/>
    </row>
    <row r="642" spans="9:15" x14ac:dyDescent="0.4">
      <c r="I642" s="53"/>
      <c r="J642" t="s">
        <v>708</v>
      </c>
      <c r="K642" s="243" t="s">
        <v>810</v>
      </c>
      <c r="L642" s="16">
        <v>67818</v>
      </c>
      <c r="O642" s="58"/>
    </row>
    <row r="643" spans="9:15" x14ac:dyDescent="0.4">
      <c r="I643" s="53"/>
      <c r="J643" t="s">
        <v>811</v>
      </c>
      <c r="K643" s="243" t="s">
        <v>812</v>
      </c>
      <c r="L643" s="16">
        <v>0</v>
      </c>
      <c r="O643" s="58"/>
    </row>
    <row r="644" spans="9:15" x14ac:dyDescent="0.4">
      <c r="I644" s="53"/>
      <c r="J644" t="s">
        <v>813</v>
      </c>
      <c r="K644" s="243"/>
      <c r="L644" s="16">
        <v>13250</v>
      </c>
      <c r="O644" s="58"/>
    </row>
    <row r="645" spans="9:15" x14ac:dyDescent="0.4">
      <c r="I645" s="53"/>
      <c r="J645" t="s">
        <v>706</v>
      </c>
      <c r="K645" s="243" t="s">
        <v>814</v>
      </c>
      <c r="L645" s="16">
        <v>102</v>
      </c>
      <c r="O645" s="54"/>
    </row>
    <row r="646" spans="9:15" x14ac:dyDescent="0.4">
      <c r="I646" s="53"/>
      <c r="J646" t="s">
        <v>815</v>
      </c>
      <c r="K646" s="243"/>
      <c r="L646" s="16">
        <v>2756</v>
      </c>
      <c r="O646" s="58"/>
    </row>
    <row r="647" spans="9:15" x14ac:dyDescent="0.4">
      <c r="I647" s="53"/>
      <c r="J647" t="s">
        <v>816</v>
      </c>
      <c r="K647" s="243" t="s">
        <v>817</v>
      </c>
      <c r="L647" s="16">
        <v>0</v>
      </c>
      <c r="O647" s="58"/>
    </row>
    <row r="648" spans="9:15" x14ac:dyDescent="0.4">
      <c r="I648" s="53"/>
      <c r="J648" t="s">
        <v>818</v>
      </c>
      <c r="K648" s="243" t="s">
        <v>819</v>
      </c>
      <c r="L648" s="16">
        <v>6234</v>
      </c>
      <c r="O648" s="58"/>
    </row>
    <row r="649" spans="9:15" x14ac:dyDescent="0.4">
      <c r="I649" s="53"/>
      <c r="J649" t="s">
        <v>758</v>
      </c>
      <c r="K649" s="243"/>
      <c r="L649" s="16">
        <v>160</v>
      </c>
      <c r="O649" s="58"/>
    </row>
    <row r="650" spans="9:15" x14ac:dyDescent="0.4">
      <c r="I650" s="53"/>
      <c r="K650" s="243"/>
      <c r="L650" s="16"/>
      <c r="O650" s="58"/>
    </row>
    <row r="651" spans="9:15" x14ac:dyDescent="0.4">
      <c r="I651" s="53"/>
      <c r="J651" t="s">
        <v>779</v>
      </c>
      <c r="K651" s="243"/>
      <c r="L651" s="16">
        <v>20000</v>
      </c>
      <c r="O651" s="54"/>
    </row>
    <row r="652" spans="9:15" x14ac:dyDescent="0.4">
      <c r="I652" s="53"/>
      <c r="K652" s="243"/>
      <c r="O652" s="54"/>
    </row>
    <row r="653" spans="9:15" x14ac:dyDescent="0.4">
      <c r="I653" s="53"/>
      <c r="J653" t="s">
        <v>712</v>
      </c>
      <c r="L653" s="16">
        <f>SUM(L630:L651)</f>
        <v>791367</v>
      </c>
      <c r="N653" t="s">
        <v>712</v>
      </c>
      <c r="O653" s="58">
        <f>SUM(O630:O651)</f>
        <v>388160</v>
      </c>
    </row>
    <row r="654" spans="9:15" x14ac:dyDescent="0.4">
      <c r="I654" s="53"/>
      <c r="J654" t="s">
        <v>820</v>
      </c>
      <c r="L654" s="16">
        <f>L632+L633+L634+L635+L638+L639+L641+L642+L643+L644+L645+L646+L647+L649</f>
        <v>144483</v>
      </c>
      <c r="N654" t="s">
        <v>787</v>
      </c>
      <c r="O654" s="58">
        <f>L653-O653</f>
        <v>403207</v>
      </c>
    </row>
    <row r="655" spans="9:15" x14ac:dyDescent="0.4">
      <c r="I655" s="53"/>
      <c r="O655" s="58"/>
    </row>
    <row r="656" spans="9:15" x14ac:dyDescent="0.4">
      <c r="I656" s="53"/>
      <c r="J656" s="50" t="s">
        <v>555</v>
      </c>
      <c r="K656" s="240" t="s">
        <v>556</v>
      </c>
      <c r="L656" s="75">
        <v>3000</v>
      </c>
      <c r="O656" s="58"/>
    </row>
    <row r="657" spans="9:15" x14ac:dyDescent="0.4">
      <c r="I657" s="53"/>
      <c r="J657" s="55" t="s">
        <v>557</v>
      </c>
      <c r="K657" s="241" t="s">
        <v>558</v>
      </c>
      <c r="L657" s="124">
        <v>3000</v>
      </c>
      <c r="O657" s="58"/>
    </row>
    <row r="658" spans="9:15" x14ac:dyDescent="0.4">
      <c r="I658" s="55"/>
      <c r="J658" s="56"/>
      <c r="K658" s="56"/>
      <c r="L658" s="57"/>
      <c r="M658" s="56"/>
      <c r="N658" s="56"/>
      <c r="O658" s="124"/>
    </row>
    <row r="661" spans="9:15" x14ac:dyDescent="0.4">
      <c r="I661" s="50" t="s">
        <v>700</v>
      </c>
      <c r="J661" s="51"/>
      <c r="K661" s="51"/>
      <c r="L661" s="51"/>
      <c r="M661" s="51"/>
      <c r="N661" s="51"/>
      <c r="O661" s="52"/>
    </row>
    <row r="662" spans="9:15" ht="18" customHeight="1" thickBot="1" x14ac:dyDescent="0.45">
      <c r="I662" s="53"/>
      <c r="J662" s="47"/>
      <c r="K662" s="47"/>
      <c r="L662" s="47"/>
      <c r="M662" s="47"/>
      <c r="N662" s="47"/>
      <c r="O662" s="242" t="s">
        <v>822</v>
      </c>
    </row>
    <row r="663" spans="9:15" x14ac:dyDescent="0.4">
      <c r="I663" s="53"/>
      <c r="J663" t="s">
        <v>702</v>
      </c>
      <c r="K663" s="243" t="s">
        <v>794</v>
      </c>
      <c r="L663" s="16">
        <v>600000</v>
      </c>
      <c r="N663" t="s">
        <v>783</v>
      </c>
      <c r="O663" s="58">
        <v>348150</v>
      </c>
    </row>
    <row r="664" spans="9:15" x14ac:dyDescent="0.4">
      <c r="I664" s="53"/>
      <c r="K664" s="243"/>
      <c r="L664" s="16"/>
      <c r="O664" s="58"/>
    </row>
    <row r="665" spans="9:15" x14ac:dyDescent="0.4">
      <c r="I665" s="53"/>
      <c r="J665" t="s">
        <v>704</v>
      </c>
      <c r="K665" s="243" t="s">
        <v>795</v>
      </c>
      <c r="L665" s="16">
        <v>2640</v>
      </c>
      <c r="N665" t="s">
        <v>796</v>
      </c>
      <c r="O665" s="58">
        <v>16420</v>
      </c>
    </row>
    <row r="666" spans="9:15" x14ac:dyDescent="0.4">
      <c r="I666" s="53"/>
      <c r="J666" t="s">
        <v>776</v>
      </c>
      <c r="K666" s="243" t="s">
        <v>797</v>
      </c>
      <c r="L666" s="16">
        <v>150</v>
      </c>
      <c r="N666" t="s">
        <v>798</v>
      </c>
      <c r="O666" s="58">
        <v>19000</v>
      </c>
    </row>
    <row r="667" spans="9:15" x14ac:dyDescent="0.4">
      <c r="I667" s="53"/>
      <c r="J667" t="s">
        <v>799</v>
      </c>
      <c r="K667" s="243"/>
      <c r="L667" s="16">
        <v>4704</v>
      </c>
      <c r="O667" s="58"/>
    </row>
    <row r="668" spans="9:15" x14ac:dyDescent="0.4">
      <c r="I668" s="53"/>
      <c r="J668" t="s">
        <v>800</v>
      </c>
      <c r="K668" s="243" t="s">
        <v>801</v>
      </c>
      <c r="L668" s="16">
        <v>152</v>
      </c>
      <c r="O668" s="58"/>
    </row>
    <row r="669" spans="9:15" x14ac:dyDescent="0.4">
      <c r="I669" s="53"/>
      <c r="J669" t="s">
        <v>802</v>
      </c>
      <c r="K669" s="243" t="s">
        <v>803</v>
      </c>
      <c r="L669" s="16">
        <v>7850</v>
      </c>
      <c r="O669" s="58"/>
    </row>
    <row r="670" spans="9:15" x14ac:dyDescent="0.4">
      <c r="I670" s="53"/>
      <c r="J670" t="s">
        <v>804</v>
      </c>
      <c r="K670" s="243" t="s">
        <v>805</v>
      </c>
      <c r="L670" s="16">
        <v>14429</v>
      </c>
      <c r="O670" s="54"/>
    </row>
    <row r="671" spans="9:15" x14ac:dyDescent="0.4">
      <c r="I671" s="53"/>
      <c r="J671" t="s">
        <v>785</v>
      </c>
      <c r="K671" s="243" t="s">
        <v>806</v>
      </c>
      <c r="L671" s="16">
        <v>238</v>
      </c>
      <c r="O671" s="54"/>
    </row>
    <row r="672" spans="9:15" x14ac:dyDescent="0.4">
      <c r="I672" s="53"/>
      <c r="J672" t="s">
        <v>807</v>
      </c>
      <c r="K672" s="243" t="s">
        <v>808</v>
      </c>
      <c r="L672" s="16">
        <v>6600</v>
      </c>
      <c r="O672" s="54"/>
    </row>
    <row r="673" spans="9:15" x14ac:dyDescent="0.4">
      <c r="I673" s="53"/>
      <c r="K673" s="243"/>
      <c r="L673" s="16"/>
      <c r="O673" s="54"/>
    </row>
    <row r="674" spans="9:15" x14ac:dyDescent="0.4">
      <c r="I674" s="53"/>
      <c r="J674" t="s">
        <v>789</v>
      </c>
      <c r="K674" s="243" t="s">
        <v>809</v>
      </c>
      <c r="L674" s="16">
        <v>52927</v>
      </c>
      <c r="O674" s="54"/>
    </row>
    <row r="675" spans="9:15" x14ac:dyDescent="0.4">
      <c r="I675" s="53"/>
      <c r="J675" t="s">
        <v>708</v>
      </c>
      <c r="K675" s="243" t="s">
        <v>810</v>
      </c>
      <c r="L675" s="16">
        <v>76900</v>
      </c>
      <c r="O675" s="58"/>
    </row>
    <row r="676" spans="9:15" x14ac:dyDescent="0.4">
      <c r="I676" s="53"/>
      <c r="J676" t="s">
        <v>811</v>
      </c>
      <c r="K676" s="243" t="s">
        <v>812</v>
      </c>
      <c r="L676" s="16">
        <v>0</v>
      </c>
      <c r="O676" s="58"/>
    </row>
    <row r="677" spans="9:15" x14ac:dyDescent="0.4">
      <c r="I677" s="53"/>
      <c r="J677" t="s">
        <v>813</v>
      </c>
      <c r="K677" s="243"/>
      <c r="L677" s="16">
        <v>21400</v>
      </c>
      <c r="O677" s="58"/>
    </row>
    <row r="678" spans="9:15" x14ac:dyDescent="0.4">
      <c r="I678" s="53"/>
      <c r="J678" t="s">
        <v>706</v>
      </c>
      <c r="K678" s="243" t="s">
        <v>814</v>
      </c>
      <c r="L678" s="16">
        <v>253</v>
      </c>
      <c r="O678" s="54"/>
    </row>
    <row r="679" spans="9:15" x14ac:dyDescent="0.4">
      <c r="I679" s="53"/>
      <c r="J679" t="s">
        <v>815</v>
      </c>
      <c r="K679" s="243"/>
      <c r="L679" s="16">
        <v>2822</v>
      </c>
      <c r="O679" s="58"/>
    </row>
    <row r="680" spans="9:15" x14ac:dyDescent="0.4">
      <c r="I680" s="53"/>
      <c r="J680" t="s">
        <v>816</v>
      </c>
      <c r="K680" s="243" t="s">
        <v>817</v>
      </c>
      <c r="L680" s="16">
        <v>0</v>
      </c>
      <c r="O680" s="58"/>
    </row>
    <row r="681" spans="9:15" x14ac:dyDescent="0.4">
      <c r="I681" s="53"/>
      <c r="J681" t="s">
        <v>818</v>
      </c>
      <c r="K681" s="243" t="s">
        <v>819</v>
      </c>
      <c r="L681" s="16">
        <v>6618</v>
      </c>
      <c r="O681" s="58"/>
    </row>
    <row r="682" spans="9:15" x14ac:dyDescent="0.4">
      <c r="I682" s="53"/>
      <c r="J682" t="s">
        <v>758</v>
      </c>
      <c r="K682" s="243"/>
      <c r="L682" s="16">
        <v>158</v>
      </c>
      <c r="O682" s="58"/>
    </row>
    <row r="683" spans="9:15" x14ac:dyDescent="0.4">
      <c r="I683" s="53"/>
      <c r="K683" s="243"/>
      <c r="L683" s="16"/>
      <c r="O683" s="58"/>
    </row>
    <row r="684" spans="9:15" x14ac:dyDescent="0.4">
      <c r="I684" s="53"/>
      <c r="J684" t="s">
        <v>779</v>
      </c>
      <c r="K684" s="243"/>
      <c r="L684" s="16">
        <v>20000</v>
      </c>
      <c r="O684" s="54"/>
    </row>
    <row r="685" spans="9:15" x14ac:dyDescent="0.4">
      <c r="I685" s="53"/>
      <c r="K685" s="243"/>
      <c r="O685" s="54"/>
    </row>
    <row r="686" spans="9:15" x14ac:dyDescent="0.4">
      <c r="I686" s="53"/>
      <c r="J686" t="s">
        <v>712</v>
      </c>
      <c r="L686" s="16">
        <f>SUM(L663:L684)</f>
        <v>817841</v>
      </c>
      <c r="N686" t="s">
        <v>712</v>
      </c>
      <c r="O686" s="58">
        <f>SUM(O663:O684)</f>
        <v>383570</v>
      </c>
    </row>
    <row r="687" spans="9:15" x14ac:dyDescent="0.4">
      <c r="I687" s="53"/>
      <c r="J687" t="s">
        <v>820</v>
      </c>
      <c r="L687" s="16">
        <f>L665+L666+L667+L668+L671+L672+L674+L675+L676+L677+L678+L679+L680+L682</f>
        <v>168944</v>
      </c>
      <c r="N687" t="s">
        <v>787</v>
      </c>
      <c r="O687" s="58">
        <f>L686-O686</f>
        <v>434271</v>
      </c>
    </row>
    <row r="688" spans="9:15" x14ac:dyDescent="0.4">
      <c r="I688" s="53"/>
      <c r="O688" s="58"/>
    </row>
    <row r="689" spans="9:15" x14ac:dyDescent="0.4">
      <c r="I689" s="53"/>
      <c r="J689" s="50" t="s">
        <v>555</v>
      </c>
      <c r="K689" s="240" t="s">
        <v>556</v>
      </c>
      <c r="L689" s="75">
        <v>4000</v>
      </c>
      <c r="O689" s="58"/>
    </row>
    <row r="690" spans="9:15" x14ac:dyDescent="0.4">
      <c r="I690" s="53"/>
      <c r="J690" s="55" t="s">
        <v>557</v>
      </c>
      <c r="K690" s="241" t="s">
        <v>558</v>
      </c>
      <c r="L690" s="124">
        <v>4000</v>
      </c>
      <c r="O690" s="58"/>
    </row>
    <row r="691" spans="9:15" x14ac:dyDescent="0.4">
      <c r="I691" s="55"/>
      <c r="J691" s="56"/>
      <c r="K691" s="56"/>
      <c r="L691" s="57"/>
      <c r="M691" s="56"/>
      <c r="N691" s="56"/>
      <c r="O691" s="124"/>
    </row>
    <row r="694" spans="9:15" x14ac:dyDescent="0.4">
      <c r="I694" s="50" t="s">
        <v>700</v>
      </c>
      <c r="J694" s="51"/>
      <c r="K694" s="51"/>
      <c r="L694" s="51"/>
      <c r="M694" s="51"/>
      <c r="N694" s="51"/>
      <c r="O694" s="52"/>
    </row>
    <row r="695" spans="9:15" ht="18" customHeight="1" thickBot="1" x14ac:dyDescent="0.45">
      <c r="I695" s="53"/>
      <c r="J695" s="47"/>
      <c r="K695" s="47"/>
      <c r="L695" s="47"/>
      <c r="M695" s="47"/>
      <c r="N695" s="47"/>
      <c r="O695" s="242" t="s">
        <v>823</v>
      </c>
    </row>
    <row r="696" spans="9:15" x14ac:dyDescent="0.4">
      <c r="I696" s="53"/>
      <c r="J696" t="s">
        <v>702</v>
      </c>
      <c r="K696" s="243" t="s">
        <v>794</v>
      </c>
      <c r="L696" s="16">
        <v>600000</v>
      </c>
      <c r="N696" t="s">
        <v>783</v>
      </c>
      <c r="O696" s="58">
        <v>348150</v>
      </c>
    </row>
    <row r="697" spans="9:15" x14ac:dyDescent="0.4">
      <c r="I697" s="53"/>
      <c r="K697" s="243"/>
      <c r="L697" s="16"/>
      <c r="O697" s="58"/>
    </row>
    <row r="698" spans="9:15" x14ac:dyDescent="0.4">
      <c r="I698" s="53"/>
      <c r="J698" t="s">
        <v>704</v>
      </c>
      <c r="K698" s="243" t="s">
        <v>795</v>
      </c>
      <c r="L698" s="16">
        <v>455</v>
      </c>
      <c r="N698" t="s">
        <v>796</v>
      </c>
      <c r="O698" s="58">
        <v>16420</v>
      </c>
    </row>
    <row r="699" spans="9:15" x14ac:dyDescent="0.4">
      <c r="I699" s="53"/>
      <c r="J699" t="s">
        <v>776</v>
      </c>
      <c r="K699" s="243" t="s">
        <v>797</v>
      </c>
      <c r="L699" s="16">
        <v>9944</v>
      </c>
      <c r="N699" t="s">
        <v>798</v>
      </c>
      <c r="O699" s="58">
        <v>16880</v>
      </c>
    </row>
    <row r="700" spans="9:15" x14ac:dyDescent="0.4">
      <c r="I700" s="53"/>
      <c r="J700" t="s">
        <v>799</v>
      </c>
      <c r="K700" s="243"/>
      <c r="L700" s="16">
        <v>5164</v>
      </c>
      <c r="O700" s="58"/>
    </row>
    <row r="701" spans="9:15" x14ac:dyDescent="0.4">
      <c r="I701" s="53"/>
      <c r="J701" t="s">
        <v>800</v>
      </c>
      <c r="K701" s="243" t="s">
        <v>801</v>
      </c>
      <c r="L701" s="16">
        <v>115</v>
      </c>
      <c r="O701" s="58"/>
    </row>
    <row r="702" spans="9:15" x14ac:dyDescent="0.4">
      <c r="I702" s="53"/>
      <c r="J702" t="s">
        <v>802</v>
      </c>
      <c r="K702" s="243" t="s">
        <v>803</v>
      </c>
      <c r="L702" s="16">
        <v>7900</v>
      </c>
      <c r="O702" s="58"/>
    </row>
    <row r="703" spans="9:15" x14ac:dyDescent="0.4">
      <c r="I703" s="53"/>
      <c r="J703" t="s">
        <v>804</v>
      </c>
      <c r="K703" s="243" t="s">
        <v>805</v>
      </c>
      <c r="L703" s="16">
        <v>14756</v>
      </c>
      <c r="O703" s="54"/>
    </row>
    <row r="704" spans="9:15" x14ac:dyDescent="0.4">
      <c r="I704" s="53"/>
      <c r="J704" t="s">
        <v>785</v>
      </c>
      <c r="K704" s="243" t="s">
        <v>806</v>
      </c>
      <c r="L704" s="16">
        <v>289</v>
      </c>
      <c r="O704" s="54"/>
    </row>
    <row r="705" spans="9:15" x14ac:dyDescent="0.4">
      <c r="I705" s="53"/>
      <c r="J705" t="s">
        <v>807</v>
      </c>
      <c r="K705" s="243" t="s">
        <v>808</v>
      </c>
      <c r="L705" s="16">
        <v>9400</v>
      </c>
      <c r="O705" s="54"/>
    </row>
    <row r="706" spans="9:15" x14ac:dyDescent="0.4">
      <c r="I706" s="53"/>
      <c r="K706" s="243"/>
      <c r="L706" s="16"/>
      <c r="O706" s="54"/>
    </row>
    <row r="707" spans="9:15" x14ac:dyDescent="0.4">
      <c r="I707" s="53"/>
      <c r="J707" t="s">
        <v>789</v>
      </c>
      <c r="K707" s="243" t="s">
        <v>809</v>
      </c>
      <c r="L707" s="16">
        <v>50760</v>
      </c>
      <c r="O707" s="54"/>
    </row>
    <row r="708" spans="9:15" x14ac:dyDescent="0.4">
      <c r="I708" s="53"/>
      <c r="J708" t="s">
        <v>708</v>
      </c>
      <c r="K708" s="243" t="s">
        <v>810</v>
      </c>
      <c r="L708" s="16">
        <v>69200</v>
      </c>
      <c r="O708" s="58"/>
    </row>
    <row r="709" spans="9:15" x14ac:dyDescent="0.4">
      <c r="I709" s="53"/>
      <c r="J709" t="s">
        <v>811</v>
      </c>
      <c r="K709" s="243" t="s">
        <v>812</v>
      </c>
      <c r="L709" s="16">
        <v>0</v>
      </c>
      <c r="O709" s="58"/>
    </row>
    <row r="710" spans="9:15" x14ac:dyDescent="0.4">
      <c r="I710" s="53"/>
      <c r="J710" t="s">
        <v>813</v>
      </c>
      <c r="K710" s="243"/>
      <c r="L710" s="16">
        <v>21000</v>
      </c>
      <c r="O710" s="58"/>
    </row>
    <row r="711" spans="9:15" x14ac:dyDescent="0.4">
      <c r="I711" s="53"/>
      <c r="J711" t="s">
        <v>824</v>
      </c>
      <c r="K711" s="243" t="s">
        <v>825</v>
      </c>
      <c r="L711" s="16">
        <v>728</v>
      </c>
      <c r="O711" s="58"/>
    </row>
    <row r="712" spans="9:15" x14ac:dyDescent="0.4">
      <c r="I712" s="53"/>
      <c r="J712" t="s">
        <v>706</v>
      </c>
      <c r="K712" s="243" t="s">
        <v>814</v>
      </c>
      <c r="L712" s="16">
        <v>0</v>
      </c>
      <c r="O712" s="54"/>
    </row>
    <row r="713" spans="9:15" x14ac:dyDescent="0.4">
      <c r="I713" s="53"/>
      <c r="J713" t="s">
        <v>815</v>
      </c>
      <c r="K713" s="243"/>
      <c r="L713" s="16">
        <v>0</v>
      </c>
      <c r="O713" s="58"/>
    </row>
    <row r="714" spans="9:15" x14ac:dyDescent="0.4">
      <c r="I714" s="53"/>
      <c r="J714" t="s">
        <v>816</v>
      </c>
      <c r="K714" s="243" t="s">
        <v>817</v>
      </c>
      <c r="L714" s="16">
        <v>0</v>
      </c>
      <c r="O714" s="58"/>
    </row>
    <row r="715" spans="9:15" x14ac:dyDescent="0.4">
      <c r="I715" s="53"/>
      <c r="J715" t="s">
        <v>818</v>
      </c>
      <c r="K715" s="243" t="s">
        <v>819</v>
      </c>
      <c r="L715" s="16">
        <v>8252</v>
      </c>
      <c r="O715" s="58"/>
    </row>
    <row r="716" spans="9:15" x14ac:dyDescent="0.4">
      <c r="I716" s="53"/>
      <c r="J716" t="s">
        <v>758</v>
      </c>
      <c r="K716" s="243"/>
      <c r="L716" s="16">
        <v>127</v>
      </c>
      <c r="O716" s="58"/>
    </row>
    <row r="717" spans="9:15" x14ac:dyDescent="0.4">
      <c r="I717" s="53"/>
      <c r="K717" s="243"/>
      <c r="L717" s="16"/>
      <c r="O717" s="58"/>
    </row>
    <row r="718" spans="9:15" x14ac:dyDescent="0.4">
      <c r="I718" s="53"/>
      <c r="J718" t="s">
        <v>779</v>
      </c>
      <c r="K718" s="243"/>
      <c r="L718" s="16">
        <v>20000</v>
      </c>
      <c r="O718" s="54"/>
    </row>
    <row r="719" spans="9:15" x14ac:dyDescent="0.4">
      <c r="I719" s="53"/>
      <c r="K719" s="243"/>
      <c r="O719" s="54"/>
    </row>
    <row r="720" spans="9:15" x14ac:dyDescent="0.4">
      <c r="I720" s="53"/>
      <c r="J720" t="s">
        <v>712</v>
      </c>
      <c r="L720" s="16">
        <f>SUM(L696:L718)</f>
        <v>818090</v>
      </c>
      <c r="N720" t="s">
        <v>712</v>
      </c>
      <c r="O720" s="58">
        <f>SUM(O696:O718)</f>
        <v>381450</v>
      </c>
    </row>
    <row r="721" spans="9:16" x14ac:dyDescent="0.4">
      <c r="I721" s="53"/>
      <c r="J721" t="s">
        <v>820</v>
      </c>
      <c r="L721" s="16">
        <f>L698+L699+L700+L701+L704+L705+L707+L708+L709+L710+L712+L713+L714+L716</f>
        <v>166454</v>
      </c>
      <c r="N721" t="s">
        <v>787</v>
      </c>
      <c r="O721" s="58">
        <f>L720-O720</f>
        <v>436640</v>
      </c>
    </row>
    <row r="722" spans="9:16" x14ac:dyDescent="0.4">
      <c r="I722" s="53"/>
      <c r="O722" s="58"/>
    </row>
    <row r="723" spans="9:16" x14ac:dyDescent="0.4">
      <c r="I723" s="53"/>
      <c r="J723" s="50" t="s">
        <v>555</v>
      </c>
      <c r="K723" s="240" t="s">
        <v>556</v>
      </c>
      <c r="L723" s="75">
        <v>7200</v>
      </c>
      <c r="O723" s="58"/>
    </row>
    <row r="724" spans="9:16" x14ac:dyDescent="0.4">
      <c r="I724" s="53"/>
      <c r="J724" s="55" t="s">
        <v>557</v>
      </c>
      <c r="K724" s="241" t="s">
        <v>558</v>
      </c>
      <c r="L724" s="124">
        <v>7200</v>
      </c>
      <c r="O724" s="58"/>
    </row>
    <row r="725" spans="9:16" x14ac:dyDescent="0.4">
      <c r="I725" s="55"/>
      <c r="J725" s="56"/>
      <c r="K725" s="56"/>
      <c r="L725" s="57"/>
      <c r="M725" s="56"/>
      <c r="N725" s="56"/>
      <c r="O725" s="124"/>
    </row>
    <row r="728" spans="9:16" x14ac:dyDescent="0.4">
      <c r="I728" s="50" t="s">
        <v>700</v>
      </c>
      <c r="J728" s="51"/>
      <c r="K728" s="51"/>
      <c r="L728" s="51"/>
      <c r="M728" s="51"/>
      <c r="N728" s="51"/>
      <c r="O728" s="52"/>
    </row>
    <row r="729" spans="9:16" ht="18" customHeight="1" thickBot="1" x14ac:dyDescent="0.45">
      <c r="I729" s="53"/>
      <c r="J729" s="47"/>
      <c r="K729" s="47"/>
      <c r="L729" s="47"/>
      <c r="M729" s="47"/>
      <c r="N729" s="47"/>
      <c r="O729" s="242" t="s">
        <v>826</v>
      </c>
    </row>
    <row r="730" spans="9:16" x14ac:dyDescent="0.4">
      <c r="I730" s="53"/>
      <c r="J730" t="s">
        <v>702</v>
      </c>
      <c r="K730" s="243" t="s">
        <v>794</v>
      </c>
      <c r="L730" s="16">
        <v>600000</v>
      </c>
      <c r="N730" t="s">
        <v>783</v>
      </c>
      <c r="O730" s="58">
        <v>348150</v>
      </c>
    </row>
    <row r="731" spans="9:16" x14ac:dyDescent="0.4">
      <c r="I731" s="53"/>
      <c r="K731" s="243"/>
      <c r="L731" s="16"/>
      <c r="O731" s="58"/>
    </row>
    <row r="732" spans="9:16" x14ac:dyDescent="0.4">
      <c r="I732" s="53"/>
      <c r="J732" t="s">
        <v>704</v>
      </c>
      <c r="K732" s="243" t="s">
        <v>795</v>
      </c>
      <c r="L732" s="16">
        <v>346</v>
      </c>
      <c r="N732" t="s">
        <v>796</v>
      </c>
      <c r="O732" s="58">
        <v>16393</v>
      </c>
      <c r="P732" t="s">
        <v>827</v>
      </c>
    </row>
    <row r="733" spans="9:16" x14ac:dyDescent="0.4">
      <c r="I733" s="53"/>
      <c r="J733" t="s">
        <v>776</v>
      </c>
      <c r="K733" s="243" t="s">
        <v>797</v>
      </c>
      <c r="L733" s="16">
        <v>5200</v>
      </c>
      <c r="N733" t="s">
        <v>798</v>
      </c>
      <c r="O733" s="58">
        <v>12487</v>
      </c>
      <c r="P733" t="s">
        <v>828</v>
      </c>
    </row>
    <row r="734" spans="9:16" x14ac:dyDescent="0.4">
      <c r="I734" s="53"/>
      <c r="J734" t="s">
        <v>799</v>
      </c>
      <c r="K734" s="243"/>
      <c r="L734" s="16">
        <v>8733</v>
      </c>
      <c r="O734" s="58"/>
    </row>
    <row r="735" spans="9:16" x14ac:dyDescent="0.4">
      <c r="I735" s="53"/>
      <c r="J735" t="s">
        <v>800</v>
      </c>
      <c r="K735" s="243" t="s">
        <v>801</v>
      </c>
      <c r="L735" s="16">
        <v>125</v>
      </c>
      <c r="O735" s="58"/>
    </row>
    <row r="736" spans="9:16" x14ac:dyDescent="0.4">
      <c r="I736" s="53"/>
      <c r="J736" t="s">
        <v>802</v>
      </c>
      <c r="K736" s="243" t="s">
        <v>803</v>
      </c>
      <c r="L736" s="16">
        <v>8000</v>
      </c>
      <c r="O736" s="58"/>
    </row>
    <row r="737" spans="9:15" x14ac:dyDescent="0.4">
      <c r="I737" s="53"/>
      <c r="J737" t="s">
        <v>785</v>
      </c>
      <c r="K737" s="243" t="s">
        <v>806</v>
      </c>
      <c r="L737" s="16">
        <v>56</v>
      </c>
      <c r="O737" s="54"/>
    </row>
    <row r="738" spans="9:15" x14ac:dyDescent="0.4">
      <c r="I738" s="53"/>
      <c r="J738" t="s">
        <v>807</v>
      </c>
      <c r="K738" s="243" t="s">
        <v>808</v>
      </c>
      <c r="L738" s="16">
        <v>9600</v>
      </c>
      <c r="O738" s="54"/>
    </row>
    <row r="739" spans="9:15" x14ac:dyDescent="0.4">
      <c r="I739" s="53"/>
      <c r="K739" s="243"/>
      <c r="L739" s="16"/>
      <c r="O739" s="54"/>
    </row>
    <row r="740" spans="9:15" x14ac:dyDescent="0.4">
      <c r="I740" s="53"/>
      <c r="J740" t="s">
        <v>789</v>
      </c>
      <c r="K740" s="243" t="s">
        <v>809</v>
      </c>
      <c r="L740" s="16">
        <v>52010</v>
      </c>
      <c r="O740" s="54"/>
    </row>
    <row r="741" spans="9:15" x14ac:dyDescent="0.4">
      <c r="I741" s="53"/>
      <c r="J741" t="s">
        <v>708</v>
      </c>
      <c r="K741" s="243" t="s">
        <v>810</v>
      </c>
      <c r="L741" s="16">
        <v>68255</v>
      </c>
      <c r="O741" s="58"/>
    </row>
    <row r="742" spans="9:15" x14ac:dyDescent="0.4">
      <c r="I742" s="53"/>
      <c r="J742" t="s">
        <v>811</v>
      </c>
      <c r="K742" s="243" t="s">
        <v>812</v>
      </c>
      <c r="L742" s="16">
        <v>0</v>
      </c>
      <c r="O742" s="58"/>
    </row>
    <row r="743" spans="9:15" x14ac:dyDescent="0.4">
      <c r="I743" s="53"/>
      <c r="J743" t="s">
        <v>813</v>
      </c>
      <c r="K743" s="243"/>
      <c r="L743" s="16">
        <v>21000</v>
      </c>
      <c r="O743" s="58"/>
    </row>
    <row r="744" spans="9:15" x14ac:dyDescent="0.4">
      <c r="I744" s="53"/>
      <c r="J744" t="s">
        <v>804</v>
      </c>
      <c r="K744" s="243" t="s">
        <v>805</v>
      </c>
      <c r="L744" s="16">
        <v>17772</v>
      </c>
      <c r="O744" s="54"/>
    </row>
    <row r="745" spans="9:15" x14ac:dyDescent="0.4">
      <c r="I745" s="53"/>
      <c r="J745" t="s">
        <v>824</v>
      </c>
      <c r="K745" s="243" t="s">
        <v>825</v>
      </c>
      <c r="L745" s="16">
        <v>1377</v>
      </c>
      <c r="O745" s="58"/>
    </row>
    <row r="746" spans="9:15" x14ac:dyDescent="0.4">
      <c r="I746" s="53"/>
      <c r="J746" t="s">
        <v>706</v>
      </c>
      <c r="K746" s="243" t="s">
        <v>814</v>
      </c>
      <c r="L746" s="16">
        <v>0</v>
      </c>
      <c r="O746" s="54"/>
    </row>
    <row r="747" spans="9:15" x14ac:dyDescent="0.4">
      <c r="I747" s="53"/>
      <c r="J747" t="s">
        <v>815</v>
      </c>
      <c r="K747" s="243"/>
      <c r="L747" s="16">
        <v>0</v>
      </c>
      <c r="O747" s="58"/>
    </row>
    <row r="748" spans="9:15" x14ac:dyDescent="0.4">
      <c r="I748" s="53"/>
      <c r="J748" t="s">
        <v>816</v>
      </c>
      <c r="K748" s="243" t="s">
        <v>817</v>
      </c>
      <c r="L748" s="16">
        <v>0</v>
      </c>
      <c r="O748" s="58"/>
    </row>
    <row r="749" spans="9:15" x14ac:dyDescent="0.4">
      <c r="I749" s="53"/>
      <c r="J749" t="s">
        <v>818</v>
      </c>
      <c r="K749" s="243" t="s">
        <v>819</v>
      </c>
      <c r="L749" s="16">
        <v>9773</v>
      </c>
      <c r="O749" s="58"/>
    </row>
    <row r="750" spans="9:15" x14ac:dyDescent="0.4">
      <c r="I750" s="53"/>
      <c r="J750" t="s">
        <v>758</v>
      </c>
      <c r="K750" s="243"/>
      <c r="L750" s="16">
        <v>80</v>
      </c>
      <c r="O750" s="58"/>
    </row>
    <row r="751" spans="9:15" x14ac:dyDescent="0.4">
      <c r="I751" s="53"/>
      <c r="K751" s="243"/>
      <c r="L751" s="16"/>
      <c r="O751" s="58"/>
    </row>
    <row r="752" spans="9:15" x14ac:dyDescent="0.4">
      <c r="I752" s="53"/>
      <c r="J752" t="s">
        <v>779</v>
      </c>
      <c r="K752" s="243"/>
      <c r="L752" s="16">
        <v>20000</v>
      </c>
      <c r="O752" s="54"/>
    </row>
    <row r="753" spans="9:15" x14ac:dyDescent="0.4">
      <c r="I753" s="53"/>
      <c r="K753" s="243"/>
      <c r="O753" s="54"/>
    </row>
    <row r="754" spans="9:15" x14ac:dyDescent="0.4">
      <c r="I754" s="53"/>
      <c r="J754" t="s">
        <v>712</v>
      </c>
      <c r="L754" s="16">
        <f>SUM(L730:L752)</f>
        <v>822327</v>
      </c>
      <c r="N754" t="s">
        <v>712</v>
      </c>
      <c r="O754" s="58">
        <f>SUM(O730:O752)</f>
        <v>377030</v>
      </c>
    </row>
    <row r="755" spans="9:15" x14ac:dyDescent="0.4">
      <c r="I755" s="53"/>
      <c r="J755" t="s">
        <v>820</v>
      </c>
      <c r="L755" s="16">
        <f>L732+L733+L734+L735+L737+L738+L740+L741+L742+L743+L746+L747+L748+L750</f>
        <v>165405</v>
      </c>
      <c r="N755" t="s">
        <v>787</v>
      </c>
      <c r="O755" s="58">
        <f>L754-O754</f>
        <v>445297</v>
      </c>
    </row>
    <row r="756" spans="9:15" x14ac:dyDescent="0.4">
      <c r="I756" s="53"/>
      <c r="O756" s="58"/>
    </row>
    <row r="757" spans="9:15" x14ac:dyDescent="0.4">
      <c r="I757" s="53"/>
      <c r="J757" s="50" t="s">
        <v>555</v>
      </c>
      <c r="K757" s="240" t="s">
        <v>556</v>
      </c>
      <c r="L757" s="75">
        <v>8000</v>
      </c>
      <c r="O757" s="58"/>
    </row>
    <row r="758" spans="9:15" x14ac:dyDescent="0.4">
      <c r="I758" s="53"/>
      <c r="J758" s="55" t="s">
        <v>557</v>
      </c>
      <c r="K758" s="241" t="s">
        <v>558</v>
      </c>
      <c r="L758" s="124">
        <v>8000</v>
      </c>
      <c r="O758" s="58"/>
    </row>
    <row r="759" spans="9:15" x14ac:dyDescent="0.4">
      <c r="I759" s="55"/>
      <c r="J759" s="56"/>
      <c r="K759" s="56"/>
      <c r="L759" s="57"/>
      <c r="M759" s="56"/>
      <c r="N759" s="56"/>
      <c r="O759" s="124"/>
    </row>
    <row r="762" spans="9:15" x14ac:dyDescent="0.4">
      <c r="I762" s="50" t="s">
        <v>700</v>
      </c>
      <c r="J762" s="51"/>
      <c r="K762" s="51"/>
      <c r="L762" s="51"/>
      <c r="M762" s="51"/>
      <c r="N762" s="51"/>
      <c r="O762" s="52"/>
    </row>
    <row r="763" spans="9:15" ht="18" customHeight="1" thickBot="1" x14ac:dyDescent="0.45">
      <c r="I763" s="53"/>
      <c r="J763" s="47"/>
      <c r="K763" s="47"/>
      <c r="L763" s="47"/>
      <c r="M763" s="47"/>
      <c r="N763" s="47"/>
      <c r="O763" s="242" t="s">
        <v>829</v>
      </c>
    </row>
    <row r="764" spans="9:15" x14ac:dyDescent="0.4">
      <c r="I764" s="53"/>
      <c r="J764" t="s">
        <v>702</v>
      </c>
      <c r="K764" s="243" t="s">
        <v>794</v>
      </c>
      <c r="L764" s="16">
        <v>600000</v>
      </c>
      <c r="N764" t="s">
        <v>783</v>
      </c>
      <c r="O764" s="58">
        <v>348150</v>
      </c>
    </row>
    <row r="765" spans="9:15" x14ac:dyDescent="0.4">
      <c r="I765" s="53"/>
      <c r="K765" s="243"/>
      <c r="L765" s="16"/>
      <c r="O765" s="58"/>
    </row>
    <row r="766" spans="9:15" x14ac:dyDescent="0.4">
      <c r="I766" s="53"/>
      <c r="J766" t="s">
        <v>704</v>
      </c>
      <c r="K766" s="243" t="s">
        <v>795</v>
      </c>
      <c r="L766" s="16">
        <v>2007</v>
      </c>
      <c r="N766" t="s">
        <v>796</v>
      </c>
      <c r="O766" s="58">
        <v>16380</v>
      </c>
    </row>
    <row r="767" spans="9:15" x14ac:dyDescent="0.4">
      <c r="I767" s="53"/>
      <c r="J767" t="s">
        <v>776</v>
      </c>
      <c r="K767" s="243" t="s">
        <v>797</v>
      </c>
      <c r="L767" s="16">
        <v>2735</v>
      </c>
      <c r="N767" t="s">
        <v>798</v>
      </c>
      <c r="O767" s="58">
        <v>9440</v>
      </c>
    </row>
    <row r="768" spans="9:15" x14ac:dyDescent="0.4">
      <c r="I768" s="53"/>
      <c r="J768" t="s">
        <v>799</v>
      </c>
      <c r="K768" s="243"/>
      <c r="L768" s="16">
        <v>10025</v>
      </c>
      <c r="O768" s="58"/>
    </row>
    <row r="769" spans="9:23" x14ac:dyDescent="0.4">
      <c r="I769" s="53"/>
      <c r="J769" t="s">
        <v>800</v>
      </c>
      <c r="K769" s="243" t="s">
        <v>801</v>
      </c>
      <c r="L769" s="16">
        <v>50</v>
      </c>
      <c r="O769" s="58"/>
      <c r="P769" t="s">
        <v>830</v>
      </c>
    </row>
    <row r="770" spans="9:23" x14ac:dyDescent="0.4">
      <c r="I770" s="53"/>
      <c r="J770" t="s">
        <v>802</v>
      </c>
      <c r="K770" s="243" t="s">
        <v>803</v>
      </c>
      <c r="L770" s="16">
        <v>8100</v>
      </c>
      <c r="O770" s="58"/>
      <c r="R770" t="s">
        <v>831</v>
      </c>
      <c r="S770" t="s">
        <v>832</v>
      </c>
      <c r="U770" t="s">
        <v>833</v>
      </c>
    </row>
    <row r="771" spans="9:23" x14ac:dyDescent="0.4">
      <c r="I771" s="53"/>
      <c r="J771" t="s">
        <v>785</v>
      </c>
      <c r="K771" s="243" t="s">
        <v>806</v>
      </c>
      <c r="L771" s="16">
        <v>80</v>
      </c>
      <c r="O771" s="54"/>
      <c r="Q771" t="s">
        <v>735</v>
      </c>
      <c r="R771" s="2">
        <f>10000+117900</f>
        <v>127900</v>
      </c>
      <c r="S771" s="281">
        <f>10000+123100</f>
        <v>133100</v>
      </c>
      <c r="T771" t="s">
        <v>834</v>
      </c>
      <c r="U771" t="s">
        <v>835</v>
      </c>
    </row>
    <row r="772" spans="9:23" x14ac:dyDescent="0.4">
      <c r="I772" s="53"/>
      <c r="J772" t="s">
        <v>807</v>
      </c>
      <c r="K772" s="243" t="s">
        <v>808</v>
      </c>
      <c r="L772" s="16">
        <v>10334</v>
      </c>
      <c r="O772" s="54"/>
      <c r="Q772" t="s">
        <v>836</v>
      </c>
      <c r="R772" s="2">
        <v>127900</v>
      </c>
      <c r="S772" s="281">
        <v>133100</v>
      </c>
      <c r="T772" t="s">
        <v>837</v>
      </c>
    </row>
    <row r="773" spans="9:23" x14ac:dyDescent="0.4">
      <c r="I773" s="53"/>
      <c r="K773" s="243"/>
      <c r="L773" s="16"/>
      <c r="O773" s="54"/>
      <c r="Q773" t="s">
        <v>838</v>
      </c>
      <c r="R773" s="2">
        <v>127900</v>
      </c>
      <c r="S773" s="281">
        <v>133100</v>
      </c>
      <c r="T773" t="s">
        <v>837</v>
      </c>
    </row>
    <row r="774" spans="9:23" x14ac:dyDescent="0.4">
      <c r="I774" s="53"/>
      <c r="J774" t="s">
        <v>789</v>
      </c>
      <c r="K774" s="243" t="s">
        <v>809</v>
      </c>
      <c r="L774" s="16">
        <v>53892</v>
      </c>
      <c r="O774" s="54"/>
      <c r="Q774" t="s">
        <v>839</v>
      </c>
      <c r="R774" s="2">
        <v>127900</v>
      </c>
      <c r="S774" s="281">
        <v>133100</v>
      </c>
      <c r="T774" t="s">
        <v>837</v>
      </c>
    </row>
    <row r="775" spans="9:23" x14ac:dyDescent="0.4">
      <c r="I775" s="53"/>
      <c r="J775" t="s">
        <v>708</v>
      </c>
      <c r="K775" s="243" t="s">
        <v>810</v>
      </c>
      <c r="L775" s="16">
        <v>85000</v>
      </c>
      <c r="O775" s="58"/>
      <c r="Q775" t="s">
        <v>840</v>
      </c>
      <c r="R775" s="2">
        <v>127900</v>
      </c>
      <c r="S775" s="281">
        <v>133100</v>
      </c>
      <c r="T775" t="s">
        <v>837</v>
      </c>
    </row>
    <row r="776" spans="9:23" x14ac:dyDescent="0.4">
      <c r="I776" s="53"/>
      <c r="J776" t="s">
        <v>811</v>
      </c>
      <c r="K776" s="243" t="s">
        <v>812</v>
      </c>
      <c r="L776" s="16">
        <v>0</v>
      </c>
      <c r="O776" s="58"/>
      <c r="Q776" t="s">
        <v>841</v>
      </c>
      <c r="R776" s="2">
        <v>127900</v>
      </c>
      <c r="S776" s="281">
        <v>133100</v>
      </c>
      <c r="T776" t="s">
        <v>842</v>
      </c>
      <c r="V776" t="s">
        <v>843</v>
      </c>
    </row>
    <row r="777" spans="9:23" x14ac:dyDescent="0.4">
      <c r="I777" s="53"/>
      <c r="J777" t="s">
        <v>813</v>
      </c>
      <c r="K777" s="243"/>
      <c r="L777" s="16">
        <v>18607</v>
      </c>
      <c r="O777" s="58"/>
      <c r="Q777" t="s">
        <v>844</v>
      </c>
      <c r="R777" s="2">
        <v>127900</v>
      </c>
      <c r="S777" s="282">
        <v>133100</v>
      </c>
      <c r="T777" t="s">
        <v>845</v>
      </c>
      <c r="V777" t="s">
        <v>846</v>
      </c>
    </row>
    <row r="778" spans="9:23" x14ac:dyDescent="0.4">
      <c r="I778" s="53"/>
      <c r="J778" t="s">
        <v>804</v>
      </c>
      <c r="K778" s="243" t="s">
        <v>805</v>
      </c>
      <c r="L778" s="16">
        <v>17496</v>
      </c>
      <c r="O778" s="54"/>
      <c r="Q778" t="s">
        <v>739</v>
      </c>
      <c r="R778" s="2">
        <v>383700</v>
      </c>
      <c r="S778" s="2">
        <v>399300</v>
      </c>
      <c r="T778" t="s">
        <v>847</v>
      </c>
      <c r="V778" t="s">
        <v>848</v>
      </c>
    </row>
    <row r="779" spans="9:23" x14ac:dyDescent="0.4">
      <c r="I779" s="53"/>
      <c r="J779" t="s">
        <v>824</v>
      </c>
      <c r="K779" s="243" t="s">
        <v>825</v>
      </c>
      <c r="L779" s="16">
        <v>1751</v>
      </c>
      <c r="O779" s="58"/>
      <c r="Q779" s="279" t="s">
        <v>849</v>
      </c>
      <c r="R779" s="280">
        <f>SUM(R771:R778)</f>
        <v>1279000</v>
      </c>
      <c r="S779" s="280">
        <f>SUM(S771:S778)</f>
        <v>1331000</v>
      </c>
      <c r="V779" t="s">
        <v>850</v>
      </c>
    </row>
    <row r="780" spans="9:23" x14ac:dyDescent="0.4">
      <c r="I780" s="53"/>
      <c r="J780" t="s">
        <v>706</v>
      </c>
      <c r="K780" s="243" t="s">
        <v>814</v>
      </c>
      <c r="L780" s="16">
        <v>0</v>
      </c>
      <c r="O780" s="54"/>
      <c r="Q780" t="s">
        <v>851</v>
      </c>
      <c r="R780" s="2">
        <v>24000</v>
      </c>
      <c r="S780" s="2">
        <v>24000</v>
      </c>
    </row>
    <row r="781" spans="9:23" x14ac:dyDescent="0.4">
      <c r="I781" s="53"/>
      <c r="J781" t="s">
        <v>815</v>
      </c>
      <c r="K781" s="243"/>
      <c r="L781" s="16">
        <v>0</v>
      </c>
      <c r="O781" s="58"/>
      <c r="Q781" t="s">
        <v>852</v>
      </c>
      <c r="R781" s="2">
        <v>5700</v>
      </c>
      <c r="S781" s="2">
        <v>5700</v>
      </c>
    </row>
    <row r="782" spans="9:23" x14ac:dyDescent="0.4">
      <c r="I782" s="53"/>
      <c r="J782" t="s">
        <v>816</v>
      </c>
      <c r="K782" s="243" t="s">
        <v>817</v>
      </c>
      <c r="L782" s="16">
        <v>0</v>
      </c>
      <c r="O782" s="58"/>
      <c r="Q782" t="s">
        <v>853</v>
      </c>
      <c r="R782" s="2">
        <v>350</v>
      </c>
      <c r="S782" s="2">
        <v>350</v>
      </c>
    </row>
    <row r="783" spans="9:23" x14ac:dyDescent="0.4">
      <c r="I783" s="53"/>
      <c r="J783" t="s">
        <v>818</v>
      </c>
      <c r="K783" s="243" t="s">
        <v>819</v>
      </c>
      <c r="L783" s="16">
        <v>11180</v>
      </c>
      <c r="O783" s="58"/>
      <c r="Q783" t="s">
        <v>854</v>
      </c>
      <c r="R783" s="2">
        <v>6500</v>
      </c>
      <c r="S783" s="2">
        <v>6500</v>
      </c>
      <c r="V783">
        <f>54000*0.05</f>
        <v>2700</v>
      </c>
      <c r="W783">
        <f>V783/12</f>
        <v>225</v>
      </c>
    </row>
    <row r="784" spans="9:23" x14ac:dyDescent="0.4">
      <c r="I784" s="53"/>
      <c r="J784" t="s">
        <v>758</v>
      </c>
      <c r="K784" s="243"/>
      <c r="L784" s="16">
        <v>83</v>
      </c>
      <c r="O784" s="58"/>
      <c r="Q784" t="s">
        <v>855</v>
      </c>
      <c r="R784" s="2">
        <v>1150</v>
      </c>
      <c r="S784" s="2">
        <v>1150</v>
      </c>
      <c r="W784">
        <f>54000/240</f>
        <v>225</v>
      </c>
    </row>
    <row r="785" spans="9:19" x14ac:dyDescent="0.4">
      <c r="I785" s="53"/>
      <c r="K785" s="243"/>
      <c r="L785" s="16"/>
      <c r="O785" s="58"/>
      <c r="Q785" t="s">
        <v>856</v>
      </c>
      <c r="R785" s="2">
        <v>400</v>
      </c>
      <c r="S785" s="2">
        <v>400</v>
      </c>
    </row>
    <row r="786" spans="9:19" x14ac:dyDescent="0.4">
      <c r="I786" s="53"/>
      <c r="J786" t="s">
        <v>779</v>
      </c>
      <c r="K786" s="243"/>
      <c r="L786" s="16">
        <v>20000</v>
      </c>
      <c r="O786" s="54"/>
      <c r="Q786" t="s">
        <v>857</v>
      </c>
      <c r="R786" s="2">
        <v>350</v>
      </c>
      <c r="S786" s="2">
        <v>350</v>
      </c>
    </row>
    <row r="787" spans="9:19" x14ac:dyDescent="0.4">
      <c r="I787" s="53"/>
      <c r="K787" s="243"/>
      <c r="O787" s="54"/>
      <c r="Q787" t="s">
        <v>858</v>
      </c>
      <c r="R787" s="2">
        <v>3650</v>
      </c>
      <c r="S787" s="2">
        <v>3650</v>
      </c>
    </row>
    <row r="788" spans="9:19" x14ac:dyDescent="0.4">
      <c r="I788" s="53"/>
      <c r="J788" t="s">
        <v>712</v>
      </c>
      <c r="L788" s="16">
        <f>SUM(L764:L786)</f>
        <v>841340</v>
      </c>
      <c r="N788" t="s">
        <v>712</v>
      </c>
      <c r="O788" s="58">
        <f>SUM(O764:O786)</f>
        <v>373970</v>
      </c>
      <c r="Q788" t="s">
        <v>859</v>
      </c>
      <c r="R788" s="2">
        <v>5700</v>
      </c>
      <c r="S788" s="2">
        <v>5700</v>
      </c>
    </row>
    <row r="789" spans="9:19" x14ac:dyDescent="0.4">
      <c r="I789" s="53"/>
      <c r="J789" t="s">
        <v>820</v>
      </c>
      <c r="L789" s="16">
        <f>L766+L767+L768+L769+L771+L772+L774+L775+L776+L777+L780+L781+L782+L784</f>
        <v>182813</v>
      </c>
      <c r="N789" t="s">
        <v>787</v>
      </c>
      <c r="O789" s="58">
        <f>L788-O788</f>
        <v>467370</v>
      </c>
      <c r="Q789" t="s">
        <v>860</v>
      </c>
      <c r="R789" s="2">
        <v>2350</v>
      </c>
      <c r="S789" s="2">
        <v>23550</v>
      </c>
    </row>
    <row r="790" spans="9:19" x14ac:dyDescent="0.4">
      <c r="I790" s="53"/>
      <c r="O790" s="58"/>
      <c r="Q790" t="s">
        <v>861</v>
      </c>
      <c r="R790" s="2">
        <v>12300</v>
      </c>
      <c r="S790" s="2">
        <v>12300</v>
      </c>
    </row>
    <row r="791" spans="9:19" x14ac:dyDescent="0.4">
      <c r="I791" s="53"/>
      <c r="J791" s="50" t="s">
        <v>555</v>
      </c>
      <c r="K791" s="240" t="s">
        <v>556</v>
      </c>
      <c r="L791" s="75">
        <v>8000</v>
      </c>
      <c r="O791" s="58"/>
      <c r="Q791" t="s">
        <v>862</v>
      </c>
      <c r="R791" s="2">
        <v>1300</v>
      </c>
      <c r="S791" s="2">
        <v>1300</v>
      </c>
    </row>
    <row r="792" spans="9:19" x14ac:dyDescent="0.4">
      <c r="I792" s="53"/>
      <c r="J792" s="55" t="s">
        <v>557</v>
      </c>
      <c r="K792" s="241" t="s">
        <v>558</v>
      </c>
      <c r="L792" s="124">
        <v>8000</v>
      </c>
      <c r="O792" s="58"/>
      <c r="Q792" t="s">
        <v>863</v>
      </c>
      <c r="R792" s="2">
        <v>11800</v>
      </c>
      <c r="S792" s="2">
        <v>11800</v>
      </c>
    </row>
    <row r="793" spans="9:19" x14ac:dyDescent="0.4">
      <c r="I793" s="55"/>
      <c r="J793" s="56"/>
      <c r="K793" s="56"/>
      <c r="L793" s="57"/>
      <c r="M793" s="56"/>
      <c r="N793" s="56"/>
      <c r="O793" s="124"/>
      <c r="Q793" t="s">
        <v>864</v>
      </c>
      <c r="R793" s="2">
        <v>2650</v>
      </c>
      <c r="S793" s="2">
        <v>2650</v>
      </c>
    </row>
    <row r="794" spans="9:19" x14ac:dyDescent="0.4">
      <c r="Q794" t="s">
        <v>865</v>
      </c>
      <c r="R794" s="2">
        <v>800</v>
      </c>
      <c r="S794" s="2">
        <v>800</v>
      </c>
    </row>
    <row r="795" spans="9:19" x14ac:dyDescent="0.4">
      <c r="Q795" t="s">
        <v>866</v>
      </c>
      <c r="R795" s="2">
        <v>11800</v>
      </c>
      <c r="S795" s="2">
        <v>11800</v>
      </c>
    </row>
    <row r="796" spans="9:19" x14ac:dyDescent="0.4">
      <c r="Q796" s="279" t="s">
        <v>867</v>
      </c>
      <c r="R796" s="280">
        <f>SUM(R780:R795)</f>
        <v>90800</v>
      </c>
      <c r="S796" s="280">
        <f>SUM(S780:S795)</f>
        <v>112000</v>
      </c>
    </row>
    <row r="799" spans="9:19" x14ac:dyDescent="0.4">
      <c r="I799" s="50" t="s">
        <v>700</v>
      </c>
      <c r="J799" s="51"/>
      <c r="K799" s="51"/>
      <c r="L799" s="51"/>
      <c r="M799" s="51"/>
      <c r="N799" s="51"/>
      <c r="O799" s="52"/>
    </row>
    <row r="800" spans="9:19" ht="18" customHeight="1" thickBot="1" x14ac:dyDescent="0.45">
      <c r="I800" s="53"/>
      <c r="J800" s="47"/>
      <c r="K800" s="47"/>
      <c r="L800" s="47"/>
      <c r="M800" s="47"/>
      <c r="N800" s="47"/>
      <c r="O800" s="242" t="s">
        <v>868</v>
      </c>
    </row>
    <row r="801" spans="8:25" x14ac:dyDescent="0.4">
      <c r="I801" s="53"/>
      <c r="J801" t="s">
        <v>702</v>
      </c>
      <c r="K801" s="243" t="s">
        <v>794</v>
      </c>
      <c r="L801" s="16">
        <v>600000</v>
      </c>
      <c r="N801" t="s">
        <v>783</v>
      </c>
      <c r="O801" s="58">
        <v>348150</v>
      </c>
      <c r="R801" s="2"/>
      <c r="S801" s="2"/>
    </row>
    <row r="802" spans="8:25" x14ac:dyDescent="0.4">
      <c r="I802" s="53"/>
      <c r="K802" s="243"/>
      <c r="L802" s="16"/>
      <c r="O802" s="58"/>
      <c r="R802" s="2"/>
      <c r="S802" s="2"/>
      <c r="V802" t="s">
        <v>869</v>
      </c>
      <c r="X802" s="2"/>
      <c r="Y802" s="2"/>
    </row>
    <row r="803" spans="8:25" x14ac:dyDescent="0.4">
      <c r="I803" s="53"/>
      <c r="J803" t="s">
        <v>704</v>
      </c>
      <c r="K803" s="243" t="s">
        <v>795</v>
      </c>
      <c r="L803" s="16">
        <v>0</v>
      </c>
      <c r="N803" t="s">
        <v>796</v>
      </c>
      <c r="O803" s="58">
        <v>15900</v>
      </c>
      <c r="R803" s="2"/>
      <c r="S803" s="2"/>
      <c r="T803" s="16">
        <f>L804+L805+R813</f>
        <v>64398</v>
      </c>
      <c r="U803" t="s">
        <v>735</v>
      </c>
      <c r="V803" s="2">
        <v>168000000</v>
      </c>
      <c r="W803" t="s">
        <v>870</v>
      </c>
      <c r="X803" s="2">
        <v>1103760000</v>
      </c>
      <c r="Y803" s="2"/>
    </row>
    <row r="804" spans="8:25" x14ac:dyDescent="0.4">
      <c r="I804" s="53"/>
      <c r="J804" t="s">
        <v>776</v>
      </c>
      <c r="K804" s="243" t="s">
        <v>797</v>
      </c>
      <c r="L804" s="385">
        <v>11785</v>
      </c>
      <c r="N804" t="s">
        <v>798</v>
      </c>
      <c r="O804" s="58">
        <v>4260</v>
      </c>
      <c r="S804" s="2"/>
      <c r="U804" t="s">
        <v>871</v>
      </c>
      <c r="V804" s="2">
        <v>168000000</v>
      </c>
      <c r="W804" t="s">
        <v>872</v>
      </c>
      <c r="X804" s="2">
        <v>576240000</v>
      </c>
      <c r="Y804" s="2"/>
    </row>
    <row r="805" spans="8:25" x14ac:dyDescent="0.4">
      <c r="I805" s="53"/>
      <c r="J805" t="s">
        <v>799</v>
      </c>
      <c r="K805" s="243"/>
      <c r="L805" s="385">
        <v>7613</v>
      </c>
      <c r="O805" s="58"/>
      <c r="S805" s="2"/>
      <c r="V805" s="2">
        <v>168000000</v>
      </c>
      <c r="W805" t="s">
        <v>873</v>
      </c>
      <c r="X805" s="2">
        <v>1680000000</v>
      </c>
      <c r="Y805" s="2"/>
    </row>
    <row r="806" spans="8:25" x14ac:dyDescent="0.4">
      <c r="I806" s="53"/>
      <c r="J806" t="s">
        <v>800</v>
      </c>
      <c r="K806" s="243" t="s">
        <v>801</v>
      </c>
      <c r="L806" s="16">
        <v>74</v>
      </c>
      <c r="O806" s="58"/>
      <c r="Q806" t="s">
        <v>874</v>
      </c>
      <c r="R806" s="2">
        <v>250000</v>
      </c>
      <c r="S806" s="2"/>
      <c r="V806" s="2">
        <v>168000000</v>
      </c>
      <c r="Y806" s="2"/>
    </row>
    <row r="807" spans="8:25" x14ac:dyDescent="0.4">
      <c r="I807" s="53"/>
      <c r="J807" t="s">
        <v>802</v>
      </c>
      <c r="K807" s="243" t="s">
        <v>803</v>
      </c>
      <c r="L807" s="16">
        <v>9177</v>
      </c>
      <c r="O807" s="58"/>
      <c r="Q807" t="s">
        <v>614</v>
      </c>
      <c r="R807" s="2">
        <v>400000</v>
      </c>
      <c r="S807" s="2"/>
      <c r="V807" s="2">
        <v>168000000</v>
      </c>
      <c r="Y807" s="2"/>
    </row>
    <row r="808" spans="8:25" x14ac:dyDescent="0.4">
      <c r="I808" s="53"/>
      <c r="J808" t="s">
        <v>785</v>
      </c>
      <c r="K808" s="243" t="s">
        <v>806</v>
      </c>
      <c r="L808" s="16">
        <v>0</v>
      </c>
      <c r="O808" s="54"/>
      <c r="Q808" t="s">
        <v>875</v>
      </c>
      <c r="R808" s="2">
        <v>200000</v>
      </c>
      <c r="S808" s="2"/>
      <c r="V808" s="2">
        <v>168000000</v>
      </c>
      <c r="Y808" s="2"/>
    </row>
    <row r="809" spans="8:25" x14ac:dyDescent="0.4">
      <c r="I809" s="53"/>
      <c r="J809" t="s">
        <v>807</v>
      </c>
      <c r="K809" s="243" t="s">
        <v>808</v>
      </c>
      <c r="L809" s="16">
        <v>12700</v>
      </c>
      <c r="O809" s="54"/>
      <c r="Q809" t="s">
        <v>876</v>
      </c>
      <c r="R809" s="2">
        <v>20000</v>
      </c>
      <c r="S809" s="2"/>
      <c r="V809" s="2">
        <v>168000000</v>
      </c>
      <c r="Y809" s="2"/>
    </row>
    <row r="810" spans="8:25" x14ac:dyDescent="0.4">
      <c r="I810" s="53"/>
      <c r="K810" s="243"/>
      <c r="L810" s="16"/>
      <c r="O810" s="54"/>
      <c r="R810" s="2"/>
      <c r="S810" s="2"/>
      <c r="U810" t="s">
        <v>739</v>
      </c>
      <c r="V810" s="2">
        <v>504000000</v>
      </c>
      <c r="Y810" s="2"/>
    </row>
    <row r="811" spans="8:25" x14ac:dyDescent="0.4">
      <c r="H811" s="16"/>
      <c r="I811" s="53"/>
      <c r="J811" t="s">
        <v>789</v>
      </c>
      <c r="K811" s="243" t="s">
        <v>809</v>
      </c>
      <c r="L811" s="16">
        <v>56102</v>
      </c>
      <c r="O811" s="54"/>
      <c r="Q811" t="s">
        <v>877</v>
      </c>
      <c r="R811" s="2">
        <v>100000</v>
      </c>
      <c r="S811" s="2"/>
      <c r="Y811" s="2"/>
    </row>
    <row r="812" spans="8:25" x14ac:dyDescent="0.4">
      <c r="H812" s="16"/>
      <c r="I812" s="53"/>
      <c r="J812" t="s">
        <v>708</v>
      </c>
      <c r="K812" s="243" t="s">
        <v>810</v>
      </c>
      <c r="L812" s="16">
        <v>91153</v>
      </c>
      <c r="O812" s="58"/>
      <c r="R812" s="2"/>
      <c r="S812" s="2"/>
      <c r="U812" t="s">
        <v>878</v>
      </c>
      <c r="V812" s="2">
        <v>25510000</v>
      </c>
      <c r="Y812" s="2"/>
    </row>
    <row r="813" spans="8:25" x14ac:dyDescent="0.4">
      <c r="I813" s="53"/>
      <c r="J813" t="s">
        <v>811</v>
      </c>
      <c r="K813" s="243" t="s">
        <v>812</v>
      </c>
      <c r="L813" s="16">
        <v>0</v>
      </c>
      <c r="O813" s="58"/>
      <c r="Q813" t="s">
        <v>709</v>
      </c>
      <c r="R813" s="386">
        <v>45000</v>
      </c>
      <c r="V813" s="2"/>
      <c r="X813" s="2"/>
      <c r="Y813" s="2"/>
    </row>
    <row r="814" spans="8:25" x14ac:dyDescent="0.4">
      <c r="H814" s="16"/>
      <c r="I814" s="53"/>
      <c r="J814" t="s">
        <v>813</v>
      </c>
      <c r="K814" s="243"/>
      <c r="L814" s="16">
        <v>20074</v>
      </c>
      <c r="O814" s="58"/>
      <c r="Q814" t="s">
        <v>770</v>
      </c>
      <c r="R814" s="2">
        <v>95000</v>
      </c>
      <c r="V814" s="2"/>
      <c r="Y814" s="2"/>
    </row>
    <row r="815" spans="8:25" x14ac:dyDescent="0.4">
      <c r="H815" s="16"/>
      <c r="I815" s="53"/>
      <c r="J815" t="s">
        <v>804</v>
      </c>
      <c r="K815" s="243" t="s">
        <v>805</v>
      </c>
      <c r="L815" s="16">
        <v>22028</v>
      </c>
      <c r="O815" s="54"/>
      <c r="Q815" t="s">
        <v>879</v>
      </c>
      <c r="R815" s="2">
        <v>50000</v>
      </c>
      <c r="V815" s="2"/>
      <c r="X815" s="2"/>
      <c r="Y815" s="2"/>
    </row>
    <row r="816" spans="8:25" x14ac:dyDescent="0.4">
      <c r="H816" s="16"/>
      <c r="I816" s="53"/>
      <c r="J816" t="s">
        <v>824</v>
      </c>
      <c r="K816" s="243" t="s">
        <v>825</v>
      </c>
      <c r="L816" s="16">
        <v>4228</v>
      </c>
      <c r="O816" s="58"/>
      <c r="Q816" t="s">
        <v>880</v>
      </c>
      <c r="R816" s="2">
        <v>100000</v>
      </c>
      <c r="X816" s="2"/>
      <c r="Y816" s="2"/>
    </row>
    <row r="817" spans="8:25" x14ac:dyDescent="0.4">
      <c r="I817" s="53"/>
      <c r="J817" t="s">
        <v>706</v>
      </c>
      <c r="K817" s="243" t="s">
        <v>814</v>
      </c>
      <c r="L817" s="16">
        <v>0</v>
      </c>
      <c r="O817" s="54"/>
      <c r="Q817" t="s">
        <v>881</v>
      </c>
      <c r="R817" s="2">
        <v>300000</v>
      </c>
      <c r="U817" t="s">
        <v>854</v>
      </c>
      <c r="V817" s="2">
        <v>7370000</v>
      </c>
      <c r="X817" s="2"/>
      <c r="Y817" s="2"/>
    </row>
    <row r="818" spans="8:25" x14ac:dyDescent="0.4">
      <c r="I818" s="53"/>
      <c r="J818" t="s">
        <v>815</v>
      </c>
      <c r="K818" s="243"/>
      <c r="L818" s="16">
        <v>0</v>
      </c>
      <c r="O818" s="58"/>
      <c r="U818" t="s">
        <v>882</v>
      </c>
      <c r="V818" s="2">
        <v>495000</v>
      </c>
      <c r="X818" s="2"/>
      <c r="Y818" s="2"/>
    </row>
    <row r="819" spans="8:25" x14ac:dyDescent="0.4">
      <c r="I819" s="53"/>
      <c r="J819" t="s">
        <v>816</v>
      </c>
      <c r="K819" s="243" t="s">
        <v>817</v>
      </c>
      <c r="L819" s="16">
        <v>0</v>
      </c>
      <c r="O819" s="58"/>
      <c r="R819" s="2" t="s">
        <v>883</v>
      </c>
      <c r="S819">
        <v>60000</v>
      </c>
      <c r="U819" t="s">
        <v>855</v>
      </c>
      <c r="V819" s="2">
        <v>1320000</v>
      </c>
      <c r="X819" s="2"/>
      <c r="Y819" s="2"/>
    </row>
    <row r="820" spans="8:25" x14ac:dyDescent="0.4">
      <c r="H820" s="16"/>
      <c r="I820" s="53"/>
      <c r="J820" t="s">
        <v>818</v>
      </c>
      <c r="K820" s="243" t="s">
        <v>819</v>
      </c>
      <c r="L820" s="16">
        <v>15188</v>
      </c>
      <c r="O820" s="58"/>
      <c r="S820">
        <f>S819*0.05/12</f>
        <v>250</v>
      </c>
      <c r="U820" t="s">
        <v>856</v>
      </c>
      <c r="V820" s="2">
        <v>1210000</v>
      </c>
      <c r="X820" s="2"/>
      <c r="Y820" s="2"/>
    </row>
    <row r="821" spans="8:25" x14ac:dyDescent="0.4">
      <c r="I821" s="53"/>
      <c r="J821" t="s">
        <v>758</v>
      </c>
      <c r="K821" s="243"/>
      <c r="L821" s="16">
        <v>56</v>
      </c>
      <c r="O821" s="58"/>
      <c r="U821" s="402" t="s">
        <v>884</v>
      </c>
      <c r="V821" s="167">
        <v>1320000</v>
      </c>
      <c r="X821" s="2"/>
      <c r="Y821" s="2"/>
    </row>
    <row r="822" spans="8:25" x14ac:dyDescent="0.4">
      <c r="I822" s="53"/>
      <c r="K822" s="243"/>
      <c r="L822" s="16"/>
      <c r="O822" s="58"/>
      <c r="U822" s="402" t="s">
        <v>885</v>
      </c>
      <c r="V822" s="167">
        <v>990000</v>
      </c>
      <c r="X822" s="2"/>
      <c r="Y822" s="2"/>
    </row>
    <row r="823" spans="8:25" x14ac:dyDescent="0.4">
      <c r="I823" s="53"/>
      <c r="J823" t="s">
        <v>779</v>
      </c>
      <c r="K823" s="243"/>
      <c r="L823" s="16">
        <v>20000</v>
      </c>
      <c r="O823" s="54"/>
      <c r="U823" t="s">
        <v>886</v>
      </c>
      <c r="V823" s="2">
        <v>880000</v>
      </c>
      <c r="X823" s="2"/>
      <c r="Y823" s="2"/>
    </row>
    <row r="824" spans="8:25" x14ac:dyDescent="0.4">
      <c r="I824" s="53"/>
      <c r="K824" s="243"/>
      <c r="O824" s="54"/>
      <c r="U824" t="s">
        <v>887</v>
      </c>
      <c r="V824" s="2">
        <v>13750000</v>
      </c>
    </row>
    <row r="825" spans="8:25" x14ac:dyDescent="0.4">
      <c r="I825" s="53"/>
      <c r="J825" t="s">
        <v>712</v>
      </c>
      <c r="L825" s="16">
        <f>SUM(L801:L823)</f>
        <v>870178</v>
      </c>
      <c r="N825" t="s">
        <v>712</v>
      </c>
      <c r="O825" s="58">
        <f>SUM(O801:O823)</f>
        <v>368310</v>
      </c>
      <c r="U825" s="402" t="s">
        <v>888</v>
      </c>
      <c r="V825" s="167">
        <v>1980000</v>
      </c>
    </row>
    <row r="826" spans="8:25" x14ac:dyDescent="0.4">
      <c r="I826" s="53"/>
      <c r="J826" t="s">
        <v>820</v>
      </c>
      <c r="L826" s="16">
        <f>L803+L804+L805+L806+L808+L809+L811+L812+L813+L814+L817+L818+L819+L821</f>
        <v>199557</v>
      </c>
      <c r="N826" t="s">
        <v>787</v>
      </c>
      <c r="O826" s="58">
        <f>L825-O825</f>
        <v>501868</v>
      </c>
      <c r="U826" s="402" t="s">
        <v>889</v>
      </c>
      <c r="V826" s="167">
        <v>2145000</v>
      </c>
    </row>
    <row r="827" spans="8:25" x14ac:dyDescent="0.4">
      <c r="I827" s="53"/>
      <c r="O827" s="58"/>
      <c r="U827" s="402" t="s">
        <v>890</v>
      </c>
      <c r="V827" s="167">
        <v>990000</v>
      </c>
    </row>
    <row r="828" spans="8:25" x14ac:dyDescent="0.4">
      <c r="I828" s="53"/>
      <c r="J828" s="50" t="s">
        <v>555</v>
      </c>
      <c r="K828" s="240" t="s">
        <v>556</v>
      </c>
      <c r="L828" s="75">
        <v>12220</v>
      </c>
      <c r="O828" s="58"/>
      <c r="U828" t="s">
        <v>891</v>
      </c>
      <c r="V828" s="2">
        <v>1925000</v>
      </c>
    </row>
    <row r="829" spans="8:25" x14ac:dyDescent="0.4">
      <c r="I829" s="53"/>
      <c r="J829" s="55" t="s">
        <v>557</v>
      </c>
      <c r="K829" s="241" t="s">
        <v>558</v>
      </c>
      <c r="L829" s="124">
        <v>12220</v>
      </c>
      <c r="O829" s="58"/>
      <c r="U829" t="s">
        <v>892</v>
      </c>
      <c r="V829" s="2">
        <v>1320000</v>
      </c>
    </row>
    <row r="830" spans="8:25" x14ac:dyDescent="0.4">
      <c r="I830" s="55"/>
      <c r="J830" s="56"/>
      <c r="K830" s="56"/>
      <c r="L830" s="57"/>
      <c r="M830" s="56"/>
      <c r="N830" s="56"/>
      <c r="O830" s="124"/>
      <c r="U830" t="s">
        <v>893</v>
      </c>
      <c r="V830" s="2">
        <v>4950000</v>
      </c>
    </row>
    <row r="831" spans="8:25" x14ac:dyDescent="0.4">
      <c r="U831" t="s">
        <v>894</v>
      </c>
      <c r="V831" s="2">
        <v>5170000</v>
      </c>
    </row>
    <row r="832" spans="8:25" x14ac:dyDescent="0.4">
      <c r="U832" s="402" t="s">
        <v>895</v>
      </c>
      <c r="V832" s="167">
        <v>1320000</v>
      </c>
    </row>
    <row r="833" spans="21:22" x14ac:dyDescent="0.4">
      <c r="U833" t="s">
        <v>896</v>
      </c>
      <c r="V833" s="2">
        <v>4070000</v>
      </c>
    </row>
    <row r="834" spans="21:22" x14ac:dyDescent="0.4">
      <c r="U834" s="402" t="s">
        <v>852</v>
      </c>
      <c r="V834" s="167">
        <v>8965000</v>
      </c>
    </row>
    <row r="835" spans="21:22" x14ac:dyDescent="0.4">
      <c r="U835" s="402" t="s">
        <v>897</v>
      </c>
      <c r="V835" s="167">
        <v>1320000</v>
      </c>
    </row>
    <row r="836" spans="21:22" x14ac:dyDescent="0.4">
      <c r="U836" t="s">
        <v>898</v>
      </c>
      <c r="V836" s="2">
        <v>3520000</v>
      </c>
    </row>
    <row r="837" spans="21:22" x14ac:dyDescent="0.4">
      <c r="U837" t="s">
        <v>899</v>
      </c>
      <c r="V837" s="2">
        <v>1540000</v>
      </c>
    </row>
    <row r="838" spans="21:22" x14ac:dyDescent="0.4">
      <c r="U838" t="s">
        <v>899</v>
      </c>
      <c r="V838" s="2">
        <v>1100000</v>
      </c>
    </row>
  </sheetData>
  <phoneticPr fontId="9" type="noConversion"/>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CL114"/>
  <sheetViews>
    <sheetView workbookViewId="0">
      <pane xSplit="22" ySplit="3" topLeftCell="AX4" activePane="bottomRight" state="frozen"/>
      <selection pane="topRight" activeCell="W1" sqref="W1"/>
      <selection pane="bottomLeft" activeCell="A18" sqref="A18"/>
      <selection pane="bottomRight" activeCell="X14" sqref="X14:BK16"/>
    </sheetView>
  </sheetViews>
  <sheetFormatPr defaultRowHeight="17.399999999999999" x14ac:dyDescent="0.4"/>
  <cols>
    <col min="2" max="2" width="0" style="405" hidden="1"/>
    <col min="3" max="3" width="8.69921875" style="405" hidden="1" customWidth="1"/>
    <col min="4" max="4" width="15.3984375" style="405" hidden="1" customWidth="1"/>
    <col min="5" max="5" width="12" style="405" hidden="1" customWidth="1"/>
    <col min="6" max="6" width="13.69921875" style="405" hidden="1" customWidth="1"/>
    <col min="7" max="7" width="8.69921875" style="405" hidden="1" customWidth="1"/>
    <col min="8" max="8" width="13.8984375" style="405" hidden="1" customWidth="1"/>
    <col min="9" max="9" width="8.69921875" style="405" hidden="1" customWidth="1"/>
    <col min="10" max="10" width="14.19921875" style="405" hidden="1" customWidth="1"/>
    <col min="11" max="11" width="8.69921875" style="405" hidden="1" customWidth="1"/>
    <col min="12" max="12" width="15.5" style="405" hidden="1" customWidth="1"/>
    <col min="13" max="13" width="8.69921875" style="405" hidden="1" customWidth="1"/>
    <col min="14" max="14" width="14.19921875" style="405" hidden="1" customWidth="1"/>
    <col min="15" max="15" width="10.8984375" style="405" hidden="1" customWidth="1"/>
    <col min="16" max="16" width="12.3984375" style="405" hidden="1" customWidth="1"/>
    <col min="17" max="17" width="12" style="405" hidden="1" customWidth="1"/>
    <col min="18" max="18" width="13.19921875" style="405" hidden="1" customWidth="1"/>
    <col min="19" max="19" width="11.5" style="405" hidden="1" customWidth="1"/>
    <col min="22" max="23" width="14.69921875" style="405" customWidth="1"/>
    <col min="24" max="80" width="12.8984375" style="405" customWidth="1"/>
    <col min="81" max="82" width="9.8984375" style="405" customWidth="1"/>
  </cols>
  <sheetData>
    <row r="1" spans="20:86" x14ac:dyDescent="0.4">
      <c r="X1" s="394" t="s">
        <v>900</v>
      </c>
      <c r="Y1" s="399">
        <v>2404</v>
      </c>
      <c r="Z1" s="395">
        <f>VLOOKUP($Y$1,$Z$92:$AA$114,2,0)</f>
        <v>1660000000</v>
      </c>
      <c r="AA1" s="399"/>
      <c r="AB1" s="399"/>
      <c r="AC1" s="399"/>
      <c r="AD1" s="399"/>
      <c r="AE1" s="399"/>
      <c r="AF1" s="399"/>
      <c r="AG1" s="399"/>
      <c r="AH1" s="399"/>
      <c r="AI1" s="399"/>
      <c r="AJ1" s="394"/>
      <c r="AK1" s="394"/>
      <c r="AL1" s="394"/>
    </row>
    <row r="2" spans="20:86" x14ac:dyDescent="0.4">
      <c r="X2" s="394" t="s">
        <v>618</v>
      </c>
      <c r="Y2" s="394" t="s">
        <v>901</v>
      </c>
      <c r="Z2" s="401">
        <v>0.06</v>
      </c>
      <c r="AA2" s="394" t="s">
        <v>837</v>
      </c>
      <c r="AB2" s="401">
        <v>0.06</v>
      </c>
      <c r="AC2" s="394" t="s">
        <v>770</v>
      </c>
      <c r="AD2" s="401">
        <v>0.05</v>
      </c>
      <c r="AE2" s="394" t="s">
        <v>709</v>
      </c>
      <c r="AF2" s="401">
        <v>0.05</v>
      </c>
      <c r="AG2" s="394" t="s">
        <v>902</v>
      </c>
      <c r="AH2" s="401">
        <v>6.5000000000000002E-2</v>
      </c>
      <c r="AI2" s="394" t="s">
        <v>903</v>
      </c>
      <c r="AJ2" s="401">
        <v>7.0000000000000007E-2</v>
      </c>
      <c r="AK2" s="394" t="s">
        <v>904</v>
      </c>
      <c r="AL2" s="401">
        <v>0.06</v>
      </c>
    </row>
    <row r="3" spans="20:86" x14ac:dyDescent="0.4">
      <c r="W3" t="s">
        <v>905</v>
      </c>
      <c r="X3" t="s">
        <v>906</v>
      </c>
      <c r="Y3" t="s">
        <v>907</v>
      </c>
      <c r="Z3" t="s">
        <v>908</v>
      </c>
      <c r="AA3" t="s">
        <v>909</v>
      </c>
      <c r="AB3" t="s">
        <v>910</v>
      </c>
      <c r="AC3" t="s">
        <v>911</v>
      </c>
      <c r="AD3" t="s">
        <v>912</v>
      </c>
      <c r="AE3" t="s">
        <v>913</v>
      </c>
      <c r="AF3" t="s">
        <v>914</v>
      </c>
      <c r="AG3" t="s">
        <v>915</v>
      </c>
      <c r="AH3" t="s">
        <v>916</v>
      </c>
      <c r="AI3" t="s">
        <v>917</v>
      </c>
      <c r="AJ3" t="s">
        <v>918</v>
      </c>
      <c r="AK3" t="s">
        <v>919</v>
      </c>
      <c r="AL3" t="s">
        <v>920</v>
      </c>
      <c r="AM3" t="s">
        <v>921</v>
      </c>
      <c r="AN3" t="s">
        <v>922</v>
      </c>
      <c r="AO3" t="s">
        <v>923</v>
      </c>
      <c r="AP3" t="s">
        <v>924</v>
      </c>
      <c r="AQ3" t="s">
        <v>925</v>
      </c>
      <c r="AR3" t="s">
        <v>926</v>
      </c>
      <c r="AS3" t="s">
        <v>927</v>
      </c>
      <c r="AT3" t="s">
        <v>928</v>
      </c>
      <c r="AU3" t="s">
        <v>929</v>
      </c>
      <c r="AV3" t="s">
        <v>930</v>
      </c>
      <c r="AW3" t="s">
        <v>931</v>
      </c>
      <c r="AX3" t="s">
        <v>932</v>
      </c>
      <c r="AY3" t="s">
        <v>933</v>
      </c>
      <c r="AZ3" t="s">
        <v>934</v>
      </c>
      <c r="BA3" t="s">
        <v>935</v>
      </c>
      <c r="BB3" t="s">
        <v>936</v>
      </c>
      <c r="BC3" t="s">
        <v>937</v>
      </c>
      <c r="BD3" t="s">
        <v>938</v>
      </c>
      <c r="BE3" t="s">
        <v>939</v>
      </c>
      <c r="BF3" t="s">
        <v>940</v>
      </c>
      <c r="BG3" t="s">
        <v>941</v>
      </c>
      <c r="BH3" t="s">
        <v>942</v>
      </c>
      <c r="BI3" t="s">
        <v>943</v>
      </c>
      <c r="BJ3" t="s">
        <v>944</v>
      </c>
      <c r="BK3" t="s">
        <v>945</v>
      </c>
      <c r="BL3" t="s">
        <v>946</v>
      </c>
      <c r="BM3" t="s">
        <v>947</v>
      </c>
      <c r="BN3" t="s">
        <v>948</v>
      </c>
      <c r="BO3" t="s">
        <v>949</v>
      </c>
      <c r="BP3" t="s">
        <v>950</v>
      </c>
      <c r="BQ3" t="s">
        <v>951</v>
      </c>
      <c r="BR3" t="s">
        <v>952</v>
      </c>
      <c r="BS3" t="s">
        <v>953</v>
      </c>
      <c r="BT3" t="s">
        <v>954</v>
      </c>
      <c r="BU3" t="s">
        <v>955</v>
      </c>
      <c r="BV3" t="s">
        <v>956</v>
      </c>
      <c r="BW3" t="s">
        <v>957</v>
      </c>
      <c r="BX3" t="s">
        <v>958</v>
      </c>
      <c r="BY3" t="s">
        <v>959</v>
      </c>
      <c r="BZ3" t="s">
        <v>960</v>
      </c>
      <c r="CA3" t="s">
        <v>961</v>
      </c>
      <c r="CB3" t="s">
        <v>962</v>
      </c>
    </row>
    <row r="4" spans="20:86" x14ac:dyDescent="0.4">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row>
    <row r="5" spans="20:86" x14ac:dyDescent="0.4">
      <c r="T5" t="s">
        <v>963</v>
      </c>
      <c r="V5" t="s">
        <v>742</v>
      </c>
      <c r="X5" s="2">
        <v>6500000</v>
      </c>
      <c r="Y5" s="2">
        <v>6500000</v>
      </c>
      <c r="Z5" s="2">
        <v>6500000</v>
      </c>
      <c r="AA5" s="2">
        <v>7500000</v>
      </c>
      <c r="AB5" s="2">
        <v>6700000</v>
      </c>
      <c r="AC5" s="2">
        <v>6700000</v>
      </c>
      <c r="AD5" s="2">
        <v>6700000</v>
      </c>
      <c r="AE5" s="2">
        <v>6700000</v>
      </c>
      <c r="AF5" s="2">
        <v>6700000</v>
      </c>
      <c r="AG5" s="2">
        <v>6700000</v>
      </c>
      <c r="AH5" s="2">
        <v>6700000</v>
      </c>
      <c r="AI5" s="2">
        <v>6700000</v>
      </c>
      <c r="AJ5" s="2">
        <v>6700000</v>
      </c>
      <c r="AK5" s="2">
        <v>6700000</v>
      </c>
      <c r="AL5" s="2">
        <v>6700000</v>
      </c>
      <c r="AM5" s="2">
        <v>7700000</v>
      </c>
      <c r="AN5" s="2">
        <v>7000000</v>
      </c>
      <c r="AO5" s="2">
        <v>7000000</v>
      </c>
      <c r="AP5" s="2">
        <v>7000000</v>
      </c>
      <c r="AQ5" s="2">
        <v>7000000</v>
      </c>
      <c r="AR5" s="2">
        <v>7000000</v>
      </c>
      <c r="AS5" s="2">
        <v>7000000</v>
      </c>
      <c r="AT5" s="2">
        <v>7000000</v>
      </c>
      <c r="AU5" s="2">
        <v>7000000</v>
      </c>
      <c r="AV5" s="2">
        <v>7000000</v>
      </c>
      <c r="AW5" s="2">
        <v>7000000</v>
      </c>
      <c r="AX5" s="2">
        <v>7000000</v>
      </c>
      <c r="AY5" s="2">
        <v>8000000</v>
      </c>
      <c r="AZ5" s="2">
        <v>7200000</v>
      </c>
      <c r="BA5" s="2">
        <v>7200000</v>
      </c>
      <c r="BB5" s="2">
        <v>7200000</v>
      </c>
      <c r="BC5" s="2">
        <v>7200000</v>
      </c>
      <c r="BD5" s="2">
        <v>7200000</v>
      </c>
      <c r="BE5" s="2">
        <v>7200000</v>
      </c>
      <c r="BF5" s="2">
        <v>7200000</v>
      </c>
      <c r="BG5" s="2">
        <v>7200000</v>
      </c>
      <c r="BH5" s="2">
        <v>7200000</v>
      </c>
      <c r="BI5" s="2">
        <v>7200000</v>
      </c>
      <c r="BJ5" s="2">
        <v>7200000</v>
      </c>
      <c r="BK5" s="2">
        <v>8400000</v>
      </c>
      <c r="BL5" s="2">
        <v>7400000</v>
      </c>
      <c r="BM5" s="2">
        <v>7400000</v>
      </c>
      <c r="BN5" s="2">
        <v>7400000</v>
      </c>
      <c r="BO5" s="2">
        <v>7400000</v>
      </c>
      <c r="BP5" s="2">
        <v>7400000</v>
      </c>
      <c r="BQ5" s="2">
        <v>7400000</v>
      </c>
      <c r="BR5" s="2">
        <v>7400000</v>
      </c>
      <c r="BS5" s="2">
        <v>7400000</v>
      </c>
      <c r="BT5" s="2">
        <v>7400000</v>
      </c>
      <c r="BU5" s="2">
        <v>7400000</v>
      </c>
      <c r="BV5" s="2">
        <v>7400000</v>
      </c>
      <c r="BW5" s="2">
        <v>8400000</v>
      </c>
      <c r="BX5" s="2">
        <v>7600000</v>
      </c>
      <c r="BY5" s="2">
        <v>7600000</v>
      </c>
      <c r="BZ5" s="2">
        <v>7600000</v>
      </c>
      <c r="CA5" s="2">
        <v>7600000</v>
      </c>
      <c r="CB5" s="2">
        <v>7600000</v>
      </c>
      <c r="CC5" s="2"/>
      <c r="CD5" s="2"/>
      <c r="CE5" s="2"/>
      <c r="CF5" s="2"/>
      <c r="CG5" s="2"/>
      <c r="CH5" s="2"/>
    </row>
    <row r="6" spans="20:86" x14ac:dyDescent="0.4">
      <c r="V6" t="s">
        <v>964</v>
      </c>
      <c r="X6" s="2"/>
      <c r="Y6" s="2"/>
      <c r="Z6" s="2"/>
      <c r="AA6" s="2"/>
      <c r="AB6" s="2"/>
      <c r="AC6" s="2">
        <v>5000000</v>
      </c>
      <c r="AD6" s="2"/>
      <c r="AE6" s="2"/>
      <c r="AF6" s="2"/>
      <c r="AG6" s="2">
        <v>1500000</v>
      </c>
      <c r="AH6" s="2">
        <v>5000000</v>
      </c>
      <c r="AI6" s="2"/>
      <c r="AJ6" s="2"/>
      <c r="AK6" s="2"/>
      <c r="AL6" s="2"/>
      <c r="AM6" s="2"/>
      <c r="AN6" s="2"/>
      <c r="AO6" s="2">
        <v>5200000</v>
      </c>
      <c r="AP6" s="2"/>
      <c r="AQ6" s="2"/>
      <c r="AR6" s="2"/>
      <c r="AS6" s="2">
        <v>1500000</v>
      </c>
      <c r="AT6" s="2">
        <v>5200000</v>
      </c>
      <c r="AU6" s="2"/>
      <c r="AV6" s="2"/>
      <c r="AW6" s="2"/>
      <c r="AX6" s="2"/>
      <c r="AY6" s="2"/>
      <c r="AZ6" s="2"/>
      <c r="BA6" s="2">
        <v>5300000</v>
      </c>
      <c r="BB6" s="2"/>
      <c r="BC6" s="2"/>
      <c r="BD6" s="2"/>
      <c r="BE6" s="2">
        <f>5300000+2000000</f>
        <v>7300000</v>
      </c>
      <c r="BF6" s="2"/>
      <c r="BG6" s="2"/>
      <c r="BH6" s="2"/>
      <c r="BI6" s="2"/>
      <c r="BJ6" s="2"/>
      <c r="BK6" s="2"/>
      <c r="BL6" s="2"/>
      <c r="BM6" s="2"/>
      <c r="BN6" s="2">
        <v>5400000</v>
      </c>
      <c r="BO6" s="2"/>
      <c r="BP6" s="2"/>
      <c r="BQ6" s="2">
        <v>2000000</v>
      </c>
      <c r="BR6" s="2">
        <v>5400000</v>
      </c>
      <c r="BS6" s="2"/>
      <c r="BT6" s="2"/>
      <c r="BU6" s="2"/>
      <c r="BV6" s="2"/>
      <c r="BW6" s="2"/>
      <c r="BX6" s="2"/>
      <c r="BY6" s="2">
        <v>5500000</v>
      </c>
      <c r="BZ6" s="2"/>
      <c r="CA6" s="2"/>
      <c r="CB6" s="2"/>
      <c r="CC6" s="2"/>
      <c r="CD6" s="2"/>
      <c r="CE6" s="2"/>
      <c r="CF6" s="2"/>
      <c r="CG6" s="2"/>
      <c r="CH6" s="2"/>
    </row>
    <row r="7" spans="20:86" x14ac:dyDescent="0.4">
      <c r="V7" t="s">
        <v>965</v>
      </c>
      <c r="X7" s="2"/>
      <c r="Y7" s="2"/>
      <c r="Z7" s="2"/>
      <c r="AA7" s="2"/>
      <c r="AB7" s="2"/>
      <c r="AC7" s="2"/>
      <c r="AD7" s="2"/>
      <c r="AE7" s="2"/>
      <c r="AF7" s="2"/>
      <c r="AG7" s="2"/>
      <c r="AH7" s="2"/>
      <c r="AI7" s="2"/>
      <c r="AJ7" s="2"/>
      <c r="AK7" s="2">
        <v>12000000</v>
      </c>
      <c r="AL7" s="2"/>
      <c r="AM7" s="2"/>
      <c r="AN7" s="2"/>
      <c r="AO7" s="2"/>
      <c r="AP7" s="2"/>
      <c r="AQ7" s="2"/>
      <c r="AR7" s="2"/>
      <c r="AS7" s="2"/>
      <c r="AT7" s="2"/>
      <c r="AU7" s="2"/>
      <c r="AV7" s="2"/>
      <c r="AW7" s="2"/>
      <c r="AX7" s="2">
        <v>12000000</v>
      </c>
      <c r="AY7" s="2"/>
      <c r="AZ7" s="2"/>
      <c r="BA7" s="2"/>
      <c r="BB7" s="2"/>
      <c r="BC7" s="2"/>
      <c r="BD7" s="2"/>
      <c r="BE7" s="2"/>
      <c r="BF7" s="2"/>
      <c r="BG7" s="2"/>
      <c r="BH7" s="2">
        <v>12000000</v>
      </c>
      <c r="BI7" s="2"/>
      <c r="BJ7" s="2"/>
      <c r="BK7" s="2"/>
      <c r="BL7" s="2"/>
      <c r="BM7" s="2"/>
      <c r="BN7" s="2"/>
      <c r="BO7" s="2"/>
      <c r="BP7" s="2"/>
      <c r="BQ7" s="2"/>
      <c r="BR7" s="2"/>
      <c r="BS7" s="2"/>
      <c r="BT7" s="2"/>
      <c r="BU7" s="2"/>
      <c r="BV7" s="2">
        <v>12000000</v>
      </c>
      <c r="BW7" s="2"/>
      <c r="BX7" s="2"/>
      <c r="BY7" s="2"/>
      <c r="BZ7" s="2"/>
      <c r="CA7" s="2"/>
      <c r="CB7" s="2"/>
      <c r="CC7" s="2"/>
      <c r="CD7" s="2"/>
      <c r="CE7" s="2"/>
      <c r="CF7" s="2"/>
      <c r="CG7" s="2"/>
      <c r="CH7" s="2"/>
    </row>
    <row r="8" spans="20:86" x14ac:dyDescent="0.4">
      <c r="V8" s="56" t="s">
        <v>966</v>
      </c>
      <c r="W8" s="56"/>
      <c r="X8" s="388">
        <v>2100000</v>
      </c>
      <c r="Y8" s="388">
        <v>2100000</v>
      </c>
      <c r="Z8" s="388">
        <v>2100000</v>
      </c>
      <c r="AA8" s="388">
        <v>2100000</v>
      </c>
      <c r="AB8" s="388">
        <v>2100000</v>
      </c>
      <c r="AC8" s="388">
        <v>3000000</v>
      </c>
      <c r="AD8" s="388">
        <v>3000000</v>
      </c>
      <c r="AE8" s="388">
        <v>3000000</v>
      </c>
      <c r="AF8" s="388">
        <v>3000000</v>
      </c>
      <c r="AG8" s="388">
        <v>3000000</v>
      </c>
      <c r="AH8" s="388">
        <v>3000000</v>
      </c>
      <c r="AI8" s="388">
        <v>3000000</v>
      </c>
      <c r="AJ8" s="388">
        <v>3000000</v>
      </c>
      <c r="AK8" s="388">
        <v>3000000</v>
      </c>
      <c r="AL8" s="388">
        <v>3000000</v>
      </c>
      <c r="AM8" s="388">
        <v>3000000</v>
      </c>
      <c r="AN8" s="388">
        <v>3000000</v>
      </c>
      <c r="AO8" s="388">
        <v>3000000</v>
      </c>
      <c r="AP8" s="388">
        <v>3000000</v>
      </c>
      <c r="AQ8" s="388">
        <v>3000000</v>
      </c>
      <c r="AR8" s="388">
        <v>3000000</v>
      </c>
      <c r="AS8" s="388">
        <v>3000000</v>
      </c>
      <c r="AT8" s="388">
        <v>3000000</v>
      </c>
      <c r="AU8" s="388">
        <v>3000000</v>
      </c>
      <c r="AV8" s="388">
        <v>3000000</v>
      </c>
      <c r="AW8" s="388">
        <v>3000000</v>
      </c>
      <c r="AX8" s="388">
        <v>3000000</v>
      </c>
      <c r="AY8" s="388">
        <v>3000000</v>
      </c>
      <c r="AZ8" s="388">
        <v>3000000</v>
      </c>
      <c r="BA8" s="388">
        <v>3000000</v>
      </c>
      <c r="BB8" s="388">
        <v>3000000</v>
      </c>
      <c r="BC8" s="388">
        <v>3000000</v>
      </c>
      <c r="BD8" s="388">
        <v>3000000</v>
      </c>
      <c r="BE8" s="388">
        <v>3000000</v>
      </c>
      <c r="BF8" s="388">
        <v>3000000</v>
      </c>
      <c r="BG8" s="388">
        <v>3000000</v>
      </c>
      <c r="BH8" s="388">
        <v>3000000</v>
      </c>
      <c r="BI8" s="388">
        <v>3000000</v>
      </c>
      <c r="BJ8" s="388"/>
      <c r="BK8" s="388"/>
      <c r="BL8" s="388"/>
      <c r="BM8" s="388">
        <v>3000000</v>
      </c>
      <c r="BN8" s="388">
        <v>3000000</v>
      </c>
      <c r="BO8" s="388">
        <v>3000000</v>
      </c>
      <c r="BP8" s="388">
        <v>3000000</v>
      </c>
      <c r="BQ8" s="388">
        <v>3000000</v>
      </c>
      <c r="BR8" s="388">
        <v>3000000</v>
      </c>
      <c r="BS8" s="388">
        <v>3000000</v>
      </c>
      <c r="BT8" s="388">
        <v>3000000</v>
      </c>
      <c r="BU8" s="388">
        <v>3000000</v>
      </c>
      <c r="BV8" s="388">
        <v>3000000</v>
      </c>
      <c r="BW8" s="388">
        <v>3000000</v>
      </c>
      <c r="BX8" s="388">
        <v>3000000</v>
      </c>
      <c r="BY8" s="388">
        <v>3000000</v>
      </c>
      <c r="BZ8" s="388">
        <v>3000000</v>
      </c>
      <c r="CA8" s="388">
        <v>3000000</v>
      </c>
      <c r="CB8" s="388">
        <v>3000000</v>
      </c>
      <c r="CC8" s="2"/>
      <c r="CD8" s="2"/>
      <c r="CE8" s="2"/>
      <c r="CF8" s="2"/>
      <c r="CG8" s="2"/>
      <c r="CH8" s="2"/>
    </row>
    <row r="9" spans="20:86" x14ac:dyDescent="0.4">
      <c r="V9" s="387" t="s">
        <v>967</v>
      </c>
      <c r="W9" s="387"/>
      <c r="X9" s="389">
        <f t="shared" ref="X9:BC9" si="0">SUM(X5:X8)</f>
        <v>8600000</v>
      </c>
      <c r="Y9" s="389">
        <f t="shared" si="0"/>
        <v>8600000</v>
      </c>
      <c r="Z9" s="389">
        <f t="shared" si="0"/>
        <v>8600000</v>
      </c>
      <c r="AA9" s="389">
        <f t="shared" si="0"/>
        <v>9600000</v>
      </c>
      <c r="AB9" s="389">
        <f t="shared" si="0"/>
        <v>8800000</v>
      </c>
      <c r="AC9" s="389">
        <f t="shared" si="0"/>
        <v>14700000</v>
      </c>
      <c r="AD9" s="389">
        <f t="shared" si="0"/>
        <v>9700000</v>
      </c>
      <c r="AE9" s="389">
        <f t="shared" si="0"/>
        <v>9700000</v>
      </c>
      <c r="AF9" s="389">
        <f t="shared" si="0"/>
        <v>9700000</v>
      </c>
      <c r="AG9" s="389">
        <f t="shared" si="0"/>
        <v>11200000</v>
      </c>
      <c r="AH9" s="389">
        <f t="shared" si="0"/>
        <v>14700000</v>
      </c>
      <c r="AI9" s="389">
        <f t="shared" si="0"/>
        <v>9700000</v>
      </c>
      <c r="AJ9" s="389">
        <f t="shared" si="0"/>
        <v>9700000</v>
      </c>
      <c r="AK9" s="389">
        <f t="shared" si="0"/>
        <v>21700000</v>
      </c>
      <c r="AL9" s="389">
        <f t="shared" si="0"/>
        <v>9700000</v>
      </c>
      <c r="AM9" s="389">
        <f t="shared" si="0"/>
        <v>10700000</v>
      </c>
      <c r="AN9" s="389">
        <f t="shared" si="0"/>
        <v>10000000</v>
      </c>
      <c r="AO9" s="389">
        <f t="shared" si="0"/>
        <v>15200000</v>
      </c>
      <c r="AP9" s="389">
        <f t="shared" si="0"/>
        <v>10000000</v>
      </c>
      <c r="AQ9" s="389">
        <f t="shared" si="0"/>
        <v>10000000</v>
      </c>
      <c r="AR9" s="389">
        <f t="shared" si="0"/>
        <v>10000000</v>
      </c>
      <c r="AS9" s="389">
        <f t="shared" si="0"/>
        <v>11500000</v>
      </c>
      <c r="AT9" s="389">
        <f t="shared" si="0"/>
        <v>15200000</v>
      </c>
      <c r="AU9" s="389">
        <f t="shared" si="0"/>
        <v>10000000</v>
      </c>
      <c r="AV9" s="389">
        <f t="shared" si="0"/>
        <v>10000000</v>
      </c>
      <c r="AW9" s="389">
        <f t="shared" si="0"/>
        <v>10000000</v>
      </c>
      <c r="AX9" s="389">
        <f t="shared" si="0"/>
        <v>22000000</v>
      </c>
      <c r="AY9" s="389">
        <f t="shared" si="0"/>
        <v>11000000</v>
      </c>
      <c r="AZ9" s="389">
        <f t="shared" si="0"/>
        <v>10200000</v>
      </c>
      <c r="BA9" s="389">
        <f t="shared" si="0"/>
        <v>15500000</v>
      </c>
      <c r="BB9" s="389">
        <f t="shared" si="0"/>
        <v>10200000</v>
      </c>
      <c r="BC9" s="389">
        <f t="shared" si="0"/>
        <v>10200000</v>
      </c>
      <c r="BD9" s="389">
        <f t="shared" ref="BD9:CI9" si="1">SUM(BD5:BD8)</f>
        <v>10200000</v>
      </c>
      <c r="BE9" s="389">
        <f t="shared" si="1"/>
        <v>17500000</v>
      </c>
      <c r="BF9" s="389">
        <f t="shared" si="1"/>
        <v>10200000</v>
      </c>
      <c r="BG9" s="389">
        <f t="shared" si="1"/>
        <v>10200000</v>
      </c>
      <c r="BH9" s="389">
        <f t="shared" si="1"/>
        <v>22200000</v>
      </c>
      <c r="BI9" s="389">
        <f t="shared" si="1"/>
        <v>10200000</v>
      </c>
      <c r="BJ9" s="389">
        <f t="shared" si="1"/>
        <v>7200000</v>
      </c>
      <c r="BK9" s="389">
        <f t="shared" si="1"/>
        <v>8400000</v>
      </c>
      <c r="BL9" s="389">
        <f t="shared" si="1"/>
        <v>7400000</v>
      </c>
      <c r="BM9" s="389">
        <f t="shared" si="1"/>
        <v>10400000</v>
      </c>
      <c r="BN9" s="389">
        <f t="shared" si="1"/>
        <v>15800000</v>
      </c>
      <c r="BO9" s="389">
        <f t="shared" si="1"/>
        <v>10400000</v>
      </c>
      <c r="BP9" s="389">
        <f t="shared" si="1"/>
        <v>10400000</v>
      </c>
      <c r="BQ9" s="389">
        <f t="shared" si="1"/>
        <v>12400000</v>
      </c>
      <c r="BR9" s="389">
        <f t="shared" si="1"/>
        <v>15800000</v>
      </c>
      <c r="BS9" s="389">
        <f t="shared" si="1"/>
        <v>10400000</v>
      </c>
      <c r="BT9" s="389">
        <f t="shared" si="1"/>
        <v>10400000</v>
      </c>
      <c r="BU9" s="389">
        <f t="shared" si="1"/>
        <v>10400000</v>
      </c>
      <c r="BV9" s="389">
        <f t="shared" si="1"/>
        <v>22400000</v>
      </c>
      <c r="BW9" s="389">
        <f t="shared" si="1"/>
        <v>11400000</v>
      </c>
      <c r="BX9" s="389">
        <f t="shared" si="1"/>
        <v>10600000</v>
      </c>
      <c r="BY9" s="389">
        <f t="shared" si="1"/>
        <v>16100000</v>
      </c>
      <c r="BZ9" s="389">
        <f t="shared" si="1"/>
        <v>10600000</v>
      </c>
      <c r="CA9" s="389">
        <f t="shared" si="1"/>
        <v>10600000</v>
      </c>
      <c r="CB9" s="389">
        <f t="shared" si="1"/>
        <v>10600000</v>
      </c>
      <c r="CC9" s="2"/>
      <c r="CD9" s="2"/>
      <c r="CE9" s="2"/>
      <c r="CF9" s="2"/>
      <c r="CG9" s="2"/>
      <c r="CH9" s="2"/>
    </row>
    <row r="10" spans="20:86" x14ac:dyDescent="0.4">
      <c r="V10" s="387"/>
      <c r="W10" s="387"/>
      <c r="X10" s="390"/>
      <c r="Y10" s="390"/>
      <c r="Z10" s="390"/>
      <c r="AA10" s="390"/>
      <c r="AB10" s="390"/>
      <c r="AC10" s="390"/>
      <c r="AD10" s="390"/>
      <c r="AE10" s="390"/>
      <c r="AF10" s="390"/>
      <c r="AG10" s="390"/>
      <c r="AH10" s="390"/>
      <c r="AI10" s="390"/>
      <c r="AJ10" s="390"/>
      <c r="AK10" s="390"/>
      <c r="AL10" s="390"/>
      <c r="AM10" s="390"/>
      <c r="AN10" s="390"/>
      <c r="AO10" s="390"/>
      <c r="AP10" s="390"/>
      <c r="AQ10" s="390"/>
      <c r="AR10" s="390"/>
      <c r="AS10" s="390"/>
      <c r="AT10" s="390"/>
      <c r="AU10" s="390"/>
      <c r="AV10" s="390"/>
      <c r="AW10" s="390"/>
      <c r="AX10" s="390"/>
      <c r="AY10" s="390"/>
      <c r="AZ10" s="390"/>
      <c r="BA10" s="390"/>
      <c r="BB10" s="390"/>
      <c r="BC10" s="390"/>
      <c r="BD10" s="390"/>
      <c r="BE10" s="390"/>
      <c r="BF10" s="390"/>
      <c r="BG10" s="390"/>
      <c r="BH10" s="390"/>
      <c r="BI10" s="390"/>
      <c r="BJ10" s="390"/>
      <c r="BK10" s="390"/>
      <c r="BL10" s="390"/>
      <c r="BM10" s="390"/>
      <c r="BN10" s="390"/>
      <c r="BO10" s="390"/>
      <c r="BP10" s="390"/>
      <c r="BQ10" s="390"/>
      <c r="BR10" s="390"/>
      <c r="BS10" s="390"/>
      <c r="BT10" s="390"/>
      <c r="BU10" s="390"/>
      <c r="BV10" s="390"/>
      <c r="BW10" s="390"/>
      <c r="BX10" s="390"/>
      <c r="BY10" s="390"/>
      <c r="BZ10" s="390"/>
      <c r="CA10" s="390"/>
      <c r="CB10" s="390"/>
      <c r="CC10" s="2"/>
      <c r="CD10" s="2"/>
      <c r="CE10" s="2"/>
      <c r="CF10" s="2"/>
      <c r="CG10" s="2"/>
      <c r="CH10" s="2"/>
    </row>
    <row r="11" spans="20:86" x14ac:dyDescent="0.4">
      <c r="T11" t="s">
        <v>968</v>
      </c>
      <c r="V11" t="s">
        <v>969</v>
      </c>
      <c r="X11" s="2">
        <f>X29*0.033/12</f>
        <v>962500</v>
      </c>
      <c r="Y11" s="2">
        <f t="shared" ref="Y11:BD11" si="2">X11+Y29*0.033/12</f>
        <v>962500</v>
      </c>
      <c r="Z11" s="2">
        <f t="shared" si="2"/>
        <v>962500</v>
      </c>
      <c r="AA11" s="2">
        <f t="shared" si="2"/>
        <v>962500</v>
      </c>
      <c r="AB11" s="2">
        <f t="shared" si="2"/>
        <v>962500</v>
      </c>
      <c r="AC11" s="2">
        <f t="shared" si="2"/>
        <v>962500</v>
      </c>
      <c r="AD11" s="2">
        <f t="shared" si="2"/>
        <v>1045000</v>
      </c>
      <c r="AE11" s="2">
        <f t="shared" si="2"/>
        <v>1045000</v>
      </c>
      <c r="AF11" s="2">
        <f t="shared" si="2"/>
        <v>1045000</v>
      </c>
      <c r="AG11" s="2">
        <f t="shared" si="2"/>
        <v>1045000</v>
      </c>
      <c r="AH11" s="2">
        <f t="shared" si="2"/>
        <v>1045000</v>
      </c>
      <c r="AI11" s="2">
        <f t="shared" si="2"/>
        <v>1045000</v>
      </c>
      <c r="AJ11" s="2">
        <f t="shared" si="2"/>
        <v>1045000</v>
      </c>
      <c r="AK11" s="2">
        <f t="shared" si="2"/>
        <v>1045000</v>
      </c>
      <c r="AL11" s="2">
        <f t="shared" si="2"/>
        <v>1045000</v>
      </c>
      <c r="AM11" s="2">
        <f t="shared" si="2"/>
        <v>1045000</v>
      </c>
      <c r="AN11" s="2">
        <f t="shared" si="2"/>
        <v>1045000</v>
      </c>
      <c r="AO11" s="2">
        <f t="shared" si="2"/>
        <v>1045000</v>
      </c>
      <c r="AP11" s="2">
        <f t="shared" si="2"/>
        <v>1045000</v>
      </c>
      <c r="AQ11" s="2">
        <f t="shared" si="2"/>
        <v>1045000</v>
      </c>
      <c r="AR11" s="2">
        <f t="shared" si="2"/>
        <v>1045000</v>
      </c>
      <c r="AS11" s="2">
        <f t="shared" si="2"/>
        <v>1045000</v>
      </c>
      <c r="AT11" s="2">
        <f t="shared" si="2"/>
        <v>1045000</v>
      </c>
      <c r="AU11" s="2">
        <f t="shared" si="2"/>
        <v>1045000</v>
      </c>
      <c r="AV11" s="2">
        <f t="shared" si="2"/>
        <v>1045000</v>
      </c>
      <c r="AW11" s="2">
        <f t="shared" si="2"/>
        <v>1045000</v>
      </c>
      <c r="AX11" s="2">
        <f t="shared" si="2"/>
        <v>1045000</v>
      </c>
      <c r="AY11" s="2">
        <f t="shared" si="2"/>
        <v>1045000</v>
      </c>
      <c r="AZ11" s="2">
        <f t="shared" si="2"/>
        <v>1045000</v>
      </c>
      <c r="BA11" s="2">
        <f t="shared" si="2"/>
        <v>1210000</v>
      </c>
      <c r="BB11" s="2">
        <f t="shared" si="2"/>
        <v>1210000</v>
      </c>
      <c r="BC11" s="2">
        <f t="shared" si="2"/>
        <v>1210000</v>
      </c>
      <c r="BD11" s="2">
        <f t="shared" si="2"/>
        <v>1210000</v>
      </c>
      <c r="BE11" s="2">
        <f t="shared" ref="BE11:CB11" si="3">BD11+BE29*0.033/12</f>
        <v>1210000</v>
      </c>
      <c r="BF11" s="2">
        <f t="shared" si="3"/>
        <v>1210000</v>
      </c>
      <c r="BG11" s="2">
        <f t="shared" si="3"/>
        <v>1210000</v>
      </c>
      <c r="BH11" s="2">
        <f t="shared" si="3"/>
        <v>1210000</v>
      </c>
      <c r="BI11" s="2">
        <f t="shared" si="3"/>
        <v>1210000</v>
      </c>
      <c r="BJ11" s="2">
        <f t="shared" si="3"/>
        <v>1210000</v>
      </c>
      <c r="BK11" s="2">
        <f t="shared" si="3"/>
        <v>1210000</v>
      </c>
      <c r="BL11" s="2">
        <f t="shared" si="3"/>
        <v>0</v>
      </c>
      <c r="BM11" s="2">
        <f t="shared" si="3"/>
        <v>0</v>
      </c>
      <c r="BN11" s="2">
        <f t="shared" si="3"/>
        <v>0</v>
      </c>
      <c r="BO11" s="2">
        <f t="shared" si="3"/>
        <v>0</v>
      </c>
      <c r="BP11" s="2">
        <f t="shared" si="3"/>
        <v>0</v>
      </c>
      <c r="BQ11" s="2">
        <f t="shared" si="3"/>
        <v>0</v>
      </c>
      <c r="BR11" s="2">
        <f t="shared" si="3"/>
        <v>0</v>
      </c>
      <c r="BS11" s="2">
        <f t="shared" si="3"/>
        <v>0</v>
      </c>
      <c r="BT11" s="2">
        <f t="shared" si="3"/>
        <v>0</v>
      </c>
      <c r="BU11" s="2">
        <f t="shared" si="3"/>
        <v>0</v>
      </c>
      <c r="BV11" s="2">
        <f t="shared" si="3"/>
        <v>0</v>
      </c>
      <c r="BW11" s="2">
        <f t="shared" si="3"/>
        <v>0</v>
      </c>
      <c r="BX11" s="2">
        <f t="shared" si="3"/>
        <v>0</v>
      </c>
      <c r="BY11" s="2">
        <f t="shared" si="3"/>
        <v>0</v>
      </c>
      <c r="BZ11" s="2">
        <f t="shared" si="3"/>
        <v>0</v>
      </c>
      <c r="CA11" s="2">
        <f t="shared" si="3"/>
        <v>0</v>
      </c>
      <c r="CB11" s="2">
        <f t="shared" si="3"/>
        <v>0</v>
      </c>
      <c r="CC11" s="2"/>
      <c r="CD11" s="2"/>
      <c r="CE11" s="2"/>
      <c r="CF11" s="2"/>
      <c r="CG11" s="2"/>
      <c r="CH11" s="2"/>
    </row>
    <row r="12" spans="20:86" x14ac:dyDescent="0.4">
      <c r="V12" t="s">
        <v>622</v>
      </c>
      <c r="X12" s="2">
        <v>660000</v>
      </c>
      <c r="Y12" s="2">
        <v>660000</v>
      </c>
      <c r="Z12" s="2">
        <v>660000</v>
      </c>
      <c r="AA12" s="2">
        <v>660000</v>
      </c>
      <c r="AB12" s="2">
        <v>660000</v>
      </c>
      <c r="AC12" s="2">
        <v>660000</v>
      </c>
      <c r="AD12" s="2">
        <v>700000</v>
      </c>
      <c r="AE12" s="2">
        <v>700000</v>
      </c>
      <c r="AF12" s="2">
        <v>700000</v>
      </c>
      <c r="AG12" s="2">
        <v>700000</v>
      </c>
      <c r="AH12" s="2">
        <v>700000</v>
      </c>
      <c r="AI12" s="2">
        <v>700000</v>
      </c>
      <c r="AJ12" s="2">
        <v>700000</v>
      </c>
      <c r="AK12" s="2">
        <v>700000</v>
      </c>
      <c r="AL12" s="2">
        <v>700000</v>
      </c>
      <c r="AM12" s="2">
        <v>700000</v>
      </c>
      <c r="AN12" s="2">
        <v>700000</v>
      </c>
      <c r="AO12" s="2">
        <v>700000</v>
      </c>
      <c r="AP12" s="2">
        <v>700000</v>
      </c>
      <c r="AQ12" s="2">
        <v>700000</v>
      </c>
      <c r="AR12" s="2">
        <v>700000</v>
      </c>
      <c r="AS12" s="2">
        <v>700000</v>
      </c>
      <c r="AT12" s="2">
        <v>700000</v>
      </c>
      <c r="AU12" s="2">
        <v>700000</v>
      </c>
      <c r="AV12" s="2">
        <v>700000</v>
      </c>
      <c r="AW12" s="2">
        <v>700000</v>
      </c>
      <c r="AX12" s="2">
        <v>700000</v>
      </c>
      <c r="AY12" s="2">
        <v>700000</v>
      </c>
      <c r="AZ12" s="2">
        <v>700000</v>
      </c>
      <c r="BA12" s="2">
        <v>1000000</v>
      </c>
      <c r="BB12" s="2">
        <v>1000000</v>
      </c>
      <c r="BC12" s="2">
        <v>1000000</v>
      </c>
      <c r="BD12" s="2">
        <v>1000000</v>
      </c>
      <c r="BE12" s="2">
        <v>1000000</v>
      </c>
      <c r="BF12" s="2">
        <v>1000000</v>
      </c>
      <c r="BG12" s="2">
        <v>1000000</v>
      </c>
      <c r="BH12" s="2">
        <v>1000000</v>
      </c>
      <c r="BI12" s="2">
        <v>1000000</v>
      </c>
      <c r="BJ12" s="2">
        <v>1000000</v>
      </c>
      <c r="BK12" s="2">
        <v>1000000</v>
      </c>
      <c r="BL12" s="2"/>
      <c r="BM12" s="2"/>
      <c r="BN12" s="2"/>
      <c r="BO12" s="2"/>
      <c r="BP12" s="2"/>
      <c r="BQ12" s="2"/>
      <c r="BR12" s="2"/>
      <c r="BS12" s="2"/>
      <c r="BT12" s="2"/>
      <c r="BU12" s="2"/>
      <c r="BV12" s="2"/>
      <c r="BW12" s="2"/>
      <c r="BX12" s="2"/>
      <c r="BY12" s="2"/>
      <c r="BZ12" s="2"/>
      <c r="CA12" s="2"/>
      <c r="CB12" s="2"/>
      <c r="CC12" s="2"/>
      <c r="CD12" s="2"/>
      <c r="CE12" s="2"/>
      <c r="CF12" s="2"/>
      <c r="CG12" s="2"/>
      <c r="CH12" s="2"/>
    </row>
    <row r="13" spans="20:86" x14ac:dyDescent="0.4">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row>
    <row r="14" spans="20:86" x14ac:dyDescent="0.4">
      <c r="V14" t="s">
        <v>871</v>
      </c>
      <c r="X14" s="2">
        <f>X32*0.06/12</f>
        <v>0</v>
      </c>
      <c r="Y14" s="2">
        <f t="shared" ref="Y14:BD14" si="4">X14+Y32*0.06/12</f>
        <v>0</v>
      </c>
      <c r="Z14" s="2">
        <f t="shared" si="4"/>
        <v>0</v>
      </c>
      <c r="AA14" s="2">
        <f t="shared" si="4"/>
        <v>0</v>
      </c>
      <c r="AB14" s="2">
        <f t="shared" si="4"/>
        <v>0</v>
      </c>
      <c r="AC14" s="2">
        <f t="shared" si="4"/>
        <v>0</v>
      </c>
      <c r="AD14" s="2">
        <f t="shared" si="4"/>
        <v>0</v>
      </c>
      <c r="AE14" s="2">
        <f t="shared" si="4"/>
        <v>0</v>
      </c>
      <c r="AF14" s="2">
        <f t="shared" si="4"/>
        <v>0</v>
      </c>
      <c r="AG14" s="2">
        <f t="shared" si="4"/>
        <v>830000</v>
      </c>
      <c r="AH14" s="2">
        <f t="shared" si="4"/>
        <v>830000</v>
      </c>
      <c r="AI14" s="2">
        <f t="shared" si="4"/>
        <v>830000</v>
      </c>
      <c r="AJ14" s="2">
        <f t="shared" si="4"/>
        <v>830000</v>
      </c>
      <c r="AK14" s="2">
        <f t="shared" si="4"/>
        <v>830000</v>
      </c>
      <c r="AL14" s="2">
        <f t="shared" si="4"/>
        <v>1660000</v>
      </c>
      <c r="AM14" s="2">
        <f t="shared" si="4"/>
        <v>1660000</v>
      </c>
      <c r="AN14" s="2">
        <f t="shared" si="4"/>
        <v>1660000</v>
      </c>
      <c r="AO14" s="2">
        <f t="shared" si="4"/>
        <v>1660000</v>
      </c>
      <c r="AP14" s="2">
        <f t="shared" si="4"/>
        <v>1660000</v>
      </c>
      <c r="AQ14" s="2">
        <f t="shared" si="4"/>
        <v>1660000</v>
      </c>
      <c r="AR14" s="2">
        <f t="shared" si="4"/>
        <v>1660000</v>
      </c>
      <c r="AS14" s="2">
        <f t="shared" si="4"/>
        <v>2490000</v>
      </c>
      <c r="AT14" s="2">
        <f t="shared" si="4"/>
        <v>2490000</v>
      </c>
      <c r="AU14" s="2">
        <f t="shared" si="4"/>
        <v>2490000</v>
      </c>
      <c r="AV14" s="2">
        <f t="shared" si="4"/>
        <v>2490000</v>
      </c>
      <c r="AW14" s="2">
        <f t="shared" si="4"/>
        <v>2490000</v>
      </c>
      <c r="AX14" s="2">
        <f t="shared" si="4"/>
        <v>3320000</v>
      </c>
      <c r="AY14" s="2">
        <f t="shared" si="4"/>
        <v>3320000</v>
      </c>
      <c r="AZ14" s="2">
        <f t="shared" si="4"/>
        <v>3320000</v>
      </c>
      <c r="BA14" s="2">
        <f t="shared" si="4"/>
        <v>3320000</v>
      </c>
      <c r="BB14" s="2">
        <f t="shared" si="4"/>
        <v>3320000</v>
      </c>
      <c r="BC14" s="2">
        <f t="shared" si="4"/>
        <v>3320000</v>
      </c>
      <c r="BD14" s="2">
        <f t="shared" si="4"/>
        <v>3320000</v>
      </c>
      <c r="BE14" s="2">
        <f t="shared" ref="BE14:CB14" si="5">BD14+BE32*0.06/12</f>
        <v>3320000</v>
      </c>
      <c r="BF14" s="2">
        <f t="shared" si="5"/>
        <v>3320000</v>
      </c>
      <c r="BG14" s="2">
        <f t="shared" si="5"/>
        <v>3320000</v>
      </c>
      <c r="BH14" s="2">
        <f t="shared" si="5"/>
        <v>3320000</v>
      </c>
      <c r="BI14" s="2">
        <f t="shared" si="5"/>
        <v>3320000</v>
      </c>
      <c r="BJ14" s="2">
        <f t="shared" si="5"/>
        <v>3320000</v>
      </c>
      <c r="BK14" s="2">
        <f t="shared" si="5"/>
        <v>0</v>
      </c>
      <c r="BL14" s="2">
        <f t="shared" si="5"/>
        <v>0</v>
      </c>
      <c r="BM14" s="2">
        <f t="shared" si="5"/>
        <v>0</v>
      </c>
      <c r="BN14" s="2">
        <f t="shared" si="5"/>
        <v>0</v>
      </c>
      <c r="BO14" s="2">
        <f t="shared" si="5"/>
        <v>0</v>
      </c>
      <c r="BP14" s="2">
        <f t="shared" si="5"/>
        <v>0</v>
      </c>
      <c r="BQ14" s="2">
        <f t="shared" si="5"/>
        <v>0</v>
      </c>
      <c r="BR14" s="2">
        <f t="shared" si="5"/>
        <v>0</v>
      </c>
      <c r="BS14" s="2">
        <f t="shared" si="5"/>
        <v>0</v>
      </c>
      <c r="BT14" s="2">
        <f t="shared" si="5"/>
        <v>0</v>
      </c>
      <c r="BU14" s="2">
        <f t="shared" si="5"/>
        <v>0</v>
      </c>
      <c r="BV14" s="2">
        <f t="shared" si="5"/>
        <v>0</v>
      </c>
      <c r="BW14" s="2">
        <f t="shared" si="5"/>
        <v>0</v>
      </c>
      <c r="BX14" s="2">
        <f t="shared" si="5"/>
        <v>0</v>
      </c>
      <c r="BY14" s="2">
        <f t="shared" si="5"/>
        <v>0</v>
      </c>
      <c r="BZ14" s="2">
        <f t="shared" si="5"/>
        <v>0</v>
      </c>
      <c r="CA14" s="2">
        <f t="shared" si="5"/>
        <v>0</v>
      </c>
      <c r="CB14" s="2">
        <f t="shared" si="5"/>
        <v>0</v>
      </c>
      <c r="CC14" s="2"/>
      <c r="CD14" s="2"/>
      <c r="CE14" s="2"/>
      <c r="CF14" s="2"/>
      <c r="CG14" s="2"/>
      <c r="CH14" s="2"/>
    </row>
    <row r="15" spans="20:86" x14ac:dyDescent="0.4">
      <c r="V15" t="s">
        <v>770</v>
      </c>
      <c r="X15" s="2">
        <f>X30*0.06/12</f>
        <v>0</v>
      </c>
      <c r="Y15" s="2">
        <f t="shared" ref="Y15:BD15" si="6">X15+Y30*0.06/12</f>
        <v>0</v>
      </c>
      <c r="Z15" s="2">
        <f t="shared" si="6"/>
        <v>0</v>
      </c>
      <c r="AA15" s="2">
        <f t="shared" si="6"/>
        <v>0</v>
      </c>
      <c r="AB15" s="2">
        <f t="shared" si="6"/>
        <v>475000</v>
      </c>
      <c r="AC15" s="2">
        <f t="shared" si="6"/>
        <v>475000</v>
      </c>
      <c r="AD15" s="2">
        <f t="shared" si="6"/>
        <v>475000</v>
      </c>
      <c r="AE15" s="2">
        <f t="shared" si="6"/>
        <v>475000</v>
      </c>
      <c r="AF15" s="2">
        <f t="shared" si="6"/>
        <v>475000</v>
      </c>
      <c r="AG15" s="2">
        <f t="shared" si="6"/>
        <v>475000</v>
      </c>
      <c r="AH15" s="2">
        <f t="shared" si="6"/>
        <v>475000</v>
      </c>
      <c r="AI15" s="2">
        <f t="shared" si="6"/>
        <v>475000</v>
      </c>
      <c r="AJ15" s="2">
        <f t="shared" si="6"/>
        <v>475000</v>
      </c>
      <c r="AK15" s="2">
        <f t="shared" si="6"/>
        <v>475000</v>
      </c>
      <c r="AL15" s="2">
        <f t="shared" si="6"/>
        <v>475000</v>
      </c>
      <c r="AM15" s="2">
        <f t="shared" si="6"/>
        <v>475000</v>
      </c>
      <c r="AN15" s="2">
        <f t="shared" si="6"/>
        <v>475000</v>
      </c>
      <c r="AO15" s="2">
        <f t="shared" si="6"/>
        <v>475000</v>
      </c>
      <c r="AP15" s="2">
        <f t="shared" si="6"/>
        <v>475000</v>
      </c>
      <c r="AQ15" s="2">
        <f t="shared" si="6"/>
        <v>475000</v>
      </c>
      <c r="AR15" s="2">
        <f t="shared" si="6"/>
        <v>475000</v>
      </c>
      <c r="AS15" s="2">
        <f t="shared" si="6"/>
        <v>475000</v>
      </c>
      <c r="AT15" s="2">
        <f t="shared" si="6"/>
        <v>475000</v>
      </c>
      <c r="AU15" s="2">
        <f t="shared" si="6"/>
        <v>475000</v>
      </c>
      <c r="AV15" s="2">
        <f t="shared" si="6"/>
        <v>475000</v>
      </c>
      <c r="AW15" s="2">
        <f t="shared" si="6"/>
        <v>475000</v>
      </c>
      <c r="AX15" s="2">
        <f t="shared" si="6"/>
        <v>475000</v>
      </c>
      <c r="AY15" s="2">
        <f t="shared" si="6"/>
        <v>475000</v>
      </c>
      <c r="AZ15" s="2">
        <f t="shared" si="6"/>
        <v>475000</v>
      </c>
      <c r="BA15" s="2">
        <f t="shared" si="6"/>
        <v>475000</v>
      </c>
      <c r="BB15" s="2">
        <f t="shared" si="6"/>
        <v>475000</v>
      </c>
      <c r="BC15" s="2">
        <f t="shared" si="6"/>
        <v>475000</v>
      </c>
      <c r="BD15" s="2">
        <f t="shared" si="6"/>
        <v>475000</v>
      </c>
      <c r="BE15" s="2">
        <f t="shared" ref="BE15:CB15" si="7">BD15+BE30*0.06/12</f>
        <v>475000</v>
      </c>
      <c r="BF15" s="2">
        <f t="shared" si="7"/>
        <v>475000</v>
      </c>
      <c r="BG15" s="2">
        <f t="shared" si="7"/>
        <v>475000</v>
      </c>
      <c r="BH15" s="2">
        <f t="shared" si="7"/>
        <v>475000</v>
      </c>
      <c r="BI15" s="2">
        <f t="shared" si="7"/>
        <v>475000</v>
      </c>
      <c r="BJ15" s="2">
        <f t="shared" si="7"/>
        <v>475000</v>
      </c>
      <c r="BK15" s="2">
        <f t="shared" si="7"/>
        <v>475000</v>
      </c>
      <c r="BL15" s="2">
        <f t="shared" si="7"/>
        <v>475000</v>
      </c>
      <c r="BM15" s="2">
        <f t="shared" si="7"/>
        <v>475000</v>
      </c>
      <c r="BN15" s="2">
        <f t="shared" si="7"/>
        <v>475000</v>
      </c>
      <c r="BO15" s="2">
        <f t="shared" si="7"/>
        <v>475000</v>
      </c>
      <c r="BP15" s="2">
        <f t="shared" si="7"/>
        <v>475000</v>
      </c>
      <c r="BQ15" s="2">
        <f t="shared" si="7"/>
        <v>475000</v>
      </c>
      <c r="BR15" s="2">
        <f t="shared" si="7"/>
        <v>475000</v>
      </c>
      <c r="BS15" s="2">
        <f t="shared" si="7"/>
        <v>475000</v>
      </c>
      <c r="BT15" s="2">
        <f t="shared" si="7"/>
        <v>475000</v>
      </c>
      <c r="BU15" s="2">
        <f t="shared" si="7"/>
        <v>475000</v>
      </c>
      <c r="BV15" s="2">
        <f t="shared" si="7"/>
        <v>475000</v>
      </c>
      <c r="BW15" s="2">
        <f t="shared" si="7"/>
        <v>475000</v>
      </c>
      <c r="BX15" s="2">
        <f t="shared" si="7"/>
        <v>475000</v>
      </c>
      <c r="BY15" s="2">
        <f t="shared" si="7"/>
        <v>475000</v>
      </c>
      <c r="BZ15" s="2">
        <f t="shared" si="7"/>
        <v>475000</v>
      </c>
      <c r="CA15" s="2">
        <f t="shared" si="7"/>
        <v>475000</v>
      </c>
      <c r="CB15" s="2">
        <f t="shared" si="7"/>
        <v>475000</v>
      </c>
      <c r="CC15" s="2"/>
      <c r="CD15" s="2"/>
      <c r="CE15" s="2"/>
      <c r="CF15" s="2"/>
      <c r="CG15" s="2"/>
      <c r="CH15" s="2"/>
    </row>
    <row r="16" spans="20:86" x14ac:dyDescent="0.4">
      <c r="V16" t="s">
        <v>709</v>
      </c>
      <c r="X16" s="2">
        <f>X31*0.05/12+X35*0.07/12</f>
        <v>18750</v>
      </c>
      <c r="Y16" s="2">
        <f t="shared" ref="Y16:BD16" si="8">X16+Y31*0.05/12+Y35*0.07/12</f>
        <v>18750</v>
      </c>
      <c r="Z16" s="2">
        <f t="shared" si="8"/>
        <v>18750</v>
      </c>
      <c r="AA16" s="2">
        <f t="shared" si="8"/>
        <v>18750</v>
      </c>
      <c r="AB16" s="2">
        <f t="shared" si="8"/>
        <v>18750</v>
      </c>
      <c r="AC16" s="2">
        <f t="shared" si="8"/>
        <v>18750</v>
      </c>
      <c r="AD16" s="2">
        <f t="shared" si="8"/>
        <v>18750</v>
      </c>
      <c r="AE16" s="2">
        <f t="shared" si="8"/>
        <v>18750</v>
      </c>
      <c r="AF16" s="2">
        <f t="shared" si="8"/>
        <v>18750</v>
      </c>
      <c r="AG16" s="2">
        <f t="shared" si="8"/>
        <v>18750</v>
      </c>
      <c r="AH16" s="2">
        <f t="shared" si="8"/>
        <v>18750</v>
      </c>
      <c r="AI16" s="2">
        <f t="shared" si="8"/>
        <v>18750</v>
      </c>
      <c r="AJ16" s="2">
        <f t="shared" si="8"/>
        <v>18750</v>
      </c>
      <c r="AK16" s="2">
        <f t="shared" si="8"/>
        <v>18750</v>
      </c>
      <c r="AL16" s="2">
        <f t="shared" si="8"/>
        <v>18750</v>
      </c>
      <c r="AM16" s="2">
        <f t="shared" si="8"/>
        <v>18750</v>
      </c>
      <c r="AN16" s="2">
        <f t="shared" si="8"/>
        <v>18750</v>
      </c>
      <c r="AO16" s="2">
        <f t="shared" si="8"/>
        <v>18750</v>
      </c>
      <c r="AP16" s="2">
        <f t="shared" si="8"/>
        <v>18750</v>
      </c>
      <c r="AQ16" s="2">
        <f t="shared" si="8"/>
        <v>18750</v>
      </c>
      <c r="AR16" s="2">
        <f t="shared" si="8"/>
        <v>18750</v>
      </c>
      <c r="AS16" s="2">
        <f t="shared" si="8"/>
        <v>18750</v>
      </c>
      <c r="AT16" s="2">
        <f t="shared" si="8"/>
        <v>18750</v>
      </c>
      <c r="AU16" s="2">
        <f t="shared" si="8"/>
        <v>18750</v>
      </c>
      <c r="AV16" s="2">
        <f t="shared" si="8"/>
        <v>18750</v>
      </c>
      <c r="AW16" s="2">
        <f t="shared" si="8"/>
        <v>18750</v>
      </c>
      <c r="AX16" s="2">
        <f t="shared" si="8"/>
        <v>18750</v>
      </c>
      <c r="AY16" s="2">
        <f t="shared" si="8"/>
        <v>18750</v>
      </c>
      <c r="AZ16" s="2">
        <f t="shared" si="8"/>
        <v>18750</v>
      </c>
      <c r="BA16" s="2">
        <f t="shared" si="8"/>
        <v>18750</v>
      </c>
      <c r="BB16" s="2">
        <f t="shared" si="8"/>
        <v>18750</v>
      </c>
      <c r="BC16" s="2">
        <f t="shared" si="8"/>
        <v>18750</v>
      </c>
      <c r="BD16" s="2">
        <f t="shared" si="8"/>
        <v>18750</v>
      </c>
      <c r="BE16" s="2">
        <f t="shared" ref="BE16:CB16" si="9">BD16+BE31*0.05/12+BE35*0.07/12</f>
        <v>18750</v>
      </c>
      <c r="BF16" s="2">
        <f t="shared" si="9"/>
        <v>18750</v>
      </c>
      <c r="BG16" s="2">
        <f t="shared" si="9"/>
        <v>18750</v>
      </c>
      <c r="BH16" s="2">
        <f t="shared" si="9"/>
        <v>18750</v>
      </c>
      <c r="BI16" s="2">
        <f t="shared" si="9"/>
        <v>18750</v>
      </c>
      <c r="BJ16" s="2">
        <f t="shared" si="9"/>
        <v>18750</v>
      </c>
      <c r="BK16" s="2">
        <f t="shared" si="9"/>
        <v>117916.66666666667</v>
      </c>
      <c r="BL16" s="2">
        <f t="shared" si="9"/>
        <v>117916.66666666667</v>
      </c>
      <c r="BM16" s="2">
        <f t="shared" si="9"/>
        <v>117916.66666666667</v>
      </c>
      <c r="BN16" s="2">
        <f t="shared" si="9"/>
        <v>117916.66666666667</v>
      </c>
      <c r="BO16" s="2">
        <f t="shared" si="9"/>
        <v>117916.66666666667</v>
      </c>
      <c r="BP16" s="2">
        <f t="shared" si="9"/>
        <v>117916.66666666667</v>
      </c>
      <c r="BQ16" s="2">
        <f t="shared" si="9"/>
        <v>117916.66666666667</v>
      </c>
      <c r="BR16" s="2">
        <f t="shared" si="9"/>
        <v>117916.66666666667</v>
      </c>
      <c r="BS16" s="2">
        <f t="shared" si="9"/>
        <v>117916.66666666667</v>
      </c>
      <c r="BT16" s="2">
        <f t="shared" si="9"/>
        <v>117916.66666666667</v>
      </c>
      <c r="BU16" s="2">
        <f t="shared" si="9"/>
        <v>117916.66666666667</v>
      </c>
      <c r="BV16" s="2">
        <f t="shared" si="9"/>
        <v>117916.66666666667</v>
      </c>
      <c r="BW16" s="2">
        <f t="shared" si="9"/>
        <v>117916.66666666667</v>
      </c>
      <c r="BX16" s="2">
        <f t="shared" si="9"/>
        <v>117916.66666666667</v>
      </c>
      <c r="BY16" s="2">
        <f t="shared" si="9"/>
        <v>117916.66666666667</v>
      </c>
      <c r="BZ16" s="2">
        <f t="shared" si="9"/>
        <v>117916.66666666667</v>
      </c>
      <c r="CA16" s="2">
        <f t="shared" si="9"/>
        <v>117916.66666666667</v>
      </c>
      <c r="CB16" s="2">
        <f t="shared" si="9"/>
        <v>117916.66666666667</v>
      </c>
      <c r="CC16" s="2"/>
      <c r="CD16" s="2"/>
      <c r="CE16" s="2"/>
      <c r="CF16" s="2"/>
      <c r="CG16" s="2"/>
      <c r="CH16" s="2"/>
    </row>
    <row r="17" spans="14:90" x14ac:dyDescent="0.4">
      <c r="V17" t="s">
        <v>903</v>
      </c>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f>BK34*0.07/12</f>
        <v>175000</v>
      </c>
      <c r="BL17" s="2">
        <f t="shared" ref="BL17:CB17" si="10">BK17+BL34*0.07/12</f>
        <v>175000</v>
      </c>
      <c r="BM17" s="2">
        <f t="shared" si="10"/>
        <v>175000</v>
      </c>
      <c r="BN17" s="2">
        <f t="shared" si="10"/>
        <v>175000</v>
      </c>
      <c r="BO17" s="2">
        <f t="shared" si="10"/>
        <v>175000</v>
      </c>
      <c r="BP17" s="2">
        <f t="shared" si="10"/>
        <v>175000</v>
      </c>
      <c r="BQ17" s="2">
        <f t="shared" si="10"/>
        <v>175000</v>
      </c>
      <c r="BR17" s="2">
        <f t="shared" si="10"/>
        <v>175000</v>
      </c>
      <c r="BS17" s="2">
        <f t="shared" si="10"/>
        <v>175000</v>
      </c>
      <c r="BT17" s="2">
        <f t="shared" si="10"/>
        <v>175000</v>
      </c>
      <c r="BU17" s="2">
        <f t="shared" si="10"/>
        <v>175000</v>
      </c>
      <c r="BV17" s="2">
        <f t="shared" si="10"/>
        <v>175000</v>
      </c>
      <c r="BW17" s="2">
        <f t="shared" si="10"/>
        <v>175000</v>
      </c>
      <c r="BX17" s="2">
        <f t="shared" si="10"/>
        <v>175000</v>
      </c>
      <c r="BY17" s="2">
        <f t="shared" si="10"/>
        <v>175000</v>
      </c>
      <c r="BZ17" s="2">
        <f t="shared" si="10"/>
        <v>175000</v>
      </c>
      <c r="CA17" s="2">
        <f t="shared" si="10"/>
        <v>175000</v>
      </c>
      <c r="CB17" s="2">
        <f t="shared" si="10"/>
        <v>175000</v>
      </c>
      <c r="CC17" s="2"/>
      <c r="CD17" s="2"/>
      <c r="CE17" s="2"/>
      <c r="CF17" s="2"/>
      <c r="CG17" s="2"/>
      <c r="CH17" s="2"/>
    </row>
    <row r="18" spans="14:90" x14ac:dyDescent="0.4">
      <c r="V18" t="s">
        <v>970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f>BK33*0.06/12</f>
        <v>2000000</v>
      </c>
      <c r="BL18" s="2">
        <f t="shared" ref="BL18:CB18" si="11">BK18+BL33*0.06/12</f>
        <v>1991666.6666666667</v>
      </c>
      <c r="BM18" s="2">
        <f t="shared" si="11"/>
        <v>1983333.3333333335</v>
      </c>
      <c r="BN18" s="2">
        <f t="shared" si="11"/>
        <v>1975000.0000000002</v>
      </c>
      <c r="BO18" s="2">
        <f t="shared" si="11"/>
        <v>1966666.666666667</v>
      </c>
      <c r="BP18" s="2">
        <f t="shared" si="11"/>
        <v>1958333.3333333337</v>
      </c>
      <c r="BQ18" s="2">
        <f t="shared" si="11"/>
        <v>1950000.0000000005</v>
      </c>
      <c r="BR18" s="2">
        <f t="shared" si="11"/>
        <v>1941666.6666666672</v>
      </c>
      <c r="BS18" s="2">
        <f t="shared" si="11"/>
        <v>1933333.333333334</v>
      </c>
      <c r="BT18" s="2">
        <f t="shared" si="11"/>
        <v>1925000.0000000007</v>
      </c>
      <c r="BU18" s="2">
        <f t="shared" si="11"/>
        <v>1916666.6666666674</v>
      </c>
      <c r="BV18" s="2">
        <f t="shared" si="11"/>
        <v>1908333.3333333342</v>
      </c>
      <c r="BW18" s="2">
        <f t="shared" si="11"/>
        <v>1900000.0000000009</v>
      </c>
      <c r="BX18" s="2">
        <f t="shared" si="11"/>
        <v>1891666.6666666677</v>
      </c>
      <c r="BY18" s="2">
        <f t="shared" si="11"/>
        <v>1883333.3333333344</v>
      </c>
      <c r="BZ18" s="2">
        <f t="shared" si="11"/>
        <v>1875000.0000000012</v>
      </c>
      <c r="CA18" s="2">
        <f t="shared" si="11"/>
        <v>1866666.6666666679</v>
      </c>
      <c r="CB18" s="2">
        <f t="shared" si="11"/>
        <v>1858333.3333333347</v>
      </c>
      <c r="CC18" s="2"/>
      <c r="CD18" s="2"/>
      <c r="CE18" s="2"/>
      <c r="CF18" s="2"/>
      <c r="CG18" s="2"/>
      <c r="CH18" s="2"/>
    </row>
    <row r="19" spans="14:90" x14ac:dyDescent="0.4">
      <c r="V19" t="s">
        <v>881</v>
      </c>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f>BC36*0.03/12</f>
        <v>0</v>
      </c>
      <c r="BD19" s="2">
        <f t="shared" ref="BD19:CB19" si="12">BC19+BD36*0.03/12</f>
        <v>415000</v>
      </c>
      <c r="BE19" s="2">
        <f t="shared" si="12"/>
        <v>415000</v>
      </c>
      <c r="BF19" s="2">
        <f t="shared" si="12"/>
        <v>415000</v>
      </c>
      <c r="BG19" s="2">
        <f t="shared" si="12"/>
        <v>415000</v>
      </c>
      <c r="BH19" s="2">
        <f t="shared" si="12"/>
        <v>415000</v>
      </c>
      <c r="BI19" s="2">
        <f t="shared" si="12"/>
        <v>415000</v>
      </c>
      <c r="BJ19" s="2">
        <f t="shared" si="12"/>
        <v>415000</v>
      </c>
      <c r="BK19" s="2">
        <f t="shared" si="12"/>
        <v>750000</v>
      </c>
      <c r="BL19" s="2">
        <f t="shared" si="12"/>
        <v>750000</v>
      </c>
      <c r="BM19" s="2">
        <f t="shared" si="12"/>
        <v>750000</v>
      </c>
      <c r="BN19" s="2">
        <f t="shared" si="12"/>
        <v>750000</v>
      </c>
      <c r="BO19" s="2">
        <f t="shared" si="12"/>
        <v>750000</v>
      </c>
      <c r="BP19" s="2">
        <f t="shared" si="12"/>
        <v>750000</v>
      </c>
      <c r="BQ19" s="2">
        <f t="shared" si="12"/>
        <v>750000</v>
      </c>
      <c r="BR19" s="2">
        <f t="shared" si="12"/>
        <v>750000</v>
      </c>
      <c r="BS19" s="2">
        <f t="shared" si="12"/>
        <v>750000</v>
      </c>
      <c r="BT19" s="2">
        <f t="shared" si="12"/>
        <v>750000</v>
      </c>
      <c r="BU19" s="2">
        <f t="shared" si="12"/>
        <v>750000</v>
      </c>
      <c r="BV19" s="2">
        <f t="shared" si="12"/>
        <v>750000</v>
      </c>
      <c r="BW19" s="2">
        <f t="shared" si="12"/>
        <v>750000</v>
      </c>
      <c r="BX19" s="2">
        <f t="shared" si="12"/>
        <v>750000</v>
      </c>
      <c r="BY19" s="2">
        <f t="shared" si="12"/>
        <v>750000</v>
      </c>
      <c r="BZ19" s="2">
        <f t="shared" si="12"/>
        <v>750000</v>
      </c>
      <c r="CA19" s="2">
        <f t="shared" si="12"/>
        <v>750000</v>
      </c>
      <c r="CB19" s="2">
        <f t="shared" si="12"/>
        <v>750000</v>
      </c>
      <c r="CC19" s="2"/>
      <c r="CD19" s="2"/>
      <c r="CE19" s="2"/>
      <c r="CF19" s="2"/>
      <c r="CG19" s="2"/>
      <c r="CH19" s="2"/>
    </row>
    <row r="20" spans="14:90" x14ac:dyDescent="0.4">
      <c r="V20" t="s">
        <v>902</v>
      </c>
      <c r="X20" s="2">
        <f>X47*0.065/12</f>
        <v>0</v>
      </c>
      <c r="Y20" s="2">
        <f t="shared" ref="Y20:BD20" si="13">X20+Y47*0.065/12</f>
        <v>0</v>
      </c>
      <c r="Z20" s="2">
        <f t="shared" si="13"/>
        <v>0</v>
      </c>
      <c r="AA20" s="2">
        <f t="shared" si="13"/>
        <v>0</v>
      </c>
      <c r="AB20" s="2">
        <f t="shared" si="13"/>
        <v>0</v>
      </c>
      <c r="AC20" s="2">
        <f t="shared" si="13"/>
        <v>0</v>
      </c>
      <c r="AD20" s="2">
        <f t="shared" si="13"/>
        <v>0</v>
      </c>
      <c r="AE20" s="2">
        <f t="shared" si="13"/>
        <v>0</v>
      </c>
      <c r="AF20" s="2">
        <f t="shared" si="13"/>
        <v>0</v>
      </c>
      <c r="AG20" s="2">
        <f t="shared" si="13"/>
        <v>0</v>
      </c>
      <c r="AH20" s="2">
        <f t="shared" si="13"/>
        <v>0</v>
      </c>
      <c r="AI20" s="2">
        <f t="shared" si="13"/>
        <v>0</v>
      </c>
      <c r="AJ20" s="2">
        <f t="shared" si="13"/>
        <v>0</v>
      </c>
      <c r="AK20" s="2">
        <f t="shared" si="13"/>
        <v>0</v>
      </c>
      <c r="AL20" s="2">
        <f t="shared" si="13"/>
        <v>0</v>
      </c>
      <c r="AM20" s="2">
        <f t="shared" si="13"/>
        <v>0</v>
      </c>
      <c r="AN20" s="2">
        <f t="shared" si="13"/>
        <v>0</v>
      </c>
      <c r="AO20" s="2">
        <f t="shared" si="13"/>
        <v>0</v>
      </c>
      <c r="AP20" s="2">
        <f t="shared" si="13"/>
        <v>0</v>
      </c>
      <c r="AQ20" s="2">
        <f t="shared" si="13"/>
        <v>0</v>
      </c>
      <c r="AR20" s="2">
        <f t="shared" si="13"/>
        <v>0</v>
      </c>
      <c r="AS20" s="2">
        <f t="shared" si="13"/>
        <v>0</v>
      </c>
      <c r="AT20" s="2">
        <f t="shared" si="13"/>
        <v>0</v>
      </c>
      <c r="AU20" s="2">
        <f t="shared" si="13"/>
        <v>0</v>
      </c>
      <c r="AV20" s="2">
        <f t="shared" si="13"/>
        <v>0</v>
      </c>
      <c r="AW20" s="2">
        <f t="shared" si="13"/>
        <v>0</v>
      </c>
      <c r="AX20" s="2">
        <f t="shared" si="13"/>
        <v>0</v>
      </c>
      <c r="AY20" s="2">
        <f t="shared" si="13"/>
        <v>0</v>
      </c>
      <c r="AZ20" s="2">
        <f t="shared" si="13"/>
        <v>0</v>
      </c>
      <c r="BA20" s="2">
        <f t="shared" si="13"/>
        <v>0</v>
      </c>
      <c r="BB20" s="2">
        <f t="shared" si="13"/>
        <v>0</v>
      </c>
      <c r="BC20" s="2">
        <f t="shared" si="13"/>
        <v>0</v>
      </c>
      <c r="BD20" s="2">
        <f t="shared" si="13"/>
        <v>0</v>
      </c>
      <c r="BE20" s="2">
        <f t="shared" ref="BE20:CB20" si="14">BD20+BE47*0.065/12</f>
        <v>0</v>
      </c>
      <c r="BF20" s="2">
        <f t="shared" si="14"/>
        <v>0</v>
      </c>
      <c r="BG20" s="2">
        <f t="shared" si="14"/>
        <v>0</v>
      </c>
      <c r="BH20" s="2">
        <f t="shared" si="14"/>
        <v>0</v>
      </c>
      <c r="BI20" s="2">
        <f t="shared" si="14"/>
        <v>0</v>
      </c>
      <c r="BJ20" s="2">
        <f t="shared" si="14"/>
        <v>0</v>
      </c>
      <c r="BK20" s="2">
        <f t="shared" si="14"/>
        <v>270833.33333333331</v>
      </c>
      <c r="BL20" s="2">
        <f t="shared" si="14"/>
        <v>270833.33333333331</v>
      </c>
      <c r="BM20" s="2">
        <f t="shared" si="14"/>
        <v>270833.33333333331</v>
      </c>
      <c r="BN20" s="2">
        <f t="shared" si="14"/>
        <v>270833.33333333331</v>
      </c>
      <c r="BO20" s="2">
        <f t="shared" si="14"/>
        <v>270833.33333333331</v>
      </c>
      <c r="BP20" s="2">
        <f t="shared" si="14"/>
        <v>270833.33333333331</v>
      </c>
      <c r="BQ20" s="2">
        <f t="shared" si="14"/>
        <v>270833.33333333331</v>
      </c>
      <c r="BR20" s="2">
        <f t="shared" si="14"/>
        <v>270833.33333333331</v>
      </c>
      <c r="BS20" s="2">
        <f t="shared" si="14"/>
        <v>270833.33333333331</v>
      </c>
      <c r="BT20" s="2">
        <f t="shared" si="14"/>
        <v>270833.33333333331</v>
      </c>
      <c r="BU20" s="2">
        <f t="shared" si="14"/>
        <v>270833.33333333331</v>
      </c>
      <c r="BV20" s="2">
        <f t="shared" si="14"/>
        <v>270833.33333333331</v>
      </c>
      <c r="BW20" s="2">
        <f t="shared" si="14"/>
        <v>270833.33333333331</v>
      </c>
      <c r="BX20" s="2">
        <f t="shared" si="14"/>
        <v>270833.33333333331</v>
      </c>
      <c r="BY20" s="2">
        <f t="shared" si="14"/>
        <v>270833.33333333331</v>
      </c>
      <c r="BZ20" s="2">
        <f t="shared" si="14"/>
        <v>270833.33333333331</v>
      </c>
      <c r="CA20" s="2">
        <f t="shared" si="14"/>
        <v>270833.33333333331</v>
      </c>
      <c r="CB20" s="2">
        <f t="shared" si="14"/>
        <v>270833.33333333331</v>
      </c>
      <c r="CC20" s="2"/>
      <c r="CD20" s="2"/>
      <c r="CE20" s="2"/>
      <c r="CF20" s="2"/>
      <c r="CG20" s="2"/>
      <c r="CH20" s="2"/>
    </row>
    <row r="21" spans="14:90" x14ac:dyDescent="0.4">
      <c r="V21" t="s">
        <v>971</v>
      </c>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L21" s="2">
        <f t="shared" ref="BL21:CB21" si="15">-BL33</f>
        <v>1666666.6666666667</v>
      </c>
      <c r="BM21" s="2">
        <f t="shared" si="15"/>
        <v>1666666.6666666667</v>
      </c>
      <c r="BN21" s="2">
        <f t="shared" si="15"/>
        <v>1666666.6666666667</v>
      </c>
      <c r="BO21" s="2">
        <f t="shared" si="15"/>
        <v>1666666.6666666667</v>
      </c>
      <c r="BP21" s="2">
        <f t="shared" si="15"/>
        <v>1666666.6666666667</v>
      </c>
      <c r="BQ21" s="2">
        <f t="shared" si="15"/>
        <v>1666666.6666666667</v>
      </c>
      <c r="BR21" s="2">
        <f t="shared" si="15"/>
        <v>1666666.6666666667</v>
      </c>
      <c r="BS21" s="2">
        <f t="shared" si="15"/>
        <v>1666666.6666666667</v>
      </c>
      <c r="BT21" s="2">
        <f t="shared" si="15"/>
        <v>1666666.6666666667</v>
      </c>
      <c r="BU21" s="2">
        <f t="shared" si="15"/>
        <v>1666666.6666666667</v>
      </c>
      <c r="BV21" s="2">
        <f t="shared" si="15"/>
        <v>1666666.6666666667</v>
      </c>
      <c r="BW21" s="2">
        <f t="shared" si="15"/>
        <v>1666666.6666666667</v>
      </c>
      <c r="BX21" s="2">
        <f t="shared" si="15"/>
        <v>1666666.6666666667</v>
      </c>
      <c r="BY21" s="2">
        <f t="shared" si="15"/>
        <v>1666666.6666666667</v>
      </c>
      <c r="BZ21" s="2">
        <f t="shared" si="15"/>
        <v>1666666.6666666667</v>
      </c>
      <c r="CA21" s="2">
        <f t="shared" si="15"/>
        <v>1666666.6666666667</v>
      </c>
      <c r="CB21" s="2">
        <f t="shared" si="15"/>
        <v>1666666.6666666667</v>
      </c>
      <c r="CC21" s="2"/>
      <c r="CD21" s="2"/>
      <c r="CE21" s="2"/>
      <c r="CF21" s="2"/>
      <c r="CG21" s="2"/>
      <c r="CH21" s="2"/>
    </row>
    <row r="22" spans="14:90" x14ac:dyDescent="0.4">
      <c r="V22" t="s">
        <v>972</v>
      </c>
      <c r="X22" s="2">
        <v>3500000</v>
      </c>
      <c r="Y22" s="2">
        <v>3500000</v>
      </c>
      <c r="Z22" s="2">
        <v>3500000</v>
      </c>
      <c r="AA22" s="2">
        <v>3500000</v>
      </c>
      <c r="AB22" s="2">
        <v>3500000</v>
      </c>
      <c r="AC22" s="2">
        <v>3500000</v>
      </c>
      <c r="AD22" s="2">
        <v>3500000</v>
      </c>
      <c r="AE22" s="2">
        <v>3500000</v>
      </c>
      <c r="AF22" s="2">
        <v>3500000</v>
      </c>
      <c r="AG22" s="2">
        <v>3800000</v>
      </c>
      <c r="AH22" s="2">
        <v>3800000</v>
      </c>
      <c r="AI22" s="2">
        <v>3800000</v>
      </c>
      <c r="AJ22" s="2">
        <v>3800000</v>
      </c>
      <c r="AK22" s="2">
        <v>3800000</v>
      </c>
      <c r="AL22" s="2">
        <v>3800000</v>
      </c>
      <c r="AM22" s="2">
        <v>3800000</v>
      </c>
      <c r="AN22" s="2">
        <v>3800000</v>
      </c>
      <c r="AO22" s="2">
        <v>3800000</v>
      </c>
      <c r="AP22" s="2">
        <v>3800000</v>
      </c>
      <c r="AQ22" s="2">
        <v>3800000</v>
      </c>
      <c r="AR22" s="2">
        <v>3800000</v>
      </c>
      <c r="AS22" s="2">
        <v>4000000</v>
      </c>
      <c r="AT22" s="2">
        <v>4000000</v>
      </c>
      <c r="AU22" s="2">
        <v>4000000</v>
      </c>
      <c r="AV22" s="2">
        <v>4000000</v>
      </c>
      <c r="AW22" s="2">
        <v>4000000</v>
      </c>
      <c r="AX22" s="2">
        <v>4000000</v>
      </c>
      <c r="AY22" s="2">
        <v>4000000</v>
      </c>
      <c r="AZ22" s="2">
        <v>4000000</v>
      </c>
      <c r="BA22" s="2">
        <v>4000000</v>
      </c>
      <c r="BB22" s="2">
        <v>4000000</v>
      </c>
      <c r="BC22" s="2">
        <v>4000000</v>
      </c>
      <c r="BD22" s="2">
        <v>4000000</v>
      </c>
      <c r="BE22" s="2">
        <v>4300000</v>
      </c>
      <c r="BF22" s="2">
        <v>4300000</v>
      </c>
      <c r="BG22" s="2">
        <v>4300000</v>
      </c>
      <c r="BH22" s="2">
        <v>4300000</v>
      </c>
      <c r="BI22" s="2">
        <v>4300000</v>
      </c>
      <c r="BJ22" s="2">
        <v>4300000</v>
      </c>
      <c r="BK22" s="2">
        <v>4300000</v>
      </c>
      <c r="BL22" s="2">
        <v>4300000</v>
      </c>
      <c r="BM22" s="2">
        <v>4300000</v>
      </c>
      <c r="BN22" s="2">
        <v>4300000</v>
      </c>
      <c r="BO22" s="2">
        <v>4300000</v>
      </c>
      <c r="BP22" s="2">
        <v>4300000</v>
      </c>
      <c r="BQ22" s="2">
        <v>4500000</v>
      </c>
      <c r="BR22" s="2">
        <v>4500000</v>
      </c>
      <c r="BS22" s="2">
        <v>4500000</v>
      </c>
      <c r="BT22" s="2">
        <v>4500000</v>
      </c>
      <c r="BU22" s="2">
        <v>4500000</v>
      </c>
      <c r="BV22" s="2">
        <v>4500000</v>
      </c>
      <c r="BW22" s="2">
        <v>4500000</v>
      </c>
      <c r="BX22" s="2">
        <v>4500000</v>
      </c>
      <c r="BY22" s="2">
        <v>4500000</v>
      </c>
      <c r="BZ22" s="2">
        <v>4500000</v>
      </c>
      <c r="CA22" s="2">
        <v>4500000</v>
      </c>
      <c r="CB22" s="2">
        <v>4500000</v>
      </c>
      <c r="CC22" s="2"/>
      <c r="CD22" s="2"/>
      <c r="CE22" s="2"/>
      <c r="CF22" s="2"/>
      <c r="CG22" s="2"/>
      <c r="CH22" s="2"/>
    </row>
    <row r="23" spans="14:90" x14ac:dyDescent="0.4">
      <c r="V23" s="56" t="s">
        <v>973</v>
      </c>
      <c r="W23" s="56"/>
      <c r="X23" s="388">
        <v>1000000</v>
      </c>
      <c r="Y23" s="388">
        <v>1000000</v>
      </c>
      <c r="Z23" s="388">
        <v>870000</v>
      </c>
      <c r="AA23" s="388">
        <v>870000</v>
      </c>
      <c r="AB23" s="388">
        <v>870000</v>
      </c>
      <c r="AC23" s="388">
        <v>750000</v>
      </c>
      <c r="AD23" s="388">
        <v>750000</v>
      </c>
      <c r="AE23" s="388">
        <v>750000</v>
      </c>
      <c r="AF23" s="388">
        <v>750000</v>
      </c>
      <c r="AG23" s="388">
        <v>750000</v>
      </c>
      <c r="AH23" s="388">
        <v>750000</v>
      </c>
      <c r="AI23" s="388">
        <v>750000</v>
      </c>
      <c r="AJ23" s="388">
        <v>750000</v>
      </c>
      <c r="AK23" s="388">
        <v>750000</v>
      </c>
      <c r="AL23" s="388">
        <v>750000</v>
      </c>
      <c r="AM23" s="388">
        <v>750000</v>
      </c>
      <c r="AN23" s="388">
        <v>750000</v>
      </c>
      <c r="AO23" s="388">
        <v>750000</v>
      </c>
      <c r="AP23" s="388">
        <v>750000</v>
      </c>
      <c r="AQ23" s="388">
        <v>750000</v>
      </c>
      <c r="AR23" s="388">
        <v>750000</v>
      </c>
      <c r="AS23" s="388">
        <v>1000000</v>
      </c>
      <c r="AT23" s="388">
        <v>1000000</v>
      </c>
      <c r="AU23" s="388">
        <v>1000000</v>
      </c>
      <c r="AV23" s="388">
        <v>1000000</v>
      </c>
      <c r="AW23" s="388">
        <v>1000000</v>
      </c>
      <c r="AX23" s="388">
        <v>1000000</v>
      </c>
      <c r="AY23" s="388">
        <v>1000000</v>
      </c>
      <c r="AZ23" s="388">
        <v>1000000</v>
      </c>
      <c r="BA23" s="388">
        <v>1000000</v>
      </c>
      <c r="BB23" s="388">
        <v>1000000</v>
      </c>
      <c r="BC23" s="388">
        <v>1000000</v>
      </c>
      <c r="BD23" s="388">
        <v>1000000</v>
      </c>
      <c r="BE23" s="388">
        <v>1300000</v>
      </c>
      <c r="BF23" s="388">
        <v>1300000</v>
      </c>
      <c r="BG23" s="388">
        <v>1300000</v>
      </c>
      <c r="BH23" s="388">
        <v>1300000</v>
      </c>
      <c r="BI23" s="388">
        <v>1300000</v>
      </c>
      <c r="BJ23" s="388">
        <v>1300000</v>
      </c>
      <c r="BK23" s="388">
        <v>1300000</v>
      </c>
      <c r="BL23" s="388">
        <v>1300000</v>
      </c>
      <c r="BM23" s="388">
        <v>1300000</v>
      </c>
      <c r="BN23" s="388">
        <v>1300000</v>
      </c>
      <c r="BO23" s="388">
        <v>1300000</v>
      </c>
      <c r="BP23" s="388">
        <v>1300000</v>
      </c>
      <c r="BQ23" s="388">
        <v>1500000</v>
      </c>
      <c r="BR23" s="388">
        <v>1500000</v>
      </c>
      <c r="BS23" s="388">
        <v>1500000</v>
      </c>
      <c r="BT23" s="388">
        <v>1500000</v>
      </c>
      <c r="BU23" s="388">
        <v>1500000</v>
      </c>
      <c r="BV23" s="388">
        <v>1500000</v>
      </c>
      <c r="BW23" s="388">
        <v>1500000</v>
      </c>
      <c r="BX23" s="388">
        <v>1500000</v>
      </c>
      <c r="BY23" s="388">
        <v>1500000</v>
      </c>
      <c r="BZ23" s="388">
        <v>1500000</v>
      </c>
      <c r="CA23" s="388">
        <v>1500000</v>
      </c>
      <c r="CB23" s="388">
        <v>1500000</v>
      </c>
      <c r="CC23" s="2"/>
      <c r="CD23" s="2"/>
      <c r="CE23" s="2"/>
      <c r="CF23" s="2"/>
      <c r="CG23" s="2"/>
      <c r="CH23" s="2"/>
    </row>
    <row r="24" spans="14:90" x14ac:dyDescent="0.4">
      <c r="V24" s="387" t="s">
        <v>974</v>
      </c>
      <c r="W24" s="387"/>
      <c r="X24" s="389">
        <f t="shared" ref="X24:BC24" si="16">SUM(X11:X23)</f>
        <v>6141250</v>
      </c>
      <c r="Y24" s="389">
        <f t="shared" si="16"/>
        <v>6141250</v>
      </c>
      <c r="Z24" s="389">
        <f t="shared" si="16"/>
        <v>6011250</v>
      </c>
      <c r="AA24" s="389">
        <f t="shared" si="16"/>
        <v>6011250</v>
      </c>
      <c r="AB24" s="389">
        <f t="shared" si="16"/>
        <v>6486250</v>
      </c>
      <c r="AC24" s="389">
        <f t="shared" si="16"/>
        <v>6366250</v>
      </c>
      <c r="AD24" s="389">
        <f t="shared" si="16"/>
        <v>6488750</v>
      </c>
      <c r="AE24" s="389">
        <f t="shared" si="16"/>
        <v>6488750</v>
      </c>
      <c r="AF24" s="389">
        <f t="shared" si="16"/>
        <v>6488750</v>
      </c>
      <c r="AG24" s="389">
        <f t="shared" si="16"/>
        <v>7618750</v>
      </c>
      <c r="AH24" s="389">
        <f t="shared" si="16"/>
        <v>7618750</v>
      </c>
      <c r="AI24" s="389">
        <f t="shared" si="16"/>
        <v>7618750</v>
      </c>
      <c r="AJ24" s="389">
        <f t="shared" si="16"/>
        <v>7618750</v>
      </c>
      <c r="AK24" s="389">
        <f t="shared" si="16"/>
        <v>7618750</v>
      </c>
      <c r="AL24" s="389">
        <f t="shared" si="16"/>
        <v>8448750</v>
      </c>
      <c r="AM24" s="389">
        <f t="shared" si="16"/>
        <v>8448750</v>
      </c>
      <c r="AN24" s="389">
        <f t="shared" si="16"/>
        <v>8448750</v>
      </c>
      <c r="AO24" s="389">
        <f t="shared" si="16"/>
        <v>8448750</v>
      </c>
      <c r="AP24" s="389">
        <f t="shared" si="16"/>
        <v>8448750</v>
      </c>
      <c r="AQ24" s="389">
        <f t="shared" si="16"/>
        <v>8448750</v>
      </c>
      <c r="AR24" s="389">
        <f t="shared" si="16"/>
        <v>8448750</v>
      </c>
      <c r="AS24" s="389">
        <f t="shared" si="16"/>
        <v>9728750</v>
      </c>
      <c r="AT24" s="389">
        <f t="shared" si="16"/>
        <v>9728750</v>
      </c>
      <c r="AU24" s="389">
        <f t="shared" si="16"/>
        <v>9728750</v>
      </c>
      <c r="AV24" s="389">
        <f t="shared" si="16"/>
        <v>9728750</v>
      </c>
      <c r="AW24" s="389">
        <f t="shared" si="16"/>
        <v>9728750</v>
      </c>
      <c r="AX24" s="389">
        <f t="shared" si="16"/>
        <v>10558750</v>
      </c>
      <c r="AY24" s="389">
        <f t="shared" si="16"/>
        <v>10558750</v>
      </c>
      <c r="AZ24" s="389">
        <f t="shared" si="16"/>
        <v>10558750</v>
      </c>
      <c r="BA24" s="389">
        <f t="shared" si="16"/>
        <v>11023750</v>
      </c>
      <c r="BB24" s="389">
        <f t="shared" si="16"/>
        <v>11023750</v>
      </c>
      <c r="BC24" s="389">
        <f t="shared" si="16"/>
        <v>11023750</v>
      </c>
      <c r="BD24" s="389">
        <f t="shared" ref="BD24:CI24" si="17">SUM(BD11:BD23)</f>
        <v>11438750</v>
      </c>
      <c r="BE24" s="389">
        <f t="shared" si="17"/>
        <v>12038750</v>
      </c>
      <c r="BF24" s="389">
        <f t="shared" si="17"/>
        <v>12038750</v>
      </c>
      <c r="BG24" s="389">
        <f t="shared" si="17"/>
        <v>12038750</v>
      </c>
      <c r="BH24" s="389">
        <f t="shared" si="17"/>
        <v>12038750</v>
      </c>
      <c r="BI24" s="389">
        <f t="shared" si="17"/>
        <v>12038750</v>
      </c>
      <c r="BJ24" s="389">
        <f t="shared" si="17"/>
        <v>12038750</v>
      </c>
      <c r="BK24" s="389">
        <f t="shared" si="17"/>
        <v>11598750</v>
      </c>
      <c r="BL24" s="389">
        <f t="shared" si="17"/>
        <v>11047083.333333334</v>
      </c>
      <c r="BM24" s="389">
        <f t="shared" si="17"/>
        <v>11038750</v>
      </c>
      <c r="BN24" s="389">
        <f t="shared" si="17"/>
        <v>11030416.666666668</v>
      </c>
      <c r="BO24" s="389">
        <f t="shared" si="17"/>
        <v>11022083.333333334</v>
      </c>
      <c r="BP24" s="389">
        <f t="shared" si="17"/>
        <v>11013750</v>
      </c>
      <c r="BQ24" s="389">
        <f t="shared" si="17"/>
        <v>11405416.666666668</v>
      </c>
      <c r="BR24" s="389">
        <f t="shared" si="17"/>
        <v>11397083.333333334</v>
      </c>
      <c r="BS24" s="389">
        <f t="shared" si="17"/>
        <v>11388750</v>
      </c>
      <c r="BT24" s="389">
        <f t="shared" si="17"/>
        <v>11380416.666666668</v>
      </c>
      <c r="BU24" s="389">
        <f t="shared" si="17"/>
        <v>11372083.333333334</v>
      </c>
      <c r="BV24" s="389">
        <f t="shared" si="17"/>
        <v>11363750</v>
      </c>
      <c r="BW24" s="389">
        <f t="shared" si="17"/>
        <v>11355416.666666668</v>
      </c>
      <c r="BX24" s="389">
        <f t="shared" si="17"/>
        <v>11347083.333333336</v>
      </c>
      <c r="BY24" s="389">
        <f t="shared" si="17"/>
        <v>11338750</v>
      </c>
      <c r="BZ24" s="389">
        <f t="shared" si="17"/>
        <v>11330416.666666668</v>
      </c>
      <c r="CA24" s="389">
        <f t="shared" si="17"/>
        <v>11322083.333333336</v>
      </c>
      <c r="CB24" s="389">
        <f t="shared" si="17"/>
        <v>11313750.000000002</v>
      </c>
      <c r="CC24" s="2"/>
      <c r="CD24" s="2"/>
      <c r="CE24" s="2"/>
      <c r="CF24" s="2"/>
      <c r="CG24" s="2"/>
      <c r="CH24" s="2"/>
    </row>
    <row r="25" spans="14:90" x14ac:dyDescent="0.4">
      <c r="V25" t="s">
        <v>157</v>
      </c>
      <c r="X25" s="2">
        <f t="shared" ref="X25:BC25" si="18">X9-X24</f>
        <v>2458750</v>
      </c>
      <c r="Y25" s="2">
        <f t="shared" si="18"/>
        <v>2458750</v>
      </c>
      <c r="Z25" s="2">
        <f t="shared" si="18"/>
        <v>2588750</v>
      </c>
      <c r="AA25" s="2">
        <f t="shared" si="18"/>
        <v>3588750</v>
      </c>
      <c r="AB25" s="2">
        <f t="shared" si="18"/>
        <v>2313750</v>
      </c>
      <c r="AC25" s="2">
        <f t="shared" si="18"/>
        <v>8333750</v>
      </c>
      <c r="AD25" s="2">
        <f t="shared" si="18"/>
        <v>3211250</v>
      </c>
      <c r="AE25" s="2">
        <f t="shared" si="18"/>
        <v>3211250</v>
      </c>
      <c r="AF25" s="2">
        <f t="shared" si="18"/>
        <v>3211250</v>
      </c>
      <c r="AG25" s="2">
        <f t="shared" si="18"/>
        <v>3581250</v>
      </c>
      <c r="AH25" s="2">
        <f t="shared" si="18"/>
        <v>7081250</v>
      </c>
      <c r="AI25" s="2">
        <f t="shared" si="18"/>
        <v>2081250</v>
      </c>
      <c r="AJ25" s="2">
        <f t="shared" si="18"/>
        <v>2081250</v>
      </c>
      <c r="AK25" s="2">
        <f t="shared" si="18"/>
        <v>14081250</v>
      </c>
      <c r="AL25" s="2">
        <f t="shared" si="18"/>
        <v>1251250</v>
      </c>
      <c r="AM25" s="2">
        <f t="shared" si="18"/>
        <v>2251250</v>
      </c>
      <c r="AN25" s="2">
        <f t="shared" si="18"/>
        <v>1551250</v>
      </c>
      <c r="AO25" s="2">
        <f t="shared" si="18"/>
        <v>6751250</v>
      </c>
      <c r="AP25" s="2">
        <f t="shared" si="18"/>
        <v>1551250</v>
      </c>
      <c r="AQ25" s="2">
        <f t="shared" si="18"/>
        <v>1551250</v>
      </c>
      <c r="AR25" s="2">
        <f t="shared" si="18"/>
        <v>1551250</v>
      </c>
      <c r="AS25" s="2">
        <f t="shared" si="18"/>
        <v>1771250</v>
      </c>
      <c r="AT25" s="2">
        <f t="shared" si="18"/>
        <v>5471250</v>
      </c>
      <c r="AU25" s="2">
        <f t="shared" si="18"/>
        <v>271250</v>
      </c>
      <c r="AV25" s="2">
        <f t="shared" si="18"/>
        <v>271250</v>
      </c>
      <c r="AW25" s="2">
        <f t="shared" si="18"/>
        <v>271250</v>
      </c>
      <c r="AX25" s="2">
        <f t="shared" si="18"/>
        <v>11441250</v>
      </c>
      <c r="AY25" s="2">
        <f t="shared" si="18"/>
        <v>441250</v>
      </c>
      <c r="AZ25" s="2">
        <f t="shared" si="18"/>
        <v>-358750</v>
      </c>
      <c r="BA25" s="2">
        <f t="shared" si="18"/>
        <v>4476250</v>
      </c>
      <c r="BB25" s="2">
        <f t="shared" si="18"/>
        <v>-823750</v>
      </c>
      <c r="BC25" s="2">
        <f t="shared" si="18"/>
        <v>-823750</v>
      </c>
      <c r="BD25" s="2">
        <f t="shared" ref="BD25:CI25" si="19">BD9-BD24</f>
        <v>-1238750</v>
      </c>
      <c r="BE25" s="2">
        <f t="shared" si="19"/>
        <v>5461250</v>
      </c>
      <c r="BF25" s="2">
        <f t="shared" si="19"/>
        <v>-1838750</v>
      </c>
      <c r="BG25" s="2">
        <f t="shared" si="19"/>
        <v>-1838750</v>
      </c>
      <c r="BH25" s="2">
        <f t="shared" si="19"/>
        <v>10161250</v>
      </c>
      <c r="BI25" s="2">
        <f t="shared" si="19"/>
        <v>-1838750</v>
      </c>
      <c r="BJ25" s="2">
        <f t="shared" si="19"/>
        <v>-4838750</v>
      </c>
      <c r="BK25" s="2">
        <f t="shared" si="19"/>
        <v>-3198750</v>
      </c>
      <c r="BL25" s="2">
        <f t="shared" si="19"/>
        <v>-3647083.333333334</v>
      </c>
      <c r="BM25" s="2">
        <f t="shared" si="19"/>
        <v>-638750</v>
      </c>
      <c r="BN25" s="2">
        <f t="shared" si="19"/>
        <v>4769583.3333333321</v>
      </c>
      <c r="BO25" s="2">
        <f t="shared" si="19"/>
        <v>-622083.33333333395</v>
      </c>
      <c r="BP25" s="2">
        <f t="shared" si="19"/>
        <v>-613750</v>
      </c>
      <c r="BQ25" s="2">
        <f t="shared" si="19"/>
        <v>994583.33333333209</v>
      </c>
      <c r="BR25" s="2">
        <f t="shared" si="19"/>
        <v>4402916.666666666</v>
      </c>
      <c r="BS25" s="2">
        <f t="shared" si="19"/>
        <v>-988750</v>
      </c>
      <c r="BT25" s="2">
        <f t="shared" si="19"/>
        <v>-980416.66666666791</v>
      </c>
      <c r="BU25" s="2">
        <f t="shared" si="19"/>
        <v>-972083.33333333395</v>
      </c>
      <c r="BV25" s="2">
        <f t="shared" si="19"/>
        <v>11036250</v>
      </c>
      <c r="BW25" s="2">
        <f t="shared" si="19"/>
        <v>44583.333333332092</v>
      </c>
      <c r="BX25" s="2">
        <f t="shared" si="19"/>
        <v>-747083.33333333582</v>
      </c>
      <c r="BY25" s="2">
        <f t="shared" si="19"/>
        <v>4761250</v>
      </c>
      <c r="BZ25" s="2">
        <f t="shared" si="19"/>
        <v>-730416.66666666791</v>
      </c>
      <c r="CA25" s="2">
        <f t="shared" si="19"/>
        <v>-722083.33333333582</v>
      </c>
      <c r="CB25" s="2">
        <f t="shared" si="19"/>
        <v>-713750.00000000186</v>
      </c>
      <c r="CC25" s="2"/>
      <c r="CD25" s="2"/>
      <c r="CE25" s="2"/>
      <c r="CF25" s="2"/>
      <c r="CG25" s="2"/>
      <c r="CH25" s="2"/>
    </row>
    <row r="26" spans="14:90" x14ac:dyDescent="0.4">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row>
    <row r="27" spans="14:90" x14ac:dyDescent="0.4">
      <c r="V27" s="391"/>
      <c r="W27" s="391"/>
      <c r="X27" s="392"/>
      <c r="Y27" s="392"/>
      <c r="Z27" s="392"/>
      <c r="AA27" s="392"/>
      <c r="AB27" s="392"/>
      <c r="AC27" s="392"/>
      <c r="AD27" s="392"/>
      <c r="AE27" s="392"/>
      <c r="AF27" s="392"/>
      <c r="AG27" s="392"/>
      <c r="AH27" s="392"/>
      <c r="AI27" s="392"/>
      <c r="AJ27" s="392"/>
      <c r="AK27" s="392"/>
      <c r="AL27" s="392"/>
      <c r="AM27" s="392"/>
      <c r="AN27" s="392"/>
      <c r="AO27" s="392"/>
      <c r="AP27" s="392"/>
      <c r="AQ27" s="392"/>
      <c r="AR27" s="392"/>
      <c r="AS27" s="392"/>
      <c r="AT27" s="392"/>
      <c r="AU27" s="392"/>
      <c r="AV27" s="392"/>
      <c r="AW27" s="392"/>
      <c r="AX27" s="392"/>
      <c r="AY27" s="392"/>
      <c r="AZ27" s="392"/>
      <c r="BA27" s="392"/>
      <c r="BB27" s="392"/>
      <c r="BC27" s="392"/>
      <c r="BD27" s="392"/>
      <c r="BE27" s="392"/>
      <c r="BF27" s="392"/>
      <c r="BG27" s="392"/>
      <c r="BH27" s="392"/>
      <c r="BI27" s="392"/>
      <c r="BJ27" s="392"/>
      <c r="BK27" s="392"/>
      <c r="BL27" s="392"/>
      <c r="BM27" s="392"/>
      <c r="BN27" s="392"/>
      <c r="BO27" s="392"/>
      <c r="BP27" s="392"/>
      <c r="BQ27" s="392"/>
      <c r="BR27" s="392"/>
      <c r="BS27" s="392"/>
      <c r="BT27" s="392"/>
      <c r="BU27" s="392"/>
      <c r="BV27" s="392"/>
      <c r="BW27" s="392"/>
      <c r="BX27" s="392"/>
      <c r="BY27" s="392"/>
      <c r="BZ27" s="392"/>
      <c r="CA27" s="392"/>
      <c r="CB27" s="392"/>
      <c r="CC27" s="2"/>
      <c r="CD27" s="2"/>
      <c r="CE27" s="2"/>
      <c r="CF27" s="2"/>
      <c r="CG27" s="2"/>
      <c r="CH27" s="2"/>
    </row>
    <row r="28" spans="14:90" x14ac:dyDescent="0.4">
      <c r="U28" t="s">
        <v>975</v>
      </c>
      <c r="V28" s="394" t="s">
        <v>976</v>
      </c>
      <c r="W28" s="394"/>
      <c r="X28" s="395">
        <f>SUM(X29:X36)</f>
        <v>354500000</v>
      </c>
      <c r="Y28" s="395">
        <f t="shared" ref="Y28:BD28" si="20">X28+SUM(Y29:Y36)</f>
        <v>354500000</v>
      </c>
      <c r="Z28" s="395">
        <f t="shared" si="20"/>
        <v>354500000</v>
      </c>
      <c r="AA28" s="395">
        <f t="shared" si="20"/>
        <v>354500000</v>
      </c>
      <c r="AB28" s="395">
        <f t="shared" si="20"/>
        <v>449500000</v>
      </c>
      <c r="AC28" s="395">
        <f t="shared" si="20"/>
        <v>449500000</v>
      </c>
      <c r="AD28" s="395">
        <f t="shared" si="20"/>
        <v>479500000</v>
      </c>
      <c r="AE28" s="395">
        <f t="shared" si="20"/>
        <v>479500000</v>
      </c>
      <c r="AF28" s="395">
        <f t="shared" si="20"/>
        <v>479500000</v>
      </c>
      <c r="AG28" s="395">
        <f t="shared" si="20"/>
        <v>645500000</v>
      </c>
      <c r="AH28" s="395">
        <f t="shared" si="20"/>
        <v>645500000</v>
      </c>
      <c r="AI28" s="395">
        <f t="shared" si="20"/>
        <v>645500000</v>
      </c>
      <c r="AJ28" s="395">
        <f t="shared" si="20"/>
        <v>645500000</v>
      </c>
      <c r="AK28" s="395">
        <f t="shared" si="20"/>
        <v>645500000</v>
      </c>
      <c r="AL28" s="395">
        <f t="shared" si="20"/>
        <v>811500000</v>
      </c>
      <c r="AM28" s="395">
        <f t="shared" si="20"/>
        <v>811500000</v>
      </c>
      <c r="AN28" s="395">
        <f t="shared" si="20"/>
        <v>811500000</v>
      </c>
      <c r="AO28" s="395">
        <f t="shared" si="20"/>
        <v>811500000</v>
      </c>
      <c r="AP28" s="395">
        <f t="shared" si="20"/>
        <v>811500000</v>
      </c>
      <c r="AQ28" s="395">
        <f t="shared" si="20"/>
        <v>811500000</v>
      </c>
      <c r="AR28" s="395">
        <f t="shared" si="20"/>
        <v>811500000</v>
      </c>
      <c r="AS28" s="395">
        <f t="shared" si="20"/>
        <v>977500000</v>
      </c>
      <c r="AT28" s="395">
        <f t="shared" si="20"/>
        <v>977500000</v>
      </c>
      <c r="AU28" s="395">
        <f t="shared" si="20"/>
        <v>977500000</v>
      </c>
      <c r="AV28" s="395">
        <f t="shared" si="20"/>
        <v>977500000</v>
      </c>
      <c r="AW28" s="395">
        <f t="shared" si="20"/>
        <v>977500000</v>
      </c>
      <c r="AX28" s="395">
        <f t="shared" si="20"/>
        <v>1143500000</v>
      </c>
      <c r="AY28" s="395">
        <f t="shared" si="20"/>
        <v>1143500000</v>
      </c>
      <c r="AZ28" s="395">
        <f t="shared" si="20"/>
        <v>1143500000</v>
      </c>
      <c r="BA28" s="395">
        <f t="shared" si="20"/>
        <v>1203500000</v>
      </c>
      <c r="BB28" s="395">
        <f t="shared" si="20"/>
        <v>1203500000</v>
      </c>
      <c r="BC28" s="395">
        <f t="shared" si="20"/>
        <v>1203500000</v>
      </c>
      <c r="BD28" s="395">
        <f t="shared" si="20"/>
        <v>1369500000</v>
      </c>
      <c r="BE28" s="395">
        <f t="shared" ref="BE28:CJ28" si="21">BD28+SUM(BE29:BE36)</f>
        <v>1369500000</v>
      </c>
      <c r="BF28" s="395">
        <f t="shared" si="21"/>
        <v>1369500000</v>
      </c>
      <c r="BG28" s="395">
        <f t="shared" si="21"/>
        <v>1369500000</v>
      </c>
      <c r="BH28" s="395">
        <f t="shared" si="21"/>
        <v>1369500000</v>
      </c>
      <c r="BI28" s="395">
        <f t="shared" si="21"/>
        <v>1369500000</v>
      </c>
      <c r="BJ28" s="395">
        <f t="shared" si="21"/>
        <v>1369500000</v>
      </c>
      <c r="BK28" s="395">
        <f t="shared" si="21"/>
        <v>1286500000</v>
      </c>
      <c r="BL28" s="395">
        <f t="shared" si="21"/>
        <v>844833333.33333325</v>
      </c>
      <c r="BM28" s="395">
        <f t="shared" si="21"/>
        <v>843166666.66666663</v>
      </c>
      <c r="BN28" s="395">
        <f t="shared" si="21"/>
        <v>841500000</v>
      </c>
      <c r="BO28" s="395">
        <f t="shared" si="21"/>
        <v>839833333.33333337</v>
      </c>
      <c r="BP28" s="395">
        <f t="shared" si="21"/>
        <v>838166666.66666675</v>
      </c>
      <c r="BQ28" s="395">
        <f t="shared" si="21"/>
        <v>836500000.00000012</v>
      </c>
      <c r="BR28" s="395">
        <f t="shared" si="21"/>
        <v>834833333.33333349</v>
      </c>
      <c r="BS28" s="395">
        <f t="shared" si="21"/>
        <v>833166666.66666687</v>
      </c>
      <c r="BT28" s="395">
        <f t="shared" si="21"/>
        <v>831500000.00000024</v>
      </c>
      <c r="BU28" s="395">
        <f t="shared" si="21"/>
        <v>829833333.33333361</v>
      </c>
      <c r="BV28" s="395">
        <f t="shared" si="21"/>
        <v>828166666.66666698</v>
      </c>
      <c r="BW28" s="395">
        <f t="shared" si="21"/>
        <v>826500000.00000036</v>
      </c>
      <c r="BX28" s="395">
        <f t="shared" si="21"/>
        <v>824833333.33333373</v>
      </c>
      <c r="BY28" s="395">
        <f t="shared" si="21"/>
        <v>823166666.6666671</v>
      </c>
      <c r="BZ28" s="395">
        <f t="shared" si="21"/>
        <v>821500000.00000048</v>
      </c>
      <c r="CA28" s="395">
        <f t="shared" si="21"/>
        <v>819833333.33333385</v>
      </c>
      <c r="CB28" s="395">
        <f t="shared" si="21"/>
        <v>818166666.66666722</v>
      </c>
      <c r="CC28" s="2"/>
      <c r="CD28" s="2"/>
      <c r="CE28" s="2"/>
      <c r="CF28" s="2"/>
      <c r="CG28" s="2"/>
      <c r="CH28" s="2"/>
    </row>
    <row r="29" spans="14:90" x14ac:dyDescent="0.4">
      <c r="V29" t="s">
        <v>977</v>
      </c>
      <c r="W29" s="396">
        <f>SUM(X29:BL29)</f>
        <v>0</v>
      </c>
      <c r="X29" s="2">
        <v>350000000</v>
      </c>
      <c r="Y29" s="2"/>
      <c r="Z29" s="2"/>
      <c r="AA29" s="2"/>
      <c r="AB29" s="2"/>
      <c r="AC29" s="2"/>
      <c r="AD29" s="2">
        <v>30000000</v>
      </c>
      <c r="AE29" s="2"/>
      <c r="AF29" s="2"/>
      <c r="AG29" s="2"/>
      <c r="AH29" s="2"/>
      <c r="AI29" s="2"/>
      <c r="AJ29" s="2"/>
      <c r="AK29" s="2"/>
      <c r="AL29" s="2"/>
      <c r="AM29" s="2"/>
      <c r="AN29" s="2"/>
      <c r="AO29" s="2"/>
      <c r="AP29" s="2"/>
      <c r="AQ29" s="2"/>
      <c r="AR29" s="2"/>
      <c r="AS29" s="2"/>
      <c r="AT29" s="2"/>
      <c r="AU29" s="2"/>
      <c r="AV29" s="2"/>
      <c r="AW29" s="2"/>
      <c r="AX29" s="2"/>
      <c r="AY29" s="2"/>
      <c r="AZ29" s="2"/>
      <c r="BA29" s="2">
        <v>60000000</v>
      </c>
      <c r="BB29" s="2"/>
      <c r="BC29" s="2"/>
      <c r="BD29" s="2"/>
      <c r="BE29" s="2"/>
      <c r="BF29" s="2"/>
      <c r="BG29" s="2"/>
      <c r="BH29" s="2"/>
      <c r="BI29" s="2"/>
      <c r="BJ29" s="2"/>
      <c r="BK29" s="2"/>
      <c r="BL29" s="2">
        <v>-440000000</v>
      </c>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row>
    <row r="30" spans="14:90" x14ac:dyDescent="0.4">
      <c r="U30" t="s">
        <v>614</v>
      </c>
      <c r="V30" t="s">
        <v>978</v>
      </c>
      <c r="W30" s="396">
        <f>SUM(X30:BL30)</f>
        <v>95000000</v>
      </c>
      <c r="X30" s="2"/>
      <c r="Z30" s="2"/>
      <c r="AA30" s="2"/>
      <c r="AB30" s="2">
        <v>95000000</v>
      </c>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row>
    <row r="31" spans="14:90" x14ac:dyDescent="0.4">
      <c r="U31" s="2"/>
      <c r="V31" t="s">
        <v>979</v>
      </c>
      <c r="W31" s="396">
        <f>SUM(X31:BL31)</f>
        <v>4500000</v>
      </c>
      <c r="X31" s="2">
        <v>4500000</v>
      </c>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row>
    <row r="32" spans="14:90" x14ac:dyDescent="0.4">
      <c r="N32" s="18"/>
      <c r="U32" s="2"/>
      <c r="V32" t="s">
        <v>837</v>
      </c>
      <c r="W32" s="396">
        <f>SUM(X32:BL32)</f>
        <v>0</v>
      </c>
      <c r="X32" s="2"/>
      <c r="Y32" s="2"/>
      <c r="Z32" s="2"/>
      <c r="AA32" s="2"/>
      <c r="AB32" s="2"/>
      <c r="AC32" s="2"/>
      <c r="AD32" s="2"/>
      <c r="AF32" s="2"/>
      <c r="AG32" s="2">
        <f>$Z$1*0.1</f>
        <v>166000000</v>
      </c>
      <c r="AH32" s="2"/>
      <c r="AI32" s="2"/>
      <c r="AJ32" s="2"/>
      <c r="AL32" s="2">
        <f>$Z$1*0.1</f>
        <v>166000000</v>
      </c>
      <c r="AM32" s="2"/>
      <c r="AN32" s="2"/>
      <c r="AO32" s="2"/>
      <c r="AP32" s="2"/>
      <c r="AR32" s="2"/>
      <c r="AS32" s="2">
        <f>$Z$1*0.1</f>
        <v>166000000</v>
      </c>
      <c r="AT32" s="2"/>
      <c r="AU32" s="2"/>
      <c r="AV32" s="2"/>
      <c r="AX32" s="2">
        <f>$Z$1*0.1</f>
        <v>166000000</v>
      </c>
      <c r="AY32" s="2"/>
      <c r="AZ32" s="2"/>
      <c r="BA32" s="2"/>
      <c r="BB32" s="2"/>
      <c r="BC32" s="2"/>
      <c r="BD32" s="2"/>
      <c r="BE32" s="2"/>
      <c r="BF32" s="2"/>
      <c r="BG32" s="2"/>
      <c r="BH32" s="2"/>
      <c r="BI32" s="2"/>
      <c r="BJ32" s="2"/>
      <c r="BK32" s="2">
        <f>-$Z$1*0.4</f>
        <v>-664000000</v>
      </c>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row>
    <row r="33" spans="3:90" x14ac:dyDescent="0.4">
      <c r="F33">
        <v>26.5</v>
      </c>
      <c r="H33">
        <v>26.11</v>
      </c>
      <c r="J33">
        <v>27.5</v>
      </c>
      <c r="L33">
        <v>27.11</v>
      </c>
      <c r="N33">
        <v>28.5</v>
      </c>
      <c r="P33">
        <v>28.11</v>
      </c>
      <c r="U33" s="2"/>
      <c r="V33" t="s">
        <v>980</v>
      </c>
      <c r="W33" s="396">
        <f>SUM(X33:BK33)</f>
        <v>400000000</v>
      </c>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v>400000000</v>
      </c>
      <c r="BL33" s="2">
        <f t="shared" ref="BL33:CB33" si="22">-$BK$33/240</f>
        <v>-1666666.6666666667</v>
      </c>
      <c r="BM33" s="2">
        <f t="shared" si="22"/>
        <v>-1666666.6666666667</v>
      </c>
      <c r="BN33" s="2">
        <f t="shared" si="22"/>
        <v>-1666666.6666666667</v>
      </c>
      <c r="BO33" s="2">
        <f t="shared" si="22"/>
        <v>-1666666.6666666667</v>
      </c>
      <c r="BP33" s="2">
        <f t="shared" si="22"/>
        <v>-1666666.6666666667</v>
      </c>
      <c r="BQ33" s="2">
        <f t="shared" si="22"/>
        <v>-1666666.6666666667</v>
      </c>
      <c r="BR33" s="2">
        <f t="shared" si="22"/>
        <v>-1666666.6666666667</v>
      </c>
      <c r="BS33" s="2">
        <f t="shared" si="22"/>
        <v>-1666666.6666666667</v>
      </c>
      <c r="BT33" s="2">
        <f t="shared" si="22"/>
        <v>-1666666.6666666667</v>
      </c>
      <c r="BU33" s="2">
        <f t="shared" si="22"/>
        <v>-1666666.6666666667</v>
      </c>
      <c r="BV33" s="2">
        <f t="shared" si="22"/>
        <v>-1666666.6666666667</v>
      </c>
      <c r="BW33" s="2">
        <f t="shared" si="22"/>
        <v>-1666666.6666666667</v>
      </c>
      <c r="BX33" s="2">
        <f t="shared" si="22"/>
        <v>-1666666.6666666667</v>
      </c>
      <c r="BY33" s="2">
        <f t="shared" si="22"/>
        <v>-1666666.6666666667</v>
      </c>
      <c r="BZ33" s="2">
        <f t="shared" si="22"/>
        <v>-1666666.6666666667</v>
      </c>
      <c r="CA33" s="2">
        <f t="shared" si="22"/>
        <v>-1666666.6666666667</v>
      </c>
      <c r="CB33" s="2">
        <f t="shared" si="22"/>
        <v>-1666666.6666666667</v>
      </c>
      <c r="CC33" s="2"/>
      <c r="CD33" s="2"/>
      <c r="CE33" s="2"/>
      <c r="CF33" s="2"/>
      <c r="CG33" s="2"/>
      <c r="CH33" s="2"/>
      <c r="CI33" s="2"/>
      <c r="CJ33" s="2"/>
      <c r="CK33" s="2"/>
      <c r="CL33" s="2"/>
    </row>
    <row r="34" spans="3:90" x14ac:dyDescent="0.4">
      <c r="D34" t="s">
        <v>981</v>
      </c>
      <c r="F34" t="s">
        <v>982</v>
      </c>
      <c r="H34" t="s">
        <v>983</v>
      </c>
      <c r="J34" t="s">
        <v>984</v>
      </c>
      <c r="L34" t="s">
        <v>985</v>
      </c>
      <c r="N34" t="s">
        <v>986</v>
      </c>
      <c r="P34" t="s">
        <v>987</v>
      </c>
      <c r="R34" t="s">
        <v>988</v>
      </c>
      <c r="U34" s="2"/>
      <c r="V34" t="s">
        <v>903</v>
      </c>
      <c r="W34" s="396">
        <f t="shared" ref="W34:W50" si="23">SUM(X34:BL34)</f>
        <v>30000000</v>
      </c>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v>30000000</v>
      </c>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row>
    <row r="35" spans="3:90" x14ac:dyDescent="0.4">
      <c r="C35" t="s">
        <v>765</v>
      </c>
      <c r="D35" s="2">
        <f>AA92*0.1</f>
        <v>168000000</v>
      </c>
      <c r="E35" s="2"/>
      <c r="F35" s="2">
        <f>$D35</f>
        <v>168000000</v>
      </c>
      <c r="G35" s="2"/>
      <c r="H35" s="2">
        <f>$D35</f>
        <v>168000000</v>
      </c>
      <c r="I35" s="2"/>
      <c r="J35" s="2">
        <f>$D35</f>
        <v>168000000</v>
      </c>
      <c r="K35" s="2"/>
      <c r="L35" s="2">
        <f>$D35</f>
        <v>168000000</v>
      </c>
      <c r="M35" s="2"/>
      <c r="N35" s="2">
        <f>$D35</f>
        <v>168000000</v>
      </c>
      <c r="O35" s="2"/>
      <c r="P35" s="2">
        <f>$D35</f>
        <v>168000000</v>
      </c>
      <c r="Q35" s="2"/>
      <c r="R35" s="2">
        <f>$D35*3</f>
        <v>504000000</v>
      </c>
      <c r="S35" s="2"/>
      <c r="U35" s="2"/>
      <c r="V35" s="2" t="s">
        <v>904</v>
      </c>
      <c r="W35" s="396">
        <f t="shared" si="23"/>
        <v>17000000</v>
      </c>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v>17000000</v>
      </c>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row>
    <row r="36" spans="3:90" x14ac:dyDescent="0.4">
      <c r="C36" t="s">
        <v>989</v>
      </c>
      <c r="D36" s="2">
        <f>AA100*0.1</f>
        <v>152000000</v>
      </c>
      <c r="E36" s="2"/>
      <c r="F36" s="2">
        <f>$D36</f>
        <v>152000000</v>
      </c>
      <c r="G36" s="2"/>
      <c r="H36" s="2">
        <f>$D36</f>
        <v>152000000</v>
      </c>
      <c r="I36" s="2"/>
      <c r="J36" s="2">
        <f>$D36</f>
        <v>152000000</v>
      </c>
      <c r="K36" s="2"/>
      <c r="L36" s="2">
        <f>$D36</f>
        <v>152000000</v>
      </c>
      <c r="M36" s="2"/>
      <c r="N36" s="2">
        <f>$D36</f>
        <v>152000000</v>
      </c>
      <c r="O36" s="2"/>
      <c r="P36" s="2">
        <f>$D36</f>
        <v>152000000</v>
      </c>
      <c r="Q36" s="2"/>
      <c r="R36" s="2">
        <f>$D36*3</f>
        <v>456000000</v>
      </c>
      <c r="S36" s="2"/>
      <c r="U36" s="2"/>
      <c r="V36" s="2" t="s">
        <v>990</v>
      </c>
      <c r="W36" s="396">
        <f t="shared" si="23"/>
        <v>300000000</v>
      </c>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D36" s="2">
        <f>$Z$1*0.1</f>
        <v>166000000</v>
      </c>
      <c r="BE36" s="2"/>
      <c r="BF36" s="2"/>
      <c r="BG36" s="2"/>
      <c r="BH36" s="2"/>
      <c r="BI36" s="2"/>
      <c r="BJ36" s="2"/>
      <c r="BK36" s="2">
        <f>300000000-BD36</f>
        <v>134000000</v>
      </c>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row>
    <row r="37" spans="3:90" x14ac:dyDescent="0.4">
      <c r="D37" s="2"/>
      <c r="E37" s="2"/>
      <c r="F37" s="2"/>
      <c r="G37" s="2"/>
      <c r="H37" s="2"/>
      <c r="I37" s="2"/>
      <c r="J37" s="2"/>
      <c r="K37" s="2"/>
      <c r="L37" s="2"/>
      <c r="M37" s="2"/>
      <c r="N37" s="2"/>
      <c r="O37" s="2"/>
      <c r="P37" s="2"/>
      <c r="Q37" s="2"/>
      <c r="R37" s="2"/>
      <c r="S37" s="2"/>
      <c r="U37" s="2"/>
      <c r="W37" s="396">
        <f t="shared" si="23"/>
        <v>0</v>
      </c>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row>
    <row r="38" spans="3:90" x14ac:dyDescent="0.4">
      <c r="C38" t="s">
        <v>878</v>
      </c>
      <c r="D38" s="2">
        <f>AK94</f>
        <v>0</v>
      </c>
      <c r="E38" s="2"/>
      <c r="F38" s="2">
        <f>D38</f>
        <v>0</v>
      </c>
      <c r="G38" s="2"/>
      <c r="H38" s="2"/>
      <c r="I38" s="2"/>
      <c r="J38" s="2"/>
      <c r="K38" s="2"/>
      <c r="L38" s="2"/>
      <c r="M38" s="2"/>
      <c r="N38" s="2"/>
      <c r="O38" s="2"/>
      <c r="P38" s="2"/>
      <c r="Q38" s="2"/>
      <c r="R38" s="2">
        <f>D38*8</f>
        <v>0</v>
      </c>
      <c r="S38" s="2"/>
      <c r="U38" s="2"/>
      <c r="W38" s="396">
        <f t="shared" si="23"/>
        <v>0</v>
      </c>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row>
    <row r="39" spans="3:90" x14ac:dyDescent="0.4">
      <c r="D39" s="2"/>
      <c r="E39" s="2"/>
      <c r="F39" s="2"/>
      <c r="G39" s="2"/>
      <c r="H39" s="2"/>
      <c r="I39" s="2"/>
      <c r="J39" s="2"/>
      <c r="K39" s="2"/>
      <c r="L39" s="2"/>
      <c r="M39" s="2"/>
      <c r="N39" s="2"/>
      <c r="O39" s="2"/>
      <c r="P39" s="2"/>
      <c r="Q39" s="2"/>
      <c r="R39" s="2"/>
      <c r="S39" s="2"/>
      <c r="U39" s="2" t="s">
        <v>156</v>
      </c>
      <c r="V39" t="s">
        <v>991</v>
      </c>
      <c r="W39" s="396">
        <f t="shared" si="23"/>
        <v>19000000</v>
      </c>
      <c r="X39" s="2">
        <v>19000000</v>
      </c>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row>
    <row r="40" spans="3:90" x14ac:dyDescent="0.4">
      <c r="D40" s="2"/>
      <c r="E40" s="2"/>
      <c r="F40" s="2"/>
      <c r="G40" s="2"/>
      <c r="H40" s="2"/>
      <c r="I40" s="2"/>
      <c r="J40" s="2"/>
      <c r="K40" s="2"/>
      <c r="L40" s="2"/>
      <c r="M40" s="2"/>
      <c r="N40" s="2"/>
      <c r="O40" s="2"/>
      <c r="P40" s="2"/>
      <c r="Q40" s="2"/>
      <c r="R40" s="2"/>
      <c r="S40" s="2"/>
      <c r="U40" s="2"/>
      <c r="V40" t="s">
        <v>992</v>
      </c>
      <c r="W40" s="396">
        <f t="shared" si="23"/>
        <v>160000000</v>
      </c>
      <c r="X40" s="2">
        <v>100000000</v>
      </c>
      <c r="Y40">
        <v>10000000</v>
      </c>
      <c r="Z40" s="2"/>
      <c r="AA40" s="2"/>
      <c r="AB40" s="2">
        <v>30000000</v>
      </c>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v>20000000</v>
      </c>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row>
    <row r="41" spans="3:90" x14ac:dyDescent="0.4">
      <c r="C41" t="s">
        <v>905</v>
      </c>
      <c r="D41" s="2">
        <f>D35+D38</f>
        <v>168000000</v>
      </c>
      <c r="E41" s="2"/>
      <c r="F41" s="2">
        <f>F35+F38</f>
        <v>168000000</v>
      </c>
      <c r="G41" s="2"/>
      <c r="H41" s="2">
        <f>H35+H38</f>
        <v>168000000</v>
      </c>
      <c r="I41" s="2"/>
      <c r="J41" s="2">
        <f>J35+J38</f>
        <v>168000000</v>
      </c>
      <c r="K41" s="2"/>
      <c r="L41" s="2">
        <f>L35+L38</f>
        <v>168000000</v>
      </c>
      <c r="M41" s="2"/>
      <c r="N41" s="2">
        <f>N35+N38</f>
        <v>168000000</v>
      </c>
      <c r="O41" s="2"/>
      <c r="P41" s="2">
        <f>P35+P38</f>
        <v>168000000</v>
      </c>
      <c r="Q41" s="2"/>
      <c r="R41" s="2">
        <f>R35+R38</f>
        <v>504000000</v>
      </c>
      <c r="S41" s="2"/>
      <c r="U41" s="2"/>
      <c r="V41" t="s">
        <v>993</v>
      </c>
      <c r="W41" s="396">
        <f t="shared" si="23"/>
        <v>21000000</v>
      </c>
      <c r="X41" s="2"/>
      <c r="Z41" s="2"/>
      <c r="AA41" s="2"/>
      <c r="AB41" s="2">
        <v>21000000</v>
      </c>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row>
    <row r="42" spans="3:90" x14ac:dyDescent="0.4">
      <c r="D42" s="2">
        <f>D36+D38</f>
        <v>152000000</v>
      </c>
      <c r="E42" s="2"/>
      <c r="F42" s="2">
        <f>F36+F38</f>
        <v>152000000</v>
      </c>
      <c r="G42" s="2"/>
      <c r="H42" s="2">
        <f>H36+H38</f>
        <v>152000000</v>
      </c>
      <c r="I42" s="2"/>
      <c r="J42" s="2">
        <f>J36+J38</f>
        <v>152000000</v>
      </c>
      <c r="K42" s="2"/>
      <c r="L42" s="2">
        <f>L36+L38</f>
        <v>152000000</v>
      </c>
      <c r="M42" s="2"/>
      <c r="N42" s="2">
        <f>N36+N38</f>
        <v>152000000</v>
      </c>
      <c r="O42" s="2"/>
      <c r="P42" s="2">
        <f>P36+P38</f>
        <v>152000000</v>
      </c>
      <c r="Q42" s="2"/>
      <c r="R42" s="2">
        <f>R36+R38</f>
        <v>456000000</v>
      </c>
      <c r="S42" s="2"/>
      <c r="U42" s="2"/>
      <c r="V42" t="s">
        <v>96</v>
      </c>
      <c r="W42" s="396">
        <f t="shared" si="23"/>
        <v>20000000</v>
      </c>
      <c r="X42" s="2"/>
      <c r="Z42" s="2"/>
      <c r="AA42" s="2"/>
      <c r="AB42" s="2">
        <v>20000000</v>
      </c>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row>
    <row r="43" spans="3:90" x14ac:dyDescent="0.4">
      <c r="Q43" t="s">
        <v>994</v>
      </c>
      <c r="R43" s="2">
        <f>SUM(F35:L35)</f>
        <v>672000000</v>
      </c>
      <c r="S43" s="2">
        <f>SUM(F36:L36)</f>
        <v>608000000</v>
      </c>
      <c r="U43" s="2"/>
      <c r="V43" t="s">
        <v>702</v>
      </c>
      <c r="W43" s="396">
        <f t="shared" si="23"/>
        <v>250000000</v>
      </c>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v>250000000</v>
      </c>
      <c r="BL43" s="2"/>
      <c r="BM43" s="2"/>
      <c r="BN43" s="2"/>
      <c r="BO43" s="2"/>
      <c r="BP43" s="2"/>
      <c r="BQ43" s="2"/>
      <c r="BR43" s="2"/>
      <c r="BS43" s="2"/>
      <c r="BT43" s="2"/>
      <c r="BU43" s="2"/>
      <c r="BV43" s="2"/>
      <c r="BW43" s="2"/>
      <c r="BX43" s="2"/>
      <c r="BY43" s="2"/>
      <c r="BZ43" s="2"/>
      <c r="CA43" s="2"/>
      <c r="CB43" s="2"/>
      <c r="CC43" s="2"/>
      <c r="CD43" s="2"/>
      <c r="CE43" s="2"/>
      <c r="CF43" s="2"/>
    </row>
    <row r="44" spans="3:90" x14ac:dyDescent="0.4">
      <c r="G44" t="s">
        <v>837</v>
      </c>
      <c r="H44" s="2">
        <f>H35</f>
        <v>168000000</v>
      </c>
      <c r="I44" t="s">
        <v>837</v>
      </c>
      <c r="J44" s="2">
        <f>J35</f>
        <v>168000000</v>
      </c>
      <c r="K44" t="s">
        <v>837</v>
      </c>
      <c r="L44" s="2">
        <f>L35</f>
        <v>168000000</v>
      </c>
      <c r="M44" t="s">
        <v>837</v>
      </c>
      <c r="N44" s="2">
        <f>N35</f>
        <v>168000000</v>
      </c>
      <c r="R44" t="s">
        <v>765</v>
      </c>
      <c r="S44" t="s">
        <v>989</v>
      </c>
      <c r="U44" s="2"/>
      <c r="V44" t="s">
        <v>995</v>
      </c>
      <c r="W44" s="396">
        <f t="shared" si="23"/>
        <v>100000000</v>
      </c>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v>100000000</v>
      </c>
      <c r="BL44" s="2"/>
      <c r="BM44" s="2"/>
      <c r="BN44" s="2"/>
      <c r="BO44" s="2"/>
      <c r="BP44" s="2"/>
      <c r="BQ44" s="2"/>
      <c r="BR44" s="2"/>
      <c r="BS44" s="2"/>
      <c r="BT44" s="2"/>
      <c r="BU44" s="2"/>
      <c r="BV44" s="2"/>
      <c r="BW44" s="2"/>
      <c r="BX44" s="2"/>
      <c r="BY44" s="2"/>
      <c r="BZ44" s="2"/>
      <c r="CA44" s="2"/>
      <c r="CB44" s="2"/>
      <c r="CC44" s="2"/>
      <c r="CD44" s="2"/>
      <c r="CE44" s="2"/>
      <c r="CF44" s="2"/>
    </row>
    <row r="45" spans="3:90" x14ac:dyDescent="0.4">
      <c r="G45" t="s">
        <v>837</v>
      </c>
      <c r="H45" s="2">
        <f>H36</f>
        <v>152000000</v>
      </c>
      <c r="I45" t="s">
        <v>837</v>
      </c>
      <c r="J45" s="2">
        <f>J36</f>
        <v>152000000</v>
      </c>
      <c r="K45" t="s">
        <v>837</v>
      </c>
      <c r="L45" s="2">
        <f>L36</f>
        <v>152000000</v>
      </c>
      <c r="M45" t="s">
        <v>837</v>
      </c>
      <c r="N45" s="2">
        <f>N36</f>
        <v>152000000</v>
      </c>
      <c r="Q45" t="s">
        <v>996</v>
      </c>
      <c r="R45" s="2">
        <f>SUM($D$41:$R$41)*0.03</f>
        <v>50400000</v>
      </c>
      <c r="S45" s="2">
        <f>SUM($D$42:$R$42)*0.03</f>
        <v>45600000</v>
      </c>
      <c r="U45" s="2"/>
      <c r="W45" s="396">
        <f t="shared" si="23"/>
        <v>0</v>
      </c>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row>
    <row r="46" spans="3:90" x14ac:dyDescent="0.4">
      <c r="H46" s="2"/>
      <c r="J46" s="2"/>
      <c r="L46" s="2"/>
      <c r="N46" s="2"/>
      <c r="R46" s="2"/>
      <c r="S46" s="2"/>
      <c r="U46" s="2"/>
      <c r="V46" t="s">
        <v>997</v>
      </c>
      <c r="W46" s="396">
        <f t="shared" si="23"/>
        <v>40000000</v>
      </c>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v>40000000</v>
      </c>
      <c r="BL46" s="2"/>
      <c r="BM46" s="2"/>
      <c r="BN46" s="2"/>
      <c r="BO46" s="2"/>
      <c r="BP46" s="2"/>
      <c r="BQ46" s="2"/>
      <c r="BR46" s="2"/>
      <c r="BS46" s="2"/>
      <c r="BT46" s="2"/>
      <c r="BU46" s="2"/>
      <c r="BV46" s="2"/>
      <c r="BW46" s="2"/>
      <c r="BX46" s="2"/>
      <c r="BY46" s="2"/>
      <c r="BZ46" s="2"/>
      <c r="CA46" s="2"/>
      <c r="CB46" s="2"/>
      <c r="CC46" s="2"/>
      <c r="CD46" s="2"/>
      <c r="CE46" s="2"/>
      <c r="CF46" s="2"/>
    </row>
    <row r="47" spans="3:90" x14ac:dyDescent="0.4">
      <c r="H47" s="2"/>
      <c r="J47" s="2"/>
      <c r="L47" s="2"/>
      <c r="N47" s="2"/>
      <c r="R47" s="2"/>
      <c r="S47" s="2"/>
      <c r="U47" s="2"/>
      <c r="V47" t="s">
        <v>998</v>
      </c>
      <c r="W47" s="396">
        <f t="shared" si="23"/>
        <v>50000000</v>
      </c>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v>50000000</v>
      </c>
      <c r="BL47" s="2"/>
      <c r="BM47" s="2"/>
      <c r="BN47" s="2"/>
      <c r="BO47" s="2"/>
      <c r="BP47" s="2"/>
      <c r="BQ47" s="2"/>
      <c r="BR47" s="2"/>
      <c r="BS47" s="2"/>
      <c r="BT47" s="2"/>
      <c r="BU47" s="2"/>
      <c r="BV47" s="2"/>
      <c r="BW47" s="2"/>
      <c r="BX47" s="2"/>
      <c r="BY47" s="2"/>
      <c r="BZ47" s="2"/>
      <c r="CA47" s="2"/>
      <c r="CB47" s="2"/>
      <c r="CC47" s="2"/>
      <c r="CD47" s="2"/>
      <c r="CE47" s="2"/>
      <c r="CF47" s="2"/>
    </row>
    <row r="48" spans="3:90" x14ac:dyDescent="0.4">
      <c r="H48" s="2"/>
      <c r="J48" s="2"/>
      <c r="L48" s="2"/>
      <c r="N48" s="2"/>
      <c r="R48" s="2"/>
      <c r="S48" s="2"/>
      <c r="U48" s="2"/>
      <c r="V48" t="s">
        <v>999</v>
      </c>
      <c r="W48" s="396">
        <f t="shared" si="23"/>
        <v>100000000</v>
      </c>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v>100000000</v>
      </c>
      <c r="BL48" s="2"/>
      <c r="BM48" s="2"/>
      <c r="BN48" s="2"/>
      <c r="BO48" s="2"/>
      <c r="BP48" s="2"/>
      <c r="BQ48" s="2"/>
      <c r="BR48" s="2"/>
      <c r="BS48" s="2"/>
      <c r="BT48" s="2"/>
      <c r="BU48" s="2"/>
      <c r="BV48" s="2"/>
      <c r="BW48" s="2"/>
      <c r="BX48" s="2"/>
      <c r="BY48" s="2"/>
      <c r="BZ48" s="2"/>
      <c r="CA48" s="2"/>
      <c r="CB48" s="2"/>
      <c r="CC48" s="2"/>
      <c r="CD48" s="2"/>
      <c r="CE48" s="2"/>
      <c r="CF48" s="2"/>
    </row>
    <row r="49" spans="3:84" x14ac:dyDescent="0.4">
      <c r="C49" t="s">
        <v>709</v>
      </c>
      <c r="D49" s="2">
        <v>40000000</v>
      </c>
      <c r="E49" s="2"/>
      <c r="F49" s="2"/>
      <c r="G49" s="2"/>
      <c r="H49" s="2"/>
      <c r="I49" s="2"/>
      <c r="J49" s="2"/>
      <c r="K49" s="2"/>
      <c r="L49" s="2"/>
      <c r="M49" s="2"/>
      <c r="N49" s="2"/>
      <c r="O49" s="2"/>
      <c r="P49" s="2"/>
      <c r="Q49" t="s">
        <v>1000</v>
      </c>
      <c r="R49" s="2">
        <f>SUM($D$41:$R$41)*0.003</f>
        <v>5040000</v>
      </c>
      <c r="S49" s="2">
        <f>SUM($D$42:$R$42)*0.003</f>
        <v>4560000</v>
      </c>
      <c r="U49" s="2"/>
      <c r="V49" t="s">
        <v>1001</v>
      </c>
      <c r="W49" s="396">
        <f t="shared" si="23"/>
        <v>37000000</v>
      </c>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v>37000000</v>
      </c>
      <c r="BL49" s="2"/>
      <c r="BM49" s="2"/>
      <c r="BN49" s="2"/>
      <c r="BO49" s="2"/>
      <c r="BP49" s="2"/>
      <c r="BQ49" s="2"/>
      <c r="BR49" s="2"/>
      <c r="BS49" s="2"/>
      <c r="BT49" s="2"/>
      <c r="BU49" s="2"/>
      <c r="BV49" s="2"/>
      <c r="BW49" s="2"/>
      <c r="BX49" s="2"/>
      <c r="BY49" s="2"/>
      <c r="BZ49" s="2"/>
      <c r="CA49" s="2"/>
      <c r="CB49" s="2"/>
      <c r="CC49" s="2"/>
      <c r="CD49" s="2"/>
      <c r="CE49" s="2"/>
      <c r="CF49" s="2"/>
    </row>
    <row r="50" spans="3:84" x14ac:dyDescent="0.4">
      <c r="C50" t="s">
        <v>1002</v>
      </c>
      <c r="D50" s="2">
        <v>19000000</v>
      </c>
      <c r="E50" s="2"/>
      <c r="F50" s="2"/>
      <c r="G50" s="2"/>
      <c r="H50" s="2"/>
      <c r="I50" s="2"/>
      <c r="J50" s="2"/>
      <c r="K50" s="2"/>
      <c r="L50" s="2"/>
      <c r="M50" s="2"/>
      <c r="N50" s="2"/>
      <c r="O50" s="2"/>
      <c r="P50" s="2"/>
      <c r="Q50" t="s">
        <v>1003</v>
      </c>
      <c r="R50" s="2">
        <f>SUM($D$41:$R$41)*0.002</f>
        <v>3360000</v>
      </c>
      <c r="S50" s="2">
        <f>SUM($D$42:$R$42)*0.002</f>
        <v>3040000</v>
      </c>
      <c r="U50" s="2"/>
      <c r="V50" s="2"/>
      <c r="W50" s="397">
        <f t="shared" si="23"/>
        <v>133500000</v>
      </c>
      <c r="X50" s="2">
        <f>SUM(X30:X49)</f>
        <v>123500000</v>
      </c>
      <c r="Y50" s="2">
        <f>SUM(Y30:Y49)</f>
        <v>10000000</v>
      </c>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row>
    <row r="51" spans="3:84" x14ac:dyDescent="0.4">
      <c r="C51" t="s">
        <v>1004</v>
      </c>
      <c r="D51" s="2">
        <v>100000000</v>
      </c>
      <c r="E51" s="2"/>
      <c r="F51" s="2"/>
      <c r="G51" s="2"/>
      <c r="H51" s="2"/>
      <c r="I51" s="2"/>
      <c r="J51" s="2"/>
      <c r="K51" s="2"/>
      <c r="L51" s="2"/>
      <c r="M51" s="2"/>
      <c r="N51" s="2"/>
      <c r="O51" s="2"/>
      <c r="P51" s="2"/>
      <c r="Q51" t="s">
        <v>1005</v>
      </c>
      <c r="R51" s="2">
        <f>SUM($D$41:$R$41)*0.031*0.1</f>
        <v>5208000</v>
      </c>
      <c r="S51" s="2">
        <f>SUM($D$42:$R$42)*0.031*0.1</f>
        <v>4712000</v>
      </c>
      <c r="U51" s="2"/>
      <c r="V51" s="392"/>
      <c r="W51" s="400">
        <f t="shared" ref="W51:BK51" si="24">SUM(W53:W67)-SUM(W30:W49)</f>
        <v>148116931</v>
      </c>
      <c r="X51" s="400">
        <f t="shared" si="24"/>
        <v>45051000</v>
      </c>
      <c r="Y51" s="400">
        <f t="shared" si="24"/>
        <v>0</v>
      </c>
      <c r="Z51" s="400">
        <f t="shared" si="24"/>
        <v>0</v>
      </c>
      <c r="AA51" s="400">
        <f t="shared" si="24"/>
        <v>0</v>
      </c>
      <c r="AB51" s="400">
        <f t="shared" si="24"/>
        <v>12551000</v>
      </c>
      <c r="AC51" s="400">
        <f t="shared" si="24"/>
        <v>0</v>
      </c>
      <c r="AD51" s="400">
        <f t="shared" si="24"/>
        <v>0</v>
      </c>
      <c r="AE51" s="400">
        <f t="shared" si="24"/>
        <v>0</v>
      </c>
      <c r="AF51" s="400">
        <f t="shared" si="24"/>
        <v>0</v>
      </c>
      <c r="AG51" s="400">
        <f t="shared" si="24"/>
        <v>0</v>
      </c>
      <c r="AH51" s="400">
        <f t="shared" si="24"/>
        <v>0</v>
      </c>
      <c r="AI51" s="400">
        <f t="shared" si="24"/>
        <v>0</v>
      </c>
      <c r="AJ51" s="400">
        <f t="shared" si="24"/>
        <v>0</v>
      </c>
      <c r="AK51" s="400">
        <f t="shared" si="24"/>
        <v>0</v>
      </c>
      <c r="AL51" s="400">
        <f t="shared" si="24"/>
        <v>0</v>
      </c>
      <c r="AM51" s="400">
        <f t="shared" si="24"/>
        <v>0</v>
      </c>
      <c r="AN51" s="400">
        <f t="shared" si="24"/>
        <v>0</v>
      </c>
      <c r="AO51" s="400">
        <f t="shared" si="24"/>
        <v>0</v>
      </c>
      <c r="AP51" s="400">
        <f t="shared" si="24"/>
        <v>0</v>
      </c>
      <c r="AQ51" s="400">
        <f t="shared" si="24"/>
        <v>0</v>
      </c>
      <c r="AR51" s="400">
        <f t="shared" si="24"/>
        <v>0</v>
      </c>
      <c r="AS51" s="400">
        <f t="shared" si="24"/>
        <v>0</v>
      </c>
      <c r="AT51" s="400">
        <f t="shared" si="24"/>
        <v>0</v>
      </c>
      <c r="AU51" s="400">
        <f t="shared" si="24"/>
        <v>0</v>
      </c>
      <c r="AV51" s="400">
        <f t="shared" si="24"/>
        <v>0</v>
      </c>
      <c r="AW51" s="400">
        <f t="shared" si="24"/>
        <v>0</v>
      </c>
      <c r="AX51" s="400">
        <f t="shared" si="24"/>
        <v>0</v>
      </c>
      <c r="AY51" s="400">
        <f t="shared" si="24"/>
        <v>0</v>
      </c>
      <c r="AZ51" s="400">
        <f t="shared" si="24"/>
        <v>0</v>
      </c>
      <c r="BA51" s="400">
        <f t="shared" si="24"/>
        <v>0</v>
      </c>
      <c r="BB51" s="400">
        <f t="shared" si="24"/>
        <v>0</v>
      </c>
      <c r="BC51" s="400">
        <f t="shared" si="24"/>
        <v>0</v>
      </c>
      <c r="BD51" s="400">
        <f t="shared" si="24"/>
        <v>0</v>
      </c>
      <c r="BE51" s="400">
        <f t="shared" si="24"/>
        <v>0</v>
      </c>
      <c r="BF51" s="400">
        <f t="shared" si="24"/>
        <v>0</v>
      </c>
      <c r="BG51" s="400">
        <f t="shared" si="24"/>
        <v>0</v>
      </c>
      <c r="BH51" s="400">
        <f t="shared" si="24"/>
        <v>0</v>
      </c>
      <c r="BI51" s="400">
        <f t="shared" si="24"/>
        <v>0</v>
      </c>
      <c r="BJ51" s="400">
        <f t="shared" si="24"/>
        <v>0</v>
      </c>
      <c r="BK51" s="400">
        <f t="shared" si="24"/>
        <v>90514931</v>
      </c>
      <c r="BL51" s="392"/>
      <c r="BM51" s="392"/>
      <c r="BN51" s="392"/>
      <c r="BO51" s="392"/>
      <c r="BP51" s="392"/>
      <c r="BQ51" s="392"/>
      <c r="BR51" s="392"/>
      <c r="BS51" s="392"/>
      <c r="BT51" s="392"/>
      <c r="BU51" s="392"/>
      <c r="BV51" s="392"/>
      <c r="BW51" s="392"/>
      <c r="BX51" s="392"/>
      <c r="BY51" s="392"/>
      <c r="BZ51" s="392"/>
      <c r="CA51" s="392"/>
      <c r="CB51" s="392"/>
      <c r="CC51" s="2"/>
      <c r="CD51" s="2"/>
      <c r="CE51" s="2"/>
      <c r="CF51" s="2"/>
    </row>
    <row r="52" spans="3:84" x14ac:dyDescent="0.4">
      <c r="D52" s="2"/>
      <c r="E52" s="2" t="s">
        <v>993</v>
      </c>
      <c r="F52" s="2">
        <v>21000000</v>
      </c>
      <c r="G52" s="2"/>
      <c r="H52" s="2"/>
      <c r="I52" s="2"/>
      <c r="J52" s="2"/>
      <c r="K52" s="2"/>
      <c r="L52" s="2"/>
      <c r="M52" s="2"/>
      <c r="N52" s="2"/>
      <c r="O52" s="2"/>
      <c r="P52" s="2"/>
      <c r="Q52" t="s">
        <v>853</v>
      </c>
      <c r="R52" s="2">
        <v>350000</v>
      </c>
      <c r="S52" s="2">
        <v>350000</v>
      </c>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row>
    <row r="53" spans="3:84" x14ac:dyDescent="0.4">
      <c r="D53" s="2"/>
      <c r="E53" s="2" t="s">
        <v>770</v>
      </c>
      <c r="F53" s="2">
        <v>95000000</v>
      </c>
      <c r="G53" s="2"/>
      <c r="H53" s="2"/>
      <c r="I53" s="2"/>
      <c r="J53" s="2"/>
      <c r="K53" s="2"/>
      <c r="L53" s="2"/>
      <c r="M53" s="2"/>
      <c r="N53" s="2"/>
      <c r="O53" s="2"/>
      <c r="P53" s="2"/>
      <c r="Q53" t="s">
        <v>1006</v>
      </c>
      <c r="R53" s="2">
        <v>15000</v>
      </c>
      <c r="S53" s="2">
        <v>15000</v>
      </c>
      <c r="U53" t="s">
        <v>1007</v>
      </c>
      <c r="V53" s="2" t="s">
        <v>735</v>
      </c>
      <c r="W53" s="396">
        <f t="shared" ref="W53:W64" si="25">SUM(X53:BL53)</f>
        <v>166000000</v>
      </c>
      <c r="X53" s="2">
        <f>$Z$1*0.1</f>
        <v>166000000</v>
      </c>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row>
    <row r="54" spans="3:84" x14ac:dyDescent="0.4">
      <c r="D54" s="2"/>
      <c r="E54" s="2" t="s">
        <v>96</v>
      </c>
      <c r="F54" s="2">
        <v>20000000</v>
      </c>
      <c r="G54" s="2"/>
      <c r="H54" s="2"/>
      <c r="I54" s="2"/>
      <c r="J54" s="2"/>
      <c r="K54" s="2"/>
      <c r="L54" s="2"/>
      <c r="M54" s="2"/>
      <c r="N54" s="2"/>
      <c r="O54" s="2"/>
      <c r="P54" s="2"/>
      <c r="V54" s="2" t="s">
        <v>871</v>
      </c>
      <c r="W54" s="396">
        <f t="shared" si="25"/>
        <v>996000000</v>
      </c>
      <c r="X54" s="2"/>
      <c r="Z54" s="2"/>
      <c r="AA54" s="2"/>
      <c r="AB54" s="2">
        <f>$Z$1*0.1</f>
        <v>166000000</v>
      </c>
      <c r="AC54" s="2"/>
      <c r="AD54" s="2"/>
      <c r="AF54" s="2"/>
      <c r="AG54" s="2">
        <f>$Z$1*0.1</f>
        <v>166000000</v>
      </c>
      <c r="AH54" s="2"/>
      <c r="AI54" s="2"/>
      <c r="AJ54" s="2"/>
      <c r="AL54" s="2">
        <f>$Z$1*0.1</f>
        <v>166000000</v>
      </c>
      <c r="AM54" s="2"/>
      <c r="AN54" s="2"/>
      <c r="AO54" s="2"/>
      <c r="AP54" s="2"/>
      <c r="AR54" s="2"/>
      <c r="AS54" s="2">
        <f>$Z$1*0.1</f>
        <v>166000000</v>
      </c>
      <c r="AT54" s="2"/>
      <c r="AU54" s="2"/>
      <c r="AV54" s="2"/>
      <c r="AX54" s="2">
        <f>$Z$1*0.1</f>
        <v>166000000</v>
      </c>
      <c r="AY54" s="2"/>
      <c r="AZ54" s="2"/>
      <c r="BA54" s="2"/>
      <c r="BB54" s="2"/>
      <c r="BD54" s="2">
        <f>$Z$1*0.1</f>
        <v>166000000</v>
      </c>
      <c r="BE54" s="2"/>
      <c r="BF54" s="2"/>
      <c r="BG54" s="2"/>
      <c r="BH54" s="2"/>
      <c r="BI54" s="2"/>
      <c r="BJ54" s="2"/>
      <c r="BK54" s="2"/>
      <c r="BL54" s="2"/>
      <c r="BM54" s="2"/>
      <c r="BN54" s="2"/>
      <c r="BO54" s="2"/>
      <c r="BP54" s="2"/>
      <c r="BQ54" s="2"/>
      <c r="BR54" s="2"/>
      <c r="BS54" s="2"/>
      <c r="BT54" s="2"/>
      <c r="BU54" s="2"/>
      <c r="BV54" s="2"/>
      <c r="BW54" s="2"/>
      <c r="BX54" s="2"/>
      <c r="BY54" s="2"/>
      <c r="BZ54" s="2"/>
      <c r="CA54" s="2"/>
      <c r="CB54" s="2"/>
    </row>
    <row r="55" spans="3:84" x14ac:dyDescent="0.4">
      <c r="D55" s="2"/>
      <c r="E55" s="2" t="s">
        <v>992</v>
      </c>
      <c r="F55" s="2">
        <v>30000000</v>
      </c>
      <c r="G55" s="2"/>
      <c r="H55" s="2"/>
      <c r="I55" s="2"/>
      <c r="J55" s="2"/>
      <c r="K55" s="2"/>
      <c r="L55" s="2"/>
      <c r="M55" s="2"/>
      <c r="N55" s="2"/>
      <c r="O55" s="2"/>
      <c r="P55" s="2"/>
      <c r="Q55" t="s">
        <v>1008</v>
      </c>
      <c r="R55" s="2">
        <f>R41+SUM(R45:R53)</f>
        <v>568373000</v>
      </c>
      <c r="S55" s="2">
        <f>R42+SUM(S45:S53)</f>
        <v>514277000</v>
      </c>
      <c r="V55" s="2" t="s">
        <v>739</v>
      </c>
      <c r="W55" s="396">
        <f t="shared" si="25"/>
        <v>498000000</v>
      </c>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f>$Z$1*0.3</f>
        <v>498000000</v>
      </c>
      <c r="BL55" s="2"/>
      <c r="BM55" s="2"/>
      <c r="BN55" s="2"/>
      <c r="BO55" s="2"/>
      <c r="BP55" s="2"/>
      <c r="BQ55" s="2"/>
      <c r="BR55" s="2"/>
      <c r="BS55" s="2"/>
      <c r="BT55" s="2"/>
      <c r="BU55" s="2"/>
      <c r="BV55" s="2"/>
      <c r="BW55" s="2"/>
      <c r="BX55" s="2"/>
      <c r="BY55" s="2"/>
      <c r="BZ55" s="2"/>
      <c r="CA55" s="2"/>
      <c r="CB55" s="2"/>
    </row>
    <row r="56" spans="3:84" x14ac:dyDescent="0.4">
      <c r="O56" t="s">
        <v>881</v>
      </c>
      <c r="P56" s="2">
        <v>168000000</v>
      </c>
      <c r="V56" s="2" t="s">
        <v>878</v>
      </c>
      <c r="W56" s="396">
        <f t="shared" si="25"/>
        <v>25510000</v>
      </c>
      <c r="X56" s="2">
        <v>2551000</v>
      </c>
      <c r="Z56" s="2"/>
      <c r="AA56" s="2"/>
      <c r="AB56" s="2">
        <v>2551000</v>
      </c>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v>20408000</v>
      </c>
      <c r="BL56" s="2"/>
      <c r="BM56" s="2"/>
      <c r="BN56" s="2"/>
      <c r="BO56" s="2"/>
      <c r="BP56" s="2"/>
      <c r="BQ56" s="2"/>
      <c r="BR56" s="2"/>
      <c r="BS56" s="2"/>
      <c r="BT56" s="2"/>
      <c r="BU56" s="2"/>
      <c r="BV56" s="2"/>
      <c r="BW56" s="2"/>
      <c r="BX56" s="2"/>
      <c r="BY56" s="2"/>
      <c r="BZ56" s="2"/>
      <c r="CA56" s="2"/>
      <c r="CB56" s="2"/>
    </row>
    <row r="57" spans="3:84" x14ac:dyDescent="0.4">
      <c r="P57" s="2"/>
      <c r="R57" s="2"/>
      <c r="S57" s="2"/>
      <c r="V57" s="393" t="s">
        <v>1009</v>
      </c>
      <c r="W57" s="398">
        <f t="shared" si="25"/>
        <v>40000000</v>
      </c>
      <c r="X57" s="2"/>
      <c r="Y57" s="2">
        <v>10000000</v>
      </c>
      <c r="Z57" s="2"/>
      <c r="AA57" s="2"/>
      <c r="AB57" s="2">
        <v>10000000</v>
      </c>
      <c r="AC57" s="2"/>
      <c r="AD57" s="2"/>
      <c r="AE57" s="2"/>
      <c r="AF57" s="2"/>
      <c r="AG57" s="2"/>
      <c r="AH57" s="2"/>
      <c r="AI57" s="2"/>
      <c r="AJ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v>20000000</v>
      </c>
      <c r="BL57" s="2"/>
      <c r="BM57" s="2"/>
      <c r="BN57" s="2"/>
      <c r="BO57" s="2"/>
      <c r="BP57" s="2"/>
      <c r="BQ57" s="2"/>
      <c r="BR57" s="2"/>
      <c r="BS57" s="2"/>
      <c r="BT57" s="2"/>
      <c r="BU57" s="2"/>
      <c r="BV57" s="2"/>
      <c r="BW57" s="2"/>
      <c r="BX57" s="2"/>
      <c r="BY57" s="2"/>
      <c r="BZ57" s="2"/>
      <c r="CA57" s="2"/>
      <c r="CB57" s="2"/>
    </row>
    <row r="58" spans="3:84" x14ac:dyDescent="0.4">
      <c r="C58" t="s">
        <v>621</v>
      </c>
      <c r="D58" s="2">
        <v>250000000</v>
      </c>
      <c r="P58" s="2"/>
      <c r="R58" s="2"/>
      <c r="S58" s="2"/>
      <c r="W58" s="396">
        <f t="shared" si="25"/>
        <v>0</v>
      </c>
    </row>
    <row r="59" spans="3:84" x14ac:dyDescent="0.4">
      <c r="C59" t="s">
        <v>980</v>
      </c>
      <c r="D59" s="2">
        <v>400000000</v>
      </c>
      <c r="P59" s="2"/>
      <c r="Q59" t="s">
        <v>881</v>
      </c>
      <c r="R59" s="2">
        <v>132000000</v>
      </c>
      <c r="S59" s="2"/>
      <c r="V59" t="s">
        <v>996</v>
      </c>
      <c r="W59" s="396">
        <f t="shared" si="25"/>
        <v>51765300</v>
      </c>
      <c r="BK59" s="2">
        <f>SUM($X$53:$BK$58)*0.03</f>
        <v>51765300</v>
      </c>
    </row>
    <row r="60" spans="3:84" x14ac:dyDescent="0.4">
      <c r="C60" t="s">
        <v>770</v>
      </c>
      <c r="D60" s="2">
        <v>95000000</v>
      </c>
      <c r="E60" s="2"/>
      <c r="F60" s="2"/>
      <c r="G60" s="2"/>
      <c r="H60" s="2"/>
      <c r="I60" s="2"/>
      <c r="J60" s="2"/>
      <c r="K60" s="2"/>
      <c r="L60" s="2"/>
      <c r="M60" s="2"/>
      <c r="N60" s="2"/>
      <c r="O60" s="2"/>
      <c r="P60" s="2"/>
      <c r="Q60" s="2" t="s">
        <v>992</v>
      </c>
      <c r="R60" s="2">
        <v>20000000</v>
      </c>
      <c r="S60" s="2"/>
      <c r="V60" t="s">
        <v>1000</v>
      </c>
      <c r="W60" s="396">
        <f t="shared" si="25"/>
        <v>5176530</v>
      </c>
      <c r="BK60" s="2">
        <f>SUM($X$53:$BK$58)*0.003</f>
        <v>5176530</v>
      </c>
    </row>
    <row r="61" spans="3:84" x14ac:dyDescent="0.4">
      <c r="C61" t="s">
        <v>903</v>
      </c>
      <c r="D61" s="2">
        <v>50000000</v>
      </c>
      <c r="E61" s="2"/>
      <c r="F61" s="2"/>
      <c r="G61" s="2"/>
      <c r="H61" s="2"/>
      <c r="I61" s="2"/>
      <c r="J61" s="2"/>
      <c r="K61" s="2"/>
      <c r="L61" s="2"/>
      <c r="M61" s="2"/>
      <c r="N61" s="2"/>
      <c r="O61" s="2"/>
      <c r="P61" s="2"/>
      <c r="Q61" s="2" t="s">
        <v>1010</v>
      </c>
      <c r="R61" s="2">
        <v>50000000</v>
      </c>
      <c r="S61" s="2"/>
      <c r="V61" t="s">
        <v>1003</v>
      </c>
      <c r="W61" s="396">
        <f t="shared" si="25"/>
        <v>3451020</v>
      </c>
      <c r="BK61" s="2">
        <f>SUM($X$53:$BK$58)*0.002</f>
        <v>3451020</v>
      </c>
    </row>
    <row r="62" spans="3:84" x14ac:dyDescent="0.4">
      <c r="C62" t="s">
        <v>709</v>
      </c>
      <c r="D62" s="2">
        <v>60000000</v>
      </c>
      <c r="E62" s="2"/>
      <c r="F62" s="2"/>
      <c r="G62" s="2"/>
      <c r="H62" s="2"/>
      <c r="I62" s="2"/>
      <c r="J62" s="2"/>
      <c r="K62" s="2"/>
      <c r="L62" s="2"/>
      <c r="M62" s="2"/>
      <c r="N62" s="2"/>
      <c r="O62" s="2"/>
      <c r="P62" s="2"/>
      <c r="Q62" s="2" t="s">
        <v>621</v>
      </c>
      <c r="R62" s="2">
        <v>250000000</v>
      </c>
      <c r="S62" s="2"/>
      <c r="V62" t="s">
        <v>1005</v>
      </c>
      <c r="W62" s="396">
        <f t="shared" si="25"/>
        <v>5349081</v>
      </c>
      <c r="BK62" s="2">
        <f>SUM($X$53:$BK$58)*0.031*0.1</f>
        <v>5349081</v>
      </c>
    </row>
    <row r="63" spans="3:84" x14ac:dyDescent="0.4">
      <c r="C63" t="s">
        <v>1011</v>
      </c>
      <c r="D63" s="2">
        <v>300000000</v>
      </c>
      <c r="E63" s="2">
        <v>132000000</v>
      </c>
      <c r="F63" s="2"/>
      <c r="G63" s="2"/>
      <c r="H63" s="2"/>
      <c r="I63" s="2"/>
      <c r="J63" s="2"/>
      <c r="K63" s="2"/>
      <c r="L63" s="2"/>
      <c r="M63" s="2"/>
      <c r="N63" s="2"/>
      <c r="O63" s="2"/>
      <c r="P63" s="2"/>
      <c r="Q63" s="2" t="s">
        <v>901</v>
      </c>
      <c r="R63" s="2">
        <v>400000000</v>
      </c>
      <c r="S63" s="2"/>
      <c r="V63" t="s">
        <v>853</v>
      </c>
      <c r="W63" s="396">
        <f t="shared" si="25"/>
        <v>350000</v>
      </c>
      <c r="BK63" s="2">
        <v>350000</v>
      </c>
    </row>
    <row r="64" spans="3:84" x14ac:dyDescent="0.4">
      <c r="C64" t="s">
        <v>96</v>
      </c>
      <c r="D64" s="2">
        <v>20000000</v>
      </c>
      <c r="E64" s="2"/>
      <c r="F64" s="2"/>
      <c r="G64" s="2"/>
      <c r="H64" s="2"/>
      <c r="I64" s="2"/>
      <c r="J64" s="2"/>
      <c r="K64" s="2"/>
      <c r="L64" s="2"/>
      <c r="M64" s="2"/>
      <c r="N64" s="2"/>
      <c r="O64" s="2"/>
      <c r="P64" s="2"/>
      <c r="Q64" s="2" t="s">
        <v>1012</v>
      </c>
      <c r="R64" s="2">
        <v>100000000</v>
      </c>
      <c r="S64" s="2"/>
      <c r="V64" t="s">
        <v>1006</v>
      </c>
      <c r="W64" s="396">
        <f t="shared" si="25"/>
        <v>15000</v>
      </c>
      <c r="BK64" s="2">
        <v>15000</v>
      </c>
    </row>
    <row r="65" spans="3:64" x14ac:dyDescent="0.4">
      <c r="C65" t="s">
        <v>992</v>
      </c>
      <c r="D65" s="2">
        <v>150000000</v>
      </c>
      <c r="E65" s="2">
        <v>20000000</v>
      </c>
      <c r="F65" s="2"/>
      <c r="G65" s="2"/>
      <c r="H65" s="2"/>
      <c r="I65" s="2"/>
      <c r="J65" s="2"/>
      <c r="K65" s="2"/>
      <c r="L65" s="2"/>
      <c r="M65" s="2"/>
      <c r="N65" s="2"/>
      <c r="O65" s="2"/>
      <c r="P65" s="2"/>
      <c r="Q65" s="2" t="s">
        <v>1013</v>
      </c>
      <c r="R65" s="2">
        <v>150000000</v>
      </c>
      <c r="S65" s="2"/>
      <c r="V65" t="s">
        <v>1014</v>
      </c>
      <c r="BG65" s="2"/>
      <c r="BH65" s="2"/>
      <c r="BI65" s="2"/>
      <c r="BJ65" s="2"/>
      <c r="BK65" s="2"/>
      <c r="BL65" s="2"/>
    </row>
    <row r="66" spans="3:64" x14ac:dyDescent="0.4">
      <c r="C66" t="s">
        <v>1015</v>
      </c>
      <c r="D66" s="2">
        <v>20000000</v>
      </c>
      <c r="E66" s="2"/>
      <c r="F66" s="2"/>
      <c r="G66" s="2"/>
      <c r="H66" s="2"/>
      <c r="I66" s="2"/>
      <c r="J66" s="2"/>
      <c r="K66" s="2"/>
      <c r="L66" s="2"/>
      <c r="M66" s="2"/>
      <c r="N66" s="2"/>
      <c r="O66" s="2"/>
      <c r="P66" s="2"/>
      <c r="Q66" s="2" t="s">
        <v>1016</v>
      </c>
      <c r="R66" s="2">
        <v>20000000</v>
      </c>
      <c r="S66" s="2"/>
      <c r="V66" t="s">
        <v>1017</v>
      </c>
      <c r="BG66" s="2"/>
      <c r="BH66" s="2"/>
      <c r="BI66" s="2"/>
      <c r="BJ66" s="2"/>
      <c r="BK66" s="2"/>
      <c r="BL66" s="2"/>
    </row>
    <row r="67" spans="3:64" x14ac:dyDescent="0.4">
      <c r="C67" t="s">
        <v>1018</v>
      </c>
      <c r="D67" s="2">
        <v>100000000</v>
      </c>
      <c r="E67" s="2"/>
      <c r="F67" s="2"/>
      <c r="G67" s="2"/>
      <c r="H67" s="2"/>
      <c r="I67" s="2"/>
      <c r="J67" s="2"/>
      <c r="K67" s="2"/>
      <c r="L67" s="2"/>
      <c r="M67" s="2"/>
      <c r="N67" s="2"/>
      <c r="O67" s="2"/>
      <c r="P67" s="2"/>
      <c r="Q67" s="2"/>
      <c r="R67" s="2"/>
      <c r="S67" s="2"/>
      <c r="BG67" s="2"/>
      <c r="BH67" s="2"/>
      <c r="BI67" s="2"/>
      <c r="BJ67" s="2"/>
      <c r="BK67" s="2"/>
      <c r="BL67" s="2"/>
    </row>
    <row r="68" spans="3:64" x14ac:dyDescent="0.4">
      <c r="C68" t="s">
        <v>1013</v>
      </c>
      <c r="D68" s="2">
        <v>200000000</v>
      </c>
      <c r="E68" s="2"/>
      <c r="F68" s="2"/>
      <c r="G68" s="2"/>
      <c r="H68" s="2"/>
      <c r="I68" s="2"/>
      <c r="J68" s="2"/>
      <c r="K68" s="2"/>
      <c r="L68" s="2">
        <f>30*8*16250</f>
        <v>3900000</v>
      </c>
      <c r="M68" s="2"/>
      <c r="N68" s="2"/>
      <c r="O68" s="2"/>
      <c r="P68" s="2"/>
      <c r="Q68" s="2"/>
      <c r="R68" s="2"/>
      <c r="S68" s="2"/>
      <c r="BG68" s="2"/>
      <c r="BH68" s="2"/>
      <c r="BI68" s="2"/>
      <c r="BJ68" s="2"/>
      <c r="BK68" s="2"/>
      <c r="BL68" s="2"/>
    </row>
    <row r="69" spans="3:64" x14ac:dyDescent="0.4">
      <c r="C69" t="s">
        <v>993</v>
      </c>
      <c r="D69" s="2">
        <v>21000000</v>
      </c>
      <c r="E69" s="2"/>
      <c r="F69" s="2"/>
      <c r="G69" s="2"/>
      <c r="H69" s="2"/>
      <c r="I69" s="2"/>
      <c r="J69" s="2"/>
      <c r="K69" s="2"/>
      <c r="L69" s="2"/>
      <c r="M69" s="2"/>
      <c r="N69" s="2"/>
      <c r="O69" s="2"/>
      <c r="P69" s="2"/>
      <c r="Q69" s="2"/>
      <c r="R69" s="2"/>
      <c r="S69" s="2"/>
      <c r="T69" s="2"/>
      <c r="BG69" s="2"/>
      <c r="BH69" s="2"/>
      <c r="BI69" s="2"/>
      <c r="BJ69" s="2"/>
      <c r="BK69" s="2"/>
      <c r="BL69" s="2"/>
    </row>
    <row r="70" spans="3:64" x14ac:dyDescent="0.4">
      <c r="D70" s="2"/>
      <c r="E70" s="2"/>
      <c r="F70" s="2"/>
      <c r="G70" s="2"/>
      <c r="H70" s="2"/>
      <c r="I70" s="2"/>
      <c r="J70" s="2"/>
      <c r="K70" s="2"/>
      <c r="L70" s="2"/>
      <c r="M70" s="2"/>
      <c r="N70" s="2"/>
      <c r="O70" s="2"/>
      <c r="P70" s="2"/>
      <c r="Q70" s="2"/>
      <c r="R70" s="2"/>
      <c r="S70" s="2"/>
      <c r="T70" s="2"/>
      <c r="V70" s="2"/>
      <c r="W70" s="2"/>
    </row>
    <row r="71" spans="3:64" x14ac:dyDescent="0.4">
      <c r="C71" t="s">
        <v>904</v>
      </c>
      <c r="D71" s="2">
        <v>17000000</v>
      </c>
      <c r="E71" s="2"/>
      <c r="F71" s="2"/>
      <c r="G71" s="2"/>
      <c r="H71" s="2"/>
      <c r="I71" s="2"/>
      <c r="J71" s="2"/>
      <c r="K71" s="2"/>
      <c r="L71" s="2"/>
      <c r="M71" s="2"/>
      <c r="N71" s="2"/>
      <c r="O71" s="2"/>
      <c r="P71" s="2"/>
      <c r="Q71" s="2"/>
      <c r="R71" s="2"/>
      <c r="S71" s="2"/>
      <c r="T71" s="2"/>
      <c r="W71" t="s">
        <v>1019</v>
      </c>
    </row>
    <row r="72" spans="3:64" x14ac:dyDescent="0.4">
      <c r="R72" s="2"/>
      <c r="S72" s="2"/>
      <c r="T72" s="2"/>
      <c r="W72" t="s">
        <v>1020</v>
      </c>
    </row>
    <row r="73" spans="3:64" x14ac:dyDescent="0.4">
      <c r="T73" s="2"/>
      <c r="W73" t="s">
        <v>1021</v>
      </c>
    </row>
    <row r="74" spans="3:64" x14ac:dyDescent="0.4">
      <c r="T74" s="2"/>
    </row>
    <row r="75" spans="3:64" x14ac:dyDescent="0.4">
      <c r="T75" s="2"/>
      <c r="W75" t="s">
        <v>1022</v>
      </c>
      <c r="X75" s="2">
        <v>51900000</v>
      </c>
      <c r="Y75" s="2"/>
    </row>
    <row r="76" spans="3:64" x14ac:dyDescent="0.4">
      <c r="T76" s="2"/>
      <c r="W76" t="s">
        <v>1023</v>
      </c>
      <c r="X76" s="2">
        <v>7614357</v>
      </c>
      <c r="Y76" s="2"/>
    </row>
    <row r="77" spans="3:64" x14ac:dyDescent="0.4">
      <c r="T77" s="2"/>
      <c r="W77" t="s">
        <v>1024</v>
      </c>
      <c r="X77" s="2">
        <f>33190000+9930000</f>
        <v>43120000</v>
      </c>
    </row>
    <row r="78" spans="3:64" x14ac:dyDescent="0.4">
      <c r="T78" s="2"/>
      <c r="W78" t="s">
        <v>1025</v>
      </c>
      <c r="X78" s="2">
        <v>3700000</v>
      </c>
    </row>
    <row r="79" spans="3:64" x14ac:dyDescent="0.4">
      <c r="T79" s="2"/>
      <c r="W79" t="s">
        <v>1026</v>
      </c>
      <c r="X79" s="2">
        <v>13000000</v>
      </c>
      <c r="Y79" s="2"/>
    </row>
    <row r="80" spans="3:64" x14ac:dyDescent="0.4">
      <c r="T80" s="2"/>
      <c r="X80" s="2"/>
      <c r="Y80" s="2"/>
    </row>
    <row r="81" spans="23:41" x14ac:dyDescent="0.4">
      <c r="W81" t="s">
        <v>1027</v>
      </c>
      <c r="X81" s="2">
        <v>51000000</v>
      </c>
      <c r="Y81" s="2"/>
    </row>
    <row r="82" spans="23:41" x14ac:dyDescent="0.4">
      <c r="X82" s="2"/>
      <c r="Y82" s="2"/>
    </row>
    <row r="83" spans="23:41" x14ac:dyDescent="0.4">
      <c r="W83" t="s">
        <v>1028</v>
      </c>
      <c r="X83" s="2">
        <v>3500000</v>
      </c>
      <c r="Y83" s="2"/>
    </row>
    <row r="84" spans="23:41" x14ac:dyDescent="0.4">
      <c r="X84" s="2"/>
      <c r="Y84" s="2"/>
    </row>
    <row r="85" spans="23:41" x14ac:dyDescent="0.4">
      <c r="X85" s="2"/>
    </row>
    <row r="86" spans="23:41" x14ac:dyDescent="0.4">
      <c r="W86" t="s">
        <v>1029</v>
      </c>
      <c r="X86" s="2"/>
    </row>
    <row r="87" spans="23:41" x14ac:dyDescent="0.4">
      <c r="W87" t="s">
        <v>1030</v>
      </c>
      <c r="X87" s="2"/>
    </row>
    <row r="88" spans="23:41" x14ac:dyDescent="0.4">
      <c r="X88" s="2"/>
    </row>
    <row r="89" spans="23:41" x14ac:dyDescent="0.4">
      <c r="X89" s="2"/>
      <c r="Z89" t="s">
        <v>1031</v>
      </c>
      <c r="AA89" s="2">
        <v>25510000</v>
      </c>
    </row>
    <row r="90" spans="23:41" x14ac:dyDescent="0.4">
      <c r="X90" s="2"/>
      <c r="Y90" t="s">
        <v>1032</v>
      </c>
    </row>
    <row r="91" spans="23:41" x14ac:dyDescent="0.4">
      <c r="X91" s="2"/>
      <c r="Y91" t="s">
        <v>1033</v>
      </c>
      <c r="Z91" t="s">
        <v>1034</v>
      </c>
      <c r="AM91" s="2"/>
      <c r="AN91" s="2"/>
      <c r="AO91" s="2"/>
    </row>
    <row r="92" spans="23:41" x14ac:dyDescent="0.4">
      <c r="Y92">
        <v>110</v>
      </c>
      <c r="Z92">
        <v>3204</v>
      </c>
      <c r="AA92" s="2">
        <v>1680000000</v>
      </c>
    </row>
    <row r="93" spans="23:41" x14ac:dyDescent="0.4">
      <c r="X93" s="2"/>
      <c r="Z93">
        <v>2404</v>
      </c>
      <c r="AA93" s="2">
        <v>1660000000</v>
      </c>
    </row>
    <row r="94" spans="23:41" x14ac:dyDescent="0.4">
      <c r="X94" s="2"/>
      <c r="Z94">
        <v>2204</v>
      </c>
      <c r="AA94" s="2">
        <v>1660000000</v>
      </c>
      <c r="AK94" s="2"/>
      <c r="AL94" s="2"/>
      <c r="AM94" s="2"/>
      <c r="AN94" s="2"/>
      <c r="AO94" s="2"/>
    </row>
    <row r="95" spans="23:41" x14ac:dyDescent="0.4">
      <c r="X95" s="2"/>
      <c r="Z95">
        <v>1904</v>
      </c>
      <c r="AA95" s="2">
        <v>1650000000</v>
      </c>
      <c r="AK95" s="2"/>
      <c r="AL95" s="2"/>
      <c r="AM95" s="2"/>
      <c r="AN95" s="2"/>
      <c r="AO95" s="2"/>
    </row>
    <row r="96" spans="23:41" x14ac:dyDescent="0.4">
      <c r="Z96">
        <v>1104</v>
      </c>
      <c r="AA96" s="2">
        <v>1650000000</v>
      </c>
      <c r="AK96" s="2"/>
      <c r="AL96" s="2"/>
      <c r="AM96" s="2"/>
      <c r="AN96" s="2"/>
      <c r="AO96" s="2"/>
    </row>
    <row r="97" spans="25:41" x14ac:dyDescent="0.4">
      <c r="Z97" s="403">
        <v>904</v>
      </c>
      <c r="AA97" s="386">
        <v>1620000000</v>
      </c>
      <c r="AK97" s="2"/>
      <c r="AL97" s="2"/>
      <c r="AM97" s="2"/>
      <c r="AN97" s="2"/>
      <c r="AO97" s="2"/>
    </row>
    <row r="98" spans="25:41" x14ac:dyDescent="0.4">
      <c r="Z98" s="403">
        <v>504</v>
      </c>
      <c r="AA98" s="386">
        <v>1600000000</v>
      </c>
      <c r="AK98" s="2"/>
      <c r="AL98" s="2"/>
      <c r="AM98" s="2"/>
      <c r="AN98" s="2"/>
      <c r="AO98" s="2"/>
    </row>
    <row r="99" spans="25:41" x14ac:dyDescent="0.4">
      <c r="Z99" s="403">
        <v>404</v>
      </c>
      <c r="AA99" s="386">
        <v>1570000000</v>
      </c>
    </row>
    <row r="100" spans="25:41" x14ac:dyDescent="0.4">
      <c r="Z100" s="404">
        <v>204</v>
      </c>
      <c r="AA100" s="386">
        <v>1520000000</v>
      </c>
    </row>
    <row r="101" spans="25:41" x14ac:dyDescent="0.4">
      <c r="Y101">
        <v>109</v>
      </c>
      <c r="Z101" s="387" t="s">
        <v>1035</v>
      </c>
      <c r="AA101" s="2">
        <v>1650000000</v>
      </c>
    </row>
    <row r="102" spans="25:41" x14ac:dyDescent="0.4">
      <c r="Z102" s="387">
        <v>1604</v>
      </c>
      <c r="AA102" s="2">
        <v>1650000000</v>
      </c>
    </row>
    <row r="103" spans="25:41" x14ac:dyDescent="0.4">
      <c r="Z103" s="387">
        <v>1204</v>
      </c>
      <c r="AA103" s="2">
        <v>1650000000</v>
      </c>
    </row>
    <row r="104" spans="25:41" x14ac:dyDescent="0.4">
      <c r="Z104" s="404" t="s">
        <v>1036</v>
      </c>
      <c r="AA104" s="386">
        <v>1620000000</v>
      </c>
    </row>
    <row r="105" spans="25:41" x14ac:dyDescent="0.4">
      <c r="Z105" s="404">
        <v>804</v>
      </c>
      <c r="AA105" s="386">
        <v>1620000000</v>
      </c>
    </row>
    <row r="106" spans="25:41" x14ac:dyDescent="0.4">
      <c r="Z106" s="404" t="s">
        <v>1037</v>
      </c>
      <c r="AA106" s="386">
        <v>1600000000</v>
      </c>
    </row>
    <row r="107" spans="25:41" x14ac:dyDescent="0.4">
      <c r="Z107" s="404">
        <v>304</v>
      </c>
      <c r="AA107" s="386">
        <v>1550000000</v>
      </c>
    </row>
    <row r="108" spans="25:41" x14ac:dyDescent="0.4">
      <c r="Y108">
        <v>114</v>
      </c>
      <c r="Z108" s="387" t="s">
        <v>1038</v>
      </c>
      <c r="AA108" s="2">
        <v>1660000000</v>
      </c>
    </row>
    <row r="109" spans="25:41" x14ac:dyDescent="0.4">
      <c r="Z109" s="387" t="s">
        <v>1039</v>
      </c>
      <c r="AA109" s="2">
        <v>1660000000</v>
      </c>
    </row>
    <row r="110" spans="25:41" x14ac:dyDescent="0.4">
      <c r="Z110" s="387">
        <v>2104</v>
      </c>
      <c r="AA110" s="2">
        <v>1660000000</v>
      </c>
    </row>
    <row r="111" spans="25:41" x14ac:dyDescent="0.4">
      <c r="Z111" s="387">
        <v>1404</v>
      </c>
      <c r="AA111" s="2">
        <v>1650000000</v>
      </c>
    </row>
    <row r="112" spans="25:41" x14ac:dyDescent="0.4">
      <c r="Z112" s="387" t="s">
        <v>1040</v>
      </c>
      <c r="AA112" s="2">
        <v>1650000000</v>
      </c>
    </row>
    <row r="113" spans="26:27" x14ac:dyDescent="0.4">
      <c r="Z113" s="404">
        <v>1004</v>
      </c>
      <c r="AA113" s="386">
        <v>1620000000</v>
      </c>
    </row>
    <row r="114" spans="26:27" x14ac:dyDescent="0.4">
      <c r="Z114" s="404" t="s">
        <v>1041</v>
      </c>
      <c r="AA114" s="386">
        <v>1520000000</v>
      </c>
    </row>
  </sheetData>
  <phoneticPr fontId="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E8:J14"/>
  <sheetViews>
    <sheetView workbookViewId="0">
      <selection activeCell="J10" sqref="J10"/>
    </sheetView>
  </sheetViews>
  <sheetFormatPr defaultRowHeight="17.399999999999999" x14ac:dyDescent="0.4"/>
  <sheetData>
    <row r="8" spans="5:10" x14ac:dyDescent="0.4">
      <c r="E8" t="s">
        <v>871</v>
      </c>
      <c r="F8">
        <v>100</v>
      </c>
    </row>
    <row r="10" spans="5:10" x14ac:dyDescent="0.4">
      <c r="E10" t="s">
        <v>837</v>
      </c>
      <c r="F10">
        <v>100</v>
      </c>
      <c r="I10" t="s">
        <v>837</v>
      </c>
      <c r="J10">
        <v>-100</v>
      </c>
    </row>
    <row r="12" spans="5:10" x14ac:dyDescent="0.4">
      <c r="I12" t="s">
        <v>1042</v>
      </c>
      <c r="J12">
        <v>10</v>
      </c>
    </row>
    <row r="13" spans="5:10" x14ac:dyDescent="0.4">
      <c r="I13" t="s">
        <v>1043</v>
      </c>
      <c r="J13">
        <v>50</v>
      </c>
    </row>
    <row r="14" spans="5:10" x14ac:dyDescent="0.4">
      <c r="I14" t="s">
        <v>1044</v>
      </c>
      <c r="J14">
        <v>40</v>
      </c>
    </row>
  </sheetData>
  <phoneticPr fontId="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T89"/>
  <sheetViews>
    <sheetView topLeftCell="A18" workbookViewId="0">
      <selection activeCell="D37" sqref="D37"/>
    </sheetView>
  </sheetViews>
  <sheetFormatPr defaultColWidth="9" defaultRowHeight="17.399999999999999" x14ac:dyDescent="0.4"/>
  <cols>
    <col min="1" max="2" width="9" style="336" customWidth="1"/>
    <col min="3" max="3" width="15.19921875" style="336" customWidth="1"/>
    <col min="4" max="4" width="32.19921875" style="336" customWidth="1"/>
    <col min="5" max="10" width="10.5" style="336" customWidth="1"/>
    <col min="11" max="11" width="0.8984375" style="336" customWidth="1"/>
    <col min="12" max="12" width="14.8984375" style="336" customWidth="1"/>
    <col min="13" max="13" width="0.8984375" style="336" customWidth="1"/>
    <col min="14" max="14" width="34.8984375" style="336" customWidth="1"/>
    <col min="15" max="15" width="9" style="336" customWidth="1"/>
    <col min="16" max="17" width="9.8984375" style="336" bestFit="1" customWidth="1"/>
    <col min="18" max="18" width="9" style="336" bestFit="1" customWidth="1"/>
    <col min="19" max="19" width="9" style="336" customWidth="1"/>
    <col min="20" max="16384" width="9" style="336"/>
  </cols>
  <sheetData>
    <row r="2" spans="2:17" x14ac:dyDescent="0.4">
      <c r="C2" s="336" t="s">
        <v>1045</v>
      </c>
    </row>
    <row r="3" spans="2:17" ht="18" customHeight="1" thickBot="1" x14ac:dyDescent="0.45"/>
    <row r="4" spans="2:17" ht="18" customHeight="1" thickBot="1" x14ac:dyDescent="0.45">
      <c r="C4" s="372" t="s">
        <v>1046</v>
      </c>
      <c r="D4" s="371" t="s">
        <v>114</v>
      </c>
      <c r="E4" s="371" t="s">
        <v>20</v>
      </c>
      <c r="F4" s="371" t="s">
        <v>1047</v>
      </c>
      <c r="G4" s="371" t="s">
        <v>1048</v>
      </c>
      <c r="H4" s="371" t="s">
        <v>1049</v>
      </c>
      <c r="I4" s="371" t="s">
        <v>1050</v>
      </c>
      <c r="J4" s="371" t="s">
        <v>1051</v>
      </c>
      <c r="K4" s="371"/>
      <c r="L4" s="371" t="s">
        <v>1052</v>
      </c>
      <c r="M4" s="371"/>
      <c r="N4" s="370" t="s">
        <v>1053</v>
      </c>
      <c r="P4" s="336" t="s">
        <v>19</v>
      </c>
      <c r="Q4" s="369" t="s">
        <v>479</v>
      </c>
    </row>
    <row r="5" spans="2:17" x14ac:dyDescent="0.4">
      <c r="C5" s="368" t="e">
        <v>#VALUE!</v>
      </c>
      <c r="D5" s="364" t="e" vm="1">
        <f t="array" ref="D5">_FV(C5,"Official name",TRUE)</f>
        <v>#VALUE!</v>
      </c>
      <c r="E5" s="365" t="e" vm="2">
        <f t="array" ref="E5">_FV(C5,"Price")</f>
        <v>#VALUE!</v>
      </c>
      <c r="F5" s="367" t="e" vm="3">
        <f t="array" ref="F5">_FV(C5,"Change (%)",TRUE)</f>
        <v>#VALUE!</v>
      </c>
      <c r="G5" s="365" t="e" vm="4">
        <f t="array" ref="G5">_FV(C5,"Low")</f>
        <v>#VALUE!</v>
      </c>
      <c r="H5" s="365" t="e" vm="5">
        <f t="array" ref="H5">_FV(C5,"High")</f>
        <v>#VALUE!</v>
      </c>
      <c r="I5" s="366" t="e" vm="6">
        <f t="array" ref="I5">_FV(C5,"52 week low",TRUE)</f>
        <v>#VALUE!</v>
      </c>
      <c r="J5" s="366" t="e" vm="7">
        <f t="array" ref="J5">_FV(C5,"52 week high",TRUE)</f>
        <v>#VALUE!</v>
      </c>
      <c r="K5" s="364"/>
      <c r="L5" s="365" t="e" vm="8">
        <f t="array" ref="L5">_FV(C5,"Market cap",TRUE)/100000000</f>
        <v>#VALUE!</v>
      </c>
      <c r="M5" s="364"/>
      <c r="N5" s="363" t="e" vm="9">
        <f t="array" ref="N5">_FV(C5,"Description")</f>
        <v>#VALUE!</v>
      </c>
      <c r="P5" s="349">
        <v>43382</v>
      </c>
      <c r="Q5" s="362" t="e" vm="10">
        <f t="shared" ref="Q5:Q49" si="0">(E5-P5)/P5</f>
        <v>#VALUE!</v>
      </c>
    </row>
    <row r="6" spans="2:17" x14ac:dyDescent="0.4">
      <c r="C6" s="384" t="e">
        <v>#VALUE!</v>
      </c>
      <c r="D6" s="351" t="e" vm="1">
        <f t="array" ref="D6">_FV(C6,"Official name",TRUE)</f>
        <v>#VALUE!</v>
      </c>
      <c r="E6" s="352" t="e" vm="2">
        <f t="array" ref="E6">_FV(C6,"Price")</f>
        <v>#VALUE!</v>
      </c>
      <c r="F6" s="354" t="e" vm="3">
        <f t="array" ref="F6">_FV(C6,"Change (%)",TRUE)</f>
        <v>#VALUE!</v>
      </c>
      <c r="G6" s="352" t="e" vm="4">
        <f t="array" ref="G6">_FV(C6,"Low")</f>
        <v>#VALUE!</v>
      </c>
      <c r="H6" s="352" t="e" vm="5">
        <f t="array" ref="H6">_FV(C6,"High")</f>
        <v>#VALUE!</v>
      </c>
      <c r="I6" s="353" t="e" vm="6">
        <f t="array" ref="I6">_FV(C6,"52 week low",TRUE)</f>
        <v>#VALUE!</v>
      </c>
      <c r="J6" s="353" t="e" vm="7">
        <f t="array" ref="J6">_FV(C6,"52 week high",TRUE)</f>
        <v>#VALUE!</v>
      </c>
      <c r="K6" s="351"/>
      <c r="L6" s="352" t="e" vm="8">
        <f t="array" ref="L6">_FV(C6,"Market cap",TRUE)/100000000</f>
        <v>#VALUE!</v>
      </c>
      <c r="M6" s="351"/>
      <c r="N6" s="350" t="e" vm="9">
        <f t="array" ref="N6">_FV(C6,"Description")</f>
        <v>#VALUE!</v>
      </c>
      <c r="P6" s="349">
        <v>533857</v>
      </c>
      <c r="Q6" s="362" t="e" vm="10">
        <f t="shared" si="0"/>
        <v>#VALUE!</v>
      </c>
    </row>
    <row r="7" spans="2:17" x14ac:dyDescent="0.4">
      <c r="C7" s="355" t="e">
        <v>#VALUE!</v>
      </c>
      <c r="D7" s="351" t="e" vm="1">
        <f t="array" ref="D7">_FV(C7,"Official name",TRUE)</f>
        <v>#VALUE!</v>
      </c>
      <c r="E7" s="352" t="e" vm="2">
        <f t="array" ref="E7">_FV(C7,"Price")</f>
        <v>#VALUE!</v>
      </c>
      <c r="F7" s="354" t="e" vm="3">
        <f t="array" ref="F7">_FV(C7,"Change (%)",TRUE)</f>
        <v>#VALUE!</v>
      </c>
      <c r="G7" s="352" t="e" vm="4">
        <f t="array" ref="G7">_FV(C7,"Low")</f>
        <v>#VALUE!</v>
      </c>
      <c r="H7" s="352" t="e" vm="5">
        <f t="array" ref="H7">_FV(C7,"High")</f>
        <v>#VALUE!</v>
      </c>
      <c r="I7" s="353" t="e" vm="6">
        <f t="array" ref="I7">_FV(C7,"52 week low",TRUE)</f>
        <v>#VALUE!</v>
      </c>
      <c r="J7" s="353" t="e" vm="7">
        <f t="array" ref="J7">_FV(C7,"52 week high",TRUE)</f>
        <v>#VALUE!</v>
      </c>
      <c r="K7" s="351"/>
      <c r="L7" s="352" t="e" vm="8">
        <f t="array" ref="L7">_FV(C7,"Market cap",TRUE)/100000000</f>
        <v>#VALUE!</v>
      </c>
      <c r="M7" s="351"/>
      <c r="N7" s="350" t="e" vm="9">
        <f t="array" ref="N7">_FV(C7,"Description")</f>
        <v>#VALUE!</v>
      </c>
      <c r="P7" s="349">
        <v>160500</v>
      </c>
      <c r="Q7" s="362" t="e" vm="10">
        <f t="shared" si="0"/>
        <v>#VALUE!</v>
      </c>
    </row>
    <row r="8" spans="2:17" x14ac:dyDescent="0.4">
      <c r="C8" s="355" t="e">
        <v>#VALUE!</v>
      </c>
      <c r="D8" s="351" t="e" vm="1">
        <f t="array" ref="D8">_FV(C8,"Official name",TRUE)</f>
        <v>#VALUE!</v>
      </c>
      <c r="E8" s="352" t="e" vm="2">
        <f t="array" ref="E8">_FV(C8,"Price")</f>
        <v>#VALUE!</v>
      </c>
      <c r="F8" s="354" t="e" vm="3">
        <f t="array" ref="F8">_FV(C8,"Change (%)",TRUE)</f>
        <v>#VALUE!</v>
      </c>
      <c r="G8" s="352" t="e" vm="4">
        <f t="array" ref="G8">_FV(C8,"Low")</f>
        <v>#VALUE!</v>
      </c>
      <c r="H8" s="352" t="e" vm="5">
        <f t="array" ref="H8">_FV(C8,"High")</f>
        <v>#VALUE!</v>
      </c>
      <c r="I8" s="353" t="e" vm="6">
        <f t="array" ref="I8">_FV(C8,"52 week low",TRUE)</f>
        <v>#VALUE!</v>
      </c>
      <c r="J8" s="353" t="e" vm="7">
        <f t="array" ref="J8">_FV(C8,"52 week high",TRUE)</f>
        <v>#VALUE!</v>
      </c>
      <c r="K8" s="351"/>
      <c r="L8" s="352" t="e" vm="8">
        <f t="array" ref="L8">_FV(C8,"Market cap",TRUE)/100000000</f>
        <v>#VALUE!</v>
      </c>
      <c r="M8" s="351"/>
      <c r="N8" s="350" t="e" vm="9">
        <f t="array" ref="N8">_FV(C8,"Description")</f>
        <v>#VALUE!</v>
      </c>
      <c r="P8" s="349">
        <v>499000</v>
      </c>
      <c r="Q8" s="362" t="e" vm="10">
        <f t="shared" si="0"/>
        <v>#VALUE!</v>
      </c>
    </row>
    <row r="9" spans="2:17" x14ac:dyDescent="0.4">
      <c r="C9" s="355" t="e">
        <v>#VALUE!</v>
      </c>
      <c r="D9" s="351" t="e" vm="1">
        <f t="array" ref="D9">_FV(C9,"Official name",TRUE)</f>
        <v>#VALUE!</v>
      </c>
      <c r="E9" s="352" t="e" vm="2">
        <f t="array" ref="E9">_FV(C9,"Price")</f>
        <v>#VALUE!</v>
      </c>
      <c r="F9" s="354" t="e" vm="3">
        <f t="array" ref="F9">_FV(C9,"Change (%)",TRUE)</f>
        <v>#VALUE!</v>
      </c>
      <c r="G9" s="352" t="e" vm="4">
        <f t="array" ref="G9">_FV(C9,"Low")</f>
        <v>#VALUE!</v>
      </c>
      <c r="H9" s="352" t="e" vm="5">
        <f t="array" ref="H9">_FV(C9,"High")</f>
        <v>#VALUE!</v>
      </c>
      <c r="I9" s="353" t="e" vm="6">
        <f t="array" ref="I9">_FV(C9,"52 week low",TRUE)</f>
        <v>#VALUE!</v>
      </c>
      <c r="J9" s="353" t="e" vm="7">
        <f t="array" ref="J9">_FV(C9,"52 week high",TRUE)</f>
        <v>#VALUE!</v>
      </c>
      <c r="K9" s="351"/>
      <c r="L9" s="352" t="e" vm="8">
        <f t="array" ref="L9">_FV(C9,"Market cap",TRUE)/100000000</f>
        <v>#VALUE!</v>
      </c>
      <c r="M9" s="351"/>
      <c r="N9" s="350" t="e" vm="9">
        <f t="array" ref="N9">_FV(C9,"Description")</f>
        <v>#VALUE!</v>
      </c>
      <c r="P9" s="349">
        <v>21127</v>
      </c>
      <c r="Q9" s="362" t="e" vm="10">
        <f t="shared" si="0"/>
        <v>#VALUE!</v>
      </c>
    </row>
    <row r="10" spans="2:17" x14ac:dyDescent="0.4">
      <c r="C10" s="355" t="e">
        <v>#VALUE!</v>
      </c>
      <c r="D10" s="351" t="e" vm="1">
        <f t="array" ref="D10">_FV(C10,"Official name",TRUE)</f>
        <v>#VALUE!</v>
      </c>
      <c r="E10" s="352" t="e" vm="2">
        <f t="array" ref="E10">_FV(C10,"Price")</f>
        <v>#VALUE!</v>
      </c>
      <c r="F10" s="354" t="e" vm="3">
        <f t="array" ref="F10">_FV(C10,"Change (%)",TRUE)</f>
        <v>#VALUE!</v>
      </c>
      <c r="G10" s="352" t="e" vm="4">
        <f t="array" ref="G10">_FV(C10,"Low")</f>
        <v>#VALUE!</v>
      </c>
      <c r="H10" s="352" t="e" vm="5">
        <f t="array" ref="H10">_FV(C10,"High")</f>
        <v>#VALUE!</v>
      </c>
      <c r="I10" s="353" t="e" vm="6">
        <f t="array" ref="I10">_FV(C10,"52 week low",TRUE)</f>
        <v>#VALUE!</v>
      </c>
      <c r="J10" s="353" t="e" vm="7">
        <f t="array" ref="J10">_FV(C10,"52 week high",TRUE)</f>
        <v>#VALUE!</v>
      </c>
      <c r="K10" s="351"/>
      <c r="L10" s="352" t="e" vm="8">
        <f t="array" ref="L10">_FV(C10,"Market cap",TRUE)/100000000</f>
        <v>#VALUE!</v>
      </c>
      <c r="M10" s="351"/>
      <c r="N10" s="350" t="e" vm="9">
        <f t="array" ref="N10">_FV(C10,"Description")</f>
        <v>#VALUE!</v>
      </c>
      <c r="P10" s="349">
        <v>806000</v>
      </c>
      <c r="Q10" s="362" t="e" vm="10">
        <f t="shared" si="0"/>
        <v>#VALUE!</v>
      </c>
    </row>
    <row r="11" spans="2:17" x14ac:dyDescent="0.4">
      <c r="C11" s="355" t="e">
        <v>#VALUE!</v>
      </c>
      <c r="D11" s="351" t="e" vm="1">
        <f t="array" ref="D11">_FV(C11,"Official name",TRUE)</f>
        <v>#VALUE!</v>
      </c>
      <c r="E11" s="352" t="e" vm="2">
        <f t="array" ref="E11">_FV(C11,"Price")</f>
        <v>#VALUE!</v>
      </c>
      <c r="F11" s="354" t="e" vm="3">
        <f t="array" ref="F11">_FV(C11,"Change (%)",TRUE)</f>
        <v>#VALUE!</v>
      </c>
      <c r="G11" s="352" t="e" vm="4">
        <f t="array" ref="G11">_FV(C11,"Low")</f>
        <v>#VALUE!</v>
      </c>
      <c r="H11" s="352" t="e" vm="5">
        <f t="array" ref="H11">_FV(C11,"High")</f>
        <v>#VALUE!</v>
      </c>
      <c r="I11" s="353" t="e" vm="6">
        <f t="array" ref="I11">_FV(C11,"52 week low",TRUE)</f>
        <v>#VALUE!</v>
      </c>
      <c r="J11" s="353" t="e" vm="7">
        <f t="array" ref="J11">_FV(C11,"52 week high",TRUE)</f>
        <v>#VALUE!</v>
      </c>
      <c r="K11" s="351"/>
      <c r="L11" s="352" t="e" vm="8">
        <f t="array" ref="L11">_FV(C11,"Market cap",TRUE)/100000000</f>
        <v>#VALUE!</v>
      </c>
      <c r="M11" s="351"/>
      <c r="N11" s="350" t="e" vm="9">
        <f t="array" ref="N11">_FV(C11,"Description")</f>
        <v>#VALUE!</v>
      </c>
      <c r="P11" s="349">
        <v>2547500</v>
      </c>
      <c r="Q11" s="362" t="e" vm="10">
        <f t="shared" si="0"/>
        <v>#VALUE!</v>
      </c>
    </row>
    <row r="12" spans="2:17" x14ac:dyDescent="0.4">
      <c r="C12" s="355" t="e">
        <v>#VALUE!</v>
      </c>
      <c r="D12" s="351" t="e" vm="1">
        <f t="array" ref="D12">_FV(C12,"Official name",TRUE)</f>
        <v>#VALUE!</v>
      </c>
      <c r="E12" s="352" t="e" vm="2">
        <f t="array" ref="E12">_FV(C12,"Price")</f>
        <v>#VALUE!</v>
      </c>
      <c r="F12" s="354" t="e" vm="3">
        <f t="array" ref="F12">_FV(C12,"Change (%)",TRUE)</f>
        <v>#VALUE!</v>
      </c>
      <c r="G12" s="352" t="e" vm="4">
        <f t="array" ref="G12">_FV(C12,"Low")</f>
        <v>#VALUE!</v>
      </c>
      <c r="H12" s="352" t="e" vm="5">
        <f t="array" ref="H12">_FV(C12,"High")</f>
        <v>#VALUE!</v>
      </c>
      <c r="I12" s="353" t="e" vm="6">
        <f t="array" ref="I12">_FV(C12,"52 week low",TRUE)</f>
        <v>#VALUE!</v>
      </c>
      <c r="J12" s="353" t="e" vm="7">
        <f t="array" ref="J12">_FV(C12,"52 week high",TRUE)</f>
        <v>#VALUE!</v>
      </c>
      <c r="K12" s="351"/>
      <c r="L12" s="352" t="e" vm="8">
        <f t="array" ref="L12">_FV(C12,"Market cap",TRUE)/100000000</f>
        <v>#VALUE!</v>
      </c>
      <c r="M12" s="351"/>
      <c r="N12" s="350" t="e" vm="9">
        <f t="array" ref="N12">_FV(C12,"Description")</f>
        <v>#VALUE!</v>
      </c>
      <c r="P12" s="349">
        <v>22362</v>
      </c>
      <c r="Q12" s="362" t="e" vm="10">
        <f t="shared" si="0"/>
        <v>#VALUE!</v>
      </c>
    </row>
    <row r="13" spans="2:17" x14ac:dyDescent="0.4">
      <c r="C13" s="355" t="e">
        <v>#VALUE!</v>
      </c>
      <c r="D13" s="351" t="e" vm="1">
        <f t="array" ref="D13">_FV(C13,"Official name",TRUE)</f>
        <v>#VALUE!</v>
      </c>
      <c r="E13" s="352" t="e" vm="2">
        <f t="array" ref="E13">_FV(C13,"Price")</f>
        <v>#VALUE!</v>
      </c>
      <c r="F13" s="354" t="e" vm="3">
        <f t="array" ref="F13">_FV(C13,"Change (%)",TRUE)</f>
        <v>#VALUE!</v>
      </c>
      <c r="G13" s="352" t="e" vm="4">
        <f t="array" ref="G13">_FV(C13,"Low")</f>
        <v>#VALUE!</v>
      </c>
      <c r="H13" s="352" t="e" vm="5">
        <f t="array" ref="H13">_FV(C13,"High")</f>
        <v>#VALUE!</v>
      </c>
      <c r="I13" s="353" t="e" vm="6">
        <f t="array" ref="I13">_FV(C13,"52 week low",TRUE)</f>
        <v>#VALUE!</v>
      </c>
      <c r="J13" s="353" t="e" vm="7">
        <f t="array" ref="J13">_FV(C13,"52 week high",TRUE)</f>
        <v>#VALUE!</v>
      </c>
      <c r="K13" s="351"/>
      <c r="L13" s="352" t="e" vm="8">
        <f t="array" ref="L13">_FV(C13,"Market cap",TRUE)/100000000</f>
        <v>#VALUE!</v>
      </c>
      <c r="M13" s="351"/>
      <c r="N13" s="350" t="e" vm="9">
        <f t="array" ref="N13">_FV(C13,"Description")</f>
        <v>#VALUE!</v>
      </c>
      <c r="P13" s="349">
        <v>44400</v>
      </c>
      <c r="Q13" s="362" t="e" vm="10">
        <f t="shared" si="0"/>
        <v>#VALUE!</v>
      </c>
    </row>
    <row r="14" spans="2:17" x14ac:dyDescent="0.4">
      <c r="C14" s="355" t="e">
        <v>#VALUE!</v>
      </c>
      <c r="D14" s="351" t="e" vm="1">
        <f t="array" ref="D14">_FV(C14,"Official name",TRUE)</f>
        <v>#VALUE!</v>
      </c>
      <c r="E14" s="352" t="e" vm="2">
        <f t="array" ref="E14">_FV(C14,"Price")</f>
        <v>#VALUE!</v>
      </c>
      <c r="F14" s="354" t="e" vm="3">
        <f t="array" ref="F14">_FV(C14,"Change (%)",TRUE)</f>
        <v>#VALUE!</v>
      </c>
      <c r="G14" s="352" t="e" vm="4">
        <f t="array" ref="G14">_FV(C14,"Low")</f>
        <v>#VALUE!</v>
      </c>
      <c r="H14" s="352" t="e" vm="5">
        <f t="array" ref="H14">_FV(C14,"High")</f>
        <v>#VALUE!</v>
      </c>
      <c r="I14" s="353" t="e" vm="6">
        <f t="array" ref="I14">_FV(C14,"52 week low",TRUE)</f>
        <v>#VALUE!</v>
      </c>
      <c r="J14" s="353" t="e" vm="7">
        <f t="array" ref="J14">_FV(C14,"52 week high",TRUE)</f>
        <v>#VALUE!</v>
      </c>
      <c r="K14" s="351"/>
      <c r="L14" s="352" t="e" vm="8">
        <f t="array" ref="L14">_FV(C14,"Market cap",TRUE)/100000000</f>
        <v>#VALUE!</v>
      </c>
      <c r="M14" s="351"/>
      <c r="N14" s="350" t="e" vm="9">
        <f t="array" ref="N14">_FV(C14,"Description")</f>
        <v>#VALUE!</v>
      </c>
      <c r="P14" s="349">
        <v>5544</v>
      </c>
      <c r="Q14" s="362" t="e" vm="10">
        <f t="shared" si="0"/>
        <v>#VALUE!</v>
      </c>
    </row>
    <row r="15" spans="2:17" x14ac:dyDescent="0.4">
      <c r="B15" s="336">
        <v>89600</v>
      </c>
      <c r="C15" s="355" t="e">
        <v>#VALUE!</v>
      </c>
      <c r="D15" s="351" t="e" vm="1">
        <f t="array" ref="D15">_FV(C15,"Official name",TRUE)</f>
        <v>#VALUE!</v>
      </c>
      <c r="E15" s="352" t="e" vm="2">
        <f t="array" ref="E15">_FV(C15,"Price")</f>
        <v>#VALUE!</v>
      </c>
      <c r="F15" s="354" t="e" vm="3">
        <f t="array" ref="F15">_FV(C15,"Change (%)",TRUE)</f>
        <v>#VALUE!</v>
      </c>
      <c r="G15" s="352" t="e" vm="4">
        <f t="array" ref="G15">_FV(C15,"Low")</f>
        <v>#VALUE!</v>
      </c>
      <c r="H15" s="352" t="e" vm="5">
        <f t="array" ref="H15">_FV(C15,"High")</f>
        <v>#VALUE!</v>
      </c>
      <c r="I15" s="353" t="e" vm="6">
        <f t="array" ref="I15">_FV(C15,"52 week low",TRUE)</f>
        <v>#VALUE!</v>
      </c>
      <c r="J15" s="353" t="e" vm="7">
        <f t="array" ref="J15">_FV(C15,"52 week high",TRUE)</f>
        <v>#VALUE!</v>
      </c>
      <c r="K15" s="351"/>
      <c r="L15" s="352" t="e" vm="8">
        <f t="array" ref="L15">_FV(C15,"Market cap",TRUE)/100000000</f>
        <v>#VALUE!</v>
      </c>
      <c r="M15" s="351"/>
      <c r="N15" s="350" t="e" vm="9">
        <f t="array" ref="N15">_FV(C15,"Description")</f>
        <v>#VALUE!</v>
      </c>
      <c r="P15" s="349">
        <v>80378</v>
      </c>
      <c r="Q15" s="362" t="e" vm="10">
        <f t="shared" si="0"/>
        <v>#VALUE!</v>
      </c>
    </row>
    <row r="16" spans="2:17" x14ac:dyDescent="0.4">
      <c r="C16" s="355" t="e">
        <v>#VALUE!</v>
      </c>
      <c r="D16" s="351" t="e" vm="1">
        <f t="array" ref="D16">_FV(C16,"Official name",TRUE)</f>
        <v>#VALUE!</v>
      </c>
      <c r="E16" s="352" t="e" vm="2">
        <f t="array" ref="E16">_FV(C16,"Price")</f>
        <v>#VALUE!</v>
      </c>
      <c r="F16" s="354" t="e" vm="3">
        <f t="array" ref="F16">_FV(C16,"Change (%)",TRUE)</f>
        <v>#VALUE!</v>
      </c>
      <c r="G16" s="352" t="e" vm="4">
        <f t="array" ref="G16">_FV(C16,"Low")</f>
        <v>#VALUE!</v>
      </c>
      <c r="H16" s="352" t="e" vm="5">
        <f t="array" ref="H16">_FV(C16,"High")</f>
        <v>#VALUE!</v>
      </c>
      <c r="I16" s="353" t="e" vm="6">
        <f t="array" ref="I16">_FV(C16,"52 week low",TRUE)</f>
        <v>#VALUE!</v>
      </c>
      <c r="J16" s="353" t="e" vm="7">
        <f t="array" ref="J16">_FV(C16,"52 week high",TRUE)</f>
        <v>#VALUE!</v>
      </c>
      <c r="K16" s="351"/>
      <c r="L16" s="352" t="e" vm="8">
        <f t="array" ref="L16">_FV(C16,"Market cap",TRUE)/100000000</f>
        <v>#VALUE!</v>
      </c>
      <c r="M16" s="351"/>
      <c r="N16" s="350" t="e" vm="9">
        <f t="array" ref="N16">_FV(C16,"Description")</f>
        <v>#VALUE!</v>
      </c>
      <c r="P16" s="349">
        <v>6103</v>
      </c>
      <c r="Q16" s="362" t="e" vm="10">
        <f t="shared" si="0"/>
        <v>#VALUE!</v>
      </c>
    </row>
    <row r="17" spans="3:17" x14ac:dyDescent="0.4">
      <c r="C17" s="355" t="e">
        <v>#VALUE!</v>
      </c>
      <c r="D17" s="351" t="e" vm="1">
        <f t="array" ref="D17">_FV(C17,"Official name",TRUE)</f>
        <v>#VALUE!</v>
      </c>
      <c r="E17" s="352" t="e" vm="2">
        <f t="array" ref="E17">_FV(C17,"Price")</f>
        <v>#VALUE!</v>
      </c>
      <c r="F17" s="354" t="e" vm="3">
        <f t="array" ref="F17">_FV(C17,"Change (%)",TRUE)</f>
        <v>#VALUE!</v>
      </c>
      <c r="G17" s="352" t="e" vm="4">
        <f t="array" ref="G17">_FV(C17,"Low")</f>
        <v>#VALUE!</v>
      </c>
      <c r="H17" s="352" t="e" vm="5">
        <f t="array" ref="H17">_FV(C17,"High")</f>
        <v>#VALUE!</v>
      </c>
      <c r="I17" s="353" t="e" vm="6">
        <f t="array" ref="I17">_FV(C17,"52 week low",TRUE)</f>
        <v>#VALUE!</v>
      </c>
      <c r="J17" s="353" t="e" vm="7">
        <f t="array" ref="J17">_FV(C17,"52 week high",TRUE)</f>
        <v>#VALUE!</v>
      </c>
      <c r="K17" s="351"/>
      <c r="L17" s="352" t="e" vm="8">
        <f t="array" ref="L17">_FV(C17,"Market cap",TRUE)/100000000</f>
        <v>#VALUE!</v>
      </c>
      <c r="M17" s="351"/>
      <c r="N17" s="350" t="e" vm="9">
        <f t="array" ref="N17">_FV(C17,"Description")</f>
        <v>#VALUE!</v>
      </c>
      <c r="P17" s="349">
        <v>95261</v>
      </c>
      <c r="Q17" s="362" t="e" vm="10">
        <f t="shared" si="0"/>
        <v>#VALUE!</v>
      </c>
    </row>
    <row r="18" spans="3:17" x14ac:dyDescent="0.4">
      <c r="C18" s="355" t="e">
        <v>#VALUE!</v>
      </c>
      <c r="D18" s="351" t="e" vm="1">
        <f t="array" ref="D18">_FV(C18,"Official name",TRUE)</f>
        <v>#VALUE!</v>
      </c>
      <c r="E18" s="352" t="e" vm="2">
        <f t="array" ref="E18">_FV(C18,"Price")</f>
        <v>#VALUE!</v>
      </c>
      <c r="F18" s="354" t="e" vm="3">
        <f t="array" ref="F18">_FV(C18,"Change (%)",TRUE)</f>
        <v>#VALUE!</v>
      </c>
      <c r="G18" s="352" t="e" vm="4">
        <f t="array" ref="G18">_FV(C18,"Low")</f>
        <v>#VALUE!</v>
      </c>
      <c r="H18" s="352" t="e" vm="5">
        <f t="array" ref="H18">_FV(C18,"High")</f>
        <v>#VALUE!</v>
      </c>
      <c r="I18" s="353" t="e" vm="6">
        <f t="array" ref="I18">_FV(C18,"52 week low",TRUE)</f>
        <v>#VALUE!</v>
      </c>
      <c r="J18" s="353" t="e" vm="7">
        <f t="array" ref="J18">_FV(C18,"52 week high",TRUE)</f>
        <v>#VALUE!</v>
      </c>
      <c r="K18" s="351"/>
      <c r="L18" s="352" t="e" vm="8">
        <f t="array" ref="L18">_FV(C18,"Market cap",TRUE)/100000000</f>
        <v>#VALUE!</v>
      </c>
      <c r="M18" s="351"/>
      <c r="N18" s="350" t="e" vm="9">
        <f t="array" ref="N18">_FV(C18,"Description")</f>
        <v>#VALUE!</v>
      </c>
      <c r="P18" s="349">
        <v>13159</v>
      </c>
      <c r="Q18" s="362" t="e" vm="10">
        <f t="shared" si="0"/>
        <v>#VALUE!</v>
      </c>
    </row>
    <row r="19" spans="3:17" x14ac:dyDescent="0.4">
      <c r="C19" s="355" t="e">
        <v>#VALUE!</v>
      </c>
      <c r="D19" s="351" t="e" vm="1">
        <f t="array" ref="D19">_FV(C19,"Official name",TRUE)</f>
        <v>#VALUE!</v>
      </c>
      <c r="E19" s="352" t="e" vm="2">
        <f t="array" ref="E19">_FV(C19,"Price")</f>
        <v>#VALUE!</v>
      </c>
      <c r="F19" s="354" t="e" vm="3">
        <f t="array" ref="F19">_FV(C19,"Change (%)",TRUE)</f>
        <v>#VALUE!</v>
      </c>
      <c r="G19" s="352" t="e" vm="4">
        <f t="array" ref="G19">_FV(C19,"Low")</f>
        <v>#VALUE!</v>
      </c>
      <c r="H19" s="352" t="e" vm="5">
        <f t="array" ref="H19">_FV(C19,"High")</f>
        <v>#VALUE!</v>
      </c>
      <c r="I19" s="353" t="e" vm="6">
        <f t="array" ref="I19">_FV(C19,"52 week low",TRUE)</f>
        <v>#VALUE!</v>
      </c>
      <c r="J19" s="353" t="e" vm="7">
        <f t="array" ref="J19">_FV(C19,"52 week high",TRUE)</f>
        <v>#VALUE!</v>
      </c>
      <c r="K19" s="351"/>
      <c r="L19" s="352" t="e" vm="8">
        <f t="array" ref="L19">_FV(C19,"Market cap",TRUE)/100000000</f>
        <v>#VALUE!</v>
      </c>
      <c r="M19" s="351"/>
      <c r="N19" s="350" t="e" vm="9">
        <f t="array" ref="N19">_FV(C19,"Description")</f>
        <v>#VALUE!</v>
      </c>
      <c r="P19" s="349">
        <v>9552</v>
      </c>
      <c r="Q19" s="362" t="e" vm="10">
        <f t="shared" si="0"/>
        <v>#VALUE!</v>
      </c>
    </row>
    <row r="20" spans="3:17" x14ac:dyDescent="0.4">
      <c r="C20" s="355" t="e">
        <v>#VALUE!</v>
      </c>
      <c r="D20" s="351" t="e" vm="1">
        <f t="array" ref="D20">_FV(C20,"Official name",TRUE)</f>
        <v>#VALUE!</v>
      </c>
      <c r="E20" s="352" t="e" vm="2">
        <f t="array" ref="E20">_FV(C20,"Price")</f>
        <v>#VALUE!</v>
      </c>
      <c r="F20" s="354" t="e" vm="3">
        <f t="array" ref="F20">_FV(C20,"Change (%)",TRUE)</f>
        <v>#VALUE!</v>
      </c>
      <c r="G20" s="352" t="e" vm="4">
        <f t="array" ref="G20">_FV(C20,"Low")</f>
        <v>#VALUE!</v>
      </c>
      <c r="H20" s="352" t="e" vm="5">
        <f t="array" ref="H20">_FV(C20,"High")</f>
        <v>#VALUE!</v>
      </c>
      <c r="I20" s="353" t="e" vm="6">
        <f t="array" ref="I20">_FV(C20,"52 week low",TRUE)</f>
        <v>#VALUE!</v>
      </c>
      <c r="J20" s="353" t="e" vm="7">
        <f t="array" ref="J20">_FV(C20,"52 week high",TRUE)</f>
        <v>#VALUE!</v>
      </c>
      <c r="K20" s="351"/>
      <c r="L20" s="352" t="e" vm="8">
        <f t="array" ref="L20">_FV(C20,"Market cap",TRUE)/100000000</f>
        <v>#VALUE!</v>
      </c>
      <c r="M20" s="351"/>
      <c r="N20" s="350" t="e" vm="9">
        <f t="array" ref="N20">_FV(C20,"Description")</f>
        <v>#VALUE!</v>
      </c>
      <c r="P20" s="349">
        <v>18023</v>
      </c>
      <c r="Q20" s="362" t="e" vm="10">
        <f t="shared" si="0"/>
        <v>#VALUE!</v>
      </c>
    </row>
    <row r="21" spans="3:17" x14ac:dyDescent="0.4">
      <c r="C21" s="355" t="e">
        <v>#VALUE!</v>
      </c>
      <c r="D21" s="351" t="e" vm="1">
        <f t="array" ref="D21">_FV(C21,"Official name",TRUE)</f>
        <v>#VALUE!</v>
      </c>
      <c r="E21" s="352" t="e" vm="2">
        <f t="array" ref="E21">_FV(C21,"Price")</f>
        <v>#VALUE!</v>
      </c>
      <c r="F21" s="354" t="e" vm="3">
        <f t="array" ref="F21">_FV(C21,"Change (%)",TRUE)</f>
        <v>#VALUE!</v>
      </c>
      <c r="G21" s="352" t="e" vm="4">
        <f t="array" ref="G21">_FV(C21,"Low")</f>
        <v>#VALUE!</v>
      </c>
      <c r="H21" s="352" t="e" vm="5">
        <f t="array" ref="H21">_FV(C21,"High")</f>
        <v>#VALUE!</v>
      </c>
      <c r="I21" s="353" t="e" vm="6">
        <f t="array" ref="I21">_FV(C21,"52 week low",TRUE)</f>
        <v>#VALUE!</v>
      </c>
      <c r="J21" s="353" t="e" vm="7">
        <f t="array" ref="J21">_FV(C21,"52 week high",TRUE)</f>
        <v>#VALUE!</v>
      </c>
      <c r="K21" s="351"/>
      <c r="L21" s="352" t="e" vm="8">
        <f t="array" ref="L21">_FV(C21,"Market cap",TRUE)/100000000</f>
        <v>#VALUE!</v>
      </c>
      <c r="M21" s="351"/>
      <c r="N21" s="350" t="e" vm="9">
        <f t="array" ref="N21">_FV(C21,"Description")</f>
        <v>#VALUE!</v>
      </c>
      <c r="P21" s="349">
        <v>120195</v>
      </c>
      <c r="Q21" s="362" t="e" vm="10">
        <f t="shared" si="0"/>
        <v>#VALUE!</v>
      </c>
    </row>
    <row r="22" spans="3:17" x14ac:dyDescent="0.4">
      <c r="C22" s="355" t="e">
        <v>#VALUE!</v>
      </c>
      <c r="D22" s="351" t="e" vm="1">
        <f t="array" ref="D22">_FV(C22,"Official name",TRUE)</f>
        <v>#VALUE!</v>
      </c>
      <c r="E22" s="352" t="e" vm="2">
        <f t="array" ref="E22">_FV(C22,"Price")</f>
        <v>#VALUE!</v>
      </c>
      <c r="F22" s="354" t="e" vm="3">
        <f t="array" ref="F22">_FV(C22,"Change (%)",TRUE)</f>
        <v>#VALUE!</v>
      </c>
      <c r="G22" s="352" t="e" vm="4">
        <f t="array" ref="G22">_FV(C22,"Low")</f>
        <v>#VALUE!</v>
      </c>
      <c r="H22" s="352" t="e" vm="5">
        <f t="array" ref="H22">_FV(C22,"High")</f>
        <v>#VALUE!</v>
      </c>
      <c r="I22" s="353" t="e" vm="6">
        <f t="array" ref="I22">_FV(C22,"52 week low",TRUE)</f>
        <v>#VALUE!</v>
      </c>
      <c r="J22" s="353" t="e" vm="7">
        <f t="array" ref="J22">_FV(C22,"52 week high",TRUE)</f>
        <v>#VALUE!</v>
      </c>
      <c r="K22" s="351"/>
      <c r="L22" s="352" t="e" vm="8">
        <f t="array" ref="L22">_FV(C22,"Market cap",TRUE)/100000000</f>
        <v>#VALUE!</v>
      </c>
      <c r="M22" s="351"/>
      <c r="N22" s="350" t="e" vm="9">
        <f t="array" ref="N22">_FV(C22,"Description")</f>
        <v>#VALUE!</v>
      </c>
      <c r="P22" s="349">
        <v>259604</v>
      </c>
      <c r="Q22" s="362" t="e" vm="10">
        <f t="shared" si="0"/>
        <v>#VALUE!</v>
      </c>
    </row>
    <row r="23" spans="3:17" x14ac:dyDescent="0.4">
      <c r="C23" s="355" t="e">
        <v>#VALUE!</v>
      </c>
      <c r="D23" s="351" t="e" vm="1">
        <f t="array" ref="D23">_FV(C23,"Official name",TRUE)</f>
        <v>#VALUE!</v>
      </c>
      <c r="E23" s="352" t="e" vm="2">
        <f t="array" ref="E23">_FV(C23,"Price")</f>
        <v>#VALUE!</v>
      </c>
      <c r="F23" s="354" t="e" vm="3">
        <f t="array" ref="F23">_FV(C23,"Change (%)",TRUE)</f>
        <v>#VALUE!</v>
      </c>
      <c r="G23" s="352" t="e" vm="4">
        <f t="array" ref="G23">_FV(C23,"Low")</f>
        <v>#VALUE!</v>
      </c>
      <c r="H23" s="352" t="e" vm="5">
        <f t="array" ref="H23">_FV(C23,"High")</f>
        <v>#VALUE!</v>
      </c>
      <c r="I23" s="353" t="e" vm="6">
        <f t="array" ref="I23">_FV(C23,"52 week low",TRUE)</f>
        <v>#VALUE!</v>
      </c>
      <c r="J23" s="353" t="e" vm="7">
        <f t="array" ref="J23">_FV(C23,"52 week high",TRUE)</f>
        <v>#VALUE!</v>
      </c>
      <c r="K23" s="351"/>
      <c r="L23" s="352" t="e" vm="8">
        <f t="array" ref="L23">_FV(C23,"Market cap",TRUE)/100000000</f>
        <v>#VALUE!</v>
      </c>
      <c r="M23" s="351"/>
      <c r="N23" s="350" t="e" vm="9">
        <f t="array" ref="N23">_FV(C23,"Description")</f>
        <v>#VALUE!</v>
      </c>
      <c r="P23" s="349">
        <v>19397</v>
      </c>
      <c r="Q23" s="362" t="e" vm="10">
        <f t="shared" si="0"/>
        <v>#VALUE!</v>
      </c>
    </row>
    <row r="24" spans="3:17" x14ac:dyDescent="0.4">
      <c r="C24" s="355" t="e">
        <v>#VALUE!</v>
      </c>
      <c r="D24" s="351" t="e" vm="1">
        <f t="array" ref="D24">_FV(C24,"Official name",TRUE)</f>
        <v>#VALUE!</v>
      </c>
      <c r="E24" s="352" t="e" vm="2">
        <f t="array" ref="E24">_FV(C24,"Price")</f>
        <v>#VALUE!</v>
      </c>
      <c r="F24" s="354" t="e" vm="3">
        <f t="array" ref="F24">_FV(C24,"Change (%)",TRUE)</f>
        <v>#VALUE!</v>
      </c>
      <c r="G24" s="352" t="e" vm="4">
        <f t="array" ref="G24">_FV(C24,"Low")</f>
        <v>#VALUE!</v>
      </c>
      <c r="H24" s="352" t="e" vm="5">
        <f t="array" ref="H24">_FV(C24,"High")</f>
        <v>#VALUE!</v>
      </c>
      <c r="I24" s="353" t="e" vm="6">
        <f t="array" ref="I24">_FV(C24,"52 week low",TRUE)</f>
        <v>#VALUE!</v>
      </c>
      <c r="J24" s="353" t="e" vm="7">
        <f t="array" ref="J24">_FV(C24,"52 week high",TRUE)</f>
        <v>#VALUE!</v>
      </c>
      <c r="K24" s="351"/>
      <c r="L24" s="352" t="e" vm="8">
        <f t="array" ref="L24">_FV(C24,"Market cap",TRUE)/100000000</f>
        <v>#VALUE!</v>
      </c>
      <c r="M24" s="351"/>
      <c r="N24" s="350" t="e" vm="9">
        <f t="array" ref="N24">_FV(C24,"Description")</f>
        <v>#VALUE!</v>
      </c>
      <c r="P24" s="349">
        <v>5124</v>
      </c>
      <c r="Q24" s="362" t="e" vm="10">
        <f t="shared" si="0"/>
        <v>#VALUE!</v>
      </c>
    </row>
    <row r="25" spans="3:17" x14ac:dyDescent="0.4">
      <c r="C25" s="355" t="e">
        <v>#VALUE!</v>
      </c>
      <c r="D25" s="351" t="e" vm="1">
        <f t="array" ref="D25">_FV(C25,"Official name",TRUE)</f>
        <v>#VALUE!</v>
      </c>
      <c r="E25" s="352" t="e" vm="2">
        <f t="array" ref="E25">_FV(C25,"Price")</f>
        <v>#VALUE!</v>
      </c>
      <c r="F25" s="354" t="e" vm="3">
        <f t="array" ref="F25">_FV(C25,"Change (%)",TRUE)</f>
        <v>#VALUE!</v>
      </c>
      <c r="G25" s="352" t="e" vm="4">
        <f t="array" ref="G25">_FV(C25,"Low")</f>
        <v>#VALUE!</v>
      </c>
      <c r="H25" s="352" t="e" vm="5">
        <f t="array" ref="H25">_FV(C25,"High")</f>
        <v>#VALUE!</v>
      </c>
      <c r="I25" s="353" t="e" vm="6">
        <f t="array" ref="I25">_FV(C25,"52 week low",TRUE)</f>
        <v>#VALUE!</v>
      </c>
      <c r="J25" s="353" t="e" vm="7">
        <f t="array" ref="J25">_FV(C25,"52 week high",TRUE)</f>
        <v>#VALUE!</v>
      </c>
      <c r="K25" s="351"/>
      <c r="L25" s="352" t="e" vm="8">
        <f t="array" ref="L25">_FV(C25,"Market cap",TRUE)/100000000</f>
        <v>#VALUE!</v>
      </c>
      <c r="M25" s="351"/>
      <c r="N25" s="350" t="e" vm="9">
        <f t="array" ref="N25">_FV(C25,"Description")</f>
        <v>#VALUE!</v>
      </c>
      <c r="P25" s="349">
        <v>38285</v>
      </c>
      <c r="Q25" s="362" t="e" vm="10">
        <f t="shared" si="0"/>
        <v>#VALUE!</v>
      </c>
    </row>
    <row r="26" spans="3:17" x14ac:dyDescent="0.4">
      <c r="C26" s="355" t="e">
        <v>#VALUE!</v>
      </c>
      <c r="D26" s="351" t="e" vm="1">
        <f t="array" ref="D26">_FV(C26,"Official name",TRUE)</f>
        <v>#VALUE!</v>
      </c>
      <c r="E26" s="352" t="e" vm="2">
        <f t="array" ref="E26">_FV(C26,"Price")</f>
        <v>#VALUE!</v>
      </c>
      <c r="F26" s="354" t="e" vm="3">
        <f t="array" ref="F26">_FV(C26,"Change (%)",TRUE)</f>
        <v>#VALUE!</v>
      </c>
      <c r="G26" s="352" t="e" vm="4">
        <f t="array" ref="G26">_FV(C26,"Low")</f>
        <v>#VALUE!</v>
      </c>
      <c r="H26" s="352" t="e" vm="5">
        <f t="array" ref="H26">_FV(C26,"High")</f>
        <v>#VALUE!</v>
      </c>
      <c r="I26" s="353" t="e" vm="6">
        <f t="array" ref="I26">_FV(C26,"52 week low",TRUE)</f>
        <v>#VALUE!</v>
      </c>
      <c r="J26" s="353" t="e" vm="7">
        <f t="array" ref="J26">_FV(C26,"52 week high",TRUE)</f>
        <v>#VALUE!</v>
      </c>
      <c r="K26" s="351"/>
      <c r="L26" s="352" t="e" vm="8">
        <f t="array" ref="L26">_FV(C26,"Market cap",TRUE)/100000000</f>
        <v>#VALUE!</v>
      </c>
      <c r="M26" s="351"/>
      <c r="N26" s="350" t="e" vm="9">
        <f t="array" ref="N26">_FV(C26,"Description")</f>
        <v>#VALUE!</v>
      </c>
      <c r="P26" s="349">
        <v>172682</v>
      </c>
      <c r="Q26" s="362" t="e" vm="10">
        <f t="shared" si="0"/>
        <v>#VALUE!</v>
      </c>
    </row>
    <row r="27" spans="3:17" x14ac:dyDescent="0.4">
      <c r="C27" s="355" t="e">
        <v>#VALUE!</v>
      </c>
      <c r="D27" s="351" t="e" vm="1">
        <f t="array" ref="D27">_FV(C27,"Official name",TRUE)</f>
        <v>#VALUE!</v>
      </c>
      <c r="E27" s="352" t="e" vm="2">
        <f t="array" ref="E27">_FV(C27,"Price")</f>
        <v>#VALUE!</v>
      </c>
      <c r="F27" s="354" t="e" vm="3">
        <f t="array" ref="F27">_FV(C27,"Change (%)",TRUE)</f>
        <v>#VALUE!</v>
      </c>
      <c r="G27" s="352" t="e" vm="4">
        <f t="array" ref="G27">_FV(C27,"Low")</f>
        <v>#VALUE!</v>
      </c>
      <c r="H27" s="352" t="e" vm="5">
        <f t="array" ref="H27">_FV(C27,"High")</f>
        <v>#VALUE!</v>
      </c>
      <c r="I27" s="353" t="e" vm="6">
        <f t="array" ref="I27">_FV(C27,"52 week low",TRUE)</f>
        <v>#VALUE!</v>
      </c>
      <c r="J27" s="353" t="e" vm="7">
        <f t="array" ref="J27">_FV(C27,"52 week high",TRUE)</f>
        <v>#VALUE!</v>
      </c>
      <c r="K27" s="351"/>
      <c r="L27" s="352" t="e" vm="8">
        <f t="array" ref="L27">_FV(C27,"Market cap",TRUE)/100000000</f>
        <v>#VALUE!</v>
      </c>
      <c r="M27" s="351"/>
      <c r="N27" s="350" t="e" vm="9">
        <f t="array" ref="N27">_FV(C27,"Description")</f>
        <v>#VALUE!</v>
      </c>
      <c r="P27" s="349">
        <v>7265</v>
      </c>
      <c r="Q27" s="362" t="e" vm="10">
        <f t="shared" si="0"/>
        <v>#VALUE!</v>
      </c>
    </row>
    <row r="28" spans="3:17" x14ac:dyDescent="0.4">
      <c r="C28" s="355" t="e">
        <v>#VALUE!</v>
      </c>
      <c r="D28" s="351" t="e" vm="1">
        <f t="array" ref="D28">_FV(C28,"Official name",TRUE)</f>
        <v>#VALUE!</v>
      </c>
      <c r="E28" s="352" t="e" vm="2">
        <f t="array" ref="E28">_FV(C28,"Price")</f>
        <v>#VALUE!</v>
      </c>
      <c r="F28" s="354" t="e" vm="3">
        <f t="array" ref="F28">_FV(C28,"Change (%)",TRUE)</f>
        <v>#VALUE!</v>
      </c>
      <c r="G28" s="352" t="e" vm="4">
        <f t="array" ref="G28">_FV(C28,"Low")</f>
        <v>#VALUE!</v>
      </c>
      <c r="H28" s="352" t="e" vm="5">
        <f t="array" ref="H28">_FV(C28,"High")</f>
        <v>#VALUE!</v>
      </c>
      <c r="I28" s="353" t="e" vm="6">
        <f t="array" ref="I28">_FV(C28,"52 week low",TRUE)</f>
        <v>#VALUE!</v>
      </c>
      <c r="J28" s="353" t="e" vm="7">
        <f t="array" ref="J28">_FV(C28,"52 week high",TRUE)</f>
        <v>#VALUE!</v>
      </c>
      <c r="K28" s="351"/>
      <c r="L28" s="352" t="e" vm="8">
        <f t="array" ref="L28">_FV(C28,"Market cap",TRUE)/100000000</f>
        <v>#VALUE!</v>
      </c>
      <c r="M28" s="351"/>
      <c r="N28" s="350" t="e" vm="9">
        <f t="array" ref="N28">_FV(C28,"Description")</f>
        <v>#VALUE!</v>
      </c>
      <c r="P28" s="349">
        <v>5876</v>
      </c>
      <c r="Q28" s="362" t="e" vm="10">
        <f t="shared" si="0"/>
        <v>#VALUE!</v>
      </c>
    </row>
    <row r="29" spans="3:17" x14ac:dyDescent="0.4">
      <c r="C29" s="355" t="e">
        <v>#VALUE!</v>
      </c>
      <c r="D29" s="351" t="e" vm="1">
        <f t="array" ref="D29">_FV(C29,"Official name",TRUE)</f>
        <v>#VALUE!</v>
      </c>
      <c r="E29" s="352" t="e" vm="2">
        <f t="array" ref="E29">_FV(C29,"Price")</f>
        <v>#VALUE!</v>
      </c>
      <c r="F29" s="354" t="e" vm="3">
        <f t="array" ref="F29">_FV(C29,"Change (%)",TRUE)</f>
        <v>#VALUE!</v>
      </c>
      <c r="G29" s="352" t="e" vm="4">
        <f t="array" ref="G29">_FV(C29,"Low")</f>
        <v>#VALUE!</v>
      </c>
      <c r="H29" s="352" t="e" vm="5">
        <f t="array" ref="H29">_FV(C29,"High")</f>
        <v>#VALUE!</v>
      </c>
      <c r="I29" s="353" t="e" vm="6">
        <f t="array" ref="I29">_FV(C29,"52 week low",TRUE)</f>
        <v>#VALUE!</v>
      </c>
      <c r="J29" s="353" t="e" vm="7">
        <f t="array" ref="J29">_FV(C29,"52 week high",TRUE)</f>
        <v>#VALUE!</v>
      </c>
      <c r="K29" s="351"/>
      <c r="L29" s="352" t="e" vm="8">
        <f t="array" ref="L29">_FV(C29,"Market cap",TRUE)/100000000</f>
        <v>#VALUE!</v>
      </c>
      <c r="M29" s="351"/>
      <c r="N29" s="350" t="e" vm="9">
        <f t="array" ref="N29">_FV(C29,"Description")</f>
        <v>#VALUE!</v>
      </c>
      <c r="P29" s="349">
        <v>40900</v>
      </c>
      <c r="Q29" s="362" t="e" vm="10">
        <f t="shared" si="0"/>
        <v>#VALUE!</v>
      </c>
    </row>
    <row r="30" spans="3:17" x14ac:dyDescent="0.4">
      <c r="C30" s="355" t="e">
        <v>#VALUE!</v>
      </c>
      <c r="D30" s="351" t="e" vm="1">
        <f t="array" ref="D30">_FV(C30,"Official name",TRUE)</f>
        <v>#VALUE!</v>
      </c>
      <c r="E30" s="352" t="e" vm="2">
        <f t="array" ref="E30">_FV(C30,"Price")</f>
        <v>#VALUE!</v>
      </c>
      <c r="F30" s="354" t="e" vm="3">
        <f t="array" ref="F30">_FV(C30,"Change (%)",TRUE)</f>
        <v>#VALUE!</v>
      </c>
      <c r="G30" s="352" t="e" vm="4">
        <f t="array" ref="G30">_FV(C30,"Low")</f>
        <v>#VALUE!</v>
      </c>
      <c r="H30" s="352" t="e" vm="5">
        <f t="array" ref="H30">_FV(C30,"High")</f>
        <v>#VALUE!</v>
      </c>
      <c r="I30" s="353" t="e" vm="6">
        <f t="array" ref="I30">_FV(C30,"52 week low",TRUE)</f>
        <v>#VALUE!</v>
      </c>
      <c r="J30" s="353" t="e" vm="7">
        <f t="array" ref="J30">_FV(C30,"52 week high",TRUE)</f>
        <v>#VALUE!</v>
      </c>
      <c r="K30" s="351"/>
      <c r="L30" s="352" t="e" vm="8">
        <f t="array" ref="L30">_FV(C30,"Market cap",TRUE)/100000000</f>
        <v>#VALUE!</v>
      </c>
      <c r="M30" s="351"/>
      <c r="N30" s="350" t="e" vm="9">
        <f t="array" ref="N30">_FV(C30,"Description")</f>
        <v>#VALUE!</v>
      </c>
      <c r="P30" s="349">
        <v>6284</v>
      </c>
      <c r="Q30" s="362" t="e" vm="10">
        <f t="shared" si="0"/>
        <v>#VALUE!</v>
      </c>
    </row>
    <row r="31" spans="3:17" x14ac:dyDescent="0.4">
      <c r="C31" s="355" t="e">
        <v>#VALUE!</v>
      </c>
      <c r="D31" s="351" t="e" vm="1">
        <f t="array" ref="D31">_FV(C31,"Official name",TRUE)</f>
        <v>#VALUE!</v>
      </c>
      <c r="E31" s="352" t="e" vm="2">
        <f t="array" ref="E31">_FV(C31,"Price")</f>
        <v>#VALUE!</v>
      </c>
      <c r="F31" s="354" t="e" vm="3">
        <f t="array" ref="F31">_FV(C31,"Change (%)",TRUE)</f>
        <v>#VALUE!</v>
      </c>
      <c r="G31" s="352" t="e" vm="4">
        <f t="array" ref="G31">_FV(C31,"Low")</f>
        <v>#VALUE!</v>
      </c>
      <c r="H31" s="352" t="e" vm="5">
        <f t="array" ref="H31">_FV(C31,"High")</f>
        <v>#VALUE!</v>
      </c>
      <c r="I31" s="353" t="e" vm="6">
        <f t="array" ref="I31">_FV(C31,"52 week low",TRUE)</f>
        <v>#VALUE!</v>
      </c>
      <c r="J31" s="353" t="e" vm="7">
        <f t="array" ref="J31">_FV(C31,"52 week high",TRUE)</f>
        <v>#VALUE!</v>
      </c>
      <c r="K31" s="351"/>
      <c r="L31" s="352" t="e" vm="8">
        <f t="array" ref="L31">_FV(C31,"Market cap",TRUE)/100000000</f>
        <v>#VALUE!</v>
      </c>
      <c r="M31" s="351"/>
      <c r="N31" s="350" t="e" vm="9">
        <f t="array" ref="N31">_FV(C31,"Description")</f>
        <v>#VALUE!</v>
      </c>
      <c r="P31" s="349">
        <v>34418</v>
      </c>
      <c r="Q31" s="362" t="e" vm="10">
        <f t="shared" si="0"/>
        <v>#VALUE!</v>
      </c>
    </row>
    <row r="32" spans="3:17" x14ac:dyDescent="0.4">
      <c r="C32" s="355" t="e">
        <v>#VALUE!</v>
      </c>
      <c r="D32" s="351" t="e" vm="1">
        <f t="array" ref="D32">_FV(C32,"Official name",TRUE)</f>
        <v>#VALUE!</v>
      </c>
      <c r="E32" s="352" t="e" vm="2">
        <f t="array" ref="E32">_FV(C32,"Price")</f>
        <v>#VALUE!</v>
      </c>
      <c r="F32" s="354" t="e" vm="3">
        <f t="array" ref="F32">_FV(C32,"Change (%)",TRUE)</f>
        <v>#VALUE!</v>
      </c>
      <c r="G32" s="352" t="e" vm="4">
        <f t="array" ref="G32">_FV(C32,"Low")</f>
        <v>#VALUE!</v>
      </c>
      <c r="H32" s="352" t="e" vm="5">
        <f t="array" ref="H32">_FV(C32,"High")</f>
        <v>#VALUE!</v>
      </c>
      <c r="I32" s="353" t="e" vm="6">
        <f t="array" ref="I32">_FV(C32,"52 week low",TRUE)</f>
        <v>#VALUE!</v>
      </c>
      <c r="J32" s="353" t="e" vm="7">
        <f t="array" ref="J32">_FV(C32,"52 week high",TRUE)</f>
        <v>#VALUE!</v>
      </c>
      <c r="K32" s="351"/>
      <c r="L32" s="352" t="e" vm="8">
        <f t="array" ref="L32">_FV(C32,"Market cap",TRUE)/100000000</f>
        <v>#VALUE!</v>
      </c>
      <c r="M32" s="351"/>
      <c r="N32" s="350" t="e" vm="9">
        <f t="array" ref="N32">_FV(C32,"Description")</f>
        <v>#VALUE!</v>
      </c>
      <c r="P32" s="349">
        <v>657200</v>
      </c>
      <c r="Q32" s="362" t="e" vm="10">
        <f t="shared" si="0"/>
        <v>#VALUE!</v>
      </c>
    </row>
    <row r="33" spans="2:17" x14ac:dyDescent="0.4">
      <c r="C33" s="355" t="e">
        <v>#VALUE!</v>
      </c>
      <c r="D33" s="351" t="e" vm="1">
        <f t="array" ref="D33">_FV(C33,"Official name",TRUE)</f>
        <v>#VALUE!</v>
      </c>
      <c r="E33" s="352" t="e" vm="2">
        <f t="array" ref="E33">_FV(C33,"Price")</f>
        <v>#VALUE!</v>
      </c>
      <c r="F33" s="354" t="e" vm="3">
        <f t="array" ref="F33">_FV(C33,"Change (%)",TRUE)</f>
        <v>#VALUE!</v>
      </c>
      <c r="G33" s="352" t="e" vm="4">
        <f t="array" ref="G33">_FV(C33,"Low")</f>
        <v>#VALUE!</v>
      </c>
      <c r="H33" s="352" t="e" vm="5">
        <f t="array" ref="H33">_FV(C33,"High")</f>
        <v>#VALUE!</v>
      </c>
      <c r="I33" s="353" t="e" vm="6">
        <f t="array" ref="I33">_FV(C33,"52 week low",TRUE)</f>
        <v>#VALUE!</v>
      </c>
      <c r="J33" s="353" t="e" vm="7">
        <f t="array" ref="J33">_FV(C33,"52 week high",TRUE)</f>
        <v>#VALUE!</v>
      </c>
      <c r="K33" s="351"/>
      <c r="L33" s="352" t="e" vm="8">
        <f t="array" ref="L33">_FV(C33,"Market cap",TRUE)/100000000</f>
        <v>#VALUE!</v>
      </c>
      <c r="M33" s="351"/>
      <c r="N33" s="350" t="e" vm="9">
        <f t="array" ref="N33">_FV(C33,"Description")</f>
        <v>#VALUE!</v>
      </c>
      <c r="P33" s="349">
        <v>12033</v>
      </c>
      <c r="Q33" s="362" t="e" vm="10">
        <f t="shared" si="0"/>
        <v>#VALUE!</v>
      </c>
    </row>
    <row r="34" spans="2:17" x14ac:dyDescent="0.4">
      <c r="C34" s="355" t="e">
        <v>#VALUE!</v>
      </c>
      <c r="D34" s="351" t="e" vm="1">
        <f t="array" ref="D34">_FV(C34,"Official name",TRUE)</f>
        <v>#VALUE!</v>
      </c>
      <c r="E34" s="352" t="e" vm="2">
        <f t="array" ref="E34">_FV(C34,"Price")</f>
        <v>#VALUE!</v>
      </c>
      <c r="F34" s="354" t="e" vm="3">
        <f t="array" ref="F34">_FV(C34,"Change (%)",TRUE)</f>
        <v>#VALUE!</v>
      </c>
      <c r="G34" s="352" t="e" vm="4">
        <f t="array" ref="G34">_FV(C34,"Low")</f>
        <v>#VALUE!</v>
      </c>
      <c r="H34" s="352" t="e" vm="5">
        <f t="array" ref="H34">_FV(C34,"High")</f>
        <v>#VALUE!</v>
      </c>
      <c r="I34" s="353" t="e" vm="6">
        <f t="array" ref="I34">_FV(C34,"52 week low",TRUE)</f>
        <v>#VALUE!</v>
      </c>
      <c r="J34" s="353" t="e" vm="7">
        <f t="array" ref="J34">_FV(C34,"52 week high",TRUE)</f>
        <v>#VALUE!</v>
      </c>
      <c r="K34" s="351"/>
      <c r="L34" s="352" t="e" vm="8">
        <f t="array" ref="L34">_FV(C34,"Market cap",TRUE)/100000000</f>
        <v>#VALUE!</v>
      </c>
      <c r="M34" s="351"/>
      <c r="N34" s="350" t="e" vm="9">
        <f t="array" ref="N34">_FV(C34,"Description")</f>
        <v>#VALUE!</v>
      </c>
      <c r="P34" s="349">
        <v>58579</v>
      </c>
      <c r="Q34" s="362" t="e" vm="10">
        <f t="shared" si="0"/>
        <v>#VALUE!</v>
      </c>
    </row>
    <row r="35" spans="2:17" x14ac:dyDescent="0.4">
      <c r="C35" s="355" t="e">
        <v>#VALUE!</v>
      </c>
      <c r="D35" s="351" t="e" vm="1">
        <f t="array" ref="D35">_FV(C35,"Official name",TRUE)</f>
        <v>#VALUE!</v>
      </c>
      <c r="E35" s="352" t="e" vm="2">
        <f t="array" ref="E35">_FV(C35,"Price")</f>
        <v>#VALUE!</v>
      </c>
      <c r="F35" s="354" t="e" vm="3">
        <f t="array" ref="F35">_FV(C35,"Change (%)",TRUE)</f>
        <v>#VALUE!</v>
      </c>
      <c r="G35" s="352" t="e" vm="4">
        <f t="array" ref="G35">_FV(C35,"Low")</f>
        <v>#VALUE!</v>
      </c>
      <c r="H35" s="352" t="e" vm="5">
        <f t="array" ref="H35">_FV(C35,"High")</f>
        <v>#VALUE!</v>
      </c>
      <c r="I35" s="353" t="e" vm="6">
        <f t="array" ref="I35">_FV(C35,"52 week low",TRUE)</f>
        <v>#VALUE!</v>
      </c>
      <c r="J35" s="353" t="e" vm="7">
        <f t="array" ref="J35">_FV(C35,"52 week high",TRUE)</f>
        <v>#VALUE!</v>
      </c>
      <c r="K35" s="351"/>
      <c r="L35" s="352" t="e" vm="8">
        <f t="array" ref="L35">_FV(C35,"Market cap",TRUE)/100000000</f>
        <v>#VALUE!</v>
      </c>
      <c r="M35" s="351"/>
      <c r="N35" s="350" t="e" vm="9">
        <f t="array" ref="N35">_FV(C35,"Description")</f>
        <v>#VALUE!</v>
      </c>
      <c r="P35" s="349">
        <v>149757</v>
      </c>
      <c r="Q35" s="362" t="e" vm="10">
        <f t="shared" si="0"/>
        <v>#VALUE!</v>
      </c>
    </row>
    <row r="36" spans="2:17" x14ac:dyDescent="0.4">
      <c r="C36" s="355" t="e">
        <v>#VALUE!</v>
      </c>
      <c r="D36" s="351" t="e" vm="1">
        <f t="array" ref="D36">_FV(C36,"Official name",TRUE)</f>
        <v>#VALUE!</v>
      </c>
      <c r="E36" s="352" t="e" vm="2">
        <f t="array" ref="E36">_FV(C36,"Price")</f>
        <v>#VALUE!</v>
      </c>
      <c r="F36" s="354" t="e" vm="3">
        <f t="array" ref="F36">_FV(C36,"Change (%)",TRUE)</f>
        <v>#VALUE!</v>
      </c>
      <c r="G36" s="352" t="e" vm="4">
        <f t="array" ref="G36">_FV(C36,"Low")</f>
        <v>#VALUE!</v>
      </c>
      <c r="H36" s="352" t="e" vm="5">
        <f t="array" ref="H36">_FV(C36,"High")</f>
        <v>#VALUE!</v>
      </c>
      <c r="I36" s="353" t="e" vm="6">
        <f t="array" ref="I36">_FV(C36,"52 week low",TRUE)</f>
        <v>#VALUE!</v>
      </c>
      <c r="J36" s="353" t="e" vm="7">
        <f t="array" ref="J36">_FV(C36,"52 week high",TRUE)</f>
        <v>#VALUE!</v>
      </c>
      <c r="K36" s="351"/>
      <c r="L36" s="352" t="e" vm="8">
        <f t="array" ref="L36">_FV(C36,"Market cap",TRUE)/100000000</f>
        <v>#VALUE!</v>
      </c>
      <c r="M36" s="351"/>
      <c r="N36" s="350" t="e" vm="9">
        <f t="array" ref="N36">_FV(C36,"Description")</f>
        <v>#VALUE!</v>
      </c>
      <c r="P36" s="349">
        <v>64850</v>
      </c>
      <c r="Q36" s="362" t="e" vm="10">
        <f t="shared" si="0"/>
        <v>#VALUE!</v>
      </c>
    </row>
    <row r="37" spans="2:17" x14ac:dyDescent="0.4">
      <c r="C37" s="355" t="e">
        <v>#VALUE!</v>
      </c>
      <c r="D37" s="351" t="e" vm="1">
        <f t="array" ref="D37">_FV(C37,"Official name",TRUE)</f>
        <v>#VALUE!</v>
      </c>
      <c r="E37" s="352" t="e" vm="2">
        <f t="array" ref="E37">_FV(C37,"Price")</f>
        <v>#VALUE!</v>
      </c>
      <c r="F37" s="354" t="e" vm="3">
        <f t="array" ref="F37">_FV(C37,"Change (%)",TRUE)</f>
        <v>#VALUE!</v>
      </c>
      <c r="G37" s="352" t="e" vm="4">
        <f t="array" ref="G37">_FV(C37,"Low")</f>
        <v>#VALUE!</v>
      </c>
      <c r="H37" s="352" t="e" vm="5">
        <f t="array" ref="H37">_FV(C37,"High")</f>
        <v>#VALUE!</v>
      </c>
      <c r="I37" s="353" t="e" vm="6">
        <f t="array" ref="I37">_FV(C37,"52 week low",TRUE)</f>
        <v>#VALUE!</v>
      </c>
      <c r="J37" s="353" t="e" vm="7">
        <f t="array" ref="J37">_FV(C37,"52 week high",TRUE)</f>
        <v>#VALUE!</v>
      </c>
      <c r="K37" s="351"/>
      <c r="L37" s="352" t="e" vm="8">
        <f t="array" ref="L37">_FV(C37,"Market cap",TRUE)/100000000</f>
        <v>#VALUE!</v>
      </c>
      <c r="M37" s="351"/>
      <c r="N37" s="350" t="e" vm="9">
        <f t="array" ref="N37">_FV(C37,"Description")</f>
        <v>#VALUE!</v>
      </c>
      <c r="P37" s="349">
        <v>4305</v>
      </c>
      <c r="Q37" s="362" t="e" vm="10">
        <f t="shared" si="0"/>
        <v>#VALUE!</v>
      </c>
    </row>
    <row r="38" spans="2:17" x14ac:dyDescent="0.4">
      <c r="C38" s="355" t="e">
        <v>#VALUE!</v>
      </c>
      <c r="D38" s="351" t="e" vm="1">
        <f t="array" ref="D38">_FV(C38,"Official name",TRUE)</f>
        <v>#VALUE!</v>
      </c>
      <c r="E38" s="352" t="e" vm="2">
        <f t="array" ref="E38">_FV(C38,"Price")</f>
        <v>#VALUE!</v>
      </c>
      <c r="F38" s="354" t="e" vm="3">
        <f t="array" ref="F38">_FV(C38,"Change (%)",TRUE)</f>
        <v>#VALUE!</v>
      </c>
      <c r="G38" s="352" t="e" vm="4">
        <f t="array" ref="G38">_FV(C38,"Low")</f>
        <v>#VALUE!</v>
      </c>
      <c r="H38" s="352" t="e" vm="5">
        <f t="array" ref="H38">_FV(C38,"High")</f>
        <v>#VALUE!</v>
      </c>
      <c r="I38" s="353" t="e" vm="6">
        <f t="array" ref="I38">_FV(C38,"52 week low",TRUE)</f>
        <v>#VALUE!</v>
      </c>
      <c r="J38" s="353" t="e" vm="7">
        <f t="array" ref="J38">_FV(C38,"52 week high",TRUE)</f>
        <v>#VALUE!</v>
      </c>
      <c r="K38" s="351"/>
      <c r="L38" s="352" t="e" vm="8">
        <f t="array" ref="L38">_FV(C38,"Market cap",TRUE)/100000000</f>
        <v>#VALUE!</v>
      </c>
      <c r="M38" s="351"/>
      <c r="N38" s="350" t="e" vm="9">
        <f t="array" ref="N38">_FV(C38,"Description")</f>
        <v>#VALUE!</v>
      </c>
      <c r="P38" s="349">
        <v>49800</v>
      </c>
      <c r="Q38" s="362" t="e" vm="10">
        <f t="shared" si="0"/>
        <v>#VALUE!</v>
      </c>
    </row>
    <row r="39" spans="2:17" x14ac:dyDescent="0.4">
      <c r="C39" s="355" t="e">
        <v>#VALUE!</v>
      </c>
      <c r="D39" s="351" t="e" vm="1">
        <f t="array" ref="D39">_FV(C39,"Official name",TRUE)</f>
        <v>#VALUE!</v>
      </c>
      <c r="E39" s="352" t="e" vm="2">
        <f t="array" ref="E39">_FV(C39,"Price")</f>
        <v>#VALUE!</v>
      </c>
      <c r="F39" s="354" t="e" vm="3">
        <f t="array" ref="F39">_FV(C39,"Change (%)",TRUE)</f>
        <v>#VALUE!</v>
      </c>
      <c r="G39" s="352" t="e" vm="4">
        <f t="array" ref="G39">_FV(C39,"Low")</f>
        <v>#VALUE!</v>
      </c>
      <c r="H39" s="352" t="e" vm="5">
        <f t="array" ref="H39">_FV(C39,"High")</f>
        <v>#VALUE!</v>
      </c>
      <c r="I39" s="353" t="e" vm="6">
        <f t="array" ref="I39">_FV(C39,"52 week low",TRUE)</f>
        <v>#VALUE!</v>
      </c>
      <c r="J39" s="353" t="e" vm="7">
        <f t="array" ref="J39">_FV(C39,"52 week high",TRUE)</f>
        <v>#VALUE!</v>
      </c>
      <c r="K39" s="351"/>
      <c r="L39" s="352" t="e" vm="8">
        <f t="array" ref="L39">_FV(C39,"Market cap",TRUE)/100000000</f>
        <v>#VALUE!</v>
      </c>
      <c r="M39" s="351"/>
      <c r="N39" s="350" t="e" vm="9">
        <f t="array" ref="N39">_FV(C39,"Description")</f>
        <v>#VALUE!</v>
      </c>
      <c r="P39" s="349">
        <v>10634</v>
      </c>
      <c r="Q39" s="362" t="e" vm="10">
        <f t="shared" si="0"/>
        <v>#VALUE!</v>
      </c>
    </row>
    <row r="40" spans="2:17" x14ac:dyDescent="0.4">
      <c r="C40" s="384" t="e">
        <v>#VALUE!</v>
      </c>
      <c r="D40" s="351" t="e" vm="1">
        <f t="array" ref="D40">_FV(C40,"Official name",TRUE)</f>
        <v>#VALUE!</v>
      </c>
      <c r="E40" s="352" t="e" vm="2">
        <f t="array" ref="E40">_FV(C40,"Price")</f>
        <v>#VALUE!</v>
      </c>
      <c r="F40" s="354" t="e" vm="3">
        <f t="array" ref="F40">_FV(C40,"Change (%)",TRUE)</f>
        <v>#VALUE!</v>
      </c>
      <c r="G40" s="352" t="e" vm="4">
        <f t="array" ref="G40">_FV(C40,"Low")</f>
        <v>#VALUE!</v>
      </c>
      <c r="H40" s="352" t="e" vm="5">
        <f t="array" ref="H40">_FV(C40,"High")</f>
        <v>#VALUE!</v>
      </c>
      <c r="I40" s="353" t="e" vm="6">
        <f t="array" ref="I40">_FV(C40,"52 week low",TRUE)</f>
        <v>#VALUE!</v>
      </c>
      <c r="J40" s="353" t="e" vm="7">
        <f t="array" ref="J40">_FV(C40,"52 week high",TRUE)</f>
        <v>#VALUE!</v>
      </c>
      <c r="K40" s="351"/>
      <c r="L40" s="352" t="e" vm="8">
        <f t="array" ref="L40">_FV(C40,"Market cap",TRUE)/100000000</f>
        <v>#VALUE!</v>
      </c>
      <c r="M40" s="351"/>
      <c r="N40" s="350" t="e" vm="9">
        <f t="array" ref="N40">_FV(C40,"Description")</f>
        <v>#VALUE!</v>
      </c>
      <c r="P40" s="349">
        <v>107845</v>
      </c>
      <c r="Q40" s="362" t="e" vm="10">
        <f t="shared" si="0"/>
        <v>#VALUE!</v>
      </c>
    </row>
    <row r="41" spans="2:17" x14ac:dyDescent="0.4">
      <c r="B41" s="336" t="s">
        <v>31</v>
      </c>
      <c r="C41" s="355" t="e">
        <v>#VALUE!</v>
      </c>
      <c r="D41" s="351" t="e" vm="1">
        <f t="array" ref="D41">_FV(C41,"Official name",TRUE)</f>
        <v>#VALUE!</v>
      </c>
      <c r="E41" s="352" t="e" vm="2">
        <f t="array" ref="E41">_FV(C41,"Price")</f>
        <v>#VALUE!</v>
      </c>
      <c r="F41" s="354" t="e" vm="3">
        <f t="array" ref="F41">_FV(C41,"Change (%)",TRUE)</f>
        <v>#VALUE!</v>
      </c>
      <c r="G41" s="352" t="e" vm="4">
        <f t="array" ref="G41">_FV(C41,"Low")</f>
        <v>#VALUE!</v>
      </c>
      <c r="H41" s="352" t="e" vm="5">
        <f t="array" ref="H41">_FV(C41,"High")</f>
        <v>#VALUE!</v>
      </c>
      <c r="I41" s="353" t="e" vm="6">
        <f t="array" ref="I41">_FV(C41,"52 week low",TRUE)</f>
        <v>#VALUE!</v>
      </c>
      <c r="J41" s="353" t="e" vm="7">
        <f t="array" ref="J41">_FV(C41,"52 week high",TRUE)</f>
        <v>#VALUE!</v>
      </c>
      <c r="K41" s="351"/>
      <c r="L41" s="352" t="e" vm="8">
        <f t="array" ref="L41">_FV(C41,"Market cap",TRUE)/100000000</f>
        <v>#VALUE!</v>
      </c>
      <c r="M41" s="351"/>
      <c r="N41" s="350" t="e" vm="9">
        <f t="array" ref="N41">_FV(C41,"Description")</f>
        <v>#VALUE!</v>
      </c>
      <c r="P41" s="349">
        <v>17200</v>
      </c>
      <c r="Q41" s="362" t="e" vm="10">
        <f t="shared" si="0"/>
        <v>#VALUE!</v>
      </c>
    </row>
    <row r="42" spans="2:17" x14ac:dyDescent="0.4">
      <c r="B42" s="336" t="s">
        <v>110</v>
      </c>
      <c r="C42" s="355" t="e">
        <v>#VALUE!</v>
      </c>
      <c r="D42" s="351" t="e" vm="1">
        <f t="array" ref="D42">_FV(C42,"Official name",TRUE)</f>
        <v>#VALUE!</v>
      </c>
      <c r="E42" s="352" t="e" vm="2">
        <f t="array" ref="E42">_FV(C42,"Price")</f>
        <v>#VALUE!</v>
      </c>
      <c r="F42" s="354" t="e" vm="3">
        <f t="array" ref="F42">_FV(C42,"Change (%)",TRUE)</f>
        <v>#VALUE!</v>
      </c>
      <c r="G42" s="352" t="e" vm="4">
        <f t="array" ref="G42">_FV(C42,"Low")</f>
        <v>#VALUE!</v>
      </c>
      <c r="H42" s="352" t="e" vm="5">
        <f t="array" ref="H42">_FV(C42,"High")</f>
        <v>#VALUE!</v>
      </c>
      <c r="I42" s="353" t="e" vm="6">
        <f t="array" ref="I42">_FV(C42,"52 week low",TRUE)</f>
        <v>#VALUE!</v>
      </c>
      <c r="J42" s="353" t="e" vm="7">
        <f t="array" ref="J42">_FV(C42,"52 week high",TRUE)</f>
        <v>#VALUE!</v>
      </c>
      <c r="K42" s="351"/>
      <c r="L42" s="352" t="e" vm="8">
        <f t="array" ref="L42">_FV(C42,"Market cap",TRUE)/100000000</f>
        <v>#VALUE!</v>
      </c>
      <c r="M42" s="351"/>
      <c r="N42" s="350" t="e" vm="9">
        <f t="array" ref="N42">_FV(C42,"Description")</f>
        <v>#VALUE!</v>
      </c>
      <c r="P42" s="349">
        <v>5600</v>
      </c>
      <c r="Q42" s="362" t="e" vm="10">
        <f t="shared" si="0"/>
        <v>#VALUE!</v>
      </c>
    </row>
    <row r="43" spans="2:17" x14ac:dyDescent="0.4">
      <c r="B43" s="336" t="s">
        <v>128</v>
      </c>
      <c r="C43" s="355" t="e">
        <v>#VALUE!</v>
      </c>
      <c r="D43" s="351" t="e" vm="1">
        <f t="array" ref="D43">_FV(C43,"Official name",TRUE)</f>
        <v>#VALUE!</v>
      </c>
      <c r="E43" s="352" t="e" vm="2">
        <f t="array" ref="E43">_FV(C43,"Price")</f>
        <v>#VALUE!</v>
      </c>
      <c r="F43" s="354" t="e" vm="3">
        <f t="array" ref="F43">_FV(C43,"Change (%)",TRUE)</f>
        <v>#VALUE!</v>
      </c>
      <c r="G43" s="352" t="e" vm="4">
        <f t="array" ref="G43">_FV(C43,"Low")</f>
        <v>#VALUE!</v>
      </c>
      <c r="H43" s="352" t="e" vm="5">
        <f t="array" ref="H43">_FV(C43,"High")</f>
        <v>#VALUE!</v>
      </c>
      <c r="I43" s="353" t="e" vm="6">
        <f t="array" ref="I43">_FV(C43,"52 week low",TRUE)</f>
        <v>#VALUE!</v>
      </c>
      <c r="J43" s="353" t="e" vm="7">
        <f t="array" ref="J43">_FV(C43,"52 week high",TRUE)</f>
        <v>#VALUE!</v>
      </c>
      <c r="K43" s="351"/>
      <c r="L43" s="352" t="e" vm="8">
        <f t="array" ref="L43">_FV(C43,"Market cap",TRUE)/100000000</f>
        <v>#VALUE!</v>
      </c>
      <c r="M43" s="351"/>
      <c r="N43" s="350" t="e" vm="9">
        <f t="array" ref="N43">_FV(C43,"Description")</f>
        <v>#VALUE!</v>
      </c>
      <c r="P43" s="349">
        <v>71648</v>
      </c>
      <c r="Q43" s="362" t="e" vm="10">
        <f t="shared" si="0"/>
        <v>#VALUE!</v>
      </c>
    </row>
    <row r="44" spans="2:17" x14ac:dyDescent="0.4">
      <c r="B44" s="336" t="s">
        <v>102</v>
      </c>
      <c r="C44" s="355" t="e">
        <v>#VALUE!</v>
      </c>
      <c r="D44" s="351" t="e" vm="1">
        <f t="array" ref="D44">_FV(C44,"Official name",TRUE)</f>
        <v>#VALUE!</v>
      </c>
      <c r="E44" s="352" t="e" vm="2">
        <f t="array" ref="E44">_FV(C44,"Price")</f>
        <v>#VALUE!</v>
      </c>
      <c r="F44" s="354" t="e" vm="3">
        <f t="array" ref="F44">_FV(C44,"Change (%)",TRUE)</f>
        <v>#VALUE!</v>
      </c>
      <c r="G44" s="352" t="e" vm="4">
        <f t="array" ref="G44">_FV(C44,"Low")</f>
        <v>#VALUE!</v>
      </c>
      <c r="H44" s="352" t="e" vm="5">
        <f t="array" ref="H44">_FV(C44,"High")</f>
        <v>#VALUE!</v>
      </c>
      <c r="I44" s="353" t="e" vm="6">
        <f t="array" ref="I44">_FV(C44,"52 week low",TRUE)</f>
        <v>#VALUE!</v>
      </c>
      <c r="J44" s="353" t="e" vm="7">
        <f t="array" ref="J44">_FV(C44,"52 week high",TRUE)</f>
        <v>#VALUE!</v>
      </c>
      <c r="K44" s="351"/>
      <c r="L44" s="352" t="e" vm="8">
        <f t="array" ref="L44">_FV(C44,"Market cap",TRUE)/100000000</f>
        <v>#VALUE!</v>
      </c>
      <c r="M44" s="351"/>
      <c r="N44" s="350" t="e" vm="9">
        <f t="array" ref="N44">_FV(C44,"Description")</f>
        <v>#VALUE!</v>
      </c>
      <c r="P44" s="349">
        <v>66193</v>
      </c>
      <c r="Q44" s="362" t="e" vm="10">
        <f t="shared" si="0"/>
        <v>#VALUE!</v>
      </c>
    </row>
    <row r="45" spans="2:17" x14ac:dyDescent="0.4">
      <c r="B45" s="336" t="s">
        <v>22</v>
      </c>
      <c r="C45" s="355" t="e">
        <v>#VALUE!</v>
      </c>
      <c r="D45" s="351" t="e" vm="1">
        <f t="array" ref="D45">_FV(C45,"Official name",TRUE)</f>
        <v>#VALUE!</v>
      </c>
      <c r="E45" s="352" t="e" vm="2">
        <f t="array" ref="E45">_FV(C45,"Price")</f>
        <v>#VALUE!</v>
      </c>
      <c r="F45" s="354" t="e" vm="3">
        <f t="array" ref="F45">_FV(C45,"Change (%)",TRUE)</f>
        <v>#VALUE!</v>
      </c>
      <c r="G45" s="352" t="e" vm="4">
        <f t="array" ref="G45">_FV(C45,"Low")</f>
        <v>#VALUE!</v>
      </c>
      <c r="H45" s="352" t="e" vm="5">
        <f t="array" ref="H45">_FV(C45,"High")</f>
        <v>#VALUE!</v>
      </c>
      <c r="I45" s="353" t="e" vm="6">
        <f t="array" ref="I45">_FV(C45,"52 week low",TRUE)</f>
        <v>#VALUE!</v>
      </c>
      <c r="J45" s="353" t="e" vm="7">
        <f t="array" ref="J45">_FV(C45,"52 week high",TRUE)</f>
        <v>#VALUE!</v>
      </c>
      <c r="K45" s="351"/>
      <c r="L45" s="352" t="e" vm="8">
        <f t="array" ref="L45">_FV(C45,"Market cap",TRUE)/100000000</f>
        <v>#VALUE!</v>
      </c>
      <c r="M45" s="351"/>
      <c r="N45" s="350" t="e" vm="9">
        <f t="array" ref="N45">_FV(C45,"Description")</f>
        <v>#VALUE!</v>
      </c>
      <c r="P45" s="349">
        <v>6140</v>
      </c>
      <c r="Q45" s="362" t="e" vm="10">
        <f t="shared" si="0"/>
        <v>#VALUE!</v>
      </c>
    </row>
    <row r="46" spans="2:17" x14ac:dyDescent="0.4">
      <c r="B46" s="336" t="s">
        <v>131</v>
      </c>
      <c r="C46" s="355" t="e">
        <v>#VALUE!</v>
      </c>
      <c r="D46" s="351" t="e" vm="1">
        <f t="array" ref="D46">_FV(C46,"Official name",TRUE)</f>
        <v>#VALUE!</v>
      </c>
      <c r="E46" s="352" t="e" vm="2">
        <f t="array" ref="E46">_FV(C46,"Price")</f>
        <v>#VALUE!</v>
      </c>
      <c r="F46" s="354" t="e" vm="3">
        <f t="array" ref="F46">_FV(C46,"Change (%)",TRUE)</f>
        <v>#VALUE!</v>
      </c>
      <c r="G46" s="352" t="e" vm="4">
        <f t="array" ref="G46">_FV(C46,"Low")</f>
        <v>#VALUE!</v>
      </c>
      <c r="H46" s="352" t="e" vm="5">
        <f t="array" ref="H46">_FV(C46,"High")</f>
        <v>#VALUE!</v>
      </c>
      <c r="I46" s="353" t="e" vm="6">
        <f t="array" ref="I46">_FV(C46,"52 week low",TRUE)</f>
        <v>#VALUE!</v>
      </c>
      <c r="J46" s="353" t="e" vm="7">
        <f t="array" ref="J46">_FV(C46,"52 week high",TRUE)</f>
        <v>#VALUE!</v>
      </c>
      <c r="K46" s="351"/>
      <c r="L46" s="352" t="e" vm="8">
        <f t="array" ref="L46">_FV(C46,"Market cap",TRUE)/100000000</f>
        <v>#VALUE!</v>
      </c>
      <c r="M46" s="351"/>
      <c r="N46" s="350" t="e" vm="9">
        <f t="array" ref="N46">_FV(C46,"Description")</f>
        <v>#VALUE!</v>
      </c>
      <c r="P46" s="349">
        <v>6637</v>
      </c>
      <c r="Q46" s="362" t="e" vm="10">
        <f t="shared" si="0"/>
        <v>#VALUE!</v>
      </c>
    </row>
    <row r="47" spans="2:17" x14ac:dyDescent="0.4">
      <c r="B47" s="336" t="s">
        <v>26</v>
      </c>
      <c r="C47" s="355" t="e">
        <v>#VALUE!</v>
      </c>
      <c r="D47" s="351" t="e" vm="1">
        <f t="array" ref="D47">_FV(C47,"Official name",TRUE)</f>
        <v>#VALUE!</v>
      </c>
      <c r="E47" s="352" t="e" vm="2">
        <f t="array" ref="E47">_FV(C47,"Price")</f>
        <v>#VALUE!</v>
      </c>
      <c r="F47" s="354" t="e" vm="3">
        <f t="array" ref="F47">_FV(C47,"Change (%)",TRUE)</f>
        <v>#VALUE!</v>
      </c>
      <c r="G47" s="352" t="e" vm="4">
        <f t="array" ref="G47">_FV(C47,"Low")</f>
        <v>#VALUE!</v>
      </c>
      <c r="H47" s="352" t="e" vm="5">
        <f t="array" ref="H47">_FV(C47,"High")</f>
        <v>#VALUE!</v>
      </c>
      <c r="I47" s="353" t="e" vm="6">
        <f t="array" ref="I47">_FV(C47,"52 week low",TRUE)</f>
        <v>#VALUE!</v>
      </c>
      <c r="J47" s="353" t="e" vm="7">
        <f t="array" ref="J47">_FV(C47,"52 week high",TRUE)</f>
        <v>#VALUE!</v>
      </c>
      <c r="K47" s="351"/>
      <c r="L47" s="352" t="e" vm="8">
        <f t="array" ref="L47">_FV(C47,"Market cap",TRUE)/100000000</f>
        <v>#VALUE!</v>
      </c>
      <c r="M47" s="351"/>
      <c r="N47" s="350" t="e" vm="9">
        <f t="array" ref="N47">_FV(C47,"Description")</f>
        <v>#VALUE!</v>
      </c>
      <c r="P47" s="349">
        <v>12566</v>
      </c>
      <c r="Q47" s="362" t="e" vm="10">
        <f t="shared" si="0"/>
        <v>#VALUE!</v>
      </c>
    </row>
    <row r="48" spans="2:17" x14ac:dyDescent="0.4">
      <c r="B48" s="336" t="s">
        <v>29</v>
      </c>
      <c r="C48" s="355" t="e">
        <v>#VALUE!</v>
      </c>
      <c r="D48" s="351" t="e" vm="1">
        <f t="array" ref="D48">_FV(C48,"Official name",TRUE)</f>
        <v>#VALUE!</v>
      </c>
      <c r="E48" s="352" t="e" vm="2">
        <f t="array" ref="E48">_FV(C48,"Price")</f>
        <v>#VALUE!</v>
      </c>
      <c r="F48" s="354" t="e" vm="3">
        <f t="array" ref="F48">_FV(C48,"Change (%)",TRUE)</f>
        <v>#VALUE!</v>
      </c>
      <c r="G48" s="352" t="e" vm="4">
        <f t="array" ref="G48">_FV(C48,"Low")</f>
        <v>#VALUE!</v>
      </c>
      <c r="H48" s="352" t="e" vm="5">
        <f t="array" ref="H48">_FV(C48,"High")</f>
        <v>#VALUE!</v>
      </c>
      <c r="I48" s="353" t="e" vm="6">
        <f t="array" ref="I48">_FV(C48,"52 week low",TRUE)</f>
        <v>#VALUE!</v>
      </c>
      <c r="J48" s="353" t="e" vm="7">
        <f t="array" ref="J48">_FV(C48,"52 week high",TRUE)</f>
        <v>#VALUE!</v>
      </c>
      <c r="K48" s="351"/>
      <c r="L48" s="352" t="e" vm="8">
        <f t="array" ref="L48">_FV(C48,"Market cap",TRUE)/100000000</f>
        <v>#VALUE!</v>
      </c>
      <c r="M48" s="351"/>
      <c r="N48" s="350" t="e" vm="9">
        <f t="array" ref="N48">_FV(C48,"Description")</f>
        <v>#VALUE!</v>
      </c>
      <c r="P48" s="349">
        <v>32697</v>
      </c>
      <c r="Q48" s="362" t="e" vm="10">
        <f t="shared" si="0"/>
        <v>#VALUE!</v>
      </c>
    </row>
    <row r="49" spans="2:20" x14ac:dyDescent="0.4">
      <c r="B49" s="336" t="s">
        <v>112</v>
      </c>
      <c r="C49" s="355" t="e">
        <v>#VALUE!</v>
      </c>
      <c r="D49" s="351" t="e" vm="1">
        <f t="array" ref="D49">_FV(C49,"Official name",TRUE)</f>
        <v>#VALUE!</v>
      </c>
      <c r="E49" s="352" t="e" vm="2">
        <f t="array" ref="E49">_FV(C49,"Price")</f>
        <v>#VALUE!</v>
      </c>
      <c r="F49" s="354" t="e" vm="3">
        <f t="array" ref="F49">_FV(C49,"Change (%)",TRUE)</f>
        <v>#VALUE!</v>
      </c>
      <c r="G49" s="352" t="e" vm="4">
        <f t="array" ref="G49">_FV(C49,"Low")</f>
        <v>#VALUE!</v>
      </c>
      <c r="H49" s="352" t="e" vm="5">
        <f t="array" ref="H49">_FV(C49,"High")</f>
        <v>#VALUE!</v>
      </c>
      <c r="I49" s="353" t="e" vm="6">
        <f t="array" ref="I49">_FV(C49,"52 week low",TRUE)</f>
        <v>#VALUE!</v>
      </c>
      <c r="J49" s="353" t="e" vm="7">
        <f t="array" ref="J49">_FV(C49,"52 week high",TRUE)</f>
        <v>#VALUE!</v>
      </c>
      <c r="K49" s="351"/>
      <c r="L49" s="352" t="e" vm="8">
        <f t="array" ref="L49">_FV(C49,"Market cap",TRUE)/100000000</f>
        <v>#VALUE!</v>
      </c>
      <c r="M49" s="351"/>
      <c r="N49" s="350" t="e" vm="9">
        <f t="array" ref="N49">_FV(C49,"Description")</f>
        <v>#VALUE!</v>
      </c>
      <c r="P49" s="349">
        <v>54369</v>
      </c>
      <c r="Q49" s="362" t="e" vm="10">
        <f t="shared" si="0"/>
        <v>#VALUE!</v>
      </c>
    </row>
    <row r="50" spans="2:20" x14ac:dyDescent="0.4">
      <c r="C50" s="355"/>
      <c r="D50" s="351"/>
      <c r="E50" s="352"/>
      <c r="F50" s="354"/>
      <c r="G50" s="352"/>
      <c r="H50" s="352"/>
      <c r="I50" s="353"/>
      <c r="J50" s="353"/>
      <c r="K50" s="351"/>
      <c r="L50" s="352"/>
      <c r="M50" s="351"/>
      <c r="N50" s="350"/>
    </row>
    <row r="51" spans="2:20" x14ac:dyDescent="0.4">
      <c r="C51" s="355"/>
      <c r="D51" s="351"/>
      <c r="E51" s="352"/>
      <c r="F51" s="354"/>
      <c r="G51" s="352"/>
      <c r="H51" s="352"/>
      <c r="I51" s="353"/>
      <c r="J51" s="353"/>
      <c r="K51" s="351"/>
      <c r="L51" s="352"/>
      <c r="M51" s="351"/>
      <c r="N51" s="350"/>
    </row>
    <row r="52" spans="2:20" x14ac:dyDescent="0.4">
      <c r="C52" s="355"/>
      <c r="D52" s="351"/>
      <c r="E52" s="352"/>
      <c r="F52" s="354"/>
      <c r="G52" s="352"/>
      <c r="H52" s="352"/>
      <c r="I52" s="353"/>
      <c r="J52" s="353"/>
      <c r="K52" s="351"/>
      <c r="L52" s="352"/>
      <c r="M52" s="351"/>
      <c r="N52" s="350"/>
    </row>
    <row r="53" spans="2:20" x14ac:dyDescent="0.4">
      <c r="C53" s="355"/>
      <c r="D53" s="351"/>
      <c r="E53" s="352"/>
      <c r="F53" s="354"/>
      <c r="G53" s="352"/>
      <c r="H53" s="352"/>
      <c r="I53" s="353"/>
      <c r="J53" s="353"/>
      <c r="K53" s="351"/>
      <c r="L53" s="352"/>
      <c r="M53" s="351"/>
      <c r="N53" s="350"/>
    </row>
    <row r="54" spans="2:20" x14ac:dyDescent="0.4">
      <c r="C54" s="355"/>
      <c r="D54" s="351"/>
      <c r="E54" s="352"/>
      <c r="F54" s="354"/>
      <c r="G54" s="352"/>
      <c r="H54" s="352"/>
      <c r="I54" s="353"/>
      <c r="J54" s="353"/>
      <c r="K54" s="351"/>
      <c r="L54" s="352"/>
      <c r="M54" s="351"/>
      <c r="N54" s="350"/>
    </row>
    <row r="55" spans="2:20" x14ac:dyDescent="0.4">
      <c r="C55" s="355" t="e">
        <v>#VALUE!</v>
      </c>
      <c r="D55" s="351" t="e" vm="1">
        <f t="array" ref="D55">_FV(C55,"Official name",TRUE)</f>
        <v>#VALUE!</v>
      </c>
      <c r="E55" s="352" t="e" vm="2">
        <f t="array" ref="E55">_FV(C55,"Price")</f>
        <v>#VALUE!</v>
      </c>
      <c r="F55" s="354" t="e" vm="3">
        <f t="array" ref="F55">_FV(C55,"Change (%)",TRUE)</f>
        <v>#VALUE!</v>
      </c>
      <c r="G55" s="352" t="e" vm="4">
        <f t="array" ref="G55">_FV(C55,"Low")</f>
        <v>#VALUE!</v>
      </c>
      <c r="H55" s="352" t="e" vm="5">
        <f t="array" ref="H55">_FV(C55,"High")</f>
        <v>#VALUE!</v>
      </c>
      <c r="I55" s="353" t="e" vm="6">
        <f t="array" ref="I55">_FV(C55,"52 week low",TRUE)</f>
        <v>#VALUE!</v>
      </c>
      <c r="J55" s="353" t="e" vm="7">
        <f t="array" ref="J55">_FV(C55,"52 week high",TRUE)</f>
        <v>#VALUE!</v>
      </c>
      <c r="K55" s="351"/>
      <c r="L55" s="352" t="e" vm="8">
        <f t="array" ref="L55">_FV(C55,"Market cap",TRUE)/100000000</f>
        <v>#VALUE!</v>
      </c>
      <c r="M55" s="351"/>
      <c r="N55" s="350" t="e" vm="9">
        <f t="array" ref="N55">_FV(C55,"Description")</f>
        <v>#VALUE!</v>
      </c>
      <c r="Q55" s="336" t="s">
        <v>1054</v>
      </c>
      <c r="R55" s="336" t="s">
        <v>1055</v>
      </c>
      <c r="S55" s="336" t="s">
        <v>1056</v>
      </c>
      <c r="T55" s="336" t="s">
        <v>1057</v>
      </c>
    </row>
    <row r="56" spans="2:20" x14ac:dyDescent="0.4">
      <c r="C56" s="361" t="e">
        <v>#VALUE!</v>
      </c>
      <c r="D56" s="351" t="e" vm="1">
        <f t="array" ref="D56">_FV(C56,"Official name",TRUE)</f>
        <v>#VALUE!</v>
      </c>
      <c r="E56" s="360" t="e" vm="2">
        <f t="array" ref="E56">_FV(C56,"Price")</f>
        <v>#VALUE!</v>
      </c>
      <c r="F56" s="354" t="e" vm="3">
        <f t="array" ref="F56">_FV(C56,"Change (%)",TRUE)</f>
        <v>#VALUE!</v>
      </c>
      <c r="G56" s="360" t="e" vm="4">
        <f t="array" ref="G56">_FV(C56,"Low")</f>
        <v>#VALUE!</v>
      </c>
      <c r="H56" s="360" t="e" vm="5">
        <f t="array" ref="H56">_FV(C56,"High")</f>
        <v>#VALUE!</v>
      </c>
      <c r="I56" s="360" t="e" vm="6">
        <f t="array" ref="I56">_FV(C56,"52 week low",TRUE)</f>
        <v>#VALUE!</v>
      </c>
      <c r="J56" s="360" t="e" vm="7">
        <f t="array" ref="J56">_FV(C56,"52 week high",TRUE)</f>
        <v>#VALUE!</v>
      </c>
      <c r="K56" s="351"/>
      <c r="L56" s="359" t="e" vm="8">
        <f t="array" ref="L56">_FV(C56,"Market cap",TRUE)/100000000</f>
        <v>#VALUE!</v>
      </c>
      <c r="M56" s="351"/>
      <c r="N56" s="350" t="e" vm="9">
        <f t="array" ref="N56">_FV(C56,"Description")</f>
        <v>#VALUE!</v>
      </c>
      <c r="P56" s="336">
        <v>11.74</v>
      </c>
    </row>
    <row r="57" spans="2:20" x14ac:dyDescent="0.4">
      <c r="C57" s="361" t="e">
        <v>#VALUE!</v>
      </c>
      <c r="D57" s="351" t="e" vm="1">
        <f t="array" ref="D57">_FV(C57,"Official name",TRUE)</f>
        <v>#VALUE!</v>
      </c>
      <c r="E57" s="360" t="e" vm="2">
        <f t="array" ref="E57">_FV(C57,"Price")</f>
        <v>#VALUE!</v>
      </c>
      <c r="F57" s="354" t="e" vm="3">
        <f t="array" ref="F57">_FV(C57,"Change (%)",TRUE)</f>
        <v>#VALUE!</v>
      </c>
      <c r="G57" s="360" t="e" vm="4">
        <f t="array" ref="G57">_FV(C57,"Low")</f>
        <v>#VALUE!</v>
      </c>
      <c r="H57" s="360" t="e" vm="5">
        <f t="array" ref="H57">_FV(C57,"High")</f>
        <v>#VALUE!</v>
      </c>
      <c r="I57" s="360" t="e" vm="6">
        <f t="array" ref="I57">_FV(C57,"52 week low",TRUE)</f>
        <v>#VALUE!</v>
      </c>
      <c r="J57" s="360" t="e" vm="7">
        <f t="array" ref="J57">_FV(C57,"52 week high",TRUE)</f>
        <v>#VALUE!</v>
      </c>
      <c r="K57" s="351"/>
      <c r="L57" s="359" t="e" vm="8">
        <f t="array" ref="L57">_FV(C57,"Market cap",TRUE)/100000000</f>
        <v>#VALUE!</v>
      </c>
      <c r="M57" s="351"/>
      <c r="N57" s="350" t="e" vm="9">
        <f t="array" ref="N57">_FV(C57,"Description")</f>
        <v>#VALUE!</v>
      </c>
      <c r="P57" s="336">
        <v>48.25</v>
      </c>
    </row>
    <row r="58" spans="2:20" x14ac:dyDescent="0.4">
      <c r="C58" s="361" t="e">
        <v>#VALUE!</v>
      </c>
      <c r="D58" s="351" t="e" vm="1">
        <f t="array" ref="D58">_FV(C58,"Official name",TRUE)</f>
        <v>#VALUE!</v>
      </c>
      <c r="E58" s="360" t="e" vm="2">
        <f t="array" ref="E58">_FV(C58,"Price")</f>
        <v>#VALUE!</v>
      </c>
      <c r="F58" s="354" t="e" vm="3">
        <f t="array" ref="F58">_FV(C58,"Change (%)",TRUE)</f>
        <v>#VALUE!</v>
      </c>
      <c r="G58" s="360" t="e" vm="4">
        <f t="array" ref="G58">_FV(C58,"Low")</f>
        <v>#VALUE!</v>
      </c>
      <c r="H58" s="360" t="e" vm="5">
        <f t="array" ref="H58">_FV(C58,"High")</f>
        <v>#VALUE!</v>
      </c>
      <c r="I58" s="360" t="e" vm="6">
        <f t="array" ref="I58">_FV(C58,"52 week low",TRUE)</f>
        <v>#VALUE!</v>
      </c>
      <c r="J58" s="360" t="e" vm="7">
        <f t="array" ref="J58">_FV(C58,"52 week high",TRUE)</f>
        <v>#VALUE!</v>
      </c>
      <c r="K58" s="351"/>
      <c r="L58" s="359" t="e" vm="8">
        <f t="array" ref="L58">_FV(C58,"Market cap",TRUE)/100000000</f>
        <v>#VALUE!</v>
      </c>
      <c r="M58" s="351"/>
      <c r="N58" s="350" t="e" vm="9">
        <f t="array" ref="N58">_FV(C58,"Description")</f>
        <v>#VALUE!</v>
      </c>
      <c r="P58" s="336">
        <v>34.79</v>
      </c>
    </row>
    <row r="59" spans="2:20" x14ac:dyDescent="0.4">
      <c r="C59" s="361" t="e">
        <v>#VALUE!</v>
      </c>
      <c r="D59" s="351" t="e" vm="1">
        <f t="array" ref="D59">_FV(C59,"Official name",TRUE)</f>
        <v>#VALUE!</v>
      </c>
      <c r="E59" s="360" t="e" vm="2">
        <f t="array" ref="E59">_FV(C59,"Price")</f>
        <v>#VALUE!</v>
      </c>
      <c r="F59" s="354" t="e" vm="3">
        <f t="array" ref="F59">_FV(C59,"Change (%)",TRUE)</f>
        <v>#VALUE!</v>
      </c>
      <c r="G59" s="360" t="e" vm="4">
        <f t="array" ref="G59">_FV(C59,"Low")</f>
        <v>#VALUE!</v>
      </c>
      <c r="H59" s="360" t="e" vm="5">
        <f t="array" ref="H59">_FV(C59,"High")</f>
        <v>#VALUE!</v>
      </c>
      <c r="I59" s="360" t="e" vm="6">
        <f t="array" ref="I59">_FV(C59,"52 week low",TRUE)</f>
        <v>#VALUE!</v>
      </c>
      <c r="J59" s="360" t="e" vm="7">
        <f t="array" ref="J59">_FV(C59,"52 week high",TRUE)</f>
        <v>#VALUE!</v>
      </c>
      <c r="K59" s="351"/>
      <c r="L59" s="359" t="e" vm="8">
        <f t="array" ref="L59">_FV(C59,"Market cap",TRUE)/100000000</f>
        <v>#VALUE!</v>
      </c>
      <c r="M59" s="351"/>
      <c r="N59" s="350" t="e" vm="9">
        <f t="array" ref="N59">_FV(C59,"Description")</f>
        <v>#VALUE!</v>
      </c>
      <c r="P59" s="336">
        <v>197.95</v>
      </c>
    </row>
    <row r="60" spans="2:20" x14ac:dyDescent="0.4">
      <c r="C60" s="361" t="e">
        <v>#VALUE!</v>
      </c>
      <c r="D60" s="351" t="e" vm="1">
        <f t="array" ref="D60">_FV(C60,"Official name",TRUE)</f>
        <v>#VALUE!</v>
      </c>
      <c r="E60" s="360" t="e" vm="2">
        <f t="array" ref="E60">_FV(C60,"Price")</f>
        <v>#VALUE!</v>
      </c>
      <c r="F60" s="354" t="e" vm="3">
        <f t="array" ref="F60">_FV(C60,"Change (%)",TRUE)</f>
        <v>#VALUE!</v>
      </c>
      <c r="G60" s="360" t="e" vm="4">
        <f t="array" ref="G60">_FV(C60,"Low")</f>
        <v>#VALUE!</v>
      </c>
      <c r="H60" s="360" t="e" vm="5">
        <f t="array" ref="H60">_FV(C60,"High")</f>
        <v>#VALUE!</v>
      </c>
      <c r="I60" s="360" t="e" vm="6">
        <f t="array" ref="I60">_FV(C60,"52 week low",TRUE)</f>
        <v>#VALUE!</v>
      </c>
      <c r="J60" s="360" t="e" vm="7">
        <f t="array" ref="J60">_FV(C60,"52 week high",TRUE)</f>
        <v>#VALUE!</v>
      </c>
      <c r="K60" s="351"/>
      <c r="L60" s="359" t="e" vm="8">
        <f t="array" ref="L60">_FV(C60,"Market cap",TRUE)/100000000</f>
        <v>#VALUE!</v>
      </c>
      <c r="M60" s="351"/>
      <c r="N60" s="350" t="e" vm="9">
        <f t="array" ref="N60">_FV(C60,"Description")</f>
        <v>#VALUE!</v>
      </c>
      <c r="P60" s="336">
        <v>11.27</v>
      </c>
      <c r="Q60" s="358">
        <v>1170</v>
      </c>
      <c r="R60" s="358">
        <v>18.8</v>
      </c>
      <c r="S60" s="358">
        <f>Q60/10+R60</f>
        <v>135.80000000000001</v>
      </c>
    </row>
    <row r="61" spans="2:20" x14ac:dyDescent="0.4">
      <c r="C61" s="361" t="e">
        <v>#VALUE!</v>
      </c>
      <c r="D61" s="351" t="e" vm="1">
        <f t="array" ref="D61">_FV(C61,"Official name",TRUE)</f>
        <v>#VALUE!</v>
      </c>
      <c r="E61" s="360" t="e" vm="2">
        <f t="array" ref="E61">_FV(C61,"Price")</f>
        <v>#VALUE!</v>
      </c>
      <c r="F61" s="354" t="e" vm="3">
        <f t="array" ref="F61">_FV(C61,"Change (%)",TRUE)</f>
        <v>#VALUE!</v>
      </c>
      <c r="G61" s="360" t="e" vm="4">
        <f t="array" ref="G61">_FV(C61,"Low")</f>
        <v>#VALUE!</v>
      </c>
      <c r="H61" s="360" t="e" vm="5">
        <f t="array" ref="H61">_FV(C61,"High")</f>
        <v>#VALUE!</v>
      </c>
      <c r="I61" s="360" t="e" vm="6">
        <f t="array" ref="I61">_FV(C61,"52 week low",TRUE)</f>
        <v>#VALUE!</v>
      </c>
      <c r="J61" s="360" t="e" vm="7">
        <f t="array" ref="J61">_FV(C61,"52 week high",TRUE)</f>
        <v>#VALUE!</v>
      </c>
      <c r="K61" s="351"/>
      <c r="L61" s="359" t="e" vm="8">
        <f t="array" ref="L61">_FV(C61,"Market cap",TRUE)/100000000</f>
        <v>#VALUE!</v>
      </c>
      <c r="M61" s="351"/>
      <c r="N61" s="350" t="e" vm="9">
        <f t="array" ref="N61">_FV(C61,"Description")</f>
        <v>#VALUE!</v>
      </c>
      <c r="P61" s="336">
        <v>7.61</v>
      </c>
      <c r="Q61" s="358">
        <v>84</v>
      </c>
      <c r="R61" s="358">
        <v>11</v>
      </c>
      <c r="S61" s="358">
        <f>Q61/108+R61</f>
        <v>11.777777777777779</v>
      </c>
    </row>
    <row r="62" spans="2:20" x14ac:dyDescent="0.4">
      <c r="C62" s="361" t="e">
        <v>#VALUE!</v>
      </c>
      <c r="D62" s="351" t="e" vm="1">
        <f t="array" ref="D62">_FV(C62,"Official name",TRUE)</f>
        <v>#VALUE!</v>
      </c>
      <c r="E62" s="360" t="e" vm="2">
        <f t="array" ref="E62">_FV(C62,"Price")</f>
        <v>#VALUE!</v>
      </c>
      <c r="F62" s="354" t="e" vm="3">
        <f t="array" ref="F62">_FV(C62,"Change (%)",TRUE)</f>
        <v>#VALUE!</v>
      </c>
      <c r="G62" s="360" t="e" vm="4">
        <f t="array" ref="G62">_FV(C62,"Low")</f>
        <v>#VALUE!</v>
      </c>
      <c r="H62" s="360" t="e" vm="5">
        <f t="array" ref="H62">_FV(C62,"High")</f>
        <v>#VALUE!</v>
      </c>
      <c r="I62" s="360" t="e" vm="6">
        <f t="array" ref="I62">_FV(C62,"52 week low",TRUE)</f>
        <v>#VALUE!</v>
      </c>
      <c r="J62" s="360" t="e" vm="7">
        <f t="array" ref="J62">_FV(C62,"52 week high",TRUE)</f>
        <v>#VALUE!</v>
      </c>
      <c r="K62" s="351"/>
      <c r="L62" s="359" t="e" vm="8">
        <f t="array" ref="L62">_FV(C62,"Market cap",TRUE)/100000000</f>
        <v>#VALUE!</v>
      </c>
      <c r="M62" s="351"/>
      <c r="N62" s="350" t="e" vm="9">
        <f t="array" ref="N62">_FV(C62,"Description")</f>
        <v>#VALUE!</v>
      </c>
      <c r="P62" s="336">
        <v>737838.42</v>
      </c>
      <c r="Q62" s="358"/>
      <c r="R62" s="358"/>
    </row>
    <row r="63" spans="2:20" x14ac:dyDescent="0.4">
      <c r="C63" s="361" t="e">
        <v>#VALUE!</v>
      </c>
      <c r="D63" s="351" t="e" vm="1">
        <f t="array" ref="D63">_FV(C63,"Official name",TRUE)</f>
        <v>#VALUE!</v>
      </c>
      <c r="E63" s="360" t="e" vm="2">
        <f t="array" ref="E63">_FV(C63,"Price")</f>
        <v>#VALUE!</v>
      </c>
      <c r="F63" s="354" t="e" vm="3">
        <f t="array" ref="F63">_FV(C63,"Change (%)",TRUE)</f>
        <v>#VALUE!</v>
      </c>
      <c r="G63" s="360" t="e" vm="4">
        <f t="array" ref="G63">_FV(C63,"Low")</f>
        <v>#VALUE!</v>
      </c>
      <c r="H63" s="360" t="e" vm="5">
        <f t="array" ref="H63">_FV(C63,"High")</f>
        <v>#VALUE!</v>
      </c>
      <c r="I63" s="360" t="e" vm="6">
        <f t="array" ref="I63">_FV(C63,"52 week low",TRUE)</f>
        <v>#VALUE!</v>
      </c>
      <c r="J63" s="360" t="e" vm="7">
        <f t="array" ref="J63">_FV(C63,"52 week high",TRUE)</f>
        <v>#VALUE!</v>
      </c>
      <c r="K63" s="351"/>
      <c r="L63" s="359" t="e" vm="8">
        <f t="array" ref="L63">_FV(C63,"Market cap",TRUE)/100000000</f>
        <v>#VALUE!</v>
      </c>
      <c r="M63" s="351"/>
      <c r="N63" s="350" t="e" vm="9">
        <f t="array" ref="N63">_FV(C63,"Description")</f>
        <v>#VALUE!</v>
      </c>
      <c r="P63" s="336">
        <v>35.71</v>
      </c>
      <c r="Q63" s="358"/>
      <c r="R63" s="358"/>
    </row>
    <row r="64" spans="2:20" x14ac:dyDescent="0.4">
      <c r="C64" s="361" t="e">
        <v>#VALUE!</v>
      </c>
      <c r="D64" s="351" t="e" vm="1">
        <f t="array" ref="D64">_FV(C64,"Official name",TRUE)</f>
        <v>#VALUE!</v>
      </c>
      <c r="E64" s="360" t="e" vm="2">
        <f t="array" ref="E64">_FV(C64,"Price")</f>
        <v>#VALUE!</v>
      </c>
      <c r="F64" s="354" t="e" vm="3">
        <f t="array" ref="F64">_FV(C64,"Change (%)",TRUE)</f>
        <v>#VALUE!</v>
      </c>
      <c r="G64" s="360" t="e" vm="4">
        <f t="array" ref="G64">_FV(C64,"Low")</f>
        <v>#VALUE!</v>
      </c>
      <c r="H64" s="360" t="e" vm="5">
        <f t="array" ref="H64">_FV(C64,"High")</f>
        <v>#VALUE!</v>
      </c>
      <c r="I64" s="360" t="e" vm="6">
        <f t="array" ref="I64">_FV(C64,"52 week low",TRUE)</f>
        <v>#VALUE!</v>
      </c>
      <c r="J64" s="360" t="e" vm="7">
        <f t="array" ref="J64">_FV(C64,"52 week high",TRUE)</f>
        <v>#VALUE!</v>
      </c>
      <c r="K64" s="351"/>
      <c r="L64" s="359" t="e" vm="8">
        <f t="array" ref="L64">_FV(C64,"Market cap",TRUE)/100000000</f>
        <v>#VALUE!</v>
      </c>
      <c r="M64" s="351"/>
      <c r="N64" s="350" t="e" vm="9">
        <f t="array" ref="N64">_FV(C64,"Description")</f>
        <v>#VALUE!</v>
      </c>
      <c r="P64" s="336">
        <v>124.59</v>
      </c>
      <c r="Q64" s="358">
        <v>500</v>
      </c>
      <c r="R64" s="358">
        <v>103.5</v>
      </c>
      <c r="S64" s="358">
        <f>Q64/9+R64</f>
        <v>159.05555555555554</v>
      </c>
    </row>
    <row r="65" spans="2:20" x14ac:dyDescent="0.4">
      <c r="C65" s="361" t="e">
        <v>#VALUE!</v>
      </c>
      <c r="D65" s="351" t="e" vm="1">
        <f t="array" ref="D65">_FV(C65,"Official name",TRUE)</f>
        <v>#VALUE!</v>
      </c>
      <c r="E65" s="360" t="e" vm="2">
        <f t="array" ref="E65">_FV(C65,"Price")</f>
        <v>#VALUE!</v>
      </c>
      <c r="F65" s="354" t="e" vm="3">
        <f t="array" ref="F65">_FV(C65,"Change (%)",TRUE)</f>
        <v>#VALUE!</v>
      </c>
      <c r="G65" s="360" t="e" vm="4">
        <f t="array" ref="G65">_FV(C65,"Low")</f>
        <v>#VALUE!</v>
      </c>
      <c r="H65" s="360" t="e" vm="5">
        <f t="array" ref="H65">_FV(C65,"High")</f>
        <v>#VALUE!</v>
      </c>
      <c r="I65" s="360" t="e" vm="6">
        <f t="array" ref="I65">_FV(C65,"52 week low",TRUE)</f>
        <v>#VALUE!</v>
      </c>
      <c r="J65" s="360" t="e" vm="7">
        <f t="array" ref="J65">_FV(C65,"52 week high",TRUE)</f>
        <v>#VALUE!</v>
      </c>
      <c r="K65" s="351"/>
      <c r="L65" s="359" t="e" vm="8">
        <f t="array" ref="L65">_FV(C65,"Market cap",TRUE)/100000000</f>
        <v>#VALUE!</v>
      </c>
      <c r="M65" s="351"/>
      <c r="N65" s="350" t="e" vm="9">
        <f t="array" ref="N65">_FV(C65,"Description")</f>
        <v>#VALUE!</v>
      </c>
      <c r="P65" s="336">
        <v>2.15</v>
      </c>
      <c r="Q65" s="358">
        <v>1190</v>
      </c>
      <c r="R65" s="358">
        <v>3.7</v>
      </c>
      <c r="S65" s="358">
        <f>Q65/13+R65</f>
        <v>95.238461538461536</v>
      </c>
    </row>
    <row r="66" spans="2:20" x14ac:dyDescent="0.4">
      <c r="C66" s="361" t="e">
        <v>#VALUE!</v>
      </c>
      <c r="D66" s="351" t="e" vm="1">
        <f t="array" ref="D66">_FV(C66,"Official name",TRUE)</f>
        <v>#VALUE!</v>
      </c>
      <c r="E66" s="360" t="e" vm="2">
        <f t="array" ref="E66">_FV(C66,"Price")</f>
        <v>#VALUE!</v>
      </c>
      <c r="F66" s="354" t="e" vm="3">
        <f t="array" ref="F66">_FV(C66,"Change (%)",TRUE)</f>
        <v>#VALUE!</v>
      </c>
      <c r="G66" s="360" t="e" vm="4">
        <f t="array" ref="G66">_FV(C66,"Low")</f>
        <v>#VALUE!</v>
      </c>
      <c r="H66" s="360" t="e" vm="5">
        <f t="array" ref="H66">_FV(C66,"High")</f>
        <v>#VALUE!</v>
      </c>
      <c r="I66" s="360" t="e" vm="6">
        <f t="array" ref="I66">_FV(C66,"52 week low",TRUE)</f>
        <v>#VALUE!</v>
      </c>
      <c r="J66" s="360" t="e" vm="7">
        <f t="array" ref="J66">_FV(C66,"52 week high",TRUE)</f>
        <v>#VALUE!</v>
      </c>
      <c r="K66" s="351"/>
      <c r="L66" s="359" t="e" vm="8">
        <f t="array" ref="L66">_FV(C66,"Market cap",TRUE)/100000000</f>
        <v>#VALUE!</v>
      </c>
      <c r="M66" s="351"/>
      <c r="N66" s="350" t="e" vm="9">
        <f t="array" ref="N66">_FV(C66,"Description")</f>
        <v>#VALUE!</v>
      </c>
      <c r="P66" s="336">
        <v>23.84</v>
      </c>
      <c r="Q66" s="358"/>
      <c r="R66" s="358"/>
    </row>
    <row r="67" spans="2:20" x14ac:dyDescent="0.4">
      <c r="C67" s="361" t="e">
        <v>#VALUE!</v>
      </c>
      <c r="D67" s="351" t="e" vm="1">
        <f t="array" ref="D67">_FV(C67,"Official name",TRUE)</f>
        <v>#VALUE!</v>
      </c>
      <c r="E67" s="360" t="e" vm="2">
        <f t="array" ref="E67">_FV(C67,"Price")</f>
        <v>#VALUE!</v>
      </c>
      <c r="F67" s="354" t="e" vm="3">
        <f t="array" ref="F67">_FV(C67,"Change (%)",TRUE)</f>
        <v>#VALUE!</v>
      </c>
      <c r="G67" s="360" t="e" vm="4">
        <f t="array" ref="G67">_FV(C67,"Low")</f>
        <v>#VALUE!</v>
      </c>
      <c r="H67" s="360" t="e" vm="5">
        <f t="array" ref="H67">_FV(C67,"High")</f>
        <v>#VALUE!</v>
      </c>
      <c r="I67" s="360" t="e" vm="6">
        <f t="array" ref="I67">_FV(C67,"52 week low",TRUE)</f>
        <v>#VALUE!</v>
      </c>
      <c r="J67" s="360" t="e" vm="7">
        <f t="array" ref="J67">_FV(C67,"52 week high",TRUE)</f>
        <v>#VALUE!</v>
      </c>
      <c r="K67" s="351"/>
      <c r="L67" s="359" t="e" vm="8">
        <f t="array" ref="L67">_FV(C67,"Market cap",TRUE)/100000000</f>
        <v>#VALUE!</v>
      </c>
      <c r="M67" s="351"/>
      <c r="N67" s="350" t="e" vm="9">
        <f t="array" ref="N67">_FV(C67,"Description")</f>
        <v>#VALUE!</v>
      </c>
      <c r="P67" s="336">
        <v>11.5</v>
      </c>
      <c r="Q67" s="358"/>
      <c r="R67" s="358"/>
    </row>
    <row r="68" spans="2:20" x14ac:dyDescent="0.4">
      <c r="C68" s="361" t="e">
        <v>#VALUE!</v>
      </c>
      <c r="D68" s="351" t="e" vm="1">
        <f t="array" ref="D68">_FV(C68,"Official name",TRUE)</f>
        <v>#VALUE!</v>
      </c>
      <c r="E68" s="360" t="e" vm="2">
        <f t="array" ref="E68">_FV(C68,"Price")</f>
        <v>#VALUE!</v>
      </c>
      <c r="F68" s="354" t="e" vm="3">
        <f t="array" ref="F68">_FV(C68,"Change (%)",TRUE)</f>
        <v>#VALUE!</v>
      </c>
      <c r="G68" s="360" t="e" vm="4">
        <f t="array" ref="G68">_FV(C68,"Low")</f>
        <v>#VALUE!</v>
      </c>
      <c r="H68" s="360" t="e" vm="5">
        <f t="array" ref="H68">_FV(C68,"High")</f>
        <v>#VALUE!</v>
      </c>
      <c r="I68" s="360" t="e" vm="6">
        <f t="array" ref="I68">_FV(C68,"52 week low",TRUE)</f>
        <v>#VALUE!</v>
      </c>
      <c r="J68" s="360" t="e" vm="7">
        <f t="array" ref="J68">_FV(C68,"52 week high",TRUE)</f>
        <v>#VALUE!</v>
      </c>
      <c r="K68" s="351"/>
      <c r="L68" s="359" t="e" vm="8">
        <f t="array" ref="L68">_FV(C68,"Market cap",TRUE)/100000000</f>
        <v>#VALUE!</v>
      </c>
      <c r="M68" s="351"/>
      <c r="N68" s="350" t="e" vm="9">
        <f t="array" ref="N68">_FV(C68,"Description")</f>
        <v>#VALUE!</v>
      </c>
      <c r="P68" s="336">
        <v>4.04</v>
      </c>
      <c r="Q68" s="358">
        <v>810</v>
      </c>
      <c r="R68" s="358">
        <v>3.5</v>
      </c>
      <c r="S68" s="358">
        <f>Q68/33+R68</f>
        <v>28.045454545454547</v>
      </c>
    </row>
    <row r="69" spans="2:20" x14ac:dyDescent="0.4">
      <c r="C69" s="357"/>
      <c r="D69" s="351" t="e" vm="1">
        <f t="array" ref="D69">_FV(C69,"Official name",TRUE)</f>
        <v>#VALUE!</v>
      </c>
      <c r="E69" s="352" t="e" vm="2">
        <f t="array" ref="E69">_FV(C69,"Price")</f>
        <v>#VALUE!</v>
      </c>
      <c r="F69" s="356" t="e" vm="3">
        <f t="array" ref="F69">_FV(C69,"Change (%)",TRUE)</f>
        <v>#VALUE!</v>
      </c>
      <c r="G69" s="352" t="e" vm="4">
        <f t="array" ref="G69">_FV(C69,"Low")</f>
        <v>#VALUE!</v>
      </c>
      <c r="H69" s="352" t="e" vm="5">
        <f t="array" ref="H69">_FV(C69,"High")</f>
        <v>#VALUE!</v>
      </c>
      <c r="I69" s="353" t="e" vm="6">
        <f t="array" ref="I69">_FV(C69,"52 week low",TRUE)</f>
        <v>#VALUE!</v>
      </c>
      <c r="J69" s="353" t="e" vm="7">
        <f t="array" ref="J69">_FV(C69,"52 week high",TRUE)</f>
        <v>#VALUE!</v>
      </c>
      <c r="K69" s="351"/>
      <c r="L69" s="352" t="e" vm="8">
        <f t="array" ref="L69">_FV(C69,"Market cap",TRUE)/100000000</f>
        <v>#VALUE!</v>
      </c>
      <c r="M69" s="351"/>
      <c r="N69" s="350" t="e" vm="9">
        <f t="array" ref="N69">_FV(C69,"Description")</f>
        <v>#VALUE!</v>
      </c>
    </row>
    <row r="70" spans="2:20" x14ac:dyDescent="0.4">
      <c r="C70" s="357"/>
      <c r="D70" s="351" t="e" vm="1">
        <f t="array" ref="D70">_FV(C70,"Official name",TRUE)</f>
        <v>#VALUE!</v>
      </c>
      <c r="E70" s="352" t="e" vm="2">
        <f t="array" ref="E70">_FV(C70,"Price")</f>
        <v>#VALUE!</v>
      </c>
      <c r="F70" s="356" t="e" vm="3">
        <f t="array" ref="F70">_FV(C70,"Change (%)",TRUE)</f>
        <v>#VALUE!</v>
      </c>
      <c r="G70" s="352" t="e" vm="4">
        <f t="array" ref="G70">_FV(C70,"Low")</f>
        <v>#VALUE!</v>
      </c>
      <c r="H70" s="352" t="e" vm="5">
        <f t="array" ref="H70">_FV(C70,"High")</f>
        <v>#VALUE!</v>
      </c>
      <c r="I70" s="353" t="e" vm="6">
        <f t="array" ref="I70">_FV(C70,"52 week low",TRUE)</f>
        <v>#VALUE!</v>
      </c>
      <c r="J70" s="353" t="e" vm="7">
        <f t="array" ref="J70">_FV(C70,"52 week high",TRUE)</f>
        <v>#VALUE!</v>
      </c>
      <c r="K70" s="351"/>
      <c r="L70" s="352" t="e" vm="8">
        <f t="array" ref="L70">_FV(C70,"Market cap",TRUE)/100000000</f>
        <v>#VALUE!</v>
      </c>
      <c r="M70" s="351"/>
      <c r="N70" s="350" t="e" vm="9">
        <f t="array" ref="N70">_FV(C70,"Description")</f>
        <v>#VALUE!</v>
      </c>
    </row>
    <row r="71" spans="2:20" x14ac:dyDescent="0.4">
      <c r="C71" s="357"/>
      <c r="D71" s="351" t="e" vm="1">
        <f t="array" ref="D71">_FV(C71,"Official name",TRUE)</f>
        <v>#VALUE!</v>
      </c>
      <c r="E71" s="352" t="e" vm="2">
        <f t="array" ref="E71">_FV(C71,"Price")</f>
        <v>#VALUE!</v>
      </c>
      <c r="F71" s="356" t="e" vm="3">
        <f t="array" ref="F71">_FV(C71,"Change (%)",TRUE)</f>
        <v>#VALUE!</v>
      </c>
      <c r="G71" s="352" t="e" vm="4">
        <f t="array" ref="G71">_FV(C71,"Low")</f>
        <v>#VALUE!</v>
      </c>
      <c r="H71" s="352" t="e" vm="5">
        <f t="array" ref="H71">_FV(C71,"High")</f>
        <v>#VALUE!</v>
      </c>
      <c r="I71" s="353" t="e" vm="6">
        <f t="array" ref="I71">_FV(C71,"52 week low",TRUE)</f>
        <v>#VALUE!</v>
      </c>
      <c r="J71" s="353" t="e" vm="7">
        <f t="array" ref="J71">_FV(C71,"52 week high",TRUE)</f>
        <v>#VALUE!</v>
      </c>
      <c r="K71" s="351"/>
      <c r="L71" s="352" t="e" vm="8">
        <f t="array" ref="L71">_FV(C71,"Market cap",TRUE)/100000000</f>
        <v>#VALUE!</v>
      </c>
      <c r="M71" s="351"/>
      <c r="N71" s="350" t="e" vm="9">
        <f t="array" ref="N71">_FV(C71,"Description")</f>
        <v>#VALUE!</v>
      </c>
      <c r="Q71" s="336" t="s">
        <v>1054</v>
      </c>
      <c r="R71" s="336" t="s">
        <v>1055</v>
      </c>
      <c r="S71" s="336" t="s">
        <v>1058</v>
      </c>
      <c r="T71" s="336" t="s">
        <v>1057</v>
      </c>
    </row>
    <row r="72" spans="2:20" x14ac:dyDescent="0.4">
      <c r="B72" s="336" t="s">
        <v>276</v>
      </c>
      <c r="C72" s="355" t="e">
        <v>#VALUE!</v>
      </c>
      <c r="D72" s="351" t="e" vm="1">
        <f t="array" ref="D72">_FV(C72,"Official name",TRUE)</f>
        <v>#VALUE!</v>
      </c>
      <c r="E72" s="352" t="e" vm="2">
        <f t="array" ref="E72">_FV(C72,"Price")</f>
        <v>#VALUE!</v>
      </c>
      <c r="F72" s="354" t="e" vm="3">
        <f t="array" ref="F72">_FV(C72,"Change (%)",TRUE)</f>
        <v>#VALUE!</v>
      </c>
      <c r="G72" s="352" t="e" vm="4">
        <f t="array" ref="G72">_FV(C72,"Low")</f>
        <v>#VALUE!</v>
      </c>
      <c r="H72" s="352" t="e" vm="5">
        <f t="array" ref="H72">_FV(C72,"High")</f>
        <v>#VALUE!</v>
      </c>
      <c r="I72" s="353" t="e" vm="6">
        <f t="array" ref="I72">_FV(C72,"52 week low",TRUE)</f>
        <v>#VALUE!</v>
      </c>
      <c r="J72" s="353" t="e" vm="7">
        <f t="array" ref="J72">_FV(C72,"52 week high",TRUE)</f>
        <v>#VALUE!</v>
      </c>
      <c r="K72" s="351"/>
      <c r="L72" s="352" t="e" vm="8">
        <f t="array" ref="L72">_FV(C72,"Market cap",TRUE)/100000000</f>
        <v>#VALUE!</v>
      </c>
      <c r="M72" s="351"/>
      <c r="N72" s="350" t="e" vm="9">
        <f t="array" ref="N72">_FV(C72,"Description")</f>
        <v>#VALUE!</v>
      </c>
      <c r="O72" s="336" t="s">
        <v>1059</v>
      </c>
      <c r="Q72" s="349">
        <v>230000</v>
      </c>
      <c r="R72" s="349">
        <v>40150</v>
      </c>
      <c r="S72" s="349"/>
      <c r="T72" s="349"/>
    </row>
    <row r="73" spans="2:20" x14ac:dyDescent="0.4">
      <c r="B73" s="336" t="s">
        <v>268</v>
      </c>
      <c r="C73" s="355" t="e">
        <v>#VALUE!</v>
      </c>
      <c r="D73" s="351" t="e" vm="1">
        <f t="array" ref="D73">_FV(C73,"Official name",TRUE)</f>
        <v>#VALUE!</v>
      </c>
      <c r="E73" s="352" t="e" vm="2">
        <f t="array" ref="E73">_FV(C73,"Price")</f>
        <v>#VALUE!</v>
      </c>
      <c r="F73" s="354" t="e" vm="3">
        <f t="array" ref="F73">_FV(C73,"Change (%)",TRUE)</f>
        <v>#VALUE!</v>
      </c>
      <c r="G73" s="352" t="e" vm="4">
        <f t="array" ref="G73">_FV(C73,"Low")</f>
        <v>#VALUE!</v>
      </c>
      <c r="H73" s="352" t="e" vm="5">
        <f t="array" ref="H73">_FV(C73,"High")</f>
        <v>#VALUE!</v>
      </c>
      <c r="I73" s="353" t="e" vm="6">
        <f t="array" ref="I73">_FV(C73,"52 week low",TRUE)</f>
        <v>#VALUE!</v>
      </c>
      <c r="J73" s="353" t="e" vm="7">
        <f t="array" ref="J73">_FV(C73,"52 week high",TRUE)</f>
        <v>#VALUE!</v>
      </c>
      <c r="K73" s="351"/>
      <c r="L73" s="352" t="e" vm="8">
        <f t="array" ref="L73">_FV(C73,"Market cap",TRUE)/100000000</f>
        <v>#VALUE!</v>
      </c>
      <c r="M73" s="351"/>
      <c r="N73" s="350" t="e" vm="9">
        <f t="array" ref="N73">_FV(C73,"Description")</f>
        <v>#VALUE!</v>
      </c>
      <c r="O73" s="336" t="s">
        <v>1059</v>
      </c>
      <c r="Q73" s="349">
        <v>110000</v>
      </c>
      <c r="R73" s="349">
        <v>45200</v>
      </c>
      <c r="S73" s="349"/>
      <c r="T73" s="349"/>
    </row>
    <row r="74" spans="2:20" x14ac:dyDescent="0.4">
      <c r="B74" s="336" t="s">
        <v>383</v>
      </c>
      <c r="C74" s="355" t="s">
        <v>1060</v>
      </c>
      <c r="D74" s="351" t="e" vm="1">
        <f t="array" ref="D74">_FV(C74,"Official name",TRUE)</f>
        <v>#VALUE!</v>
      </c>
      <c r="E74" s="352" t="e" vm="2">
        <f t="array" ref="E74">_FV(C74,"Price")</f>
        <v>#VALUE!</v>
      </c>
      <c r="F74" s="354" t="e" vm="3">
        <f t="array" ref="F74">_FV(C74,"Change (%)",TRUE)</f>
        <v>#VALUE!</v>
      </c>
      <c r="G74" s="352" t="e" vm="4">
        <f t="array" ref="G74">_FV(C74,"Low")</f>
        <v>#VALUE!</v>
      </c>
      <c r="H74" s="352" t="e" vm="5">
        <f t="array" ref="H74">_FV(C74,"High")</f>
        <v>#VALUE!</v>
      </c>
      <c r="I74" s="353" t="e" vm="6">
        <f t="array" ref="I74">_FV(C74,"52 week low",TRUE)</f>
        <v>#VALUE!</v>
      </c>
      <c r="J74" s="353" t="e" vm="7">
        <f t="array" ref="J74">_FV(C74,"52 week high",TRUE)</f>
        <v>#VALUE!</v>
      </c>
      <c r="K74" s="351"/>
      <c r="L74" s="352" t="e" vm="8">
        <f t="array" ref="L74">_FV(C74,"Market cap",TRUE)/100000000</f>
        <v>#VALUE!</v>
      </c>
      <c r="M74" s="351"/>
      <c r="N74" s="350" t="e" vm="9">
        <f t="array" ref="N74">_FV(C74,"Description")</f>
        <v>#VALUE!</v>
      </c>
      <c r="O74" s="336" t="s">
        <v>1059</v>
      </c>
      <c r="Q74" s="349">
        <v>25000</v>
      </c>
      <c r="R74" s="349">
        <v>61500</v>
      </c>
      <c r="S74" s="349"/>
      <c r="T74" s="349" t="s">
        <v>1061</v>
      </c>
    </row>
    <row r="75" spans="2:20" x14ac:dyDescent="0.4">
      <c r="B75" s="336" t="s">
        <v>415</v>
      </c>
      <c r="C75" s="355" t="e">
        <v>#VALUE!</v>
      </c>
      <c r="D75" s="351" t="e" vm="1">
        <f t="array" ref="D75">_FV(C75,"Official name",TRUE)</f>
        <v>#VALUE!</v>
      </c>
      <c r="E75" s="352" t="e" vm="2">
        <f t="array" ref="E75">_FV(C75,"Price")</f>
        <v>#VALUE!</v>
      </c>
      <c r="F75" s="354" t="e" vm="3">
        <f t="array" ref="F75">_FV(C75,"Change (%)",TRUE)</f>
        <v>#VALUE!</v>
      </c>
      <c r="G75" s="352" t="e" vm="4">
        <f t="array" ref="G75">_FV(C75,"Low")</f>
        <v>#VALUE!</v>
      </c>
      <c r="H75" s="352" t="e" vm="5">
        <f t="array" ref="H75">_FV(C75,"High")</f>
        <v>#VALUE!</v>
      </c>
      <c r="I75" s="353" t="e" vm="6">
        <f t="array" ref="I75">_FV(C75,"52 week low",TRUE)</f>
        <v>#VALUE!</v>
      </c>
      <c r="J75" s="353" t="e" vm="7">
        <f t="array" ref="J75">_FV(C75,"52 week high",TRUE)</f>
        <v>#VALUE!</v>
      </c>
      <c r="K75" s="351"/>
      <c r="L75" s="352" t="e" vm="8">
        <f t="array" ref="L75">_FV(C75,"Market cap",TRUE)/100000000</f>
        <v>#VALUE!</v>
      </c>
      <c r="M75" s="351"/>
      <c r="N75" s="350" t="e" vm="9">
        <f t="array" ref="N75">_FV(C75,"Description")</f>
        <v>#VALUE!</v>
      </c>
      <c r="O75" s="336" t="s">
        <v>1059</v>
      </c>
      <c r="Q75" s="349">
        <v>260000</v>
      </c>
      <c r="R75" s="349">
        <v>6410</v>
      </c>
      <c r="S75" s="349"/>
      <c r="T75" s="349"/>
    </row>
    <row r="76" spans="2:20" x14ac:dyDescent="0.4">
      <c r="B76" s="336" t="s">
        <v>1062</v>
      </c>
      <c r="C76" s="355" t="e">
        <v>#VALUE!</v>
      </c>
      <c r="D76" s="351" t="e" vm="1">
        <f t="array" ref="D76">_FV(C76,"Official name",TRUE)</f>
        <v>#VALUE!</v>
      </c>
      <c r="E76" s="352" t="e" vm="2">
        <f t="array" ref="E76">_FV(C76,"Price")</f>
        <v>#VALUE!</v>
      </c>
      <c r="F76" s="354" t="e" vm="3">
        <f t="array" ref="F76">_FV(C76,"Change (%)",TRUE)</f>
        <v>#VALUE!</v>
      </c>
      <c r="G76" s="352" t="e" vm="4">
        <f t="array" ref="G76">_FV(C76,"Low")</f>
        <v>#VALUE!</v>
      </c>
      <c r="H76" s="352" t="e" vm="5">
        <f t="array" ref="H76">_FV(C76,"High")</f>
        <v>#VALUE!</v>
      </c>
      <c r="I76" s="353" t="e" vm="6">
        <f t="array" ref="I76">_FV(C76,"52 week low",TRUE)</f>
        <v>#VALUE!</v>
      </c>
      <c r="J76" s="353" t="e" vm="7">
        <f t="array" ref="J76">_FV(C76,"52 week high",TRUE)</f>
        <v>#VALUE!</v>
      </c>
      <c r="K76" s="351"/>
      <c r="L76" s="352" t="e" vm="8">
        <f t="array" ref="L76">_FV(C76,"Market cap",TRUE)/100000000</f>
        <v>#VALUE!</v>
      </c>
      <c r="M76" s="351"/>
      <c r="N76" s="350" t="e" vm="9">
        <f t="array" ref="N76">_FV(C76,"Description")</f>
        <v>#VALUE!</v>
      </c>
      <c r="O76" s="336" t="s">
        <v>1059</v>
      </c>
      <c r="Q76" s="349">
        <v>780000</v>
      </c>
      <c r="R76" s="349">
        <v>12750</v>
      </c>
      <c r="S76" s="349"/>
      <c r="T76" s="349"/>
    </row>
    <row r="77" spans="2:20" x14ac:dyDescent="0.4">
      <c r="B77" s="336" t="s">
        <v>1063</v>
      </c>
      <c r="C77" s="355" t="e">
        <v>#VALUE!</v>
      </c>
      <c r="D77" s="351" t="e" vm="1">
        <f t="array" ref="D77">_FV(C77,"Official name",TRUE)</f>
        <v>#VALUE!</v>
      </c>
      <c r="E77" s="352" t="e" vm="2">
        <f t="array" ref="E77">_FV(C77,"Price")</f>
        <v>#VALUE!</v>
      </c>
      <c r="F77" s="354" t="e" vm="3">
        <f t="array" ref="F77">_FV(C77,"Change (%)",TRUE)</f>
        <v>#VALUE!</v>
      </c>
      <c r="G77" s="352" t="e" vm="4">
        <f t="array" ref="G77">_FV(C77,"Low")</f>
        <v>#VALUE!</v>
      </c>
      <c r="H77" s="352" t="e" vm="5">
        <f t="array" ref="H77">_FV(C77,"High")</f>
        <v>#VALUE!</v>
      </c>
      <c r="I77" s="353" t="e" vm="6">
        <f t="array" ref="I77">_FV(C77,"52 week low",TRUE)</f>
        <v>#VALUE!</v>
      </c>
      <c r="J77" s="353" t="e" vm="7">
        <f t="array" ref="J77">_FV(C77,"52 week high",TRUE)</f>
        <v>#VALUE!</v>
      </c>
      <c r="K77" s="351"/>
      <c r="L77" s="352" t="e" vm="8">
        <f t="array" ref="L77">_FV(C77,"Market cap",TRUE)/100000000</f>
        <v>#VALUE!</v>
      </c>
      <c r="M77" s="351"/>
      <c r="N77" s="350" t="e" vm="9">
        <f t="array" ref="N77">_FV(C77,"Description")</f>
        <v>#VALUE!</v>
      </c>
      <c r="O77" s="336" t="s">
        <v>1059</v>
      </c>
      <c r="Q77" s="349">
        <v>130000</v>
      </c>
      <c r="R77" s="349">
        <v>45000</v>
      </c>
      <c r="S77" s="349"/>
      <c r="T77" s="349"/>
    </row>
    <row r="78" spans="2:20" x14ac:dyDescent="0.4">
      <c r="B78" s="336" t="s">
        <v>286</v>
      </c>
      <c r="C78" s="355" t="e">
        <v>#VALUE!</v>
      </c>
      <c r="D78" s="351" t="e" vm="1">
        <f t="array" ref="D78">_FV(C78,"Official name",TRUE)</f>
        <v>#VALUE!</v>
      </c>
      <c r="E78" s="352" t="e" vm="2">
        <f t="array" ref="E78">_FV(C78,"Price")</f>
        <v>#VALUE!</v>
      </c>
      <c r="F78" s="354" t="e" vm="3">
        <f t="array" ref="F78">_FV(C78,"Change (%)",TRUE)</f>
        <v>#VALUE!</v>
      </c>
      <c r="G78" s="352" t="e" vm="4">
        <f t="array" ref="G78">_FV(C78,"Low")</f>
        <v>#VALUE!</v>
      </c>
      <c r="H78" s="352" t="e" vm="5">
        <f t="array" ref="H78">_FV(C78,"High")</f>
        <v>#VALUE!</v>
      </c>
      <c r="I78" s="353" t="e" vm="6">
        <f t="array" ref="I78">_FV(C78,"52 week low",TRUE)</f>
        <v>#VALUE!</v>
      </c>
      <c r="J78" s="353" t="e" vm="7">
        <f t="array" ref="J78">_FV(C78,"52 week high",TRUE)</f>
        <v>#VALUE!</v>
      </c>
      <c r="K78" s="351"/>
      <c r="L78" s="352" t="e" vm="8">
        <f t="array" ref="L78">_FV(C78,"Market cap",TRUE)/100000000</f>
        <v>#VALUE!</v>
      </c>
      <c r="M78" s="351"/>
      <c r="N78" s="350" t="e" vm="9">
        <f t="array" ref="N78">_FV(C78,"Description")</f>
        <v>#VALUE!</v>
      </c>
      <c r="O78" s="336" t="s">
        <v>1059</v>
      </c>
      <c r="Q78" s="349">
        <v>510000</v>
      </c>
      <c r="R78" s="349">
        <v>4870</v>
      </c>
      <c r="S78" s="349"/>
      <c r="T78" s="349"/>
    </row>
    <row r="79" spans="2:20" x14ac:dyDescent="0.4">
      <c r="B79" s="336" t="s">
        <v>322</v>
      </c>
      <c r="C79" s="355" t="e">
        <v>#VALUE!</v>
      </c>
      <c r="D79" s="351" t="e" vm="1">
        <f t="array" ref="D79">_FV(C79,"Official name",TRUE)</f>
        <v>#VALUE!</v>
      </c>
      <c r="E79" s="352" t="e" vm="2">
        <f t="array" ref="E79">_FV(C79,"Price")</f>
        <v>#VALUE!</v>
      </c>
      <c r="F79" s="354" t="e" vm="3">
        <f t="array" ref="F79">_FV(C79,"Change (%)",TRUE)</f>
        <v>#VALUE!</v>
      </c>
      <c r="G79" s="352" t="e" vm="4">
        <f t="array" ref="G79">_FV(C79,"Low")</f>
        <v>#VALUE!</v>
      </c>
      <c r="H79" s="352" t="e" vm="5">
        <f t="array" ref="H79">_FV(C79,"High")</f>
        <v>#VALUE!</v>
      </c>
      <c r="I79" s="353" t="e" vm="6">
        <f t="array" ref="I79">_FV(C79,"52 week low",TRUE)</f>
        <v>#VALUE!</v>
      </c>
      <c r="J79" s="353" t="e" vm="7">
        <f t="array" ref="J79">_FV(C79,"52 week high",TRUE)</f>
        <v>#VALUE!</v>
      </c>
      <c r="K79" s="351"/>
      <c r="L79" s="352" t="e" vm="8">
        <f t="array" ref="L79">_FV(C79,"Market cap",TRUE)/100000000</f>
        <v>#VALUE!</v>
      </c>
      <c r="M79" s="351"/>
      <c r="N79" s="350" t="e" vm="9">
        <f t="array" ref="N79">_FV(C79,"Description")</f>
        <v>#VALUE!</v>
      </c>
      <c r="O79" s="336" t="s">
        <v>1059</v>
      </c>
      <c r="Q79" s="349">
        <v>2360000</v>
      </c>
      <c r="R79" s="349">
        <v>12000</v>
      </c>
      <c r="S79" s="349"/>
      <c r="T79" s="349"/>
    </row>
    <row r="80" spans="2:20" x14ac:dyDescent="0.4">
      <c r="B80" s="336" t="s">
        <v>327</v>
      </c>
      <c r="C80" s="355" t="e">
        <v>#VALUE!</v>
      </c>
      <c r="D80" s="351" t="e" vm="1">
        <f t="array" ref="D80">_FV(C80,"Official name",TRUE)</f>
        <v>#VALUE!</v>
      </c>
      <c r="E80" s="352" t="e" vm="2">
        <f t="array" ref="E80">_FV(C80,"Price")</f>
        <v>#VALUE!</v>
      </c>
      <c r="F80" s="354" t="e" vm="3">
        <f t="array" ref="F80">_FV(C80,"Change (%)",TRUE)</f>
        <v>#VALUE!</v>
      </c>
      <c r="G80" s="352" t="e" vm="4">
        <f t="array" ref="G80">_FV(C80,"Low")</f>
        <v>#VALUE!</v>
      </c>
      <c r="H80" s="352" t="e" vm="5">
        <f t="array" ref="H80">_FV(C80,"High")</f>
        <v>#VALUE!</v>
      </c>
      <c r="I80" s="353" t="e" vm="6">
        <f t="array" ref="I80">_FV(C80,"52 week low",TRUE)</f>
        <v>#VALUE!</v>
      </c>
      <c r="J80" s="353" t="e" vm="7">
        <f t="array" ref="J80">_FV(C80,"52 week high",TRUE)</f>
        <v>#VALUE!</v>
      </c>
      <c r="K80" s="351"/>
      <c r="L80" s="352" t="e" vm="8">
        <f t="array" ref="L80">_FV(C80,"Market cap",TRUE)/100000000</f>
        <v>#VALUE!</v>
      </c>
      <c r="M80" s="351"/>
      <c r="N80" s="350" t="e" vm="9">
        <f t="array" ref="N80">_FV(C80,"Description")</f>
        <v>#VALUE!</v>
      </c>
      <c r="O80" s="336" t="s">
        <v>1059</v>
      </c>
      <c r="Q80" s="349">
        <v>380000</v>
      </c>
      <c r="R80" s="349">
        <v>34000</v>
      </c>
      <c r="S80" s="349"/>
      <c r="T80" s="349"/>
    </row>
    <row r="81" spans="2:20" x14ac:dyDescent="0.4">
      <c r="B81" s="336" t="s">
        <v>456</v>
      </c>
      <c r="C81" s="355" t="e">
        <v>#VALUE!</v>
      </c>
      <c r="D81" s="351" t="e" vm="1">
        <f t="array" ref="D81">_FV(C81,"Official name",TRUE)</f>
        <v>#VALUE!</v>
      </c>
      <c r="E81" s="352" t="e" vm="2">
        <f t="array" ref="E81">_FV(C81,"Price")</f>
        <v>#VALUE!</v>
      </c>
      <c r="F81" s="354" t="e" vm="3">
        <f t="array" ref="F81">_FV(C81,"Change (%)",TRUE)</f>
        <v>#VALUE!</v>
      </c>
      <c r="G81" s="352" t="e" vm="4">
        <f t="array" ref="G81">_FV(C81,"Low")</f>
        <v>#VALUE!</v>
      </c>
      <c r="H81" s="352" t="e" vm="5">
        <f t="array" ref="H81">_FV(C81,"High")</f>
        <v>#VALUE!</v>
      </c>
      <c r="I81" s="353" t="e" vm="6">
        <f t="array" ref="I81">_FV(C81,"52 week low",TRUE)</f>
        <v>#VALUE!</v>
      </c>
      <c r="J81" s="353" t="e" vm="7">
        <f t="array" ref="J81">_FV(C81,"52 week high",TRUE)</f>
        <v>#VALUE!</v>
      </c>
      <c r="K81" s="351"/>
      <c r="L81" s="352" t="e" vm="8">
        <f t="array" ref="L81">_FV(C81,"Market cap",TRUE)/100000000</f>
        <v>#VALUE!</v>
      </c>
      <c r="M81" s="351"/>
      <c r="N81" s="350" t="e" vm="9">
        <f t="array" ref="N81">_FV(C81,"Description")</f>
        <v>#VALUE!</v>
      </c>
      <c r="O81" s="336" t="s">
        <v>1059</v>
      </c>
      <c r="Q81" s="349">
        <v>6400000</v>
      </c>
      <c r="R81" s="349">
        <v>30550</v>
      </c>
      <c r="S81" s="349"/>
      <c r="T81" s="349"/>
    </row>
    <row r="82" spans="2:20" x14ac:dyDescent="0.4">
      <c r="B82" s="336" t="s">
        <v>451</v>
      </c>
      <c r="C82" s="355" t="e">
        <v>#VALUE!</v>
      </c>
      <c r="D82" s="351" t="e" vm="1">
        <f t="array" ref="D82">_FV(C82,"Official name",TRUE)</f>
        <v>#VALUE!</v>
      </c>
      <c r="E82" s="352" t="e" vm="2">
        <f t="array" ref="E82">_FV(C82,"Price")</f>
        <v>#VALUE!</v>
      </c>
      <c r="F82" s="354" t="e" vm="3">
        <f t="array" ref="F82">_FV(C82,"Change (%)",TRUE)</f>
        <v>#VALUE!</v>
      </c>
      <c r="G82" s="352" t="e" vm="4">
        <f t="array" ref="G82">_FV(C82,"Low")</f>
        <v>#VALUE!</v>
      </c>
      <c r="H82" s="352" t="e" vm="5">
        <f t="array" ref="H82">_FV(C82,"High")</f>
        <v>#VALUE!</v>
      </c>
      <c r="I82" s="353" t="e" vm="6">
        <f t="array" ref="I82">_FV(C82,"52 week low",TRUE)</f>
        <v>#VALUE!</v>
      </c>
      <c r="J82" s="353" t="e" vm="7">
        <f t="array" ref="J82">_FV(C82,"52 week high",TRUE)</f>
        <v>#VALUE!</v>
      </c>
      <c r="K82" s="351"/>
      <c r="L82" s="352" t="e" vm="8">
        <f t="array" ref="L82">_FV(C82,"Market cap",TRUE)/100000000</f>
        <v>#VALUE!</v>
      </c>
      <c r="M82" s="351"/>
      <c r="N82" s="350" t="e" vm="9">
        <f t="array" ref="N82">_FV(C82,"Description")</f>
        <v>#VALUE!</v>
      </c>
      <c r="O82" s="336" t="s">
        <v>1059</v>
      </c>
      <c r="Q82" s="349">
        <v>730000</v>
      </c>
      <c r="R82" s="349">
        <v>24500</v>
      </c>
      <c r="S82" s="349"/>
      <c r="T82" s="349"/>
    </row>
    <row r="83" spans="2:20" x14ac:dyDescent="0.4">
      <c r="B83" s="336" t="s">
        <v>1064</v>
      </c>
      <c r="C83" s="355" t="e">
        <v>#VALUE!</v>
      </c>
      <c r="D83" s="351" t="e" vm="1">
        <f t="array" ref="D83">_FV(C83,"Official name",TRUE)</f>
        <v>#VALUE!</v>
      </c>
      <c r="E83" s="352" t="e" vm="2">
        <f t="array" ref="E83">_FV(C83,"Price")</f>
        <v>#VALUE!</v>
      </c>
      <c r="F83" s="354" t="e" vm="3">
        <f t="array" ref="F83">_FV(C83,"Change (%)",TRUE)</f>
        <v>#VALUE!</v>
      </c>
      <c r="G83" s="352" t="e" vm="4">
        <f t="array" ref="G83">_FV(C83,"Low")</f>
        <v>#VALUE!</v>
      </c>
      <c r="H83" s="352" t="e" vm="5">
        <f t="array" ref="H83">_FV(C83,"High")</f>
        <v>#VALUE!</v>
      </c>
      <c r="I83" s="353" t="e" vm="6">
        <f t="array" ref="I83">_FV(C83,"52 week low",TRUE)</f>
        <v>#VALUE!</v>
      </c>
      <c r="J83" s="353" t="e" vm="7">
        <f t="array" ref="J83">_FV(C83,"52 week high",TRUE)</f>
        <v>#VALUE!</v>
      </c>
      <c r="K83" s="351"/>
      <c r="L83" s="352" t="e" vm="8">
        <f t="array" ref="L83">_FV(C83,"Market cap",TRUE)/100000000</f>
        <v>#VALUE!</v>
      </c>
      <c r="M83" s="351"/>
      <c r="N83" s="350" t="e" vm="9">
        <f t="array" ref="N83">_FV(C83,"Description")</f>
        <v>#VALUE!</v>
      </c>
      <c r="O83" s="336" t="s">
        <v>1059</v>
      </c>
      <c r="Q83" s="349">
        <v>540000</v>
      </c>
      <c r="R83" s="349">
        <v>3200</v>
      </c>
      <c r="S83" s="349"/>
      <c r="T83" s="349"/>
    </row>
    <row r="84" spans="2:20" x14ac:dyDescent="0.4">
      <c r="B84" s="336" t="s">
        <v>382</v>
      </c>
      <c r="C84" s="355" t="e">
        <v>#VALUE!</v>
      </c>
      <c r="D84" s="351" t="e" vm="1">
        <f t="array" ref="D84">_FV(C84,"Official name",TRUE)</f>
        <v>#VALUE!</v>
      </c>
      <c r="E84" s="352" t="e" vm="2">
        <f t="array" ref="E84">_FV(C84,"Price")</f>
        <v>#VALUE!</v>
      </c>
      <c r="F84" s="354" t="e" vm="3">
        <f t="array" ref="F84">_FV(C84,"Change (%)",TRUE)</f>
        <v>#VALUE!</v>
      </c>
      <c r="G84" s="352" t="e" vm="4">
        <f t="array" ref="G84">_FV(C84,"Low")</f>
        <v>#VALUE!</v>
      </c>
      <c r="H84" s="352" t="e" vm="5">
        <f t="array" ref="H84">_FV(C84,"High")</f>
        <v>#VALUE!</v>
      </c>
      <c r="I84" s="353" t="e" vm="6">
        <f t="array" ref="I84">_FV(C84,"52 week low",TRUE)</f>
        <v>#VALUE!</v>
      </c>
      <c r="J84" s="353" t="e" vm="7">
        <f t="array" ref="J84">_FV(C84,"52 week high",TRUE)</f>
        <v>#VALUE!</v>
      </c>
      <c r="K84" s="351"/>
      <c r="L84" s="352" t="e" vm="8">
        <f t="array" ref="L84">_FV(C84,"Market cap",TRUE)/100000000</f>
        <v>#VALUE!</v>
      </c>
      <c r="M84" s="351"/>
      <c r="N84" s="350" t="e" vm="9">
        <f t="array" ref="N84">_FV(C84,"Description")</f>
        <v>#VALUE!</v>
      </c>
      <c r="O84" s="336" t="s">
        <v>1059</v>
      </c>
      <c r="Q84" s="349">
        <v>420000</v>
      </c>
      <c r="R84" s="349">
        <v>111000</v>
      </c>
      <c r="S84" s="349"/>
      <c r="T84" s="349"/>
    </row>
    <row r="85" spans="2:20" x14ac:dyDescent="0.4">
      <c r="B85" s="336" t="s">
        <v>414</v>
      </c>
      <c r="C85" s="355" t="e">
        <v>#VALUE!</v>
      </c>
      <c r="D85" s="351" t="e" vm="1">
        <f t="array" ref="D85">_FV(C85,"Official name",TRUE)</f>
        <v>#VALUE!</v>
      </c>
      <c r="E85" s="352" t="e" vm="2">
        <f t="array" ref="E85">_FV(C85,"Price")</f>
        <v>#VALUE!</v>
      </c>
      <c r="F85" s="354" t="e" vm="3">
        <f t="array" ref="F85">_FV(C85,"Change (%)",TRUE)</f>
        <v>#VALUE!</v>
      </c>
      <c r="G85" s="352" t="e" vm="4">
        <f t="array" ref="G85">_FV(C85,"Low")</f>
        <v>#VALUE!</v>
      </c>
      <c r="H85" s="352" t="e" vm="5">
        <f t="array" ref="H85">_FV(C85,"High")</f>
        <v>#VALUE!</v>
      </c>
      <c r="I85" s="353" t="e" vm="6">
        <f t="array" ref="I85">_FV(C85,"52 week low",TRUE)</f>
        <v>#VALUE!</v>
      </c>
      <c r="J85" s="353" t="e" vm="7">
        <f t="array" ref="J85">_FV(C85,"52 week high",TRUE)</f>
        <v>#VALUE!</v>
      </c>
      <c r="K85" s="351"/>
      <c r="L85" s="352" t="e" vm="8">
        <f t="array" ref="L85">_FV(C85,"Market cap",TRUE)/100000000</f>
        <v>#VALUE!</v>
      </c>
      <c r="M85" s="351"/>
      <c r="N85" s="350" t="e" vm="9">
        <f t="array" ref="N85">_FV(C85,"Description")</f>
        <v>#VALUE!</v>
      </c>
      <c r="O85" s="336" t="s">
        <v>1059</v>
      </c>
      <c r="Q85" s="349">
        <v>250000</v>
      </c>
      <c r="R85" s="349">
        <v>14100</v>
      </c>
      <c r="S85" s="349"/>
      <c r="T85" s="349"/>
    </row>
    <row r="86" spans="2:20" x14ac:dyDescent="0.4">
      <c r="B86" s="336" t="s">
        <v>132</v>
      </c>
      <c r="C86" s="355" t="e">
        <v>#VALUE!</v>
      </c>
      <c r="D86" s="351" t="e" vm="1">
        <f t="array" ref="D86">_FV(C86,"Official name",TRUE)</f>
        <v>#VALUE!</v>
      </c>
      <c r="E86" s="352" t="e" vm="2">
        <f t="array" ref="E86">_FV(C86,"Price")</f>
        <v>#VALUE!</v>
      </c>
      <c r="F86" s="354" t="e" vm="3">
        <f t="array" ref="F86">_FV(C86,"Change (%)",TRUE)</f>
        <v>#VALUE!</v>
      </c>
      <c r="G86" s="352" t="e" vm="4">
        <f t="array" ref="G86">_FV(C86,"Low")</f>
        <v>#VALUE!</v>
      </c>
      <c r="H86" s="352" t="e" vm="5">
        <f t="array" ref="H86">_FV(C86,"High")</f>
        <v>#VALUE!</v>
      </c>
      <c r="I86" s="353" t="e" vm="6">
        <f t="array" ref="I86">_FV(C86,"52 week low",TRUE)</f>
        <v>#VALUE!</v>
      </c>
      <c r="J86" s="353" t="e" vm="7">
        <f t="array" ref="J86">_FV(C86,"52 week high",TRUE)</f>
        <v>#VALUE!</v>
      </c>
      <c r="K86" s="351"/>
      <c r="L86" s="352" t="e" vm="8">
        <f t="array" ref="L86">_FV(C86,"Market cap",TRUE)/100000000</f>
        <v>#VALUE!</v>
      </c>
      <c r="M86" s="351"/>
      <c r="N86" s="350" t="e" vm="9">
        <f t="array" ref="N86">_FV(C86,"Description")</f>
        <v>#VALUE!</v>
      </c>
      <c r="O86" s="336" t="s">
        <v>1059</v>
      </c>
      <c r="Q86" s="349">
        <v>550000</v>
      </c>
      <c r="R86" s="349">
        <v>10250</v>
      </c>
      <c r="S86" s="349"/>
      <c r="T86" s="349"/>
    </row>
    <row r="87" spans="2:20" x14ac:dyDescent="0.4">
      <c r="B87" s="336" t="s">
        <v>446</v>
      </c>
      <c r="C87" s="355" t="e">
        <v>#VALUE!</v>
      </c>
      <c r="D87" s="351" t="e" vm="1">
        <f t="array" ref="D87">_FV(C87,"Official name",TRUE)</f>
        <v>#VALUE!</v>
      </c>
      <c r="E87" s="352" t="e" vm="2">
        <f t="array" ref="E87">_FV(C87,"Price")</f>
        <v>#VALUE!</v>
      </c>
      <c r="F87" s="354" t="e" vm="3">
        <f t="array" ref="F87">_FV(C87,"Change (%)",TRUE)</f>
        <v>#VALUE!</v>
      </c>
      <c r="G87" s="352" t="e" vm="4">
        <f t="array" ref="G87">_FV(C87,"Low")</f>
        <v>#VALUE!</v>
      </c>
      <c r="H87" s="352" t="e" vm="5">
        <f t="array" ref="H87">_FV(C87,"High")</f>
        <v>#VALUE!</v>
      </c>
      <c r="I87" s="353" t="e" vm="6">
        <f t="array" ref="I87">_FV(C87,"52 week low",TRUE)</f>
        <v>#VALUE!</v>
      </c>
      <c r="J87" s="353" t="e" vm="7">
        <f t="array" ref="J87">_FV(C87,"52 week high",TRUE)</f>
        <v>#VALUE!</v>
      </c>
      <c r="K87" s="351"/>
      <c r="L87" s="352" t="e" vm="8">
        <f t="array" ref="L87">_FV(C87,"Market cap",TRUE)/100000000</f>
        <v>#VALUE!</v>
      </c>
      <c r="M87" s="351"/>
      <c r="N87" s="350" t="e" vm="9">
        <f t="array" ref="N87">_FV(C87,"Description")</f>
        <v>#VALUE!</v>
      </c>
      <c r="O87" s="336" t="s">
        <v>1059</v>
      </c>
      <c r="Q87" s="349">
        <v>1070000</v>
      </c>
      <c r="R87" s="349">
        <v>2000</v>
      </c>
      <c r="S87" s="349"/>
      <c r="T87" s="349"/>
    </row>
    <row r="88" spans="2:20" x14ac:dyDescent="0.4">
      <c r="C88" s="348"/>
      <c r="D88" s="344"/>
      <c r="E88" s="345"/>
      <c r="F88" s="347"/>
      <c r="G88" s="345"/>
      <c r="H88" s="345"/>
      <c r="I88" s="346"/>
      <c r="J88" s="346"/>
      <c r="K88" s="344"/>
      <c r="L88" s="345"/>
      <c r="M88" s="344"/>
      <c r="N88" s="343"/>
    </row>
    <row r="89" spans="2:20" ht="18" customHeight="1" thickBot="1" x14ac:dyDescent="0.45">
      <c r="C89" s="342"/>
      <c r="D89" s="338" t="e" vm="1">
        <f t="array" ref="D89">_FV(C89,"Official name",TRUE)</f>
        <v>#VALUE!</v>
      </c>
      <c r="E89" s="339" t="e" vm="2">
        <f t="array" ref="E89">_FV(C89,"Price")</f>
        <v>#VALUE!</v>
      </c>
      <c r="F89" s="341" t="e" vm="3">
        <f t="array" ref="F89">_FV(C89,"Change (%)",TRUE)</f>
        <v>#VALUE!</v>
      </c>
      <c r="G89" s="339" t="e" vm="4">
        <f t="array" ref="G89">_FV(C89,"Low")</f>
        <v>#VALUE!</v>
      </c>
      <c r="H89" s="339" t="e" vm="5">
        <f t="array" ref="H89">_FV(C89,"High")</f>
        <v>#VALUE!</v>
      </c>
      <c r="I89" s="340" t="e" vm="6">
        <f t="array" ref="I89">_FV(C89,"52 week low",TRUE)</f>
        <v>#VALUE!</v>
      </c>
      <c r="J89" s="340" t="e" vm="7">
        <f t="array" ref="J89">_FV(C89,"52 week high",TRUE)</f>
        <v>#VALUE!</v>
      </c>
      <c r="K89" s="338"/>
      <c r="L89" s="339" t="e" vm="8">
        <f t="array" ref="L89">_FV(C89,"Market cap",TRUE)/100000000</f>
        <v>#VALUE!</v>
      </c>
      <c r="M89" s="338"/>
      <c r="N89" s="337" t="e" vm="9">
        <f t="array" ref="N89">_FV(C89,"Description")</f>
        <v>#VALUE!</v>
      </c>
    </row>
  </sheetData>
  <phoneticPr fontId="9" type="noConversion"/>
  <pageMargins left="0.7" right="0.7" top="0.75" bottom="0.75" header="0.3" footer="0.3"/>
  <pageSetup paperSize="9" orientation="portrait"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3:U63"/>
  <sheetViews>
    <sheetView topLeftCell="A37" workbookViewId="0">
      <selection activeCell="E63" sqref="E63"/>
    </sheetView>
  </sheetViews>
  <sheetFormatPr defaultColWidth="9" defaultRowHeight="17.399999999999999" x14ac:dyDescent="0.4"/>
  <cols>
    <col min="1" max="2" width="9" style="128" customWidth="1"/>
    <col min="3" max="3" width="14.69921875" style="128" customWidth="1"/>
    <col min="4" max="4" width="26.5" style="128" customWidth="1"/>
    <col min="5" max="5" width="14.69921875" style="129" customWidth="1"/>
    <col min="6" max="6" width="9" style="128" customWidth="1"/>
    <col min="7" max="8" width="11" style="129" bestFit="1" customWidth="1"/>
    <col min="9" max="9" width="9" style="128" customWidth="1"/>
    <col min="10" max="16384" width="9" style="128"/>
  </cols>
  <sheetData>
    <row r="3" spans="2:21" x14ac:dyDescent="0.4">
      <c r="B3" s="128" t="s">
        <v>1065</v>
      </c>
    </row>
    <row r="4" spans="2:21" x14ac:dyDescent="0.4">
      <c r="C4" s="128" t="s">
        <v>1066</v>
      </c>
      <c r="D4" s="128" t="s">
        <v>1067</v>
      </c>
      <c r="E4" s="129">
        <v>77000000</v>
      </c>
    </row>
    <row r="5" spans="2:21" x14ac:dyDescent="0.4">
      <c r="D5" s="128" t="s">
        <v>991</v>
      </c>
      <c r="E5" s="129">
        <v>33000000</v>
      </c>
    </row>
    <row r="6" spans="2:21" x14ac:dyDescent="0.4">
      <c r="C6" s="128" t="s">
        <v>1068</v>
      </c>
      <c r="D6" s="128" t="s">
        <v>1069</v>
      </c>
      <c r="E6" s="129">
        <v>2147000</v>
      </c>
      <c r="G6" s="129" t="s">
        <v>1070</v>
      </c>
      <c r="H6" s="129" t="s">
        <v>1071</v>
      </c>
    </row>
    <row r="7" spans="2:21" x14ac:dyDescent="0.4">
      <c r="D7" s="128" t="s">
        <v>1072</v>
      </c>
      <c r="E7" s="129">
        <v>1446000</v>
      </c>
      <c r="I7" s="129"/>
      <c r="J7" s="129"/>
      <c r="K7" s="129"/>
      <c r="L7" s="129"/>
      <c r="M7" s="129"/>
      <c r="N7" s="129"/>
      <c r="O7" s="129"/>
      <c r="P7" s="129"/>
      <c r="Q7" s="129"/>
      <c r="R7" s="129"/>
      <c r="S7" s="129"/>
      <c r="T7" s="129"/>
      <c r="U7" s="129"/>
    </row>
    <row r="8" spans="2:21" x14ac:dyDescent="0.4">
      <c r="D8" s="128" t="s">
        <v>1073</v>
      </c>
      <c r="E8" s="129">
        <v>200000</v>
      </c>
    </row>
    <row r="9" spans="2:21" x14ac:dyDescent="0.4">
      <c r="D9" s="128" t="s">
        <v>1074</v>
      </c>
      <c r="E9" s="129">
        <v>385000</v>
      </c>
      <c r="J9" s="129"/>
      <c r="K9" s="129"/>
      <c r="L9" s="129"/>
      <c r="M9" s="129"/>
      <c r="N9" s="129"/>
      <c r="O9" s="129"/>
      <c r="P9" s="129"/>
      <c r="Q9" s="129"/>
      <c r="R9" s="129"/>
      <c r="S9" s="129"/>
    </row>
    <row r="10" spans="2:21" x14ac:dyDescent="0.4">
      <c r="C10" s="128" t="s">
        <v>1075</v>
      </c>
      <c r="D10" s="128" t="s">
        <v>1076</v>
      </c>
      <c r="E10" s="129">
        <v>1200000</v>
      </c>
      <c r="T10" s="129"/>
      <c r="U10" s="129"/>
    </row>
    <row r="11" spans="2:21" x14ac:dyDescent="0.4">
      <c r="D11" s="128" t="s">
        <v>1077</v>
      </c>
      <c r="E11" s="129">
        <f>2222100+70000</f>
        <v>2292100</v>
      </c>
    </row>
    <row r="12" spans="2:21" x14ac:dyDescent="0.4">
      <c r="D12" s="128" t="s">
        <v>1078</v>
      </c>
      <c r="E12" s="129">
        <v>402780</v>
      </c>
    </row>
    <row r="13" spans="2:21" x14ac:dyDescent="0.4">
      <c r="D13" s="128" t="s">
        <v>864</v>
      </c>
      <c r="E13" s="129">
        <v>520000</v>
      </c>
    </row>
    <row r="14" spans="2:21" x14ac:dyDescent="0.4">
      <c r="D14" s="128" t="s">
        <v>1079</v>
      </c>
      <c r="E14" s="129">
        <v>469000</v>
      </c>
    </row>
    <row r="15" spans="2:21" x14ac:dyDescent="0.4">
      <c r="D15" s="128" t="s">
        <v>1080</v>
      </c>
      <c r="E15" s="129">
        <f>65000+10000</f>
        <v>75000</v>
      </c>
    </row>
    <row r="16" spans="2:21" x14ac:dyDescent="0.4">
      <c r="D16" s="128" t="s">
        <v>1081</v>
      </c>
      <c r="E16" s="129">
        <v>295000</v>
      </c>
    </row>
    <row r="17" spans="3:6" x14ac:dyDescent="0.4">
      <c r="D17" s="128" t="s">
        <v>1082</v>
      </c>
      <c r="E17" s="129">
        <v>106000</v>
      </c>
    </row>
    <row r="18" spans="3:6" x14ac:dyDescent="0.4">
      <c r="D18" s="128" t="s">
        <v>1083</v>
      </c>
      <c r="E18" s="129">
        <v>33900</v>
      </c>
      <c r="F18" s="128" t="s">
        <v>1084</v>
      </c>
    </row>
    <row r="19" spans="3:6" x14ac:dyDescent="0.4">
      <c r="C19" s="128" t="s">
        <v>1085</v>
      </c>
      <c r="D19" s="128" t="s">
        <v>1086</v>
      </c>
      <c r="E19" s="129">
        <v>487296</v>
      </c>
    </row>
    <row r="20" spans="3:6" x14ac:dyDescent="0.4">
      <c r="C20" s="128" t="s">
        <v>1087</v>
      </c>
      <c r="D20" s="128" t="s">
        <v>750</v>
      </c>
      <c r="E20" s="129">
        <v>300000</v>
      </c>
    </row>
    <row r="21" spans="3:6" x14ac:dyDescent="0.4">
      <c r="D21" s="128" t="s">
        <v>1088</v>
      </c>
      <c r="E21" s="129">
        <v>420000</v>
      </c>
    </row>
    <row r="22" spans="3:6" x14ac:dyDescent="0.4">
      <c r="C22" s="128" t="s">
        <v>1089</v>
      </c>
      <c r="D22" s="128" t="s">
        <v>1090</v>
      </c>
      <c r="E22" s="129">
        <f>2600000+300000</f>
        <v>2900000</v>
      </c>
    </row>
    <row r="23" spans="3:6" x14ac:dyDescent="0.4">
      <c r="D23" s="128" t="s">
        <v>1091</v>
      </c>
      <c r="E23" s="129">
        <v>495000</v>
      </c>
    </row>
    <row r="24" spans="3:6" x14ac:dyDescent="0.4">
      <c r="D24" s="128" t="s">
        <v>1092</v>
      </c>
      <c r="E24" s="129">
        <f>139230+50000</f>
        <v>189230</v>
      </c>
    </row>
    <row r="25" spans="3:6" x14ac:dyDescent="0.4">
      <c r="C25" s="128" t="s">
        <v>1093</v>
      </c>
      <c r="D25" s="128" t="s">
        <v>1094</v>
      </c>
      <c r="E25" s="129">
        <f>5500000+94000</f>
        <v>5594000</v>
      </c>
    </row>
    <row r="26" spans="3:6" x14ac:dyDescent="0.4">
      <c r="D26" s="128" t="s">
        <v>1095</v>
      </c>
      <c r="E26" s="129">
        <f>512*1250+4850*35+8000*35</f>
        <v>1089750</v>
      </c>
    </row>
    <row r="27" spans="3:6" x14ac:dyDescent="0.4">
      <c r="D27" s="128" t="s">
        <v>1096</v>
      </c>
      <c r="E27" s="129">
        <f>510*1250+280*1100</f>
        <v>945500</v>
      </c>
    </row>
    <row r="28" spans="3:6" x14ac:dyDescent="0.4">
      <c r="C28" s="128" t="s">
        <v>1097</v>
      </c>
      <c r="D28" s="128" t="s">
        <v>1098</v>
      </c>
      <c r="E28" s="129">
        <v>569200</v>
      </c>
    </row>
    <row r="29" spans="3:6" x14ac:dyDescent="0.4">
      <c r="D29" s="128" t="s">
        <v>1099</v>
      </c>
      <c r="E29" s="129">
        <v>155000</v>
      </c>
    </row>
    <row r="30" spans="3:6" x14ac:dyDescent="0.4">
      <c r="D30" s="128" t="s">
        <v>1100</v>
      </c>
      <c r="E30" s="129">
        <v>1180000</v>
      </c>
    </row>
    <row r="31" spans="3:6" x14ac:dyDescent="0.4">
      <c r="D31" s="128" t="s">
        <v>1101</v>
      </c>
      <c r="E31" s="129">
        <v>405860</v>
      </c>
      <c r="F31" s="128" t="s">
        <v>1102</v>
      </c>
    </row>
    <row r="33" spans="3:9" x14ac:dyDescent="0.4">
      <c r="E33" s="128"/>
      <c r="G33" s="128"/>
    </row>
    <row r="34" spans="3:9" x14ac:dyDescent="0.4">
      <c r="E34" s="128"/>
      <c r="G34" s="128"/>
    </row>
    <row r="35" spans="3:9" x14ac:dyDescent="0.4">
      <c r="E35" s="128"/>
      <c r="G35" s="128"/>
    </row>
    <row r="38" spans="3:9" x14ac:dyDescent="0.4">
      <c r="E38" s="129">
        <v>5500000</v>
      </c>
      <c r="G38" s="128"/>
      <c r="H38" s="129">
        <v>0</v>
      </c>
      <c r="I38" s="129"/>
    </row>
    <row r="39" spans="3:9" x14ac:dyDescent="0.4">
      <c r="E39" s="130">
        <v>1500000</v>
      </c>
      <c r="F39" s="128" t="s">
        <v>1103</v>
      </c>
      <c r="G39" s="128"/>
    </row>
    <row r="40" spans="3:9" x14ac:dyDescent="0.4">
      <c r="E40" s="130"/>
      <c r="G40" s="128"/>
    </row>
    <row r="41" spans="3:9" x14ac:dyDescent="0.4">
      <c r="C41" s="128" t="s">
        <v>1104</v>
      </c>
      <c r="E41" s="129">
        <v>3080000</v>
      </c>
      <c r="G41" s="129">
        <v>3080000</v>
      </c>
    </row>
    <row r="42" spans="3:9" x14ac:dyDescent="0.4">
      <c r="C42" s="128" t="s">
        <v>1105</v>
      </c>
      <c r="E42" s="129">
        <v>11000000</v>
      </c>
      <c r="F42" s="128" t="s">
        <v>1103</v>
      </c>
      <c r="G42" s="129">
        <f>11000000-5000000</f>
        <v>6000000</v>
      </c>
    </row>
    <row r="43" spans="3:9" x14ac:dyDescent="0.4">
      <c r="C43" s="128" t="s">
        <v>1106</v>
      </c>
      <c r="D43" s="128" t="s">
        <v>1107</v>
      </c>
      <c r="E43" s="129">
        <v>1000000</v>
      </c>
      <c r="G43" s="129">
        <v>1000000</v>
      </c>
    </row>
    <row r="44" spans="3:9" x14ac:dyDescent="0.4">
      <c r="E44" s="129">
        <v>569200</v>
      </c>
      <c r="G44" s="128"/>
    </row>
    <row r="45" spans="3:9" x14ac:dyDescent="0.4">
      <c r="E45" s="129">
        <v>155000</v>
      </c>
      <c r="G45" s="128"/>
    </row>
    <row r="46" spans="3:9" x14ac:dyDescent="0.4">
      <c r="E46" s="129">
        <v>1180000</v>
      </c>
      <c r="G46" s="128"/>
    </row>
    <row r="47" spans="3:9" x14ac:dyDescent="0.4">
      <c r="E47" s="129">
        <v>405860</v>
      </c>
      <c r="G47" s="128"/>
    </row>
    <row r="48" spans="3:9" x14ac:dyDescent="0.4">
      <c r="C48" s="128" t="s">
        <v>1108</v>
      </c>
      <c r="E48" s="129">
        <v>880000</v>
      </c>
      <c r="G48" s="129">
        <v>880000</v>
      </c>
    </row>
    <row r="49" spans="3:8" x14ac:dyDescent="0.4">
      <c r="C49" s="128" t="s">
        <v>1109</v>
      </c>
      <c r="G49" s="129">
        <v>1500000</v>
      </c>
    </row>
    <row r="51" spans="3:8" x14ac:dyDescent="0.4">
      <c r="E51" s="129">
        <f>SUM(E6:E50)+SUM(E5:E5)</f>
        <v>82572676</v>
      </c>
      <c r="F51" s="129"/>
      <c r="G51" s="129">
        <f>SUM(G14:G50)+SUM(G8:G10)</f>
        <v>12460000</v>
      </c>
      <c r="H51" s="129">
        <f>SUM(H14:H50)+SUM(H8:H10)</f>
        <v>0</v>
      </c>
    </row>
    <row r="58" spans="3:8" x14ac:dyDescent="0.4">
      <c r="C58" s="128" t="s">
        <v>1110</v>
      </c>
      <c r="D58" s="128" t="s">
        <v>1111</v>
      </c>
      <c r="E58" s="129">
        <v>813000</v>
      </c>
      <c r="F58" s="128" t="s">
        <v>1112</v>
      </c>
      <c r="G58" s="129" t="s">
        <v>1113</v>
      </c>
    </row>
    <row r="59" spans="3:8" x14ac:dyDescent="0.4">
      <c r="C59" s="128" t="s">
        <v>1114</v>
      </c>
      <c r="D59" s="128" t="s">
        <v>1115</v>
      </c>
      <c r="E59" s="129">
        <v>1107000</v>
      </c>
      <c r="F59" s="128" t="s">
        <v>1116</v>
      </c>
      <c r="G59" s="129" t="s">
        <v>1117</v>
      </c>
    </row>
    <row r="60" spans="3:8" x14ac:dyDescent="0.4">
      <c r="C60" s="128" t="s">
        <v>1118</v>
      </c>
      <c r="D60" s="128" t="s">
        <v>1119</v>
      </c>
      <c r="E60" s="129">
        <v>91000</v>
      </c>
      <c r="F60" s="128" t="s">
        <v>1120</v>
      </c>
    </row>
    <row r="61" spans="3:8" x14ac:dyDescent="0.4">
      <c r="C61" s="128" t="s">
        <v>1118</v>
      </c>
      <c r="D61" s="128" t="s">
        <v>1121</v>
      </c>
      <c r="E61" s="129">
        <v>65800</v>
      </c>
      <c r="F61" s="128" t="s">
        <v>1120</v>
      </c>
    </row>
    <row r="62" spans="3:8" x14ac:dyDescent="0.4">
      <c r="C62" s="128" t="s">
        <v>1085</v>
      </c>
      <c r="D62" s="128" t="s">
        <v>1122</v>
      </c>
      <c r="E62" s="129">
        <v>210680</v>
      </c>
      <c r="F62" s="128" t="s">
        <v>1123</v>
      </c>
    </row>
    <row r="63" spans="3:8" x14ac:dyDescent="0.4">
      <c r="C63" s="128" t="s">
        <v>1114</v>
      </c>
      <c r="D63" s="128" t="s">
        <v>1124</v>
      </c>
      <c r="E63" s="129">
        <v>1374200</v>
      </c>
      <c r="F63" s="128" t="s">
        <v>1125</v>
      </c>
    </row>
  </sheetData>
  <phoneticPr fontId="9" type="noConversion"/>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6:N41"/>
  <sheetViews>
    <sheetView topLeftCell="A19" workbookViewId="0">
      <selection activeCell="E13" sqref="E13"/>
    </sheetView>
  </sheetViews>
  <sheetFormatPr defaultColWidth="9" defaultRowHeight="17.399999999999999" x14ac:dyDescent="0.4"/>
  <cols>
    <col min="1" max="3" width="9" style="128" customWidth="1"/>
    <col min="4" max="4" width="14.19921875" style="128" customWidth="1"/>
    <col min="5" max="5" width="20.19921875" style="131" bestFit="1" customWidth="1"/>
    <col min="6" max="6" width="9" style="128" customWidth="1"/>
    <col min="7" max="16384" width="9" style="128"/>
  </cols>
  <sheetData>
    <row r="6" spans="3:14" x14ac:dyDescent="0.4">
      <c r="H6" s="128" t="s">
        <v>1126</v>
      </c>
    </row>
    <row r="7" spans="3:14" x14ac:dyDescent="0.4">
      <c r="C7" s="128" t="s">
        <v>614</v>
      </c>
      <c r="D7" s="128" t="s">
        <v>616</v>
      </c>
      <c r="E7" s="131">
        <v>300000000</v>
      </c>
      <c r="G7" s="128" t="s">
        <v>618</v>
      </c>
      <c r="H7" s="135" t="s">
        <v>1127</v>
      </c>
      <c r="I7" s="135"/>
      <c r="J7" s="135"/>
      <c r="K7" s="135"/>
      <c r="L7" s="135"/>
      <c r="M7" s="135"/>
      <c r="N7" s="135"/>
    </row>
    <row r="8" spans="3:14" x14ac:dyDescent="0.4">
      <c r="D8" s="128" t="s">
        <v>1128</v>
      </c>
      <c r="H8" s="141">
        <v>2.3599999999999999E-2</v>
      </c>
      <c r="I8" s="135"/>
      <c r="J8" s="135"/>
      <c r="K8" s="135"/>
      <c r="L8" s="135"/>
      <c r="M8" s="135"/>
      <c r="N8" s="135"/>
    </row>
    <row r="9" spans="3:14" x14ac:dyDescent="0.4">
      <c r="D9" s="128" t="s">
        <v>1129</v>
      </c>
      <c r="E9" s="131">
        <v>373790</v>
      </c>
      <c r="H9" s="140"/>
    </row>
    <row r="10" spans="3:14" x14ac:dyDescent="0.4">
      <c r="D10" s="128" t="s">
        <v>1130</v>
      </c>
      <c r="E10" s="131">
        <v>131140</v>
      </c>
      <c r="G10" s="128" t="s">
        <v>1131</v>
      </c>
      <c r="H10" s="128" t="s">
        <v>1132</v>
      </c>
      <c r="I10" s="128">
        <v>170000</v>
      </c>
      <c r="J10" s="140">
        <v>1E-3</v>
      </c>
    </row>
    <row r="11" spans="3:14" x14ac:dyDescent="0.4">
      <c r="H11" s="128" t="s">
        <v>993</v>
      </c>
      <c r="I11" s="128">
        <v>100000</v>
      </c>
      <c r="J11" s="140">
        <v>1E-3</v>
      </c>
    </row>
    <row r="12" spans="3:14" x14ac:dyDescent="0.4">
      <c r="H12" s="128" t="s">
        <v>1133</v>
      </c>
      <c r="J12" s="140">
        <v>1E-3</v>
      </c>
    </row>
    <row r="13" spans="3:14" x14ac:dyDescent="0.4">
      <c r="H13" s="128" t="s">
        <v>1134</v>
      </c>
      <c r="J13" s="140">
        <v>1E-3</v>
      </c>
    </row>
    <row r="14" spans="3:14" x14ac:dyDescent="0.4">
      <c r="H14" s="128" t="s">
        <v>1135</v>
      </c>
      <c r="J14" s="140">
        <v>1E-3</v>
      </c>
      <c r="K14" s="128" t="s">
        <v>1136</v>
      </c>
    </row>
    <row r="15" spans="3:14" x14ac:dyDescent="0.4">
      <c r="H15" s="128" t="s">
        <v>1137</v>
      </c>
      <c r="I15" s="128">
        <v>500000</v>
      </c>
      <c r="J15" s="140">
        <v>2E-3</v>
      </c>
      <c r="K15" s="128" t="s">
        <v>1138</v>
      </c>
    </row>
    <row r="18" spans="3:9" x14ac:dyDescent="0.4">
      <c r="C18" s="128" t="s">
        <v>768</v>
      </c>
      <c r="D18" s="128" t="s">
        <v>1139</v>
      </c>
      <c r="E18" s="131">
        <v>2200000</v>
      </c>
      <c r="G18" s="128" t="s">
        <v>1140</v>
      </c>
      <c r="H18" s="128" t="s">
        <v>1141</v>
      </c>
    </row>
    <row r="19" spans="3:9" x14ac:dyDescent="0.4">
      <c r="G19" s="128" t="s">
        <v>1142</v>
      </c>
    </row>
    <row r="20" spans="3:9" ht="18" customHeight="1" thickBot="1" x14ac:dyDescent="0.45"/>
    <row r="21" spans="3:9" ht="18" customHeight="1" thickBot="1" x14ac:dyDescent="0.45">
      <c r="C21" s="128" t="s">
        <v>746</v>
      </c>
      <c r="D21" s="139" t="s">
        <v>1143</v>
      </c>
      <c r="E21" s="138">
        <v>1100000</v>
      </c>
      <c r="G21" s="128" t="s">
        <v>1144</v>
      </c>
      <c r="H21" s="128" t="s">
        <v>1145</v>
      </c>
    </row>
    <row r="22" spans="3:9" x14ac:dyDescent="0.4">
      <c r="D22" s="137" t="s">
        <v>1146</v>
      </c>
      <c r="E22" s="136">
        <v>100000</v>
      </c>
    </row>
    <row r="23" spans="3:9" x14ac:dyDescent="0.4">
      <c r="D23" s="135" t="s">
        <v>1147</v>
      </c>
      <c r="E23" s="134">
        <v>1000000</v>
      </c>
    </row>
    <row r="24" spans="3:9" x14ac:dyDescent="0.4">
      <c r="D24" s="135"/>
      <c r="E24" s="134"/>
    </row>
    <row r="25" spans="3:9" x14ac:dyDescent="0.4">
      <c r="D25" s="135" t="s">
        <v>1148</v>
      </c>
      <c r="E25" s="134">
        <v>100000</v>
      </c>
    </row>
    <row r="26" spans="3:9" x14ac:dyDescent="0.4">
      <c r="D26" s="135" t="s">
        <v>1149</v>
      </c>
      <c r="E26" s="134">
        <v>335000</v>
      </c>
    </row>
    <row r="27" spans="3:9" x14ac:dyDescent="0.4">
      <c r="D27" s="135" t="s">
        <v>1150</v>
      </c>
      <c r="E27" s="134">
        <v>130000</v>
      </c>
    </row>
    <row r="30" spans="3:9" x14ac:dyDescent="0.4">
      <c r="C30" s="128" t="s">
        <v>1151</v>
      </c>
      <c r="D30" s="133" t="s">
        <v>1152</v>
      </c>
      <c r="E30" s="132">
        <v>1630500</v>
      </c>
      <c r="G30" s="128" t="s">
        <v>1153</v>
      </c>
      <c r="H30" s="128" t="s">
        <v>1154</v>
      </c>
    </row>
    <row r="31" spans="3:9" x14ac:dyDescent="0.4">
      <c r="D31" s="133" t="s">
        <v>855</v>
      </c>
      <c r="E31" s="132">
        <v>1123682</v>
      </c>
      <c r="G31" s="128" t="s">
        <v>1155</v>
      </c>
      <c r="H31" s="128" t="s">
        <v>1156</v>
      </c>
    </row>
    <row r="32" spans="3:9" x14ac:dyDescent="0.4">
      <c r="D32" s="128" t="s">
        <v>1157</v>
      </c>
      <c r="E32" s="131">
        <v>335620</v>
      </c>
      <c r="G32" s="128" t="s">
        <v>1158</v>
      </c>
      <c r="I32" s="128" t="s">
        <v>1159</v>
      </c>
    </row>
    <row r="33" spans="4:8" x14ac:dyDescent="0.4">
      <c r="D33" s="128" t="s">
        <v>1160</v>
      </c>
      <c r="E33" s="131">
        <v>1198491</v>
      </c>
      <c r="G33" s="128" t="s">
        <v>1161</v>
      </c>
      <c r="H33" s="128" t="s">
        <v>1162</v>
      </c>
    </row>
    <row r="34" spans="4:8" x14ac:dyDescent="0.4">
      <c r="D34" s="128" t="s">
        <v>1163</v>
      </c>
      <c r="E34" s="131">
        <v>184800</v>
      </c>
      <c r="G34" s="128" t="s">
        <v>1164</v>
      </c>
    </row>
    <row r="35" spans="4:8" x14ac:dyDescent="0.4">
      <c r="D35" s="128" t="s">
        <v>1165</v>
      </c>
      <c r="E35" s="131">
        <v>63310</v>
      </c>
      <c r="G35" s="128" t="s">
        <v>1166</v>
      </c>
    </row>
    <row r="36" spans="4:8" x14ac:dyDescent="0.4">
      <c r="D36" s="128" t="s">
        <v>1167</v>
      </c>
      <c r="E36" s="131">
        <f>7800*9+31900*4+3000</f>
        <v>200800</v>
      </c>
      <c r="G36" s="128" t="s">
        <v>1168</v>
      </c>
    </row>
    <row r="38" spans="4:8" x14ac:dyDescent="0.4">
      <c r="D38" s="128" t="s">
        <v>1169</v>
      </c>
      <c r="E38" s="131">
        <v>100000</v>
      </c>
    </row>
    <row r="39" spans="4:8" x14ac:dyDescent="0.4">
      <c r="D39" s="128" t="s">
        <v>1170</v>
      </c>
      <c r="E39" s="131">
        <v>250000</v>
      </c>
    </row>
    <row r="40" spans="4:8" x14ac:dyDescent="0.4">
      <c r="D40" s="128" t="s">
        <v>1171</v>
      </c>
      <c r="E40" s="131">
        <v>100000</v>
      </c>
    </row>
    <row r="41" spans="4:8" x14ac:dyDescent="0.4">
      <c r="D41" s="128" t="s">
        <v>1172</v>
      </c>
      <c r="E41" s="131">
        <v>100000</v>
      </c>
    </row>
  </sheetData>
  <phoneticPr fontId="9" type="noConversion"/>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4:L52"/>
  <sheetViews>
    <sheetView topLeftCell="A37" workbookViewId="0">
      <selection activeCell="I52" sqref="I52"/>
    </sheetView>
  </sheetViews>
  <sheetFormatPr defaultRowHeight="17.399999999999999" x14ac:dyDescent="0.4"/>
  <cols>
    <col min="2" max="2" width="11.09765625" style="405" bestFit="1" customWidth="1"/>
    <col min="3" max="3" width="11.09765625" style="405" customWidth="1"/>
    <col min="4" max="4" width="12.5" style="405" bestFit="1" customWidth="1"/>
    <col min="5" max="5" width="12.09765625" style="405" bestFit="1" customWidth="1"/>
    <col min="6" max="6" width="13.59765625" style="405" bestFit="1" customWidth="1"/>
    <col min="7" max="7" width="11.59765625" style="405" bestFit="1" customWidth="1"/>
    <col min="8" max="9" width="9.8984375" style="405" bestFit="1" customWidth="1"/>
    <col min="11" max="11" width="9.8984375" style="405" bestFit="1" customWidth="1"/>
    <col min="12" max="12" width="10.19921875" style="405" bestFit="1" customWidth="1"/>
  </cols>
  <sheetData>
    <row r="4" spans="2:12" x14ac:dyDescent="0.4">
      <c r="D4" t="s">
        <v>1173</v>
      </c>
      <c r="E4" t="s">
        <v>1174</v>
      </c>
      <c r="F4" s="32" t="s">
        <v>1175</v>
      </c>
      <c r="G4" t="s">
        <v>1176</v>
      </c>
      <c r="H4" t="s">
        <v>123</v>
      </c>
      <c r="I4" t="s">
        <v>1177</v>
      </c>
    </row>
    <row r="5" spans="2:12" x14ac:dyDescent="0.4">
      <c r="B5" s="1">
        <v>43830</v>
      </c>
      <c r="C5" s="1" t="s">
        <v>1178</v>
      </c>
      <c r="D5" s="31">
        <v>320</v>
      </c>
      <c r="E5" s="158">
        <v>3100</v>
      </c>
      <c r="F5" s="32"/>
      <c r="G5" s="16"/>
      <c r="H5" s="16">
        <f t="shared" ref="H5:H50" si="0">D5*E5</f>
        <v>992000</v>
      </c>
      <c r="I5" s="16">
        <f t="shared" ref="I5:I50" si="1">F5*G5</f>
        <v>0</v>
      </c>
      <c r="J5" s="16"/>
      <c r="K5" s="16"/>
    </row>
    <row r="6" spans="2:12" x14ac:dyDescent="0.4">
      <c r="B6" s="1">
        <v>43833</v>
      </c>
      <c r="C6" s="1" t="s">
        <v>1178</v>
      </c>
      <c r="D6" s="31">
        <v>237</v>
      </c>
      <c r="E6" s="158">
        <v>4000</v>
      </c>
      <c r="F6" s="32"/>
      <c r="G6" s="16"/>
      <c r="H6" s="16">
        <f t="shared" si="0"/>
        <v>948000</v>
      </c>
      <c r="I6" s="16">
        <f t="shared" si="1"/>
        <v>0</v>
      </c>
      <c r="J6" s="16"/>
      <c r="K6" s="16"/>
    </row>
    <row r="7" spans="2:12" x14ac:dyDescent="0.4">
      <c r="B7" s="1">
        <v>43839</v>
      </c>
      <c r="C7" s="1" t="s">
        <v>1178</v>
      </c>
      <c r="D7" s="31">
        <v>235</v>
      </c>
      <c r="E7" s="158">
        <v>4400</v>
      </c>
      <c r="F7" s="32"/>
      <c r="G7" s="16"/>
      <c r="H7" s="16">
        <f t="shared" si="0"/>
        <v>1034000</v>
      </c>
      <c r="I7" s="16">
        <f t="shared" si="1"/>
        <v>0</v>
      </c>
      <c r="J7" s="16"/>
      <c r="K7" s="16"/>
    </row>
    <row r="8" spans="2:12" x14ac:dyDescent="0.4">
      <c r="B8" s="1">
        <v>43916</v>
      </c>
      <c r="C8" s="1" t="s">
        <v>1178</v>
      </c>
      <c r="D8" s="31">
        <v>180</v>
      </c>
      <c r="E8" s="158">
        <f>536.9545+1032.5906+1280.4549</f>
        <v>2850</v>
      </c>
      <c r="F8" s="32"/>
      <c r="G8" s="16"/>
      <c r="H8" s="16">
        <f t="shared" si="0"/>
        <v>513000</v>
      </c>
      <c r="I8" s="16">
        <f t="shared" si="1"/>
        <v>0</v>
      </c>
      <c r="J8" s="16"/>
      <c r="K8" s="16"/>
    </row>
    <row r="9" spans="2:12" x14ac:dyDescent="0.4">
      <c r="B9" s="1">
        <v>43918</v>
      </c>
      <c r="C9" s="1" t="s">
        <v>1178</v>
      </c>
      <c r="D9" s="31">
        <v>167</v>
      </c>
      <c r="E9" s="158">
        <f>1926.4232+1573.5768</f>
        <v>3500</v>
      </c>
      <c r="F9" s="32"/>
      <c r="G9" s="16"/>
      <c r="H9" s="16">
        <f t="shared" si="0"/>
        <v>584500</v>
      </c>
      <c r="I9" s="16">
        <f t="shared" si="1"/>
        <v>0</v>
      </c>
      <c r="J9" s="16"/>
      <c r="K9" s="16"/>
    </row>
    <row r="10" spans="2:12" x14ac:dyDescent="0.4">
      <c r="B10" s="1">
        <v>43980</v>
      </c>
      <c r="C10" s="1" t="s">
        <v>1178</v>
      </c>
      <c r="D10" s="31"/>
      <c r="E10" s="158"/>
      <c r="F10" s="32">
        <v>260.7</v>
      </c>
      <c r="G10" s="16">
        <f>7948.5111+4161.2087+4937.5996+944.872</f>
        <v>17992.1914</v>
      </c>
      <c r="H10" s="16">
        <f t="shared" si="0"/>
        <v>0</v>
      </c>
      <c r="I10" s="16">
        <f t="shared" si="1"/>
        <v>4690564.2979799993</v>
      </c>
      <c r="J10" s="16" t="s">
        <v>1178</v>
      </c>
      <c r="K10" s="16">
        <f>I10-H9-H8-H7-H6-H5</f>
        <v>619064.29797999933</v>
      </c>
      <c r="L10" s="16">
        <f>G10-SUM(E5:E9)</f>
        <v>142.1913999999997</v>
      </c>
    </row>
    <row r="11" spans="2:12" x14ac:dyDescent="0.4">
      <c r="B11" s="1">
        <v>44614</v>
      </c>
      <c r="C11" s="1" t="s">
        <v>1179</v>
      </c>
      <c r="D11" s="31">
        <v>106000</v>
      </c>
      <c r="E11" s="158">
        <v>0.94330000000000003</v>
      </c>
      <c r="F11" s="32"/>
      <c r="G11" s="16"/>
      <c r="H11" s="16">
        <f t="shared" si="0"/>
        <v>99989.8</v>
      </c>
      <c r="I11" s="16">
        <f t="shared" si="1"/>
        <v>0</v>
      </c>
      <c r="J11" s="16"/>
      <c r="K11" s="16"/>
    </row>
    <row r="12" spans="2:12" x14ac:dyDescent="0.4">
      <c r="B12" s="1">
        <v>44614</v>
      </c>
      <c r="C12" s="1" t="s">
        <v>1180</v>
      </c>
      <c r="D12" s="31">
        <v>1500</v>
      </c>
      <c r="E12" s="158">
        <v>60</v>
      </c>
      <c r="F12" s="32"/>
      <c r="G12" s="16"/>
      <c r="H12" s="16">
        <f t="shared" si="0"/>
        <v>90000</v>
      </c>
      <c r="I12" s="16">
        <f t="shared" si="1"/>
        <v>0</v>
      </c>
      <c r="J12" s="16"/>
      <c r="K12" s="16"/>
    </row>
    <row r="13" spans="2:12" x14ac:dyDescent="0.4">
      <c r="B13" s="1">
        <v>44614</v>
      </c>
      <c r="C13" s="1" t="s">
        <v>1181</v>
      </c>
      <c r="D13" s="31">
        <v>6500</v>
      </c>
      <c r="E13" s="158">
        <v>15.384600000000001</v>
      </c>
      <c r="F13" s="32"/>
      <c r="G13" s="16"/>
      <c r="H13" s="16">
        <f t="shared" si="0"/>
        <v>99999.900000000009</v>
      </c>
      <c r="I13" s="16">
        <f t="shared" si="1"/>
        <v>0</v>
      </c>
      <c r="J13" s="16"/>
      <c r="K13" s="16"/>
    </row>
    <row r="14" spans="2:12" x14ac:dyDescent="0.4">
      <c r="B14" s="1">
        <v>44614</v>
      </c>
      <c r="C14" s="1" t="s">
        <v>1182</v>
      </c>
      <c r="D14" s="31">
        <v>45200000</v>
      </c>
      <c r="E14" s="158">
        <v>2.2000000000000001E-3</v>
      </c>
      <c r="F14" s="32"/>
      <c r="G14" s="16"/>
      <c r="H14" s="16">
        <f t="shared" si="0"/>
        <v>99440</v>
      </c>
      <c r="I14" s="16">
        <f t="shared" si="1"/>
        <v>0</v>
      </c>
      <c r="J14" s="16"/>
      <c r="K14" s="16"/>
    </row>
    <row r="15" spans="2:12" x14ac:dyDescent="0.4">
      <c r="B15" s="1">
        <v>44616</v>
      </c>
      <c r="C15" s="1" t="s">
        <v>1180</v>
      </c>
      <c r="D15" s="31">
        <v>1450</v>
      </c>
      <c r="E15" s="158">
        <v>68.965500000000006</v>
      </c>
      <c r="F15" s="32"/>
      <c r="G15" s="16"/>
      <c r="H15" s="16">
        <f t="shared" si="0"/>
        <v>99999.975000000006</v>
      </c>
      <c r="I15" s="16">
        <f t="shared" si="1"/>
        <v>0</v>
      </c>
      <c r="J15" s="16"/>
      <c r="K15" s="16"/>
    </row>
    <row r="16" spans="2:12" x14ac:dyDescent="0.4">
      <c r="B16" s="1">
        <v>44616</v>
      </c>
      <c r="C16" s="1" t="s">
        <v>1182</v>
      </c>
      <c r="D16" s="31">
        <v>44650000</v>
      </c>
      <c r="E16" s="158">
        <v>2.2000000000000001E-3</v>
      </c>
      <c r="F16" s="32"/>
      <c r="G16" s="16"/>
      <c r="H16" s="16">
        <f t="shared" si="0"/>
        <v>98230</v>
      </c>
      <c r="I16" s="16">
        <f t="shared" si="1"/>
        <v>0</v>
      </c>
      <c r="J16" s="16"/>
      <c r="K16" s="16"/>
    </row>
    <row r="17" spans="2:11" x14ac:dyDescent="0.4">
      <c r="B17" s="1">
        <v>44616</v>
      </c>
      <c r="C17" s="1" t="s">
        <v>1179</v>
      </c>
      <c r="D17" s="31">
        <v>101500</v>
      </c>
      <c r="E17" s="158">
        <v>0.98519999999999996</v>
      </c>
      <c r="F17" s="32"/>
      <c r="G17" s="16"/>
      <c r="H17" s="16">
        <f t="shared" si="0"/>
        <v>99997.8</v>
      </c>
      <c r="I17" s="16">
        <f t="shared" si="1"/>
        <v>0</v>
      </c>
      <c r="J17" s="16"/>
      <c r="K17" s="16"/>
    </row>
    <row r="18" spans="2:11" x14ac:dyDescent="0.4">
      <c r="B18" s="1">
        <v>44616</v>
      </c>
      <c r="C18" s="1" t="s">
        <v>1181</v>
      </c>
      <c r="D18" s="31">
        <v>6120</v>
      </c>
      <c r="E18" s="158">
        <v>16.3398</v>
      </c>
      <c r="F18" s="32"/>
      <c r="G18" s="16"/>
      <c r="H18" s="16">
        <f t="shared" si="0"/>
        <v>99999.576000000001</v>
      </c>
      <c r="I18" s="16">
        <f t="shared" si="1"/>
        <v>0</v>
      </c>
      <c r="J18" s="16"/>
      <c r="K18" s="16"/>
    </row>
    <row r="19" spans="2:11" x14ac:dyDescent="0.4">
      <c r="B19" s="1">
        <v>44616</v>
      </c>
      <c r="C19" s="1" t="s">
        <v>1180</v>
      </c>
      <c r="D19" s="31">
        <v>1402</v>
      </c>
      <c r="E19" s="158">
        <v>7.1326000000000001</v>
      </c>
      <c r="F19" s="32"/>
      <c r="G19" s="16"/>
      <c r="H19" s="16">
        <f t="shared" si="0"/>
        <v>9999.9051999999992</v>
      </c>
      <c r="I19" s="16">
        <f t="shared" si="1"/>
        <v>0</v>
      </c>
      <c r="J19" s="16"/>
      <c r="K19" s="16"/>
    </row>
    <row r="20" spans="2:11" x14ac:dyDescent="0.4">
      <c r="B20" s="1">
        <v>44630</v>
      </c>
      <c r="C20" s="1" t="s">
        <v>1180</v>
      </c>
      <c r="D20" s="31">
        <v>1355</v>
      </c>
      <c r="E20" s="158">
        <v>73.800700000000006</v>
      </c>
      <c r="F20" s="32"/>
      <c r="G20" s="16"/>
      <c r="H20" s="16">
        <f t="shared" si="0"/>
        <v>99999.948500000013</v>
      </c>
      <c r="I20" s="16">
        <f t="shared" si="1"/>
        <v>0</v>
      </c>
      <c r="J20" s="16"/>
      <c r="K20" s="16"/>
    </row>
    <row r="21" spans="2:11" x14ac:dyDescent="0.4">
      <c r="B21" s="1">
        <v>44630</v>
      </c>
      <c r="C21" s="1" t="s">
        <v>1181</v>
      </c>
      <c r="D21" s="31">
        <v>6865</v>
      </c>
      <c r="E21" s="158">
        <v>14.566599999999999</v>
      </c>
      <c r="F21" s="32"/>
      <c r="G21" s="16"/>
      <c r="H21" s="16">
        <f t="shared" si="0"/>
        <v>99999.709000000003</v>
      </c>
      <c r="I21" s="16">
        <f t="shared" si="1"/>
        <v>0</v>
      </c>
      <c r="J21" s="16"/>
      <c r="K21" s="16"/>
    </row>
    <row r="22" spans="2:11" x14ac:dyDescent="0.4">
      <c r="B22" s="1">
        <v>44630</v>
      </c>
      <c r="C22" s="1" t="s">
        <v>1179</v>
      </c>
      <c r="D22" s="31">
        <v>101000</v>
      </c>
      <c r="E22" s="158">
        <v>0.99</v>
      </c>
      <c r="F22" s="32"/>
      <c r="G22" s="16"/>
      <c r="H22" s="16">
        <f t="shared" si="0"/>
        <v>99990</v>
      </c>
      <c r="I22" s="16">
        <f t="shared" si="1"/>
        <v>0</v>
      </c>
      <c r="J22" s="16"/>
      <c r="K22" s="16"/>
    </row>
    <row r="23" spans="2:11" x14ac:dyDescent="0.4">
      <c r="B23" s="1">
        <v>44631</v>
      </c>
      <c r="C23" s="1" t="s">
        <v>1182</v>
      </c>
      <c r="D23" s="31">
        <v>48000000</v>
      </c>
      <c r="E23" s="158">
        <v>2E-3</v>
      </c>
      <c r="F23" s="32"/>
      <c r="G23" s="16"/>
      <c r="H23" s="16">
        <f t="shared" si="0"/>
        <v>96000</v>
      </c>
      <c r="I23" s="16">
        <f t="shared" si="1"/>
        <v>0</v>
      </c>
      <c r="J23" s="16"/>
      <c r="K23" s="16"/>
    </row>
    <row r="24" spans="2:11" x14ac:dyDescent="0.4">
      <c r="B24" s="1">
        <v>44635</v>
      </c>
      <c r="C24" s="1" t="s">
        <v>1179</v>
      </c>
      <c r="D24" s="31">
        <v>98800</v>
      </c>
      <c r="E24" s="158">
        <v>1.0121</v>
      </c>
      <c r="F24" s="32"/>
      <c r="G24" s="16"/>
      <c r="H24" s="16">
        <f t="shared" si="0"/>
        <v>99995.48</v>
      </c>
      <c r="I24" s="16">
        <f t="shared" si="1"/>
        <v>0</v>
      </c>
      <c r="J24" s="16"/>
      <c r="K24" s="16"/>
    </row>
    <row r="25" spans="2:11" x14ac:dyDescent="0.4">
      <c r="B25" s="1">
        <v>44635</v>
      </c>
      <c r="C25" s="1" t="s">
        <v>1181</v>
      </c>
      <c r="D25" s="31">
        <v>6455</v>
      </c>
      <c r="E25" s="158">
        <v>9.2911000000000001</v>
      </c>
      <c r="F25" s="32"/>
      <c r="G25" s="16"/>
      <c r="H25" s="16">
        <f t="shared" si="0"/>
        <v>59974.050499999998</v>
      </c>
      <c r="I25" s="16">
        <f t="shared" si="1"/>
        <v>0</v>
      </c>
      <c r="J25" s="16"/>
      <c r="K25" s="16"/>
    </row>
    <row r="26" spans="2:11" x14ac:dyDescent="0.4">
      <c r="B26" s="1">
        <v>44635</v>
      </c>
      <c r="C26" s="1" t="s">
        <v>1181</v>
      </c>
      <c r="D26" s="31">
        <v>6455</v>
      </c>
      <c r="E26" s="158">
        <v>6.2007000000000003</v>
      </c>
      <c r="F26" s="32"/>
      <c r="G26" s="16"/>
      <c r="H26" s="16">
        <f t="shared" si="0"/>
        <v>40025.518500000006</v>
      </c>
      <c r="I26" s="16">
        <f t="shared" si="1"/>
        <v>0</v>
      </c>
      <c r="J26" s="16"/>
      <c r="K26" s="16"/>
    </row>
    <row r="27" spans="2:11" x14ac:dyDescent="0.4">
      <c r="B27" s="1">
        <v>44635</v>
      </c>
      <c r="C27" s="1" t="s">
        <v>1180</v>
      </c>
      <c r="D27" s="31">
        <v>1320</v>
      </c>
      <c r="E27" s="158">
        <v>75.757499999999993</v>
      </c>
      <c r="F27" s="32"/>
      <c r="G27" s="16"/>
      <c r="H27" s="16">
        <f t="shared" si="0"/>
        <v>99999.9</v>
      </c>
      <c r="I27" s="16">
        <f t="shared" si="1"/>
        <v>0</v>
      </c>
      <c r="J27" s="16"/>
      <c r="K27" s="16"/>
    </row>
    <row r="28" spans="2:11" x14ac:dyDescent="0.4">
      <c r="B28" s="1">
        <v>44684</v>
      </c>
      <c r="C28" s="1" t="s">
        <v>1181</v>
      </c>
      <c r="D28" s="31">
        <v>5850</v>
      </c>
      <c r="E28" s="158">
        <v>2.0823999999999998</v>
      </c>
      <c r="F28" s="32"/>
      <c r="G28" s="16"/>
      <c r="H28" s="16">
        <f t="shared" si="0"/>
        <v>12182.039999999999</v>
      </c>
      <c r="I28" s="16">
        <f t="shared" si="1"/>
        <v>0</v>
      </c>
      <c r="J28" s="16"/>
      <c r="K28" s="16"/>
    </row>
    <row r="29" spans="2:11" x14ac:dyDescent="0.4">
      <c r="B29" s="1">
        <v>44684</v>
      </c>
      <c r="C29" s="1" t="s">
        <v>1181</v>
      </c>
      <c r="D29" s="31">
        <v>5850</v>
      </c>
      <c r="E29" s="158">
        <v>7</v>
      </c>
      <c r="F29" s="32"/>
      <c r="G29" s="16"/>
      <c r="H29" s="16">
        <f t="shared" si="0"/>
        <v>40950</v>
      </c>
      <c r="I29" s="16">
        <f t="shared" si="1"/>
        <v>0</v>
      </c>
      <c r="J29" s="16"/>
      <c r="K29" s="16"/>
    </row>
    <row r="30" spans="2:11" x14ac:dyDescent="0.4">
      <c r="B30" s="1">
        <v>44684</v>
      </c>
      <c r="C30" s="1" t="s">
        <v>1181</v>
      </c>
      <c r="D30" s="31">
        <v>5850</v>
      </c>
      <c r="E30" s="158">
        <v>3.3946999999999998</v>
      </c>
      <c r="F30" s="32"/>
      <c r="G30" s="16"/>
      <c r="H30" s="16">
        <f t="shared" si="0"/>
        <v>19858.994999999999</v>
      </c>
      <c r="I30" s="16">
        <f t="shared" si="1"/>
        <v>0</v>
      </c>
      <c r="J30" s="16"/>
      <c r="K30" s="16"/>
    </row>
    <row r="31" spans="2:11" x14ac:dyDescent="0.4">
      <c r="B31" s="1">
        <v>44684</v>
      </c>
      <c r="C31" s="1" t="s">
        <v>1181</v>
      </c>
      <c r="D31" s="31">
        <v>5850</v>
      </c>
      <c r="E31" s="158">
        <v>4.6169000000000002</v>
      </c>
      <c r="F31" s="32"/>
      <c r="G31" s="16"/>
      <c r="H31" s="16">
        <f t="shared" si="0"/>
        <v>27008.865000000002</v>
      </c>
      <c r="I31" s="16">
        <f t="shared" si="1"/>
        <v>0</v>
      </c>
      <c r="J31" s="16"/>
      <c r="K31" s="16"/>
    </row>
    <row r="32" spans="2:11" x14ac:dyDescent="0.4">
      <c r="B32" s="1">
        <v>44684</v>
      </c>
      <c r="C32" s="1" t="s">
        <v>1179</v>
      </c>
      <c r="D32" s="31">
        <v>110500</v>
      </c>
      <c r="E32" s="158">
        <v>0.90490000000000004</v>
      </c>
      <c r="F32" s="32"/>
      <c r="G32" s="16"/>
      <c r="H32" s="16">
        <f t="shared" si="0"/>
        <v>99991.45</v>
      </c>
      <c r="I32" s="16">
        <f t="shared" si="1"/>
        <v>0</v>
      </c>
      <c r="J32" s="16"/>
      <c r="K32" s="16"/>
    </row>
    <row r="33" spans="2:12" x14ac:dyDescent="0.4">
      <c r="B33" s="1">
        <v>44685</v>
      </c>
      <c r="C33" s="1" t="s">
        <v>1182</v>
      </c>
      <c r="D33" s="31">
        <v>49000000</v>
      </c>
      <c r="E33" s="158">
        <v>3.2000000000000002E-3</v>
      </c>
      <c r="F33" s="32"/>
      <c r="G33" s="16"/>
      <c r="H33" s="16">
        <f t="shared" si="0"/>
        <v>156800</v>
      </c>
      <c r="I33" s="16">
        <f t="shared" si="1"/>
        <v>0</v>
      </c>
      <c r="J33" s="16"/>
      <c r="K33" s="16"/>
    </row>
    <row r="34" spans="2:12" x14ac:dyDescent="0.4">
      <c r="B34" s="1">
        <v>44687</v>
      </c>
      <c r="C34" s="1" t="s">
        <v>1182</v>
      </c>
      <c r="D34" s="31">
        <v>47400000</v>
      </c>
      <c r="E34" s="158">
        <v>3.0000000000000001E-3</v>
      </c>
      <c r="F34" s="32"/>
      <c r="G34" s="16"/>
      <c r="H34" s="16">
        <f t="shared" si="0"/>
        <v>142200</v>
      </c>
      <c r="I34" s="16">
        <f t="shared" si="1"/>
        <v>0</v>
      </c>
      <c r="J34" s="16"/>
      <c r="K34" s="16"/>
    </row>
    <row r="35" spans="2:12" x14ac:dyDescent="0.4">
      <c r="B35" s="1">
        <v>44709</v>
      </c>
      <c r="C35" s="1" t="s">
        <v>1182</v>
      </c>
      <c r="D35" s="31">
        <v>36500000</v>
      </c>
      <c r="E35" s="158">
        <v>8.2000000000000007E-3</v>
      </c>
      <c r="F35" s="32"/>
      <c r="G35" s="16"/>
      <c r="H35" s="16">
        <f t="shared" si="0"/>
        <v>299300</v>
      </c>
      <c r="I35" s="16">
        <f t="shared" si="1"/>
        <v>0</v>
      </c>
      <c r="J35" s="16"/>
      <c r="K35" s="16"/>
    </row>
    <row r="36" spans="2:12" x14ac:dyDescent="0.4">
      <c r="B36" s="1">
        <v>44710</v>
      </c>
      <c r="C36" s="1" t="s">
        <v>1181</v>
      </c>
      <c r="D36" s="31">
        <v>2980</v>
      </c>
      <c r="E36" s="158">
        <v>67.114000000000004</v>
      </c>
      <c r="F36" s="32"/>
      <c r="G36" s="16"/>
      <c r="H36" s="16">
        <f t="shared" si="0"/>
        <v>199999.72</v>
      </c>
      <c r="I36" s="16">
        <f t="shared" si="1"/>
        <v>0</v>
      </c>
      <c r="J36" s="16"/>
      <c r="K36" s="16"/>
    </row>
    <row r="37" spans="2:12" x14ac:dyDescent="0.4">
      <c r="B37" s="1">
        <v>44710</v>
      </c>
      <c r="C37" s="1" t="s">
        <v>1183</v>
      </c>
      <c r="D37" s="31">
        <v>520</v>
      </c>
      <c r="E37" s="158">
        <v>192.30760000000001</v>
      </c>
      <c r="F37" s="32"/>
      <c r="G37" s="16"/>
      <c r="H37" s="16">
        <f t="shared" si="0"/>
        <v>99999.952000000005</v>
      </c>
      <c r="I37" s="16">
        <f t="shared" si="1"/>
        <v>0</v>
      </c>
      <c r="J37" s="16"/>
      <c r="K37" s="16"/>
    </row>
    <row r="38" spans="2:12" x14ac:dyDescent="0.4">
      <c r="B38" s="1">
        <v>44714</v>
      </c>
      <c r="C38" s="1" t="s">
        <v>1179</v>
      </c>
      <c r="D38" s="31">
        <v>50000</v>
      </c>
      <c r="E38" s="158">
        <v>4</v>
      </c>
      <c r="F38" s="32"/>
      <c r="G38" s="16"/>
      <c r="H38" s="16">
        <f t="shared" si="0"/>
        <v>200000</v>
      </c>
      <c r="I38" s="16">
        <f t="shared" si="1"/>
        <v>0</v>
      </c>
      <c r="J38" s="16"/>
      <c r="K38" s="16"/>
    </row>
    <row r="39" spans="2:12" x14ac:dyDescent="0.4">
      <c r="B39" s="1">
        <v>44721</v>
      </c>
      <c r="C39" s="1" t="s">
        <v>1180</v>
      </c>
      <c r="D39" s="31">
        <v>475.1</v>
      </c>
      <c r="E39" s="158">
        <v>210.482</v>
      </c>
      <c r="F39" s="32"/>
      <c r="G39" s="16"/>
      <c r="H39" s="16">
        <f t="shared" si="0"/>
        <v>99999.998200000002</v>
      </c>
      <c r="I39" s="16">
        <f t="shared" si="1"/>
        <v>0</v>
      </c>
      <c r="J39" s="16"/>
      <c r="K39" s="16"/>
    </row>
    <row r="40" spans="2:12" x14ac:dyDescent="0.4">
      <c r="B40" s="1">
        <v>44722</v>
      </c>
      <c r="C40" s="1" t="s">
        <v>1183</v>
      </c>
      <c r="D40" s="31">
        <v>500</v>
      </c>
      <c r="E40" s="158">
        <v>200</v>
      </c>
      <c r="F40" s="32"/>
      <c r="G40" s="16"/>
      <c r="H40" s="16">
        <f t="shared" si="0"/>
        <v>100000</v>
      </c>
      <c r="I40" s="16">
        <f t="shared" si="1"/>
        <v>0</v>
      </c>
      <c r="J40" s="16"/>
      <c r="K40" s="16"/>
    </row>
    <row r="41" spans="2:12" x14ac:dyDescent="0.4">
      <c r="B41" s="1">
        <v>44722</v>
      </c>
      <c r="C41" s="1" t="s">
        <v>1181</v>
      </c>
      <c r="D41" s="31">
        <v>3010</v>
      </c>
      <c r="E41" s="158">
        <v>33.222499999999997</v>
      </c>
      <c r="F41" s="32"/>
      <c r="G41" s="16"/>
      <c r="H41" s="16">
        <f t="shared" si="0"/>
        <v>99999.724999999991</v>
      </c>
      <c r="I41" s="16">
        <f t="shared" si="1"/>
        <v>0</v>
      </c>
      <c r="J41" s="16"/>
      <c r="K41" s="16"/>
    </row>
    <row r="42" spans="2:12" x14ac:dyDescent="0.4">
      <c r="B42" s="1">
        <v>44722</v>
      </c>
      <c r="C42" s="1" t="s">
        <v>1179</v>
      </c>
      <c r="D42" s="31">
        <v>48800</v>
      </c>
      <c r="E42" s="158">
        <v>2.0491000000000001</v>
      </c>
      <c r="F42" s="32"/>
      <c r="G42" s="16"/>
      <c r="H42" s="16">
        <f t="shared" si="0"/>
        <v>99996.08</v>
      </c>
      <c r="I42" s="16">
        <f t="shared" si="1"/>
        <v>0</v>
      </c>
      <c r="J42" s="16"/>
      <c r="K42" s="16"/>
    </row>
    <row r="43" spans="2:12" x14ac:dyDescent="0.4">
      <c r="B43" s="1">
        <v>44723</v>
      </c>
      <c r="C43" s="1" t="s">
        <v>1182</v>
      </c>
      <c r="D43" s="31">
        <v>37500000</v>
      </c>
      <c r="E43" s="158">
        <v>2.5999999999999999E-3</v>
      </c>
      <c r="F43" s="32"/>
      <c r="G43" s="16"/>
      <c r="H43" s="16">
        <f t="shared" si="0"/>
        <v>97500</v>
      </c>
      <c r="I43" s="16">
        <f t="shared" si="1"/>
        <v>0</v>
      </c>
      <c r="J43" s="16"/>
      <c r="K43" s="16"/>
    </row>
    <row r="44" spans="2:12" x14ac:dyDescent="0.4">
      <c r="B44" s="1">
        <v>45335</v>
      </c>
      <c r="C44" t="s">
        <v>1182</v>
      </c>
      <c r="D44" s="31"/>
      <c r="E44" s="158"/>
      <c r="F44" s="32">
        <v>66030000</v>
      </c>
      <c r="G44" s="160">
        <v>2.3400000000000001E-2</v>
      </c>
      <c r="H44" s="16">
        <f t="shared" si="0"/>
        <v>0</v>
      </c>
      <c r="I44" s="16">
        <f t="shared" si="1"/>
        <v>1545102</v>
      </c>
      <c r="J44" s="16" t="s">
        <v>1182</v>
      </c>
      <c r="K44" s="16">
        <f>I44-H23-H16-H14-H33-H34-H35-H43</f>
        <v>555632</v>
      </c>
      <c r="L44" s="159">
        <f>G44-E23-E16-E14-E33-E34-E35-E43</f>
        <v>0</v>
      </c>
    </row>
    <row r="45" spans="2:12" x14ac:dyDescent="0.4">
      <c r="B45" s="1">
        <v>45335</v>
      </c>
      <c r="C45" t="s">
        <v>1179</v>
      </c>
      <c r="D45" s="31"/>
      <c r="E45" s="158"/>
      <c r="F45" s="32">
        <v>152000</v>
      </c>
      <c r="G45" s="160">
        <v>1.24865574</v>
      </c>
      <c r="H45" s="16">
        <f t="shared" si="0"/>
        <v>0</v>
      </c>
      <c r="I45" s="16">
        <f t="shared" si="1"/>
        <v>189795.67248000001</v>
      </c>
      <c r="J45" s="16"/>
      <c r="K45" s="16"/>
    </row>
    <row r="46" spans="2:12" x14ac:dyDescent="0.4">
      <c r="B46" s="1">
        <v>45335</v>
      </c>
      <c r="C46" t="s">
        <v>1179</v>
      </c>
      <c r="D46" s="31"/>
      <c r="E46" s="158"/>
      <c r="F46" s="32">
        <v>152000</v>
      </c>
      <c r="G46" s="160">
        <v>4.7217148299999998</v>
      </c>
      <c r="H46" s="16">
        <f t="shared" si="0"/>
        <v>0</v>
      </c>
      <c r="I46" s="16">
        <f t="shared" si="1"/>
        <v>717700.65415999992</v>
      </c>
      <c r="J46" s="16"/>
      <c r="K46" s="16"/>
    </row>
    <row r="47" spans="2:12" x14ac:dyDescent="0.4">
      <c r="B47" s="1">
        <v>45336</v>
      </c>
      <c r="C47" t="s">
        <v>1179</v>
      </c>
      <c r="D47" s="31"/>
      <c r="E47" s="158"/>
      <c r="F47" s="32">
        <v>158000</v>
      </c>
      <c r="G47" s="160">
        <v>4.9142294299999998</v>
      </c>
      <c r="H47" s="16">
        <f t="shared" si="0"/>
        <v>0</v>
      </c>
      <c r="I47" s="16">
        <f t="shared" si="1"/>
        <v>776448.24994000001</v>
      </c>
      <c r="J47" s="16" t="s">
        <v>1179</v>
      </c>
      <c r="K47" s="16">
        <f>(I47+I46+I45)-(H42+H38+H32+H24+H22+H17+H11)</f>
        <v>883983.96657999977</v>
      </c>
      <c r="L47" s="159">
        <f>(G47+G46+G45)-(E42+E38+E32+E24+E22+E17+E11)</f>
        <v>0</v>
      </c>
    </row>
    <row r="48" spans="2:12" x14ac:dyDescent="0.4">
      <c r="B48" s="1">
        <v>45358</v>
      </c>
      <c r="C48" t="s">
        <v>1181</v>
      </c>
      <c r="D48" s="31"/>
      <c r="E48" s="158"/>
      <c r="F48" s="32">
        <v>1930</v>
      </c>
      <c r="G48" s="160">
        <v>173.61745199999999</v>
      </c>
      <c r="H48" s="16">
        <f t="shared" si="0"/>
        <v>0</v>
      </c>
      <c r="I48" s="16">
        <f t="shared" si="1"/>
        <v>335081.68235999998</v>
      </c>
      <c r="J48" s="16" t="s">
        <v>1181</v>
      </c>
      <c r="K48" s="16">
        <f>I48+I49+I50-H41-H36-H31-H30-H29-H28-H26-H25-H21-H18-H13</f>
        <v>-454116.43000000005</v>
      </c>
      <c r="L48" s="159">
        <f>G48+G49+G50-E41-E36-E31-E30-E29-E28-E26-E25-E21-E18-E13</f>
        <v>-2.6645352591003757E-14</v>
      </c>
    </row>
    <row r="49" spans="2:12" x14ac:dyDescent="0.4">
      <c r="B49" s="1">
        <v>45358</v>
      </c>
      <c r="C49" t="s">
        <v>1181</v>
      </c>
      <c r="D49" s="31"/>
      <c r="E49" s="158"/>
      <c r="F49" s="32">
        <v>1930</v>
      </c>
      <c r="G49" s="160">
        <v>5.4279000000000002</v>
      </c>
      <c r="H49" s="16">
        <f t="shared" si="0"/>
        <v>0</v>
      </c>
      <c r="I49" s="16">
        <f t="shared" si="1"/>
        <v>10475.847</v>
      </c>
      <c r="J49" s="16" t="s">
        <v>1180</v>
      </c>
      <c r="K49" s="16">
        <f>0-H39-H27-H20-H19-H15-H12</f>
        <v>-499999.72690000001</v>
      </c>
      <c r="L49" s="158">
        <f>0-E39-E27-E20-E19-E15-E12</f>
        <v>-496.13830000000007</v>
      </c>
    </row>
    <row r="50" spans="2:12" x14ac:dyDescent="0.4">
      <c r="B50" s="1">
        <v>45358</v>
      </c>
      <c r="C50" t="s">
        <v>1181</v>
      </c>
      <c r="D50" s="16"/>
      <c r="E50" s="158"/>
      <c r="F50" s="32">
        <v>1930</v>
      </c>
      <c r="G50" s="160">
        <v>0.16794799999999999</v>
      </c>
      <c r="H50" s="16">
        <f t="shared" si="0"/>
        <v>0</v>
      </c>
      <c r="I50" s="16">
        <f t="shared" si="1"/>
        <v>324.13963999999999</v>
      </c>
      <c r="J50" s="16" t="s">
        <v>1183</v>
      </c>
      <c r="K50" s="16">
        <f>0-H40-H37</f>
        <v>-199999.95199999999</v>
      </c>
      <c r="L50" s="158">
        <f>0-E40-E37</f>
        <v>-392.30759999999998</v>
      </c>
    </row>
    <row r="51" spans="2:12" x14ac:dyDescent="0.4">
      <c r="D51" s="16"/>
      <c r="E51" s="16"/>
      <c r="F51" s="16"/>
      <c r="G51" s="16"/>
      <c r="H51" s="16">
        <f>SUM(H5:H50)</f>
        <v>7360928.3879000004</v>
      </c>
      <c r="I51" s="16">
        <f>SUM(I5:I50)</f>
        <v>8265492.5435600001</v>
      </c>
      <c r="J51" s="16"/>
      <c r="K51" s="16"/>
    </row>
    <row r="52" spans="2:12" x14ac:dyDescent="0.4">
      <c r="I52" s="16">
        <f>I51-H51</f>
        <v>904564.1556599997</v>
      </c>
    </row>
  </sheetData>
  <phoneticPr fontId="9"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3:R731"/>
  <sheetViews>
    <sheetView topLeftCell="A218" workbookViewId="0">
      <selection activeCell="F239" sqref="F239"/>
    </sheetView>
  </sheetViews>
  <sheetFormatPr defaultRowHeight="17.399999999999999" x14ac:dyDescent="0.4"/>
  <cols>
    <col min="1" max="1" width="10.19921875" style="405" customWidth="1"/>
    <col min="2" max="2" width="16.19921875" style="405" customWidth="1"/>
    <col min="3" max="3" width="10.3984375" style="405" customWidth="1"/>
    <col min="4" max="4" width="9.69921875" style="405" bestFit="1" customWidth="1"/>
    <col min="5" max="5" width="10.69921875" style="405" customWidth="1"/>
    <col min="6" max="6" width="10.59765625" style="405" customWidth="1"/>
    <col min="7" max="7" width="11.09765625" style="405" customWidth="1"/>
    <col min="8" max="8" width="9" style="405" customWidth="1"/>
    <col min="9" max="9" width="11.09765625" style="405" customWidth="1"/>
    <col min="10" max="10" width="9" style="405" customWidth="1"/>
    <col min="11" max="11" width="10.5" style="405" customWidth="1"/>
    <col min="12" max="12" width="9.69921875" style="405" customWidth="1"/>
    <col min="13" max="13" width="9" style="405" customWidth="1"/>
    <col min="14" max="14" width="10.5" style="405" customWidth="1"/>
    <col min="15" max="16" width="9" style="405" customWidth="1"/>
    <col min="17" max="17" width="11" style="405" customWidth="1"/>
    <col min="18" max="18" width="3.8984375" style="405" customWidth="1"/>
  </cols>
  <sheetData>
    <row r="3" spans="1:18" ht="21" customHeight="1" x14ac:dyDescent="0.4">
      <c r="A3" s="98" t="s">
        <v>1184</v>
      </c>
    </row>
    <row r="4" spans="1:18" ht="18" customHeight="1" thickBot="1" x14ac:dyDescent="0.45">
      <c r="A4" s="33" t="s">
        <v>1185</v>
      </c>
      <c r="B4" s="33" t="s">
        <v>1186</v>
      </c>
      <c r="D4" s="33"/>
      <c r="E4" s="33"/>
      <c r="F4" s="33"/>
      <c r="G4" s="33"/>
      <c r="H4" s="33"/>
      <c r="I4" s="33"/>
      <c r="J4" t="s">
        <v>1187</v>
      </c>
      <c r="K4" s="1">
        <v>45978</v>
      </c>
      <c r="L4" s="33"/>
      <c r="M4" s="33"/>
      <c r="N4" s="33"/>
      <c r="O4" s="33"/>
      <c r="P4" s="33"/>
      <c r="R4" s="33"/>
    </row>
    <row r="5" spans="1:18" ht="18" customHeight="1" thickBot="1" x14ac:dyDescent="0.45">
      <c r="B5" s="42" t="s">
        <v>559</v>
      </c>
      <c r="C5" s="43" t="s">
        <v>561</v>
      </c>
      <c r="D5" s="44" t="s">
        <v>562</v>
      </c>
      <c r="E5" s="43" t="s">
        <v>1188</v>
      </c>
      <c r="F5" s="43" t="s">
        <v>119</v>
      </c>
      <c r="G5" s="43" t="s">
        <v>565</v>
      </c>
      <c r="H5" s="101" t="s">
        <v>744</v>
      </c>
      <c r="I5" s="43"/>
      <c r="J5" s="45"/>
      <c r="K5" s="106" t="s">
        <v>1189</v>
      </c>
      <c r="L5" s="103"/>
      <c r="M5" s="103"/>
      <c r="N5" s="103"/>
      <c r="O5" s="103"/>
      <c r="Q5" s="103"/>
    </row>
    <row r="6" spans="1:18" x14ac:dyDescent="0.4">
      <c r="B6" s="109">
        <v>45978</v>
      </c>
      <c r="C6" s="34">
        <v>17390978</v>
      </c>
      <c r="D6" s="99"/>
      <c r="E6" s="35">
        <v>45978</v>
      </c>
      <c r="F6" s="34" t="s">
        <v>1190</v>
      </c>
      <c r="G6" s="34"/>
      <c r="H6" s="102"/>
      <c r="I6" s="34"/>
      <c r="J6" s="100"/>
      <c r="K6" s="107">
        <f>C6</f>
        <v>17390978</v>
      </c>
      <c r="L6" s="34"/>
      <c r="M6" s="36"/>
      <c r="N6" s="104"/>
      <c r="O6" s="105"/>
      <c r="Q6" s="105"/>
    </row>
    <row r="7" spans="1:18" x14ac:dyDescent="0.4">
      <c r="B7" s="109">
        <v>45978</v>
      </c>
      <c r="C7" s="34">
        <v>49395</v>
      </c>
      <c r="D7" s="99"/>
      <c r="E7" s="35">
        <v>45979</v>
      </c>
      <c r="F7" s="34"/>
      <c r="G7" s="34"/>
      <c r="H7" s="102"/>
      <c r="I7" s="34"/>
      <c r="J7" s="100"/>
      <c r="K7" s="107">
        <f t="shared" ref="K7:K29" si="0">K6+C7</f>
        <v>17440373</v>
      </c>
      <c r="L7" s="34"/>
      <c r="M7" s="36"/>
      <c r="N7" s="104"/>
      <c r="O7" s="105"/>
      <c r="Q7" s="105"/>
    </row>
    <row r="8" spans="1:18" x14ac:dyDescent="0.4">
      <c r="B8" s="109">
        <v>45987</v>
      </c>
      <c r="C8" s="34">
        <v>100000</v>
      </c>
      <c r="D8" s="99"/>
      <c r="E8" s="35">
        <v>45987</v>
      </c>
      <c r="F8" s="34"/>
      <c r="H8" s="53"/>
      <c r="I8" s="34"/>
      <c r="J8" s="40"/>
      <c r="K8" s="107">
        <f t="shared" si="0"/>
        <v>17540373</v>
      </c>
      <c r="L8" s="34"/>
      <c r="M8" s="36"/>
      <c r="N8" s="104"/>
      <c r="O8" s="105"/>
      <c r="Q8" s="105"/>
    </row>
    <row r="9" spans="1:18" x14ac:dyDescent="0.4">
      <c r="B9" s="109">
        <v>45999</v>
      </c>
      <c r="C9" s="34"/>
      <c r="D9" s="99">
        <v>2508</v>
      </c>
      <c r="E9" s="35"/>
      <c r="F9" s="34" t="s">
        <v>513</v>
      </c>
      <c r="G9" s="34"/>
      <c r="H9" s="102"/>
      <c r="I9" s="34"/>
      <c r="J9" s="100"/>
      <c r="K9" s="107">
        <f t="shared" si="0"/>
        <v>17540373</v>
      </c>
      <c r="L9" s="34"/>
      <c r="M9" s="36"/>
      <c r="N9" s="104"/>
      <c r="O9" s="105"/>
      <c r="Q9" s="105"/>
    </row>
    <row r="10" spans="1:18" x14ac:dyDescent="0.4">
      <c r="B10" s="109">
        <v>46008</v>
      </c>
      <c r="C10" s="34"/>
      <c r="D10" s="99">
        <v>22650</v>
      </c>
      <c r="E10" s="35"/>
      <c r="F10" s="34" t="s">
        <v>580</v>
      </c>
      <c r="G10" s="34" t="s">
        <v>1191</v>
      </c>
      <c r="H10" s="102"/>
      <c r="I10" s="34"/>
      <c r="J10" s="100"/>
      <c r="K10" s="107">
        <f t="shared" si="0"/>
        <v>17540373</v>
      </c>
      <c r="L10" s="34"/>
      <c r="M10" s="36"/>
      <c r="N10" s="104"/>
      <c r="O10" s="105"/>
      <c r="Q10" s="105"/>
    </row>
    <row r="11" spans="1:18" x14ac:dyDescent="0.4">
      <c r="B11" s="109">
        <v>46020</v>
      </c>
      <c r="C11" s="34">
        <v>100000</v>
      </c>
      <c r="D11" s="99"/>
      <c r="E11" s="377">
        <v>46020</v>
      </c>
      <c r="F11" s="34"/>
      <c r="G11" s="34"/>
      <c r="H11" s="378">
        <v>2025</v>
      </c>
      <c r="I11" s="379"/>
      <c r="J11" s="380"/>
      <c r="K11" s="107">
        <f t="shared" si="0"/>
        <v>17640373</v>
      </c>
      <c r="L11" s="34"/>
      <c r="M11" s="36"/>
      <c r="N11" s="104"/>
      <c r="O11" s="105"/>
      <c r="Q11" s="105"/>
    </row>
    <row r="12" spans="1:18" x14ac:dyDescent="0.4">
      <c r="B12" s="109">
        <v>46024</v>
      </c>
      <c r="C12" s="34"/>
      <c r="D12" s="99">
        <v>1640</v>
      </c>
      <c r="E12" s="35"/>
      <c r="F12" s="34" t="s">
        <v>580</v>
      </c>
      <c r="G12" s="34" t="s">
        <v>1192</v>
      </c>
      <c r="H12" s="102"/>
      <c r="I12" s="34"/>
      <c r="J12" s="100"/>
      <c r="K12" s="107">
        <f t="shared" si="0"/>
        <v>17640373</v>
      </c>
      <c r="L12" s="34"/>
      <c r="M12" s="36"/>
      <c r="N12" s="104"/>
      <c r="O12" s="105"/>
      <c r="Q12" s="105"/>
    </row>
    <row r="13" spans="1:18" x14ac:dyDescent="0.4">
      <c r="B13" s="109">
        <v>46027</v>
      </c>
      <c r="C13" s="34"/>
      <c r="D13" s="99">
        <v>2982</v>
      </c>
      <c r="E13" s="35"/>
      <c r="F13" s="34" t="s">
        <v>580</v>
      </c>
      <c r="G13" s="34" t="s">
        <v>1193</v>
      </c>
      <c r="H13" s="102"/>
      <c r="I13" s="34"/>
      <c r="J13" s="40"/>
      <c r="K13" s="107">
        <f t="shared" si="0"/>
        <v>17640373</v>
      </c>
      <c r="L13" s="34"/>
      <c r="M13" s="36"/>
      <c r="N13" s="104"/>
      <c r="O13" s="105"/>
      <c r="Q13" s="105"/>
    </row>
    <row r="14" spans="1:18" x14ac:dyDescent="0.4">
      <c r="B14" s="109">
        <v>46027</v>
      </c>
      <c r="C14" s="34"/>
      <c r="D14" s="99">
        <v>19364</v>
      </c>
      <c r="E14" s="35"/>
      <c r="F14" s="34" t="s">
        <v>580</v>
      </c>
      <c r="G14" s="34" t="s">
        <v>1194</v>
      </c>
      <c r="H14" s="102"/>
      <c r="I14" s="34"/>
      <c r="J14" s="100"/>
      <c r="K14" s="107">
        <f t="shared" si="0"/>
        <v>17640373</v>
      </c>
      <c r="L14" s="34"/>
      <c r="M14" s="36"/>
      <c r="N14" s="104"/>
      <c r="O14" s="105"/>
      <c r="Q14" s="105"/>
    </row>
    <row r="15" spans="1:18" x14ac:dyDescent="0.4">
      <c r="B15" s="109">
        <v>46029</v>
      </c>
      <c r="C15" s="34">
        <v>400000</v>
      </c>
      <c r="D15" s="99"/>
      <c r="E15" s="35">
        <v>46029</v>
      </c>
      <c r="F15" s="34"/>
      <c r="G15" s="34"/>
      <c r="H15" s="102"/>
      <c r="I15" s="34"/>
      <c r="J15" s="40"/>
      <c r="K15" s="107">
        <f t="shared" si="0"/>
        <v>18040373</v>
      </c>
      <c r="L15" s="34"/>
      <c r="M15" s="36"/>
      <c r="N15" s="104"/>
      <c r="O15" s="105"/>
      <c r="Q15" s="105"/>
    </row>
    <row r="16" spans="1:18" x14ac:dyDescent="0.4">
      <c r="B16" s="109">
        <v>46041</v>
      </c>
      <c r="C16" s="34"/>
      <c r="D16" s="99">
        <v>22475</v>
      </c>
      <c r="E16" s="35"/>
      <c r="F16" s="34" t="s">
        <v>580</v>
      </c>
      <c r="G16" s="34" t="s">
        <v>1191</v>
      </c>
      <c r="H16" s="102"/>
      <c r="I16" s="34"/>
      <c r="J16" s="40"/>
      <c r="K16" s="107">
        <f t="shared" si="0"/>
        <v>18040373</v>
      </c>
      <c r="L16" s="34"/>
      <c r="M16" s="36"/>
      <c r="N16" s="104"/>
      <c r="O16" s="105"/>
      <c r="Q16" s="105"/>
    </row>
    <row r="17" spans="2:17" x14ac:dyDescent="0.4">
      <c r="B17" s="109">
        <v>46049</v>
      </c>
      <c r="C17" s="34">
        <v>100000</v>
      </c>
      <c r="D17" s="99"/>
      <c r="E17" s="35">
        <v>46049</v>
      </c>
      <c r="F17" s="34"/>
      <c r="G17" s="34"/>
      <c r="H17" s="102"/>
      <c r="I17" s="34"/>
      <c r="J17" s="40"/>
      <c r="K17" s="107">
        <f t="shared" si="0"/>
        <v>18140373</v>
      </c>
      <c r="L17" s="34"/>
      <c r="M17" s="36"/>
      <c r="N17" s="104"/>
      <c r="O17" s="105"/>
      <c r="Q17" s="105"/>
    </row>
    <row r="18" spans="2:17" x14ac:dyDescent="0.4">
      <c r="B18" s="109">
        <v>46056</v>
      </c>
      <c r="C18" s="34"/>
      <c r="D18" s="99">
        <v>1056</v>
      </c>
      <c r="E18" s="35"/>
      <c r="F18" s="34" t="s">
        <v>580</v>
      </c>
      <c r="G18" s="34" t="s">
        <v>1195</v>
      </c>
      <c r="H18" s="102"/>
      <c r="I18" s="34"/>
      <c r="J18" s="100"/>
      <c r="K18" s="107">
        <f t="shared" si="0"/>
        <v>18140373</v>
      </c>
      <c r="L18" s="34"/>
      <c r="Q18" s="105"/>
    </row>
    <row r="19" spans="2:17" x14ac:dyDescent="0.4">
      <c r="B19" s="109">
        <v>46073</v>
      </c>
      <c r="C19" s="34"/>
      <c r="D19" s="99">
        <v>27507</v>
      </c>
      <c r="E19" s="35"/>
      <c r="F19" s="34" t="s">
        <v>580</v>
      </c>
      <c r="G19" s="34" t="s">
        <v>1191</v>
      </c>
      <c r="H19" s="102"/>
      <c r="I19" s="34"/>
      <c r="J19" s="40"/>
      <c r="K19" s="107">
        <f t="shared" si="0"/>
        <v>18140373</v>
      </c>
      <c r="L19" s="34"/>
      <c r="M19" s="36"/>
      <c r="N19" s="104"/>
      <c r="O19" s="105"/>
      <c r="Q19" s="105"/>
    </row>
    <row r="20" spans="2:17" x14ac:dyDescent="0.4">
      <c r="B20" s="109">
        <v>46079</v>
      </c>
      <c r="C20" s="34">
        <v>100000</v>
      </c>
      <c r="D20" s="99"/>
      <c r="E20" s="35">
        <v>46079</v>
      </c>
      <c r="F20" s="34"/>
      <c r="G20" s="34"/>
      <c r="H20" s="102"/>
      <c r="I20" s="34"/>
      <c r="J20" s="40"/>
      <c r="K20" s="107">
        <f t="shared" si="0"/>
        <v>18240373</v>
      </c>
      <c r="L20" s="34"/>
      <c r="M20" s="33"/>
      <c r="N20" s="2"/>
      <c r="O20" s="2"/>
      <c r="Q20" s="105"/>
    </row>
    <row r="21" spans="2:17" x14ac:dyDescent="0.4">
      <c r="B21" s="109">
        <v>46080</v>
      </c>
      <c r="C21" s="34"/>
      <c r="D21" s="99">
        <v>50160</v>
      </c>
      <c r="E21" s="35"/>
      <c r="F21" s="34" t="s">
        <v>153</v>
      </c>
      <c r="G21" s="34" t="s">
        <v>91</v>
      </c>
      <c r="H21" s="102"/>
      <c r="I21" s="34"/>
      <c r="J21" s="40"/>
      <c r="K21" s="107">
        <f t="shared" si="0"/>
        <v>18240373</v>
      </c>
      <c r="L21" s="34"/>
      <c r="M21" s="33"/>
      <c r="N21" s="2"/>
      <c r="O21" s="2"/>
      <c r="Q21" s="105"/>
    </row>
    <row r="22" spans="2:17" x14ac:dyDescent="0.4">
      <c r="B22" s="109">
        <v>46084</v>
      </c>
      <c r="C22" s="34"/>
      <c r="D22" s="99">
        <v>6472</v>
      </c>
      <c r="E22" s="35"/>
      <c r="F22" s="34" t="s">
        <v>513</v>
      </c>
      <c r="G22" s="34"/>
      <c r="H22" s="102"/>
      <c r="I22" s="34"/>
      <c r="J22" s="40"/>
      <c r="K22" s="107">
        <f t="shared" si="0"/>
        <v>18240373</v>
      </c>
      <c r="L22" s="34"/>
      <c r="M22" s="33"/>
      <c r="N22" s="2"/>
      <c r="O22" s="2"/>
      <c r="Q22" s="105"/>
    </row>
    <row r="23" spans="2:17" x14ac:dyDescent="0.4">
      <c r="B23" s="109">
        <v>46085</v>
      </c>
      <c r="C23" s="34">
        <v>686700</v>
      </c>
      <c r="D23" s="99"/>
      <c r="E23" s="35">
        <v>46086</v>
      </c>
      <c r="F23" s="34"/>
      <c r="G23" s="34"/>
      <c r="H23" s="102"/>
      <c r="I23" s="34"/>
      <c r="J23" s="40"/>
      <c r="K23" s="107">
        <f t="shared" si="0"/>
        <v>18927073</v>
      </c>
      <c r="L23" s="34"/>
      <c r="M23" s="33"/>
      <c r="N23" s="2"/>
      <c r="O23" s="2"/>
      <c r="Q23" s="105"/>
    </row>
    <row r="24" spans="2:17" x14ac:dyDescent="0.4">
      <c r="B24" s="109">
        <v>46098</v>
      </c>
      <c r="C24" s="34"/>
      <c r="D24" s="99">
        <v>25917</v>
      </c>
      <c r="E24" s="35"/>
      <c r="F24" s="34" t="s">
        <v>580</v>
      </c>
      <c r="G24" s="34" t="s">
        <v>1191</v>
      </c>
      <c r="H24" s="102"/>
      <c r="I24" s="34"/>
      <c r="J24" s="40"/>
      <c r="K24" s="107">
        <f t="shared" si="0"/>
        <v>18927073</v>
      </c>
      <c r="L24" s="34"/>
      <c r="M24" s="36"/>
      <c r="N24" s="104"/>
      <c r="O24" s="105"/>
      <c r="Q24" s="105"/>
    </row>
    <row r="25" spans="2:17" x14ac:dyDescent="0.4">
      <c r="B25" s="109">
        <v>46102</v>
      </c>
      <c r="C25" s="34">
        <v>329900</v>
      </c>
      <c r="D25" s="99"/>
      <c r="E25" s="35">
        <v>46104</v>
      </c>
      <c r="F25" s="34"/>
      <c r="G25" s="34"/>
      <c r="H25" s="102"/>
      <c r="I25" s="34"/>
      <c r="J25" s="40"/>
      <c r="K25" s="107">
        <f t="shared" si="0"/>
        <v>19256973</v>
      </c>
      <c r="L25" s="34"/>
      <c r="M25" s="36"/>
      <c r="N25" s="104"/>
      <c r="O25" s="2"/>
      <c r="Q25" s="105"/>
    </row>
    <row r="26" spans="2:17" x14ac:dyDescent="0.4">
      <c r="B26" s="109">
        <v>46107</v>
      </c>
      <c r="C26" s="34">
        <v>100000</v>
      </c>
      <c r="D26" s="99"/>
      <c r="E26" s="35">
        <v>46107</v>
      </c>
      <c r="F26" s="34"/>
      <c r="G26" s="34"/>
      <c r="H26" s="102"/>
      <c r="I26" s="34"/>
      <c r="J26" s="40"/>
      <c r="K26" s="107">
        <f t="shared" si="0"/>
        <v>19356973</v>
      </c>
      <c r="L26" s="34"/>
      <c r="M26" s="36"/>
      <c r="N26" s="104"/>
      <c r="O26" s="105"/>
      <c r="Q26" s="105"/>
    </row>
    <row r="27" spans="2:17" x14ac:dyDescent="0.4">
      <c r="B27" s="109">
        <v>46108</v>
      </c>
      <c r="C27" s="34">
        <v>491200</v>
      </c>
      <c r="D27" s="99"/>
      <c r="E27" s="35">
        <v>46108</v>
      </c>
      <c r="F27" s="34"/>
      <c r="G27" s="34"/>
      <c r="H27" s="102"/>
      <c r="I27" s="34"/>
      <c r="J27" s="40"/>
      <c r="K27" s="107">
        <f t="shared" si="0"/>
        <v>19848173</v>
      </c>
      <c r="L27" s="34"/>
      <c r="M27" s="36"/>
      <c r="N27" s="104"/>
      <c r="O27" s="105"/>
      <c r="Q27" s="105"/>
    </row>
    <row r="28" spans="2:17" x14ac:dyDescent="0.4">
      <c r="B28" s="109"/>
      <c r="C28" s="34"/>
      <c r="D28" s="99"/>
      <c r="E28" s="35"/>
      <c r="F28" s="34"/>
      <c r="G28" s="34"/>
      <c r="H28" s="102"/>
      <c r="I28" s="34"/>
      <c r="J28" s="40"/>
      <c r="K28" s="107">
        <f t="shared" si="0"/>
        <v>19848173</v>
      </c>
      <c r="L28" s="34"/>
      <c r="M28" s="36"/>
      <c r="N28" s="104"/>
      <c r="O28" s="105"/>
      <c r="Q28" s="105"/>
    </row>
    <row r="29" spans="2:17" x14ac:dyDescent="0.4">
      <c r="B29" s="109"/>
      <c r="C29" s="34"/>
      <c r="D29" s="99"/>
      <c r="E29" s="35"/>
      <c r="F29" s="34"/>
      <c r="G29" s="34"/>
      <c r="H29" s="102"/>
      <c r="I29" s="34"/>
      <c r="J29" s="40"/>
      <c r="K29" s="107">
        <f t="shared" si="0"/>
        <v>19848173</v>
      </c>
      <c r="L29" s="34"/>
      <c r="M29" s="36"/>
      <c r="N29" s="104"/>
      <c r="O29" s="105"/>
      <c r="Q29" s="105"/>
    </row>
    <row r="30" spans="2:17" x14ac:dyDescent="0.4">
      <c r="B30" s="109"/>
      <c r="C30" s="34"/>
      <c r="D30" s="99"/>
      <c r="E30" s="35"/>
      <c r="F30" s="34"/>
      <c r="G30" s="34"/>
      <c r="H30" s="102"/>
      <c r="I30" s="34"/>
      <c r="J30" s="40"/>
      <c r="K30" s="107"/>
      <c r="L30" s="34"/>
      <c r="M30" s="36"/>
      <c r="N30" s="104"/>
      <c r="O30" s="105"/>
      <c r="Q30" s="105"/>
    </row>
    <row r="31" spans="2:17" x14ac:dyDescent="0.4">
      <c r="B31" s="1"/>
      <c r="D31" s="16"/>
    </row>
    <row r="32" spans="2:17" x14ac:dyDescent="0.4">
      <c r="B32" s="1"/>
      <c r="D32" s="16"/>
    </row>
    <row r="33" spans="1:18" ht="21" customHeight="1" x14ac:dyDescent="0.4">
      <c r="A33" s="98" t="s">
        <v>1184</v>
      </c>
    </row>
    <row r="34" spans="1:18" ht="18" customHeight="1" thickBot="1" x14ac:dyDescent="0.45">
      <c r="A34" s="33" t="s">
        <v>1196</v>
      </c>
      <c r="B34" s="33" t="s">
        <v>825</v>
      </c>
      <c r="D34" s="33"/>
      <c r="E34" s="33"/>
      <c r="F34" s="33"/>
      <c r="G34" s="33"/>
      <c r="H34" s="33"/>
      <c r="I34" s="33"/>
      <c r="J34" t="s">
        <v>1187</v>
      </c>
      <c r="K34" s="1">
        <v>45943</v>
      </c>
      <c r="L34" s="33"/>
      <c r="M34" s="33"/>
      <c r="N34" s="33"/>
      <c r="O34" s="33"/>
      <c r="P34" s="33"/>
      <c r="R34" s="33"/>
    </row>
    <row r="35" spans="1:18" ht="18" customHeight="1" thickBot="1" x14ac:dyDescent="0.45">
      <c r="B35" s="42" t="s">
        <v>559</v>
      </c>
      <c r="C35" s="43" t="s">
        <v>561</v>
      </c>
      <c r="D35" s="44" t="s">
        <v>562</v>
      </c>
      <c r="E35" s="43" t="s">
        <v>1188</v>
      </c>
      <c r="F35" s="43" t="s">
        <v>119</v>
      </c>
      <c r="G35" s="43" t="s">
        <v>565</v>
      </c>
      <c r="H35" s="101" t="s">
        <v>744</v>
      </c>
      <c r="I35" s="43"/>
      <c r="J35" s="45"/>
      <c r="K35" s="106" t="s">
        <v>1189</v>
      </c>
      <c r="L35" s="103"/>
      <c r="M35" s="103"/>
      <c r="N35" s="103"/>
      <c r="O35" s="103"/>
      <c r="Q35" s="103"/>
    </row>
    <row r="36" spans="1:18" x14ac:dyDescent="0.4">
      <c r="B36" s="109">
        <v>45943</v>
      </c>
      <c r="C36" s="34">
        <v>728500</v>
      </c>
      <c r="D36" s="99"/>
      <c r="E36" s="35"/>
      <c r="F36" s="34"/>
      <c r="G36" s="34"/>
      <c r="H36" s="102"/>
      <c r="I36" s="34"/>
      <c r="J36" s="100"/>
      <c r="K36" s="107">
        <f>C36</f>
        <v>728500</v>
      </c>
      <c r="L36" s="34"/>
      <c r="M36" s="36"/>
      <c r="N36" s="104"/>
      <c r="O36" s="105"/>
      <c r="Q36" s="105"/>
    </row>
    <row r="37" spans="1:18" x14ac:dyDescent="0.4">
      <c r="B37" s="109">
        <v>45945</v>
      </c>
      <c r="C37" s="34">
        <v>308800</v>
      </c>
      <c r="D37" s="99"/>
      <c r="E37" s="35"/>
      <c r="F37" s="34"/>
      <c r="G37" s="34"/>
      <c r="H37" s="102"/>
      <c r="I37" s="34"/>
      <c r="J37" s="100"/>
      <c r="K37" s="107">
        <f t="shared" ref="K37:K64" si="1">K36+C37</f>
        <v>1037300</v>
      </c>
      <c r="L37" s="34"/>
      <c r="M37" s="36"/>
      <c r="N37" s="104"/>
      <c r="O37" s="105"/>
      <c r="Q37" s="105"/>
    </row>
    <row r="38" spans="1:18" x14ac:dyDescent="0.4">
      <c r="B38" s="109">
        <v>45950</v>
      </c>
      <c r="C38" s="34">
        <v>13300</v>
      </c>
      <c r="D38" s="99"/>
      <c r="E38" s="35"/>
      <c r="F38" s="34"/>
      <c r="H38" s="53"/>
      <c r="I38" s="34"/>
      <c r="J38" s="40"/>
      <c r="K38" s="107">
        <f t="shared" si="1"/>
        <v>1050600</v>
      </c>
      <c r="L38" s="34"/>
      <c r="M38" s="36"/>
      <c r="N38" s="104"/>
      <c r="O38" s="105"/>
      <c r="Q38" s="105"/>
    </row>
    <row r="39" spans="1:18" x14ac:dyDescent="0.4">
      <c r="B39" s="109">
        <v>45957</v>
      </c>
      <c r="C39" s="34">
        <v>72100</v>
      </c>
      <c r="D39" s="99"/>
      <c r="E39" s="35"/>
      <c r="F39" s="34"/>
      <c r="G39" s="34"/>
      <c r="H39" s="102"/>
      <c r="I39" s="34"/>
      <c r="J39" s="100"/>
      <c r="K39" s="107">
        <f t="shared" si="1"/>
        <v>1122700</v>
      </c>
      <c r="L39" s="34"/>
      <c r="M39" s="36"/>
      <c r="N39" s="104"/>
      <c r="O39" s="105"/>
      <c r="Q39" s="105"/>
    </row>
    <row r="40" spans="1:18" x14ac:dyDescent="0.4">
      <c r="B40" s="109">
        <v>45971</v>
      </c>
      <c r="C40" s="34">
        <v>162600</v>
      </c>
      <c r="D40" s="99"/>
      <c r="E40" s="35"/>
      <c r="F40" s="34"/>
      <c r="G40" s="34"/>
      <c r="H40" s="102"/>
      <c r="I40" s="34"/>
      <c r="J40" s="100"/>
      <c r="K40" s="107">
        <f t="shared" si="1"/>
        <v>1285300</v>
      </c>
      <c r="L40" s="34"/>
      <c r="M40" s="36"/>
      <c r="N40" s="104"/>
      <c r="O40" s="105"/>
      <c r="Q40" s="105"/>
    </row>
    <row r="41" spans="1:18" x14ac:dyDescent="0.4">
      <c r="B41" s="109">
        <v>45999</v>
      </c>
      <c r="C41" s="34"/>
      <c r="D41" s="99">
        <v>48</v>
      </c>
      <c r="E41" s="377"/>
      <c r="F41" s="34" t="s">
        <v>513</v>
      </c>
      <c r="G41" s="34"/>
      <c r="H41" s="53"/>
      <c r="I41" s="34"/>
      <c r="J41" s="40"/>
      <c r="K41" s="107">
        <f t="shared" si="1"/>
        <v>1285300</v>
      </c>
      <c r="L41" s="34"/>
      <c r="M41" s="36"/>
      <c r="N41" s="104"/>
      <c r="O41" s="105"/>
      <c r="Q41" s="105"/>
    </row>
    <row r="42" spans="1:18" x14ac:dyDescent="0.4">
      <c r="B42" s="109">
        <v>46020</v>
      </c>
      <c r="C42" s="34">
        <v>100000</v>
      </c>
      <c r="D42" s="99"/>
      <c r="E42" s="35"/>
      <c r="F42" s="34"/>
      <c r="G42" s="34"/>
      <c r="H42" s="102"/>
      <c r="I42" s="34"/>
      <c r="J42" s="100"/>
      <c r="K42" s="107">
        <f t="shared" si="1"/>
        <v>1385300</v>
      </c>
      <c r="L42" s="34"/>
      <c r="M42" s="36"/>
      <c r="N42" s="104"/>
      <c r="O42" s="105"/>
      <c r="Q42" s="105"/>
    </row>
    <row r="43" spans="1:18" x14ac:dyDescent="0.4">
      <c r="B43" s="109">
        <v>46021</v>
      </c>
      <c r="C43" s="34">
        <v>87400</v>
      </c>
      <c r="D43" s="99"/>
      <c r="E43" s="35"/>
      <c r="F43" s="34"/>
      <c r="G43" s="34"/>
      <c r="H43" s="381">
        <v>2025</v>
      </c>
      <c r="I43" s="379"/>
      <c r="J43" s="380"/>
      <c r="K43" s="107">
        <f t="shared" si="1"/>
        <v>1472700</v>
      </c>
      <c r="L43" s="34"/>
      <c r="M43" s="36"/>
      <c r="N43" s="104"/>
      <c r="O43" s="105"/>
      <c r="Q43" s="105"/>
    </row>
    <row r="44" spans="1:18" x14ac:dyDescent="0.4">
      <c r="B44" s="109">
        <v>46029</v>
      </c>
      <c r="C44" s="34">
        <v>87400</v>
      </c>
      <c r="D44" s="99"/>
      <c r="E44" s="35"/>
      <c r="F44" s="34"/>
      <c r="G44" s="34"/>
      <c r="H44" s="102"/>
      <c r="I44" s="34"/>
      <c r="J44" s="100"/>
      <c r="K44" s="107">
        <f t="shared" si="1"/>
        <v>1560100</v>
      </c>
      <c r="L44" s="34"/>
      <c r="M44" s="36"/>
      <c r="N44" s="104"/>
      <c r="O44" s="105"/>
      <c r="Q44" s="105"/>
    </row>
    <row r="45" spans="1:18" x14ac:dyDescent="0.4">
      <c r="B45" s="109">
        <v>46041</v>
      </c>
      <c r="C45" s="34">
        <v>133300</v>
      </c>
      <c r="D45" s="99"/>
      <c r="E45" s="35"/>
      <c r="F45" s="34"/>
      <c r="G45" s="34"/>
      <c r="H45" s="102"/>
      <c r="I45" s="34"/>
      <c r="J45" s="40"/>
      <c r="K45" s="107">
        <f t="shared" si="1"/>
        <v>1693400</v>
      </c>
      <c r="L45" s="34"/>
      <c r="M45" s="36"/>
      <c r="N45" s="104"/>
      <c r="O45" s="105"/>
      <c r="Q45" s="105"/>
    </row>
    <row r="46" spans="1:18" x14ac:dyDescent="0.4">
      <c r="B46" s="109">
        <v>46063</v>
      </c>
      <c r="C46" s="34">
        <v>88400</v>
      </c>
      <c r="D46" s="99"/>
      <c r="E46" s="35"/>
      <c r="F46" s="34"/>
      <c r="G46" s="34"/>
      <c r="H46" s="102"/>
      <c r="I46" s="34"/>
      <c r="J46" s="40"/>
      <c r="K46" s="107">
        <f t="shared" si="1"/>
        <v>1781800</v>
      </c>
      <c r="L46" s="34"/>
      <c r="M46" s="36"/>
      <c r="N46" s="104"/>
      <c r="O46" s="105"/>
      <c r="Q46" s="105"/>
    </row>
    <row r="47" spans="1:18" x14ac:dyDescent="0.4">
      <c r="B47" s="109">
        <v>46084</v>
      </c>
      <c r="C47" s="34"/>
      <c r="D47" s="99">
        <v>101</v>
      </c>
      <c r="E47" s="35"/>
      <c r="F47" s="34" t="s">
        <v>513</v>
      </c>
      <c r="G47" s="34"/>
      <c r="H47" s="102"/>
      <c r="I47" s="34"/>
      <c r="J47" s="40"/>
      <c r="K47" s="107">
        <f t="shared" si="1"/>
        <v>1781800</v>
      </c>
      <c r="L47" s="34"/>
      <c r="M47" s="36"/>
      <c r="N47" s="104"/>
      <c r="O47" s="105"/>
      <c r="Q47" s="105"/>
    </row>
    <row r="48" spans="1:18" x14ac:dyDescent="0.4">
      <c r="B48" s="109">
        <v>46085</v>
      </c>
      <c r="C48" s="34">
        <v>1300000</v>
      </c>
      <c r="D48" s="99"/>
      <c r="E48" s="35"/>
      <c r="F48" s="34"/>
      <c r="G48" s="34"/>
      <c r="H48" s="102"/>
      <c r="I48" s="34"/>
      <c r="J48" s="100"/>
      <c r="K48" s="107">
        <f t="shared" si="1"/>
        <v>3081800</v>
      </c>
      <c r="L48" s="34"/>
      <c r="Q48" s="105"/>
    </row>
    <row r="49" spans="2:17" x14ac:dyDescent="0.4">
      <c r="B49" s="109">
        <v>46094</v>
      </c>
      <c r="C49" s="34"/>
      <c r="D49" s="99">
        <v>15600</v>
      </c>
      <c r="E49" s="35"/>
      <c r="F49" s="34" t="s">
        <v>153</v>
      </c>
      <c r="G49" s="34" t="s">
        <v>1197</v>
      </c>
      <c r="H49" s="102"/>
      <c r="I49" s="34"/>
      <c r="J49" s="40"/>
      <c r="K49" s="107">
        <f t="shared" si="1"/>
        <v>3081800</v>
      </c>
      <c r="L49" s="34"/>
      <c r="M49" s="36"/>
      <c r="N49" s="104"/>
      <c r="O49" s="105"/>
      <c r="Q49" s="105"/>
    </row>
    <row r="50" spans="2:17" x14ac:dyDescent="0.4">
      <c r="B50" s="109">
        <v>46102</v>
      </c>
      <c r="C50" s="34">
        <v>461000</v>
      </c>
      <c r="D50" s="99"/>
      <c r="E50" s="35"/>
      <c r="F50" s="34"/>
      <c r="G50" s="34"/>
      <c r="H50" s="102"/>
      <c r="I50" s="34"/>
      <c r="J50" s="40"/>
      <c r="K50" s="107">
        <f t="shared" si="1"/>
        <v>3542800</v>
      </c>
      <c r="L50" s="34"/>
      <c r="M50" s="33"/>
      <c r="N50" s="2"/>
      <c r="O50" s="2"/>
      <c r="Q50" s="105"/>
    </row>
    <row r="51" spans="2:17" x14ac:dyDescent="0.4">
      <c r="B51" s="109">
        <v>46108</v>
      </c>
      <c r="C51" s="34">
        <v>735200</v>
      </c>
      <c r="D51" s="99"/>
      <c r="E51" s="35"/>
      <c r="F51" s="34"/>
      <c r="G51" s="34"/>
      <c r="H51" s="102"/>
      <c r="I51" s="34"/>
      <c r="J51" s="40"/>
      <c r="K51" s="107">
        <f t="shared" si="1"/>
        <v>4278000</v>
      </c>
      <c r="L51" s="34"/>
      <c r="M51" s="33"/>
      <c r="N51" s="2"/>
      <c r="O51" s="2"/>
      <c r="Q51" s="105"/>
    </row>
    <row r="52" spans="2:17" x14ac:dyDescent="0.4">
      <c r="B52" s="109"/>
      <c r="C52" s="34"/>
      <c r="D52" s="99"/>
      <c r="E52" s="35"/>
      <c r="F52" s="34"/>
      <c r="G52" s="34"/>
      <c r="H52" s="381">
        <v>2026</v>
      </c>
      <c r="I52" s="379"/>
      <c r="J52" s="380"/>
      <c r="K52" s="107">
        <f t="shared" si="1"/>
        <v>4278000</v>
      </c>
      <c r="L52" s="34"/>
      <c r="M52" s="33"/>
      <c r="N52" s="2"/>
      <c r="O52" s="2"/>
      <c r="Q52" s="105"/>
    </row>
    <row r="53" spans="2:17" x14ac:dyDescent="0.4">
      <c r="B53" s="109"/>
      <c r="C53" s="34"/>
      <c r="D53" s="99"/>
      <c r="E53" s="35"/>
      <c r="F53" s="34"/>
      <c r="G53" s="34"/>
      <c r="H53" s="102"/>
      <c r="I53" s="34"/>
      <c r="J53" s="40"/>
      <c r="K53" s="107">
        <f t="shared" si="1"/>
        <v>4278000</v>
      </c>
      <c r="L53" s="34"/>
      <c r="M53" s="33"/>
      <c r="N53" s="2"/>
      <c r="O53" s="2"/>
      <c r="Q53" s="105"/>
    </row>
    <row r="54" spans="2:17" x14ac:dyDescent="0.4">
      <c r="B54" s="109"/>
      <c r="C54" s="34"/>
      <c r="D54" s="99"/>
      <c r="E54" s="35"/>
      <c r="F54" s="34"/>
      <c r="G54" s="34"/>
      <c r="H54" s="102"/>
      <c r="I54" s="34"/>
      <c r="J54" s="40"/>
      <c r="K54" s="107">
        <f t="shared" si="1"/>
        <v>4278000</v>
      </c>
      <c r="L54" s="34"/>
      <c r="M54" s="36"/>
      <c r="N54" s="104"/>
      <c r="O54" s="105"/>
      <c r="Q54" s="105"/>
    </row>
    <row r="55" spans="2:17" x14ac:dyDescent="0.4">
      <c r="B55" s="109"/>
      <c r="C55" s="34"/>
      <c r="D55" s="99"/>
      <c r="E55" s="35"/>
      <c r="F55" s="34"/>
      <c r="G55" s="34"/>
      <c r="H55" s="102"/>
      <c r="I55" s="34"/>
      <c r="J55" s="40"/>
      <c r="K55" s="107">
        <f t="shared" si="1"/>
        <v>4278000</v>
      </c>
      <c r="L55" s="34"/>
      <c r="M55" s="36"/>
      <c r="N55" s="104"/>
      <c r="O55" s="2"/>
      <c r="Q55" s="105"/>
    </row>
    <row r="56" spans="2:17" x14ac:dyDescent="0.4">
      <c r="B56" s="109"/>
      <c r="C56" s="34"/>
      <c r="D56" s="99"/>
      <c r="E56" s="35"/>
      <c r="F56" s="34"/>
      <c r="G56" s="34"/>
      <c r="H56" s="102"/>
      <c r="I56" s="34"/>
      <c r="J56" s="40"/>
      <c r="K56" s="107">
        <f t="shared" si="1"/>
        <v>4278000</v>
      </c>
      <c r="L56" s="34"/>
      <c r="M56" s="36"/>
      <c r="N56" s="104"/>
      <c r="O56" s="105"/>
      <c r="Q56" s="105"/>
    </row>
    <row r="57" spans="2:17" x14ac:dyDescent="0.4">
      <c r="B57" s="109"/>
      <c r="C57" s="34"/>
      <c r="D57" s="99"/>
      <c r="E57" s="35"/>
      <c r="F57" s="34"/>
      <c r="G57" s="34"/>
      <c r="H57" s="102"/>
      <c r="I57" s="34"/>
      <c r="J57" s="40"/>
      <c r="K57" s="107">
        <f t="shared" si="1"/>
        <v>4278000</v>
      </c>
      <c r="L57" s="34"/>
      <c r="M57" s="36"/>
      <c r="N57" s="104"/>
      <c r="O57" s="105"/>
      <c r="Q57" s="105"/>
    </row>
    <row r="58" spans="2:17" x14ac:dyDescent="0.4">
      <c r="B58" s="109"/>
      <c r="C58" s="34"/>
      <c r="D58" s="99"/>
      <c r="E58" s="35"/>
      <c r="F58" s="34"/>
      <c r="G58" s="34"/>
      <c r="H58" s="102"/>
      <c r="I58" s="34"/>
      <c r="J58" s="40"/>
      <c r="K58" s="107">
        <f t="shared" si="1"/>
        <v>4278000</v>
      </c>
      <c r="L58" s="34"/>
      <c r="M58" s="36"/>
      <c r="N58" s="104"/>
      <c r="O58" s="105"/>
      <c r="Q58" s="105"/>
    </row>
    <row r="59" spans="2:17" x14ac:dyDescent="0.4">
      <c r="B59" s="109"/>
      <c r="C59" s="34"/>
      <c r="D59" s="99"/>
      <c r="E59" s="35"/>
      <c r="F59" s="34"/>
      <c r="G59" s="34"/>
      <c r="H59" s="102"/>
      <c r="I59" s="34"/>
      <c r="J59" s="40"/>
      <c r="K59" s="107">
        <f t="shared" si="1"/>
        <v>4278000</v>
      </c>
      <c r="L59" s="34"/>
      <c r="M59" s="36"/>
      <c r="N59" s="104"/>
      <c r="O59" s="105"/>
      <c r="Q59" s="105"/>
    </row>
    <row r="60" spans="2:17" x14ac:dyDescent="0.4">
      <c r="B60" s="109"/>
      <c r="C60" s="34"/>
      <c r="D60" s="99"/>
      <c r="E60" s="35"/>
      <c r="F60" s="34"/>
      <c r="G60" s="34"/>
      <c r="H60" s="102"/>
      <c r="I60" s="34"/>
      <c r="J60" s="40"/>
      <c r="K60" s="107">
        <f t="shared" si="1"/>
        <v>4278000</v>
      </c>
      <c r="L60" s="34"/>
      <c r="M60" s="36"/>
      <c r="N60" s="104"/>
      <c r="O60" s="105"/>
      <c r="Q60" s="105"/>
    </row>
    <row r="61" spans="2:17" x14ac:dyDescent="0.4">
      <c r="B61" s="109"/>
      <c r="C61" s="34"/>
      <c r="D61" s="99"/>
      <c r="E61" s="35"/>
      <c r="F61" s="34"/>
      <c r="G61" s="34"/>
      <c r="H61" s="102"/>
      <c r="I61" s="34"/>
      <c r="J61" s="40"/>
      <c r="K61" s="107">
        <f t="shared" si="1"/>
        <v>4278000</v>
      </c>
      <c r="L61" s="34"/>
      <c r="M61" s="36"/>
      <c r="N61" s="104"/>
      <c r="O61" s="105"/>
      <c r="Q61" s="105"/>
    </row>
    <row r="62" spans="2:17" x14ac:dyDescent="0.4">
      <c r="B62" s="109"/>
      <c r="C62" s="34"/>
      <c r="D62" s="99"/>
      <c r="E62" s="35"/>
      <c r="F62" s="34"/>
      <c r="G62" s="34"/>
      <c r="H62" s="102"/>
      <c r="I62" s="34"/>
      <c r="J62" s="40"/>
      <c r="K62" s="107">
        <f t="shared" si="1"/>
        <v>4278000</v>
      </c>
      <c r="L62" s="34"/>
      <c r="M62" s="36"/>
      <c r="N62" s="104"/>
      <c r="O62" s="105"/>
      <c r="Q62" s="105"/>
    </row>
    <row r="63" spans="2:17" x14ac:dyDescent="0.4">
      <c r="B63" s="109"/>
      <c r="C63" s="34"/>
      <c r="D63" s="99"/>
      <c r="E63" s="35"/>
      <c r="F63" s="34"/>
      <c r="G63" s="34"/>
      <c r="H63" s="102"/>
      <c r="I63" s="34"/>
      <c r="J63" s="40"/>
      <c r="K63" s="107">
        <f t="shared" si="1"/>
        <v>4278000</v>
      </c>
      <c r="L63" s="34"/>
      <c r="M63" s="36"/>
      <c r="N63" s="104"/>
      <c r="O63" s="105"/>
      <c r="Q63" s="105"/>
    </row>
    <row r="64" spans="2:17" x14ac:dyDescent="0.4">
      <c r="B64" s="109"/>
      <c r="C64" s="34"/>
      <c r="D64" s="99"/>
      <c r="E64" s="35"/>
      <c r="F64" s="34"/>
      <c r="G64" s="34"/>
      <c r="H64" s="102"/>
      <c r="I64" s="34"/>
      <c r="J64" s="40"/>
      <c r="K64" s="107">
        <f t="shared" si="1"/>
        <v>4278000</v>
      </c>
      <c r="L64" s="34"/>
      <c r="M64" s="36"/>
      <c r="N64" s="104"/>
      <c r="O64" s="105"/>
      <c r="Q64" s="105"/>
    </row>
    <row r="65" spans="1:18" x14ac:dyDescent="0.4">
      <c r="B65" s="1"/>
    </row>
    <row r="66" spans="1:18" x14ac:dyDescent="0.4">
      <c r="B66" s="108"/>
    </row>
    <row r="67" spans="1:18" ht="21" customHeight="1" x14ac:dyDescent="0.4">
      <c r="A67" s="98" t="s">
        <v>1184</v>
      </c>
    </row>
    <row r="68" spans="1:18" ht="18" customHeight="1" thickBot="1" x14ac:dyDescent="0.45">
      <c r="A68" s="33" t="s">
        <v>1198</v>
      </c>
      <c r="B68" s="33"/>
      <c r="D68" s="33"/>
      <c r="E68" s="33"/>
      <c r="F68" s="33"/>
      <c r="G68" s="33"/>
      <c r="H68" s="33"/>
      <c r="I68" s="33"/>
      <c r="J68" t="s">
        <v>1187</v>
      </c>
      <c r="K68" s="1">
        <v>41779</v>
      </c>
      <c r="L68" s="33"/>
      <c r="M68" s="33"/>
      <c r="N68" s="33"/>
      <c r="O68" s="33"/>
      <c r="P68" s="33"/>
      <c r="R68" s="33"/>
    </row>
    <row r="69" spans="1:18" ht="18" customHeight="1" thickBot="1" x14ac:dyDescent="0.45">
      <c r="B69" s="42" t="s">
        <v>559</v>
      </c>
      <c r="C69" s="43" t="s">
        <v>561</v>
      </c>
      <c r="D69" s="44" t="s">
        <v>562</v>
      </c>
      <c r="E69" s="43" t="s">
        <v>1188</v>
      </c>
      <c r="F69" s="43" t="s">
        <v>119</v>
      </c>
      <c r="G69" s="43" t="s">
        <v>565</v>
      </c>
      <c r="H69" s="101" t="s">
        <v>744</v>
      </c>
      <c r="I69" s="43"/>
      <c r="J69" s="45"/>
      <c r="K69" s="106" t="s">
        <v>1189</v>
      </c>
      <c r="L69" s="103"/>
      <c r="M69" s="103"/>
      <c r="N69" s="103"/>
      <c r="O69" s="103"/>
      <c r="Q69" s="103"/>
    </row>
    <row r="70" spans="1:18" ht="18" customHeight="1" thickBot="1" x14ac:dyDescent="0.45">
      <c r="B70" s="382">
        <v>42052</v>
      </c>
      <c r="C70" s="34">
        <v>100000</v>
      </c>
      <c r="D70" s="99"/>
      <c r="E70" s="35"/>
      <c r="F70" s="34"/>
      <c r="G70" s="34"/>
      <c r="H70" s="102"/>
      <c r="I70" s="34"/>
      <c r="J70" s="100"/>
      <c r="K70" s="107">
        <f>C70</f>
        <v>100000</v>
      </c>
      <c r="L70" s="34"/>
      <c r="M70" s="36"/>
      <c r="N70" s="104"/>
      <c r="O70" s="105"/>
      <c r="Q70" s="105"/>
    </row>
    <row r="71" spans="1:18" ht="18" customHeight="1" thickBot="1" x14ac:dyDescent="0.45">
      <c r="B71" s="382">
        <v>42105</v>
      </c>
      <c r="C71" s="34"/>
      <c r="D71" s="99">
        <v>43</v>
      </c>
      <c r="E71" s="35"/>
      <c r="F71" s="34" t="s">
        <v>1199</v>
      </c>
      <c r="G71" s="34"/>
      <c r="H71" s="102"/>
      <c r="I71" s="34"/>
      <c r="J71" s="100"/>
      <c r="K71" s="107">
        <f t="shared" ref="K71:K102" si="2">K70+C71</f>
        <v>100000</v>
      </c>
      <c r="L71" s="34"/>
      <c r="M71" s="36"/>
      <c r="N71" s="104"/>
      <c r="O71" s="105"/>
      <c r="Q71" s="105"/>
    </row>
    <row r="72" spans="1:18" ht="18" customHeight="1" thickBot="1" x14ac:dyDescent="0.45">
      <c r="B72" s="382">
        <v>42174</v>
      </c>
      <c r="C72" s="34">
        <v>100000</v>
      </c>
      <c r="D72" s="99"/>
      <c r="E72" s="35"/>
      <c r="F72" s="34"/>
      <c r="G72" s="34"/>
      <c r="H72" s="102"/>
      <c r="I72" s="34"/>
      <c r="J72" s="100"/>
      <c r="K72" s="107">
        <f t="shared" si="2"/>
        <v>200000</v>
      </c>
      <c r="L72" s="34"/>
      <c r="M72" s="36"/>
      <c r="N72" s="104"/>
      <c r="O72" s="105"/>
      <c r="Q72" s="105"/>
    </row>
    <row r="73" spans="1:18" ht="18" customHeight="1" thickBot="1" x14ac:dyDescent="0.45">
      <c r="B73" s="382">
        <v>42196</v>
      </c>
      <c r="C73" s="34"/>
      <c r="D73" s="99">
        <v>92</v>
      </c>
      <c r="E73" s="35"/>
      <c r="F73" s="34" t="s">
        <v>1199</v>
      </c>
      <c r="G73" s="34"/>
      <c r="H73" s="102"/>
      <c r="I73" s="34"/>
      <c r="J73" s="100"/>
      <c r="K73" s="107">
        <f t="shared" si="2"/>
        <v>200000</v>
      </c>
      <c r="L73" s="34"/>
      <c r="M73" s="36"/>
      <c r="N73" s="104"/>
      <c r="O73" s="105"/>
      <c r="Q73" s="105"/>
    </row>
    <row r="74" spans="1:18" ht="18" customHeight="1" thickBot="1" x14ac:dyDescent="0.45">
      <c r="B74" s="382">
        <v>42287</v>
      </c>
      <c r="C74" s="34"/>
      <c r="D74" s="99">
        <v>149</v>
      </c>
      <c r="E74" s="35"/>
      <c r="F74" s="34" t="s">
        <v>1199</v>
      </c>
      <c r="G74" s="34"/>
      <c r="H74" s="102"/>
      <c r="I74" s="34"/>
      <c r="J74" s="100"/>
      <c r="K74" s="107">
        <f t="shared" si="2"/>
        <v>200000</v>
      </c>
      <c r="L74" s="34"/>
      <c r="M74" s="36"/>
      <c r="N74" s="104"/>
      <c r="O74" s="105"/>
      <c r="Q74" s="105"/>
    </row>
    <row r="75" spans="1:18" ht="18" customHeight="1" thickBot="1" x14ac:dyDescent="0.45">
      <c r="B75" s="382">
        <v>42378</v>
      </c>
      <c r="C75" s="34"/>
      <c r="D75" s="99">
        <v>100</v>
      </c>
      <c r="E75" s="35"/>
      <c r="F75" s="34" t="s">
        <v>1199</v>
      </c>
      <c r="G75" s="34"/>
      <c r="H75" s="102"/>
      <c r="I75" s="34"/>
      <c r="J75" s="100"/>
      <c r="K75" s="107">
        <f t="shared" si="2"/>
        <v>200000</v>
      </c>
      <c r="L75" s="34"/>
      <c r="M75" s="36"/>
      <c r="N75" s="104"/>
      <c r="O75" s="105"/>
      <c r="Q75" s="105"/>
    </row>
    <row r="76" spans="1:18" ht="18" customHeight="1" thickBot="1" x14ac:dyDescent="0.45">
      <c r="B76" s="382">
        <v>43123</v>
      </c>
      <c r="C76" s="34">
        <v>50000</v>
      </c>
      <c r="D76" s="99"/>
      <c r="E76" s="35" t="s">
        <v>1200</v>
      </c>
      <c r="F76" s="34"/>
      <c r="G76" s="34"/>
      <c r="H76" s="102"/>
      <c r="I76" s="34"/>
      <c r="J76" s="100"/>
      <c r="K76" s="107">
        <f t="shared" si="2"/>
        <v>250000</v>
      </c>
      <c r="L76" s="34"/>
      <c r="M76" s="36"/>
      <c r="N76" s="104"/>
      <c r="O76" s="105"/>
      <c r="Q76" s="105"/>
    </row>
    <row r="77" spans="1:18" ht="18" customHeight="1" thickBot="1" x14ac:dyDescent="0.45">
      <c r="B77" s="382">
        <v>43154</v>
      </c>
      <c r="C77" s="34">
        <v>50000</v>
      </c>
      <c r="D77" s="99"/>
      <c r="E77" s="35" t="s">
        <v>1200</v>
      </c>
      <c r="F77" s="34"/>
      <c r="H77" s="53"/>
      <c r="I77" s="34"/>
      <c r="J77" s="40"/>
      <c r="K77" s="107">
        <f t="shared" si="2"/>
        <v>300000</v>
      </c>
      <c r="L77" s="34"/>
      <c r="M77" s="36"/>
      <c r="N77" s="104"/>
      <c r="O77" s="105"/>
      <c r="Q77" s="105"/>
    </row>
    <row r="78" spans="1:18" ht="18" customHeight="1" thickBot="1" x14ac:dyDescent="0.45">
      <c r="B78" s="382">
        <v>43182</v>
      </c>
      <c r="C78" s="34">
        <v>50000</v>
      </c>
      <c r="D78" s="99"/>
      <c r="E78" s="35" t="s">
        <v>1200</v>
      </c>
      <c r="F78" s="34"/>
      <c r="G78" s="34"/>
      <c r="H78" s="102"/>
      <c r="I78" s="34"/>
      <c r="J78" s="100"/>
      <c r="K78" s="107">
        <f t="shared" si="2"/>
        <v>350000</v>
      </c>
      <c r="L78" s="34"/>
      <c r="M78" s="36"/>
      <c r="N78" s="104"/>
      <c r="O78" s="105"/>
      <c r="Q78" s="105"/>
    </row>
    <row r="79" spans="1:18" ht="18" customHeight="1" thickBot="1" x14ac:dyDescent="0.45">
      <c r="B79" s="382">
        <v>43203</v>
      </c>
      <c r="C79" s="34"/>
      <c r="D79" s="99">
        <v>21</v>
      </c>
      <c r="E79" s="35"/>
      <c r="F79" s="34" t="s">
        <v>1199</v>
      </c>
      <c r="G79" s="34"/>
      <c r="H79" s="102"/>
      <c r="I79" s="34"/>
      <c r="J79" s="100"/>
      <c r="K79" s="107">
        <f t="shared" si="2"/>
        <v>350000</v>
      </c>
      <c r="L79" s="34"/>
      <c r="M79" s="36"/>
      <c r="N79" s="104"/>
      <c r="O79" s="105"/>
      <c r="Q79" s="105"/>
    </row>
    <row r="80" spans="1:18" ht="18" customHeight="1" thickBot="1" x14ac:dyDescent="0.45">
      <c r="B80" s="382">
        <v>43214</v>
      </c>
      <c r="C80" s="34">
        <v>50000</v>
      </c>
      <c r="D80" s="99"/>
      <c r="E80" s="35" t="s">
        <v>1200</v>
      </c>
      <c r="F80" s="34"/>
      <c r="G80" s="34"/>
      <c r="H80" s="53"/>
      <c r="I80" s="34"/>
      <c r="J80" s="40"/>
      <c r="K80" s="107">
        <f t="shared" si="2"/>
        <v>400000</v>
      </c>
      <c r="L80" s="34"/>
      <c r="M80" s="36"/>
      <c r="N80" s="104"/>
      <c r="O80" s="105"/>
      <c r="Q80" s="105"/>
    </row>
    <row r="81" spans="2:17" ht="18" customHeight="1" thickBot="1" x14ac:dyDescent="0.45">
      <c r="B81" s="382">
        <v>43244</v>
      </c>
      <c r="C81" s="34">
        <v>50000</v>
      </c>
      <c r="D81" s="99"/>
      <c r="E81" s="35" t="s">
        <v>1200</v>
      </c>
      <c r="F81" s="34"/>
      <c r="G81" s="34"/>
      <c r="H81" s="102"/>
      <c r="I81" s="34"/>
      <c r="J81" s="100"/>
      <c r="K81" s="107">
        <f t="shared" si="2"/>
        <v>450000</v>
      </c>
      <c r="L81" s="34"/>
      <c r="M81" s="36"/>
      <c r="N81" s="104"/>
      <c r="O81" s="105"/>
      <c r="Q81" s="105"/>
    </row>
    <row r="82" spans="2:17" ht="18" customHeight="1" thickBot="1" x14ac:dyDescent="0.45">
      <c r="B82" s="382">
        <v>43276</v>
      </c>
      <c r="C82" s="34">
        <v>50000</v>
      </c>
      <c r="D82" s="99"/>
      <c r="E82" s="35" t="s">
        <v>1200</v>
      </c>
      <c r="F82" s="34"/>
      <c r="G82" s="34"/>
      <c r="H82" s="102"/>
      <c r="I82" s="34"/>
      <c r="J82" s="40"/>
      <c r="K82" s="107">
        <f t="shared" si="2"/>
        <v>500000</v>
      </c>
      <c r="L82" s="34"/>
      <c r="M82" s="36"/>
      <c r="N82" s="104"/>
      <c r="O82" s="105"/>
      <c r="Q82" s="105"/>
    </row>
    <row r="83" spans="2:17" ht="18" customHeight="1" thickBot="1" x14ac:dyDescent="0.45">
      <c r="B83" s="382">
        <v>43294</v>
      </c>
      <c r="C83" s="34"/>
      <c r="D83" s="99">
        <v>19</v>
      </c>
      <c r="E83" s="35"/>
      <c r="F83" s="34" t="s">
        <v>1199</v>
      </c>
      <c r="G83" s="34"/>
      <c r="H83" s="102"/>
      <c r="I83" s="34"/>
      <c r="J83" s="100"/>
      <c r="K83" s="107">
        <f t="shared" si="2"/>
        <v>500000</v>
      </c>
      <c r="L83" s="34"/>
      <c r="M83" s="36"/>
      <c r="N83" s="104"/>
      <c r="O83" s="105"/>
      <c r="Q83" s="105"/>
    </row>
    <row r="84" spans="2:17" ht="18" customHeight="1" thickBot="1" x14ac:dyDescent="0.45">
      <c r="B84" s="382">
        <v>43305</v>
      </c>
      <c r="C84" s="34">
        <v>50000</v>
      </c>
      <c r="D84" s="99"/>
      <c r="E84" s="35" t="s">
        <v>1200</v>
      </c>
      <c r="F84" s="34"/>
      <c r="G84" s="34"/>
      <c r="H84" s="102"/>
      <c r="I84" s="34"/>
      <c r="J84" s="40"/>
      <c r="K84" s="107">
        <f t="shared" si="2"/>
        <v>550000</v>
      </c>
      <c r="L84" s="34"/>
      <c r="M84" s="36"/>
      <c r="N84" s="104"/>
      <c r="O84" s="105"/>
      <c r="Q84" s="105"/>
    </row>
    <row r="85" spans="2:17" ht="18" customHeight="1" thickBot="1" x14ac:dyDescent="0.45">
      <c r="B85" s="382">
        <v>43335</v>
      </c>
      <c r="C85" s="34">
        <v>50000</v>
      </c>
      <c r="D85" s="99"/>
      <c r="E85" s="35" t="s">
        <v>1200</v>
      </c>
      <c r="F85" s="34"/>
      <c r="G85" s="34"/>
      <c r="H85" s="102"/>
      <c r="I85" s="34"/>
      <c r="J85" s="40"/>
      <c r="K85" s="107">
        <f t="shared" si="2"/>
        <v>600000</v>
      </c>
      <c r="L85" s="34"/>
      <c r="M85" s="36"/>
      <c r="N85" s="104"/>
      <c r="O85" s="105"/>
      <c r="Q85" s="105"/>
    </row>
    <row r="86" spans="2:17" ht="18" customHeight="1" thickBot="1" x14ac:dyDescent="0.45">
      <c r="B86" s="382">
        <v>43371</v>
      </c>
      <c r="C86" s="34">
        <v>50000</v>
      </c>
      <c r="D86" s="99"/>
      <c r="E86" s="35" t="s">
        <v>1200</v>
      </c>
      <c r="F86" s="34"/>
      <c r="G86" s="34"/>
      <c r="H86" s="102"/>
      <c r="I86" s="34"/>
      <c r="J86" s="40"/>
      <c r="K86" s="107">
        <f t="shared" si="2"/>
        <v>650000</v>
      </c>
      <c r="L86" s="34"/>
      <c r="M86" s="36"/>
      <c r="N86" s="104"/>
      <c r="O86" s="105"/>
      <c r="Q86" s="105"/>
    </row>
    <row r="87" spans="2:17" ht="18" customHeight="1" thickBot="1" x14ac:dyDescent="0.45">
      <c r="B87" s="382">
        <v>43378</v>
      </c>
      <c r="C87" s="34"/>
      <c r="D87" s="99">
        <v>19</v>
      </c>
      <c r="E87" s="35"/>
      <c r="F87" s="34" t="s">
        <v>1199</v>
      </c>
      <c r="G87" s="34"/>
      <c r="H87" s="102"/>
      <c r="I87" s="34"/>
      <c r="J87" s="100"/>
      <c r="K87" s="107">
        <f t="shared" si="2"/>
        <v>650000</v>
      </c>
      <c r="L87" s="34"/>
      <c r="Q87" s="105"/>
    </row>
    <row r="88" spans="2:17" ht="18" customHeight="1" thickBot="1" x14ac:dyDescent="0.45">
      <c r="B88" s="382">
        <v>43396</v>
      </c>
      <c r="C88" s="34">
        <v>50000</v>
      </c>
      <c r="D88" s="99"/>
      <c r="E88" s="35" t="s">
        <v>1200</v>
      </c>
      <c r="F88" s="34"/>
      <c r="G88" s="34"/>
      <c r="H88" s="102"/>
      <c r="I88" s="34"/>
      <c r="J88" s="40"/>
      <c r="K88" s="107">
        <f t="shared" si="2"/>
        <v>700000</v>
      </c>
      <c r="L88" s="34"/>
      <c r="M88" s="36"/>
      <c r="N88" s="104"/>
      <c r="O88" s="105"/>
      <c r="Q88" s="105"/>
    </row>
    <row r="89" spans="2:17" ht="18" customHeight="1" thickBot="1" x14ac:dyDescent="0.45">
      <c r="B89" s="382">
        <v>43427</v>
      </c>
      <c r="C89" s="34">
        <v>50000</v>
      </c>
      <c r="D89" s="99"/>
      <c r="E89" s="35" t="s">
        <v>1200</v>
      </c>
      <c r="F89" s="34"/>
      <c r="G89" s="34"/>
      <c r="H89" s="102"/>
      <c r="I89" s="34"/>
      <c r="J89" s="40"/>
      <c r="K89" s="107">
        <f t="shared" si="2"/>
        <v>750000</v>
      </c>
      <c r="L89" s="34"/>
      <c r="M89" s="33"/>
      <c r="N89" s="2"/>
      <c r="O89" s="2"/>
      <c r="Q89" s="105"/>
    </row>
    <row r="90" spans="2:17" ht="18" customHeight="1" thickBot="1" x14ac:dyDescent="0.45">
      <c r="B90" s="382">
        <v>43460</v>
      </c>
      <c r="C90" s="34">
        <v>50000</v>
      </c>
      <c r="D90" s="99"/>
      <c r="E90" s="35" t="s">
        <v>1200</v>
      </c>
      <c r="F90" s="34"/>
      <c r="G90" s="34"/>
      <c r="H90" s="102"/>
      <c r="I90" s="34"/>
      <c r="J90" s="40"/>
      <c r="K90" s="107">
        <f t="shared" si="2"/>
        <v>800000</v>
      </c>
      <c r="L90" s="34"/>
      <c r="M90" s="33"/>
      <c r="N90" s="2"/>
      <c r="O90" s="2"/>
      <c r="Q90" s="105"/>
    </row>
    <row r="91" spans="2:17" ht="18" customHeight="1" thickBot="1" x14ac:dyDescent="0.45">
      <c r="B91" s="382">
        <v>43476</v>
      </c>
      <c r="C91" s="34"/>
      <c r="D91" s="99">
        <v>25</v>
      </c>
      <c r="E91" s="35"/>
      <c r="F91" s="34" t="s">
        <v>1199</v>
      </c>
      <c r="G91" s="34"/>
      <c r="H91" s="102"/>
      <c r="I91" s="34"/>
      <c r="J91" s="40"/>
      <c r="K91" s="107">
        <f t="shared" si="2"/>
        <v>800000</v>
      </c>
      <c r="L91" s="34"/>
      <c r="M91" s="33"/>
      <c r="N91" s="2"/>
      <c r="O91" s="2"/>
      <c r="Q91" s="105"/>
    </row>
    <row r="92" spans="2:17" ht="18" customHeight="1" thickBot="1" x14ac:dyDescent="0.45">
      <c r="B92" s="382">
        <v>43488</v>
      </c>
      <c r="C92" s="34">
        <v>50000</v>
      </c>
      <c r="D92" s="99"/>
      <c r="E92" s="35"/>
      <c r="F92" s="34"/>
      <c r="G92" s="34"/>
      <c r="H92" s="102"/>
      <c r="I92" s="34"/>
      <c r="J92" s="40"/>
      <c r="K92" s="107">
        <f t="shared" si="2"/>
        <v>850000</v>
      </c>
      <c r="L92" s="34"/>
      <c r="M92" s="33"/>
      <c r="N92" s="2"/>
      <c r="O92" s="2"/>
      <c r="Q92" s="105"/>
    </row>
    <row r="93" spans="2:17" ht="18" customHeight="1" thickBot="1" x14ac:dyDescent="0.45">
      <c r="B93" s="382">
        <v>43521</v>
      </c>
      <c r="C93" s="34">
        <v>50000</v>
      </c>
      <c r="D93" s="99"/>
      <c r="E93" s="35"/>
      <c r="F93" s="34"/>
      <c r="G93" s="34"/>
      <c r="H93" s="102"/>
      <c r="I93" s="34"/>
      <c r="J93" s="40"/>
      <c r="K93" s="107">
        <f t="shared" si="2"/>
        <v>900000</v>
      </c>
      <c r="L93" s="34"/>
      <c r="M93" s="36"/>
      <c r="N93" s="104"/>
      <c r="O93" s="105"/>
      <c r="Q93" s="105"/>
    </row>
    <row r="94" spans="2:17" ht="18" customHeight="1" thickBot="1" x14ac:dyDescent="0.45">
      <c r="B94" s="382">
        <v>43549</v>
      </c>
      <c r="C94" s="34">
        <v>50000</v>
      </c>
      <c r="D94" s="99"/>
      <c r="E94" s="35"/>
      <c r="F94" s="34"/>
      <c r="G94" s="34"/>
      <c r="H94" s="102"/>
      <c r="I94" s="34"/>
      <c r="J94" s="40"/>
      <c r="K94" s="107">
        <f t="shared" si="2"/>
        <v>950000</v>
      </c>
      <c r="L94" s="34"/>
      <c r="M94" s="36"/>
      <c r="N94" s="104"/>
      <c r="O94" s="2"/>
      <c r="Q94" s="105"/>
    </row>
    <row r="95" spans="2:17" ht="18" customHeight="1" thickBot="1" x14ac:dyDescent="0.45">
      <c r="B95" s="382">
        <v>43567</v>
      </c>
      <c r="C95" s="34"/>
      <c r="D95" s="99">
        <v>23</v>
      </c>
      <c r="E95" s="35"/>
      <c r="F95" s="34" t="s">
        <v>1199</v>
      </c>
      <c r="G95" s="34"/>
      <c r="H95" s="102"/>
      <c r="I95" s="34"/>
      <c r="J95" s="40"/>
      <c r="K95" s="107">
        <f t="shared" si="2"/>
        <v>950000</v>
      </c>
      <c r="L95" s="34"/>
      <c r="M95" s="36"/>
      <c r="N95" s="104"/>
      <c r="O95" s="105"/>
      <c r="Q95" s="105"/>
    </row>
    <row r="96" spans="2:17" ht="18" customHeight="1" thickBot="1" x14ac:dyDescent="0.45">
      <c r="B96" s="382">
        <v>43578</v>
      </c>
      <c r="C96" s="34">
        <v>50000</v>
      </c>
      <c r="D96" s="99"/>
      <c r="E96" s="35"/>
      <c r="F96" s="34"/>
      <c r="G96" s="34"/>
      <c r="H96" s="102"/>
      <c r="I96" s="34"/>
      <c r="J96" s="40"/>
      <c r="K96" s="107">
        <f t="shared" si="2"/>
        <v>1000000</v>
      </c>
      <c r="L96" s="34"/>
      <c r="M96" s="36"/>
      <c r="N96" s="104"/>
      <c r="O96" s="105"/>
      <c r="Q96" s="105"/>
    </row>
    <row r="97" spans="2:17" ht="18" customHeight="1" thickBot="1" x14ac:dyDescent="0.45">
      <c r="B97" s="382">
        <v>43608</v>
      </c>
      <c r="C97" s="34">
        <v>50000</v>
      </c>
      <c r="D97" s="99"/>
      <c r="E97" s="35"/>
      <c r="F97" s="34"/>
      <c r="G97" s="34"/>
      <c r="H97" s="102"/>
      <c r="I97" s="34"/>
      <c r="J97" s="40"/>
      <c r="K97" s="107">
        <f t="shared" si="2"/>
        <v>1050000</v>
      </c>
      <c r="L97" s="34"/>
      <c r="M97" s="36"/>
      <c r="N97" s="104"/>
      <c r="O97" s="105"/>
      <c r="Q97" s="105"/>
    </row>
    <row r="98" spans="2:17" ht="18" customHeight="1" thickBot="1" x14ac:dyDescent="0.45">
      <c r="B98" s="382">
        <v>43641</v>
      </c>
      <c r="C98" s="34">
        <v>50000</v>
      </c>
      <c r="D98" s="99"/>
      <c r="E98" s="35"/>
      <c r="F98" s="34"/>
      <c r="G98" s="34"/>
      <c r="H98" s="102"/>
      <c r="I98" s="34"/>
      <c r="J98" s="40"/>
      <c r="K98" s="107">
        <f t="shared" si="2"/>
        <v>1100000</v>
      </c>
      <c r="L98" s="34"/>
      <c r="M98" s="36"/>
      <c r="N98" s="104"/>
      <c r="O98" s="105"/>
      <c r="Q98" s="105"/>
    </row>
    <row r="99" spans="2:17" ht="18" customHeight="1" thickBot="1" x14ac:dyDescent="0.45">
      <c r="B99" s="382">
        <v>43658</v>
      </c>
      <c r="C99" s="34"/>
      <c r="D99" s="99">
        <v>23</v>
      </c>
      <c r="E99" s="35"/>
      <c r="F99" s="34" t="s">
        <v>1199</v>
      </c>
      <c r="G99" s="34"/>
      <c r="H99" s="102"/>
      <c r="I99" s="34"/>
      <c r="J99" s="40"/>
      <c r="K99" s="107">
        <f t="shared" si="2"/>
        <v>1100000</v>
      </c>
      <c r="L99" s="34"/>
      <c r="M99" s="36"/>
      <c r="N99" s="104"/>
      <c r="O99" s="105"/>
      <c r="Q99" s="105"/>
    </row>
    <row r="100" spans="2:17" ht="18" customHeight="1" thickBot="1" x14ac:dyDescent="0.45">
      <c r="B100" s="382">
        <v>43669</v>
      </c>
      <c r="C100" s="34">
        <v>50000</v>
      </c>
      <c r="D100" s="99"/>
      <c r="E100" s="35"/>
      <c r="F100" s="34"/>
      <c r="G100" s="34"/>
      <c r="H100" s="102"/>
      <c r="I100" s="34"/>
      <c r="J100" s="40"/>
      <c r="K100" s="107">
        <f t="shared" si="2"/>
        <v>1150000</v>
      </c>
      <c r="L100" s="34"/>
      <c r="M100" s="36"/>
      <c r="N100" s="104"/>
      <c r="O100" s="105"/>
      <c r="Q100" s="105"/>
    </row>
    <row r="101" spans="2:17" ht="18" customHeight="1" thickBot="1" x14ac:dyDescent="0.45">
      <c r="B101" s="382">
        <v>43700</v>
      </c>
      <c r="C101" s="34">
        <v>50000</v>
      </c>
      <c r="D101" s="99"/>
      <c r="E101" s="35"/>
      <c r="F101" s="34"/>
      <c r="G101" s="34"/>
      <c r="H101" s="102"/>
      <c r="I101" s="34"/>
      <c r="J101" s="40"/>
      <c r="K101" s="107">
        <f t="shared" si="2"/>
        <v>1200000</v>
      </c>
      <c r="L101" s="34"/>
      <c r="M101" s="36"/>
      <c r="N101" s="104"/>
      <c r="O101" s="105"/>
      <c r="Q101" s="105"/>
    </row>
    <row r="102" spans="2:17" ht="18" customHeight="1" thickBot="1" x14ac:dyDescent="0.45">
      <c r="B102" s="382">
        <v>43732</v>
      </c>
      <c r="C102" s="34">
        <v>50000</v>
      </c>
      <c r="D102" s="99"/>
      <c r="E102" s="35"/>
      <c r="F102" s="34"/>
      <c r="G102" s="34"/>
      <c r="H102" s="102"/>
      <c r="I102" s="34"/>
      <c r="J102" s="40"/>
      <c r="K102" s="107">
        <f t="shared" si="2"/>
        <v>1250000</v>
      </c>
      <c r="L102" s="34"/>
      <c r="M102" s="36"/>
      <c r="N102" s="104"/>
      <c r="O102" s="105"/>
      <c r="Q102" s="105"/>
    </row>
    <row r="103" spans="2:17" ht="18" customHeight="1" thickBot="1" x14ac:dyDescent="0.45">
      <c r="B103" s="382">
        <v>43749</v>
      </c>
      <c r="C103" s="34"/>
      <c r="D103" s="99">
        <v>23</v>
      </c>
      <c r="E103" s="35"/>
      <c r="F103" s="34" t="s">
        <v>1199</v>
      </c>
      <c r="G103" s="34"/>
      <c r="H103" s="102"/>
      <c r="I103" s="34"/>
      <c r="J103" s="40"/>
      <c r="K103" s="107">
        <f t="shared" ref="K103:K134" si="3">K102+C103</f>
        <v>1250000</v>
      </c>
      <c r="L103" s="34"/>
      <c r="M103" s="36"/>
      <c r="N103" s="104"/>
      <c r="O103" s="105"/>
      <c r="Q103" s="105"/>
    </row>
    <row r="104" spans="2:17" ht="18" customHeight="1" thickBot="1" x14ac:dyDescent="0.45">
      <c r="B104" s="382">
        <v>43761</v>
      </c>
      <c r="C104" s="34">
        <v>50000</v>
      </c>
      <c r="D104" s="99"/>
      <c r="E104" s="35"/>
      <c r="F104" s="34"/>
      <c r="G104" s="34"/>
      <c r="H104" s="102"/>
      <c r="I104" s="34"/>
      <c r="J104" s="40"/>
      <c r="K104" s="107">
        <f t="shared" si="3"/>
        <v>1300000</v>
      </c>
      <c r="L104" s="34"/>
      <c r="M104" s="36"/>
      <c r="N104" s="104"/>
      <c r="O104" s="105"/>
      <c r="Q104" s="105"/>
    </row>
    <row r="105" spans="2:17" ht="18" customHeight="1" thickBot="1" x14ac:dyDescent="0.45">
      <c r="B105" s="382">
        <v>43794</v>
      </c>
      <c r="C105" s="34">
        <v>50000</v>
      </c>
      <c r="D105" s="99"/>
      <c r="E105" s="35"/>
      <c r="F105" s="34"/>
      <c r="G105" s="34"/>
      <c r="H105" s="102"/>
      <c r="I105" s="34"/>
      <c r="J105" s="40"/>
      <c r="K105" s="107">
        <f t="shared" si="3"/>
        <v>1350000</v>
      </c>
      <c r="L105" s="34"/>
      <c r="M105" s="36"/>
      <c r="N105" s="104"/>
      <c r="O105" s="105"/>
      <c r="Q105" s="105"/>
    </row>
    <row r="106" spans="2:17" ht="18" customHeight="1" thickBot="1" x14ac:dyDescent="0.45">
      <c r="B106" s="382">
        <v>43823</v>
      </c>
      <c r="C106" s="34">
        <v>50000</v>
      </c>
      <c r="D106" s="99"/>
      <c r="E106" s="35"/>
      <c r="F106" s="34"/>
      <c r="G106" s="34"/>
      <c r="H106" s="102"/>
      <c r="I106" s="34"/>
      <c r="J106" s="40"/>
      <c r="K106" s="107">
        <f t="shared" si="3"/>
        <v>1400000</v>
      </c>
      <c r="L106" s="34"/>
      <c r="M106" s="36"/>
      <c r="N106" s="104"/>
      <c r="O106" s="105"/>
      <c r="Q106" s="105"/>
    </row>
    <row r="107" spans="2:17" ht="18" customHeight="1" thickBot="1" x14ac:dyDescent="0.45">
      <c r="B107" s="382">
        <v>43840</v>
      </c>
      <c r="C107" s="34"/>
      <c r="D107" s="99">
        <v>13</v>
      </c>
      <c r="E107" s="35"/>
      <c r="F107" s="34" t="s">
        <v>1199</v>
      </c>
      <c r="G107" s="34"/>
      <c r="H107" s="102"/>
      <c r="I107" s="34"/>
      <c r="J107" s="40"/>
      <c r="K107" s="107">
        <f t="shared" si="3"/>
        <v>1400000</v>
      </c>
      <c r="L107" s="34"/>
      <c r="M107" s="36"/>
      <c r="N107" s="104"/>
      <c r="O107" s="105"/>
      <c r="Q107" s="105"/>
    </row>
    <row r="108" spans="2:17" ht="18" customHeight="1" thickBot="1" x14ac:dyDescent="0.45">
      <c r="B108" s="382">
        <v>43853</v>
      </c>
      <c r="C108" s="34">
        <v>50000</v>
      </c>
      <c r="D108" s="99"/>
      <c r="E108" s="35"/>
      <c r="F108" s="34"/>
      <c r="G108" s="34"/>
      <c r="H108" s="102"/>
      <c r="I108" s="34"/>
      <c r="J108" s="40"/>
      <c r="K108" s="107">
        <f t="shared" si="3"/>
        <v>1450000</v>
      </c>
      <c r="L108" s="34"/>
      <c r="M108" s="36"/>
      <c r="N108" s="104"/>
      <c r="O108" s="105"/>
      <c r="Q108" s="105"/>
    </row>
    <row r="109" spans="2:17" ht="18" customHeight="1" thickBot="1" x14ac:dyDescent="0.45">
      <c r="B109" s="382">
        <v>43886</v>
      </c>
      <c r="C109" s="34">
        <v>50000</v>
      </c>
      <c r="D109" s="99"/>
      <c r="E109" s="35"/>
      <c r="F109" s="34"/>
      <c r="G109" s="34"/>
      <c r="H109" s="102"/>
      <c r="I109" s="34"/>
      <c r="J109" s="40"/>
      <c r="K109" s="107">
        <f t="shared" si="3"/>
        <v>1500000</v>
      </c>
      <c r="L109" s="34"/>
      <c r="M109" s="36"/>
      <c r="N109" s="104"/>
      <c r="O109" s="105"/>
      <c r="Q109" s="105"/>
    </row>
    <row r="110" spans="2:17" ht="18" customHeight="1" thickBot="1" x14ac:dyDescent="0.45">
      <c r="B110" s="382">
        <v>43914</v>
      </c>
      <c r="C110" s="34">
        <v>50000</v>
      </c>
      <c r="D110" s="99"/>
      <c r="E110" s="35"/>
      <c r="F110" s="34"/>
      <c r="G110" s="34"/>
      <c r="H110" s="102"/>
      <c r="I110" s="34"/>
      <c r="J110" s="40"/>
      <c r="K110" s="107">
        <f t="shared" si="3"/>
        <v>1550000</v>
      </c>
      <c r="L110" s="34"/>
      <c r="M110" s="36"/>
      <c r="N110" s="104"/>
      <c r="O110" s="105"/>
      <c r="Q110" s="105"/>
    </row>
    <row r="111" spans="2:17" ht="18" customHeight="1" thickBot="1" x14ac:dyDescent="0.45">
      <c r="B111" s="382">
        <v>43931</v>
      </c>
      <c r="C111" s="34"/>
      <c r="D111" s="99">
        <v>8</v>
      </c>
      <c r="E111" s="35"/>
      <c r="F111" s="34" t="s">
        <v>1199</v>
      </c>
      <c r="G111" s="34"/>
      <c r="H111" s="102"/>
      <c r="I111" s="34"/>
      <c r="J111" s="40"/>
      <c r="K111" s="107">
        <f t="shared" si="3"/>
        <v>1550000</v>
      </c>
      <c r="L111" s="34"/>
      <c r="M111" s="36"/>
      <c r="N111" s="104"/>
      <c r="O111" s="105"/>
      <c r="Q111" s="105"/>
    </row>
    <row r="112" spans="2:17" ht="18" customHeight="1" thickBot="1" x14ac:dyDescent="0.45">
      <c r="B112" s="382">
        <v>43944</v>
      </c>
      <c r="C112" s="34">
        <v>50000</v>
      </c>
      <c r="D112" s="99"/>
      <c r="E112" s="35"/>
      <c r="F112" s="34"/>
      <c r="G112" s="34"/>
      <c r="H112" s="102"/>
      <c r="I112" s="34"/>
      <c r="J112" s="40"/>
      <c r="K112" s="107">
        <f t="shared" si="3"/>
        <v>1600000</v>
      </c>
      <c r="L112" s="34"/>
      <c r="M112" s="36"/>
      <c r="N112" s="104"/>
      <c r="O112" s="105"/>
      <c r="Q112" s="105"/>
    </row>
    <row r="113" spans="2:17" ht="18" customHeight="1" thickBot="1" x14ac:dyDescent="0.45">
      <c r="B113" s="382">
        <v>43976</v>
      </c>
      <c r="C113" s="34">
        <v>50000</v>
      </c>
      <c r="D113" s="99"/>
      <c r="E113" s="35"/>
      <c r="F113" s="34"/>
      <c r="G113" s="34"/>
      <c r="H113" s="102"/>
      <c r="I113" s="34"/>
      <c r="J113" s="40"/>
      <c r="K113" s="107">
        <f t="shared" si="3"/>
        <v>1650000</v>
      </c>
      <c r="L113" s="34"/>
      <c r="M113" s="36"/>
      <c r="N113" s="104"/>
      <c r="O113" s="105"/>
      <c r="Q113" s="105"/>
    </row>
    <row r="114" spans="2:17" ht="18" customHeight="1" thickBot="1" x14ac:dyDescent="0.45">
      <c r="B114" s="382">
        <v>44005</v>
      </c>
      <c r="C114" s="34">
        <v>50000</v>
      </c>
      <c r="D114" s="99"/>
      <c r="E114" s="35"/>
      <c r="F114" s="34"/>
      <c r="G114" s="34"/>
      <c r="H114" s="102"/>
      <c r="I114" s="34"/>
      <c r="J114" s="40"/>
      <c r="K114" s="107">
        <f t="shared" si="3"/>
        <v>1700000</v>
      </c>
      <c r="L114" s="34"/>
      <c r="M114" s="36"/>
      <c r="N114" s="104"/>
      <c r="O114" s="105"/>
      <c r="Q114" s="105"/>
    </row>
    <row r="115" spans="2:17" ht="18" customHeight="1" thickBot="1" x14ac:dyDescent="0.45">
      <c r="B115" s="382">
        <v>44022</v>
      </c>
      <c r="C115" s="34"/>
      <c r="D115" s="99">
        <v>13</v>
      </c>
      <c r="E115" s="35"/>
      <c r="F115" s="34" t="s">
        <v>1199</v>
      </c>
      <c r="G115" s="34"/>
      <c r="H115" s="102"/>
      <c r="I115" s="34"/>
      <c r="J115" s="40"/>
      <c r="K115" s="107">
        <f t="shared" si="3"/>
        <v>1700000</v>
      </c>
      <c r="L115" s="34"/>
      <c r="M115" s="36"/>
      <c r="N115" s="104"/>
      <c r="O115" s="105"/>
      <c r="Q115" s="105"/>
    </row>
    <row r="116" spans="2:17" ht="18" customHeight="1" thickBot="1" x14ac:dyDescent="0.45">
      <c r="B116" s="382">
        <v>44035</v>
      </c>
      <c r="C116" s="34">
        <v>50000</v>
      </c>
      <c r="D116" s="99"/>
      <c r="E116" s="35"/>
      <c r="F116" s="34"/>
      <c r="G116" s="34"/>
      <c r="H116" s="102"/>
      <c r="I116" s="34"/>
      <c r="J116" s="40"/>
      <c r="K116" s="107">
        <f t="shared" si="3"/>
        <v>1750000</v>
      </c>
      <c r="L116" s="34"/>
      <c r="M116" s="36"/>
      <c r="N116" s="104"/>
      <c r="O116" s="105"/>
      <c r="Q116" s="105"/>
    </row>
    <row r="117" spans="2:17" ht="18" customHeight="1" thickBot="1" x14ac:dyDescent="0.45">
      <c r="B117" s="382">
        <v>44042</v>
      </c>
      <c r="C117" s="34"/>
      <c r="D117" s="99">
        <v>-230571</v>
      </c>
      <c r="E117" s="35"/>
      <c r="F117" s="34" t="s">
        <v>1201</v>
      </c>
      <c r="G117" s="34"/>
      <c r="H117" s="102"/>
      <c r="I117" s="34"/>
      <c r="J117" s="40"/>
      <c r="K117" s="107">
        <f t="shared" si="3"/>
        <v>1750000</v>
      </c>
      <c r="L117" s="34"/>
      <c r="M117" s="36"/>
      <c r="N117" s="104"/>
      <c r="O117" s="105"/>
      <c r="Q117" s="105"/>
    </row>
    <row r="118" spans="2:17" ht="18" customHeight="1" thickBot="1" x14ac:dyDescent="0.45">
      <c r="B118" s="382">
        <v>44046</v>
      </c>
      <c r="C118" s="34"/>
      <c r="D118" s="99">
        <v>-119429</v>
      </c>
      <c r="E118" s="35"/>
      <c r="F118" s="34" t="s">
        <v>1201</v>
      </c>
      <c r="G118" s="34"/>
      <c r="H118" s="102"/>
      <c r="I118" s="34"/>
      <c r="J118" s="40"/>
      <c r="K118" s="107">
        <f t="shared" si="3"/>
        <v>1750000</v>
      </c>
      <c r="L118" s="34"/>
      <c r="M118" s="36"/>
      <c r="N118" s="104"/>
      <c r="O118" s="105"/>
      <c r="Q118" s="105"/>
    </row>
    <row r="119" spans="2:17" ht="18" customHeight="1" thickBot="1" x14ac:dyDescent="0.45">
      <c r="B119" s="382">
        <v>44068</v>
      </c>
      <c r="C119" s="34">
        <v>50000</v>
      </c>
      <c r="D119" s="99"/>
      <c r="E119" s="35"/>
      <c r="F119" s="34"/>
      <c r="G119" s="34"/>
      <c r="H119" s="102"/>
      <c r="I119" s="34"/>
      <c r="J119" s="40"/>
      <c r="K119" s="107">
        <f t="shared" si="3"/>
        <v>1800000</v>
      </c>
      <c r="L119" s="34"/>
      <c r="M119" s="36"/>
      <c r="N119" s="104"/>
      <c r="O119" s="105"/>
      <c r="Q119" s="105"/>
    </row>
    <row r="120" spans="2:17" ht="18" customHeight="1" thickBot="1" x14ac:dyDescent="0.45">
      <c r="B120" s="382">
        <v>44097</v>
      </c>
      <c r="C120" s="34">
        <v>50000</v>
      </c>
      <c r="D120" s="99"/>
      <c r="E120" s="35"/>
      <c r="F120" s="34"/>
      <c r="G120" s="34"/>
      <c r="H120" s="102"/>
      <c r="I120" s="34"/>
      <c r="J120" s="40"/>
      <c r="K120" s="107">
        <f t="shared" si="3"/>
        <v>1850000</v>
      </c>
      <c r="L120" s="34"/>
      <c r="M120" s="36"/>
      <c r="N120" s="104"/>
      <c r="O120" s="105"/>
      <c r="Q120" s="105"/>
    </row>
    <row r="121" spans="2:17" ht="18" customHeight="1" thickBot="1" x14ac:dyDescent="0.45">
      <c r="B121" s="382">
        <v>44112</v>
      </c>
      <c r="C121" s="34"/>
      <c r="D121" s="99">
        <v>247</v>
      </c>
      <c r="E121" s="35"/>
      <c r="F121" s="34" t="s">
        <v>1199</v>
      </c>
      <c r="G121" s="34"/>
      <c r="H121" s="102"/>
      <c r="I121" s="34"/>
      <c r="J121" s="40"/>
      <c r="K121" s="107">
        <f t="shared" si="3"/>
        <v>1850000</v>
      </c>
      <c r="L121" s="34"/>
      <c r="M121" s="36"/>
      <c r="N121" s="104"/>
      <c r="O121" s="105"/>
      <c r="Q121" s="105"/>
    </row>
    <row r="122" spans="2:17" ht="18" customHeight="1" thickBot="1" x14ac:dyDescent="0.45">
      <c r="B122" s="382">
        <v>44127</v>
      </c>
      <c r="C122" s="34">
        <v>50000</v>
      </c>
      <c r="D122" s="99"/>
      <c r="E122" s="35"/>
      <c r="F122" s="34"/>
      <c r="G122" s="34"/>
      <c r="H122" s="102"/>
      <c r="I122" s="34"/>
      <c r="J122" s="40"/>
      <c r="K122" s="107">
        <f t="shared" si="3"/>
        <v>1900000</v>
      </c>
      <c r="L122" s="34"/>
      <c r="M122" s="36"/>
      <c r="N122" s="104"/>
      <c r="O122" s="105"/>
      <c r="Q122" s="105"/>
    </row>
    <row r="123" spans="2:17" ht="18" customHeight="1" thickBot="1" x14ac:dyDescent="0.45">
      <c r="B123" s="382">
        <v>44159</v>
      </c>
      <c r="C123" s="34">
        <v>50000</v>
      </c>
      <c r="D123" s="99"/>
      <c r="E123" s="35"/>
      <c r="F123" s="34"/>
      <c r="G123" s="34"/>
      <c r="H123" s="102"/>
      <c r="I123" s="34"/>
      <c r="J123" s="40"/>
      <c r="K123" s="107">
        <f t="shared" si="3"/>
        <v>1950000</v>
      </c>
      <c r="L123" s="34"/>
      <c r="M123" s="36"/>
      <c r="N123" s="104"/>
      <c r="O123" s="105"/>
      <c r="Q123" s="105"/>
    </row>
    <row r="124" spans="2:17" ht="18" customHeight="1" thickBot="1" x14ac:dyDescent="0.45">
      <c r="B124" s="382">
        <v>44188</v>
      </c>
      <c r="C124" s="34">
        <v>50000</v>
      </c>
      <c r="D124" s="99"/>
      <c r="E124" s="35"/>
      <c r="F124" s="34"/>
      <c r="G124" s="34"/>
      <c r="H124" s="102"/>
      <c r="I124" s="34"/>
      <c r="J124" s="40"/>
      <c r="K124" s="107">
        <f t="shared" si="3"/>
        <v>2000000</v>
      </c>
      <c r="L124" s="34"/>
      <c r="M124" s="36"/>
      <c r="N124" s="104"/>
      <c r="O124" s="105"/>
      <c r="Q124" s="105"/>
    </row>
    <row r="125" spans="2:17" ht="18" customHeight="1" thickBot="1" x14ac:dyDescent="0.45">
      <c r="B125" s="382">
        <v>44204</v>
      </c>
      <c r="C125" s="34"/>
      <c r="D125" s="99">
        <v>385</v>
      </c>
      <c r="E125" s="35"/>
      <c r="F125" s="34" t="s">
        <v>1199</v>
      </c>
      <c r="G125" s="34"/>
      <c r="H125" s="102"/>
      <c r="I125" s="34"/>
      <c r="J125" s="40"/>
      <c r="K125" s="107">
        <f t="shared" si="3"/>
        <v>2000000</v>
      </c>
      <c r="L125" s="34"/>
      <c r="M125" s="36"/>
      <c r="N125" s="104"/>
      <c r="O125" s="105"/>
      <c r="Q125" s="105"/>
    </row>
    <row r="126" spans="2:17" ht="18" customHeight="1" thickBot="1" x14ac:dyDescent="0.45">
      <c r="B126" s="382">
        <v>44221</v>
      </c>
      <c r="C126" s="34">
        <v>50000</v>
      </c>
      <c r="D126" s="99"/>
      <c r="E126" s="35"/>
      <c r="F126" s="34"/>
      <c r="G126" s="34"/>
      <c r="H126" s="102"/>
      <c r="I126" s="34"/>
      <c r="J126" s="40"/>
      <c r="K126" s="107">
        <f t="shared" si="3"/>
        <v>2050000</v>
      </c>
      <c r="L126" s="34"/>
      <c r="M126" s="36"/>
      <c r="N126" s="104"/>
      <c r="O126" s="105"/>
      <c r="Q126" s="105"/>
    </row>
    <row r="127" spans="2:17" ht="18" customHeight="1" thickBot="1" x14ac:dyDescent="0.45">
      <c r="B127" s="382">
        <v>44250</v>
      </c>
      <c r="C127" s="34">
        <v>50000</v>
      </c>
      <c r="D127" s="99"/>
      <c r="E127" s="35"/>
      <c r="F127" s="34"/>
      <c r="G127" s="34"/>
      <c r="H127" s="102"/>
      <c r="I127" s="34"/>
      <c r="J127" s="40"/>
      <c r="K127" s="107">
        <f t="shared" si="3"/>
        <v>2100000</v>
      </c>
      <c r="L127" s="34"/>
      <c r="M127" s="36"/>
      <c r="N127" s="104"/>
      <c r="O127" s="105"/>
      <c r="Q127" s="105"/>
    </row>
    <row r="128" spans="2:17" ht="18" customHeight="1" thickBot="1" x14ac:dyDescent="0.45">
      <c r="B128" s="382">
        <v>44278</v>
      </c>
      <c r="C128" s="34">
        <v>50000</v>
      </c>
      <c r="D128" s="99"/>
      <c r="E128" s="35"/>
      <c r="F128" s="34"/>
      <c r="G128" s="34"/>
      <c r="H128" s="102"/>
      <c r="I128" s="34"/>
      <c r="J128" s="40"/>
      <c r="K128" s="107">
        <f t="shared" si="3"/>
        <v>2150000</v>
      </c>
      <c r="L128" s="34"/>
      <c r="M128" s="36"/>
      <c r="N128" s="104"/>
      <c r="O128" s="105"/>
      <c r="Q128" s="105"/>
    </row>
    <row r="129" spans="2:17" ht="18" customHeight="1" thickBot="1" x14ac:dyDescent="0.45">
      <c r="B129" s="382">
        <v>44295</v>
      </c>
      <c r="C129" s="34"/>
      <c r="D129" s="99">
        <v>418</v>
      </c>
      <c r="E129" s="35"/>
      <c r="F129" s="34" t="s">
        <v>1199</v>
      </c>
      <c r="G129" s="34"/>
      <c r="H129" s="102"/>
      <c r="I129" s="34"/>
      <c r="J129" s="40"/>
      <c r="K129" s="107">
        <f t="shared" si="3"/>
        <v>2150000</v>
      </c>
      <c r="L129" s="34"/>
      <c r="M129" s="36"/>
      <c r="N129" s="104"/>
      <c r="O129" s="105"/>
      <c r="Q129" s="105"/>
    </row>
    <row r="130" spans="2:17" ht="18" customHeight="1" thickBot="1" x14ac:dyDescent="0.45">
      <c r="B130" s="382">
        <v>44309</v>
      </c>
      <c r="C130" s="34">
        <v>50000</v>
      </c>
      <c r="D130" s="99"/>
      <c r="E130" s="35"/>
      <c r="F130" s="34"/>
      <c r="G130" s="34"/>
      <c r="H130" s="102"/>
      <c r="I130" s="34"/>
      <c r="J130" s="40"/>
      <c r="K130" s="107">
        <f t="shared" si="3"/>
        <v>2200000</v>
      </c>
      <c r="L130" s="34"/>
      <c r="M130" s="36"/>
      <c r="N130" s="104"/>
      <c r="O130" s="105"/>
      <c r="Q130" s="105"/>
    </row>
    <row r="131" spans="2:17" ht="18" customHeight="1" thickBot="1" x14ac:dyDescent="0.45">
      <c r="B131" s="382">
        <v>44341</v>
      </c>
      <c r="C131" s="34">
        <v>50000</v>
      </c>
      <c r="D131" s="99"/>
      <c r="E131" s="35"/>
      <c r="F131" s="34"/>
      <c r="G131" s="34"/>
      <c r="H131" s="102"/>
      <c r="I131" s="34"/>
      <c r="J131" s="40"/>
      <c r="K131" s="107">
        <f t="shared" si="3"/>
        <v>2250000</v>
      </c>
      <c r="L131" s="34"/>
      <c r="M131" s="36"/>
      <c r="N131" s="104"/>
      <c r="O131" s="105"/>
      <c r="Q131" s="105"/>
    </row>
    <row r="132" spans="2:17" ht="18" customHeight="1" thickBot="1" x14ac:dyDescent="0.45">
      <c r="B132" s="382">
        <v>44370</v>
      </c>
      <c r="C132" s="34">
        <v>50000</v>
      </c>
      <c r="D132" s="99"/>
      <c r="E132" s="35"/>
      <c r="F132" s="34"/>
      <c r="G132" s="34"/>
      <c r="H132" s="102"/>
      <c r="I132" s="34"/>
      <c r="J132" s="40"/>
      <c r="K132" s="107">
        <f t="shared" si="3"/>
        <v>2300000</v>
      </c>
      <c r="L132" s="34"/>
      <c r="M132" s="36"/>
      <c r="N132" s="104"/>
      <c r="O132" s="105"/>
      <c r="Q132" s="105"/>
    </row>
    <row r="133" spans="2:17" ht="18" customHeight="1" thickBot="1" x14ac:dyDescent="0.45">
      <c r="B133" s="382">
        <v>44386</v>
      </c>
      <c r="C133" s="34"/>
      <c r="D133" s="99">
        <v>456</v>
      </c>
      <c r="E133" s="35"/>
      <c r="F133" s="34" t="s">
        <v>1199</v>
      </c>
      <c r="G133" s="34"/>
      <c r="H133" s="102"/>
      <c r="I133" s="34"/>
      <c r="J133" s="40"/>
      <c r="K133" s="107">
        <f t="shared" si="3"/>
        <v>2300000</v>
      </c>
      <c r="L133" s="34"/>
      <c r="M133" s="36"/>
      <c r="N133" s="104"/>
      <c r="O133" s="105"/>
      <c r="Q133" s="105"/>
    </row>
    <row r="134" spans="2:17" ht="18" customHeight="1" thickBot="1" x14ac:dyDescent="0.45">
      <c r="B134" s="382">
        <v>44400</v>
      </c>
      <c r="C134" s="34">
        <v>50000</v>
      </c>
      <c r="D134" s="99"/>
      <c r="E134" s="35"/>
      <c r="F134" s="34"/>
      <c r="G134" s="34"/>
      <c r="H134" s="102"/>
      <c r="I134" s="34"/>
      <c r="J134" s="40"/>
      <c r="K134" s="107">
        <f t="shared" si="3"/>
        <v>2350000</v>
      </c>
      <c r="L134" s="34"/>
      <c r="M134" s="36"/>
      <c r="N134" s="104"/>
      <c r="O134" s="105"/>
      <c r="Q134" s="105"/>
    </row>
    <row r="135" spans="2:17" ht="18" customHeight="1" thickBot="1" x14ac:dyDescent="0.45">
      <c r="B135" s="382">
        <v>44432</v>
      </c>
      <c r="C135" s="34">
        <v>50000</v>
      </c>
      <c r="D135" s="99"/>
      <c r="E135" s="35"/>
      <c r="F135" s="34"/>
      <c r="G135" s="34"/>
      <c r="H135" s="102"/>
      <c r="I135" s="34"/>
      <c r="J135" s="40"/>
      <c r="K135" s="107">
        <f t="shared" ref="K135:K166" si="4">K134+C135</f>
        <v>2400000</v>
      </c>
      <c r="L135" s="34"/>
      <c r="M135" s="36"/>
      <c r="N135" s="104"/>
      <c r="O135" s="105"/>
      <c r="Q135" s="105"/>
    </row>
    <row r="136" spans="2:17" ht="18" customHeight="1" thickBot="1" x14ac:dyDescent="0.45">
      <c r="B136" s="382">
        <v>44463</v>
      </c>
      <c r="C136" s="34">
        <v>50000</v>
      </c>
      <c r="D136" s="99"/>
      <c r="E136" s="35"/>
      <c r="F136" s="34"/>
      <c r="G136" s="34"/>
      <c r="H136" s="102"/>
      <c r="I136" s="34"/>
      <c r="J136" s="40"/>
      <c r="K136" s="107">
        <f t="shared" si="4"/>
        <v>2450000</v>
      </c>
      <c r="L136" s="34"/>
      <c r="M136" s="36"/>
      <c r="N136" s="104"/>
      <c r="O136" s="105"/>
      <c r="Q136" s="105"/>
    </row>
    <row r="137" spans="2:17" ht="18" customHeight="1" thickBot="1" x14ac:dyDescent="0.45">
      <c r="B137" s="382">
        <v>44477</v>
      </c>
      <c r="C137" s="34"/>
      <c r="D137" s="99">
        <v>493</v>
      </c>
      <c r="E137" s="35"/>
      <c r="F137" s="34" t="s">
        <v>1199</v>
      </c>
      <c r="G137" s="34"/>
      <c r="H137" s="102"/>
      <c r="I137" s="34"/>
      <c r="J137" s="40"/>
      <c r="K137" s="107">
        <f t="shared" si="4"/>
        <v>2450000</v>
      </c>
      <c r="L137" s="34"/>
      <c r="M137" s="36"/>
      <c r="N137" s="104"/>
      <c r="O137" s="105"/>
      <c r="Q137" s="105"/>
    </row>
    <row r="138" spans="2:17" ht="18" customHeight="1" thickBot="1" x14ac:dyDescent="0.45">
      <c r="B138" s="382">
        <v>44494</v>
      </c>
      <c r="C138" s="34">
        <v>50000</v>
      </c>
      <c r="D138" s="99"/>
      <c r="E138" s="35"/>
      <c r="F138" s="34"/>
      <c r="G138" s="34"/>
      <c r="H138" s="102"/>
      <c r="I138" s="34"/>
      <c r="J138" s="40"/>
      <c r="K138" s="107">
        <f t="shared" si="4"/>
        <v>2500000</v>
      </c>
      <c r="L138" s="34"/>
      <c r="M138" s="36"/>
      <c r="N138" s="104"/>
      <c r="O138" s="105"/>
      <c r="Q138" s="105"/>
    </row>
    <row r="139" spans="2:17" ht="18" customHeight="1" thickBot="1" x14ac:dyDescent="0.45">
      <c r="B139" s="382">
        <v>44523</v>
      </c>
      <c r="C139" s="34">
        <v>50000</v>
      </c>
      <c r="D139" s="99"/>
      <c r="E139" s="35"/>
      <c r="F139" s="34"/>
      <c r="G139" s="34"/>
      <c r="H139" s="102"/>
      <c r="I139" s="34"/>
      <c r="J139" s="40"/>
      <c r="K139" s="107">
        <f t="shared" si="4"/>
        <v>2550000</v>
      </c>
      <c r="L139" s="34"/>
      <c r="M139" s="36"/>
      <c r="N139" s="104"/>
      <c r="O139" s="105"/>
      <c r="Q139" s="105"/>
    </row>
    <row r="140" spans="2:17" ht="18" customHeight="1" thickBot="1" x14ac:dyDescent="0.45">
      <c r="B140" s="382">
        <v>44553</v>
      </c>
      <c r="C140" s="34">
        <v>50000</v>
      </c>
      <c r="D140" s="99"/>
      <c r="E140" s="35"/>
      <c r="F140" s="34"/>
      <c r="G140" s="34"/>
      <c r="H140" s="102"/>
      <c r="I140" s="34"/>
      <c r="J140" s="40"/>
      <c r="K140" s="107">
        <f t="shared" si="4"/>
        <v>2600000</v>
      </c>
      <c r="L140" s="34"/>
      <c r="M140" s="36"/>
      <c r="N140" s="104"/>
      <c r="O140" s="105"/>
      <c r="Q140" s="105"/>
    </row>
    <row r="141" spans="2:17" ht="18" customHeight="1" thickBot="1" x14ac:dyDescent="0.45">
      <c r="B141" s="382">
        <v>44568</v>
      </c>
      <c r="C141" s="34"/>
      <c r="D141" s="99">
        <v>530</v>
      </c>
      <c r="E141" s="35"/>
      <c r="F141" s="34" t="s">
        <v>1199</v>
      </c>
      <c r="G141" s="34"/>
      <c r="H141" s="102"/>
      <c r="I141" s="34"/>
      <c r="J141" s="40"/>
      <c r="K141" s="107">
        <f t="shared" si="4"/>
        <v>2600000</v>
      </c>
      <c r="L141" s="34"/>
      <c r="M141" s="36"/>
      <c r="N141" s="104"/>
      <c r="O141" s="105"/>
      <c r="Q141" s="105"/>
    </row>
    <row r="142" spans="2:17" ht="18" customHeight="1" thickBot="1" x14ac:dyDescent="0.45">
      <c r="B142" s="382">
        <v>44586</v>
      </c>
      <c r="C142" s="34">
        <v>50000</v>
      </c>
      <c r="D142" s="99"/>
      <c r="E142" s="35"/>
      <c r="F142" s="34"/>
      <c r="G142" s="34"/>
      <c r="H142" s="102"/>
      <c r="I142" s="34"/>
      <c r="J142" s="40"/>
      <c r="K142" s="107">
        <f t="shared" si="4"/>
        <v>2650000</v>
      </c>
      <c r="L142" s="34"/>
      <c r="M142" s="36"/>
      <c r="N142" s="104"/>
      <c r="O142" s="105"/>
      <c r="Q142" s="105"/>
    </row>
    <row r="143" spans="2:17" ht="18" customHeight="1" thickBot="1" x14ac:dyDescent="0.45">
      <c r="B143" s="382">
        <v>44615</v>
      </c>
      <c r="C143" s="34">
        <v>50000</v>
      </c>
      <c r="D143" s="99"/>
      <c r="E143" s="35"/>
      <c r="F143" s="34"/>
      <c r="G143" s="34"/>
      <c r="H143" s="102"/>
      <c r="I143" s="34"/>
      <c r="J143" s="40"/>
      <c r="K143" s="107">
        <f t="shared" si="4"/>
        <v>2700000</v>
      </c>
      <c r="L143" s="34"/>
      <c r="M143" s="36"/>
      <c r="N143" s="104"/>
      <c r="O143" s="105"/>
      <c r="Q143" s="105"/>
    </row>
    <row r="144" spans="2:17" ht="18" customHeight="1" thickBot="1" x14ac:dyDescent="0.45">
      <c r="B144" s="382">
        <v>44643</v>
      </c>
      <c r="C144" s="34">
        <v>50000</v>
      </c>
      <c r="D144" s="99"/>
      <c r="E144" s="35"/>
      <c r="F144" s="34"/>
      <c r="G144" s="34"/>
      <c r="H144" s="102"/>
      <c r="I144" s="34"/>
      <c r="J144" s="40"/>
      <c r="K144" s="107">
        <f t="shared" si="4"/>
        <v>2750000</v>
      </c>
      <c r="L144" s="34"/>
      <c r="M144" s="36"/>
      <c r="N144" s="104"/>
      <c r="O144" s="105"/>
      <c r="Q144" s="105"/>
    </row>
    <row r="145" spans="2:17" ht="18" customHeight="1" thickBot="1" x14ac:dyDescent="0.45">
      <c r="B145" s="382">
        <v>44659</v>
      </c>
      <c r="C145" s="34"/>
      <c r="D145" s="99">
        <v>381</v>
      </c>
      <c r="E145" s="35"/>
      <c r="F145" s="34" t="s">
        <v>1199</v>
      </c>
      <c r="G145" s="34"/>
      <c r="H145" s="102"/>
      <c r="I145" s="34"/>
      <c r="J145" s="40"/>
      <c r="K145" s="107">
        <f t="shared" si="4"/>
        <v>2750000</v>
      </c>
      <c r="L145" s="34"/>
      <c r="M145" s="36"/>
      <c r="N145" s="104"/>
      <c r="O145" s="105"/>
      <c r="Q145" s="105"/>
    </row>
    <row r="146" spans="2:17" ht="18" customHeight="1" thickBot="1" x14ac:dyDescent="0.45">
      <c r="B146" s="382">
        <v>44676</v>
      </c>
      <c r="C146" s="34">
        <v>50000</v>
      </c>
      <c r="D146" s="99"/>
      <c r="E146" s="35"/>
      <c r="F146" s="34"/>
      <c r="G146" s="34"/>
      <c r="H146" s="102"/>
      <c r="I146" s="34"/>
      <c r="J146" s="40"/>
      <c r="K146" s="107">
        <f t="shared" si="4"/>
        <v>2800000</v>
      </c>
      <c r="L146" s="34"/>
      <c r="M146" s="36"/>
      <c r="N146" s="104"/>
      <c r="O146" s="105"/>
      <c r="Q146" s="105"/>
    </row>
    <row r="147" spans="2:17" ht="18" customHeight="1" thickBot="1" x14ac:dyDescent="0.45">
      <c r="B147" s="382">
        <v>44705</v>
      </c>
      <c r="C147" s="34">
        <v>50000</v>
      </c>
      <c r="D147" s="99"/>
      <c r="E147" s="35"/>
      <c r="F147" s="34"/>
      <c r="G147" s="34"/>
      <c r="H147" s="102"/>
      <c r="I147" s="34"/>
      <c r="J147" s="40"/>
      <c r="K147" s="107">
        <f t="shared" si="4"/>
        <v>2850000</v>
      </c>
      <c r="L147" s="34"/>
      <c r="M147" s="36"/>
      <c r="N147" s="104"/>
      <c r="O147" s="105"/>
      <c r="Q147" s="105"/>
    </row>
    <row r="148" spans="2:17" ht="18" customHeight="1" thickBot="1" x14ac:dyDescent="0.45">
      <c r="B148" s="382">
        <v>44735</v>
      </c>
      <c r="C148" s="34">
        <v>50000</v>
      </c>
      <c r="D148" s="99"/>
      <c r="E148" s="35"/>
      <c r="F148" s="34"/>
      <c r="G148" s="34"/>
      <c r="H148" s="102"/>
      <c r="I148" s="34"/>
      <c r="J148" s="40"/>
      <c r="K148" s="107">
        <f t="shared" si="4"/>
        <v>2900000</v>
      </c>
      <c r="L148" s="34"/>
      <c r="M148" s="36"/>
      <c r="N148" s="104"/>
      <c r="O148" s="105"/>
      <c r="Q148" s="105"/>
    </row>
    <row r="149" spans="2:17" ht="18" customHeight="1" thickBot="1" x14ac:dyDescent="0.45">
      <c r="B149" s="382">
        <v>44750</v>
      </c>
      <c r="C149" s="34"/>
      <c r="D149" s="99">
        <v>17</v>
      </c>
      <c r="E149" s="35"/>
      <c r="F149" s="34" t="s">
        <v>1199</v>
      </c>
      <c r="G149" s="34"/>
      <c r="H149" s="102"/>
      <c r="I149" s="34"/>
      <c r="J149" s="40"/>
      <c r="K149" s="107">
        <f t="shared" si="4"/>
        <v>2900000</v>
      </c>
      <c r="L149" s="34"/>
      <c r="M149" s="36"/>
      <c r="N149" s="104"/>
      <c r="O149" s="105"/>
      <c r="Q149" s="105"/>
    </row>
    <row r="150" spans="2:17" ht="18" customHeight="1" thickBot="1" x14ac:dyDescent="0.45">
      <c r="B150" s="382">
        <v>44767</v>
      </c>
      <c r="C150" s="34">
        <v>50000</v>
      </c>
      <c r="D150" s="99"/>
      <c r="E150" s="35"/>
      <c r="F150" s="34"/>
      <c r="G150" s="34"/>
      <c r="H150" s="102"/>
      <c r="I150" s="34"/>
      <c r="J150" s="40"/>
      <c r="K150" s="107">
        <f t="shared" si="4"/>
        <v>2950000</v>
      </c>
      <c r="L150" s="34"/>
      <c r="M150" s="36"/>
      <c r="N150" s="104"/>
      <c r="O150" s="105"/>
      <c r="Q150" s="105"/>
    </row>
    <row r="151" spans="2:17" ht="18" customHeight="1" thickBot="1" x14ac:dyDescent="0.45">
      <c r="B151" s="382">
        <v>44796</v>
      </c>
      <c r="C151" s="34">
        <v>50000</v>
      </c>
      <c r="D151" s="99"/>
      <c r="E151" s="35"/>
      <c r="F151" s="34"/>
      <c r="G151" s="34"/>
      <c r="H151" s="102"/>
      <c r="I151" s="34"/>
      <c r="J151" s="40"/>
      <c r="K151" s="107">
        <f t="shared" si="4"/>
        <v>3000000</v>
      </c>
      <c r="L151" s="34"/>
      <c r="M151" s="36"/>
      <c r="N151" s="104"/>
      <c r="O151" s="105"/>
      <c r="Q151" s="105"/>
    </row>
    <row r="152" spans="2:17" ht="18" customHeight="1" thickBot="1" x14ac:dyDescent="0.45">
      <c r="B152" s="382">
        <v>44827</v>
      </c>
      <c r="C152" s="34">
        <v>50000</v>
      </c>
      <c r="D152" s="99"/>
      <c r="E152" s="35"/>
      <c r="F152" s="34"/>
      <c r="G152" s="34"/>
      <c r="H152" s="102"/>
      <c r="I152" s="34"/>
      <c r="J152" s="40"/>
      <c r="K152" s="107">
        <f t="shared" si="4"/>
        <v>3050000</v>
      </c>
      <c r="L152" s="34"/>
      <c r="M152" s="36"/>
      <c r="N152" s="104"/>
      <c r="O152" s="105"/>
      <c r="Q152" s="105"/>
    </row>
    <row r="153" spans="2:17" ht="18" customHeight="1" thickBot="1" x14ac:dyDescent="0.45">
      <c r="B153" s="382">
        <v>44841</v>
      </c>
      <c r="C153" s="34"/>
      <c r="D153" s="99">
        <v>17</v>
      </c>
      <c r="E153" s="35"/>
      <c r="F153" s="34" t="s">
        <v>1199</v>
      </c>
      <c r="G153" s="34"/>
      <c r="H153" s="102"/>
      <c r="I153" s="34"/>
      <c r="J153" s="40"/>
      <c r="K153" s="107">
        <f t="shared" si="4"/>
        <v>3050000</v>
      </c>
      <c r="L153" s="34"/>
      <c r="M153" s="36"/>
      <c r="N153" s="104"/>
      <c r="O153" s="105"/>
      <c r="Q153" s="105"/>
    </row>
    <row r="154" spans="2:17" ht="18" customHeight="1" thickBot="1" x14ac:dyDescent="0.45">
      <c r="B154" s="382">
        <v>44859</v>
      </c>
      <c r="C154" s="34">
        <v>50000</v>
      </c>
      <c r="D154" s="99"/>
      <c r="E154" s="35"/>
      <c r="F154" s="34"/>
      <c r="G154" s="34"/>
      <c r="H154" s="102"/>
      <c r="I154" s="34"/>
      <c r="J154" s="40"/>
      <c r="K154" s="107">
        <f t="shared" si="4"/>
        <v>3100000</v>
      </c>
      <c r="L154" s="34"/>
      <c r="M154" s="36"/>
      <c r="N154" s="104"/>
      <c r="O154" s="105"/>
      <c r="Q154" s="105"/>
    </row>
    <row r="155" spans="2:17" ht="18" customHeight="1" thickBot="1" x14ac:dyDescent="0.45">
      <c r="B155" s="382">
        <v>44888</v>
      </c>
      <c r="C155" s="34">
        <v>50000</v>
      </c>
      <c r="D155" s="99"/>
      <c r="E155" s="35"/>
      <c r="F155" s="34"/>
      <c r="G155" s="34"/>
      <c r="H155" s="102"/>
      <c r="I155" s="34"/>
      <c r="J155" s="40"/>
      <c r="K155" s="107">
        <f t="shared" si="4"/>
        <v>3150000</v>
      </c>
      <c r="L155" s="34"/>
      <c r="M155" s="36"/>
      <c r="N155" s="104"/>
      <c r="O155" s="105"/>
      <c r="Q155" s="105"/>
    </row>
    <row r="156" spans="2:17" ht="18" customHeight="1" thickBot="1" x14ac:dyDescent="0.45">
      <c r="B156" s="382">
        <v>44918</v>
      </c>
      <c r="C156" s="34">
        <v>50000</v>
      </c>
      <c r="D156" s="99"/>
      <c r="E156" s="35"/>
      <c r="F156" s="34"/>
      <c r="G156" s="34"/>
      <c r="H156" s="102"/>
      <c r="I156" s="34"/>
      <c r="J156" s="40"/>
      <c r="K156" s="107">
        <f t="shared" si="4"/>
        <v>3200000</v>
      </c>
      <c r="L156" s="34"/>
      <c r="M156" s="36"/>
      <c r="N156" s="104"/>
      <c r="O156" s="105"/>
      <c r="Q156" s="105"/>
    </row>
    <row r="157" spans="2:17" ht="18" customHeight="1" thickBot="1" x14ac:dyDescent="0.45">
      <c r="B157" s="382">
        <v>44939</v>
      </c>
      <c r="C157" s="34"/>
      <c r="D157" s="99">
        <v>36</v>
      </c>
      <c r="E157" s="35"/>
      <c r="F157" s="34" t="s">
        <v>1199</v>
      </c>
      <c r="G157" s="34"/>
      <c r="H157" s="102"/>
      <c r="I157" s="34"/>
      <c r="J157" s="40"/>
      <c r="K157" s="107">
        <f t="shared" si="4"/>
        <v>3200000</v>
      </c>
      <c r="L157" s="34"/>
      <c r="M157" s="36"/>
      <c r="N157" s="104"/>
      <c r="O157" s="105"/>
      <c r="Q157" s="105"/>
    </row>
    <row r="158" spans="2:17" ht="18" customHeight="1" thickBot="1" x14ac:dyDescent="0.45">
      <c r="B158" s="382">
        <v>44952</v>
      </c>
      <c r="C158" s="34">
        <v>50000</v>
      </c>
      <c r="D158" s="99"/>
      <c r="E158" s="35"/>
      <c r="F158" s="34"/>
      <c r="G158" s="34"/>
      <c r="H158" s="102"/>
      <c r="I158" s="34"/>
      <c r="J158" s="40"/>
      <c r="K158" s="107">
        <f t="shared" si="4"/>
        <v>3250000</v>
      </c>
      <c r="L158" s="34"/>
      <c r="M158" s="36"/>
      <c r="N158" s="104"/>
      <c r="O158" s="105"/>
      <c r="Q158" s="105"/>
    </row>
    <row r="159" spans="2:17" ht="18" customHeight="1" thickBot="1" x14ac:dyDescent="0.45">
      <c r="B159" s="382">
        <v>44980</v>
      </c>
      <c r="C159" s="34">
        <v>50000</v>
      </c>
      <c r="D159" s="99"/>
      <c r="E159" s="35"/>
      <c r="F159" s="34"/>
      <c r="G159" s="34"/>
      <c r="H159" s="102"/>
      <c r="I159" s="34"/>
      <c r="J159" s="40"/>
      <c r="K159" s="107">
        <f t="shared" si="4"/>
        <v>3300000</v>
      </c>
      <c r="L159" s="34"/>
      <c r="M159" s="36"/>
      <c r="N159" s="104"/>
      <c r="O159" s="105"/>
      <c r="Q159" s="105"/>
    </row>
    <row r="160" spans="2:17" ht="18" customHeight="1" thickBot="1" x14ac:dyDescent="0.45">
      <c r="B160" s="382">
        <v>45008</v>
      </c>
      <c r="C160" s="34">
        <v>50000</v>
      </c>
      <c r="D160" s="99"/>
      <c r="E160" s="35"/>
      <c r="F160" s="34"/>
      <c r="G160" s="34"/>
      <c r="H160" s="102"/>
      <c r="I160" s="34"/>
      <c r="J160" s="40"/>
      <c r="K160" s="107">
        <f t="shared" si="4"/>
        <v>3350000</v>
      </c>
      <c r="L160" s="34"/>
      <c r="M160" s="36"/>
      <c r="N160" s="104"/>
      <c r="O160" s="105"/>
      <c r="Q160" s="105"/>
    </row>
    <row r="161" spans="2:17" ht="18" customHeight="1" thickBot="1" x14ac:dyDescent="0.45">
      <c r="B161" s="382">
        <v>45023</v>
      </c>
      <c r="C161" s="34"/>
      <c r="D161" s="99">
        <v>11</v>
      </c>
      <c r="E161" s="35"/>
      <c r="F161" s="34" t="s">
        <v>1199</v>
      </c>
      <c r="G161" s="34"/>
      <c r="H161" s="102"/>
      <c r="I161" s="34"/>
      <c r="J161" s="40"/>
      <c r="K161" s="107">
        <f t="shared" si="4"/>
        <v>3350000</v>
      </c>
      <c r="L161" s="34"/>
      <c r="M161" s="36"/>
      <c r="N161" s="104"/>
      <c r="O161" s="105"/>
      <c r="Q161" s="105"/>
    </row>
    <row r="162" spans="2:17" ht="18" customHeight="1" thickBot="1" x14ac:dyDescent="0.45">
      <c r="B162" s="382">
        <v>45041</v>
      </c>
      <c r="C162" s="34">
        <v>50000</v>
      </c>
      <c r="D162" s="99"/>
      <c r="E162" s="35"/>
      <c r="F162" s="34"/>
      <c r="G162" s="34"/>
      <c r="H162" s="102"/>
      <c r="I162" s="34"/>
      <c r="J162" s="40"/>
      <c r="K162" s="107">
        <f t="shared" si="4"/>
        <v>3400000</v>
      </c>
      <c r="L162" s="34"/>
      <c r="M162" s="36"/>
      <c r="N162" s="104"/>
      <c r="O162" s="105"/>
      <c r="Q162" s="105"/>
    </row>
    <row r="163" spans="2:17" ht="18" customHeight="1" thickBot="1" x14ac:dyDescent="0.45">
      <c r="B163" s="382">
        <v>45069</v>
      </c>
      <c r="C163" s="34">
        <v>50000</v>
      </c>
      <c r="D163" s="99"/>
      <c r="E163" s="35"/>
      <c r="F163" s="34"/>
      <c r="G163" s="34"/>
      <c r="H163" s="102"/>
      <c r="I163" s="34"/>
      <c r="J163" s="40"/>
      <c r="K163" s="107">
        <f t="shared" si="4"/>
        <v>3450000</v>
      </c>
      <c r="L163" s="34"/>
      <c r="M163" s="36"/>
      <c r="N163" s="104"/>
      <c r="O163" s="105"/>
      <c r="Q163" s="105"/>
    </row>
    <row r="164" spans="2:17" ht="18" customHeight="1" thickBot="1" x14ac:dyDescent="0.45">
      <c r="B164" s="382">
        <v>45100</v>
      </c>
      <c r="C164" s="34">
        <v>50000</v>
      </c>
      <c r="D164" s="99"/>
      <c r="E164" s="35"/>
      <c r="F164" s="34"/>
      <c r="G164" s="34"/>
      <c r="H164" s="102"/>
      <c r="I164" s="34"/>
      <c r="J164" s="40"/>
      <c r="K164" s="107">
        <f t="shared" si="4"/>
        <v>3500000</v>
      </c>
      <c r="L164" s="34"/>
      <c r="M164" s="36"/>
      <c r="N164" s="104"/>
      <c r="O164" s="105"/>
      <c r="Q164" s="105"/>
    </row>
    <row r="165" spans="2:17" ht="18" customHeight="1" thickBot="1" x14ac:dyDescent="0.45">
      <c r="B165" s="382">
        <v>45114</v>
      </c>
      <c r="C165" s="34"/>
      <c r="D165" s="99">
        <v>2</v>
      </c>
      <c r="E165" s="35"/>
      <c r="F165" s="34" t="s">
        <v>1199</v>
      </c>
      <c r="G165" s="34"/>
      <c r="H165" s="102"/>
      <c r="I165" s="34"/>
      <c r="J165" s="40"/>
      <c r="K165" s="107">
        <f t="shared" si="4"/>
        <v>3500000</v>
      </c>
      <c r="L165" s="34"/>
      <c r="M165" s="36"/>
      <c r="N165" s="104"/>
      <c r="O165" s="105"/>
      <c r="Q165" s="105"/>
    </row>
    <row r="166" spans="2:17" ht="18" customHeight="1" thickBot="1" x14ac:dyDescent="0.45">
      <c r="B166" s="382">
        <v>45132</v>
      </c>
      <c r="C166" s="34">
        <v>50000</v>
      </c>
      <c r="D166" s="99"/>
      <c r="E166" s="35"/>
      <c r="F166" s="34"/>
      <c r="G166" s="34"/>
      <c r="H166" s="102"/>
      <c r="I166" s="34"/>
      <c r="J166" s="40"/>
      <c r="K166" s="107">
        <f t="shared" si="4"/>
        <v>3550000</v>
      </c>
      <c r="L166" s="34"/>
      <c r="M166" s="36"/>
      <c r="N166" s="104"/>
      <c r="O166" s="105"/>
      <c r="Q166" s="105"/>
    </row>
    <row r="167" spans="2:17" ht="18" customHeight="1" thickBot="1" x14ac:dyDescent="0.45">
      <c r="B167" s="382">
        <v>45161</v>
      </c>
      <c r="C167" s="34">
        <v>50000</v>
      </c>
      <c r="D167" s="99"/>
      <c r="E167" s="35"/>
      <c r="F167" s="34"/>
      <c r="G167" s="34"/>
      <c r="H167" s="102"/>
      <c r="I167" s="34"/>
      <c r="J167" s="40"/>
      <c r="K167" s="107">
        <f t="shared" ref="K167:K198" si="5">K166+C167</f>
        <v>3600000</v>
      </c>
      <c r="L167" s="34"/>
      <c r="M167" s="36"/>
      <c r="N167" s="104"/>
      <c r="O167" s="105"/>
      <c r="Q167" s="105"/>
    </row>
    <row r="168" spans="2:17" ht="18" customHeight="1" thickBot="1" x14ac:dyDescent="0.45">
      <c r="B168" s="382">
        <v>45194</v>
      </c>
      <c r="C168" s="34">
        <v>50000</v>
      </c>
      <c r="D168" s="99"/>
      <c r="E168" s="35"/>
      <c r="F168" s="34"/>
      <c r="G168" s="34"/>
      <c r="H168" s="102"/>
      <c r="I168" s="34"/>
      <c r="J168" s="40"/>
      <c r="K168" s="107">
        <f t="shared" si="5"/>
        <v>3650000</v>
      </c>
      <c r="L168" s="34"/>
      <c r="M168" s="36"/>
      <c r="N168" s="104"/>
      <c r="O168" s="105"/>
      <c r="Q168" s="105"/>
    </row>
    <row r="169" spans="2:17" ht="18" customHeight="1" thickBot="1" x14ac:dyDescent="0.45">
      <c r="B169" s="382">
        <v>45212</v>
      </c>
      <c r="C169" s="34"/>
      <c r="D169" s="99">
        <v>2</v>
      </c>
      <c r="E169" s="35"/>
      <c r="F169" s="34" t="s">
        <v>1199</v>
      </c>
      <c r="G169" s="34"/>
      <c r="H169" s="102"/>
      <c r="I169" s="34"/>
      <c r="J169" s="40"/>
      <c r="K169" s="107">
        <f t="shared" si="5"/>
        <v>3650000</v>
      </c>
      <c r="L169" s="34"/>
      <c r="M169" s="36"/>
      <c r="N169" s="104"/>
      <c r="O169" s="105"/>
      <c r="Q169" s="105"/>
    </row>
    <row r="170" spans="2:17" ht="18" customHeight="1" thickBot="1" x14ac:dyDescent="0.45">
      <c r="B170" s="382">
        <v>45223</v>
      </c>
      <c r="C170" s="34">
        <v>50000</v>
      </c>
      <c r="D170" s="99"/>
      <c r="E170" s="35"/>
      <c r="F170" s="34"/>
      <c r="G170" s="34"/>
      <c r="H170" s="102"/>
      <c r="I170" s="34"/>
      <c r="J170" s="40"/>
      <c r="K170" s="107">
        <f t="shared" si="5"/>
        <v>3700000</v>
      </c>
      <c r="L170" s="34"/>
      <c r="M170" s="36"/>
      <c r="N170" s="104"/>
      <c r="O170" s="105"/>
      <c r="Q170" s="105"/>
    </row>
    <row r="171" spans="2:17" ht="18" customHeight="1" thickBot="1" x14ac:dyDescent="0.45">
      <c r="B171" s="382">
        <v>45253</v>
      </c>
      <c r="C171" s="34">
        <v>50000</v>
      </c>
      <c r="D171" s="99"/>
      <c r="E171" s="35"/>
      <c r="F171" s="34"/>
      <c r="G171" s="34"/>
      <c r="H171" s="102"/>
      <c r="I171" s="34"/>
      <c r="J171" s="40"/>
      <c r="K171" s="107">
        <f t="shared" si="5"/>
        <v>3750000</v>
      </c>
      <c r="L171" s="34"/>
      <c r="M171" s="36"/>
      <c r="N171" s="104"/>
      <c r="O171" s="105"/>
      <c r="Q171" s="105"/>
    </row>
    <row r="172" spans="2:17" ht="18" customHeight="1" thickBot="1" x14ac:dyDescent="0.45">
      <c r="B172" s="382">
        <v>45286</v>
      </c>
      <c r="C172" s="34">
        <v>50000</v>
      </c>
      <c r="D172" s="99"/>
      <c r="E172" s="35"/>
      <c r="F172" s="34"/>
      <c r="G172" s="34"/>
      <c r="H172" s="102"/>
      <c r="I172" s="34"/>
      <c r="J172" s="40"/>
      <c r="K172" s="107">
        <f t="shared" si="5"/>
        <v>3800000</v>
      </c>
      <c r="L172" s="34"/>
      <c r="M172" s="36"/>
      <c r="N172" s="104"/>
      <c r="O172" s="105"/>
      <c r="Q172" s="105"/>
    </row>
    <row r="173" spans="2:17" ht="18" customHeight="1" thickBot="1" x14ac:dyDescent="0.45">
      <c r="B173" s="382">
        <v>45303</v>
      </c>
      <c r="C173" s="34"/>
      <c r="D173" s="99">
        <v>6</v>
      </c>
      <c r="E173" s="35"/>
      <c r="F173" s="34" t="s">
        <v>1199</v>
      </c>
      <c r="G173" s="34"/>
      <c r="H173" s="102"/>
      <c r="I173" s="34"/>
      <c r="J173" s="40"/>
      <c r="K173" s="107">
        <f t="shared" si="5"/>
        <v>3800000</v>
      </c>
      <c r="L173" s="34"/>
      <c r="M173" s="36"/>
      <c r="N173" s="104"/>
      <c r="O173" s="105"/>
      <c r="Q173" s="105"/>
    </row>
    <row r="174" spans="2:17" ht="18" customHeight="1" thickBot="1" x14ac:dyDescent="0.45">
      <c r="B174" s="382">
        <v>45576</v>
      </c>
      <c r="C174" s="34"/>
      <c r="D174" s="99">
        <v>2655</v>
      </c>
      <c r="E174" s="35"/>
      <c r="F174" s="34" t="s">
        <v>1199</v>
      </c>
      <c r="G174" s="34"/>
      <c r="H174" s="102"/>
      <c r="I174" s="34"/>
      <c r="J174" s="40"/>
      <c r="K174" s="107">
        <f t="shared" si="5"/>
        <v>3800000</v>
      </c>
      <c r="L174" s="34"/>
      <c r="M174" s="36"/>
      <c r="N174" s="104"/>
      <c r="O174" s="105"/>
      <c r="Q174" s="105"/>
    </row>
    <row r="175" spans="2:17" ht="18" customHeight="1" thickBot="1" x14ac:dyDescent="0.45">
      <c r="B175" s="382">
        <v>45593</v>
      </c>
      <c r="C175" s="34">
        <v>20000</v>
      </c>
      <c r="D175" s="99"/>
      <c r="E175" s="35"/>
      <c r="F175" s="34"/>
      <c r="G175" s="34"/>
      <c r="H175" s="102"/>
      <c r="I175" s="34"/>
      <c r="J175" s="40"/>
      <c r="K175" s="107">
        <f t="shared" si="5"/>
        <v>3820000</v>
      </c>
      <c r="L175" s="34"/>
      <c r="M175" s="36"/>
      <c r="N175" s="104"/>
      <c r="O175" s="105"/>
      <c r="Q175" s="105"/>
    </row>
    <row r="176" spans="2:17" ht="18" customHeight="1" thickBot="1" x14ac:dyDescent="0.45">
      <c r="B176" s="382">
        <v>45593</v>
      </c>
      <c r="C176" s="34">
        <v>20000</v>
      </c>
      <c r="D176" s="99"/>
      <c r="E176" s="35"/>
      <c r="F176" s="34"/>
      <c r="G176" s="34"/>
      <c r="H176" s="102"/>
      <c r="I176" s="34"/>
      <c r="J176" s="40"/>
      <c r="K176" s="107">
        <f t="shared" si="5"/>
        <v>3840000</v>
      </c>
      <c r="L176" s="34"/>
      <c r="M176" s="36"/>
      <c r="N176" s="104"/>
      <c r="O176" s="105"/>
      <c r="Q176" s="105"/>
    </row>
    <row r="177" spans="2:17" ht="18" customHeight="1" thickBot="1" x14ac:dyDescent="0.45">
      <c r="B177" s="382">
        <v>45593</v>
      </c>
      <c r="C177" s="34">
        <v>30000</v>
      </c>
      <c r="D177" s="99"/>
      <c r="E177" s="35"/>
      <c r="F177" s="34"/>
      <c r="G177" s="34"/>
      <c r="H177" s="102"/>
      <c r="I177" s="34"/>
      <c r="J177" s="40"/>
      <c r="K177" s="107">
        <f t="shared" si="5"/>
        <v>3870000</v>
      </c>
      <c r="L177" s="34"/>
      <c r="M177" s="36"/>
      <c r="N177" s="104"/>
      <c r="O177" s="105"/>
      <c r="Q177" s="105"/>
    </row>
    <row r="178" spans="2:17" ht="18" customHeight="1" thickBot="1" x14ac:dyDescent="0.45">
      <c r="B178" s="382">
        <v>45593</v>
      </c>
      <c r="C178" s="34">
        <v>30000</v>
      </c>
      <c r="D178" s="99"/>
      <c r="E178" s="35"/>
      <c r="F178" s="34"/>
      <c r="G178" s="34"/>
      <c r="H178" s="102"/>
      <c r="I178" s="34"/>
      <c r="J178" s="40"/>
      <c r="K178" s="107">
        <f t="shared" si="5"/>
        <v>3900000</v>
      </c>
      <c r="L178" s="34"/>
      <c r="M178" s="36"/>
      <c r="N178" s="104"/>
      <c r="O178" s="105"/>
      <c r="Q178" s="105"/>
    </row>
    <row r="179" spans="2:17" ht="18" customHeight="1" thickBot="1" x14ac:dyDescent="0.45">
      <c r="B179" s="382">
        <v>45622</v>
      </c>
      <c r="C179" s="34">
        <v>20000</v>
      </c>
      <c r="D179" s="99"/>
      <c r="E179" s="35"/>
      <c r="F179" s="34"/>
      <c r="G179" s="34"/>
      <c r="H179" s="102"/>
      <c r="I179" s="34"/>
      <c r="J179" s="40"/>
      <c r="K179" s="107">
        <f t="shared" si="5"/>
        <v>3920000</v>
      </c>
      <c r="L179" s="34"/>
      <c r="M179" s="36"/>
      <c r="N179" s="104"/>
      <c r="O179" s="105"/>
      <c r="Q179" s="105"/>
    </row>
    <row r="180" spans="2:17" ht="18" customHeight="1" thickBot="1" x14ac:dyDescent="0.45">
      <c r="B180" s="382">
        <v>45622</v>
      </c>
      <c r="C180" s="34">
        <v>20000</v>
      </c>
      <c r="D180" s="99"/>
      <c r="E180" s="35"/>
      <c r="F180" s="34"/>
      <c r="G180" s="34"/>
      <c r="H180" s="102"/>
      <c r="I180" s="34"/>
      <c r="J180" s="40"/>
      <c r="K180" s="107">
        <f t="shared" si="5"/>
        <v>3940000</v>
      </c>
      <c r="L180" s="34"/>
      <c r="M180" s="36"/>
      <c r="N180" s="104"/>
      <c r="O180" s="105"/>
      <c r="Q180" s="105"/>
    </row>
    <row r="181" spans="2:17" ht="18" customHeight="1" thickBot="1" x14ac:dyDescent="0.45">
      <c r="B181" s="382">
        <v>45622</v>
      </c>
      <c r="C181" s="34">
        <v>30000</v>
      </c>
      <c r="D181" s="99"/>
      <c r="E181" s="35"/>
      <c r="F181" s="34"/>
      <c r="G181" s="34"/>
      <c r="H181" s="102"/>
      <c r="I181" s="34"/>
      <c r="J181" s="40"/>
      <c r="K181" s="107">
        <f t="shared" si="5"/>
        <v>3970000</v>
      </c>
      <c r="L181" s="34"/>
      <c r="M181" s="36"/>
      <c r="N181" s="104"/>
      <c r="O181" s="105"/>
      <c r="Q181" s="105"/>
    </row>
    <row r="182" spans="2:17" ht="18" customHeight="1" thickBot="1" x14ac:dyDescent="0.45">
      <c r="B182" s="382">
        <v>45622</v>
      </c>
      <c r="C182" s="34">
        <v>30000</v>
      </c>
      <c r="D182" s="99"/>
      <c r="E182" s="35"/>
      <c r="F182" s="34"/>
      <c r="G182" s="34"/>
      <c r="H182" s="102"/>
      <c r="I182" s="34"/>
      <c r="J182" s="40"/>
      <c r="K182" s="107">
        <f t="shared" si="5"/>
        <v>4000000</v>
      </c>
      <c r="L182" s="34"/>
      <c r="M182" s="36"/>
      <c r="N182" s="104"/>
      <c r="O182" s="105"/>
      <c r="Q182" s="105"/>
    </row>
    <row r="183" spans="2:17" ht="18" customHeight="1" thickBot="1" x14ac:dyDescent="0.45">
      <c r="B183" s="382">
        <v>45653</v>
      </c>
      <c r="C183" s="34">
        <v>20000</v>
      </c>
      <c r="D183" s="99"/>
      <c r="E183" s="35"/>
      <c r="F183" s="34"/>
      <c r="G183" s="34"/>
      <c r="H183" s="102"/>
      <c r="I183" s="34"/>
      <c r="J183" s="40"/>
      <c r="K183" s="107">
        <f t="shared" si="5"/>
        <v>4020000</v>
      </c>
      <c r="L183" s="34"/>
      <c r="M183" s="36"/>
      <c r="N183" s="104"/>
      <c r="O183" s="105"/>
      <c r="Q183" s="105"/>
    </row>
    <row r="184" spans="2:17" ht="18" customHeight="1" thickBot="1" x14ac:dyDescent="0.45">
      <c r="B184" s="382">
        <v>45653</v>
      </c>
      <c r="C184" s="34">
        <v>20000</v>
      </c>
      <c r="D184" s="99"/>
      <c r="E184" s="35"/>
      <c r="F184" s="34"/>
      <c r="G184" s="34"/>
      <c r="H184" s="102"/>
      <c r="I184" s="34"/>
      <c r="J184" s="40"/>
      <c r="K184" s="107">
        <f t="shared" si="5"/>
        <v>4040000</v>
      </c>
      <c r="L184" s="34"/>
      <c r="M184" s="36"/>
      <c r="N184" s="104"/>
      <c r="O184" s="105"/>
      <c r="Q184" s="105"/>
    </row>
    <row r="185" spans="2:17" ht="18" customHeight="1" thickBot="1" x14ac:dyDescent="0.45">
      <c r="B185" s="382">
        <v>45653</v>
      </c>
      <c r="C185" s="34">
        <v>30000</v>
      </c>
      <c r="D185" s="99"/>
      <c r="E185" s="35"/>
      <c r="F185" s="34"/>
      <c r="G185" s="34"/>
      <c r="H185" s="102"/>
      <c r="I185" s="34"/>
      <c r="J185" s="40"/>
      <c r="K185" s="107">
        <f t="shared" si="5"/>
        <v>4070000</v>
      </c>
      <c r="L185" s="34"/>
      <c r="M185" s="36"/>
      <c r="N185" s="104"/>
      <c r="O185" s="105"/>
      <c r="Q185" s="105"/>
    </row>
    <row r="186" spans="2:17" ht="18" customHeight="1" thickBot="1" x14ac:dyDescent="0.45">
      <c r="B186" s="382">
        <v>45653</v>
      </c>
      <c r="C186" s="34">
        <v>30000</v>
      </c>
      <c r="D186" s="99"/>
      <c r="E186" s="35"/>
      <c r="F186" s="34"/>
      <c r="G186" s="34"/>
      <c r="H186" s="102"/>
      <c r="I186" s="34"/>
      <c r="J186" s="40"/>
      <c r="K186" s="107">
        <f t="shared" si="5"/>
        <v>4100000</v>
      </c>
      <c r="L186" s="34"/>
      <c r="M186" s="36"/>
      <c r="N186" s="104"/>
      <c r="O186" s="105"/>
      <c r="Q186" s="105"/>
    </row>
    <row r="187" spans="2:17" ht="18" customHeight="1" thickBot="1" x14ac:dyDescent="0.45">
      <c r="B187" s="382">
        <v>45667</v>
      </c>
      <c r="C187" s="34"/>
      <c r="D187" s="99">
        <v>50</v>
      </c>
      <c r="E187" s="35"/>
      <c r="F187" s="34" t="s">
        <v>1199</v>
      </c>
      <c r="G187" s="34"/>
      <c r="H187" s="102"/>
      <c r="I187" s="34"/>
      <c r="J187" s="40"/>
      <c r="K187" s="107">
        <f t="shared" si="5"/>
        <v>4100000</v>
      </c>
      <c r="L187" s="34"/>
      <c r="M187" s="36"/>
      <c r="N187" s="104"/>
      <c r="O187" s="105"/>
      <c r="Q187" s="105"/>
    </row>
    <row r="188" spans="2:17" ht="18" customHeight="1" thickBot="1" x14ac:dyDescent="0.45">
      <c r="B188" s="382">
        <v>45691</v>
      </c>
      <c r="C188" s="34">
        <v>20000</v>
      </c>
      <c r="D188" s="99"/>
      <c r="E188" s="35"/>
      <c r="F188" s="34"/>
      <c r="G188" s="34"/>
      <c r="H188" s="102"/>
      <c r="I188" s="34"/>
      <c r="J188" s="40"/>
      <c r="K188" s="107">
        <f t="shared" si="5"/>
        <v>4120000</v>
      </c>
      <c r="L188" s="34"/>
      <c r="M188" s="36"/>
      <c r="N188" s="104"/>
      <c r="O188" s="105"/>
      <c r="Q188" s="105"/>
    </row>
    <row r="189" spans="2:17" ht="18" customHeight="1" thickBot="1" x14ac:dyDescent="0.45">
      <c r="B189" s="382">
        <v>45691</v>
      </c>
      <c r="C189" s="34">
        <v>20000</v>
      </c>
      <c r="D189" s="99"/>
      <c r="E189" s="35"/>
      <c r="F189" s="34"/>
      <c r="G189" s="34"/>
      <c r="H189" s="102"/>
      <c r="I189" s="34"/>
      <c r="J189" s="40"/>
      <c r="K189" s="107">
        <f t="shared" si="5"/>
        <v>4140000</v>
      </c>
      <c r="L189" s="34"/>
      <c r="M189" s="36"/>
      <c r="N189" s="104"/>
      <c r="O189" s="105"/>
      <c r="Q189" s="105"/>
    </row>
    <row r="190" spans="2:17" ht="18" customHeight="1" thickBot="1" x14ac:dyDescent="0.45">
      <c r="B190" s="382">
        <v>45691</v>
      </c>
      <c r="C190" s="34">
        <v>30000</v>
      </c>
      <c r="D190" s="99"/>
      <c r="E190" s="35"/>
      <c r="F190" s="34"/>
      <c r="G190" s="34"/>
      <c r="H190" s="102"/>
      <c r="I190" s="34"/>
      <c r="J190" s="40"/>
      <c r="K190" s="107">
        <f t="shared" si="5"/>
        <v>4170000</v>
      </c>
      <c r="L190" s="34"/>
      <c r="M190" s="36"/>
      <c r="N190" s="104"/>
      <c r="O190" s="105"/>
      <c r="Q190" s="105"/>
    </row>
    <row r="191" spans="2:17" ht="18" customHeight="1" thickBot="1" x14ac:dyDescent="0.45">
      <c r="B191" s="382">
        <v>45691</v>
      </c>
      <c r="C191" s="34">
        <v>30000</v>
      </c>
      <c r="D191" s="99"/>
      <c r="E191" s="35"/>
      <c r="F191" s="34"/>
      <c r="G191" s="34"/>
      <c r="H191" s="102"/>
      <c r="I191" s="34"/>
      <c r="J191" s="40"/>
      <c r="K191" s="107">
        <f t="shared" si="5"/>
        <v>4200000</v>
      </c>
      <c r="L191" s="34"/>
      <c r="M191" s="36"/>
      <c r="N191" s="104"/>
      <c r="O191" s="105"/>
      <c r="Q191" s="105"/>
    </row>
    <row r="192" spans="2:17" ht="18" customHeight="1" thickBot="1" x14ac:dyDescent="0.45">
      <c r="B192" s="382">
        <v>45714</v>
      </c>
      <c r="C192" s="34">
        <v>20000</v>
      </c>
      <c r="D192" s="99"/>
      <c r="E192" s="35"/>
      <c r="F192" s="34"/>
      <c r="G192" s="34"/>
      <c r="H192" s="102"/>
      <c r="I192" s="34"/>
      <c r="J192" s="40"/>
      <c r="K192" s="107">
        <f t="shared" si="5"/>
        <v>4220000</v>
      </c>
      <c r="L192" s="34"/>
      <c r="M192" s="36"/>
      <c r="N192" s="104"/>
      <c r="O192" s="105"/>
      <c r="Q192" s="105"/>
    </row>
    <row r="193" spans="2:17" ht="18" customHeight="1" thickBot="1" x14ac:dyDescent="0.45">
      <c r="B193" s="382">
        <v>45714</v>
      </c>
      <c r="C193" s="34">
        <v>20000</v>
      </c>
      <c r="D193" s="99"/>
      <c r="E193" s="35"/>
      <c r="F193" s="34"/>
      <c r="G193" s="34"/>
      <c r="H193" s="102"/>
      <c r="I193" s="34"/>
      <c r="J193" s="40"/>
      <c r="K193" s="107">
        <f t="shared" si="5"/>
        <v>4240000</v>
      </c>
      <c r="L193" s="34"/>
      <c r="M193" s="36"/>
      <c r="N193" s="104"/>
      <c r="O193" s="105"/>
      <c r="Q193" s="105"/>
    </row>
    <row r="194" spans="2:17" ht="18" customHeight="1" thickBot="1" x14ac:dyDescent="0.45">
      <c r="B194" s="382">
        <v>45714</v>
      </c>
      <c r="C194" s="34">
        <v>30000</v>
      </c>
      <c r="D194" s="99"/>
      <c r="E194" s="35"/>
      <c r="F194" s="34"/>
      <c r="G194" s="34"/>
      <c r="H194" s="102"/>
      <c r="I194" s="34"/>
      <c r="J194" s="40"/>
      <c r="K194" s="107">
        <f t="shared" si="5"/>
        <v>4270000</v>
      </c>
      <c r="L194" s="34"/>
      <c r="M194" s="36"/>
      <c r="N194" s="104"/>
      <c r="O194" s="105"/>
      <c r="Q194" s="105"/>
    </row>
    <row r="195" spans="2:17" ht="18" customHeight="1" thickBot="1" x14ac:dyDescent="0.45">
      <c r="B195" s="382">
        <v>45714</v>
      </c>
      <c r="C195" s="34">
        <v>30000</v>
      </c>
      <c r="D195" s="99"/>
      <c r="E195" s="35"/>
      <c r="F195" s="34"/>
      <c r="G195" s="34"/>
      <c r="H195" s="102"/>
      <c r="I195" s="34"/>
      <c r="J195" s="40"/>
      <c r="K195" s="107">
        <f t="shared" si="5"/>
        <v>4300000</v>
      </c>
      <c r="L195" s="34"/>
      <c r="M195" s="36"/>
      <c r="N195" s="104"/>
      <c r="O195" s="105"/>
      <c r="Q195" s="105"/>
    </row>
    <row r="196" spans="2:17" ht="18" customHeight="1" thickBot="1" x14ac:dyDescent="0.45">
      <c r="B196" s="382">
        <v>45742</v>
      </c>
      <c r="C196" s="34">
        <v>20000</v>
      </c>
      <c r="D196" s="99"/>
      <c r="E196" s="35"/>
      <c r="F196" s="34"/>
      <c r="G196" s="34"/>
      <c r="H196" s="102"/>
      <c r="I196" s="34"/>
      <c r="J196" s="40"/>
      <c r="K196" s="107">
        <f t="shared" si="5"/>
        <v>4320000</v>
      </c>
      <c r="L196" s="34"/>
      <c r="M196" s="36"/>
      <c r="N196" s="104"/>
      <c r="O196" s="105"/>
      <c r="Q196" s="105"/>
    </row>
    <row r="197" spans="2:17" ht="18" customHeight="1" thickBot="1" x14ac:dyDescent="0.45">
      <c r="B197" s="382">
        <v>45742</v>
      </c>
      <c r="C197" s="34">
        <v>20000</v>
      </c>
      <c r="D197" s="99"/>
      <c r="E197" s="35"/>
      <c r="F197" s="34"/>
      <c r="G197" s="34"/>
      <c r="H197" s="102"/>
      <c r="I197" s="34"/>
      <c r="J197" s="40"/>
      <c r="K197" s="107">
        <f t="shared" si="5"/>
        <v>4340000</v>
      </c>
      <c r="L197" s="34"/>
      <c r="M197" s="36"/>
      <c r="N197" s="104"/>
      <c r="O197" s="105"/>
      <c r="Q197" s="105"/>
    </row>
    <row r="198" spans="2:17" ht="18" customHeight="1" thickBot="1" x14ac:dyDescent="0.45">
      <c r="B198" s="382">
        <v>45742</v>
      </c>
      <c r="C198" s="34">
        <v>30000</v>
      </c>
      <c r="D198" s="99"/>
      <c r="E198" s="35"/>
      <c r="F198" s="34"/>
      <c r="G198" s="34"/>
      <c r="H198" s="102"/>
      <c r="I198" s="34"/>
      <c r="J198" s="40"/>
      <c r="K198" s="107">
        <f t="shared" si="5"/>
        <v>4370000</v>
      </c>
      <c r="L198" s="34"/>
      <c r="M198" s="36"/>
      <c r="N198" s="104"/>
      <c r="O198" s="105"/>
      <c r="Q198" s="105"/>
    </row>
    <row r="199" spans="2:17" ht="18" customHeight="1" thickBot="1" x14ac:dyDescent="0.45">
      <c r="B199" s="382">
        <v>45742</v>
      </c>
      <c r="C199" s="34">
        <v>30000</v>
      </c>
      <c r="D199" s="99"/>
      <c r="E199" s="35"/>
      <c r="F199" s="34"/>
      <c r="G199" s="34"/>
      <c r="H199" s="102"/>
      <c r="I199" s="34"/>
      <c r="J199" s="40"/>
      <c r="K199" s="107">
        <f t="shared" ref="K199:K230" si="6">K198+C199</f>
        <v>4400000</v>
      </c>
      <c r="L199" s="34"/>
      <c r="M199" s="36"/>
      <c r="N199" s="104"/>
      <c r="O199" s="105"/>
      <c r="Q199" s="105"/>
    </row>
    <row r="200" spans="2:17" ht="18" customHeight="1" thickBot="1" x14ac:dyDescent="0.45">
      <c r="B200" s="382">
        <v>45758</v>
      </c>
      <c r="C200" s="34"/>
      <c r="D200" s="99">
        <v>39</v>
      </c>
      <c r="E200" s="35"/>
      <c r="F200" s="34" t="s">
        <v>1199</v>
      </c>
      <c r="G200" s="34"/>
      <c r="H200" s="102"/>
      <c r="I200" s="34"/>
      <c r="J200" s="40"/>
      <c r="K200" s="107">
        <f t="shared" si="6"/>
        <v>4400000</v>
      </c>
      <c r="L200" s="34"/>
      <c r="M200" s="36"/>
      <c r="N200" s="104"/>
      <c r="O200" s="105"/>
      <c r="Q200" s="105"/>
    </row>
    <row r="201" spans="2:17" ht="18" customHeight="1" thickBot="1" x14ac:dyDescent="0.45">
      <c r="B201" s="382">
        <v>45775</v>
      </c>
      <c r="C201" s="34">
        <v>20000</v>
      </c>
      <c r="D201" s="99"/>
      <c r="E201" s="35"/>
      <c r="F201" s="34"/>
      <c r="G201" s="34"/>
      <c r="H201" s="102"/>
      <c r="I201" s="34"/>
      <c r="J201" s="40"/>
      <c r="K201" s="107">
        <f t="shared" si="6"/>
        <v>4420000</v>
      </c>
      <c r="L201" s="34"/>
      <c r="M201" s="36"/>
      <c r="N201" s="104"/>
      <c r="O201" s="105"/>
      <c r="Q201" s="105"/>
    </row>
    <row r="202" spans="2:17" ht="18" customHeight="1" thickBot="1" x14ac:dyDescent="0.45">
      <c r="B202" s="382">
        <v>45775</v>
      </c>
      <c r="C202" s="34">
        <v>20000</v>
      </c>
      <c r="D202" s="99"/>
      <c r="E202" s="35"/>
      <c r="F202" s="34"/>
      <c r="G202" s="34"/>
      <c r="H202" s="102"/>
      <c r="I202" s="34"/>
      <c r="J202" s="40"/>
      <c r="K202" s="107">
        <f t="shared" si="6"/>
        <v>4440000</v>
      </c>
      <c r="L202" s="34"/>
      <c r="M202" s="36"/>
      <c r="N202" s="104"/>
      <c r="O202" s="105"/>
      <c r="Q202" s="105"/>
    </row>
    <row r="203" spans="2:17" ht="18" customHeight="1" thickBot="1" x14ac:dyDescent="0.45">
      <c r="B203" s="382">
        <v>45775</v>
      </c>
      <c r="C203" s="34">
        <v>30000</v>
      </c>
      <c r="D203" s="99"/>
      <c r="E203" s="35"/>
      <c r="F203" s="34"/>
      <c r="G203" s="34"/>
      <c r="H203" s="102"/>
      <c r="I203" s="34"/>
      <c r="J203" s="40"/>
      <c r="K203" s="107">
        <f t="shared" si="6"/>
        <v>4470000</v>
      </c>
      <c r="L203" s="34"/>
      <c r="M203" s="36"/>
      <c r="N203" s="104"/>
      <c r="O203" s="105"/>
      <c r="Q203" s="105"/>
    </row>
    <row r="204" spans="2:17" ht="18" customHeight="1" thickBot="1" x14ac:dyDescent="0.45">
      <c r="B204" s="382">
        <v>45775</v>
      </c>
      <c r="C204" s="34">
        <v>30000</v>
      </c>
      <c r="D204" s="99"/>
      <c r="E204" s="35"/>
      <c r="F204" s="34"/>
      <c r="G204" s="34"/>
      <c r="H204" s="102"/>
      <c r="I204" s="34"/>
      <c r="J204" s="40"/>
      <c r="K204" s="107">
        <f t="shared" si="6"/>
        <v>4500000</v>
      </c>
      <c r="L204" s="34"/>
      <c r="M204" s="36"/>
      <c r="N204" s="104"/>
      <c r="O204" s="105"/>
      <c r="Q204" s="105"/>
    </row>
    <row r="205" spans="2:17" ht="18" customHeight="1" thickBot="1" x14ac:dyDescent="0.45">
      <c r="B205" s="382">
        <v>45804</v>
      </c>
      <c r="C205" s="34">
        <v>20000</v>
      </c>
      <c r="D205" s="99"/>
      <c r="E205" s="35"/>
      <c r="F205" s="34"/>
      <c r="G205" s="34"/>
      <c r="H205" s="102"/>
      <c r="I205" s="34"/>
      <c r="J205" s="40"/>
      <c r="K205" s="107">
        <f t="shared" si="6"/>
        <v>4520000</v>
      </c>
      <c r="L205" s="34"/>
      <c r="M205" s="36"/>
      <c r="N205" s="104"/>
      <c r="O205" s="105"/>
      <c r="Q205" s="105"/>
    </row>
    <row r="206" spans="2:17" ht="18" customHeight="1" thickBot="1" x14ac:dyDescent="0.45">
      <c r="B206" s="382">
        <v>45804</v>
      </c>
      <c r="C206" s="34">
        <v>20000</v>
      </c>
      <c r="D206" s="99"/>
      <c r="E206" s="35"/>
      <c r="F206" s="34"/>
      <c r="G206" s="34"/>
      <c r="H206" s="102"/>
      <c r="I206" s="34"/>
      <c r="J206" s="40"/>
      <c r="K206" s="107">
        <f t="shared" si="6"/>
        <v>4540000</v>
      </c>
      <c r="L206" s="34"/>
      <c r="M206" s="36"/>
      <c r="N206" s="104"/>
      <c r="O206" s="105"/>
      <c r="Q206" s="105"/>
    </row>
    <row r="207" spans="2:17" ht="18" customHeight="1" thickBot="1" x14ac:dyDescent="0.45">
      <c r="B207" s="382">
        <v>45804</v>
      </c>
      <c r="C207" s="34">
        <v>30000</v>
      </c>
      <c r="D207" s="99"/>
      <c r="E207" s="35"/>
      <c r="F207" s="34"/>
      <c r="G207" s="34"/>
      <c r="H207" s="102"/>
      <c r="I207" s="34"/>
      <c r="J207" s="40"/>
      <c r="K207" s="107">
        <f t="shared" si="6"/>
        <v>4570000</v>
      </c>
      <c r="L207" s="34"/>
      <c r="M207" s="36"/>
      <c r="N207" s="104"/>
      <c r="O207" s="105"/>
      <c r="Q207" s="105"/>
    </row>
    <row r="208" spans="2:17" ht="18" customHeight="1" thickBot="1" x14ac:dyDescent="0.45">
      <c r="B208" s="382">
        <v>45804</v>
      </c>
      <c r="C208" s="34">
        <v>30000</v>
      </c>
      <c r="D208" s="99"/>
      <c r="E208" s="35"/>
      <c r="F208" s="34"/>
      <c r="G208" s="34"/>
      <c r="H208" s="102"/>
      <c r="I208" s="34"/>
      <c r="J208" s="40"/>
      <c r="K208" s="107">
        <f t="shared" si="6"/>
        <v>4600000</v>
      </c>
      <c r="L208" s="34"/>
      <c r="M208" s="36"/>
      <c r="N208" s="104"/>
      <c r="O208" s="105"/>
      <c r="Q208" s="105"/>
    </row>
    <row r="209" spans="2:17" ht="18" customHeight="1" thickBot="1" x14ac:dyDescent="0.45">
      <c r="B209" s="382">
        <v>45819</v>
      </c>
      <c r="C209" s="34">
        <v>1000000</v>
      </c>
      <c r="D209" s="99"/>
      <c r="E209" s="35"/>
      <c r="F209" s="34"/>
      <c r="G209" s="34"/>
      <c r="H209" s="102"/>
      <c r="I209" s="34"/>
      <c r="J209" s="40"/>
      <c r="K209" s="107">
        <f t="shared" si="6"/>
        <v>5600000</v>
      </c>
      <c r="L209" s="34"/>
      <c r="M209" s="36"/>
      <c r="N209" s="104"/>
      <c r="O209" s="105"/>
      <c r="Q209" s="105"/>
    </row>
    <row r="210" spans="2:17" ht="18" customHeight="1" thickBot="1" x14ac:dyDescent="0.45">
      <c r="B210" s="382">
        <v>45834</v>
      </c>
      <c r="C210" s="34">
        <v>20000</v>
      </c>
      <c r="D210" s="99"/>
      <c r="E210" s="35"/>
      <c r="F210" s="34"/>
      <c r="G210" s="34"/>
      <c r="H210" s="102"/>
      <c r="I210" s="34"/>
      <c r="J210" s="40"/>
      <c r="K210" s="107">
        <f t="shared" si="6"/>
        <v>5620000</v>
      </c>
      <c r="L210" s="34"/>
      <c r="M210" s="36"/>
      <c r="N210" s="104"/>
      <c r="O210" s="105"/>
      <c r="Q210" s="105"/>
    </row>
    <row r="211" spans="2:17" ht="18" customHeight="1" thickBot="1" x14ac:dyDescent="0.45">
      <c r="B211" s="382">
        <v>45834</v>
      </c>
      <c r="C211" s="34">
        <v>20000</v>
      </c>
      <c r="D211" s="99"/>
      <c r="E211" s="35"/>
      <c r="F211" s="34"/>
      <c r="G211" s="34"/>
      <c r="H211" s="102"/>
      <c r="I211" s="34"/>
      <c r="J211" s="40"/>
      <c r="K211" s="107">
        <f t="shared" si="6"/>
        <v>5640000</v>
      </c>
      <c r="L211" s="34"/>
      <c r="M211" s="36"/>
      <c r="N211" s="104"/>
      <c r="O211" s="105"/>
      <c r="Q211" s="105"/>
    </row>
    <row r="212" spans="2:17" ht="18" customHeight="1" thickBot="1" x14ac:dyDescent="0.45">
      <c r="B212" s="382">
        <v>45834</v>
      </c>
      <c r="C212" s="34">
        <v>30000</v>
      </c>
      <c r="D212" s="99"/>
      <c r="E212" s="35"/>
      <c r="F212" s="34"/>
      <c r="G212" s="34"/>
      <c r="H212" s="102"/>
      <c r="I212" s="34"/>
      <c r="J212" s="40"/>
      <c r="K212" s="107">
        <f t="shared" si="6"/>
        <v>5670000</v>
      </c>
      <c r="L212" s="34"/>
      <c r="M212" s="36"/>
      <c r="N212" s="104"/>
      <c r="O212" s="105"/>
      <c r="Q212" s="105"/>
    </row>
    <row r="213" spans="2:17" ht="18" customHeight="1" thickBot="1" x14ac:dyDescent="0.45">
      <c r="B213" s="382">
        <v>45834</v>
      </c>
      <c r="C213" s="34">
        <v>30000</v>
      </c>
      <c r="D213" s="99"/>
      <c r="E213" s="35"/>
      <c r="F213" s="34"/>
      <c r="G213" s="34"/>
      <c r="H213" s="102"/>
      <c r="I213" s="34"/>
      <c r="J213" s="40"/>
      <c r="K213" s="107">
        <f t="shared" si="6"/>
        <v>5700000</v>
      </c>
      <c r="L213" s="34"/>
      <c r="M213" s="36"/>
      <c r="N213" s="104"/>
      <c r="O213" s="105"/>
      <c r="Q213" s="105"/>
    </row>
    <row r="214" spans="2:17" ht="18" customHeight="1" thickBot="1" x14ac:dyDescent="0.45">
      <c r="B214" s="382">
        <v>45849</v>
      </c>
      <c r="C214" s="34"/>
      <c r="D214" s="99">
        <v>1690</v>
      </c>
      <c r="E214" s="35"/>
      <c r="F214" s="34" t="s">
        <v>1199</v>
      </c>
      <c r="G214" s="34"/>
      <c r="H214" s="102"/>
      <c r="I214" s="34"/>
      <c r="J214" s="40"/>
      <c r="K214" s="107">
        <f t="shared" si="6"/>
        <v>5700000</v>
      </c>
      <c r="L214" s="34"/>
      <c r="M214" s="36"/>
      <c r="N214" s="104"/>
      <c r="O214" s="105"/>
      <c r="Q214" s="105"/>
    </row>
    <row r="215" spans="2:17" ht="18" customHeight="1" thickBot="1" x14ac:dyDescent="0.45">
      <c r="B215" s="382">
        <v>45866</v>
      </c>
      <c r="C215" s="34">
        <v>20000</v>
      </c>
      <c r="D215" s="99"/>
      <c r="E215" s="35"/>
      <c r="F215" s="34"/>
      <c r="G215" s="34"/>
      <c r="H215" s="102"/>
      <c r="I215" s="34"/>
      <c r="J215" s="40"/>
      <c r="K215" s="107">
        <f t="shared" si="6"/>
        <v>5720000</v>
      </c>
      <c r="L215" s="34"/>
      <c r="M215" s="36"/>
      <c r="N215" s="104"/>
      <c r="O215" s="105"/>
      <c r="Q215" s="105"/>
    </row>
    <row r="216" spans="2:17" ht="18" customHeight="1" thickBot="1" x14ac:dyDescent="0.45">
      <c r="B216" s="382">
        <v>45866</v>
      </c>
      <c r="C216" s="34">
        <v>20000</v>
      </c>
      <c r="D216" s="99"/>
      <c r="E216" s="35"/>
      <c r="F216" s="34"/>
      <c r="G216" s="34"/>
      <c r="H216" s="102"/>
      <c r="I216" s="34"/>
      <c r="J216" s="40"/>
      <c r="K216" s="107">
        <f t="shared" si="6"/>
        <v>5740000</v>
      </c>
      <c r="L216" s="34"/>
      <c r="M216" s="36"/>
      <c r="N216" s="104"/>
      <c r="O216" s="105"/>
      <c r="Q216" s="105"/>
    </row>
    <row r="217" spans="2:17" ht="18" customHeight="1" thickBot="1" x14ac:dyDescent="0.45">
      <c r="B217" s="382">
        <v>45866</v>
      </c>
      <c r="C217" s="34">
        <v>30000</v>
      </c>
      <c r="D217" s="99"/>
      <c r="E217" s="35"/>
      <c r="F217" s="34"/>
      <c r="G217" s="34"/>
      <c r="H217" s="102"/>
      <c r="I217" s="34"/>
      <c r="J217" s="40"/>
      <c r="K217" s="107">
        <f t="shared" si="6"/>
        <v>5770000</v>
      </c>
      <c r="L217" s="34"/>
      <c r="M217" s="36"/>
      <c r="N217" s="104"/>
      <c r="O217" s="105"/>
      <c r="Q217" s="105"/>
    </row>
    <row r="218" spans="2:17" ht="18" customHeight="1" thickBot="1" x14ac:dyDescent="0.45">
      <c r="B218" s="382">
        <v>45866</v>
      </c>
      <c r="C218" s="34">
        <v>30000</v>
      </c>
      <c r="D218" s="99"/>
      <c r="E218" s="35"/>
      <c r="F218" s="34"/>
      <c r="G218" s="34"/>
      <c r="H218" s="102"/>
      <c r="I218" s="34"/>
      <c r="J218" s="40"/>
      <c r="K218" s="107">
        <f t="shared" si="6"/>
        <v>5800000</v>
      </c>
      <c r="L218" s="34"/>
      <c r="M218" s="36"/>
      <c r="N218" s="104"/>
      <c r="O218" s="105"/>
      <c r="Q218" s="105"/>
    </row>
    <row r="219" spans="2:17" ht="18" customHeight="1" thickBot="1" x14ac:dyDescent="0.45">
      <c r="B219" s="382">
        <v>45895</v>
      </c>
      <c r="C219" s="34">
        <v>20000</v>
      </c>
      <c r="D219" s="99"/>
      <c r="E219" s="35"/>
      <c r="F219" s="34"/>
      <c r="G219" s="34"/>
      <c r="H219" s="102"/>
      <c r="I219" s="34"/>
      <c r="J219" s="40"/>
      <c r="K219" s="107">
        <f t="shared" si="6"/>
        <v>5820000</v>
      </c>
      <c r="L219" s="34"/>
      <c r="M219" s="36"/>
      <c r="N219" s="104"/>
      <c r="O219" s="105"/>
      <c r="Q219" s="105"/>
    </row>
    <row r="220" spans="2:17" ht="18" customHeight="1" thickBot="1" x14ac:dyDescent="0.45">
      <c r="B220" s="382">
        <v>45895</v>
      </c>
      <c r="C220" s="34">
        <v>20000</v>
      </c>
      <c r="D220" s="99"/>
      <c r="E220" s="35"/>
      <c r="F220" s="34"/>
      <c r="G220" s="34"/>
      <c r="H220" s="102"/>
      <c r="I220" s="34"/>
      <c r="J220" s="40"/>
      <c r="K220" s="107">
        <f t="shared" si="6"/>
        <v>5840000</v>
      </c>
      <c r="L220" s="34"/>
      <c r="M220" s="36"/>
      <c r="N220" s="104"/>
      <c r="O220" s="105"/>
      <c r="Q220" s="105"/>
    </row>
    <row r="221" spans="2:17" ht="18" customHeight="1" thickBot="1" x14ac:dyDescent="0.45">
      <c r="B221" s="382">
        <v>45895</v>
      </c>
      <c r="C221" s="34">
        <v>30000</v>
      </c>
      <c r="D221" s="99"/>
      <c r="E221" s="35"/>
      <c r="F221" s="34"/>
      <c r="G221" s="34"/>
      <c r="H221" s="102"/>
      <c r="I221" s="34"/>
      <c r="J221" s="40"/>
      <c r="K221" s="107">
        <f t="shared" si="6"/>
        <v>5870000</v>
      </c>
      <c r="L221" s="34"/>
      <c r="M221" s="36"/>
      <c r="N221" s="104"/>
      <c r="O221" s="105"/>
      <c r="Q221" s="105"/>
    </row>
    <row r="222" spans="2:17" ht="18" customHeight="1" thickBot="1" x14ac:dyDescent="0.45">
      <c r="B222" s="382">
        <v>45895</v>
      </c>
      <c r="C222" s="34">
        <v>30000</v>
      </c>
      <c r="D222" s="99"/>
      <c r="E222" s="35"/>
      <c r="F222" s="34"/>
      <c r="G222" s="34"/>
      <c r="H222" s="102"/>
      <c r="I222" s="34"/>
      <c r="J222" s="40"/>
      <c r="K222" s="107">
        <f t="shared" si="6"/>
        <v>5900000</v>
      </c>
      <c r="L222" s="34"/>
      <c r="M222" s="36"/>
      <c r="N222" s="104"/>
      <c r="O222" s="105"/>
      <c r="Q222" s="105"/>
    </row>
    <row r="223" spans="2:17" ht="18" customHeight="1" thickBot="1" x14ac:dyDescent="0.45">
      <c r="B223" s="382">
        <v>45925</v>
      </c>
      <c r="C223" s="34"/>
      <c r="D223" s="99"/>
      <c r="E223" s="35"/>
      <c r="F223" s="34"/>
      <c r="G223" s="34"/>
      <c r="H223" s="102"/>
      <c r="I223" s="34"/>
      <c r="J223" s="40"/>
      <c r="K223" s="107">
        <f t="shared" si="6"/>
        <v>5900000</v>
      </c>
      <c r="L223" s="34"/>
      <c r="M223" s="36"/>
      <c r="N223" s="104"/>
      <c r="O223" s="105"/>
      <c r="Q223" s="105"/>
    </row>
    <row r="224" spans="2:17" ht="18" customHeight="1" thickBot="1" x14ac:dyDescent="0.45">
      <c r="B224" s="382">
        <v>45926</v>
      </c>
      <c r="C224" s="34">
        <v>20000</v>
      </c>
      <c r="D224" s="99"/>
      <c r="E224" s="35"/>
      <c r="F224" s="34"/>
      <c r="G224" s="34"/>
      <c r="H224" s="102"/>
      <c r="I224" s="34"/>
      <c r="J224" s="40"/>
      <c r="K224" s="107">
        <f t="shared" si="6"/>
        <v>5920000</v>
      </c>
      <c r="L224" s="34"/>
      <c r="M224" s="36"/>
      <c r="N224" s="104"/>
      <c r="O224" s="105"/>
      <c r="Q224" s="105"/>
    </row>
    <row r="225" spans="2:17" ht="18" customHeight="1" thickBot="1" x14ac:dyDescent="0.45">
      <c r="B225" s="382">
        <v>45926</v>
      </c>
      <c r="C225" s="34">
        <v>30000</v>
      </c>
      <c r="D225" s="99"/>
      <c r="E225" s="35"/>
      <c r="F225" s="34"/>
      <c r="G225" s="34"/>
      <c r="H225" s="102"/>
      <c r="I225" s="34"/>
      <c r="J225" s="40"/>
      <c r="K225" s="107">
        <f t="shared" si="6"/>
        <v>5950000</v>
      </c>
      <c r="L225" s="34"/>
      <c r="M225" s="36"/>
      <c r="N225" s="104"/>
      <c r="O225" s="105"/>
      <c r="Q225" s="105"/>
    </row>
    <row r="226" spans="2:17" ht="18" customHeight="1" thickBot="1" x14ac:dyDescent="0.45">
      <c r="B226" s="382">
        <v>45932</v>
      </c>
      <c r="C226" s="34">
        <v>1329200</v>
      </c>
      <c r="D226" s="99"/>
      <c r="E226" s="35"/>
      <c r="F226" s="34"/>
      <c r="G226" s="34"/>
      <c r="H226" s="102"/>
      <c r="I226" s="34"/>
      <c r="J226" s="40"/>
      <c r="K226" s="107">
        <f t="shared" si="6"/>
        <v>7279200</v>
      </c>
      <c r="L226" s="34"/>
      <c r="M226" s="36"/>
      <c r="N226" s="104"/>
      <c r="O226" s="105"/>
      <c r="Q226" s="105"/>
    </row>
    <row r="227" spans="2:17" ht="18" customHeight="1" thickBot="1" x14ac:dyDescent="0.45">
      <c r="B227" s="382">
        <v>45940</v>
      </c>
      <c r="C227" s="34"/>
      <c r="D227" s="99">
        <v>2196</v>
      </c>
      <c r="E227" s="35"/>
      <c r="F227" s="34" t="s">
        <v>1199</v>
      </c>
      <c r="G227" s="34"/>
      <c r="H227" s="102"/>
      <c r="I227" s="34"/>
      <c r="J227" s="40"/>
      <c r="K227" s="107">
        <f t="shared" si="6"/>
        <v>7279200</v>
      </c>
      <c r="L227" s="34"/>
      <c r="M227" s="36"/>
      <c r="N227" s="104"/>
      <c r="O227" s="105"/>
      <c r="Q227" s="105"/>
    </row>
    <row r="228" spans="2:17" ht="18" customHeight="1" thickBot="1" x14ac:dyDescent="0.45">
      <c r="B228" s="382">
        <v>45940</v>
      </c>
      <c r="C228" s="34">
        <v>227600</v>
      </c>
      <c r="D228" s="99"/>
      <c r="E228" s="35"/>
      <c r="F228" s="34"/>
      <c r="G228" s="34"/>
      <c r="H228" s="102"/>
      <c r="I228" s="34"/>
      <c r="J228" s="40"/>
      <c r="K228" s="107">
        <f t="shared" si="6"/>
        <v>7506800</v>
      </c>
      <c r="L228" s="34"/>
      <c r="M228" s="36"/>
      <c r="N228" s="104"/>
      <c r="O228" s="105"/>
      <c r="Q228" s="105"/>
    </row>
    <row r="229" spans="2:17" ht="18" customHeight="1" thickBot="1" x14ac:dyDescent="0.45">
      <c r="B229" s="382">
        <v>45944</v>
      </c>
      <c r="C229" s="34"/>
      <c r="D229" s="99"/>
      <c r="E229" s="35"/>
      <c r="F229" s="34"/>
      <c r="G229" s="34"/>
      <c r="H229" s="102"/>
      <c r="I229" s="34"/>
      <c r="J229" s="40"/>
      <c r="K229" s="107">
        <f t="shared" si="6"/>
        <v>7506800</v>
      </c>
      <c r="L229" s="34"/>
      <c r="M229" s="36"/>
      <c r="N229" s="104"/>
      <c r="O229" s="105"/>
      <c r="Q229" s="105"/>
    </row>
    <row r="230" spans="2:17" ht="18" customHeight="1" thickBot="1" x14ac:dyDescent="0.45">
      <c r="B230" s="382">
        <v>45945</v>
      </c>
      <c r="C230" s="34">
        <v>289000</v>
      </c>
      <c r="D230" s="99"/>
      <c r="E230" s="35"/>
      <c r="F230" s="34"/>
      <c r="G230" s="34"/>
      <c r="H230" s="102"/>
      <c r="I230" s="34"/>
      <c r="J230" s="40"/>
      <c r="K230" s="107">
        <f t="shared" si="6"/>
        <v>7795800</v>
      </c>
      <c r="L230" s="34"/>
      <c r="M230" s="36"/>
      <c r="N230" s="104"/>
      <c r="O230" s="105"/>
      <c r="Q230" s="105"/>
    </row>
    <row r="231" spans="2:17" ht="18" customHeight="1" thickBot="1" x14ac:dyDescent="0.45">
      <c r="B231" s="382">
        <v>45946</v>
      </c>
      <c r="C231" s="34"/>
      <c r="D231" s="99"/>
      <c r="E231" s="35"/>
      <c r="F231" s="34"/>
      <c r="G231" s="34"/>
      <c r="H231" s="102"/>
      <c r="I231" s="34"/>
      <c r="J231" s="40"/>
      <c r="K231" s="107">
        <f t="shared" ref="K231:K257" si="7">K230+C231</f>
        <v>7795800</v>
      </c>
      <c r="L231" s="34"/>
      <c r="M231" s="36"/>
      <c r="N231" s="104"/>
      <c r="O231" s="105"/>
      <c r="Q231" s="105"/>
    </row>
    <row r="232" spans="2:17" ht="18" customHeight="1" thickBot="1" x14ac:dyDescent="0.45">
      <c r="B232" s="382">
        <v>45950</v>
      </c>
      <c r="C232" s="34">
        <v>36100</v>
      </c>
      <c r="D232" s="99"/>
      <c r="E232" s="35"/>
      <c r="F232" s="34"/>
      <c r="G232" s="34"/>
      <c r="H232" s="102"/>
      <c r="I232" s="34"/>
      <c r="J232" s="40"/>
      <c r="K232" s="107">
        <f t="shared" si="7"/>
        <v>7831900</v>
      </c>
      <c r="L232" s="34"/>
      <c r="M232" s="36"/>
      <c r="N232" s="104"/>
      <c r="O232" s="105"/>
      <c r="Q232" s="105"/>
    </row>
    <row r="233" spans="2:17" ht="18" customHeight="1" thickBot="1" x14ac:dyDescent="0.45">
      <c r="B233" s="382">
        <v>45951</v>
      </c>
      <c r="C233" s="34"/>
      <c r="D233" s="99"/>
      <c r="E233" s="35"/>
      <c r="F233" s="34"/>
      <c r="G233" s="34"/>
      <c r="H233" s="102"/>
      <c r="I233" s="34"/>
      <c r="J233" s="40"/>
      <c r="K233" s="107">
        <f t="shared" si="7"/>
        <v>7831900</v>
      </c>
      <c r="L233" s="34"/>
      <c r="M233" s="36"/>
      <c r="N233" s="104"/>
      <c r="O233" s="105"/>
      <c r="Q233" s="105"/>
    </row>
    <row r="234" spans="2:17" ht="18" customHeight="1" thickBot="1" x14ac:dyDescent="0.45">
      <c r="B234" s="382">
        <v>45957</v>
      </c>
      <c r="C234" s="34">
        <v>157500</v>
      </c>
      <c r="D234" s="99"/>
      <c r="E234" s="35"/>
      <c r="F234" s="34"/>
      <c r="G234" s="34"/>
      <c r="H234" s="102"/>
      <c r="I234" s="34"/>
      <c r="J234" s="40"/>
      <c r="K234" s="107">
        <f t="shared" si="7"/>
        <v>7989400</v>
      </c>
      <c r="L234" s="34"/>
      <c r="M234" s="36"/>
      <c r="N234" s="104"/>
      <c r="O234" s="105"/>
      <c r="Q234" s="105"/>
    </row>
    <row r="235" spans="2:17" ht="18" customHeight="1" thickBot="1" x14ac:dyDescent="0.45">
      <c r="B235" s="382">
        <v>45958</v>
      </c>
      <c r="C235" s="34">
        <v>20000</v>
      </c>
      <c r="D235" s="99"/>
      <c r="E235" s="35"/>
      <c r="F235" s="34"/>
      <c r="G235" s="34"/>
      <c r="H235" s="102"/>
      <c r="I235" s="34"/>
      <c r="J235" s="40"/>
      <c r="K235" s="107">
        <f t="shared" si="7"/>
        <v>8009400</v>
      </c>
      <c r="L235" s="34"/>
      <c r="M235" s="36"/>
      <c r="N235" s="104"/>
      <c r="O235" s="105"/>
      <c r="Q235" s="105"/>
    </row>
    <row r="236" spans="2:17" ht="18" customHeight="1" thickBot="1" x14ac:dyDescent="0.45">
      <c r="B236" s="382">
        <v>45958</v>
      </c>
      <c r="C236" s="34">
        <v>30000</v>
      </c>
      <c r="D236" s="99"/>
      <c r="E236" s="35"/>
      <c r="F236" s="34"/>
      <c r="G236" s="34"/>
      <c r="H236" s="102"/>
      <c r="I236" s="34"/>
      <c r="J236" s="40"/>
      <c r="K236" s="107">
        <f t="shared" si="7"/>
        <v>8039400</v>
      </c>
      <c r="L236" s="34"/>
      <c r="M236" s="36"/>
      <c r="N236" s="104"/>
      <c r="O236" s="105"/>
      <c r="Q236" s="105"/>
    </row>
    <row r="237" spans="2:17" ht="18" customHeight="1" thickBot="1" x14ac:dyDescent="0.45">
      <c r="B237" s="382">
        <v>45959</v>
      </c>
      <c r="C237" s="34"/>
      <c r="D237" s="99"/>
      <c r="E237" s="35"/>
      <c r="F237" s="34"/>
      <c r="G237" s="34"/>
      <c r="H237" s="102"/>
      <c r="I237" s="34"/>
      <c r="J237" s="40"/>
      <c r="K237" s="107">
        <f t="shared" si="7"/>
        <v>8039400</v>
      </c>
      <c r="L237" s="34"/>
      <c r="M237" s="36"/>
      <c r="N237" s="104"/>
      <c r="O237" s="105"/>
      <c r="Q237" s="105"/>
    </row>
    <row r="238" spans="2:17" ht="18" customHeight="1" thickBot="1" x14ac:dyDescent="0.45">
      <c r="B238" s="382">
        <v>45961</v>
      </c>
      <c r="C238" s="34">
        <v>262000</v>
      </c>
      <c r="D238" s="99"/>
      <c r="E238" s="35"/>
      <c r="F238" s="34"/>
      <c r="G238" s="34"/>
      <c r="H238" s="102"/>
      <c r="I238" s="34"/>
      <c r="J238" s="40"/>
      <c r="K238" s="107">
        <f t="shared" si="7"/>
        <v>8301400</v>
      </c>
      <c r="L238" s="34"/>
      <c r="M238" s="36"/>
      <c r="N238" s="104"/>
      <c r="O238" s="105"/>
      <c r="Q238" s="105"/>
    </row>
    <row r="239" spans="2:17" ht="18" customHeight="1" thickBot="1" x14ac:dyDescent="0.45">
      <c r="B239" s="382">
        <v>45966</v>
      </c>
      <c r="C239" s="34"/>
      <c r="D239" s="99"/>
      <c r="E239" s="35"/>
      <c r="F239" s="34"/>
      <c r="G239" s="34"/>
      <c r="H239" s="102"/>
      <c r="I239" s="34"/>
      <c r="J239" s="40"/>
      <c r="K239" s="107">
        <f t="shared" si="7"/>
        <v>8301400</v>
      </c>
      <c r="L239" s="34"/>
      <c r="M239" s="36"/>
      <c r="N239" s="104"/>
      <c r="O239" s="105"/>
      <c r="Q239" s="105"/>
    </row>
    <row r="240" spans="2:17" ht="18" customHeight="1" thickBot="1" x14ac:dyDescent="0.45">
      <c r="B240" s="382">
        <v>45971</v>
      </c>
      <c r="C240" s="34">
        <v>52700</v>
      </c>
      <c r="D240" s="99"/>
      <c r="E240" s="35"/>
      <c r="F240" s="34"/>
      <c r="G240" s="34"/>
      <c r="H240" s="102"/>
      <c r="I240" s="34"/>
      <c r="J240" s="40"/>
      <c r="K240" s="107">
        <f t="shared" si="7"/>
        <v>8354100</v>
      </c>
      <c r="L240" s="34"/>
      <c r="M240" s="36"/>
      <c r="N240" s="104"/>
      <c r="O240" s="105"/>
      <c r="Q240" s="105"/>
    </row>
    <row r="241" spans="2:17" ht="18" customHeight="1" thickBot="1" x14ac:dyDescent="0.45">
      <c r="B241" s="382">
        <v>45974</v>
      </c>
      <c r="C241" s="34"/>
      <c r="D241" s="99"/>
      <c r="E241" s="35"/>
      <c r="F241" s="34"/>
      <c r="G241" s="34"/>
      <c r="H241" s="102"/>
      <c r="I241" s="34"/>
      <c r="J241" s="40"/>
      <c r="K241" s="107">
        <f t="shared" si="7"/>
        <v>8354100</v>
      </c>
      <c r="L241" s="34"/>
      <c r="M241" s="36"/>
      <c r="N241" s="104"/>
      <c r="O241" s="105"/>
      <c r="Q241" s="105"/>
    </row>
    <row r="242" spans="2:17" ht="18" customHeight="1" thickBot="1" x14ac:dyDescent="0.45">
      <c r="B242" s="382">
        <v>45986</v>
      </c>
      <c r="C242" s="34"/>
      <c r="D242" s="99"/>
      <c r="E242" s="35"/>
      <c r="F242" s="34"/>
      <c r="G242" s="34"/>
      <c r="H242" s="102"/>
      <c r="I242" s="34"/>
      <c r="J242" s="40"/>
      <c r="K242" s="107">
        <f t="shared" si="7"/>
        <v>8354100</v>
      </c>
      <c r="L242" s="34"/>
      <c r="M242" s="36"/>
      <c r="N242" s="104"/>
      <c r="O242" s="105"/>
      <c r="Q242" s="105"/>
    </row>
    <row r="243" spans="2:17" ht="18" customHeight="1" thickBot="1" x14ac:dyDescent="0.45">
      <c r="B243" s="382">
        <v>46002</v>
      </c>
      <c r="C243" s="34"/>
      <c r="D243" s="99"/>
      <c r="E243" s="35"/>
      <c r="F243" s="34"/>
      <c r="G243" s="34"/>
      <c r="H243" s="102"/>
      <c r="I243" s="34"/>
      <c r="J243" s="40"/>
      <c r="K243" s="107">
        <f t="shared" si="7"/>
        <v>8354100</v>
      </c>
      <c r="L243" s="34"/>
      <c r="M243" s="36"/>
      <c r="N243" s="104"/>
      <c r="O243" s="105"/>
      <c r="Q243" s="105"/>
    </row>
    <row r="244" spans="2:17" ht="18" customHeight="1" thickBot="1" x14ac:dyDescent="0.45">
      <c r="B244" s="382">
        <v>46009</v>
      </c>
      <c r="C244" s="34"/>
      <c r="D244" s="99"/>
      <c r="E244" s="35"/>
      <c r="F244" s="34"/>
      <c r="G244" s="34"/>
      <c r="H244" s="102"/>
      <c r="I244" s="34"/>
      <c r="J244" s="40"/>
      <c r="K244" s="107">
        <f t="shared" si="7"/>
        <v>8354100</v>
      </c>
      <c r="L244" s="34"/>
      <c r="M244" s="36"/>
      <c r="N244" s="104"/>
      <c r="O244" s="105"/>
      <c r="Q244" s="105"/>
    </row>
    <row r="245" spans="2:17" ht="18" customHeight="1" thickBot="1" x14ac:dyDescent="0.45">
      <c r="B245" s="382">
        <v>46015</v>
      </c>
      <c r="C245" s="34"/>
      <c r="D245" s="99"/>
      <c r="E245" s="35"/>
      <c r="F245" s="34"/>
      <c r="G245" s="34"/>
      <c r="H245" s="102"/>
      <c r="I245" s="34"/>
      <c r="J245" s="40"/>
      <c r="K245" s="107">
        <f t="shared" si="7"/>
        <v>8354100</v>
      </c>
      <c r="L245" s="34"/>
      <c r="M245" s="36"/>
      <c r="N245" s="104"/>
      <c r="O245" s="105"/>
      <c r="Q245" s="105"/>
    </row>
    <row r="246" spans="2:17" ht="18" customHeight="1" thickBot="1" x14ac:dyDescent="0.45">
      <c r="B246" s="382">
        <v>46017</v>
      </c>
      <c r="C246" s="34"/>
      <c r="D246" s="99"/>
      <c r="E246" s="35"/>
      <c r="F246" s="34"/>
      <c r="G246" s="34"/>
      <c r="H246" s="102"/>
      <c r="I246" s="34"/>
      <c r="J246" s="40"/>
      <c r="K246" s="107">
        <f t="shared" si="7"/>
        <v>8354100</v>
      </c>
      <c r="L246" s="34"/>
      <c r="M246" s="36"/>
      <c r="N246" s="104"/>
      <c r="O246" s="105"/>
      <c r="Q246" s="105"/>
    </row>
    <row r="247" spans="2:17" ht="18" customHeight="1" thickBot="1" x14ac:dyDescent="0.45">
      <c r="B247" s="382">
        <v>46020</v>
      </c>
      <c r="C247" s="34"/>
      <c r="D247" s="99"/>
      <c r="E247" s="35"/>
      <c r="F247" s="34"/>
      <c r="G247" s="34"/>
      <c r="H247" s="102"/>
      <c r="I247" s="34"/>
      <c r="J247" s="40"/>
      <c r="K247" s="107">
        <f t="shared" si="7"/>
        <v>8354100</v>
      </c>
      <c r="L247" s="34"/>
      <c r="M247" s="36"/>
      <c r="N247" s="104"/>
      <c r="O247" s="105"/>
      <c r="Q247" s="105"/>
    </row>
    <row r="248" spans="2:17" ht="18" customHeight="1" thickBot="1" x14ac:dyDescent="0.45">
      <c r="B248" s="382">
        <v>46021</v>
      </c>
      <c r="C248" s="34"/>
      <c r="D248" s="99"/>
      <c r="E248" s="35"/>
      <c r="F248" s="34"/>
      <c r="G248" s="34"/>
      <c r="H248" s="102"/>
      <c r="I248" s="34"/>
      <c r="J248" s="40"/>
      <c r="K248" s="107">
        <f t="shared" si="7"/>
        <v>8354100</v>
      </c>
      <c r="L248" s="34"/>
      <c r="M248" s="36"/>
      <c r="N248" s="104"/>
      <c r="O248" s="105"/>
      <c r="Q248" s="105"/>
    </row>
    <row r="249" spans="2:17" ht="18" customHeight="1" thickBot="1" x14ac:dyDescent="0.45">
      <c r="B249" s="382">
        <v>46021</v>
      </c>
      <c r="C249" s="34">
        <v>400000</v>
      </c>
      <c r="D249" s="99"/>
      <c r="E249" s="35"/>
      <c r="F249" s="34"/>
      <c r="G249" s="34"/>
      <c r="H249" s="102"/>
      <c r="I249" s="34"/>
      <c r="J249" s="40"/>
      <c r="K249" s="107">
        <f t="shared" si="7"/>
        <v>8754100</v>
      </c>
      <c r="L249" s="34"/>
      <c r="M249" s="36"/>
      <c r="N249" s="104"/>
      <c r="O249" s="105"/>
      <c r="Q249" s="105"/>
    </row>
    <row r="250" spans="2:17" ht="18" customHeight="1" thickBot="1" x14ac:dyDescent="0.45">
      <c r="B250" s="382">
        <v>46024</v>
      </c>
      <c r="C250" s="34"/>
      <c r="D250" s="99"/>
      <c r="E250" s="35"/>
      <c r="F250" s="34"/>
      <c r="G250" s="34"/>
      <c r="H250" s="102"/>
      <c r="I250" s="34"/>
      <c r="J250" s="40"/>
      <c r="K250" s="107">
        <f t="shared" si="7"/>
        <v>8754100</v>
      </c>
      <c r="L250" s="34"/>
      <c r="M250" s="36"/>
      <c r="N250" s="104"/>
      <c r="O250" s="105"/>
      <c r="Q250" s="105"/>
    </row>
    <row r="251" spans="2:17" ht="18" customHeight="1" thickBot="1" x14ac:dyDescent="0.45">
      <c r="B251" s="382">
        <v>46028</v>
      </c>
      <c r="C251" s="34"/>
      <c r="D251" s="99"/>
      <c r="E251" s="35"/>
      <c r="F251" s="34"/>
      <c r="G251" s="34"/>
      <c r="H251" s="102"/>
      <c r="I251" s="34"/>
      <c r="J251" s="40"/>
      <c r="K251" s="107">
        <f t="shared" si="7"/>
        <v>8754100</v>
      </c>
      <c r="L251" s="34"/>
      <c r="M251" s="36"/>
      <c r="N251" s="104"/>
      <c r="O251" s="105"/>
      <c r="Q251" s="105"/>
    </row>
    <row r="252" spans="2:17" ht="18" customHeight="1" thickBot="1" x14ac:dyDescent="0.45">
      <c r="B252" s="382">
        <v>46031</v>
      </c>
      <c r="C252" s="34"/>
      <c r="D252" s="99"/>
      <c r="E252" s="35"/>
      <c r="F252" s="34"/>
      <c r="G252" s="34"/>
      <c r="H252" s="102"/>
      <c r="I252" s="34"/>
      <c r="J252" s="40"/>
      <c r="K252" s="107">
        <f t="shared" si="7"/>
        <v>8754100</v>
      </c>
      <c r="L252" s="34"/>
      <c r="M252" s="36"/>
      <c r="N252" s="104"/>
      <c r="O252" s="105"/>
      <c r="Q252" s="105"/>
    </row>
    <row r="253" spans="2:17" ht="18" customHeight="1" thickBot="1" x14ac:dyDescent="0.45">
      <c r="B253" s="382">
        <v>46031</v>
      </c>
      <c r="C253" s="34"/>
      <c r="D253" s="99">
        <v>6795</v>
      </c>
      <c r="E253" s="35"/>
      <c r="F253" s="34" t="s">
        <v>1199</v>
      </c>
      <c r="G253" s="34"/>
      <c r="H253" s="102"/>
      <c r="I253" s="34"/>
      <c r="J253" s="40"/>
      <c r="K253" s="107">
        <f t="shared" si="7"/>
        <v>8754100</v>
      </c>
      <c r="L253" s="34"/>
      <c r="M253" s="36"/>
      <c r="N253" s="104"/>
      <c r="O253" s="105"/>
      <c r="Q253" s="105"/>
    </row>
    <row r="254" spans="2:17" ht="18" customHeight="1" thickBot="1" x14ac:dyDescent="0.45">
      <c r="B254" s="382">
        <v>46067</v>
      </c>
      <c r="C254" s="34">
        <v>140500</v>
      </c>
      <c r="D254" s="99"/>
      <c r="E254" s="35"/>
      <c r="F254" s="34"/>
      <c r="G254" s="34"/>
      <c r="H254" s="102"/>
      <c r="I254" s="34"/>
      <c r="J254" s="40"/>
      <c r="K254" s="107">
        <f t="shared" si="7"/>
        <v>8894600</v>
      </c>
      <c r="L254" s="34"/>
      <c r="M254" s="36"/>
      <c r="N254" s="104"/>
      <c r="O254" s="105"/>
      <c r="Q254" s="105"/>
    </row>
    <row r="255" spans="2:17" ht="18" customHeight="1" thickBot="1" x14ac:dyDescent="0.45">
      <c r="B255" s="382">
        <v>46085</v>
      </c>
      <c r="C255" s="34">
        <v>597100</v>
      </c>
      <c r="D255" s="99"/>
      <c r="E255" s="35"/>
      <c r="F255" s="34"/>
      <c r="G255" s="34"/>
      <c r="H255" s="102"/>
      <c r="I255" s="34"/>
      <c r="J255" s="40"/>
      <c r="K255" s="107">
        <f t="shared" si="7"/>
        <v>9491700</v>
      </c>
      <c r="L255" s="34"/>
      <c r="M255" s="36"/>
      <c r="N255" s="104"/>
      <c r="O255" s="105"/>
      <c r="Q255" s="105"/>
    </row>
    <row r="256" spans="2:17" ht="18" customHeight="1" thickBot="1" x14ac:dyDescent="0.45">
      <c r="B256" s="382">
        <v>46102</v>
      </c>
      <c r="C256" s="34">
        <v>286900</v>
      </c>
      <c r="D256" s="99"/>
      <c r="E256" s="35"/>
      <c r="F256" s="34"/>
      <c r="G256" s="34"/>
      <c r="H256" s="102"/>
      <c r="I256" s="34"/>
      <c r="J256" s="40"/>
      <c r="K256" s="107">
        <f t="shared" si="7"/>
        <v>9778600</v>
      </c>
      <c r="L256" s="34"/>
      <c r="M256" s="36"/>
      <c r="N256" s="104"/>
      <c r="O256" s="105"/>
      <c r="Q256" s="105"/>
    </row>
    <row r="257" spans="1:17" ht="18" customHeight="1" thickBot="1" x14ac:dyDescent="0.45">
      <c r="B257" s="382">
        <v>46108</v>
      </c>
      <c r="C257" s="34">
        <v>427200</v>
      </c>
      <c r="D257" s="99"/>
      <c r="E257" s="35"/>
      <c r="F257" s="34"/>
      <c r="G257" s="34"/>
      <c r="H257" s="102"/>
      <c r="I257" s="34"/>
      <c r="J257" s="40"/>
      <c r="K257" s="107">
        <f t="shared" si="7"/>
        <v>10205800</v>
      </c>
      <c r="L257" s="34"/>
      <c r="M257" s="36"/>
      <c r="N257" s="104"/>
      <c r="O257" s="105"/>
      <c r="Q257" s="105"/>
    </row>
    <row r="258" spans="1:17" ht="18" customHeight="1" thickBot="1" x14ac:dyDescent="0.45">
      <c r="B258" s="382"/>
      <c r="C258" s="34"/>
      <c r="D258" s="99"/>
      <c r="E258" s="35"/>
      <c r="F258" s="34"/>
      <c r="G258" s="34"/>
      <c r="H258" s="102"/>
      <c r="I258" s="34"/>
      <c r="J258" s="40"/>
      <c r="K258" s="107"/>
      <c r="L258" s="34"/>
      <c r="M258" s="36"/>
      <c r="N258" s="104"/>
      <c r="O258" s="105"/>
      <c r="Q258" s="105"/>
    </row>
    <row r="259" spans="1:17" ht="18" customHeight="1" thickBot="1" x14ac:dyDescent="0.45">
      <c r="B259" s="382"/>
      <c r="C259" s="34"/>
      <c r="D259" s="99"/>
      <c r="E259" s="35"/>
      <c r="F259" s="34"/>
      <c r="G259" s="34"/>
      <c r="H259" s="102"/>
      <c r="I259" s="34"/>
      <c r="J259" s="40"/>
      <c r="K259" s="107"/>
      <c r="L259" s="34"/>
      <c r="M259" s="36"/>
      <c r="N259" s="104"/>
      <c r="O259" s="105"/>
      <c r="Q259" s="105"/>
    </row>
    <row r="260" spans="1:17" ht="18" customHeight="1" thickBot="1" x14ac:dyDescent="0.45">
      <c r="B260" s="382"/>
      <c r="C260" s="34"/>
      <c r="D260" s="99"/>
      <c r="E260" s="35"/>
      <c r="F260" s="34"/>
      <c r="G260" s="34"/>
      <c r="H260" s="102"/>
      <c r="I260" s="34"/>
      <c r="J260" s="40"/>
      <c r="K260" s="107"/>
      <c r="L260" s="34"/>
      <c r="M260" s="36"/>
      <c r="N260" s="104"/>
      <c r="O260" s="105"/>
      <c r="Q260" s="105"/>
    </row>
    <row r="261" spans="1:17" ht="18" customHeight="1" thickBot="1" x14ac:dyDescent="0.45">
      <c r="B261" s="382"/>
      <c r="C261" s="34"/>
      <c r="D261" s="99"/>
      <c r="E261" s="35"/>
      <c r="F261" s="34"/>
      <c r="G261" s="34"/>
      <c r="H261" s="102"/>
      <c r="I261" s="34"/>
      <c r="J261" s="40"/>
      <c r="K261" s="107"/>
      <c r="L261" s="34"/>
      <c r="M261" s="36"/>
      <c r="N261" s="104"/>
      <c r="O261" s="105"/>
      <c r="Q261" s="105"/>
    </row>
    <row r="262" spans="1:17" ht="18" customHeight="1" thickBot="1" x14ac:dyDescent="0.45">
      <c r="B262" s="382"/>
      <c r="C262" s="34"/>
      <c r="D262" s="99"/>
      <c r="E262" s="35"/>
      <c r="F262" s="34"/>
      <c r="G262" s="34"/>
      <c r="H262" s="102"/>
      <c r="I262" s="34"/>
      <c r="J262" s="40"/>
      <c r="K262" s="107"/>
      <c r="L262" s="34"/>
      <c r="M262" s="36"/>
      <c r="N262" s="104"/>
      <c r="O262" s="105"/>
      <c r="Q262" s="105"/>
    </row>
    <row r="263" spans="1:17" ht="18" customHeight="1" thickBot="1" x14ac:dyDescent="0.45">
      <c r="B263" s="382"/>
      <c r="C263" s="34"/>
      <c r="D263" s="99"/>
      <c r="E263" s="35"/>
      <c r="F263" s="34"/>
      <c r="G263" s="34"/>
      <c r="H263" s="102"/>
      <c r="I263" s="34"/>
      <c r="J263" s="40"/>
      <c r="K263" s="107"/>
      <c r="L263" s="34"/>
      <c r="M263" s="36"/>
      <c r="N263" s="104"/>
      <c r="O263" s="105"/>
      <c r="Q263" s="105"/>
    </row>
    <row r="264" spans="1:17" ht="18" customHeight="1" thickBot="1" x14ac:dyDescent="0.45">
      <c r="B264" s="382"/>
      <c r="C264" s="34"/>
      <c r="D264" s="99"/>
      <c r="E264" s="35"/>
      <c r="F264" s="34"/>
      <c r="G264" s="34"/>
      <c r="H264" s="102"/>
      <c r="I264" s="34"/>
      <c r="J264" s="40"/>
      <c r="K264" s="107"/>
      <c r="L264" s="34"/>
      <c r="M264" s="36"/>
      <c r="N264" s="104"/>
      <c r="O264" s="105"/>
      <c r="Q264" s="105"/>
    </row>
    <row r="265" spans="1:17" ht="18" customHeight="1" thickBot="1" x14ac:dyDescent="0.45">
      <c r="B265" s="382"/>
    </row>
    <row r="266" spans="1:17" ht="18" customHeight="1" thickBot="1" x14ac:dyDescent="0.45">
      <c r="B266" s="382"/>
    </row>
    <row r="267" spans="1:17" x14ac:dyDescent="0.4">
      <c r="H267" s="2"/>
    </row>
    <row r="268" spans="1:17" ht="21" customHeight="1" x14ac:dyDescent="0.4">
      <c r="A268" s="98" t="s">
        <v>586</v>
      </c>
    </row>
    <row r="269" spans="1:17" ht="18" customHeight="1" thickBot="1" x14ac:dyDescent="0.45">
      <c r="A269" s="33" t="s">
        <v>1202</v>
      </c>
      <c r="B269" s="33" t="s">
        <v>825</v>
      </c>
      <c r="D269" s="33"/>
      <c r="E269" s="33"/>
      <c r="F269" s="33"/>
      <c r="G269" s="33"/>
      <c r="H269" s="33" t="s">
        <v>587</v>
      </c>
      <c r="I269" s="33"/>
      <c r="J269" s="33"/>
      <c r="K269" s="33"/>
      <c r="L269" s="33"/>
      <c r="M269" s="33" t="s">
        <v>1203</v>
      </c>
      <c r="N269" s="34">
        <f>SUM($C$36:$D$64)-SUM($M$271:$M$300)+SUM($N$271:$N$300)-SUM($H$271:$J$300)</f>
        <v>433540.2</v>
      </c>
      <c r="O269" s="33"/>
      <c r="P269" s="33"/>
      <c r="Q269" s="33"/>
    </row>
    <row r="270" spans="1:17" ht="18" customHeight="1" thickBot="1" x14ac:dyDescent="0.45">
      <c r="B270" s="42" t="s">
        <v>0</v>
      </c>
      <c r="C270" s="43" t="s">
        <v>71</v>
      </c>
      <c r="D270" s="43" t="s">
        <v>473</v>
      </c>
      <c r="E270" s="44" t="s">
        <v>118</v>
      </c>
      <c r="F270" s="43" t="s">
        <v>99</v>
      </c>
      <c r="G270" s="43" t="s">
        <v>121</v>
      </c>
      <c r="H270" s="43" t="s">
        <v>474</v>
      </c>
      <c r="I270" s="43" t="s">
        <v>475</v>
      </c>
      <c r="J270" s="44" t="s">
        <v>476</v>
      </c>
      <c r="K270" s="43" t="s">
        <v>153</v>
      </c>
      <c r="L270" s="45" t="s">
        <v>154</v>
      </c>
      <c r="M270" s="43" t="s">
        <v>123</v>
      </c>
      <c r="N270" s="43" t="s">
        <v>124</v>
      </c>
      <c r="O270" s="43" t="s">
        <v>477</v>
      </c>
      <c r="P270" s="43" t="s">
        <v>478</v>
      </c>
      <c r="Q270" s="46" t="s">
        <v>479</v>
      </c>
    </row>
    <row r="271" spans="1:17" x14ac:dyDescent="0.4">
      <c r="B271" s="38" t="s">
        <v>592</v>
      </c>
      <c r="C271" s="34">
        <v>10</v>
      </c>
      <c r="D271" s="34">
        <v>35800</v>
      </c>
      <c r="E271" s="37">
        <v>45943</v>
      </c>
      <c r="F271" s="34">
        <v>39200</v>
      </c>
      <c r="G271" s="35">
        <v>45951</v>
      </c>
      <c r="H271" s="34">
        <f t="shared" ref="H271:H300" si="8">ROUNDDOWN(M271*0.001891639,-1)</f>
        <v>670</v>
      </c>
      <c r="I271" s="34">
        <f t="shared" ref="I271:I300" si="9">ROUNDDOWN(N271*0.001891639,-1)</f>
        <v>740</v>
      </c>
      <c r="J271" s="39">
        <f>N271*0.0015</f>
        <v>588</v>
      </c>
      <c r="K271" s="34"/>
      <c r="L271" s="40">
        <f t="shared" ref="L271:L300" si="10">G271-E271+1</f>
        <v>9</v>
      </c>
      <c r="M271" s="34">
        <f t="shared" ref="M271:M300" si="11">C271*D271</f>
        <v>358000</v>
      </c>
      <c r="N271" s="34">
        <f t="shared" ref="N271:N300" si="12">C271*F271</f>
        <v>392000</v>
      </c>
      <c r="O271" s="36">
        <f t="shared" ref="O271:O300" si="13">K271-H271-I271-J271</f>
        <v>-1998</v>
      </c>
      <c r="P271" s="41">
        <f t="shared" ref="P271:P300" si="14">IF(N271=0,0,N271-M271+O271)</f>
        <v>32002</v>
      </c>
      <c r="Q271" s="70">
        <f t="shared" ref="Q271:Q300" si="15">P271/M271</f>
        <v>8.9391061452513965E-2</v>
      </c>
    </row>
    <row r="272" spans="1:17" x14ac:dyDescent="0.4">
      <c r="B272" s="38" t="s">
        <v>1197</v>
      </c>
      <c r="C272" s="34">
        <v>30</v>
      </c>
      <c r="D272" s="34">
        <v>10900</v>
      </c>
      <c r="E272" s="37">
        <v>45943</v>
      </c>
      <c r="F272" s="34"/>
      <c r="G272" s="35"/>
      <c r="H272" s="34">
        <f t="shared" si="8"/>
        <v>610</v>
      </c>
      <c r="I272" s="34">
        <f t="shared" si="9"/>
        <v>0</v>
      </c>
      <c r="J272" s="39">
        <f t="shared" ref="J272:J300" si="16">N272*0.002</f>
        <v>0</v>
      </c>
      <c r="K272" s="34">
        <f>C272*260</f>
        <v>7800</v>
      </c>
      <c r="L272" s="40">
        <f t="shared" si="10"/>
        <v>-45942</v>
      </c>
      <c r="M272" s="34">
        <f t="shared" si="11"/>
        <v>327000</v>
      </c>
      <c r="N272" s="34">
        <f t="shared" si="12"/>
        <v>0</v>
      </c>
      <c r="O272" s="36">
        <f t="shared" si="13"/>
        <v>7190</v>
      </c>
      <c r="P272" s="41">
        <f t="shared" si="14"/>
        <v>0</v>
      </c>
      <c r="Q272" s="70">
        <f t="shared" si="15"/>
        <v>0</v>
      </c>
    </row>
    <row r="273" spans="2:17" x14ac:dyDescent="0.4">
      <c r="B273" s="38" t="s">
        <v>593</v>
      </c>
      <c r="C273" s="34">
        <v>6</v>
      </c>
      <c r="D273" s="34">
        <v>50000</v>
      </c>
      <c r="E273" s="37">
        <v>45957</v>
      </c>
      <c r="F273" s="34"/>
      <c r="G273" s="35"/>
      <c r="H273" s="34">
        <f t="shared" si="8"/>
        <v>560</v>
      </c>
      <c r="I273" s="34">
        <f t="shared" si="9"/>
        <v>0</v>
      </c>
      <c r="J273" s="39">
        <f t="shared" si="16"/>
        <v>0</v>
      </c>
      <c r="K273" s="34"/>
      <c r="L273" s="40">
        <f t="shared" si="10"/>
        <v>-45956</v>
      </c>
      <c r="M273" s="34">
        <f t="shared" si="11"/>
        <v>300000</v>
      </c>
      <c r="N273" s="34">
        <f t="shared" si="12"/>
        <v>0</v>
      </c>
      <c r="O273" s="36">
        <f t="shared" si="13"/>
        <v>-560</v>
      </c>
      <c r="P273" s="41">
        <f t="shared" si="14"/>
        <v>0</v>
      </c>
      <c r="Q273" s="70">
        <f t="shared" si="15"/>
        <v>0</v>
      </c>
    </row>
    <row r="274" spans="2:17" x14ac:dyDescent="0.4">
      <c r="B274" s="38" t="s">
        <v>1197</v>
      </c>
      <c r="C274" s="34">
        <v>20</v>
      </c>
      <c r="D274" s="34">
        <v>10550</v>
      </c>
      <c r="E274" s="37">
        <v>45957</v>
      </c>
      <c r="F274" s="34"/>
      <c r="G274" s="35"/>
      <c r="H274" s="34">
        <f t="shared" si="8"/>
        <v>390</v>
      </c>
      <c r="I274" s="34">
        <f t="shared" si="9"/>
        <v>0</v>
      </c>
      <c r="J274" s="39">
        <f t="shared" si="16"/>
        <v>0</v>
      </c>
      <c r="K274" s="34">
        <f>C274*260</f>
        <v>5200</v>
      </c>
      <c r="L274" s="40">
        <f t="shared" si="10"/>
        <v>-45956</v>
      </c>
      <c r="M274" s="34">
        <f t="shared" si="11"/>
        <v>211000</v>
      </c>
      <c r="N274" s="34">
        <f t="shared" si="12"/>
        <v>0</v>
      </c>
      <c r="O274" s="36">
        <f t="shared" si="13"/>
        <v>4810</v>
      </c>
      <c r="P274" s="41">
        <f t="shared" si="14"/>
        <v>0</v>
      </c>
      <c r="Q274" s="70">
        <f t="shared" si="15"/>
        <v>0</v>
      </c>
    </row>
    <row r="275" spans="2:17" x14ac:dyDescent="0.4">
      <c r="B275" s="38" t="s">
        <v>593</v>
      </c>
      <c r="C275" s="34">
        <v>3</v>
      </c>
      <c r="D275" s="34">
        <v>49400</v>
      </c>
      <c r="E275" s="37">
        <v>45964</v>
      </c>
      <c r="F275" s="34"/>
      <c r="G275" s="35"/>
      <c r="H275" s="34">
        <f t="shared" si="8"/>
        <v>280</v>
      </c>
      <c r="I275" s="34">
        <f t="shared" si="9"/>
        <v>0</v>
      </c>
      <c r="J275" s="39">
        <f t="shared" si="16"/>
        <v>0</v>
      </c>
      <c r="K275" s="34"/>
      <c r="L275" s="40">
        <f t="shared" si="10"/>
        <v>-45963</v>
      </c>
      <c r="M275" s="34">
        <f t="shared" si="11"/>
        <v>148200</v>
      </c>
      <c r="N275" s="34">
        <f t="shared" si="12"/>
        <v>0</v>
      </c>
      <c r="O275" s="36">
        <f t="shared" si="13"/>
        <v>-280</v>
      </c>
      <c r="P275" s="41">
        <f t="shared" si="14"/>
        <v>0</v>
      </c>
      <c r="Q275" s="70">
        <f t="shared" si="15"/>
        <v>0</v>
      </c>
    </row>
    <row r="276" spans="2:17" x14ac:dyDescent="0.4">
      <c r="B276" s="38" t="s">
        <v>1197</v>
      </c>
      <c r="C276" s="34">
        <v>10</v>
      </c>
      <c r="D276" s="34">
        <v>10400</v>
      </c>
      <c r="E276" s="37">
        <v>45964</v>
      </c>
      <c r="F276" s="34"/>
      <c r="G276" s="35"/>
      <c r="H276" s="34">
        <f t="shared" si="8"/>
        <v>190</v>
      </c>
      <c r="I276" s="34">
        <f t="shared" si="9"/>
        <v>0</v>
      </c>
      <c r="J276" s="39">
        <f t="shared" si="16"/>
        <v>0</v>
      </c>
      <c r="K276" s="34">
        <f>C276*260</f>
        <v>2600</v>
      </c>
      <c r="L276" s="40">
        <f t="shared" si="10"/>
        <v>-45963</v>
      </c>
      <c r="M276" s="34">
        <f t="shared" si="11"/>
        <v>104000</v>
      </c>
      <c r="N276" s="34">
        <f t="shared" si="12"/>
        <v>0</v>
      </c>
      <c r="O276" s="36">
        <f t="shared" si="13"/>
        <v>2410</v>
      </c>
      <c r="P276" s="41">
        <f t="shared" si="14"/>
        <v>0</v>
      </c>
      <c r="Q276" s="70">
        <f t="shared" si="15"/>
        <v>0</v>
      </c>
    </row>
    <row r="277" spans="2:17" x14ac:dyDescent="0.4">
      <c r="B277" s="38" t="s">
        <v>588</v>
      </c>
      <c r="C277" s="34">
        <v>2</v>
      </c>
      <c r="D277" s="34">
        <v>144000</v>
      </c>
      <c r="E277" s="37">
        <v>46045</v>
      </c>
      <c r="F277" s="34">
        <v>185200</v>
      </c>
      <c r="G277" s="35">
        <v>46066</v>
      </c>
      <c r="H277" s="34">
        <f t="shared" si="8"/>
        <v>540</v>
      </c>
      <c r="I277" s="34">
        <f t="shared" si="9"/>
        <v>700</v>
      </c>
      <c r="J277" s="39">
        <f t="shared" si="16"/>
        <v>740.80000000000007</v>
      </c>
      <c r="K277" s="34"/>
      <c r="L277" s="40">
        <f t="shared" si="10"/>
        <v>22</v>
      </c>
      <c r="M277" s="34">
        <f t="shared" si="11"/>
        <v>288000</v>
      </c>
      <c r="N277" s="34">
        <f t="shared" si="12"/>
        <v>370400</v>
      </c>
      <c r="O277" s="36">
        <f t="shared" si="13"/>
        <v>-1980.8000000000002</v>
      </c>
      <c r="P277" s="41">
        <f t="shared" si="14"/>
        <v>80419.199999999997</v>
      </c>
      <c r="Q277" s="70">
        <f t="shared" si="15"/>
        <v>0.27923333333333333</v>
      </c>
    </row>
    <row r="278" spans="2:17" x14ac:dyDescent="0.4">
      <c r="B278" s="38" t="s">
        <v>1204</v>
      </c>
      <c r="C278" s="34">
        <v>25</v>
      </c>
      <c r="D278" s="34">
        <v>16000</v>
      </c>
      <c r="E278" s="37">
        <v>46086</v>
      </c>
      <c r="F278" s="34"/>
      <c r="G278" s="35"/>
      <c r="H278" s="34">
        <f t="shared" si="8"/>
        <v>750</v>
      </c>
      <c r="I278" s="34">
        <f t="shared" si="9"/>
        <v>0</v>
      </c>
      <c r="J278" s="39">
        <f t="shared" si="16"/>
        <v>0</v>
      </c>
      <c r="K278" s="34"/>
      <c r="L278" s="40">
        <f t="shared" si="10"/>
        <v>-46085</v>
      </c>
      <c r="M278" s="34">
        <f t="shared" si="11"/>
        <v>400000</v>
      </c>
      <c r="N278" s="34">
        <f t="shared" si="12"/>
        <v>0</v>
      </c>
      <c r="O278" s="36">
        <f t="shared" si="13"/>
        <v>-750</v>
      </c>
      <c r="P278" s="41">
        <f t="shared" si="14"/>
        <v>0</v>
      </c>
      <c r="Q278" s="70">
        <f t="shared" si="15"/>
        <v>0</v>
      </c>
    </row>
    <row r="279" spans="2:17" x14ac:dyDescent="0.4">
      <c r="B279" s="38" t="s">
        <v>499</v>
      </c>
      <c r="C279" s="34">
        <v>10</v>
      </c>
      <c r="D279" s="34">
        <v>117000</v>
      </c>
      <c r="E279" s="37">
        <v>46094</v>
      </c>
      <c r="F279" s="34"/>
      <c r="G279" s="35"/>
      <c r="H279" s="34">
        <f t="shared" si="8"/>
        <v>2210</v>
      </c>
      <c r="I279" s="34">
        <f t="shared" si="9"/>
        <v>0</v>
      </c>
      <c r="J279" s="39">
        <f t="shared" si="16"/>
        <v>0</v>
      </c>
      <c r="K279" s="34"/>
      <c r="L279" s="40">
        <f t="shared" si="10"/>
        <v>-46093</v>
      </c>
      <c r="M279" s="34">
        <f t="shared" si="11"/>
        <v>1170000</v>
      </c>
      <c r="N279" s="34">
        <f t="shared" si="12"/>
        <v>0</v>
      </c>
      <c r="O279" s="36">
        <f t="shared" si="13"/>
        <v>-2210</v>
      </c>
      <c r="P279" s="41">
        <f t="shared" si="14"/>
        <v>0</v>
      </c>
      <c r="Q279" s="70">
        <f t="shared" si="15"/>
        <v>0</v>
      </c>
    </row>
    <row r="280" spans="2:17" x14ac:dyDescent="0.4">
      <c r="B280" s="38" t="s">
        <v>499</v>
      </c>
      <c r="C280" s="34">
        <v>3</v>
      </c>
      <c r="D280" s="34">
        <v>112500</v>
      </c>
      <c r="E280" s="37">
        <v>46098</v>
      </c>
      <c r="F280" s="34"/>
      <c r="G280" s="35"/>
      <c r="H280" s="34">
        <f t="shared" si="8"/>
        <v>630</v>
      </c>
      <c r="I280" s="34">
        <f t="shared" si="9"/>
        <v>0</v>
      </c>
      <c r="J280" s="39">
        <f t="shared" si="16"/>
        <v>0</v>
      </c>
      <c r="K280" s="34"/>
      <c r="L280" s="40">
        <f t="shared" si="10"/>
        <v>-46097</v>
      </c>
      <c r="M280" s="34">
        <f t="shared" si="11"/>
        <v>337500</v>
      </c>
      <c r="N280" s="34">
        <f t="shared" si="12"/>
        <v>0</v>
      </c>
      <c r="O280" s="36">
        <f t="shared" si="13"/>
        <v>-630</v>
      </c>
      <c r="P280" s="41">
        <f t="shared" si="14"/>
        <v>0</v>
      </c>
      <c r="Q280" s="70">
        <f t="shared" si="15"/>
        <v>0</v>
      </c>
    </row>
    <row r="281" spans="2:17" x14ac:dyDescent="0.4">
      <c r="B281" s="38" t="s">
        <v>499</v>
      </c>
      <c r="C281" s="34">
        <v>1</v>
      </c>
      <c r="D281" s="34">
        <v>105500</v>
      </c>
      <c r="E281" s="37">
        <v>46099</v>
      </c>
      <c r="F281" s="34"/>
      <c r="G281" s="35"/>
      <c r="H281" s="34">
        <f t="shared" si="8"/>
        <v>190</v>
      </c>
      <c r="I281" s="34">
        <f t="shared" si="9"/>
        <v>0</v>
      </c>
      <c r="J281" s="39">
        <f t="shared" si="16"/>
        <v>0</v>
      </c>
      <c r="K281" s="34"/>
      <c r="L281" s="40">
        <f t="shared" si="10"/>
        <v>-46098</v>
      </c>
      <c r="M281" s="34">
        <f t="shared" si="11"/>
        <v>105500</v>
      </c>
      <c r="N281" s="34">
        <f t="shared" si="12"/>
        <v>0</v>
      </c>
      <c r="O281" s="36">
        <f t="shared" si="13"/>
        <v>-190</v>
      </c>
      <c r="P281" s="41">
        <f t="shared" si="14"/>
        <v>0</v>
      </c>
      <c r="Q281" s="70">
        <f t="shared" si="15"/>
        <v>0</v>
      </c>
    </row>
    <row r="282" spans="2:17" x14ac:dyDescent="0.4">
      <c r="B282" s="38" t="s">
        <v>499</v>
      </c>
      <c r="C282" s="34">
        <v>3</v>
      </c>
      <c r="D282" s="34">
        <v>97500</v>
      </c>
      <c r="E282" s="37">
        <v>46104</v>
      </c>
      <c r="F282" s="34"/>
      <c r="G282" s="35"/>
      <c r="H282" s="34">
        <f t="shared" si="8"/>
        <v>550</v>
      </c>
      <c r="I282" s="34">
        <f t="shared" si="9"/>
        <v>0</v>
      </c>
      <c r="J282" s="39">
        <f t="shared" si="16"/>
        <v>0</v>
      </c>
      <c r="K282" s="34"/>
      <c r="L282" s="40">
        <f t="shared" si="10"/>
        <v>-46103</v>
      </c>
      <c r="M282" s="34">
        <f t="shared" si="11"/>
        <v>292500</v>
      </c>
      <c r="N282" s="34">
        <f t="shared" si="12"/>
        <v>0</v>
      </c>
      <c r="O282" s="36">
        <f t="shared" si="13"/>
        <v>-550</v>
      </c>
      <c r="P282" s="41">
        <f t="shared" si="14"/>
        <v>0</v>
      </c>
      <c r="Q282" s="70">
        <f t="shared" si="15"/>
        <v>0</v>
      </c>
    </row>
    <row r="283" spans="2:17" x14ac:dyDescent="0.4">
      <c r="B283" s="38" t="s">
        <v>499</v>
      </c>
      <c r="C283" s="34">
        <v>2</v>
      </c>
      <c r="D283" s="34">
        <v>96000</v>
      </c>
      <c r="E283" s="37">
        <v>46106</v>
      </c>
      <c r="F283" s="34"/>
      <c r="G283" s="35"/>
      <c r="H283" s="34">
        <f t="shared" si="8"/>
        <v>360</v>
      </c>
      <c r="I283" s="34">
        <f t="shared" si="9"/>
        <v>0</v>
      </c>
      <c r="J283" s="39">
        <f t="shared" si="16"/>
        <v>0</v>
      </c>
      <c r="K283" s="34"/>
      <c r="L283" s="40">
        <f t="shared" si="10"/>
        <v>-46105</v>
      </c>
      <c r="M283" s="34">
        <f t="shared" si="11"/>
        <v>192000</v>
      </c>
      <c r="N283" s="34">
        <f t="shared" si="12"/>
        <v>0</v>
      </c>
      <c r="O283" s="36">
        <f t="shared" si="13"/>
        <v>-360</v>
      </c>
      <c r="P283" s="41">
        <f t="shared" si="14"/>
        <v>0</v>
      </c>
      <c r="Q283" s="70">
        <f t="shared" si="15"/>
        <v>0</v>
      </c>
    </row>
    <row r="284" spans="2:17" x14ac:dyDescent="0.4">
      <c r="B284" s="38" t="s">
        <v>499</v>
      </c>
      <c r="C284" s="34">
        <v>3</v>
      </c>
      <c r="D284" s="34">
        <v>91700</v>
      </c>
      <c r="E284" s="37">
        <v>46108</v>
      </c>
      <c r="F284" s="34"/>
      <c r="G284" s="35"/>
      <c r="H284" s="34">
        <f t="shared" si="8"/>
        <v>520</v>
      </c>
      <c r="I284" s="34">
        <f t="shared" si="9"/>
        <v>0</v>
      </c>
      <c r="J284" s="39">
        <f t="shared" si="16"/>
        <v>0</v>
      </c>
      <c r="K284" s="34"/>
      <c r="L284" s="40">
        <f t="shared" si="10"/>
        <v>-46107</v>
      </c>
      <c r="M284" s="34">
        <f t="shared" si="11"/>
        <v>275100</v>
      </c>
      <c r="N284" s="34">
        <f t="shared" si="12"/>
        <v>0</v>
      </c>
      <c r="O284" s="36">
        <f t="shared" si="13"/>
        <v>-520</v>
      </c>
      <c r="P284" s="41">
        <f t="shared" si="14"/>
        <v>0</v>
      </c>
      <c r="Q284" s="70">
        <f t="shared" si="15"/>
        <v>0</v>
      </c>
    </row>
    <row r="285" spans="2:17" x14ac:dyDescent="0.4">
      <c r="B285" s="38" t="s">
        <v>1197</v>
      </c>
      <c r="C285" s="34">
        <v>10</v>
      </c>
      <c r="D285" s="34">
        <v>10240</v>
      </c>
      <c r="E285" s="37">
        <v>46108</v>
      </c>
      <c r="F285" s="34"/>
      <c r="G285" s="35"/>
      <c r="H285" s="34">
        <f t="shared" si="8"/>
        <v>190</v>
      </c>
      <c r="I285" s="34">
        <f t="shared" si="9"/>
        <v>0</v>
      </c>
      <c r="J285" s="39">
        <f t="shared" si="16"/>
        <v>0</v>
      </c>
      <c r="K285" s="34"/>
      <c r="L285" s="40">
        <f t="shared" si="10"/>
        <v>-46107</v>
      </c>
      <c r="M285" s="34">
        <f t="shared" si="11"/>
        <v>102400</v>
      </c>
      <c r="N285" s="34">
        <f t="shared" si="12"/>
        <v>0</v>
      </c>
      <c r="O285" s="36">
        <f t="shared" si="13"/>
        <v>-190</v>
      </c>
      <c r="P285" s="41">
        <f t="shared" si="14"/>
        <v>0</v>
      </c>
      <c r="Q285" s="70">
        <f t="shared" si="15"/>
        <v>0</v>
      </c>
    </row>
    <row r="286" spans="2:17" x14ac:dyDescent="0.4">
      <c r="B286" s="38"/>
      <c r="C286" s="34"/>
      <c r="D286" s="34"/>
      <c r="E286" s="37"/>
      <c r="F286" s="34"/>
      <c r="G286" s="35"/>
      <c r="H286" s="34">
        <f t="shared" si="8"/>
        <v>0</v>
      </c>
      <c r="I286" s="34">
        <f t="shared" si="9"/>
        <v>0</v>
      </c>
      <c r="J286" s="39">
        <f t="shared" si="16"/>
        <v>0</v>
      </c>
      <c r="K286" s="34"/>
      <c r="L286" s="40">
        <f t="shared" si="10"/>
        <v>1</v>
      </c>
      <c r="M286" s="34">
        <f t="shared" si="11"/>
        <v>0</v>
      </c>
      <c r="N286" s="34">
        <f t="shared" si="12"/>
        <v>0</v>
      </c>
      <c r="O286" s="36">
        <f t="shared" si="13"/>
        <v>0</v>
      </c>
      <c r="P286" s="41">
        <f t="shared" si="14"/>
        <v>0</v>
      </c>
      <c r="Q286" s="70" t="e">
        <f t="shared" si="15"/>
        <v>#DIV/0!</v>
      </c>
    </row>
    <row r="287" spans="2:17" x14ac:dyDescent="0.4">
      <c r="B287" s="38"/>
      <c r="C287" s="34"/>
      <c r="D287" s="34"/>
      <c r="E287" s="37"/>
      <c r="F287" s="34"/>
      <c r="G287" s="35"/>
      <c r="H287" s="34">
        <f t="shared" si="8"/>
        <v>0</v>
      </c>
      <c r="I287" s="34">
        <f t="shared" si="9"/>
        <v>0</v>
      </c>
      <c r="J287" s="39">
        <f t="shared" si="16"/>
        <v>0</v>
      </c>
      <c r="K287" s="34"/>
      <c r="L287" s="40">
        <f t="shared" si="10"/>
        <v>1</v>
      </c>
      <c r="M287" s="34">
        <f t="shared" si="11"/>
        <v>0</v>
      </c>
      <c r="N287" s="34">
        <f t="shared" si="12"/>
        <v>0</v>
      </c>
      <c r="O287" s="36">
        <f t="shared" si="13"/>
        <v>0</v>
      </c>
      <c r="P287" s="41">
        <f t="shared" si="14"/>
        <v>0</v>
      </c>
      <c r="Q287" s="70" t="e">
        <f t="shared" si="15"/>
        <v>#DIV/0!</v>
      </c>
    </row>
    <row r="288" spans="2:17" x14ac:dyDescent="0.4">
      <c r="B288" s="38"/>
      <c r="C288" s="34"/>
      <c r="D288" s="34"/>
      <c r="E288" s="37"/>
      <c r="F288" s="34"/>
      <c r="G288" s="35"/>
      <c r="H288" s="34">
        <f t="shared" si="8"/>
        <v>0</v>
      </c>
      <c r="I288" s="34">
        <f t="shared" si="9"/>
        <v>0</v>
      </c>
      <c r="J288" s="39">
        <f t="shared" si="16"/>
        <v>0</v>
      </c>
      <c r="K288" s="34"/>
      <c r="L288" s="40">
        <f t="shared" si="10"/>
        <v>1</v>
      </c>
      <c r="M288" s="34">
        <f t="shared" si="11"/>
        <v>0</v>
      </c>
      <c r="N288" s="34">
        <f t="shared" si="12"/>
        <v>0</v>
      </c>
      <c r="O288" s="36">
        <f t="shared" si="13"/>
        <v>0</v>
      </c>
      <c r="P288" s="41">
        <f t="shared" si="14"/>
        <v>0</v>
      </c>
      <c r="Q288" s="70" t="e">
        <f t="shared" si="15"/>
        <v>#DIV/0!</v>
      </c>
    </row>
    <row r="289" spans="2:17" x14ac:dyDescent="0.4">
      <c r="B289" s="38"/>
      <c r="C289" s="34"/>
      <c r="D289" s="34"/>
      <c r="E289" s="37"/>
      <c r="F289" s="34"/>
      <c r="G289" s="35"/>
      <c r="H289" s="34">
        <f t="shared" si="8"/>
        <v>0</v>
      </c>
      <c r="I289" s="34">
        <f t="shared" si="9"/>
        <v>0</v>
      </c>
      <c r="J289" s="39">
        <f t="shared" si="16"/>
        <v>0</v>
      </c>
      <c r="K289" s="34"/>
      <c r="L289" s="40">
        <f t="shared" si="10"/>
        <v>1</v>
      </c>
      <c r="M289" s="34">
        <f t="shared" si="11"/>
        <v>0</v>
      </c>
      <c r="N289" s="34">
        <f t="shared" si="12"/>
        <v>0</v>
      </c>
      <c r="O289" s="36">
        <f t="shared" si="13"/>
        <v>0</v>
      </c>
      <c r="P289" s="41">
        <f t="shared" si="14"/>
        <v>0</v>
      </c>
      <c r="Q289" s="70" t="e">
        <f t="shared" si="15"/>
        <v>#DIV/0!</v>
      </c>
    </row>
    <row r="290" spans="2:17" x14ac:dyDescent="0.4">
      <c r="B290" s="38"/>
      <c r="C290" s="34"/>
      <c r="D290" s="34"/>
      <c r="E290" s="37"/>
      <c r="F290" s="34"/>
      <c r="G290" s="35"/>
      <c r="H290" s="34">
        <f t="shared" si="8"/>
        <v>0</v>
      </c>
      <c r="I290" s="34">
        <f t="shared" si="9"/>
        <v>0</v>
      </c>
      <c r="J290" s="39">
        <f t="shared" si="16"/>
        <v>0</v>
      </c>
      <c r="K290" s="34"/>
      <c r="L290" s="40">
        <f t="shared" si="10"/>
        <v>1</v>
      </c>
      <c r="M290" s="34">
        <f t="shared" si="11"/>
        <v>0</v>
      </c>
      <c r="N290" s="34">
        <f t="shared" si="12"/>
        <v>0</v>
      </c>
      <c r="O290" s="36">
        <f t="shared" si="13"/>
        <v>0</v>
      </c>
      <c r="P290" s="41">
        <f t="shared" si="14"/>
        <v>0</v>
      </c>
      <c r="Q290" s="70" t="e">
        <f t="shared" si="15"/>
        <v>#DIV/0!</v>
      </c>
    </row>
    <row r="291" spans="2:17" x14ac:dyDescent="0.4">
      <c r="B291" s="38"/>
      <c r="C291" s="34"/>
      <c r="D291" s="34"/>
      <c r="E291" s="37"/>
      <c r="F291" s="34"/>
      <c r="G291" s="35"/>
      <c r="H291" s="34">
        <f t="shared" si="8"/>
        <v>0</v>
      </c>
      <c r="I291" s="34">
        <f t="shared" si="9"/>
        <v>0</v>
      </c>
      <c r="J291" s="39">
        <f t="shared" si="16"/>
        <v>0</v>
      </c>
      <c r="K291" s="34"/>
      <c r="L291" s="40">
        <f t="shared" si="10"/>
        <v>1</v>
      </c>
      <c r="M291" s="34">
        <f t="shared" si="11"/>
        <v>0</v>
      </c>
      <c r="N291" s="34">
        <f t="shared" si="12"/>
        <v>0</v>
      </c>
      <c r="O291" s="36">
        <f t="shared" si="13"/>
        <v>0</v>
      </c>
      <c r="P291" s="41">
        <f t="shared" si="14"/>
        <v>0</v>
      </c>
      <c r="Q291" s="70" t="e">
        <f t="shared" si="15"/>
        <v>#DIV/0!</v>
      </c>
    </row>
    <row r="292" spans="2:17" x14ac:dyDescent="0.4">
      <c r="B292" s="38"/>
      <c r="C292" s="34"/>
      <c r="D292" s="34"/>
      <c r="E292" s="37"/>
      <c r="F292" s="34"/>
      <c r="G292" s="35"/>
      <c r="H292" s="34">
        <f t="shared" si="8"/>
        <v>0</v>
      </c>
      <c r="I292" s="34">
        <f t="shared" si="9"/>
        <v>0</v>
      </c>
      <c r="J292" s="39">
        <f t="shared" si="16"/>
        <v>0</v>
      </c>
      <c r="K292" s="34"/>
      <c r="L292" s="40">
        <f t="shared" si="10"/>
        <v>1</v>
      </c>
      <c r="M292" s="34">
        <f t="shared" si="11"/>
        <v>0</v>
      </c>
      <c r="N292" s="34">
        <f t="shared" si="12"/>
        <v>0</v>
      </c>
      <c r="O292" s="36">
        <f t="shared" si="13"/>
        <v>0</v>
      </c>
      <c r="P292" s="41">
        <f t="shared" si="14"/>
        <v>0</v>
      </c>
      <c r="Q292" s="70" t="e">
        <f t="shared" si="15"/>
        <v>#DIV/0!</v>
      </c>
    </row>
    <row r="293" spans="2:17" x14ac:dyDescent="0.4">
      <c r="B293" s="38"/>
      <c r="C293" s="34"/>
      <c r="D293" s="34"/>
      <c r="E293" s="37"/>
      <c r="F293" s="34"/>
      <c r="G293" s="35"/>
      <c r="H293" s="34">
        <f t="shared" si="8"/>
        <v>0</v>
      </c>
      <c r="I293" s="34">
        <f t="shared" si="9"/>
        <v>0</v>
      </c>
      <c r="J293" s="39">
        <f t="shared" si="16"/>
        <v>0</v>
      </c>
      <c r="K293" s="34"/>
      <c r="L293" s="40">
        <f t="shared" si="10"/>
        <v>1</v>
      </c>
      <c r="M293" s="34">
        <f t="shared" si="11"/>
        <v>0</v>
      </c>
      <c r="N293" s="34">
        <f t="shared" si="12"/>
        <v>0</v>
      </c>
      <c r="O293" s="36">
        <f t="shared" si="13"/>
        <v>0</v>
      </c>
      <c r="P293" s="41">
        <f t="shared" si="14"/>
        <v>0</v>
      </c>
      <c r="Q293" s="70" t="e">
        <f t="shared" si="15"/>
        <v>#DIV/0!</v>
      </c>
    </row>
    <row r="294" spans="2:17" x14ac:dyDescent="0.4">
      <c r="B294" s="38"/>
      <c r="C294" s="34"/>
      <c r="D294" s="34"/>
      <c r="E294" s="37"/>
      <c r="F294" s="34"/>
      <c r="G294" s="35"/>
      <c r="H294" s="34">
        <f t="shared" si="8"/>
        <v>0</v>
      </c>
      <c r="I294" s="34">
        <f t="shared" si="9"/>
        <v>0</v>
      </c>
      <c r="J294" s="39">
        <f t="shared" si="16"/>
        <v>0</v>
      </c>
      <c r="K294" s="34"/>
      <c r="L294" s="40">
        <f t="shared" si="10"/>
        <v>1</v>
      </c>
      <c r="M294" s="34">
        <f t="shared" si="11"/>
        <v>0</v>
      </c>
      <c r="N294" s="34">
        <f t="shared" si="12"/>
        <v>0</v>
      </c>
      <c r="O294" s="36">
        <f t="shared" si="13"/>
        <v>0</v>
      </c>
      <c r="P294" s="41">
        <f t="shared" si="14"/>
        <v>0</v>
      </c>
      <c r="Q294" s="70" t="e">
        <f t="shared" si="15"/>
        <v>#DIV/0!</v>
      </c>
    </row>
    <row r="295" spans="2:17" x14ac:dyDescent="0.4">
      <c r="B295" s="38"/>
      <c r="C295" s="34"/>
      <c r="D295" s="34"/>
      <c r="E295" s="37"/>
      <c r="F295" s="34"/>
      <c r="G295" s="35"/>
      <c r="H295" s="34">
        <f t="shared" si="8"/>
        <v>0</v>
      </c>
      <c r="I295" s="34">
        <f t="shared" si="9"/>
        <v>0</v>
      </c>
      <c r="J295" s="39">
        <f t="shared" si="16"/>
        <v>0</v>
      </c>
      <c r="K295" s="34"/>
      <c r="L295" s="40">
        <f t="shared" si="10"/>
        <v>1</v>
      </c>
      <c r="M295" s="34">
        <f t="shared" si="11"/>
        <v>0</v>
      </c>
      <c r="N295" s="34">
        <f t="shared" si="12"/>
        <v>0</v>
      </c>
      <c r="O295" s="36">
        <f t="shared" si="13"/>
        <v>0</v>
      </c>
      <c r="P295" s="41">
        <f t="shared" si="14"/>
        <v>0</v>
      </c>
      <c r="Q295" s="70" t="e">
        <f t="shared" si="15"/>
        <v>#DIV/0!</v>
      </c>
    </row>
    <row r="296" spans="2:17" x14ac:dyDescent="0.4">
      <c r="B296" s="38"/>
      <c r="C296" s="34"/>
      <c r="D296" s="34"/>
      <c r="E296" s="37"/>
      <c r="F296" s="34"/>
      <c r="G296" s="35"/>
      <c r="H296" s="34">
        <f t="shared" si="8"/>
        <v>0</v>
      </c>
      <c r="I296" s="34">
        <f t="shared" si="9"/>
        <v>0</v>
      </c>
      <c r="J296" s="39">
        <f t="shared" si="16"/>
        <v>0</v>
      </c>
      <c r="K296" s="34"/>
      <c r="L296" s="40">
        <f t="shared" si="10"/>
        <v>1</v>
      </c>
      <c r="M296" s="34">
        <f t="shared" si="11"/>
        <v>0</v>
      </c>
      <c r="N296" s="34">
        <f t="shared" si="12"/>
        <v>0</v>
      </c>
      <c r="O296" s="36">
        <f t="shared" si="13"/>
        <v>0</v>
      </c>
      <c r="P296" s="41">
        <f t="shared" si="14"/>
        <v>0</v>
      </c>
      <c r="Q296" s="70" t="e">
        <f t="shared" si="15"/>
        <v>#DIV/0!</v>
      </c>
    </row>
    <row r="297" spans="2:17" x14ac:dyDescent="0.4">
      <c r="B297" s="38"/>
      <c r="C297" s="34"/>
      <c r="D297" s="34"/>
      <c r="E297" s="37"/>
      <c r="F297" s="34"/>
      <c r="G297" s="35"/>
      <c r="H297" s="34">
        <f t="shared" si="8"/>
        <v>0</v>
      </c>
      <c r="I297" s="34">
        <f t="shared" si="9"/>
        <v>0</v>
      </c>
      <c r="J297" s="39">
        <f t="shared" si="16"/>
        <v>0</v>
      </c>
      <c r="K297" s="34"/>
      <c r="L297" s="40">
        <f t="shared" si="10"/>
        <v>1</v>
      </c>
      <c r="M297" s="34">
        <f t="shared" si="11"/>
        <v>0</v>
      </c>
      <c r="N297" s="34">
        <f t="shared" si="12"/>
        <v>0</v>
      </c>
      <c r="O297" s="36">
        <f t="shared" si="13"/>
        <v>0</v>
      </c>
      <c r="P297" s="41">
        <f t="shared" si="14"/>
        <v>0</v>
      </c>
      <c r="Q297" s="70" t="e">
        <f t="shared" si="15"/>
        <v>#DIV/0!</v>
      </c>
    </row>
    <row r="298" spans="2:17" x14ac:dyDescent="0.4">
      <c r="B298" s="38"/>
      <c r="C298" s="34"/>
      <c r="D298" s="34"/>
      <c r="E298" s="37"/>
      <c r="F298" s="34"/>
      <c r="G298" s="35"/>
      <c r="H298" s="34">
        <f t="shared" si="8"/>
        <v>0</v>
      </c>
      <c r="I298" s="34">
        <f t="shared" si="9"/>
        <v>0</v>
      </c>
      <c r="J298" s="39">
        <f t="shared" si="16"/>
        <v>0</v>
      </c>
      <c r="K298" s="34"/>
      <c r="L298" s="40">
        <f t="shared" si="10"/>
        <v>1</v>
      </c>
      <c r="M298" s="34">
        <f t="shared" si="11"/>
        <v>0</v>
      </c>
      <c r="N298" s="34">
        <f t="shared" si="12"/>
        <v>0</v>
      </c>
      <c r="O298" s="36">
        <f t="shared" si="13"/>
        <v>0</v>
      </c>
      <c r="P298" s="41">
        <f t="shared" si="14"/>
        <v>0</v>
      </c>
      <c r="Q298" s="70" t="e">
        <f t="shared" si="15"/>
        <v>#DIV/0!</v>
      </c>
    </row>
    <row r="299" spans="2:17" x14ac:dyDescent="0.4">
      <c r="B299" s="38"/>
      <c r="C299" s="34"/>
      <c r="D299" s="34"/>
      <c r="E299" s="37"/>
      <c r="F299" s="34"/>
      <c r="G299" s="35"/>
      <c r="H299" s="34">
        <f t="shared" si="8"/>
        <v>0</v>
      </c>
      <c r="I299" s="34">
        <f t="shared" si="9"/>
        <v>0</v>
      </c>
      <c r="J299" s="39">
        <f t="shared" si="16"/>
        <v>0</v>
      </c>
      <c r="K299" s="34"/>
      <c r="L299" s="40">
        <f t="shared" si="10"/>
        <v>1</v>
      </c>
      <c r="M299" s="34">
        <f t="shared" si="11"/>
        <v>0</v>
      </c>
      <c r="N299" s="34">
        <f t="shared" si="12"/>
        <v>0</v>
      </c>
      <c r="O299" s="36">
        <f t="shared" si="13"/>
        <v>0</v>
      </c>
      <c r="P299" s="41">
        <f t="shared" si="14"/>
        <v>0</v>
      </c>
      <c r="Q299" s="70" t="e">
        <f t="shared" si="15"/>
        <v>#DIV/0!</v>
      </c>
    </row>
    <row r="300" spans="2:17" x14ac:dyDescent="0.4">
      <c r="B300" s="38"/>
      <c r="C300" s="34"/>
      <c r="D300" s="34"/>
      <c r="E300" s="37"/>
      <c r="F300" s="34"/>
      <c r="G300" s="35"/>
      <c r="H300" s="34">
        <f t="shared" si="8"/>
        <v>0</v>
      </c>
      <c r="I300" s="34">
        <f t="shared" si="9"/>
        <v>0</v>
      </c>
      <c r="J300" s="39">
        <f t="shared" si="16"/>
        <v>0</v>
      </c>
      <c r="K300" s="34"/>
      <c r="L300" s="40">
        <f t="shared" si="10"/>
        <v>1</v>
      </c>
      <c r="M300" s="34">
        <f t="shared" si="11"/>
        <v>0</v>
      </c>
      <c r="N300" s="34">
        <f t="shared" si="12"/>
        <v>0</v>
      </c>
      <c r="O300" s="36">
        <f t="shared" si="13"/>
        <v>0</v>
      </c>
      <c r="P300" s="41">
        <f t="shared" si="14"/>
        <v>0</v>
      </c>
      <c r="Q300" s="70" t="e">
        <f t="shared" si="15"/>
        <v>#DIV/0!</v>
      </c>
    </row>
    <row r="301" spans="2:17" ht="18" customHeight="1" thickBot="1" x14ac:dyDescent="0.45">
      <c r="B301" s="382"/>
    </row>
    <row r="302" spans="2:17" ht="18" customHeight="1" thickBot="1" x14ac:dyDescent="0.45">
      <c r="B302" s="382"/>
    </row>
    <row r="303" spans="2:17" ht="18" customHeight="1" thickBot="1" x14ac:dyDescent="0.45">
      <c r="B303" s="382"/>
    </row>
    <row r="304" spans="2:17" x14ac:dyDescent="0.4">
      <c r="H304" s="2"/>
    </row>
    <row r="305" spans="1:17" ht="21" customHeight="1" x14ac:dyDescent="0.4">
      <c r="A305" s="98" t="s">
        <v>586</v>
      </c>
    </row>
    <row r="306" spans="1:17" ht="18" customHeight="1" thickBot="1" x14ac:dyDescent="0.45">
      <c r="A306" s="33" t="s">
        <v>1185</v>
      </c>
      <c r="B306" s="33" t="s">
        <v>1186</v>
      </c>
      <c r="C306" s="33"/>
      <c r="E306" s="33"/>
      <c r="F306" s="33"/>
      <c r="G306" s="33"/>
      <c r="H306" s="33" t="s">
        <v>587</v>
      </c>
      <c r="I306" s="33"/>
      <c r="J306" s="33"/>
      <c r="K306" s="33"/>
      <c r="L306" s="33"/>
      <c r="M306" s="33" t="s">
        <v>1203</v>
      </c>
      <c r="N306" s="34">
        <f>SUM($C$6:$D$30)-SUM($M$308:$M$519)+SUM($N$308:$N$519)-SUM($H$308:$J$519)</f>
        <v>2891153</v>
      </c>
      <c r="O306" s="33"/>
      <c r="P306" s="33"/>
      <c r="Q306" s="33"/>
    </row>
    <row r="307" spans="1:17" ht="18" customHeight="1" thickBot="1" x14ac:dyDescent="0.45">
      <c r="B307" s="42" t="s">
        <v>0</v>
      </c>
      <c r="C307" s="43" t="s">
        <v>71</v>
      </c>
      <c r="D307" s="43" t="s">
        <v>473</v>
      </c>
      <c r="E307" s="44" t="s">
        <v>118</v>
      </c>
      <c r="F307" s="43" t="s">
        <v>99</v>
      </c>
      <c r="G307" s="43" t="s">
        <v>121</v>
      </c>
      <c r="H307" s="43" t="s">
        <v>474</v>
      </c>
      <c r="I307" s="43" t="s">
        <v>475</v>
      </c>
      <c r="J307" s="44" t="s">
        <v>476</v>
      </c>
      <c r="K307" s="43" t="s">
        <v>153</v>
      </c>
      <c r="L307" s="45" t="s">
        <v>154</v>
      </c>
      <c r="M307" s="43" t="s">
        <v>123</v>
      </c>
      <c r="N307" s="43" t="s">
        <v>124</v>
      </c>
      <c r="O307" s="43" t="s">
        <v>477</v>
      </c>
      <c r="P307" s="43" t="s">
        <v>478</v>
      </c>
      <c r="Q307" s="46" t="s">
        <v>479</v>
      </c>
    </row>
    <row r="308" spans="1:17" x14ac:dyDescent="0.4">
      <c r="B308" s="38" t="s">
        <v>1205</v>
      </c>
      <c r="C308" s="34">
        <v>150</v>
      </c>
      <c r="D308" s="34">
        <v>11640</v>
      </c>
      <c r="E308" s="37">
        <v>45979</v>
      </c>
      <c r="F308" s="34"/>
      <c r="G308" s="35"/>
      <c r="H308" s="34">
        <f t="shared" ref="H308:H371" si="17">ROUNDUP(M308*0.001891639,-1)</f>
        <v>3310</v>
      </c>
      <c r="I308" s="34">
        <f t="shared" ref="I308:I371" si="18">ROUNDDOWN(N308*0.001891639,-1)</f>
        <v>0</v>
      </c>
      <c r="J308" s="39">
        <v>0</v>
      </c>
      <c r="K308" s="34"/>
      <c r="L308" s="40">
        <f t="shared" ref="L308:L371" si="19">G308-E308+1</f>
        <v>-45978</v>
      </c>
      <c r="M308" s="34">
        <f t="shared" ref="M308:M371" si="20">C308*D308</f>
        <v>1746000</v>
      </c>
      <c r="N308" s="34">
        <f t="shared" ref="N308:N371" si="21">C308*F308</f>
        <v>0</v>
      </c>
      <c r="O308" s="36">
        <f t="shared" ref="O308:O371" si="22">K308-H308-I308-J308</f>
        <v>-3310</v>
      </c>
      <c r="P308" s="41">
        <f t="shared" ref="P308:P371" si="23">IF(N308=0,0,N308-M308+O308)</f>
        <v>0</v>
      </c>
      <c r="Q308" s="70">
        <f t="shared" ref="Q308:Q371" si="24">P308/M308</f>
        <v>0</v>
      </c>
    </row>
    <row r="309" spans="1:17" x14ac:dyDescent="0.4">
      <c r="B309" s="38" t="s">
        <v>1206</v>
      </c>
      <c r="C309" s="34">
        <v>81</v>
      </c>
      <c r="D309" s="34">
        <v>24580</v>
      </c>
      <c r="E309" s="37">
        <v>45979</v>
      </c>
      <c r="F309" s="34"/>
      <c r="G309" s="35"/>
      <c r="H309" s="34">
        <f t="shared" si="17"/>
        <v>3770</v>
      </c>
      <c r="I309" s="34">
        <f t="shared" si="18"/>
        <v>0</v>
      </c>
      <c r="J309" s="39">
        <v>0</v>
      </c>
      <c r="K309" s="34"/>
      <c r="L309" s="40">
        <f t="shared" si="19"/>
        <v>-45978</v>
      </c>
      <c r="M309" s="34">
        <f t="shared" si="20"/>
        <v>1990980</v>
      </c>
      <c r="N309" s="34">
        <f t="shared" si="21"/>
        <v>0</v>
      </c>
      <c r="O309" s="36">
        <f t="shared" si="22"/>
        <v>-3770</v>
      </c>
      <c r="P309" s="41">
        <f t="shared" si="23"/>
        <v>0</v>
      </c>
      <c r="Q309" s="70">
        <f t="shared" si="24"/>
        <v>0</v>
      </c>
    </row>
    <row r="310" spans="1:17" x14ac:dyDescent="0.4">
      <c r="B310" s="38" t="s">
        <v>1207</v>
      </c>
      <c r="C310" s="34">
        <v>125</v>
      </c>
      <c r="D310" s="34">
        <v>10265</v>
      </c>
      <c r="E310" s="37">
        <v>45979</v>
      </c>
      <c r="F310" s="34"/>
      <c r="G310" s="35"/>
      <c r="H310" s="34">
        <f t="shared" si="17"/>
        <v>2430</v>
      </c>
      <c r="I310" s="34">
        <f t="shared" si="18"/>
        <v>0</v>
      </c>
      <c r="J310" s="39">
        <v>0</v>
      </c>
      <c r="K310" s="34"/>
      <c r="L310" s="40">
        <f t="shared" si="19"/>
        <v>-45978</v>
      </c>
      <c r="M310" s="34">
        <f t="shared" si="20"/>
        <v>1283125</v>
      </c>
      <c r="N310" s="34">
        <f t="shared" si="21"/>
        <v>0</v>
      </c>
      <c r="O310" s="36">
        <f t="shared" si="22"/>
        <v>-2430</v>
      </c>
      <c r="P310" s="41">
        <f t="shared" si="23"/>
        <v>0</v>
      </c>
      <c r="Q310" s="70">
        <f t="shared" si="24"/>
        <v>0</v>
      </c>
    </row>
    <row r="311" spans="1:17" x14ac:dyDescent="0.4">
      <c r="B311" s="38" t="s">
        <v>91</v>
      </c>
      <c r="C311" s="34">
        <v>130</v>
      </c>
      <c r="D311" s="34">
        <v>11400</v>
      </c>
      <c r="E311" s="37">
        <v>45979</v>
      </c>
      <c r="F311" s="34"/>
      <c r="G311" s="35"/>
      <c r="H311" s="34">
        <f t="shared" si="17"/>
        <v>2810</v>
      </c>
      <c r="I311" s="34">
        <f t="shared" si="18"/>
        <v>0</v>
      </c>
      <c r="J311" s="39">
        <v>0</v>
      </c>
      <c r="K311" s="34"/>
      <c r="L311" s="40">
        <f t="shared" si="19"/>
        <v>-45978</v>
      </c>
      <c r="M311" s="34">
        <f t="shared" si="20"/>
        <v>1482000</v>
      </c>
      <c r="N311" s="34">
        <f t="shared" si="21"/>
        <v>0</v>
      </c>
      <c r="O311" s="36">
        <f t="shared" si="22"/>
        <v>-2810</v>
      </c>
      <c r="P311" s="41">
        <f t="shared" si="23"/>
        <v>0</v>
      </c>
      <c r="Q311" s="70">
        <f t="shared" si="24"/>
        <v>0</v>
      </c>
    </row>
    <row r="312" spans="1:17" x14ac:dyDescent="0.4">
      <c r="B312" s="38" t="s">
        <v>1208</v>
      </c>
      <c r="C312" s="34">
        <v>40</v>
      </c>
      <c r="D312" s="34">
        <v>25490</v>
      </c>
      <c r="E312" s="37">
        <v>45979</v>
      </c>
      <c r="F312" s="34"/>
      <c r="G312" s="35"/>
      <c r="H312" s="34">
        <f t="shared" si="17"/>
        <v>1930</v>
      </c>
      <c r="I312" s="34">
        <f t="shared" si="18"/>
        <v>0</v>
      </c>
      <c r="J312" s="39">
        <v>0</v>
      </c>
      <c r="K312" s="34"/>
      <c r="L312" s="40">
        <f t="shared" si="19"/>
        <v>-45978</v>
      </c>
      <c r="M312" s="34">
        <f t="shared" si="20"/>
        <v>1019600</v>
      </c>
      <c r="N312" s="34">
        <f t="shared" si="21"/>
        <v>0</v>
      </c>
      <c r="O312" s="36">
        <f t="shared" si="22"/>
        <v>-1930</v>
      </c>
      <c r="P312" s="41">
        <f t="shared" si="23"/>
        <v>0</v>
      </c>
      <c r="Q312" s="70">
        <f t="shared" si="24"/>
        <v>0</v>
      </c>
    </row>
    <row r="313" spans="1:17" x14ac:dyDescent="0.4">
      <c r="B313" s="38" t="s">
        <v>1209</v>
      </c>
      <c r="C313" s="34">
        <v>183</v>
      </c>
      <c r="D313" s="34">
        <v>8175</v>
      </c>
      <c r="E313" s="37">
        <v>45979</v>
      </c>
      <c r="F313" s="34"/>
      <c r="G313" s="35"/>
      <c r="H313" s="34">
        <f t="shared" si="17"/>
        <v>2830</v>
      </c>
      <c r="I313" s="34">
        <f t="shared" si="18"/>
        <v>0</v>
      </c>
      <c r="J313" s="39">
        <v>0</v>
      </c>
      <c r="K313" s="34"/>
      <c r="L313" s="40">
        <f t="shared" si="19"/>
        <v>-45978</v>
      </c>
      <c r="M313" s="34">
        <f t="shared" si="20"/>
        <v>1496025</v>
      </c>
      <c r="N313" s="34">
        <f t="shared" si="21"/>
        <v>0</v>
      </c>
      <c r="O313" s="36">
        <f t="shared" si="22"/>
        <v>-2830</v>
      </c>
      <c r="P313" s="41">
        <f t="shared" si="23"/>
        <v>0</v>
      </c>
      <c r="Q313" s="70">
        <f t="shared" si="24"/>
        <v>0</v>
      </c>
    </row>
    <row r="314" spans="1:17" x14ac:dyDescent="0.4">
      <c r="B314" s="38" t="s">
        <v>1210</v>
      </c>
      <c r="C314" s="34">
        <v>100</v>
      </c>
      <c r="D314" s="34">
        <v>22330</v>
      </c>
      <c r="E314" s="37">
        <v>45979</v>
      </c>
      <c r="F314" s="34">
        <v>48600</v>
      </c>
      <c r="G314" s="35">
        <v>46098</v>
      </c>
      <c r="H314" s="34">
        <f t="shared" si="17"/>
        <v>4230</v>
      </c>
      <c r="I314" s="34">
        <f t="shared" si="18"/>
        <v>9190</v>
      </c>
      <c r="J314" s="39">
        <v>0</v>
      </c>
      <c r="K314" s="34"/>
      <c r="L314" s="40">
        <f t="shared" si="19"/>
        <v>120</v>
      </c>
      <c r="M314" s="34">
        <f t="shared" si="20"/>
        <v>2233000</v>
      </c>
      <c r="N314" s="34">
        <f t="shared" si="21"/>
        <v>4860000</v>
      </c>
      <c r="O314" s="36">
        <f t="shared" si="22"/>
        <v>-13420</v>
      </c>
      <c r="P314" s="41">
        <f t="shared" si="23"/>
        <v>2613580</v>
      </c>
      <c r="Q314" s="70">
        <f t="shared" si="24"/>
        <v>1.1704343931930139</v>
      </c>
    </row>
    <row r="315" spans="1:17" x14ac:dyDescent="0.4">
      <c r="B315" s="38" t="s">
        <v>89</v>
      </c>
      <c r="C315" s="34">
        <v>67</v>
      </c>
      <c r="D315" s="34">
        <v>22520</v>
      </c>
      <c r="E315" s="37">
        <v>45979</v>
      </c>
      <c r="F315" s="34"/>
      <c r="G315" s="35"/>
      <c r="H315" s="34">
        <f t="shared" si="17"/>
        <v>2860</v>
      </c>
      <c r="I315" s="34">
        <f t="shared" si="18"/>
        <v>0</v>
      </c>
      <c r="J315" s="39">
        <v>0</v>
      </c>
      <c r="K315" s="34"/>
      <c r="L315" s="40">
        <f t="shared" si="19"/>
        <v>-45978</v>
      </c>
      <c r="M315" s="34">
        <f t="shared" si="20"/>
        <v>1508840</v>
      </c>
      <c r="N315" s="34">
        <f t="shared" si="21"/>
        <v>0</v>
      </c>
      <c r="O315" s="36">
        <f t="shared" si="22"/>
        <v>-2860</v>
      </c>
      <c r="P315" s="41">
        <f t="shared" si="23"/>
        <v>0</v>
      </c>
      <c r="Q315" s="70">
        <f t="shared" si="24"/>
        <v>0</v>
      </c>
    </row>
    <row r="316" spans="1:17" x14ac:dyDescent="0.4">
      <c r="B316" s="38" t="s">
        <v>1194</v>
      </c>
      <c r="C316" s="34">
        <v>100</v>
      </c>
      <c r="D316" s="34">
        <v>12050</v>
      </c>
      <c r="E316" s="37">
        <v>45979</v>
      </c>
      <c r="F316" s="34"/>
      <c r="G316" s="35"/>
      <c r="H316" s="34">
        <f t="shared" si="17"/>
        <v>2280</v>
      </c>
      <c r="I316" s="34">
        <f t="shared" si="18"/>
        <v>0</v>
      </c>
      <c r="J316" s="39">
        <v>0</v>
      </c>
      <c r="K316" s="34"/>
      <c r="L316" s="40">
        <f t="shared" si="19"/>
        <v>-45978</v>
      </c>
      <c r="M316" s="34">
        <f t="shared" si="20"/>
        <v>1205000</v>
      </c>
      <c r="N316" s="34">
        <f t="shared" si="21"/>
        <v>0</v>
      </c>
      <c r="O316" s="36">
        <f t="shared" si="22"/>
        <v>-2280</v>
      </c>
      <c r="P316" s="41">
        <f t="shared" si="23"/>
        <v>0</v>
      </c>
      <c r="Q316" s="70">
        <f t="shared" si="24"/>
        <v>0</v>
      </c>
    </row>
    <row r="317" spans="1:17" x14ac:dyDescent="0.4">
      <c r="B317" s="38" t="s">
        <v>1211</v>
      </c>
      <c r="C317" s="34">
        <v>100</v>
      </c>
      <c r="D317" s="34">
        <v>18420</v>
      </c>
      <c r="E317" s="37">
        <v>45982</v>
      </c>
      <c r="F317" s="34">
        <v>20650</v>
      </c>
      <c r="G317" s="35">
        <v>46017</v>
      </c>
      <c r="H317" s="34">
        <f t="shared" si="17"/>
        <v>3490</v>
      </c>
      <c r="I317" s="34">
        <f t="shared" si="18"/>
        <v>3900</v>
      </c>
      <c r="J317" s="39">
        <v>0</v>
      </c>
      <c r="K317" s="34"/>
      <c r="L317" s="40">
        <f t="shared" si="19"/>
        <v>36</v>
      </c>
      <c r="M317" s="34">
        <f t="shared" si="20"/>
        <v>1842000</v>
      </c>
      <c r="N317" s="34">
        <f t="shared" si="21"/>
        <v>2065000</v>
      </c>
      <c r="O317" s="36">
        <f t="shared" si="22"/>
        <v>-7390</v>
      </c>
      <c r="P317" s="41">
        <f t="shared" si="23"/>
        <v>215610</v>
      </c>
      <c r="Q317" s="70">
        <f t="shared" si="24"/>
        <v>0.11705211726384365</v>
      </c>
    </row>
    <row r="318" spans="1:17" x14ac:dyDescent="0.4">
      <c r="B318" s="38" t="s">
        <v>1205</v>
      </c>
      <c r="C318" s="34">
        <v>1</v>
      </c>
      <c r="D318" s="34">
        <v>12010</v>
      </c>
      <c r="E318" s="37">
        <v>46002</v>
      </c>
      <c r="F318" s="34"/>
      <c r="G318" s="35"/>
      <c r="H318" s="34">
        <f t="shared" si="17"/>
        <v>30</v>
      </c>
      <c r="I318" s="34">
        <f t="shared" si="18"/>
        <v>0</v>
      </c>
      <c r="J318" s="39">
        <v>0</v>
      </c>
      <c r="K318" s="34"/>
      <c r="L318" s="40">
        <f t="shared" si="19"/>
        <v>-46001</v>
      </c>
      <c r="M318" s="34">
        <f t="shared" si="20"/>
        <v>12010</v>
      </c>
      <c r="N318" s="34">
        <f t="shared" si="21"/>
        <v>0</v>
      </c>
      <c r="O318" s="36">
        <f t="shared" si="22"/>
        <v>-30</v>
      </c>
      <c r="P318" s="41">
        <f t="shared" si="23"/>
        <v>0</v>
      </c>
      <c r="Q318" s="70">
        <f t="shared" si="24"/>
        <v>0</v>
      </c>
    </row>
    <row r="319" spans="1:17" x14ac:dyDescent="0.4">
      <c r="B319" s="38" t="s">
        <v>1210</v>
      </c>
      <c r="C319" s="34">
        <v>1</v>
      </c>
      <c r="D319" s="34">
        <v>21860</v>
      </c>
      <c r="E319" s="37">
        <v>46002</v>
      </c>
      <c r="F319" s="34">
        <v>48600</v>
      </c>
      <c r="G319" s="35">
        <v>46098</v>
      </c>
      <c r="H319" s="34">
        <f t="shared" si="17"/>
        <v>50</v>
      </c>
      <c r="I319" s="34">
        <f t="shared" si="18"/>
        <v>90</v>
      </c>
      <c r="J319" s="39">
        <v>0</v>
      </c>
      <c r="K319" s="34"/>
      <c r="L319" s="40">
        <f t="shared" si="19"/>
        <v>97</v>
      </c>
      <c r="M319" s="34">
        <f t="shared" si="20"/>
        <v>21860</v>
      </c>
      <c r="N319" s="34">
        <f t="shared" si="21"/>
        <v>48600</v>
      </c>
      <c r="O319" s="36">
        <f t="shared" si="22"/>
        <v>-140</v>
      </c>
      <c r="P319" s="41">
        <f t="shared" si="23"/>
        <v>26600</v>
      </c>
      <c r="Q319" s="70">
        <f t="shared" si="24"/>
        <v>1.2168344007319305</v>
      </c>
    </row>
    <row r="320" spans="1:17" x14ac:dyDescent="0.4">
      <c r="B320" s="38" t="s">
        <v>1194</v>
      </c>
      <c r="C320" s="34">
        <v>1</v>
      </c>
      <c r="D320" s="34">
        <v>12300</v>
      </c>
      <c r="E320" s="37">
        <v>46003</v>
      </c>
      <c r="F320" s="34"/>
      <c r="G320" s="35"/>
      <c r="H320" s="34">
        <f t="shared" si="17"/>
        <v>30</v>
      </c>
      <c r="I320" s="34">
        <f t="shared" si="18"/>
        <v>0</v>
      </c>
      <c r="J320" s="39">
        <v>0</v>
      </c>
      <c r="K320" s="34"/>
      <c r="L320" s="40">
        <f t="shared" si="19"/>
        <v>-46002</v>
      </c>
      <c r="M320" s="34">
        <f t="shared" si="20"/>
        <v>12300</v>
      </c>
      <c r="N320" s="34">
        <f t="shared" si="21"/>
        <v>0</v>
      </c>
      <c r="O320" s="36">
        <f t="shared" si="22"/>
        <v>-30</v>
      </c>
      <c r="P320" s="41">
        <f t="shared" si="23"/>
        <v>0</v>
      </c>
      <c r="Q320" s="70">
        <f t="shared" si="24"/>
        <v>0</v>
      </c>
    </row>
    <row r="321" spans="2:17" x14ac:dyDescent="0.4">
      <c r="B321" s="38" t="s">
        <v>1211</v>
      </c>
      <c r="C321" s="34">
        <v>1</v>
      </c>
      <c r="D321" s="34">
        <v>19865</v>
      </c>
      <c r="E321" s="37">
        <v>46003</v>
      </c>
      <c r="F321" s="34">
        <v>20650</v>
      </c>
      <c r="G321" s="35">
        <v>46017</v>
      </c>
      <c r="H321" s="34">
        <f t="shared" si="17"/>
        <v>40</v>
      </c>
      <c r="I321" s="34">
        <f t="shared" si="18"/>
        <v>30</v>
      </c>
      <c r="J321" s="39">
        <v>0</v>
      </c>
      <c r="K321" s="34"/>
      <c r="L321" s="40">
        <f t="shared" si="19"/>
        <v>15</v>
      </c>
      <c r="M321" s="34">
        <f t="shared" si="20"/>
        <v>19865</v>
      </c>
      <c r="N321" s="34">
        <f t="shared" si="21"/>
        <v>20650</v>
      </c>
      <c r="O321" s="36">
        <f t="shared" si="22"/>
        <v>-70</v>
      </c>
      <c r="P321" s="41">
        <f t="shared" si="23"/>
        <v>715</v>
      </c>
      <c r="Q321" s="70">
        <f t="shared" si="24"/>
        <v>3.5992952428895039E-2</v>
      </c>
    </row>
    <row r="322" spans="2:17" x14ac:dyDescent="0.4">
      <c r="B322" s="38" t="s">
        <v>1206</v>
      </c>
      <c r="C322" s="34">
        <v>1</v>
      </c>
      <c r="D322" s="34">
        <v>27220</v>
      </c>
      <c r="E322" s="37">
        <v>46006</v>
      </c>
      <c r="F322" s="34"/>
      <c r="G322" s="35"/>
      <c r="H322" s="34">
        <f t="shared" si="17"/>
        <v>60</v>
      </c>
      <c r="I322" s="34">
        <f t="shared" si="18"/>
        <v>0</v>
      </c>
      <c r="J322" s="39">
        <v>0</v>
      </c>
      <c r="K322" s="34"/>
      <c r="L322" s="40">
        <f t="shared" si="19"/>
        <v>-46005</v>
      </c>
      <c r="M322" s="34">
        <f t="shared" si="20"/>
        <v>27220</v>
      </c>
      <c r="N322" s="34">
        <f t="shared" si="21"/>
        <v>0</v>
      </c>
      <c r="O322" s="36">
        <f t="shared" si="22"/>
        <v>-60</v>
      </c>
      <c r="P322" s="41">
        <f t="shared" si="23"/>
        <v>0</v>
      </c>
      <c r="Q322" s="70">
        <f t="shared" si="24"/>
        <v>0</v>
      </c>
    </row>
    <row r="323" spans="2:17" x14ac:dyDescent="0.4">
      <c r="B323" s="38" t="s">
        <v>1209</v>
      </c>
      <c r="C323" s="34">
        <v>1</v>
      </c>
      <c r="D323" s="34">
        <v>7990</v>
      </c>
      <c r="E323" s="37">
        <v>46006</v>
      </c>
      <c r="F323" s="34"/>
      <c r="G323" s="35"/>
      <c r="H323" s="34">
        <f t="shared" si="17"/>
        <v>20</v>
      </c>
      <c r="I323" s="34">
        <f t="shared" si="18"/>
        <v>0</v>
      </c>
      <c r="J323" s="39">
        <v>0</v>
      </c>
      <c r="K323" s="34"/>
      <c r="L323" s="40">
        <f t="shared" si="19"/>
        <v>-46005</v>
      </c>
      <c r="M323" s="34">
        <f t="shared" si="20"/>
        <v>7990</v>
      </c>
      <c r="N323" s="34">
        <f t="shared" si="21"/>
        <v>0</v>
      </c>
      <c r="O323" s="36">
        <f t="shared" si="22"/>
        <v>-20</v>
      </c>
      <c r="P323" s="41">
        <f t="shared" si="23"/>
        <v>0</v>
      </c>
      <c r="Q323" s="70">
        <f t="shared" si="24"/>
        <v>0</v>
      </c>
    </row>
    <row r="324" spans="2:17" x14ac:dyDescent="0.4">
      <c r="B324" s="38" t="s">
        <v>1207</v>
      </c>
      <c r="C324" s="34">
        <v>1</v>
      </c>
      <c r="D324" s="34">
        <v>10345</v>
      </c>
      <c r="E324" s="37">
        <v>46007</v>
      </c>
      <c r="F324" s="34"/>
      <c r="G324" s="35"/>
      <c r="H324" s="34">
        <f t="shared" si="17"/>
        <v>20</v>
      </c>
      <c r="I324" s="34">
        <f t="shared" si="18"/>
        <v>0</v>
      </c>
      <c r="J324" s="39">
        <v>0</v>
      </c>
      <c r="K324" s="34"/>
      <c r="L324" s="40">
        <f t="shared" si="19"/>
        <v>-46006</v>
      </c>
      <c r="M324" s="34">
        <f t="shared" si="20"/>
        <v>10345</v>
      </c>
      <c r="N324" s="34">
        <f t="shared" si="21"/>
        <v>0</v>
      </c>
      <c r="O324" s="36">
        <f t="shared" si="22"/>
        <v>-20</v>
      </c>
      <c r="P324" s="41">
        <f t="shared" si="23"/>
        <v>0</v>
      </c>
      <c r="Q324" s="70">
        <f t="shared" si="24"/>
        <v>0</v>
      </c>
    </row>
    <row r="325" spans="2:17" x14ac:dyDescent="0.4">
      <c r="B325" s="38" t="s">
        <v>1208</v>
      </c>
      <c r="C325" s="34">
        <v>1</v>
      </c>
      <c r="D325" s="34">
        <v>26520</v>
      </c>
      <c r="E325" s="37">
        <v>46007</v>
      </c>
      <c r="F325" s="34"/>
      <c r="G325" s="35"/>
      <c r="H325" s="34">
        <f t="shared" si="17"/>
        <v>60</v>
      </c>
      <c r="I325" s="34">
        <f t="shared" si="18"/>
        <v>0</v>
      </c>
      <c r="J325" s="39">
        <v>0</v>
      </c>
      <c r="K325" s="34"/>
      <c r="L325" s="40">
        <f t="shared" si="19"/>
        <v>-46006</v>
      </c>
      <c r="M325" s="34">
        <f t="shared" si="20"/>
        <v>26520</v>
      </c>
      <c r="N325" s="34">
        <f t="shared" si="21"/>
        <v>0</v>
      </c>
      <c r="O325" s="36">
        <f t="shared" si="22"/>
        <v>-60</v>
      </c>
      <c r="P325" s="41">
        <f t="shared" si="23"/>
        <v>0</v>
      </c>
      <c r="Q325" s="70">
        <f t="shared" si="24"/>
        <v>0</v>
      </c>
    </row>
    <row r="326" spans="2:17" x14ac:dyDescent="0.4">
      <c r="B326" s="38" t="s">
        <v>91</v>
      </c>
      <c r="C326" s="34">
        <v>1</v>
      </c>
      <c r="D326" s="34">
        <v>11640</v>
      </c>
      <c r="E326" s="37">
        <v>46008</v>
      </c>
      <c r="F326" s="34"/>
      <c r="G326" s="35"/>
      <c r="H326" s="34">
        <f t="shared" si="17"/>
        <v>30</v>
      </c>
      <c r="I326" s="34">
        <f t="shared" si="18"/>
        <v>0</v>
      </c>
      <c r="J326" s="39">
        <v>0</v>
      </c>
      <c r="K326" s="34"/>
      <c r="L326" s="40">
        <f t="shared" si="19"/>
        <v>-46007</v>
      </c>
      <c r="M326" s="34">
        <f t="shared" si="20"/>
        <v>11640</v>
      </c>
      <c r="N326" s="34">
        <f t="shared" si="21"/>
        <v>0</v>
      </c>
      <c r="O326" s="36">
        <f t="shared" si="22"/>
        <v>-30</v>
      </c>
      <c r="P326" s="41">
        <f t="shared" si="23"/>
        <v>0</v>
      </c>
      <c r="Q326" s="70">
        <f t="shared" si="24"/>
        <v>0</v>
      </c>
    </row>
    <row r="327" spans="2:17" x14ac:dyDescent="0.4">
      <c r="B327" s="38" t="s">
        <v>89</v>
      </c>
      <c r="C327" s="34">
        <v>1</v>
      </c>
      <c r="D327" s="34">
        <v>23155</v>
      </c>
      <c r="E327" s="37">
        <v>46008</v>
      </c>
      <c r="F327" s="34"/>
      <c r="G327" s="35"/>
      <c r="H327" s="34">
        <f t="shared" si="17"/>
        <v>50</v>
      </c>
      <c r="I327" s="34">
        <f t="shared" si="18"/>
        <v>0</v>
      </c>
      <c r="J327" s="39">
        <v>0</v>
      </c>
      <c r="K327" s="34"/>
      <c r="L327" s="40">
        <f t="shared" si="19"/>
        <v>-46007</v>
      </c>
      <c r="M327" s="34">
        <f t="shared" si="20"/>
        <v>23155</v>
      </c>
      <c r="N327" s="34">
        <f t="shared" si="21"/>
        <v>0</v>
      </c>
      <c r="O327" s="36">
        <f t="shared" si="22"/>
        <v>-50</v>
      </c>
      <c r="P327" s="41">
        <f t="shared" si="23"/>
        <v>0</v>
      </c>
      <c r="Q327" s="70">
        <f t="shared" si="24"/>
        <v>0</v>
      </c>
    </row>
    <row r="328" spans="2:17" x14ac:dyDescent="0.4">
      <c r="B328" s="38" t="s">
        <v>1205</v>
      </c>
      <c r="C328" s="34">
        <v>1</v>
      </c>
      <c r="D328" s="34">
        <v>11880</v>
      </c>
      <c r="E328" s="37">
        <v>46009</v>
      </c>
      <c r="F328" s="34"/>
      <c r="G328" s="35"/>
      <c r="H328" s="34">
        <f t="shared" si="17"/>
        <v>30</v>
      </c>
      <c r="I328" s="34">
        <f t="shared" si="18"/>
        <v>0</v>
      </c>
      <c r="J328" s="39">
        <v>0</v>
      </c>
      <c r="K328" s="34"/>
      <c r="L328" s="40">
        <f t="shared" si="19"/>
        <v>-46008</v>
      </c>
      <c r="M328" s="34">
        <f t="shared" si="20"/>
        <v>11880</v>
      </c>
      <c r="N328" s="34">
        <f t="shared" si="21"/>
        <v>0</v>
      </c>
      <c r="O328" s="36">
        <f t="shared" si="22"/>
        <v>-30</v>
      </c>
      <c r="P328" s="41">
        <f t="shared" si="23"/>
        <v>0</v>
      </c>
      <c r="Q328" s="70">
        <f t="shared" si="24"/>
        <v>0</v>
      </c>
    </row>
    <row r="329" spans="2:17" x14ac:dyDescent="0.4">
      <c r="B329" s="38" t="s">
        <v>1210</v>
      </c>
      <c r="C329" s="34">
        <v>1</v>
      </c>
      <c r="D329" s="34">
        <v>22595</v>
      </c>
      <c r="E329" s="37">
        <v>46009</v>
      </c>
      <c r="F329" s="34">
        <v>48600</v>
      </c>
      <c r="G329" s="35">
        <v>46098</v>
      </c>
      <c r="H329" s="34">
        <f t="shared" si="17"/>
        <v>50</v>
      </c>
      <c r="I329" s="34">
        <f t="shared" si="18"/>
        <v>90</v>
      </c>
      <c r="J329" s="39">
        <v>0</v>
      </c>
      <c r="K329" s="34"/>
      <c r="L329" s="40">
        <f t="shared" si="19"/>
        <v>90</v>
      </c>
      <c r="M329" s="34">
        <f t="shared" si="20"/>
        <v>22595</v>
      </c>
      <c r="N329" s="34">
        <f t="shared" si="21"/>
        <v>48600</v>
      </c>
      <c r="O329" s="36">
        <f t="shared" si="22"/>
        <v>-140</v>
      </c>
      <c r="P329" s="41">
        <f t="shared" si="23"/>
        <v>25865</v>
      </c>
      <c r="Q329" s="70">
        <f t="shared" si="24"/>
        <v>1.1447222836910822</v>
      </c>
    </row>
    <row r="330" spans="2:17" x14ac:dyDescent="0.4">
      <c r="B330" s="38" t="s">
        <v>1194</v>
      </c>
      <c r="C330" s="34">
        <v>1</v>
      </c>
      <c r="D330" s="34">
        <v>12475</v>
      </c>
      <c r="E330" s="37">
        <v>46010</v>
      </c>
      <c r="F330" s="34"/>
      <c r="G330" s="35"/>
      <c r="H330" s="34">
        <f t="shared" si="17"/>
        <v>30</v>
      </c>
      <c r="I330" s="34">
        <f t="shared" si="18"/>
        <v>0</v>
      </c>
      <c r="J330" s="39">
        <v>0</v>
      </c>
      <c r="K330" s="34"/>
      <c r="L330" s="40">
        <f t="shared" si="19"/>
        <v>-46009</v>
      </c>
      <c r="M330" s="34">
        <f t="shared" si="20"/>
        <v>12475</v>
      </c>
      <c r="N330" s="34">
        <f t="shared" si="21"/>
        <v>0</v>
      </c>
      <c r="O330" s="36">
        <f t="shared" si="22"/>
        <v>-30</v>
      </c>
      <c r="P330" s="41">
        <f t="shared" si="23"/>
        <v>0</v>
      </c>
      <c r="Q330" s="70">
        <f t="shared" si="24"/>
        <v>0</v>
      </c>
    </row>
    <row r="331" spans="2:17" x14ac:dyDescent="0.4">
      <c r="B331" s="38" t="s">
        <v>1211</v>
      </c>
      <c r="C331" s="34">
        <v>1</v>
      </c>
      <c r="D331" s="34">
        <v>19320</v>
      </c>
      <c r="E331" s="37">
        <v>46010</v>
      </c>
      <c r="F331" s="34">
        <v>20650</v>
      </c>
      <c r="G331" s="35">
        <v>46017</v>
      </c>
      <c r="H331" s="34">
        <f t="shared" si="17"/>
        <v>40</v>
      </c>
      <c r="I331" s="34">
        <f t="shared" si="18"/>
        <v>30</v>
      </c>
      <c r="J331" s="39">
        <v>0</v>
      </c>
      <c r="K331" s="34"/>
      <c r="L331" s="40">
        <f t="shared" si="19"/>
        <v>8</v>
      </c>
      <c r="M331" s="34">
        <f t="shared" si="20"/>
        <v>19320</v>
      </c>
      <c r="N331" s="34">
        <f t="shared" si="21"/>
        <v>20650</v>
      </c>
      <c r="O331" s="36">
        <f t="shared" si="22"/>
        <v>-70</v>
      </c>
      <c r="P331" s="41">
        <f t="shared" si="23"/>
        <v>1260</v>
      </c>
      <c r="Q331" s="70">
        <f t="shared" si="24"/>
        <v>6.5217391304347824E-2</v>
      </c>
    </row>
    <row r="332" spans="2:17" x14ac:dyDescent="0.4">
      <c r="B332" s="38" t="s">
        <v>1206</v>
      </c>
      <c r="C332" s="34">
        <v>1</v>
      </c>
      <c r="D332" s="34"/>
      <c r="E332" s="37">
        <v>46013</v>
      </c>
      <c r="F332" s="34"/>
      <c r="G332" s="35"/>
      <c r="H332" s="34">
        <f t="shared" si="17"/>
        <v>0</v>
      </c>
      <c r="I332" s="34">
        <f t="shared" si="18"/>
        <v>0</v>
      </c>
      <c r="J332" s="39">
        <v>0</v>
      </c>
      <c r="K332" s="34"/>
      <c r="L332" s="40">
        <f t="shared" si="19"/>
        <v>-46012</v>
      </c>
      <c r="M332" s="34">
        <f t="shared" si="20"/>
        <v>0</v>
      </c>
      <c r="N332" s="34">
        <f t="shared" si="21"/>
        <v>0</v>
      </c>
      <c r="O332" s="36">
        <f t="shared" si="22"/>
        <v>0</v>
      </c>
      <c r="P332" s="41">
        <f t="shared" si="23"/>
        <v>0</v>
      </c>
      <c r="Q332" s="70" t="e">
        <f t="shared" si="24"/>
        <v>#DIV/0!</v>
      </c>
    </row>
    <row r="333" spans="2:17" x14ac:dyDescent="0.4">
      <c r="B333" s="38" t="s">
        <v>1209</v>
      </c>
      <c r="C333" s="34">
        <v>1</v>
      </c>
      <c r="D333" s="34">
        <v>7740</v>
      </c>
      <c r="E333" s="37">
        <v>46013</v>
      </c>
      <c r="F333" s="34"/>
      <c r="G333" s="35"/>
      <c r="H333" s="34">
        <f t="shared" si="17"/>
        <v>20</v>
      </c>
      <c r="I333" s="34">
        <f t="shared" si="18"/>
        <v>0</v>
      </c>
      <c r="J333" s="39">
        <v>0</v>
      </c>
      <c r="K333" s="34"/>
      <c r="L333" s="40">
        <f t="shared" si="19"/>
        <v>-46012</v>
      </c>
      <c r="M333" s="34">
        <f t="shared" si="20"/>
        <v>7740</v>
      </c>
      <c r="N333" s="34">
        <f t="shared" si="21"/>
        <v>0</v>
      </c>
      <c r="O333" s="36">
        <f t="shared" si="22"/>
        <v>-20</v>
      </c>
      <c r="P333" s="41">
        <f t="shared" si="23"/>
        <v>0</v>
      </c>
      <c r="Q333" s="70">
        <f t="shared" si="24"/>
        <v>0</v>
      </c>
    </row>
    <row r="334" spans="2:17" x14ac:dyDescent="0.4">
      <c r="B334" s="38" t="s">
        <v>1207</v>
      </c>
      <c r="C334" s="34">
        <v>1</v>
      </c>
      <c r="D334" s="34">
        <v>10655</v>
      </c>
      <c r="E334" s="37">
        <v>46014</v>
      </c>
      <c r="F334" s="34"/>
      <c r="G334" s="35"/>
      <c r="H334" s="34">
        <f t="shared" si="17"/>
        <v>30</v>
      </c>
      <c r="I334" s="34">
        <f t="shared" si="18"/>
        <v>0</v>
      </c>
      <c r="J334" s="39">
        <v>0</v>
      </c>
      <c r="K334" s="34"/>
      <c r="L334" s="40">
        <f t="shared" si="19"/>
        <v>-46013</v>
      </c>
      <c r="M334" s="34">
        <f t="shared" si="20"/>
        <v>10655</v>
      </c>
      <c r="N334" s="34">
        <f t="shared" si="21"/>
        <v>0</v>
      </c>
      <c r="O334" s="36">
        <f t="shared" si="22"/>
        <v>-30</v>
      </c>
      <c r="P334" s="41">
        <f t="shared" si="23"/>
        <v>0</v>
      </c>
      <c r="Q334" s="70">
        <f t="shared" si="24"/>
        <v>0</v>
      </c>
    </row>
    <row r="335" spans="2:17" x14ac:dyDescent="0.4">
      <c r="B335" s="38" t="s">
        <v>1208</v>
      </c>
      <c r="C335" s="34">
        <v>1</v>
      </c>
      <c r="D335" s="34">
        <v>26750</v>
      </c>
      <c r="E335" s="37">
        <v>46014</v>
      </c>
      <c r="F335" s="34"/>
      <c r="G335" s="35"/>
      <c r="H335" s="34">
        <f t="shared" si="17"/>
        <v>60</v>
      </c>
      <c r="I335" s="34">
        <f t="shared" si="18"/>
        <v>0</v>
      </c>
      <c r="J335" s="39">
        <v>0</v>
      </c>
      <c r="K335" s="34"/>
      <c r="L335" s="40">
        <f t="shared" si="19"/>
        <v>-46013</v>
      </c>
      <c r="M335" s="34">
        <f t="shared" si="20"/>
        <v>26750</v>
      </c>
      <c r="N335" s="34">
        <f t="shared" si="21"/>
        <v>0</v>
      </c>
      <c r="O335" s="36">
        <f t="shared" si="22"/>
        <v>-60</v>
      </c>
      <c r="P335" s="41">
        <f t="shared" si="23"/>
        <v>0</v>
      </c>
      <c r="Q335" s="70">
        <f t="shared" si="24"/>
        <v>0</v>
      </c>
    </row>
    <row r="336" spans="2:17" x14ac:dyDescent="0.4">
      <c r="B336" s="38" t="s">
        <v>91</v>
      </c>
      <c r="C336" s="34">
        <v>1</v>
      </c>
      <c r="D336" s="34">
        <v>11580</v>
      </c>
      <c r="E336" s="37">
        <v>46015</v>
      </c>
      <c r="F336" s="34"/>
      <c r="G336" s="35"/>
      <c r="H336" s="34">
        <f t="shared" si="17"/>
        <v>30</v>
      </c>
      <c r="I336" s="34">
        <f t="shared" si="18"/>
        <v>0</v>
      </c>
      <c r="J336" s="39">
        <v>0</v>
      </c>
      <c r="K336" s="34"/>
      <c r="L336" s="40">
        <f t="shared" si="19"/>
        <v>-46014</v>
      </c>
      <c r="M336" s="34">
        <f t="shared" si="20"/>
        <v>11580</v>
      </c>
      <c r="N336" s="34">
        <f t="shared" si="21"/>
        <v>0</v>
      </c>
      <c r="O336" s="36">
        <f t="shared" si="22"/>
        <v>-30</v>
      </c>
      <c r="P336" s="41">
        <f t="shared" si="23"/>
        <v>0</v>
      </c>
      <c r="Q336" s="70">
        <f t="shared" si="24"/>
        <v>0</v>
      </c>
    </row>
    <row r="337" spans="2:17" x14ac:dyDescent="0.4">
      <c r="B337" s="38" t="s">
        <v>89</v>
      </c>
      <c r="C337" s="34">
        <v>1</v>
      </c>
      <c r="D337" s="34">
        <v>22415</v>
      </c>
      <c r="E337" s="37">
        <v>46015</v>
      </c>
      <c r="F337" s="34"/>
      <c r="G337" s="35"/>
      <c r="H337" s="34">
        <f t="shared" si="17"/>
        <v>50</v>
      </c>
      <c r="I337" s="34">
        <f t="shared" si="18"/>
        <v>0</v>
      </c>
      <c r="J337" s="39">
        <v>0</v>
      </c>
      <c r="K337" s="34"/>
      <c r="L337" s="40">
        <f t="shared" si="19"/>
        <v>-46014</v>
      </c>
      <c r="M337" s="34">
        <f t="shared" si="20"/>
        <v>22415</v>
      </c>
      <c r="N337" s="34">
        <f t="shared" si="21"/>
        <v>0</v>
      </c>
      <c r="O337" s="36">
        <f t="shared" si="22"/>
        <v>-50</v>
      </c>
      <c r="P337" s="41">
        <f t="shared" si="23"/>
        <v>0</v>
      </c>
      <c r="Q337" s="70">
        <f t="shared" si="24"/>
        <v>0</v>
      </c>
    </row>
    <row r="338" spans="2:17" x14ac:dyDescent="0.4">
      <c r="B338" s="38" t="s">
        <v>1205</v>
      </c>
      <c r="C338" s="34">
        <v>1</v>
      </c>
      <c r="D338" s="34">
        <v>11960</v>
      </c>
      <c r="E338" s="37">
        <v>46017</v>
      </c>
      <c r="F338" s="34"/>
      <c r="G338" s="35"/>
      <c r="H338" s="34">
        <f t="shared" si="17"/>
        <v>30</v>
      </c>
      <c r="I338" s="34">
        <f t="shared" si="18"/>
        <v>0</v>
      </c>
      <c r="J338" s="39">
        <v>0</v>
      </c>
      <c r="K338" s="34"/>
      <c r="L338" s="40">
        <f t="shared" si="19"/>
        <v>-46016</v>
      </c>
      <c r="M338" s="34">
        <f t="shared" si="20"/>
        <v>11960</v>
      </c>
      <c r="N338" s="34">
        <f t="shared" si="21"/>
        <v>0</v>
      </c>
      <c r="O338" s="36">
        <f t="shared" si="22"/>
        <v>-30</v>
      </c>
      <c r="P338" s="41">
        <f t="shared" si="23"/>
        <v>0</v>
      </c>
      <c r="Q338" s="70">
        <f t="shared" si="24"/>
        <v>0</v>
      </c>
    </row>
    <row r="339" spans="2:17" x14ac:dyDescent="0.4">
      <c r="B339" s="38" t="s">
        <v>1210</v>
      </c>
      <c r="C339" s="34">
        <v>1</v>
      </c>
      <c r="D339" s="34">
        <v>22515</v>
      </c>
      <c r="E339" s="37">
        <v>46017</v>
      </c>
      <c r="F339" s="34">
        <v>48600</v>
      </c>
      <c r="G339" s="35">
        <v>46098</v>
      </c>
      <c r="H339" s="34">
        <f t="shared" si="17"/>
        <v>50</v>
      </c>
      <c r="I339" s="34">
        <f t="shared" si="18"/>
        <v>90</v>
      </c>
      <c r="J339" s="39">
        <v>0</v>
      </c>
      <c r="K339" s="34"/>
      <c r="L339" s="40">
        <f t="shared" si="19"/>
        <v>82</v>
      </c>
      <c r="M339" s="34">
        <f t="shared" si="20"/>
        <v>22515</v>
      </c>
      <c r="N339" s="34">
        <f t="shared" si="21"/>
        <v>48600</v>
      </c>
      <c r="O339" s="36">
        <f t="shared" si="22"/>
        <v>-140</v>
      </c>
      <c r="P339" s="41">
        <f t="shared" si="23"/>
        <v>25945</v>
      </c>
      <c r="Q339" s="70">
        <f t="shared" si="24"/>
        <v>1.1523428825227626</v>
      </c>
    </row>
    <row r="340" spans="2:17" x14ac:dyDescent="0.4">
      <c r="B340" s="38" t="s">
        <v>1194</v>
      </c>
      <c r="C340" s="34">
        <v>1</v>
      </c>
      <c r="D340" s="34">
        <v>12205</v>
      </c>
      <c r="E340" s="37">
        <v>46017</v>
      </c>
      <c r="F340" s="34"/>
      <c r="G340" s="35"/>
      <c r="H340" s="34">
        <f t="shared" si="17"/>
        <v>30</v>
      </c>
      <c r="I340" s="34">
        <f t="shared" si="18"/>
        <v>0</v>
      </c>
      <c r="J340" s="39">
        <v>0</v>
      </c>
      <c r="K340" s="34"/>
      <c r="L340" s="40">
        <f t="shared" si="19"/>
        <v>-46016</v>
      </c>
      <c r="M340" s="34">
        <f t="shared" si="20"/>
        <v>12205</v>
      </c>
      <c r="N340" s="34">
        <f t="shared" si="21"/>
        <v>0</v>
      </c>
      <c r="O340" s="36">
        <f t="shared" si="22"/>
        <v>-30</v>
      </c>
      <c r="P340" s="41">
        <f t="shared" si="23"/>
        <v>0</v>
      </c>
      <c r="Q340" s="70">
        <f t="shared" si="24"/>
        <v>0</v>
      </c>
    </row>
    <row r="341" spans="2:17" x14ac:dyDescent="0.4">
      <c r="B341" s="38" t="s">
        <v>1211</v>
      </c>
      <c r="C341" s="34">
        <v>1</v>
      </c>
      <c r="D341" s="34">
        <v>20200</v>
      </c>
      <c r="E341" s="37">
        <v>46017</v>
      </c>
      <c r="F341" s="34">
        <v>20650</v>
      </c>
      <c r="G341" s="35">
        <v>46017</v>
      </c>
      <c r="H341" s="34">
        <f t="shared" si="17"/>
        <v>40</v>
      </c>
      <c r="I341" s="34">
        <f t="shared" si="18"/>
        <v>30</v>
      </c>
      <c r="J341" s="39">
        <v>0</v>
      </c>
      <c r="K341" s="34"/>
      <c r="L341" s="40">
        <f t="shared" si="19"/>
        <v>1</v>
      </c>
      <c r="M341" s="34">
        <f t="shared" si="20"/>
        <v>20200</v>
      </c>
      <c r="N341" s="34">
        <f t="shared" si="21"/>
        <v>20650</v>
      </c>
      <c r="O341" s="36">
        <f t="shared" si="22"/>
        <v>-70</v>
      </c>
      <c r="P341" s="41">
        <f t="shared" si="23"/>
        <v>380</v>
      </c>
      <c r="Q341" s="70">
        <f t="shared" si="24"/>
        <v>1.8811881188118811E-2</v>
      </c>
    </row>
    <row r="342" spans="2:17" x14ac:dyDescent="0.4">
      <c r="B342" s="38" t="s">
        <v>1206</v>
      </c>
      <c r="C342" s="34">
        <v>1</v>
      </c>
      <c r="D342" s="34">
        <v>25885</v>
      </c>
      <c r="E342" s="37">
        <v>46020</v>
      </c>
      <c r="F342" s="34"/>
      <c r="G342" s="35"/>
      <c r="H342" s="34">
        <f t="shared" si="17"/>
        <v>50</v>
      </c>
      <c r="I342" s="34">
        <f t="shared" si="18"/>
        <v>0</v>
      </c>
      <c r="J342" s="39">
        <v>0</v>
      </c>
      <c r="K342" s="34"/>
      <c r="L342" s="40">
        <f t="shared" si="19"/>
        <v>-46019</v>
      </c>
      <c r="M342" s="34">
        <f t="shared" si="20"/>
        <v>25885</v>
      </c>
      <c r="N342" s="34">
        <f t="shared" si="21"/>
        <v>0</v>
      </c>
      <c r="O342" s="36">
        <f t="shared" si="22"/>
        <v>-50</v>
      </c>
      <c r="P342" s="41">
        <f t="shared" si="23"/>
        <v>0</v>
      </c>
      <c r="Q342" s="70">
        <f t="shared" si="24"/>
        <v>0</v>
      </c>
    </row>
    <row r="343" spans="2:17" x14ac:dyDescent="0.4">
      <c r="B343" s="38" t="s">
        <v>1209</v>
      </c>
      <c r="C343" s="34">
        <v>1</v>
      </c>
      <c r="D343" s="34">
        <v>7910</v>
      </c>
      <c r="E343" s="37">
        <v>46020</v>
      </c>
      <c r="F343" s="34"/>
      <c r="G343" s="35"/>
      <c r="H343" s="34">
        <f t="shared" si="17"/>
        <v>20</v>
      </c>
      <c r="I343" s="34">
        <f t="shared" si="18"/>
        <v>0</v>
      </c>
      <c r="J343" s="39">
        <v>0</v>
      </c>
      <c r="K343" s="34"/>
      <c r="L343" s="40">
        <f t="shared" si="19"/>
        <v>-46019</v>
      </c>
      <c r="M343" s="34">
        <f t="shared" si="20"/>
        <v>7910</v>
      </c>
      <c r="N343" s="34">
        <f t="shared" si="21"/>
        <v>0</v>
      </c>
      <c r="O343" s="36">
        <f t="shared" si="22"/>
        <v>-20</v>
      </c>
      <c r="P343" s="41">
        <f t="shared" si="23"/>
        <v>0</v>
      </c>
      <c r="Q343" s="70">
        <f t="shared" si="24"/>
        <v>0</v>
      </c>
    </row>
    <row r="344" spans="2:17" x14ac:dyDescent="0.4">
      <c r="B344" s="38" t="s">
        <v>1207</v>
      </c>
      <c r="C344" s="34">
        <v>1</v>
      </c>
      <c r="D344" s="34">
        <v>10860</v>
      </c>
      <c r="E344" s="37">
        <v>46021</v>
      </c>
      <c r="F344" s="34"/>
      <c r="G344" s="35"/>
      <c r="H344" s="34">
        <f t="shared" si="17"/>
        <v>30</v>
      </c>
      <c r="I344" s="34">
        <f t="shared" si="18"/>
        <v>0</v>
      </c>
      <c r="J344" s="39">
        <v>0</v>
      </c>
      <c r="K344" s="34"/>
      <c r="L344" s="40">
        <f t="shared" si="19"/>
        <v>-46020</v>
      </c>
      <c r="M344" s="34">
        <f t="shared" si="20"/>
        <v>10860</v>
      </c>
      <c r="N344" s="34">
        <f t="shared" si="21"/>
        <v>0</v>
      </c>
      <c r="O344" s="36">
        <f t="shared" si="22"/>
        <v>-30</v>
      </c>
      <c r="P344" s="41">
        <f t="shared" si="23"/>
        <v>0</v>
      </c>
      <c r="Q344" s="70">
        <f t="shared" si="24"/>
        <v>0</v>
      </c>
    </row>
    <row r="345" spans="2:17" x14ac:dyDescent="0.4">
      <c r="B345" s="38" t="s">
        <v>1208</v>
      </c>
      <c r="C345" s="34">
        <v>1</v>
      </c>
      <c r="D345" s="34">
        <v>26050</v>
      </c>
      <c r="E345" s="37">
        <v>46021</v>
      </c>
      <c r="F345" s="34"/>
      <c r="G345" s="35"/>
      <c r="H345" s="34">
        <f t="shared" si="17"/>
        <v>50</v>
      </c>
      <c r="I345" s="34">
        <f t="shared" si="18"/>
        <v>0</v>
      </c>
      <c r="J345" s="39">
        <v>0</v>
      </c>
      <c r="K345" s="34"/>
      <c r="L345" s="40">
        <f t="shared" si="19"/>
        <v>-46020</v>
      </c>
      <c r="M345" s="34">
        <f t="shared" si="20"/>
        <v>26050</v>
      </c>
      <c r="N345" s="34">
        <f t="shared" si="21"/>
        <v>0</v>
      </c>
      <c r="O345" s="36">
        <f t="shared" si="22"/>
        <v>-50</v>
      </c>
      <c r="P345" s="41">
        <f t="shared" si="23"/>
        <v>0</v>
      </c>
      <c r="Q345" s="70">
        <f t="shared" si="24"/>
        <v>0</v>
      </c>
    </row>
    <row r="346" spans="2:17" x14ac:dyDescent="0.4">
      <c r="B346" s="38" t="s">
        <v>91</v>
      </c>
      <c r="C346" s="34">
        <v>1</v>
      </c>
      <c r="D346" s="34">
        <v>11250</v>
      </c>
      <c r="E346" s="37">
        <v>46024</v>
      </c>
      <c r="F346" s="34"/>
      <c r="G346" s="35"/>
      <c r="H346" s="34">
        <f t="shared" si="17"/>
        <v>30</v>
      </c>
      <c r="I346" s="34">
        <f t="shared" si="18"/>
        <v>0</v>
      </c>
      <c r="J346" s="39">
        <v>0</v>
      </c>
      <c r="K346" s="34"/>
      <c r="L346" s="40">
        <f t="shared" si="19"/>
        <v>-46023</v>
      </c>
      <c r="M346" s="34">
        <f t="shared" si="20"/>
        <v>11250</v>
      </c>
      <c r="N346" s="34">
        <f t="shared" si="21"/>
        <v>0</v>
      </c>
      <c r="O346" s="36">
        <f t="shared" si="22"/>
        <v>-30</v>
      </c>
      <c r="P346" s="41">
        <f t="shared" si="23"/>
        <v>0</v>
      </c>
      <c r="Q346" s="70">
        <f t="shared" si="24"/>
        <v>0</v>
      </c>
    </row>
    <row r="347" spans="2:17" x14ac:dyDescent="0.4">
      <c r="B347" s="38" t="s">
        <v>89</v>
      </c>
      <c r="C347" s="34">
        <v>1</v>
      </c>
      <c r="D347" s="34">
        <v>23195</v>
      </c>
      <c r="E347" s="37">
        <v>46024</v>
      </c>
      <c r="F347" s="34"/>
      <c r="G347" s="35"/>
      <c r="H347" s="34">
        <f t="shared" si="17"/>
        <v>50</v>
      </c>
      <c r="I347" s="34">
        <f t="shared" si="18"/>
        <v>0</v>
      </c>
      <c r="J347" s="39">
        <v>0</v>
      </c>
      <c r="K347" s="34"/>
      <c r="L347" s="40">
        <f t="shared" si="19"/>
        <v>-46023</v>
      </c>
      <c r="M347" s="34">
        <f t="shared" si="20"/>
        <v>23195</v>
      </c>
      <c r="N347" s="34">
        <f t="shared" si="21"/>
        <v>0</v>
      </c>
      <c r="O347" s="36">
        <f t="shared" si="22"/>
        <v>-50</v>
      </c>
      <c r="P347" s="41">
        <f t="shared" si="23"/>
        <v>0</v>
      </c>
      <c r="Q347" s="70">
        <f t="shared" si="24"/>
        <v>0</v>
      </c>
    </row>
    <row r="348" spans="2:17" x14ac:dyDescent="0.4">
      <c r="B348" s="38" t="s">
        <v>1205</v>
      </c>
      <c r="C348" s="34">
        <v>1</v>
      </c>
      <c r="D348" s="34">
        <v>11820</v>
      </c>
      <c r="E348" s="37">
        <v>46024</v>
      </c>
      <c r="F348" s="34"/>
      <c r="G348" s="35"/>
      <c r="H348" s="34">
        <f t="shared" si="17"/>
        <v>30</v>
      </c>
      <c r="I348" s="34">
        <f t="shared" si="18"/>
        <v>0</v>
      </c>
      <c r="J348" s="39">
        <v>0</v>
      </c>
      <c r="K348" s="34"/>
      <c r="L348" s="40">
        <f t="shared" si="19"/>
        <v>-46023</v>
      </c>
      <c r="M348" s="34">
        <f t="shared" si="20"/>
        <v>11820</v>
      </c>
      <c r="N348" s="34">
        <f t="shared" si="21"/>
        <v>0</v>
      </c>
      <c r="O348" s="36">
        <f t="shared" si="22"/>
        <v>-30</v>
      </c>
      <c r="P348" s="41">
        <f t="shared" si="23"/>
        <v>0</v>
      </c>
      <c r="Q348" s="70">
        <f t="shared" si="24"/>
        <v>0</v>
      </c>
    </row>
    <row r="349" spans="2:17" x14ac:dyDescent="0.4">
      <c r="B349" s="38" t="s">
        <v>1210</v>
      </c>
      <c r="C349" s="34">
        <v>1</v>
      </c>
      <c r="D349" s="34">
        <v>26600</v>
      </c>
      <c r="E349" s="37">
        <v>46024</v>
      </c>
      <c r="F349" s="34">
        <v>48600</v>
      </c>
      <c r="G349" s="35">
        <v>46098</v>
      </c>
      <c r="H349" s="34">
        <f t="shared" si="17"/>
        <v>60</v>
      </c>
      <c r="I349" s="34">
        <f t="shared" si="18"/>
        <v>90</v>
      </c>
      <c r="J349" s="39">
        <v>0</v>
      </c>
      <c r="K349" s="34"/>
      <c r="L349" s="40">
        <f t="shared" si="19"/>
        <v>75</v>
      </c>
      <c r="M349" s="34">
        <f t="shared" si="20"/>
        <v>26600</v>
      </c>
      <c r="N349" s="34">
        <f t="shared" si="21"/>
        <v>48600</v>
      </c>
      <c r="O349" s="36">
        <f t="shared" si="22"/>
        <v>-150</v>
      </c>
      <c r="P349" s="41">
        <f t="shared" si="23"/>
        <v>21850</v>
      </c>
      <c r="Q349" s="70">
        <f t="shared" si="24"/>
        <v>0.8214285714285714</v>
      </c>
    </row>
    <row r="350" spans="2:17" x14ac:dyDescent="0.4">
      <c r="B350" s="38" t="s">
        <v>1194</v>
      </c>
      <c r="C350" s="34">
        <v>1</v>
      </c>
      <c r="D350" s="34">
        <v>11880</v>
      </c>
      <c r="E350" s="37">
        <v>46024</v>
      </c>
      <c r="F350" s="34"/>
      <c r="G350" s="35"/>
      <c r="H350" s="34">
        <f t="shared" si="17"/>
        <v>30</v>
      </c>
      <c r="I350" s="34">
        <f t="shared" si="18"/>
        <v>0</v>
      </c>
      <c r="J350" s="39">
        <v>0</v>
      </c>
      <c r="K350" s="34"/>
      <c r="L350" s="40">
        <f t="shared" si="19"/>
        <v>-46023</v>
      </c>
      <c r="M350" s="34">
        <f t="shared" si="20"/>
        <v>11880</v>
      </c>
      <c r="N350" s="34">
        <f t="shared" si="21"/>
        <v>0</v>
      </c>
      <c r="O350" s="36">
        <f t="shared" si="22"/>
        <v>-30</v>
      </c>
      <c r="P350" s="41">
        <f t="shared" si="23"/>
        <v>0</v>
      </c>
      <c r="Q350" s="70">
        <f t="shared" si="24"/>
        <v>0</v>
      </c>
    </row>
    <row r="351" spans="2:17" x14ac:dyDescent="0.4">
      <c r="B351" s="38" t="s">
        <v>1211</v>
      </c>
      <c r="C351" s="34">
        <v>1</v>
      </c>
      <c r="D351" s="34">
        <v>21595</v>
      </c>
      <c r="E351" s="37">
        <v>46024</v>
      </c>
      <c r="F351" s="34"/>
      <c r="G351" s="35"/>
      <c r="H351" s="34">
        <f t="shared" si="17"/>
        <v>50</v>
      </c>
      <c r="I351" s="34">
        <f t="shared" si="18"/>
        <v>0</v>
      </c>
      <c r="J351" s="39">
        <v>0</v>
      </c>
      <c r="K351" s="34"/>
      <c r="L351" s="40">
        <f t="shared" si="19"/>
        <v>-46023</v>
      </c>
      <c r="M351" s="34">
        <f t="shared" si="20"/>
        <v>21595</v>
      </c>
      <c r="N351" s="34">
        <f t="shared" si="21"/>
        <v>0</v>
      </c>
      <c r="O351" s="36">
        <f t="shared" si="22"/>
        <v>-50</v>
      </c>
      <c r="P351" s="41">
        <f t="shared" si="23"/>
        <v>0</v>
      </c>
      <c r="Q351" s="70">
        <f t="shared" si="24"/>
        <v>0</v>
      </c>
    </row>
    <row r="352" spans="2:17" x14ac:dyDescent="0.4">
      <c r="B352" s="38" t="s">
        <v>1206</v>
      </c>
      <c r="C352" s="34">
        <v>1</v>
      </c>
      <c r="D352" s="34">
        <v>26755</v>
      </c>
      <c r="E352" s="37">
        <v>46027</v>
      </c>
      <c r="F352" s="34"/>
      <c r="G352" s="35"/>
      <c r="H352" s="34">
        <f t="shared" si="17"/>
        <v>60</v>
      </c>
      <c r="I352" s="34">
        <f t="shared" si="18"/>
        <v>0</v>
      </c>
      <c r="J352" s="39">
        <v>0</v>
      </c>
      <c r="K352" s="34"/>
      <c r="L352" s="40">
        <f t="shared" si="19"/>
        <v>-46026</v>
      </c>
      <c r="M352" s="34">
        <f t="shared" si="20"/>
        <v>26755</v>
      </c>
      <c r="N352" s="34">
        <f t="shared" si="21"/>
        <v>0</v>
      </c>
      <c r="O352" s="36">
        <f t="shared" si="22"/>
        <v>-60</v>
      </c>
      <c r="P352" s="41">
        <f t="shared" si="23"/>
        <v>0</v>
      </c>
      <c r="Q352" s="70">
        <f t="shared" si="24"/>
        <v>0</v>
      </c>
    </row>
    <row r="353" spans="2:17" x14ac:dyDescent="0.4">
      <c r="B353" s="38" t="s">
        <v>1209</v>
      </c>
      <c r="C353" s="34">
        <v>1</v>
      </c>
      <c r="D353" s="34">
        <v>7720</v>
      </c>
      <c r="E353" s="37">
        <v>46027</v>
      </c>
      <c r="F353" s="34"/>
      <c r="G353" s="35"/>
      <c r="H353" s="34">
        <f t="shared" si="17"/>
        <v>20</v>
      </c>
      <c r="I353" s="34">
        <f t="shared" si="18"/>
        <v>0</v>
      </c>
      <c r="J353" s="39">
        <v>0</v>
      </c>
      <c r="K353" s="34"/>
      <c r="L353" s="40">
        <f t="shared" si="19"/>
        <v>-46026</v>
      </c>
      <c r="M353" s="34">
        <f t="shared" si="20"/>
        <v>7720</v>
      </c>
      <c r="N353" s="34">
        <f t="shared" si="21"/>
        <v>0</v>
      </c>
      <c r="O353" s="36">
        <f t="shared" si="22"/>
        <v>-20</v>
      </c>
      <c r="P353" s="41">
        <f t="shared" si="23"/>
        <v>0</v>
      </c>
      <c r="Q353" s="70">
        <f t="shared" si="24"/>
        <v>0</v>
      </c>
    </row>
    <row r="354" spans="2:17" x14ac:dyDescent="0.4">
      <c r="B354" s="38" t="s">
        <v>1207</v>
      </c>
      <c r="C354" s="34">
        <v>1</v>
      </c>
      <c r="D354" s="34">
        <v>11835</v>
      </c>
      <c r="E354" s="37">
        <v>46028</v>
      </c>
      <c r="F354" s="34"/>
      <c r="G354" s="35"/>
      <c r="H354" s="34">
        <f t="shared" si="17"/>
        <v>30</v>
      </c>
      <c r="I354" s="34">
        <f t="shared" si="18"/>
        <v>0</v>
      </c>
      <c r="J354" s="39">
        <v>0</v>
      </c>
      <c r="K354" s="34"/>
      <c r="L354" s="40">
        <f t="shared" si="19"/>
        <v>-46027</v>
      </c>
      <c r="M354" s="34">
        <f t="shared" si="20"/>
        <v>11835</v>
      </c>
      <c r="N354" s="34">
        <f t="shared" si="21"/>
        <v>0</v>
      </c>
      <c r="O354" s="36">
        <f t="shared" si="22"/>
        <v>-30</v>
      </c>
      <c r="P354" s="41">
        <f t="shared" si="23"/>
        <v>0</v>
      </c>
      <c r="Q354" s="70">
        <f t="shared" si="24"/>
        <v>0</v>
      </c>
    </row>
    <row r="355" spans="2:17" x14ac:dyDescent="0.4">
      <c r="B355" s="38" t="s">
        <v>1208</v>
      </c>
      <c r="C355" s="34">
        <v>1</v>
      </c>
      <c r="D355" s="34">
        <v>25835</v>
      </c>
      <c r="E355" s="37">
        <v>46028</v>
      </c>
      <c r="F355" s="34"/>
      <c r="G355" s="35"/>
      <c r="H355" s="34">
        <f t="shared" si="17"/>
        <v>50</v>
      </c>
      <c r="I355" s="34">
        <f t="shared" si="18"/>
        <v>0</v>
      </c>
      <c r="J355" s="39">
        <v>0</v>
      </c>
      <c r="K355" s="34"/>
      <c r="L355" s="40">
        <f t="shared" si="19"/>
        <v>-46027</v>
      </c>
      <c r="M355" s="34">
        <f t="shared" si="20"/>
        <v>25835</v>
      </c>
      <c r="N355" s="34">
        <f t="shared" si="21"/>
        <v>0</v>
      </c>
      <c r="O355" s="36">
        <f t="shared" si="22"/>
        <v>-50</v>
      </c>
      <c r="P355" s="41">
        <f t="shared" si="23"/>
        <v>0</v>
      </c>
      <c r="Q355" s="70">
        <f t="shared" si="24"/>
        <v>0</v>
      </c>
    </row>
    <row r="356" spans="2:17" x14ac:dyDescent="0.4">
      <c r="B356" s="38" t="s">
        <v>91</v>
      </c>
      <c r="C356" s="34">
        <v>1</v>
      </c>
      <c r="D356" s="34">
        <v>11170</v>
      </c>
      <c r="E356" s="37">
        <v>46029</v>
      </c>
      <c r="F356" s="34"/>
      <c r="G356" s="35"/>
      <c r="H356" s="34">
        <f t="shared" si="17"/>
        <v>30</v>
      </c>
      <c r="I356" s="34">
        <f t="shared" si="18"/>
        <v>0</v>
      </c>
      <c r="J356" s="39">
        <v>0</v>
      </c>
      <c r="K356" s="34"/>
      <c r="L356" s="40">
        <f t="shared" si="19"/>
        <v>-46028</v>
      </c>
      <c r="M356" s="34">
        <f t="shared" si="20"/>
        <v>11170</v>
      </c>
      <c r="N356" s="34">
        <f t="shared" si="21"/>
        <v>0</v>
      </c>
      <c r="O356" s="36">
        <f t="shared" si="22"/>
        <v>-30</v>
      </c>
      <c r="P356" s="41">
        <f t="shared" si="23"/>
        <v>0</v>
      </c>
      <c r="Q356" s="70">
        <f t="shared" si="24"/>
        <v>0</v>
      </c>
    </row>
    <row r="357" spans="2:17" x14ac:dyDescent="0.4">
      <c r="B357" s="38" t="s">
        <v>89</v>
      </c>
      <c r="C357" s="34">
        <v>1</v>
      </c>
      <c r="D357" s="34">
        <v>23445</v>
      </c>
      <c r="E357" s="37">
        <v>46029</v>
      </c>
      <c r="F357" s="34"/>
      <c r="G357" s="35"/>
      <c r="H357" s="34">
        <f t="shared" si="17"/>
        <v>50</v>
      </c>
      <c r="I357" s="34">
        <f t="shared" si="18"/>
        <v>0</v>
      </c>
      <c r="J357" s="39">
        <v>0</v>
      </c>
      <c r="K357" s="34"/>
      <c r="L357" s="40">
        <f t="shared" si="19"/>
        <v>-46028</v>
      </c>
      <c r="M357" s="34">
        <f t="shared" si="20"/>
        <v>23445</v>
      </c>
      <c r="N357" s="34">
        <f t="shared" si="21"/>
        <v>0</v>
      </c>
      <c r="O357" s="36">
        <f t="shared" si="22"/>
        <v>-50</v>
      </c>
      <c r="P357" s="41">
        <f t="shared" si="23"/>
        <v>0</v>
      </c>
      <c r="Q357" s="70">
        <f t="shared" si="24"/>
        <v>0</v>
      </c>
    </row>
    <row r="358" spans="2:17" x14ac:dyDescent="0.4">
      <c r="B358" s="38" t="s">
        <v>1205</v>
      </c>
      <c r="C358" s="34">
        <v>1</v>
      </c>
      <c r="D358" s="34">
        <v>11605</v>
      </c>
      <c r="E358" s="37">
        <v>46030</v>
      </c>
      <c r="F358" s="34"/>
      <c r="G358" s="35"/>
      <c r="H358" s="34">
        <f t="shared" si="17"/>
        <v>30</v>
      </c>
      <c r="I358" s="34">
        <f t="shared" si="18"/>
        <v>0</v>
      </c>
      <c r="J358" s="39">
        <v>0</v>
      </c>
      <c r="K358" s="34"/>
      <c r="L358" s="40">
        <f t="shared" si="19"/>
        <v>-46029</v>
      </c>
      <c r="M358" s="34">
        <f t="shared" si="20"/>
        <v>11605</v>
      </c>
      <c r="N358" s="34">
        <f t="shared" si="21"/>
        <v>0</v>
      </c>
      <c r="O358" s="36">
        <f t="shared" si="22"/>
        <v>-30</v>
      </c>
      <c r="P358" s="41">
        <f t="shared" si="23"/>
        <v>0</v>
      </c>
      <c r="Q358" s="70">
        <f t="shared" si="24"/>
        <v>0</v>
      </c>
    </row>
    <row r="359" spans="2:17" x14ac:dyDescent="0.4">
      <c r="B359" s="38" t="s">
        <v>1210</v>
      </c>
      <c r="C359" s="34">
        <v>1</v>
      </c>
      <c r="D359" s="34">
        <v>31210</v>
      </c>
      <c r="E359" s="37">
        <v>46030</v>
      </c>
      <c r="F359" s="34">
        <v>48600</v>
      </c>
      <c r="G359" s="35">
        <v>46098</v>
      </c>
      <c r="H359" s="34">
        <f t="shared" si="17"/>
        <v>60</v>
      </c>
      <c r="I359" s="34">
        <f t="shared" si="18"/>
        <v>90</v>
      </c>
      <c r="J359" s="39">
        <v>0</v>
      </c>
      <c r="K359" s="34"/>
      <c r="L359" s="40">
        <f t="shared" si="19"/>
        <v>69</v>
      </c>
      <c r="M359" s="34">
        <f t="shared" si="20"/>
        <v>31210</v>
      </c>
      <c r="N359" s="34">
        <f t="shared" si="21"/>
        <v>48600</v>
      </c>
      <c r="O359" s="36">
        <f t="shared" si="22"/>
        <v>-150</v>
      </c>
      <c r="P359" s="41">
        <f t="shared" si="23"/>
        <v>17240</v>
      </c>
      <c r="Q359" s="70">
        <f t="shared" si="24"/>
        <v>0.55238705543095157</v>
      </c>
    </row>
    <row r="360" spans="2:17" x14ac:dyDescent="0.4">
      <c r="B360" s="38" t="s">
        <v>1194</v>
      </c>
      <c r="C360" s="34">
        <v>1</v>
      </c>
      <c r="D360" s="34">
        <v>12350</v>
      </c>
      <c r="E360" s="37">
        <v>46031</v>
      </c>
      <c r="F360" s="34"/>
      <c r="G360" s="35"/>
      <c r="H360" s="34">
        <f t="shared" si="17"/>
        <v>30</v>
      </c>
      <c r="I360" s="34">
        <f t="shared" si="18"/>
        <v>0</v>
      </c>
      <c r="J360" s="39">
        <v>0</v>
      </c>
      <c r="K360" s="34"/>
      <c r="L360" s="40">
        <f t="shared" si="19"/>
        <v>-46030</v>
      </c>
      <c r="M360" s="34">
        <f t="shared" si="20"/>
        <v>12350</v>
      </c>
      <c r="N360" s="34">
        <f t="shared" si="21"/>
        <v>0</v>
      </c>
      <c r="O360" s="36">
        <f t="shared" si="22"/>
        <v>-30</v>
      </c>
      <c r="P360" s="41">
        <f t="shared" si="23"/>
        <v>0</v>
      </c>
      <c r="Q360" s="70">
        <f t="shared" si="24"/>
        <v>0</v>
      </c>
    </row>
    <row r="361" spans="2:17" x14ac:dyDescent="0.4">
      <c r="B361" s="38" t="s">
        <v>1211</v>
      </c>
      <c r="C361" s="34">
        <v>1</v>
      </c>
      <c r="D361" s="34">
        <v>23555</v>
      </c>
      <c r="E361" s="37">
        <v>46031</v>
      </c>
      <c r="F361" s="34"/>
      <c r="G361" s="35"/>
      <c r="H361" s="34">
        <f t="shared" si="17"/>
        <v>50</v>
      </c>
      <c r="I361" s="34">
        <f t="shared" si="18"/>
        <v>0</v>
      </c>
      <c r="J361" s="39">
        <v>0</v>
      </c>
      <c r="K361" s="34"/>
      <c r="L361" s="40">
        <f t="shared" si="19"/>
        <v>-46030</v>
      </c>
      <c r="M361" s="34">
        <f t="shared" si="20"/>
        <v>23555</v>
      </c>
      <c r="N361" s="34">
        <f t="shared" si="21"/>
        <v>0</v>
      </c>
      <c r="O361" s="36">
        <f t="shared" si="22"/>
        <v>-50</v>
      </c>
      <c r="P361" s="41">
        <f t="shared" si="23"/>
        <v>0</v>
      </c>
      <c r="Q361" s="70">
        <f t="shared" si="24"/>
        <v>0</v>
      </c>
    </row>
    <row r="362" spans="2:17" x14ac:dyDescent="0.4">
      <c r="B362" s="38" t="s">
        <v>1206</v>
      </c>
      <c r="C362" s="34">
        <v>1</v>
      </c>
      <c r="D362" s="34">
        <v>27590</v>
      </c>
      <c r="E362" s="37">
        <v>46034</v>
      </c>
      <c r="F362" s="34"/>
      <c r="G362" s="35"/>
      <c r="H362" s="34">
        <f t="shared" si="17"/>
        <v>60</v>
      </c>
      <c r="I362" s="34">
        <f t="shared" si="18"/>
        <v>0</v>
      </c>
      <c r="J362" s="39">
        <v>0</v>
      </c>
      <c r="K362" s="34"/>
      <c r="L362" s="40">
        <f t="shared" si="19"/>
        <v>-46033</v>
      </c>
      <c r="M362" s="34">
        <f t="shared" si="20"/>
        <v>27590</v>
      </c>
      <c r="N362" s="34">
        <f t="shared" si="21"/>
        <v>0</v>
      </c>
      <c r="O362" s="36">
        <f t="shared" si="22"/>
        <v>-60</v>
      </c>
      <c r="P362" s="41">
        <f t="shared" si="23"/>
        <v>0</v>
      </c>
      <c r="Q362" s="70">
        <f t="shared" si="24"/>
        <v>0</v>
      </c>
    </row>
    <row r="363" spans="2:17" x14ac:dyDescent="0.4">
      <c r="B363" s="38" t="s">
        <v>1209</v>
      </c>
      <c r="C363" s="34">
        <v>1</v>
      </c>
      <c r="D363" s="34">
        <v>7880</v>
      </c>
      <c r="E363" s="37">
        <v>46034</v>
      </c>
      <c r="F363" s="34"/>
      <c r="G363" s="35"/>
      <c r="H363" s="34">
        <f t="shared" si="17"/>
        <v>20</v>
      </c>
      <c r="I363" s="34">
        <f t="shared" si="18"/>
        <v>0</v>
      </c>
      <c r="J363" s="39">
        <v>0</v>
      </c>
      <c r="K363" s="34"/>
      <c r="L363" s="40">
        <f t="shared" si="19"/>
        <v>-46033</v>
      </c>
      <c r="M363" s="34">
        <f t="shared" si="20"/>
        <v>7880</v>
      </c>
      <c r="N363" s="34">
        <f t="shared" si="21"/>
        <v>0</v>
      </c>
      <c r="O363" s="36">
        <f t="shared" si="22"/>
        <v>-20</v>
      </c>
      <c r="P363" s="41">
        <f t="shared" si="23"/>
        <v>0</v>
      </c>
      <c r="Q363" s="70">
        <f t="shared" si="24"/>
        <v>0</v>
      </c>
    </row>
    <row r="364" spans="2:17" x14ac:dyDescent="0.4">
      <c r="B364" s="38" t="s">
        <v>1207</v>
      </c>
      <c r="C364" s="34">
        <v>1</v>
      </c>
      <c r="D364" s="34">
        <v>12335</v>
      </c>
      <c r="E364" s="37">
        <v>46035</v>
      </c>
      <c r="F364" s="34"/>
      <c r="G364" s="35"/>
      <c r="H364" s="34">
        <f t="shared" si="17"/>
        <v>30</v>
      </c>
      <c r="I364" s="34">
        <f t="shared" si="18"/>
        <v>0</v>
      </c>
      <c r="J364" s="39">
        <v>0</v>
      </c>
      <c r="K364" s="34"/>
      <c r="L364" s="40">
        <f t="shared" si="19"/>
        <v>-46034</v>
      </c>
      <c r="M364" s="34">
        <f t="shared" si="20"/>
        <v>12335</v>
      </c>
      <c r="N364" s="34">
        <f t="shared" si="21"/>
        <v>0</v>
      </c>
      <c r="O364" s="36">
        <f t="shared" si="22"/>
        <v>-30</v>
      </c>
      <c r="P364" s="41">
        <f t="shared" si="23"/>
        <v>0</v>
      </c>
      <c r="Q364" s="70">
        <f t="shared" si="24"/>
        <v>0</v>
      </c>
    </row>
    <row r="365" spans="2:17" x14ac:dyDescent="0.4">
      <c r="B365" s="38" t="s">
        <v>1208</v>
      </c>
      <c r="C365" s="34">
        <v>1</v>
      </c>
      <c r="D365" s="34">
        <v>27145</v>
      </c>
      <c r="E365" s="37">
        <v>46035</v>
      </c>
      <c r="F365" s="34"/>
      <c r="G365" s="35"/>
      <c r="H365" s="34">
        <f t="shared" si="17"/>
        <v>60</v>
      </c>
      <c r="I365" s="34">
        <f t="shared" si="18"/>
        <v>0</v>
      </c>
      <c r="J365" s="39">
        <v>0</v>
      </c>
      <c r="K365" s="34"/>
      <c r="L365" s="40">
        <f t="shared" si="19"/>
        <v>-46034</v>
      </c>
      <c r="M365" s="34">
        <f t="shared" si="20"/>
        <v>27145</v>
      </c>
      <c r="N365" s="34">
        <f t="shared" si="21"/>
        <v>0</v>
      </c>
      <c r="O365" s="36">
        <f t="shared" si="22"/>
        <v>-60</v>
      </c>
      <c r="P365" s="41">
        <f t="shared" si="23"/>
        <v>0</v>
      </c>
      <c r="Q365" s="70">
        <f t="shared" si="24"/>
        <v>0</v>
      </c>
    </row>
    <row r="366" spans="2:17" x14ac:dyDescent="0.4">
      <c r="B366" s="38" t="s">
        <v>91</v>
      </c>
      <c r="C366" s="34">
        <v>1</v>
      </c>
      <c r="D366" s="34">
        <v>11060</v>
      </c>
      <c r="E366" s="37">
        <v>46036</v>
      </c>
      <c r="F366" s="34"/>
      <c r="G366" s="35"/>
      <c r="H366" s="34">
        <f t="shared" si="17"/>
        <v>30</v>
      </c>
      <c r="I366" s="34">
        <f t="shared" si="18"/>
        <v>0</v>
      </c>
      <c r="J366" s="39">
        <v>0</v>
      </c>
      <c r="K366" s="34"/>
      <c r="L366" s="40">
        <f t="shared" si="19"/>
        <v>-46035</v>
      </c>
      <c r="M366" s="34">
        <f t="shared" si="20"/>
        <v>11060</v>
      </c>
      <c r="N366" s="34">
        <f t="shared" si="21"/>
        <v>0</v>
      </c>
      <c r="O366" s="36">
        <f t="shared" si="22"/>
        <v>-30</v>
      </c>
      <c r="P366" s="41">
        <f t="shared" si="23"/>
        <v>0</v>
      </c>
      <c r="Q366" s="70">
        <f t="shared" si="24"/>
        <v>0</v>
      </c>
    </row>
    <row r="367" spans="2:17" x14ac:dyDescent="0.4">
      <c r="B367" s="38" t="s">
        <v>89</v>
      </c>
      <c r="C367" s="34">
        <v>1</v>
      </c>
      <c r="D367" s="34">
        <v>23260</v>
      </c>
      <c r="E367" s="37">
        <v>46036</v>
      </c>
      <c r="F367" s="34"/>
      <c r="G367" s="35"/>
      <c r="H367" s="34">
        <f t="shared" si="17"/>
        <v>50</v>
      </c>
      <c r="I367" s="34">
        <f t="shared" si="18"/>
        <v>0</v>
      </c>
      <c r="J367" s="39">
        <v>0</v>
      </c>
      <c r="K367" s="34"/>
      <c r="L367" s="40">
        <f t="shared" si="19"/>
        <v>-46035</v>
      </c>
      <c r="M367" s="34">
        <f t="shared" si="20"/>
        <v>23260</v>
      </c>
      <c r="N367" s="34">
        <f t="shared" si="21"/>
        <v>0</v>
      </c>
      <c r="O367" s="36">
        <f t="shared" si="22"/>
        <v>-50</v>
      </c>
      <c r="P367" s="41">
        <f t="shared" si="23"/>
        <v>0</v>
      </c>
      <c r="Q367" s="70">
        <f t="shared" si="24"/>
        <v>0</v>
      </c>
    </row>
    <row r="368" spans="2:17" x14ac:dyDescent="0.4">
      <c r="B368" s="38" t="s">
        <v>1205</v>
      </c>
      <c r="C368" s="34">
        <v>1</v>
      </c>
      <c r="D368" s="34">
        <v>11765</v>
      </c>
      <c r="E368" s="37">
        <v>46037</v>
      </c>
      <c r="F368" s="34"/>
      <c r="G368" s="35"/>
      <c r="H368" s="34">
        <f t="shared" si="17"/>
        <v>30</v>
      </c>
      <c r="I368" s="34">
        <f t="shared" si="18"/>
        <v>0</v>
      </c>
      <c r="J368" s="39">
        <v>0</v>
      </c>
      <c r="K368" s="34"/>
      <c r="L368" s="40">
        <f t="shared" si="19"/>
        <v>-46036</v>
      </c>
      <c r="M368" s="34">
        <f t="shared" si="20"/>
        <v>11765</v>
      </c>
      <c r="N368" s="34">
        <f t="shared" si="21"/>
        <v>0</v>
      </c>
      <c r="O368" s="36">
        <f t="shared" si="22"/>
        <v>-30</v>
      </c>
      <c r="P368" s="41">
        <f t="shared" si="23"/>
        <v>0</v>
      </c>
      <c r="Q368" s="70">
        <f t="shared" si="24"/>
        <v>0</v>
      </c>
    </row>
    <row r="369" spans="2:17" x14ac:dyDescent="0.4">
      <c r="B369" s="38" t="s">
        <v>1210</v>
      </c>
      <c r="C369" s="34">
        <v>1</v>
      </c>
      <c r="D369" s="34">
        <v>36930</v>
      </c>
      <c r="E369" s="37">
        <v>46037</v>
      </c>
      <c r="F369" s="34">
        <v>48600</v>
      </c>
      <c r="G369" s="35">
        <v>46098</v>
      </c>
      <c r="H369" s="34">
        <f t="shared" si="17"/>
        <v>70</v>
      </c>
      <c r="I369" s="34">
        <f t="shared" si="18"/>
        <v>90</v>
      </c>
      <c r="J369" s="39">
        <v>0</v>
      </c>
      <c r="K369" s="34"/>
      <c r="L369" s="40">
        <f t="shared" si="19"/>
        <v>62</v>
      </c>
      <c r="M369" s="34">
        <f t="shared" si="20"/>
        <v>36930</v>
      </c>
      <c r="N369" s="34">
        <f t="shared" si="21"/>
        <v>48600</v>
      </c>
      <c r="O369" s="36">
        <f t="shared" si="22"/>
        <v>-160</v>
      </c>
      <c r="P369" s="41">
        <f t="shared" si="23"/>
        <v>11510</v>
      </c>
      <c r="Q369" s="70">
        <f t="shared" si="24"/>
        <v>0.31167072840509069</v>
      </c>
    </row>
    <row r="370" spans="2:17" x14ac:dyDescent="0.4">
      <c r="B370" s="38" t="s">
        <v>1194</v>
      </c>
      <c r="C370" s="34">
        <v>1</v>
      </c>
      <c r="D370" s="34">
        <v>12710</v>
      </c>
      <c r="E370" s="37">
        <v>46038</v>
      </c>
      <c r="F370" s="34"/>
      <c r="G370" s="35"/>
      <c r="H370" s="34">
        <f t="shared" si="17"/>
        <v>30</v>
      </c>
      <c r="I370" s="34">
        <f t="shared" si="18"/>
        <v>0</v>
      </c>
      <c r="J370" s="39">
        <v>0</v>
      </c>
      <c r="K370" s="34"/>
      <c r="L370" s="40">
        <f t="shared" si="19"/>
        <v>-46037</v>
      </c>
      <c r="M370" s="34">
        <f t="shared" si="20"/>
        <v>12710</v>
      </c>
      <c r="N370" s="34">
        <f t="shared" si="21"/>
        <v>0</v>
      </c>
      <c r="O370" s="36">
        <f t="shared" si="22"/>
        <v>-30</v>
      </c>
      <c r="P370" s="41">
        <f t="shared" si="23"/>
        <v>0</v>
      </c>
      <c r="Q370" s="70">
        <f t="shared" si="24"/>
        <v>0</v>
      </c>
    </row>
    <row r="371" spans="2:17" x14ac:dyDescent="0.4">
      <c r="B371" s="38" t="s">
        <v>1211</v>
      </c>
      <c r="C371" s="34">
        <v>1</v>
      </c>
      <c r="D371" s="34">
        <v>24060</v>
      </c>
      <c r="E371" s="37">
        <v>46038</v>
      </c>
      <c r="F371" s="34"/>
      <c r="G371" s="35"/>
      <c r="H371" s="34">
        <f t="shared" si="17"/>
        <v>50</v>
      </c>
      <c r="I371" s="34">
        <f t="shared" si="18"/>
        <v>0</v>
      </c>
      <c r="J371" s="39">
        <v>0</v>
      </c>
      <c r="K371" s="34"/>
      <c r="L371" s="40">
        <f t="shared" si="19"/>
        <v>-46037</v>
      </c>
      <c r="M371" s="34">
        <f t="shared" si="20"/>
        <v>24060</v>
      </c>
      <c r="N371" s="34">
        <f t="shared" si="21"/>
        <v>0</v>
      </c>
      <c r="O371" s="36">
        <f t="shared" si="22"/>
        <v>-50</v>
      </c>
      <c r="P371" s="41">
        <f t="shared" si="23"/>
        <v>0</v>
      </c>
      <c r="Q371" s="70">
        <f t="shared" si="24"/>
        <v>0</v>
      </c>
    </row>
    <row r="372" spans="2:17" x14ac:dyDescent="0.4">
      <c r="B372" s="38" t="s">
        <v>1206</v>
      </c>
      <c r="C372" s="34">
        <v>1</v>
      </c>
      <c r="D372" s="34">
        <v>28485</v>
      </c>
      <c r="E372" s="37">
        <v>46041</v>
      </c>
      <c r="F372" s="34"/>
      <c r="G372" s="35"/>
      <c r="H372" s="34">
        <f t="shared" ref="H372:H435" si="25">ROUNDUP(M372*0.001891639,-1)</f>
        <v>60</v>
      </c>
      <c r="I372" s="34">
        <f t="shared" ref="I372:I435" si="26">ROUNDDOWN(N372*0.001891639,-1)</f>
        <v>0</v>
      </c>
      <c r="J372" s="39">
        <v>0</v>
      </c>
      <c r="K372" s="34"/>
      <c r="L372" s="40">
        <f t="shared" ref="L372:L435" si="27">G372-E372+1</f>
        <v>-46040</v>
      </c>
      <c r="M372" s="34">
        <f t="shared" ref="M372:M435" si="28">C372*D372</f>
        <v>28485</v>
      </c>
      <c r="N372" s="34">
        <f t="shared" ref="N372:N435" si="29">C372*F372</f>
        <v>0</v>
      </c>
      <c r="O372" s="36">
        <f t="shared" ref="O372:O435" si="30">K372-H372-I372-J372</f>
        <v>-60</v>
      </c>
      <c r="P372" s="41">
        <f t="shared" ref="P372:P435" si="31">IF(N372=0,0,N372-M372+O372)</f>
        <v>0</v>
      </c>
      <c r="Q372" s="70">
        <f t="shared" ref="Q372:Q435" si="32">P372/M372</f>
        <v>0</v>
      </c>
    </row>
    <row r="373" spans="2:17" x14ac:dyDescent="0.4">
      <c r="B373" s="38" t="s">
        <v>1209</v>
      </c>
      <c r="C373" s="34">
        <v>1</v>
      </c>
      <c r="D373" s="34">
        <v>7600</v>
      </c>
      <c r="E373" s="37">
        <v>46041</v>
      </c>
      <c r="F373" s="34"/>
      <c r="G373" s="35"/>
      <c r="H373" s="34">
        <f t="shared" si="25"/>
        <v>20</v>
      </c>
      <c r="I373" s="34">
        <f t="shared" si="26"/>
        <v>0</v>
      </c>
      <c r="J373" s="39">
        <v>0</v>
      </c>
      <c r="K373" s="34"/>
      <c r="L373" s="40">
        <f t="shared" si="27"/>
        <v>-46040</v>
      </c>
      <c r="M373" s="34">
        <f t="shared" si="28"/>
        <v>7600</v>
      </c>
      <c r="N373" s="34">
        <f t="shared" si="29"/>
        <v>0</v>
      </c>
      <c r="O373" s="36">
        <f t="shared" si="30"/>
        <v>-20</v>
      </c>
      <c r="P373" s="41">
        <f t="shared" si="31"/>
        <v>0</v>
      </c>
      <c r="Q373" s="70">
        <f t="shared" si="32"/>
        <v>0</v>
      </c>
    </row>
    <row r="374" spans="2:17" x14ac:dyDescent="0.4">
      <c r="B374" s="38" t="s">
        <v>1207</v>
      </c>
      <c r="C374" s="34">
        <v>1</v>
      </c>
      <c r="D374" s="34">
        <v>12590</v>
      </c>
      <c r="E374" s="37">
        <v>46042</v>
      </c>
      <c r="F374" s="34"/>
      <c r="G374" s="35"/>
      <c r="H374" s="34">
        <f t="shared" si="25"/>
        <v>30</v>
      </c>
      <c r="I374" s="34">
        <f t="shared" si="26"/>
        <v>0</v>
      </c>
      <c r="J374" s="39">
        <v>0</v>
      </c>
      <c r="K374" s="34"/>
      <c r="L374" s="40">
        <f t="shared" si="27"/>
        <v>-46041</v>
      </c>
      <c r="M374" s="34">
        <f t="shared" si="28"/>
        <v>12590</v>
      </c>
      <c r="N374" s="34">
        <f t="shared" si="29"/>
        <v>0</v>
      </c>
      <c r="O374" s="36">
        <f t="shared" si="30"/>
        <v>-30</v>
      </c>
      <c r="P374" s="41">
        <f t="shared" si="31"/>
        <v>0</v>
      </c>
      <c r="Q374" s="70">
        <f t="shared" si="32"/>
        <v>0</v>
      </c>
    </row>
    <row r="375" spans="2:17" x14ac:dyDescent="0.4">
      <c r="B375" s="38" t="s">
        <v>1208</v>
      </c>
      <c r="C375" s="34">
        <v>1</v>
      </c>
      <c r="D375" s="34">
        <v>27160</v>
      </c>
      <c r="E375" s="37">
        <v>46042</v>
      </c>
      <c r="F375" s="34"/>
      <c r="G375" s="35"/>
      <c r="H375" s="34">
        <f t="shared" si="25"/>
        <v>60</v>
      </c>
      <c r="I375" s="34">
        <f t="shared" si="26"/>
        <v>0</v>
      </c>
      <c r="J375" s="39">
        <v>0</v>
      </c>
      <c r="K375" s="34"/>
      <c r="L375" s="40">
        <f t="shared" si="27"/>
        <v>-46041</v>
      </c>
      <c r="M375" s="34">
        <f t="shared" si="28"/>
        <v>27160</v>
      </c>
      <c r="N375" s="34">
        <f t="shared" si="29"/>
        <v>0</v>
      </c>
      <c r="O375" s="36">
        <f t="shared" si="30"/>
        <v>-60</v>
      </c>
      <c r="P375" s="41">
        <f t="shared" si="31"/>
        <v>0</v>
      </c>
      <c r="Q375" s="70">
        <f t="shared" si="32"/>
        <v>0</v>
      </c>
    </row>
    <row r="376" spans="2:17" x14ac:dyDescent="0.4">
      <c r="B376" s="38" t="s">
        <v>91</v>
      </c>
      <c r="C376" s="34">
        <v>1</v>
      </c>
      <c r="D376" s="34">
        <v>11380</v>
      </c>
      <c r="E376" s="37">
        <v>46043</v>
      </c>
      <c r="F376" s="34"/>
      <c r="G376" s="35"/>
      <c r="H376" s="34">
        <f t="shared" si="25"/>
        <v>30</v>
      </c>
      <c r="I376" s="34">
        <f t="shared" si="26"/>
        <v>0</v>
      </c>
      <c r="J376" s="39">
        <v>0</v>
      </c>
      <c r="K376" s="34"/>
      <c r="L376" s="40">
        <f t="shared" si="27"/>
        <v>-46042</v>
      </c>
      <c r="M376" s="34">
        <f t="shared" si="28"/>
        <v>11380</v>
      </c>
      <c r="N376" s="34">
        <f t="shared" si="29"/>
        <v>0</v>
      </c>
      <c r="O376" s="36">
        <f t="shared" si="30"/>
        <v>-30</v>
      </c>
      <c r="P376" s="41">
        <f t="shared" si="31"/>
        <v>0</v>
      </c>
      <c r="Q376" s="70">
        <f t="shared" si="32"/>
        <v>0</v>
      </c>
    </row>
    <row r="377" spans="2:17" x14ac:dyDescent="0.4">
      <c r="B377" s="38" t="s">
        <v>89</v>
      </c>
      <c r="C377" s="34">
        <v>1</v>
      </c>
      <c r="D377" s="34">
        <v>22465</v>
      </c>
      <c r="E377" s="37">
        <v>46043</v>
      </c>
      <c r="F377" s="34"/>
      <c r="G377" s="35"/>
      <c r="H377" s="34">
        <f t="shared" si="25"/>
        <v>50</v>
      </c>
      <c r="I377" s="34">
        <f t="shared" si="26"/>
        <v>0</v>
      </c>
      <c r="J377" s="39">
        <v>0</v>
      </c>
      <c r="K377" s="34"/>
      <c r="L377" s="40">
        <f t="shared" si="27"/>
        <v>-46042</v>
      </c>
      <c r="M377" s="34">
        <f t="shared" si="28"/>
        <v>22465</v>
      </c>
      <c r="N377" s="34">
        <f t="shared" si="29"/>
        <v>0</v>
      </c>
      <c r="O377" s="36">
        <f t="shared" si="30"/>
        <v>-50</v>
      </c>
      <c r="P377" s="41">
        <f t="shared" si="31"/>
        <v>0</v>
      </c>
      <c r="Q377" s="70">
        <f t="shared" si="32"/>
        <v>0</v>
      </c>
    </row>
    <row r="378" spans="2:17" x14ac:dyDescent="0.4">
      <c r="B378" s="38" t="s">
        <v>1205</v>
      </c>
      <c r="C378" s="34">
        <v>1</v>
      </c>
      <c r="D378" s="34">
        <v>12435</v>
      </c>
      <c r="E378" s="37">
        <v>46044</v>
      </c>
      <c r="F378" s="34"/>
      <c r="G378" s="35"/>
      <c r="H378" s="34">
        <f t="shared" si="25"/>
        <v>30</v>
      </c>
      <c r="I378" s="34">
        <f t="shared" si="26"/>
        <v>0</v>
      </c>
      <c r="J378" s="39">
        <v>0</v>
      </c>
      <c r="K378" s="34"/>
      <c r="L378" s="40">
        <f t="shared" si="27"/>
        <v>-46043</v>
      </c>
      <c r="M378" s="34">
        <f t="shared" si="28"/>
        <v>12435</v>
      </c>
      <c r="N378" s="34">
        <f t="shared" si="29"/>
        <v>0</v>
      </c>
      <c r="O378" s="36">
        <f t="shared" si="30"/>
        <v>-30</v>
      </c>
      <c r="P378" s="41">
        <f t="shared" si="31"/>
        <v>0</v>
      </c>
      <c r="Q378" s="70">
        <f t="shared" si="32"/>
        <v>0</v>
      </c>
    </row>
    <row r="379" spans="2:17" x14ac:dyDescent="0.4">
      <c r="B379" s="38" t="s">
        <v>1210</v>
      </c>
      <c r="C379" s="34">
        <v>1</v>
      </c>
      <c r="D379" s="34">
        <v>39000</v>
      </c>
      <c r="E379" s="37">
        <v>46044</v>
      </c>
      <c r="F379" s="34">
        <v>48600</v>
      </c>
      <c r="G379" s="35">
        <v>46098</v>
      </c>
      <c r="H379" s="34">
        <f t="shared" si="25"/>
        <v>80</v>
      </c>
      <c r="I379" s="34">
        <f t="shared" si="26"/>
        <v>90</v>
      </c>
      <c r="J379" s="39">
        <v>0</v>
      </c>
      <c r="K379" s="34"/>
      <c r="L379" s="40">
        <f t="shared" si="27"/>
        <v>55</v>
      </c>
      <c r="M379" s="34">
        <f t="shared" si="28"/>
        <v>39000</v>
      </c>
      <c r="N379" s="34">
        <f t="shared" si="29"/>
        <v>48600</v>
      </c>
      <c r="O379" s="36">
        <f t="shared" si="30"/>
        <v>-170</v>
      </c>
      <c r="P379" s="41">
        <f t="shared" si="31"/>
        <v>9430</v>
      </c>
      <c r="Q379" s="70">
        <f t="shared" si="32"/>
        <v>0.2417948717948718</v>
      </c>
    </row>
    <row r="380" spans="2:17" x14ac:dyDescent="0.4">
      <c r="B380" s="38" t="s">
        <v>1194</v>
      </c>
      <c r="C380" s="34">
        <v>1</v>
      </c>
      <c r="D380" s="34">
        <v>13025</v>
      </c>
      <c r="E380" s="37">
        <v>46045</v>
      </c>
      <c r="F380" s="34"/>
      <c r="G380" s="35"/>
      <c r="H380" s="34">
        <f t="shared" si="25"/>
        <v>30</v>
      </c>
      <c r="I380" s="34">
        <f t="shared" si="26"/>
        <v>0</v>
      </c>
      <c r="J380" s="39">
        <v>0</v>
      </c>
      <c r="K380" s="34"/>
      <c r="L380" s="40">
        <f t="shared" si="27"/>
        <v>-46044</v>
      </c>
      <c r="M380" s="34">
        <f t="shared" si="28"/>
        <v>13025</v>
      </c>
      <c r="N380" s="34">
        <f t="shared" si="29"/>
        <v>0</v>
      </c>
      <c r="O380" s="36">
        <f t="shared" si="30"/>
        <v>-30</v>
      </c>
      <c r="P380" s="41">
        <f t="shared" si="31"/>
        <v>0</v>
      </c>
      <c r="Q380" s="70">
        <f t="shared" si="32"/>
        <v>0</v>
      </c>
    </row>
    <row r="381" spans="2:17" x14ac:dyDescent="0.4">
      <c r="B381" s="38" t="s">
        <v>1211</v>
      </c>
      <c r="C381" s="34">
        <v>1</v>
      </c>
      <c r="D381" s="34">
        <v>24400</v>
      </c>
      <c r="E381" s="37">
        <v>46045</v>
      </c>
      <c r="F381" s="34"/>
      <c r="G381" s="35"/>
      <c r="H381" s="34">
        <f t="shared" si="25"/>
        <v>50</v>
      </c>
      <c r="I381" s="34">
        <f t="shared" si="26"/>
        <v>0</v>
      </c>
      <c r="J381" s="39">
        <v>0</v>
      </c>
      <c r="K381" s="34"/>
      <c r="L381" s="40">
        <f t="shared" si="27"/>
        <v>-46044</v>
      </c>
      <c r="M381" s="34">
        <f t="shared" si="28"/>
        <v>24400</v>
      </c>
      <c r="N381" s="34">
        <f t="shared" si="29"/>
        <v>0</v>
      </c>
      <c r="O381" s="36">
        <f t="shared" si="30"/>
        <v>-50</v>
      </c>
      <c r="P381" s="41">
        <f t="shared" si="31"/>
        <v>0</v>
      </c>
      <c r="Q381" s="70">
        <f t="shared" si="32"/>
        <v>0</v>
      </c>
    </row>
    <row r="382" spans="2:17" x14ac:dyDescent="0.4">
      <c r="B382" s="38" t="s">
        <v>1206</v>
      </c>
      <c r="C382" s="34">
        <v>1</v>
      </c>
      <c r="D382" s="34">
        <v>26330</v>
      </c>
      <c r="E382" s="37">
        <v>46048</v>
      </c>
      <c r="F382" s="34"/>
      <c r="G382" s="35"/>
      <c r="H382" s="34">
        <f t="shared" si="25"/>
        <v>50</v>
      </c>
      <c r="I382" s="34">
        <f t="shared" si="26"/>
        <v>0</v>
      </c>
      <c r="J382" s="39">
        <v>0</v>
      </c>
      <c r="K382" s="34"/>
      <c r="L382" s="40">
        <f t="shared" si="27"/>
        <v>-46047</v>
      </c>
      <c r="M382" s="34">
        <f t="shared" si="28"/>
        <v>26330</v>
      </c>
      <c r="N382" s="34">
        <f t="shared" si="29"/>
        <v>0</v>
      </c>
      <c r="O382" s="36">
        <f t="shared" si="30"/>
        <v>-50</v>
      </c>
      <c r="P382" s="41">
        <f t="shared" si="31"/>
        <v>0</v>
      </c>
      <c r="Q382" s="70">
        <f t="shared" si="32"/>
        <v>0</v>
      </c>
    </row>
    <row r="383" spans="2:17" x14ac:dyDescent="0.4">
      <c r="B383" s="38" t="s">
        <v>1209</v>
      </c>
      <c r="C383" s="34">
        <v>1</v>
      </c>
      <c r="D383" s="34">
        <v>7705</v>
      </c>
      <c r="E383" s="37">
        <v>46048</v>
      </c>
      <c r="F383" s="34"/>
      <c r="G383" s="35"/>
      <c r="H383" s="34">
        <f t="shared" si="25"/>
        <v>20</v>
      </c>
      <c r="I383" s="34">
        <f t="shared" si="26"/>
        <v>0</v>
      </c>
      <c r="J383" s="39">
        <v>0</v>
      </c>
      <c r="K383" s="34"/>
      <c r="L383" s="40">
        <f t="shared" si="27"/>
        <v>-46047</v>
      </c>
      <c r="M383" s="34">
        <f t="shared" si="28"/>
        <v>7705</v>
      </c>
      <c r="N383" s="34">
        <f t="shared" si="29"/>
        <v>0</v>
      </c>
      <c r="O383" s="36">
        <f t="shared" si="30"/>
        <v>-20</v>
      </c>
      <c r="P383" s="41">
        <f t="shared" si="31"/>
        <v>0</v>
      </c>
      <c r="Q383" s="70">
        <f t="shared" si="32"/>
        <v>0</v>
      </c>
    </row>
    <row r="384" spans="2:17" x14ac:dyDescent="0.4">
      <c r="B384" s="38" t="s">
        <v>1207</v>
      </c>
      <c r="C384" s="34">
        <v>1</v>
      </c>
      <c r="D384" s="34">
        <v>11780</v>
      </c>
      <c r="E384" s="37">
        <v>46049</v>
      </c>
      <c r="F384" s="34"/>
      <c r="G384" s="35"/>
      <c r="H384" s="34">
        <f t="shared" si="25"/>
        <v>30</v>
      </c>
      <c r="I384" s="34">
        <f t="shared" si="26"/>
        <v>0</v>
      </c>
      <c r="J384" s="39">
        <v>0</v>
      </c>
      <c r="K384" s="34"/>
      <c r="L384" s="40">
        <f t="shared" si="27"/>
        <v>-46048</v>
      </c>
      <c r="M384" s="34">
        <f t="shared" si="28"/>
        <v>11780</v>
      </c>
      <c r="N384" s="34">
        <f t="shared" si="29"/>
        <v>0</v>
      </c>
      <c r="O384" s="36">
        <f t="shared" si="30"/>
        <v>-30</v>
      </c>
      <c r="P384" s="41">
        <f t="shared" si="31"/>
        <v>0</v>
      </c>
      <c r="Q384" s="70">
        <f t="shared" si="32"/>
        <v>0</v>
      </c>
    </row>
    <row r="385" spans="2:17" x14ac:dyDescent="0.4">
      <c r="B385" s="38" t="s">
        <v>1208</v>
      </c>
      <c r="C385" s="34">
        <v>1</v>
      </c>
      <c r="D385" s="34">
        <v>26515</v>
      </c>
      <c r="E385" s="37">
        <v>46049</v>
      </c>
      <c r="F385" s="34"/>
      <c r="G385" s="35"/>
      <c r="H385" s="34">
        <f t="shared" si="25"/>
        <v>60</v>
      </c>
      <c r="I385" s="34">
        <f t="shared" si="26"/>
        <v>0</v>
      </c>
      <c r="J385" s="39">
        <v>0</v>
      </c>
      <c r="K385" s="34"/>
      <c r="L385" s="40">
        <f t="shared" si="27"/>
        <v>-46048</v>
      </c>
      <c r="M385" s="34">
        <f t="shared" si="28"/>
        <v>26515</v>
      </c>
      <c r="N385" s="34">
        <f t="shared" si="29"/>
        <v>0</v>
      </c>
      <c r="O385" s="36">
        <f t="shared" si="30"/>
        <v>-60</v>
      </c>
      <c r="P385" s="41">
        <f t="shared" si="31"/>
        <v>0</v>
      </c>
      <c r="Q385" s="70">
        <f t="shared" si="32"/>
        <v>0</v>
      </c>
    </row>
    <row r="386" spans="2:17" x14ac:dyDescent="0.4">
      <c r="B386" s="38" t="s">
        <v>91</v>
      </c>
      <c r="C386" s="34">
        <v>1</v>
      </c>
      <c r="D386" s="34">
        <v>11300</v>
      </c>
      <c r="E386" s="37">
        <v>46050</v>
      </c>
      <c r="F386" s="34"/>
      <c r="G386" s="35"/>
      <c r="H386" s="34">
        <f t="shared" si="25"/>
        <v>30</v>
      </c>
      <c r="I386" s="34">
        <f t="shared" si="26"/>
        <v>0</v>
      </c>
      <c r="J386" s="39">
        <v>0</v>
      </c>
      <c r="K386" s="34"/>
      <c r="L386" s="40">
        <f t="shared" si="27"/>
        <v>-46049</v>
      </c>
      <c r="M386" s="34">
        <f t="shared" si="28"/>
        <v>11300</v>
      </c>
      <c r="N386" s="34">
        <f t="shared" si="29"/>
        <v>0</v>
      </c>
      <c r="O386" s="36">
        <f t="shared" si="30"/>
        <v>-30</v>
      </c>
      <c r="P386" s="41">
        <f t="shared" si="31"/>
        <v>0</v>
      </c>
      <c r="Q386" s="70">
        <f t="shared" si="32"/>
        <v>0</v>
      </c>
    </row>
    <row r="387" spans="2:17" x14ac:dyDescent="0.4">
      <c r="B387" s="38" t="s">
        <v>89</v>
      </c>
      <c r="C387" s="34">
        <v>1</v>
      </c>
      <c r="D387" s="34">
        <v>24630</v>
      </c>
      <c r="E387" s="37">
        <v>46050</v>
      </c>
      <c r="F387" s="34"/>
      <c r="G387" s="35"/>
      <c r="H387" s="34">
        <f t="shared" si="25"/>
        <v>50</v>
      </c>
      <c r="I387" s="34">
        <f t="shared" si="26"/>
        <v>0</v>
      </c>
      <c r="J387" s="39">
        <v>0</v>
      </c>
      <c r="K387" s="34"/>
      <c r="L387" s="40">
        <f t="shared" si="27"/>
        <v>-46049</v>
      </c>
      <c r="M387" s="34">
        <f t="shared" si="28"/>
        <v>24630</v>
      </c>
      <c r="N387" s="34">
        <f t="shared" si="29"/>
        <v>0</v>
      </c>
      <c r="O387" s="36">
        <f t="shared" si="30"/>
        <v>-50</v>
      </c>
      <c r="P387" s="41">
        <f t="shared" si="31"/>
        <v>0</v>
      </c>
      <c r="Q387" s="70">
        <f t="shared" si="32"/>
        <v>0</v>
      </c>
    </row>
    <row r="388" spans="2:17" x14ac:dyDescent="0.4">
      <c r="B388" s="38" t="s">
        <v>1205</v>
      </c>
      <c r="C388" s="34">
        <v>1</v>
      </c>
      <c r="D388" s="34">
        <v>12495</v>
      </c>
      <c r="E388" s="37">
        <v>46051</v>
      </c>
      <c r="F388" s="34"/>
      <c r="G388" s="35"/>
      <c r="H388" s="34">
        <f t="shared" si="25"/>
        <v>30</v>
      </c>
      <c r="I388" s="34">
        <f t="shared" si="26"/>
        <v>0</v>
      </c>
      <c r="J388" s="39">
        <v>0</v>
      </c>
      <c r="K388" s="34"/>
      <c r="L388" s="40">
        <f t="shared" si="27"/>
        <v>-46050</v>
      </c>
      <c r="M388" s="34">
        <f t="shared" si="28"/>
        <v>12495</v>
      </c>
      <c r="N388" s="34">
        <f t="shared" si="29"/>
        <v>0</v>
      </c>
      <c r="O388" s="36">
        <f t="shared" si="30"/>
        <v>-30</v>
      </c>
      <c r="P388" s="41">
        <f t="shared" si="31"/>
        <v>0</v>
      </c>
      <c r="Q388" s="70">
        <f t="shared" si="32"/>
        <v>0</v>
      </c>
    </row>
    <row r="389" spans="2:17" x14ac:dyDescent="0.4">
      <c r="B389" s="38" t="s">
        <v>1210</v>
      </c>
      <c r="C389" s="34">
        <v>1</v>
      </c>
      <c r="D389" s="34">
        <v>39150</v>
      </c>
      <c r="E389" s="37">
        <v>46051</v>
      </c>
      <c r="F389" s="34">
        <v>48600</v>
      </c>
      <c r="G389" s="35">
        <v>46098</v>
      </c>
      <c r="H389" s="34">
        <f t="shared" si="25"/>
        <v>80</v>
      </c>
      <c r="I389" s="34">
        <f t="shared" si="26"/>
        <v>90</v>
      </c>
      <c r="J389" s="39">
        <v>0</v>
      </c>
      <c r="K389" s="34"/>
      <c r="L389" s="40">
        <f t="shared" si="27"/>
        <v>48</v>
      </c>
      <c r="M389" s="34">
        <f t="shared" si="28"/>
        <v>39150</v>
      </c>
      <c r="N389" s="34">
        <f t="shared" si="29"/>
        <v>48600</v>
      </c>
      <c r="O389" s="36">
        <f t="shared" si="30"/>
        <v>-170</v>
      </c>
      <c r="P389" s="41">
        <f t="shared" si="31"/>
        <v>9280</v>
      </c>
      <c r="Q389" s="70">
        <f t="shared" si="32"/>
        <v>0.23703703703703705</v>
      </c>
    </row>
    <row r="390" spans="2:17" x14ac:dyDescent="0.4">
      <c r="B390" s="38" t="s">
        <v>1194</v>
      </c>
      <c r="C390" s="34">
        <v>1</v>
      </c>
      <c r="D390" s="34">
        <v>12455</v>
      </c>
      <c r="E390" s="37">
        <v>46052</v>
      </c>
      <c r="F390" s="34"/>
      <c r="G390" s="35"/>
      <c r="H390" s="34">
        <f t="shared" si="25"/>
        <v>30</v>
      </c>
      <c r="I390" s="34">
        <f t="shared" si="26"/>
        <v>0</v>
      </c>
      <c r="J390" s="39">
        <v>0</v>
      </c>
      <c r="K390" s="34"/>
      <c r="L390" s="40">
        <f t="shared" si="27"/>
        <v>-46051</v>
      </c>
      <c r="M390" s="34">
        <f t="shared" si="28"/>
        <v>12455</v>
      </c>
      <c r="N390" s="34">
        <f t="shared" si="29"/>
        <v>0</v>
      </c>
      <c r="O390" s="36">
        <f t="shared" si="30"/>
        <v>-30</v>
      </c>
      <c r="P390" s="41">
        <f t="shared" si="31"/>
        <v>0</v>
      </c>
      <c r="Q390" s="70">
        <f t="shared" si="32"/>
        <v>0</v>
      </c>
    </row>
    <row r="391" spans="2:17" x14ac:dyDescent="0.4">
      <c r="B391" s="38" t="s">
        <v>1211</v>
      </c>
      <c r="C391" s="34">
        <v>1</v>
      </c>
      <c r="D391" s="34">
        <v>28855</v>
      </c>
      <c r="E391" s="37">
        <v>46052</v>
      </c>
      <c r="F391" s="34"/>
      <c r="G391" s="35"/>
      <c r="H391" s="34">
        <f t="shared" si="25"/>
        <v>60</v>
      </c>
      <c r="I391" s="34">
        <f t="shared" si="26"/>
        <v>0</v>
      </c>
      <c r="J391" s="39">
        <v>0</v>
      </c>
      <c r="K391" s="34"/>
      <c r="L391" s="40">
        <f t="shared" si="27"/>
        <v>-46051</v>
      </c>
      <c r="M391" s="34">
        <f t="shared" si="28"/>
        <v>28855</v>
      </c>
      <c r="N391" s="34">
        <f t="shared" si="29"/>
        <v>0</v>
      </c>
      <c r="O391" s="36">
        <f t="shared" si="30"/>
        <v>-60</v>
      </c>
      <c r="P391" s="41">
        <f t="shared" si="31"/>
        <v>0</v>
      </c>
      <c r="Q391" s="70">
        <f t="shared" si="32"/>
        <v>0</v>
      </c>
    </row>
    <row r="392" spans="2:17" x14ac:dyDescent="0.4">
      <c r="B392" s="38" t="s">
        <v>1206</v>
      </c>
      <c r="C392" s="34">
        <v>1</v>
      </c>
      <c r="D392" s="34">
        <v>24335</v>
      </c>
      <c r="E392" s="37">
        <v>46055</v>
      </c>
      <c r="F392" s="34"/>
      <c r="G392" s="35"/>
      <c r="H392" s="34">
        <f t="shared" si="25"/>
        <v>50</v>
      </c>
      <c r="I392" s="34">
        <f t="shared" si="26"/>
        <v>0</v>
      </c>
      <c r="J392" s="39">
        <v>0</v>
      </c>
      <c r="K392" s="34"/>
      <c r="L392" s="40">
        <f t="shared" si="27"/>
        <v>-46054</v>
      </c>
      <c r="M392" s="34">
        <f t="shared" si="28"/>
        <v>24335</v>
      </c>
      <c r="N392" s="34">
        <f t="shared" si="29"/>
        <v>0</v>
      </c>
      <c r="O392" s="36">
        <f t="shared" si="30"/>
        <v>-50</v>
      </c>
      <c r="P392" s="41">
        <f t="shared" si="31"/>
        <v>0</v>
      </c>
      <c r="Q392" s="70">
        <f t="shared" si="32"/>
        <v>0</v>
      </c>
    </row>
    <row r="393" spans="2:17" x14ac:dyDescent="0.4">
      <c r="B393" s="38" t="s">
        <v>1209</v>
      </c>
      <c r="C393" s="34">
        <v>1</v>
      </c>
      <c r="D393" s="34">
        <v>7810</v>
      </c>
      <c r="E393" s="37">
        <v>46055</v>
      </c>
      <c r="F393" s="34"/>
      <c r="G393" s="35"/>
      <c r="H393" s="34">
        <f t="shared" si="25"/>
        <v>20</v>
      </c>
      <c r="I393" s="34">
        <f t="shared" si="26"/>
        <v>0</v>
      </c>
      <c r="J393" s="39">
        <v>0</v>
      </c>
      <c r="K393" s="34"/>
      <c r="L393" s="40">
        <f t="shared" si="27"/>
        <v>-46054</v>
      </c>
      <c r="M393" s="34">
        <f t="shared" si="28"/>
        <v>7810</v>
      </c>
      <c r="N393" s="34">
        <f t="shared" si="29"/>
        <v>0</v>
      </c>
      <c r="O393" s="36">
        <f t="shared" si="30"/>
        <v>-20</v>
      </c>
      <c r="P393" s="41">
        <f t="shared" si="31"/>
        <v>0</v>
      </c>
      <c r="Q393" s="70">
        <f t="shared" si="32"/>
        <v>0</v>
      </c>
    </row>
    <row r="394" spans="2:17" x14ac:dyDescent="0.4">
      <c r="B394" s="38" t="s">
        <v>1207</v>
      </c>
      <c r="C394" s="34">
        <v>1</v>
      </c>
      <c r="D394" s="34">
        <v>11330</v>
      </c>
      <c r="E394" s="37">
        <v>46056</v>
      </c>
      <c r="F394" s="34"/>
      <c r="G394" s="35"/>
      <c r="H394" s="34">
        <f t="shared" si="25"/>
        <v>30</v>
      </c>
      <c r="I394" s="34">
        <f t="shared" si="26"/>
        <v>0</v>
      </c>
      <c r="J394" s="39">
        <v>0</v>
      </c>
      <c r="K394" s="34"/>
      <c r="L394" s="40">
        <f t="shared" si="27"/>
        <v>-46055</v>
      </c>
      <c r="M394" s="34">
        <f t="shared" si="28"/>
        <v>11330</v>
      </c>
      <c r="N394" s="34">
        <f t="shared" si="29"/>
        <v>0</v>
      </c>
      <c r="O394" s="36">
        <f t="shared" si="30"/>
        <v>-30</v>
      </c>
      <c r="P394" s="41">
        <f t="shared" si="31"/>
        <v>0</v>
      </c>
      <c r="Q394" s="70">
        <f t="shared" si="32"/>
        <v>0</v>
      </c>
    </row>
    <row r="395" spans="2:17" x14ac:dyDescent="0.4">
      <c r="B395" s="38" t="s">
        <v>1208</v>
      </c>
      <c r="C395" s="34">
        <v>1</v>
      </c>
      <c r="D395" s="34">
        <v>26590</v>
      </c>
      <c r="E395" s="37">
        <v>46056</v>
      </c>
      <c r="F395" s="34"/>
      <c r="G395" s="35"/>
      <c r="H395" s="34">
        <f t="shared" si="25"/>
        <v>60</v>
      </c>
      <c r="I395" s="34">
        <f t="shared" si="26"/>
        <v>0</v>
      </c>
      <c r="J395" s="39">
        <v>0</v>
      </c>
      <c r="K395" s="34"/>
      <c r="L395" s="40">
        <f t="shared" si="27"/>
        <v>-46055</v>
      </c>
      <c r="M395" s="34">
        <f t="shared" si="28"/>
        <v>26590</v>
      </c>
      <c r="N395" s="34">
        <f t="shared" si="29"/>
        <v>0</v>
      </c>
      <c r="O395" s="36">
        <f t="shared" si="30"/>
        <v>-60</v>
      </c>
      <c r="P395" s="41">
        <f t="shared" si="31"/>
        <v>0</v>
      </c>
      <c r="Q395" s="70">
        <f t="shared" si="32"/>
        <v>0</v>
      </c>
    </row>
    <row r="396" spans="2:17" x14ac:dyDescent="0.4">
      <c r="B396" s="38" t="s">
        <v>91</v>
      </c>
      <c r="C396" s="34">
        <v>1</v>
      </c>
      <c r="D396" s="34">
        <v>11190</v>
      </c>
      <c r="E396" s="37">
        <v>46057</v>
      </c>
      <c r="F396" s="34"/>
      <c r="G396" s="35"/>
      <c r="H396" s="34">
        <f t="shared" si="25"/>
        <v>30</v>
      </c>
      <c r="I396" s="34">
        <f t="shared" si="26"/>
        <v>0</v>
      </c>
      <c r="J396" s="39">
        <v>0</v>
      </c>
      <c r="K396" s="34"/>
      <c r="L396" s="40">
        <f t="shared" si="27"/>
        <v>-46056</v>
      </c>
      <c r="M396" s="34">
        <f t="shared" si="28"/>
        <v>11190</v>
      </c>
      <c r="N396" s="34">
        <f t="shared" si="29"/>
        <v>0</v>
      </c>
      <c r="O396" s="36">
        <f t="shared" si="30"/>
        <v>-30</v>
      </c>
      <c r="P396" s="41">
        <f t="shared" si="31"/>
        <v>0</v>
      </c>
      <c r="Q396" s="70">
        <f t="shared" si="32"/>
        <v>0</v>
      </c>
    </row>
    <row r="397" spans="2:17" x14ac:dyDescent="0.4">
      <c r="B397" s="38" t="s">
        <v>89</v>
      </c>
      <c r="C397" s="34">
        <v>1</v>
      </c>
      <c r="D397" s="34">
        <v>24000</v>
      </c>
      <c r="E397" s="37">
        <v>46057</v>
      </c>
      <c r="F397" s="34"/>
      <c r="G397" s="35"/>
      <c r="H397" s="34">
        <f t="shared" si="25"/>
        <v>50</v>
      </c>
      <c r="I397" s="34">
        <f t="shared" si="26"/>
        <v>0</v>
      </c>
      <c r="J397" s="39">
        <v>0</v>
      </c>
      <c r="K397" s="34"/>
      <c r="L397" s="40">
        <f t="shared" si="27"/>
        <v>-46056</v>
      </c>
      <c r="M397" s="34">
        <f t="shared" si="28"/>
        <v>24000</v>
      </c>
      <c r="N397" s="34">
        <f t="shared" si="29"/>
        <v>0</v>
      </c>
      <c r="O397" s="36">
        <f t="shared" si="30"/>
        <v>-50</v>
      </c>
      <c r="P397" s="41">
        <f t="shared" si="31"/>
        <v>0</v>
      </c>
      <c r="Q397" s="70">
        <f t="shared" si="32"/>
        <v>0</v>
      </c>
    </row>
    <row r="398" spans="2:17" x14ac:dyDescent="0.4">
      <c r="B398" s="38" t="s">
        <v>1205</v>
      </c>
      <c r="C398" s="34">
        <v>1</v>
      </c>
      <c r="D398" s="34">
        <v>13005</v>
      </c>
      <c r="E398" s="37">
        <v>46058</v>
      </c>
      <c r="F398" s="34"/>
      <c r="G398" s="35"/>
      <c r="H398" s="34">
        <f t="shared" si="25"/>
        <v>30</v>
      </c>
      <c r="I398" s="34">
        <f t="shared" si="26"/>
        <v>0</v>
      </c>
      <c r="J398" s="39">
        <v>0</v>
      </c>
      <c r="K398" s="34"/>
      <c r="L398" s="40">
        <f t="shared" si="27"/>
        <v>-46057</v>
      </c>
      <c r="M398" s="34">
        <f t="shared" si="28"/>
        <v>13005</v>
      </c>
      <c r="N398" s="34">
        <f t="shared" si="29"/>
        <v>0</v>
      </c>
      <c r="O398" s="36">
        <f t="shared" si="30"/>
        <v>-30</v>
      </c>
      <c r="P398" s="41">
        <f t="shared" si="31"/>
        <v>0</v>
      </c>
      <c r="Q398" s="70">
        <f t="shared" si="32"/>
        <v>0</v>
      </c>
    </row>
    <row r="399" spans="2:17" x14ac:dyDescent="0.4">
      <c r="B399" s="38" t="s">
        <v>1210</v>
      </c>
      <c r="C399" s="34">
        <v>1</v>
      </c>
      <c r="D399" s="34">
        <v>43855</v>
      </c>
      <c r="E399" s="37">
        <v>46058</v>
      </c>
      <c r="F399" s="34">
        <v>48600</v>
      </c>
      <c r="G399" s="35">
        <v>46098</v>
      </c>
      <c r="H399" s="34">
        <f t="shared" si="25"/>
        <v>90</v>
      </c>
      <c r="I399" s="34">
        <f t="shared" si="26"/>
        <v>90</v>
      </c>
      <c r="J399" s="39">
        <v>0</v>
      </c>
      <c r="K399" s="34"/>
      <c r="L399" s="40">
        <f t="shared" si="27"/>
        <v>41</v>
      </c>
      <c r="M399" s="34">
        <f t="shared" si="28"/>
        <v>43855</v>
      </c>
      <c r="N399" s="34">
        <f t="shared" si="29"/>
        <v>48600</v>
      </c>
      <c r="O399" s="36">
        <f t="shared" si="30"/>
        <v>-180</v>
      </c>
      <c r="P399" s="41">
        <f t="shared" si="31"/>
        <v>4565</v>
      </c>
      <c r="Q399" s="70">
        <f t="shared" si="32"/>
        <v>0.10409303386158933</v>
      </c>
    </row>
    <row r="400" spans="2:17" x14ac:dyDescent="0.4">
      <c r="B400" s="38" t="s">
        <v>1194</v>
      </c>
      <c r="C400" s="34">
        <v>1</v>
      </c>
      <c r="D400" s="34">
        <v>13225</v>
      </c>
      <c r="E400" s="37">
        <v>46059</v>
      </c>
      <c r="F400" s="34"/>
      <c r="G400" s="35"/>
      <c r="H400" s="34">
        <f t="shared" si="25"/>
        <v>30</v>
      </c>
      <c r="I400" s="34">
        <f t="shared" si="26"/>
        <v>0</v>
      </c>
      <c r="J400" s="39">
        <v>0</v>
      </c>
      <c r="K400" s="34"/>
      <c r="L400" s="40">
        <f t="shared" si="27"/>
        <v>-46058</v>
      </c>
      <c r="M400" s="34">
        <f t="shared" si="28"/>
        <v>13225</v>
      </c>
      <c r="N400" s="34">
        <f t="shared" si="29"/>
        <v>0</v>
      </c>
      <c r="O400" s="36">
        <f t="shared" si="30"/>
        <v>-30</v>
      </c>
      <c r="P400" s="41">
        <f t="shared" si="31"/>
        <v>0</v>
      </c>
      <c r="Q400" s="70">
        <f t="shared" si="32"/>
        <v>0</v>
      </c>
    </row>
    <row r="401" spans="2:17" x14ac:dyDescent="0.4">
      <c r="B401" s="38" t="s">
        <v>1211</v>
      </c>
      <c r="C401" s="34">
        <v>1</v>
      </c>
      <c r="D401" s="34">
        <v>27175</v>
      </c>
      <c r="E401" s="37">
        <v>46059</v>
      </c>
      <c r="F401" s="34"/>
      <c r="G401" s="35"/>
      <c r="H401" s="34">
        <f t="shared" si="25"/>
        <v>60</v>
      </c>
      <c r="I401" s="34">
        <f t="shared" si="26"/>
        <v>0</v>
      </c>
      <c r="J401" s="39">
        <v>0</v>
      </c>
      <c r="K401" s="34"/>
      <c r="L401" s="40">
        <f t="shared" si="27"/>
        <v>-46058</v>
      </c>
      <c r="M401" s="34">
        <f t="shared" si="28"/>
        <v>27175</v>
      </c>
      <c r="N401" s="34">
        <f t="shared" si="29"/>
        <v>0</v>
      </c>
      <c r="O401" s="36">
        <f t="shared" si="30"/>
        <v>-60</v>
      </c>
      <c r="P401" s="41">
        <f t="shared" si="31"/>
        <v>0</v>
      </c>
      <c r="Q401" s="70">
        <f t="shared" si="32"/>
        <v>0</v>
      </c>
    </row>
    <row r="402" spans="2:17" x14ac:dyDescent="0.4">
      <c r="B402" s="38" t="s">
        <v>1206</v>
      </c>
      <c r="C402" s="34">
        <v>1</v>
      </c>
      <c r="D402" s="34"/>
      <c r="E402" s="37">
        <v>46062</v>
      </c>
      <c r="F402" s="34"/>
      <c r="G402" s="35"/>
      <c r="H402" s="34">
        <f t="shared" si="25"/>
        <v>0</v>
      </c>
      <c r="I402" s="34">
        <f t="shared" si="26"/>
        <v>0</v>
      </c>
      <c r="J402" s="39">
        <v>0</v>
      </c>
      <c r="K402" s="34"/>
      <c r="L402" s="40">
        <f t="shared" si="27"/>
        <v>-46061</v>
      </c>
      <c r="M402" s="34">
        <f t="shared" si="28"/>
        <v>0</v>
      </c>
      <c r="N402" s="34">
        <f t="shared" si="29"/>
        <v>0</v>
      </c>
      <c r="O402" s="36">
        <f t="shared" si="30"/>
        <v>0</v>
      </c>
      <c r="P402" s="41">
        <f t="shared" si="31"/>
        <v>0</v>
      </c>
      <c r="Q402" s="70" t="e">
        <f t="shared" si="32"/>
        <v>#DIV/0!</v>
      </c>
    </row>
    <row r="403" spans="2:17" x14ac:dyDescent="0.4">
      <c r="B403" s="38" t="s">
        <v>1209</v>
      </c>
      <c r="C403" s="34">
        <v>1</v>
      </c>
      <c r="D403" s="34">
        <v>7900</v>
      </c>
      <c r="E403" s="37">
        <v>46062</v>
      </c>
      <c r="F403" s="34"/>
      <c r="G403" s="35"/>
      <c r="H403" s="34">
        <f t="shared" si="25"/>
        <v>20</v>
      </c>
      <c r="I403" s="34">
        <f t="shared" si="26"/>
        <v>0</v>
      </c>
      <c r="J403" s="39">
        <v>0</v>
      </c>
      <c r="K403" s="34"/>
      <c r="L403" s="40">
        <f t="shared" si="27"/>
        <v>-46061</v>
      </c>
      <c r="M403" s="34">
        <f t="shared" si="28"/>
        <v>7900</v>
      </c>
      <c r="N403" s="34">
        <f t="shared" si="29"/>
        <v>0</v>
      </c>
      <c r="O403" s="36">
        <f t="shared" si="30"/>
        <v>-20</v>
      </c>
      <c r="P403" s="41">
        <f t="shared" si="31"/>
        <v>0</v>
      </c>
      <c r="Q403" s="70">
        <f t="shared" si="32"/>
        <v>0</v>
      </c>
    </row>
    <row r="404" spans="2:17" x14ac:dyDescent="0.4">
      <c r="B404" s="38" t="s">
        <v>1207</v>
      </c>
      <c r="C404" s="34">
        <v>1</v>
      </c>
      <c r="D404" s="34">
        <v>11490</v>
      </c>
      <c r="E404" s="37">
        <v>46063</v>
      </c>
      <c r="F404" s="34"/>
      <c r="G404" s="35"/>
      <c r="H404" s="34">
        <f t="shared" si="25"/>
        <v>30</v>
      </c>
      <c r="I404" s="34">
        <f t="shared" si="26"/>
        <v>0</v>
      </c>
      <c r="J404" s="39">
        <v>0</v>
      </c>
      <c r="K404" s="34"/>
      <c r="L404" s="40">
        <f t="shared" si="27"/>
        <v>-46062</v>
      </c>
      <c r="M404" s="34">
        <f t="shared" si="28"/>
        <v>11490</v>
      </c>
      <c r="N404" s="34">
        <f t="shared" si="29"/>
        <v>0</v>
      </c>
      <c r="O404" s="36">
        <f t="shared" si="30"/>
        <v>-30</v>
      </c>
      <c r="P404" s="41">
        <f t="shared" si="31"/>
        <v>0</v>
      </c>
      <c r="Q404" s="70">
        <f t="shared" si="32"/>
        <v>0</v>
      </c>
    </row>
    <row r="405" spans="2:17" x14ac:dyDescent="0.4">
      <c r="B405" s="38" t="s">
        <v>1208</v>
      </c>
      <c r="C405" s="34">
        <v>1</v>
      </c>
      <c r="D405" s="34">
        <v>26675</v>
      </c>
      <c r="E405" s="37">
        <v>46063</v>
      </c>
      <c r="F405" s="34"/>
      <c r="G405" s="35"/>
      <c r="H405" s="34">
        <f t="shared" si="25"/>
        <v>60</v>
      </c>
      <c r="I405" s="34">
        <f t="shared" si="26"/>
        <v>0</v>
      </c>
      <c r="J405" s="39">
        <v>0</v>
      </c>
      <c r="K405" s="34"/>
      <c r="L405" s="40">
        <f t="shared" si="27"/>
        <v>-46062</v>
      </c>
      <c r="M405" s="34">
        <f t="shared" si="28"/>
        <v>26675</v>
      </c>
      <c r="N405" s="34">
        <f t="shared" si="29"/>
        <v>0</v>
      </c>
      <c r="O405" s="36">
        <f t="shared" si="30"/>
        <v>-60</v>
      </c>
      <c r="P405" s="41">
        <f t="shared" si="31"/>
        <v>0</v>
      </c>
      <c r="Q405" s="70">
        <f t="shared" si="32"/>
        <v>0</v>
      </c>
    </row>
    <row r="406" spans="2:17" x14ac:dyDescent="0.4">
      <c r="B406" s="38" t="s">
        <v>91</v>
      </c>
      <c r="C406" s="34">
        <v>1</v>
      </c>
      <c r="D406" s="34">
        <v>11310</v>
      </c>
      <c r="E406" s="37">
        <v>46064</v>
      </c>
      <c r="F406" s="34"/>
      <c r="G406" s="35"/>
      <c r="H406" s="34">
        <f t="shared" si="25"/>
        <v>30</v>
      </c>
      <c r="I406" s="34">
        <f t="shared" si="26"/>
        <v>0</v>
      </c>
      <c r="J406" s="39">
        <v>0</v>
      </c>
      <c r="K406" s="34"/>
      <c r="L406" s="40">
        <f t="shared" si="27"/>
        <v>-46063</v>
      </c>
      <c r="M406" s="34">
        <f t="shared" si="28"/>
        <v>11310</v>
      </c>
      <c r="N406" s="34">
        <f t="shared" si="29"/>
        <v>0</v>
      </c>
      <c r="O406" s="36">
        <f t="shared" si="30"/>
        <v>-30</v>
      </c>
      <c r="P406" s="41">
        <f t="shared" si="31"/>
        <v>0</v>
      </c>
      <c r="Q406" s="70">
        <f t="shared" si="32"/>
        <v>0</v>
      </c>
    </row>
    <row r="407" spans="2:17" x14ac:dyDescent="0.4">
      <c r="B407" s="38" t="s">
        <v>89</v>
      </c>
      <c r="C407" s="34">
        <v>1</v>
      </c>
      <c r="D407" s="34">
        <v>23300</v>
      </c>
      <c r="E407" s="37">
        <v>46064</v>
      </c>
      <c r="F407" s="34"/>
      <c r="G407" s="35"/>
      <c r="H407" s="34">
        <f t="shared" si="25"/>
        <v>50</v>
      </c>
      <c r="I407" s="34">
        <f t="shared" si="26"/>
        <v>0</v>
      </c>
      <c r="J407" s="39">
        <v>0</v>
      </c>
      <c r="K407" s="34"/>
      <c r="L407" s="40">
        <f t="shared" si="27"/>
        <v>-46063</v>
      </c>
      <c r="M407" s="34">
        <f t="shared" si="28"/>
        <v>23300</v>
      </c>
      <c r="N407" s="34">
        <f t="shared" si="29"/>
        <v>0</v>
      </c>
      <c r="O407" s="36">
        <f t="shared" si="30"/>
        <v>-50</v>
      </c>
      <c r="P407" s="41">
        <f t="shared" si="31"/>
        <v>0</v>
      </c>
      <c r="Q407" s="70">
        <f t="shared" si="32"/>
        <v>0</v>
      </c>
    </row>
    <row r="408" spans="2:17" x14ac:dyDescent="0.4">
      <c r="B408" s="38" t="s">
        <v>1205</v>
      </c>
      <c r="C408" s="34">
        <v>1</v>
      </c>
      <c r="D408" s="34">
        <v>13970</v>
      </c>
      <c r="E408" s="37">
        <v>46065</v>
      </c>
      <c r="F408" s="34"/>
      <c r="G408" s="35"/>
      <c r="H408" s="34">
        <f t="shared" si="25"/>
        <v>30</v>
      </c>
      <c r="I408" s="34">
        <f t="shared" si="26"/>
        <v>0</v>
      </c>
      <c r="J408" s="39">
        <v>0</v>
      </c>
      <c r="K408" s="34"/>
      <c r="L408" s="40">
        <f t="shared" si="27"/>
        <v>-46064</v>
      </c>
      <c r="M408" s="34">
        <f t="shared" si="28"/>
        <v>13970</v>
      </c>
      <c r="N408" s="34">
        <f t="shared" si="29"/>
        <v>0</v>
      </c>
      <c r="O408" s="36">
        <f t="shared" si="30"/>
        <v>-30</v>
      </c>
      <c r="P408" s="41">
        <f t="shared" si="31"/>
        <v>0</v>
      </c>
      <c r="Q408" s="70">
        <f t="shared" si="32"/>
        <v>0</v>
      </c>
    </row>
    <row r="409" spans="2:17" x14ac:dyDescent="0.4">
      <c r="B409" s="38" t="s">
        <v>1210</v>
      </c>
      <c r="C409" s="34">
        <v>1</v>
      </c>
      <c r="D409" s="34">
        <v>43445</v>
      </c>
      <c r="E409" s="37">
        <v>46065</v>
      </c>
      <c r="F409" s="34">
        <v>48600</v>
      </c>
      <c r="G409" s="35">
        <v>46098</v>
      </c>
      <c r="H409" s="34">
        <f t="shared" si="25"/>
        <v>90</v>
      </c>
      <c r="I409" s="34">
        <f t="shared" si="26"/>
        <v>90</v>
      </c>
      <c r="J409" s="39">
        <v>0</v>
      </c>
      <c r="K409" s="34"/>
      <c r="L409" s="40">
        <f t="shared" si="27"/>
        <v>34</v>
      </c>
      <c r="M409" s="34">
        <f t="shared" si="28"/>
        <v>43445</v>
      </c>
      <c r="N409" s="34">
        <f t="shared" si="29"/>
        <v>48600</v>
      </c>
      <c r="O409" s="36">
        <f t="shared" si="30"/>
        <v>-180</v>
      </c>
      <c r="P409" s="41">
        <f t="shared" si="31"/>
        <v>4975</v>
      </c>
      <c r="Q409" s="70">
        <f t="shared" si="32"/>
        <v>0.11451260214063759</v>
      </c>
    </row>
    <row r="410" spans="2:17" x14ac:dyDescent="0.4">
      <c r="B410" s="38" t="s">
        <v>1194</v>
      </c>
      <c r="C410" s="34">
        <v>1</v>
      </c>
      <c r="D410" s="34">
        <v>14530</v>
      </c>
      <c r="E410" s="37">
        <v>46066</v>
      </c>
      <c r="F410" s="34"/>
      <c r="G410" s="35"/>
      <c r="H410" s="34">
        <f t="shared" si="25"/>
        <v>30</v>
      </c>
      <c r="I410" s="34">
        <f t="shared" si="26"/>
        <v>0</v>
      </c>
      <c r="J410" s="39">
        <v>0</v>
      </c>
      <c r="K410" s="34"/>
      <c r="L410" s="40">
        <f t="shared" si="27"/>
        <v>-46065</v>
      </c>
      <c r="M410" s="34">
        <f t="shared" si="28"/>
        <v>14530</v>
      </c>
      <c r="N410" s="34">
        <f t="shared" si="29"/>
        <v>0</v>
      </c>
      <c r="O410" s="36">
        <f t="shared" si="30"/>
        <v>-30</v>
      </c>
      <c r="P410" s="41">
        <f t="shared" si="31"/>
        <v>0</v>
      </c>
      <c r="Q410" s="70">
        <f t="shared" si="32"/>
        <v>0</v>
      </c>
    </row>
    <row r="411" spans="2:17" x14ac:dyDescent="0.4">
      <c r="B411" s="38" t="s">
        <v>1211</v>
      </c>
      <c r="C411" s="34">
        <v>1</v>
      </c>
      <c r="D411" s="34">
        <v>29800</v>
      </c>
      <c r="E411" s="37">
        <v>46066</v>
      </c>
      <c r="F411" s="34"/>
      <c r="G411" s="35"/>
      <c r="H411" s="34">
        <f t="shared" si="25"/>
        <v>60</v>
      </c>
      <c r="I411" s="34">
        <f t="shared" si="26"/>
        <v>0</v>
      </c>
      <c r="J411" s="39">
        <v>0</v>
      </c>
      <c r="K411" s="34"/>
      <c r="L411" s="40">
        <f t="shared" si="27"/>
        <v>-46065</v>
      </c>
      <c r="M411" s="34">
        <f t="shared" si="28"/>
        <v>29800</v>
      </c>
      <c r="N411" s="34">
        <f t="shared" si="29"/>
        <v>0</v>
      </c>
      <c r="O411" s="36">
        <f t="shared" si="30"/>
        <v>-60</v>
      </c>
      <c r="P411" s="41">
        <f t="shared" si="31"/>
        <v>0</v>
      </c>
      <c r="Q411" s="70">
        <f t="shared" si="32"/>
        <v>0</v>
      </c>
    </row>
    <row r="412" spans="2:17" x14ac:dyDescent="0.4">
      <c r="B412" s="38" t="s">
        <v>1206</v>
      </c>
      <c r="C412" s="34">
        <v>1</v>
      </c>
      <c r="D412" s="34">
        <v>22515</v>
      </c>
      <c r="E412" s="37">
        <v>46072</v>
      </c>
      <c r="F412" s="34"/>
      <c r="G412" s="35"/>
      <c r="H412" s="34">
        <f t="shared" si="25"/>
        <v>50</v>
      </c>
      <c r="I412" s="34">
        <f t="shared" si="26"/>
        <v>0</v>
      </c>
      <c r="J412" s="39">
        <v>0</v>
      </c>
      <c r="K412" s="34"/>
      <c r="L412" s="40">
        <f t="shared" si="27"/>
        <v>-46071</v>
      </c>
      <c r="M412" s="34">
        <f t="shared" si="28"/>
        <v>22515</v>
      </c>
      <c r="N412" s="34">
        <f t="shared" si="29"/>
        <v>0</v>
      </c>
      <c r="O412" s="36">
        <f t="shared" si="30"/>
        <v>-50</v>
      </c>
      <c r="P412" s="41">
        <f t="shared" si="31"/>
        <v>0</v>
      </c>
      <c r="Q412" s="70">
        <f t="shared" si="32"/>
        <v>0</v>
      </c>
    </row>
    <row r="413" spans="2:17" x14ac:dyDescent="0.4">
      <c r="B413" s="38" t="s">
        <v>1209</v>
      </c>
      <c r="C413" s="34">
        <v>1</v>
      </c>
      <c r="D413" s="34">
        <v>8065</v>
      </c>
      <c r="E413" s="37">
        <v>46072</v>
      </c>
      <c r="F413" s="34"/>
      <c r="G413" s="35"/>
      <c r="H413" s="34">
        <f t="shared" si="25"/>
        <v>20</v>
      </c>
      <c r="I413" s="34">
        <f t="shared" si="26"/>
        <v>0</v>
      </c>
      <c r="J413" s="39">
        <v>0</v>
      </c>
      <c r="K413" s="34"/>
      <c r="L413" s="40">
        <f t="shared" si="27"/>
        <v>-46071</v>
      </c>
      <c r="M413" s="34">
        <f t="shared" si="28"/>
        <v>8065</v>
      </c>
      <c r="N413" s="34">
        <f t="shared" si="29"/>
        <v>0</v>
      </c>
      <c r="O413" s="36">
        <f t="shared" si="30"/>
        <v>-20</v>
      </c>
      <c r="P413" s="41">
        <f t="shared" si="31"/>
        <v>0</v>
      </c>
      <c r="Q413" s="70">
        <f t="shared" si="32"/>
        <v>0</v>
      </c>
    </row>
    <row r="414" spans="2:17" x14ac:dyDescent="0.4">
      <c r="B414" s="38" t="s">
        <v>1207</v>
      </c>
      <c r="C414" s="34">
        <v>1</v>
      </c>
      <c r="D414" s="34">
        <v>11670</v>
      </c>
      <c r="E414" s="37">
        <v>46072</v>
      </c>
      <c r="F414" s="34"/>
      <c r="G414" s="35"/>
      <c r="H414" s="34">
        <f t="shared" si="25"/>
        <v>30</v>
      </c>
      <c r="I414" s="34">
        <f t="shared" si="26"/>
        <v>0</v>
      </c>
      <c r="J414" s="39">
        <v>0</v>
      </c>
      <c r="K414" s="34"/>
      <c r="L414" s="40">
        <f t="shared" si="27"/>
        <v>-46071</v>
      </c>
      <c r="M414" s="34">
        <f t="shared" si="28"/>
        <v>11670</v>
      </c>
      <c r="N414" s="34">
        <f t="shared" si="29"/>
        <v>0</v>
      </c>
      <c r="O414" s="36">
        <f t="shared" si="30"/>
        <v>-30</v>
      </c>
      <c r="P414" s="41">
        <f t="shared" si="31"/>
        <v>0</v>
      </c>
      <c r="Q414" s="70">
        <f t="shared" si="32"/>
        <v>0</v>
      </c>
    </row>
    <row r="415" spans="2:17" x14ac:dyDescent="0.4">
      <c r="B415" s="38" t="s">
        <v>1208</v>
      </c>
      <c r="C415" s="34">
        <v>1</v>
      </c>
      <c r="D415" s="34">
        <v>26260</v>
      </c>
      <c r="E415" s="37">
        <v>46072</v>
      </c>
      <c r="F415" s="34"/>
      <c r="G415" s="35"/>
      <c r="H415" s="34">
        <f t="shared" si="25"/>
        <v>50</v>
      </c>
      <c r="I415" s="34">
        <f t="shared" si="26"/>
        <v>0</v>
      </c>
      <c r="J415" s="39">
        <v>0</v>
      </c>
      <c r="K415" s="34"/>
      <c r="L415" s="40">
        <f t="shared" si="27"/>
        <v>-46071</v>
      </c>
      <c r="M415" s="34">
        <f t="shared" si="28"/>
        <v>26260</v>
      </c>
      <c r="N415" s="34">
        <f t="shared" si="29"/>
        <v>0</v>
      </c>
      <c r="O415" s="36">
        <f t="shared" si="30"/>
        <v>-50</v>
      </c>
      <c r="P415" s="41">
        <f t="shared" si="31"/>
        <v>0</v>
      </c>
      <c r="Q415" s="70">
        <f t="shared" si="32"/>
        <v>0</v>
      </c>
    </row>
    <row r="416" spans="2:17" x14ac:dyDescent="0.4">
      <c r="B416" s="38" t="s">
        <v>91</v>
      </c>
      <c r="C416" s="34">
        <v>1</v>
      </c>
      <c r="D416" s="34">
        <v>11540</v>
      </c>
      <c r="E416" s="37">
        <v>46072</v>
      </c>
      <c r="F416" s="34"/>
      <c r="G416" s="35"/>
      <c r="H416" s="34">
        <f t="shared" si="25"/>
        <v>30</v>
      </c>
      <c r="I416" s="34">
        <f t="shared" si="26"/>
        <v>0</v>
      </c>
      <c r="J416" s="39">
        <v>0</v>
      </c>
      <c r="K416" s="34"/>
      <c r="L416" s="40">
        <f t="shared" si="27"/>
        <v>-46071</v>
      </c>
      <c r="M416" s="34">
        <f t="shared" si="28"/>
        <v>11540</v>
      </c>
      <c r="N416" s="34">
        <f t="shared" si="29"/>
        <v>0</v>
      </c>
      <c r="O416" s="36">
        <f t="shared" si="30"/>
        <v>-30</v>
      </c>
      <c r="P416" s="41">
        <f t="shared" si="31"/>
        <v>0</v>
      </c>
      <c r="Q416" s="70">
        <f t="shared" si="32"/>
        <v>0</v>
      </c>
    </row>
    <row r="417" spans="2:17" x14ac:dyDescent="0.4">
      <c r="B417" s="38" t="s">
        <v>89</v>
      </c>
      <c r="C417" s="34">
        <v>1</v>
      </c>
      <c r="D417" s="34">
        <v>22980</v>
      </c>
      <c r="E417" s="37">
        <v>46072</v>
      </c>
      <c r="F417" s="34"/>
      <c r="G417" s="35"/>
      <c r="H417" s="34">
        <f t="shared" si="25"/>
        <v>50</v>
      </c>
      <c r="I417" s="34">
        <f t="shared" si="26"/>
        <v>0</v>
      </c>
      <c r="J417" s="39">
        <v>0</v>
      </c>
      <c r="K417" s="34"/>
      <c r="L417" s="40">
        <f t="shared" si="27"/>
        <v>-46071</v>
      </c>
      <c r="M417" s="34">
        <f t="shared" si="28"/>
        <v>22980</v>
      </c>
      <c r="N417" s="34">
        <f t="shared" si="29"/>
        <v>0</v>
      </c>
      <c r="O417" s="36">
        <f t="shared" si="30"/>
        <v>-50</v>
      </c>
      <c r="P417" s="41">
        <f t="shared" si="31"/>
        <v>0</v>
      </c>
      <c r="Q417" s="70">
        <f t="shared" si="32"/>
        <v>0</v>
      </c>
    </row>
    <row r="418" spans="2:17" x14ac:dyDescent="0.4">
      <c r="B418" s="38" t="s">
        <v>1205</v>
      </c>
      <c r="C418" s="34">
        <v>1</v>
      </c>
      <c r="D418" s="34">
        <v>14720</v>
      </c>
      <c r="E418" s="37">
        <v>46072</v>
      </c>
      <c r="F418" s="34"/>
      <c r="G418" s="35"/>
      <c r="H418" s="34">
        <f t="shared" si="25"/>
        <v>30</v>
      </c>
      <c r="I418" s="34">
        <f t="shared" si="26"/>
        <v>0</v>
      </c>
      <c r="J418" s="39">
        <v>0</v>
      </c>
      <c r="K418" s="34"/>
      <c r="L418" s="40">
        <f t="shared" si="27"/>
        <v>-46071</v>
      </c>
      <c r="M418" s="34">
        <f t="shared" si="28"/>
        <v>14720</v>
      </c>
      <c r="N418" s="34">
        <f t="shared" si="29"/>
        <v>0</v>
      </c>
      <c r="O418" s="36">
        <f t="shared" si="30"/>
        <v>-30</v>
      </c>
      <c r="P418" s="41">
        <f t="shared" si="31"/>
        <v>0</v>
      </c>
      <c r="Q418" s="70">
        <f t="shared" si="32"/>
        <v>0</v>
      </c>
    </row>
    <row r="419" spans="2:17" x14ac:dyDescent="0.4">
      <c r="B419" s="38" t="s">
        <v>1210</v>
      </c>
      <c r="C419" s="34">
        <v>1</v>
      </c>
      <c r="D419" s="34">
        <v>43915</v>
      </c>
      <c r="E419" s="37">
        <v>46072</v>
      </c>
      <c r="F419" s="34">
        <v>48600</v>
      </c>
      <c r="G419" s="35">
        <v>46098</v>
      </c>
      <c r="H419" s="34">
        <f t="shared" si="25"/>
        <v>90</v>
      </c>
      <c r="I419" s="34">
        <f t="shared" si="26"/>
        <v>90</v>
      </c>
      <c r="J419" s="39">
        <v>0</v>
      </c>
      <c r="K419" s="34"/>
      <c r="L419" s="40">
        <f t="shared" si="27"/>
        <v>27</v>
      </c>
      <c r="M419" s="34">
        <f t="shared" si="28"/>
        <v>43915</v>
      </c>
      <c r="N419" s="34">
        <f t="shared" si="29"/>
        <v>48600</v>
      </c>
      <c r="O419" s="36">
        <f t="shared" si="30"/>
        <v>-180</v>
      </c>
      <c r="P419" s="41">
        <f t="shared" si="31"/>
        <v>4505</v>
      </c>
      <c r="Q419" s="70">
        <f t="shared" si="32"/>
        <v>0.10258453831264944</v>
      </c>
    </row>
    <row r="420" spans="2:17" x14ac:dyDescent="0.4">
      <c r="B420" s="38" t="s">
        <v>1194</v>
      </c>
      <c r="C420" s="34">
        <v>1</v>
      </c>
      <c r="D420" s="34">
        <v>14000</v>
      </c>
      <c r="E420" s="37">
        <v>46073</v>
      </c>
      <c r="F420" s="34"/>
      <c r="G420" s="35"/>
      <c r="H420" s="34">
        <f t="shared" si="25"/>
        <v>30</v>
      </c>
      <c r="I420" s="34">
        <f t="shared" si="26"/>
        <v>0</v>
      </c>
      <c r="J420" s="39">
        <v>0</v>
      </c>
      <c r="K420" s="34"/>
      <c r="L420" s="40">
        <f t="shared" si="27"/>
        <v>-46072</v>
      </c>
      <c r="M420" s="34">
        <f t="shared" si="28"/>
        <v>14000</v>
      </c>
      <c r="N420" s="34">
        <f t="shared" si="29"/>
        <v>0</v>
      </c>
      <c r="O420" s="36">
        <f t="shared" si="30"/>
        <v>-30</v>
      </c>
      <c r="P420" s="41">
        <f t="shared" si="31"/>
        <v>0</v>
      </c>
      <c r="Q420" s="70">
        <f t="shared" si="32"/>
        <v>0</v>
      </c>
    </row>
    <row r="421" spans="2:17" x14ac:dyDescent="0.4">
      <c r="B421" s="38" t="s">
        <v>1211</v>
      </c>
      <c r="C421" s="34">
        <v>1</v>
      </c>
      <c r="D421" s="34">
        <v>31065</v>
      </c>
      <c r="E421" s="37">
        <v>46073</v>
      </c>
      <c r="F421" s="34"/>
      <c r="G421" s="35"/>
      <c r="H421" s="34">
        <f t="shared" si="25"/>
        <v>60</v>
      </c>
      <c r="I421" s="34">
        <f t="shared" si="26"/>
        <v>0</v>
      </c>
      <c r="J421" s="39">
        <v>0</v>
      </c>
      <c r="K421" s="34"/>
      <c r="L421" s="40">
        <f t="shared" si="27"/>
        <v>-46072</v>
      </c>
      <c r="M421" s="34">
        <f t="shared" si="28"/>
        <v>31065</v>
      </c>
      <c r="N421" s="34">
        <f t="shared" si="29"/>
        <v>0</v>
      </c>
      <c r="O421" s="36">
        <f t="shared" si="30"/>
        <v>-60</v>
      </c>
      <c r="P421" s="41">
        <f t="shared" si="31"/>
        <v>0</v>
      </c>
      <c r="Q421" s="70">
        <f t="shared" si="32"/>
        <v>0</v>
      </c>
    </row>
    <row r="422" spans="2:17" x14ac:dyDescent="0.4">
      <c r="B422" s="38" t="s">
        <v>1206</v>
      </c>
      <c r="C422" s="34">
        <v>1</v>
      </c>
      <c r="D422" s="34">
        <v>22285</v>
      </c>
      <c r="E422" s="37">
        <v>46076</v>
      </c>
      <c r="F422" s="34"/>
      <c r="G422" s="35"/>
      <c r="H422" s="34">
        <f t="shared" si="25"/>
        <v>50</v>
      </c>
      <c r="I422" s="34">
        <f t="shared" si="26"/>
        <v>0</v>
      </c>
      <c r="J422" s="39">
        <v>0</v>
      </c>
      <c r="K422" s="34"/>
      <c r="L422" s="40">
        <f t="shared" si="27"/>
        <v>-46075</v>
      </c>
      <c r="M422" s="34">
        <f t="shared" si="28"/>
        <v>22285</v>
      </c>
      <c r="N422" s="34">
        <f t="shared" si="29"/>
        <v>0</v>
      </c>
      <c r="O422" s="36">
        <f t="shared" si="30"/>
        <v>-50</v>
      </c>
      <c r="P422" s="41">
        <f t="shared" si="31"/>
        <v>0</v>
      </c>
      <c r="Q422" s="70">
        <f t="shared" si="32"/>
        <v>0</v>
      </c>
    </row>
    <row r="423" spans="2:17" x14ac:dyDescent="0.4">
      <c r="B423" s="38" t="s">
        <v>1209</v>
      </c>
      <c r="C423" s="34">
        <v>1</v>
      </c>
      <c r="D423" s="34">
        <v>8035</v>
      </c>
      <c r="E423" s="37">
        <v>46076</v>
      </c>
      <c r="F423" s="34"/>
      <c r="G423" s="35"/>
      <c r="H423" s="34">
        <f t="shared" si="25"/>
        <v>20</v>
      </c>
      <c r="I423" s="34">
        <f t="shared" si="26"/>
        <v>0</v>
      </c>
      <c r="J423" s="39">
        <v>0</v>
      </c>
      <c r="K423" s="34"/>
      <c r="L423" s="40">
        <f t="shared" si="27"/>
        <v>-46075</v>
      </c>
      <c r="M423" s="34">
        <f t="shared" si="28"/>
        <v>8035</v>
      </c>
      <c r="N423" s="34">
        <f t="shared" si="29"/>
        <v>0</v>
      </c>
      <c r="O423" s="36">
        <f t="shared" si="30"/>
        <v>-20</v>
      </c>
      <c r="P423" s="41">
        <f t="shared" si="31"/>
        <v>0</v>
      </c>
      <c r="Q423" s="70">
        <f t="shared" si="32"/>
        <v>0</v>
      </c>
    </row>
    <row r="424" spans="2:17" x14ac:dyDescent="0.4">
      <c r="B424" s="38" t="s">
        <v>1207</v>
      </c>
      <c r="C424" s="34">
        <v>1</v>
      </c>
      <c r="D424" s="34">
        <v>11830</v>
      </c>
      <c r="E424" s="37">
        <v>46077</v>
      </c>
      <c r="F424" s="34"/>
      <c r="G424" s="35"/>
      <c r="H424" s="34">
        <f t="shared" si="25"/>
        <v>30</v>
      </c>
      <c r="I424" s="34">
        <f t="shared" si="26"/>
        <v>0</v>
      </c>
      <c r="J424" s="39">
        <v>0</v>
      </c>
      <c r="K424" s="34"/>
      <c r="L424" s="40">
        <f t="shared" si="27"/>
        <v>-46076</v>
      </c>
      <c r="M424" s="34">
        <f t="shared" si="28"/>
        <v>11830</v>
      </c>
      <c r="N424" s="34">
        <f t="shared" si="29"/>
        <v>0</v>
      </c>
      <c r="O424" s="36">
        <f t="shared" si="30"/>
        <v>-30</v>
      </c>
      <c r="P424" s="41">
        <f t="shared" si="31"/>
        <v>0</v>
      </c>
      <c r="Q424" s="70">
        <f t="shared" si="32"/>
        <v>0</v>
      </c>
    </row>
    <row r="425" spans="2:17" x14ac:dyDescent="0.4">
      <c r="B425" s="38" t="s">
        <v>1208</v>
      </c>
      <c r="C425" s="34">
        <v>1</v>
      </c>
      <c r="D425" s="34">
        <v>26600</v>
      </c>
      <c r="E425" s="37">
        <v>46077</v>
      </c>
      <c r="F425" s="34"/>
      <c r="G425" s="35"/>
      <c r="H425" s="34">
        <f t="shared" si="25"/>
        <v>60</v>
      </c>
      <c r="I425" s="34">
        <f t="shared" si="26"/>
        <v>0</v>
      </c>
      <c r="J425" s="39">
        <v>0</v>
      </c>
      <c r="K425" s="34"/>
      <c r="L425" s="40">
        <f t="shared" si="27"/>
        <v>-46076</v>
      </c>
      <c r="M425" s="34">
        <f t="shared" si="28"/>
        <v>26600</v>
      </c>
      <c r="N425" s="34">
        <f t="shared" si="29"/>
        <v>0</v>
      </c>
      <c r="O425" s="36">
        <f t="shared" si="30"/>
        <v>-60</v>
      </c>
      <c r="P425" s="41">
        <f t="shared" si="31"/>
        <v>0</v>
      </c>
      <c r="Q425" s="70">
        <f t="shared" si="32"/>
        <v>0</v>
      </c>
    </row>
    <row r="426" spans="2:17" x14ac:dyDescent="0.4">
      <c r="B426" s="38" t="s">
        <v>91</v>
      </c>
      <c r="C426" s="34">
        <v>1</v>
      </c>
      <c r="D426" s="34">
        <v>11600</v>
      </c>
      <c r="E426" s="37">
        <v>46078</v>
      </c>
      <c r="F426" s="34"/>
      <c r="G426" s="35"/>
      <c r="H426" s="34">
        <f t="shared" si="25"/>
        <v>30</v>
      </c>
      <c r="I426" s="34">
        <f t="shared" si="26"/>
        <v>0</v>
      </c>
      <c r="J426" s="39">
        <v>0</v>
      </c>
      <c r="K426" s="34"/>
      <c r="L426" s="40">
        <f t="shared" si="27"/>
        <v>-46077</v>
      </c>
      <c r="M426" s="34">
        <f t="shared" si="28"/>
        <v>11600</v>
      </c>
      <c r="N426" s="34">
        <f t="shared" si="29"/>
        <v>0</v>
      </c>
      <c r="O426" s="36">
        <f t="shared" si="30"/>
        <v>-30</v>
      </c>
      <c r="P426" s="41">
        <f t="shared" si="31"/>
        <v>0</v>
      </c>
      <c r="Q426" s="70">
        <f t="shared" si="32"/>
        <v>0</v>
      </c>
    </row>
    <row r="427" spans="2:17" x14ac:dyDescent="0.4">
      <c r="B427" s="38" t="s">
        <v>89</v>
      </c>
      <c r="C427" s="34">
        <v>1</v>
      </c>
      <c r="D427" s="34">
        <v>23880</v>
      </c>
      <c r="E427" s="37">
        <v>46078</v>
      </c>
      <c r="F427" s="34"/>
      <c r="G427" s="35"/>
      <c r="H427" s="34">
        <f t="shared" si="25"/>
        <v>50</v>
      </c>
      <c r="I427" s="34">
        <f t="shared" si="26"/>
        <v>0</v>
      </c>
      <c r="J427" s="39">
        <v>0</v>
      </c>
      <c r="K427" s="34"/>
      <c r="L427" s="40">
        <f t="shared" si="27"/>
        <v>-46077</v>
      </c>
      <c r="M427" s="34">
        <f t="shared" si="28"/>
        <v>23880</v>
      </c>
      <c r="N427" s="34">
        <f t="shared" si="29"/>
        <v>0</v>
      </c>
      <c r="O427" s="36">
        <f t="shared" si="30"/>
        <v>-50</v>
      </c>
      <c r="P427" s="41">
        <f t="shared" si="31"/>
        <v>0</v>
      </c>
      <c r="Q427" s="70">
        <f t="shared" si="32"/>
        <v>0</v>
      </c>
    </row>
    <row r="428" spans="2:17" x14ac:dyDescent="0.4">
      <c r="B428" s="38" t="s">
        <v>1205</v>
      </c>
      <c r="C428" s="34">
        <v>1</v>
      </c>
      <c r="D428" s="34">
        <v>14685</v>
      </c>
      <c r="E428" s="37">
        <v>46079</v>
      </c>
      <c r="F428" s="34"/>
      <c r="G428" s="35"/>
      <c r="H428" s="34">
        <f t="shared" si="25"/>
        <v>30</v>
      </c>
      <c r="I428" s="34">
        <f t="shared" si="26"/>
        <v>0</v>
      </c>
      <c r="J428" s="39">
        <v>0</v>
      </c>
      <c r="K428" s="34"/>
      <c r="L428" s="40">
        <f t="shared" si="27"/>
        <v>-46078</v>
      </c>
      <c r="M428" s="34">
        <f t="shared" si="28"/>
        <v>14685</v>
      </c>
      <c r="N428" s="34">
        <f t="shared" si="29"/>
        <v>0</v>
      </c>
      <c r="O428" s="36">
        <f t="shared" si="30"/>
        <v>-30</v>
      </c>
      <c r="P428" s="41">
        <f t="shared" si="31"/>
        <v>0</v>
      </c>
      <c r="Q428" s="70">
        <f t="shared" si="32"/>
        <v>0</v>
      </c>
    </row>
    <row r="429" spans="2:17" x14ac:dyDescent="0.4">
      <c r="B429" s="38" t="s">
        <v>1210</v>
      </c>
      <c r="C429" s="34">
        <v>1</v>
      </c>
      <c r="D429" s="34">
        <v>43560</v>
      </c>
      <c r="E429" s="37">
        <v>46079</v>
      </c>
      <c r="F429" s="34">
        <v>48600</v>
      </c>
      <c r="G429" s="35">
        <v>46098</v>
      </c>
      <c r="H429" s="34">
        <f t="shared" si="25"/>
        <v>90</v>
      </c>
      <c r="I429" s="34">
        <f t="shared" si="26"/>
        <v>90</v>
      </c>
      <c r="J429" s="39">
        <v>0</v>
      </c>
      <c r="K429" s="34"/>
      <c r="L429" s="40">
        <f t="shared" si="27"/>
        <v>20</v>
      </c>
      <c r="M429" s="34">
        <f t="shared" si="28"/>
        <v>43560</v>
      </c>
      <c r="N429" s="34">
        <f t="shared" si="29"/>
        <v>48600</v>
      </c>
      <c r="O429" s="36">
        <f t="shared" si="30"/>
        <v>-180</v>
      </c>
      <c r="P429" s="41">
        <f t="shared" si="31"/>
        <v>4860</v>
      </c>
      <c r="Q429" s="70">
        <f t="shared" si="32"/>
        <v>0.1115702479338843</v>
      </c>
    </row>
    <row r="430" spans="2:17" x14ac:dyDescent="0.4">
      <c r="B430" s="38" t="s">
        <v>1194</v>
      </c>
      <c r="C430" s="34">
        <v>1</v>
      </c>
      <c r="D430" s="34">
        <v>13640</v>
      </c>
      <c r="E430" s="37">
        <v>46080</v>
      </c>
      <c r="F430" s="34"/>
      <c r="G430" s="35"/>
      <c r="H430" s="34">
        <f t="shared" si="25"/>
        <v>30</v>
      </c>
      <c r="I430" s="34">
        <f t="shared" si="26"/>
        <v>0</v>
      </c>
      <c r="J430" s="39">
        <v>0</v>
      </c>
      <c r="K430" s="34"/>
      <c r="L430" s="40">
        <f t="shared" si="27"/>
        <v>-46079</v>
      </c>
      <c r="M430" s="34">
        <f t="shared" si="28"/>
        <v>13640</v>
      </c>
      <c r="N430" s="34">
        <f t="shared" si="29"/>
        <v>0</v>
      </c>
      <c r="O430" s="36">
        <f t="shared" si="30"/>
        <v>-30</v>
      </c>
      <c r="P430" s="41">
        <f t="shared" si="31"/>
        <v>0</v>
      </c>
      <c r="Q430" s="70">
        <f t="shared" si="32"/>
        <v>0</v>
      </c>
    </row>
    <row r="431" spans="2:17" x14ac:dyDescent="0.4">
      <c r="B431" s="38" t="s">
        <v>1211</v>
      </c>
      <c r="C431" s="34">
        <v>1</v>
      </c>
      <c r="D431" s="34">
        <v>34100</v>
      </c>
      <c r="E431" s="37">
        <v>46080</v>
      </c>
      <c r="F431" s="34"/>
      <c r="G431" s="35"/>
      <c r="H431" s="34">
        <f t="shared" si="25"/>
        <v>70</v>
      </c>
      <c r="I431" s="34">
        <f t="shared" si="26"/>
        <v>0</v>
      </c>
      <c r="J431" s="39">
        <v>0</v>
      </c>
      <c r="K431" s="34"/>
      <c r="L431" s="40">
        <f t="shared" si="27"/>
        <v>-46079</v>
      </c>
      <c r="M431" s="34">
        <f t="shared" si="28"/>
        <v>34100</v>
      </c>
      <c r="N431" s="34">
        <f t="shared" si="29"/>
        <v>0</v>
      </c>
      <c r="O431" s="36">
        <f t="shared" si="30"/>
        <v>-70</v>
      </c>
      <c r="P431" s="41">
        <f t="shared" si="31"/>
        <v>0</v>
      </c>
      <c r="Q431" s="70">
        <f t="shared" si="32"/>
        <v>0</v>
      </c>
    </row>
    <row r="432" spans="2:17" x14ac:dyDescent="0.4">
      <c r="B432" s="38" t="s">
        <v>1206</v>
      </c>
      <c r="C432" s="34">
        <v>1</v>
      </c>
      <c r="D432" s="34">
        <v>23615</v>
      </c>
      <c r="E432" s="37">
        <v>46084</v>
      </c>
      <c r="F432" s="34"/>
      <c r="G432" s="35"/>
      <c r="H432" s="34">
        <f t="shared" si="25"/>
        <v>50</v>
      </c>
      <c r="I432" s="34">
        <f t="shared" si="26"/>
        <v>0</v>
      </c>
      <c r="J432" s="39">
        <v>0</v>
      </c>
      <c r="K432" s="34"/>
      <c r="L432" s="40">
        <f t="shared" si="27"/>
        <v>-46083</v>
      </c>
      <c r="M432" s="34">
        <f t="shared" si="28"/>
        <v>23615</v>
      </c>
      <c r="N432" s="34">
        <f t="shared" si="29"/>
        <v>0</v>
      </c>
      <c r="O432" s="36">
        <f t="shared" si="30"/>
        <v>-50</v>
      </c>
      <c r="P432" s="41">
        <f t="shared" si="31"/>
        <v>0</v>
      </c>
      <c r="Q432" s="70">
        <f t="shared" si="32"/>
        <v>0</v>
      </c>
    </row>
    <row r="433" spans="2:17" x14ac:dyDescent="0.4">
      <c r="B433" s="38" t="s">
        <v>1209</v>
      </c>
      <c r="C433" s="34">
        <v>1</v>
      </c>
      <c r="D433" s="34">
        <v>8110</v>
      </c>
      <c r="E433" s="37">
        <v>46084</v>
      </c>
      <c r="F433" s="34"/>
      <c r="G433" s="35"/>
      <c r="H433" s="34">
        <f t="shared" si="25"/>
        <v>20</v>
      </c>
      <c r="I433" s="34">
        <f t="shared" si="26"/>
        <v>0</v>
      </c>
      <c r="J433" s="39">
        <v>0</v>
      </c>
      <c r="K433" s="34"/>
      <c r="L433" s="40">
        <f t="shared" si="27"/>
        <v>-46083</v>
      </c>
      <c r="M433" s="34">
        <f t="shared" si="28"/>
        <v>8110</v>
      </c>
      <c r="N433" s="34">
        <f t="shared" si="29"/>
        <v>0</v>
      </c>
      <c r="O433" s="36">
        <f t="shared" si="30"/>
        <v>-20</v>
      </c>
      <c r="P433" s="41">
        <f t="shared" si="31"/>
        <v>0</v>
      </c>
      <c r="Q433" s="70">
        <f t="shared" si="32"/>
        <v>0</v>
      </c>
    </row>
    <row r="434" spans="2:17" x14ac:dyDescent="0.4">
      <c r="B434" s="38" t="s">
        <v>1207</v>
      </c>
      <c r="C434" s="34">
        <v>1</v>
      </c>
      <c r="D434" s="34">
        <v>10910</v>
      </c>
      <c r="E434" s="37">
        <v>46084</v>
      </c>
      <c r="F434" s="34"/>
      <c r="G434" s="35"/>
      <c r="H434" s="34">
        <f t="shared" si="25"/>
        <v>30</v>
      </c>
      <c r="I434" s="34">
        <f t="shared" si="26"/>
        <v>0</v>
      </c>
      <c r="J434" s="39">
        <v>0</v>
      </c>
      <c r="K434" s="34"/>
      <c r="L434" s="40">
        <f t="shared" si="27"/>
        <v>-46083</v>
      </c>
      <c r="M434" s="34">
        <f t="shared" si="28"/>
        <v>10910</v>
      </c>
      <c r="N434" s="34">
        <f t="shared" si="29"/>
        <v>0</v>
      </c>
      <c r="O434" s="36">
        <f t="shared" si="30"/>
        <v>-30</v>
      </c>
      <c r="P434" s="41">
        <f t="shared" si="31"/>
        <v>0</v>
      </c>
      <c r="Q434" s="70">
        <f t="shared" si="32"/>
        <v>0</v>
      </c>
    </row>
    <row r="435" spans="2:17" x14ac:dyDescent="0.4">
      <c r="B435" s="38" t="s">
        <v>1208</v>
      </c>
      <c r="C435" s="34">
        <v>1</v>
      </c>
      <c r="D435" s="34">
        <v>25570</v>
      </c>
      <c r="E435" s="37">
        <v>46084</v>
      </c>
      <c r="F435" s="34"/>
      <c r="G435" s="35"/>
      <c r="H435" s="34">
        <f t="shared" si="25"/>
        <v>50</v>
      </c>
      <c r="I435" s="34">
        <f t="shared" si="26"/>
        <v>0</v>
      </c>
      <c r="J435" s="39">
        <v>0</v>
      </c>
      <c r="K435" s="34"/>
      <c r="L435" s="40">
        <f t="shared" si="27"/>
        <v>-46083</v>
      </c>
      <c r="M435" s="34">
        <f t="shared" si="28"/>
        <v>25570</v>
      </c>
      <c r="N435" s="34">
        <f t="shared" si="29"/>
        <v>0</v>
      </c>
      <c r="O435" s="36">
        <f t="shared" si="30"/>
        <v>-50</v>
      </c>
      <c r="P435" s="41">
        <f t="shared" si="31"/>
        <v>0</v>
      </c>
      <c r="Q435" s="70">
        <f t="shared" si="32"/>
        <v>0</v>
      </c>
    </row>
    <row r="436" spans="2:17" x14ac:dyDescent="0.4">
      <c r="B436" s="38" t="s">
        <v>91</v>
      </c>
      <c r="C436" s="34">
        <v>1</v>
      </c>
      <c r="D436" s="34">
        <v>11290</v>
      </c>
      <c r="E436" s="37">
        <v>46085</v>
      </c>
      <c r="F436" s="34"/>
      <c r="G436" s="35"/>
      <c r="H436" s="34">
        <f t="shared" ref="H436:H499" si="33">ROUNDUP(M436*0.001891639,-1)</f>
        <v>30</v>
      </c>
      <c r="I436" s="34">
        <f t="shared" ref="I436:I499" si="34">ROUNDDOWN(N436*0.001891639,-1)</f>
        <v>0</v>
      </c>
      <c r="J436" s="39">
        <v>0</v>
      </c>
      <c r="K436" s="34"/>
      <c r="L436" s="40">
        <f t="shared" ref="L436:L499" si="35">G436-E436+1</f>
        <v>-46084</v>
      </c>
      <c r="M436" s="34">
        <f t="shared" ref="M436:M499" si="36">C436*D436</f>
        <v>11290</v>
      </c>
      <c r="N436" s="34">
        <f t="shared" ref="N436:N499" si="37">C436*F436</f>
        <v>0</v>
      </c>
      <c r="O436" s="36">
        <f t="shared" ref="O436:O499" si="38">K436-H436-I436-J436</f>
        <v>-30</v>
      </c>
      <c r="P436" s="41">
        <f t="shared" ref="P436:P499" si="39">IF(N436=0,0,N436-M436+O436)</f>
        <v>0</v>
      </c>
      <c r="Q436" s="70">
        <f t="shared" ref="Q436:Q499" si="40">P436/M436</f>
        <v>0</v>
      </c>
    </row>
    <row r="437" spans="2:17" x14ac:dyDescent="0.4">
      <c r="B437" s="38" t="s">
        <v>89</v>
      </c>
      <c r="C437" s="34">
        <v>1</v>
      </c>
      <c r="D437" s="34">
        <v>23085</v>
      </c>
      <c r="E437" s="37">
        <v>46085</v>
      </c>
      <c r="F437" s="34"/>
      <c r="G437" s="35"/>
      <c r="H437" s="34">
        <f t="shared" si="33"/>
        <v>50</v>
      </c>
      <c r="I437" s="34">
        <f t="shared" si="34"/>
        <v>0</v>
      </c>
      <c r="J437" s="39">
        <v>0</v>
      </c>
      <c r="K437" s="34"/>
      <c r="L437" s="40">
        <f t="shared" si="35"/>
        <v>-46084</v>
      </c>
      <c r="M437" s="34">
        <f t="shared" si="36"/>
        <v>23085</v>
      </c>
      <c r="N437" s="34">
        <f t="shared" si="37"/>
        <v>0</v>
      </c>
      <c r="O437" s="36">
        <f t="shared" si="38"/>
        <v>-50</v>
      </c>
      <c r="P437" s="41">
        <f t="shared" si="39"/>
        <v>0</v>
      </c>
      <c r="Q437" s="70">
        <f t="shared" si="40"/>
        <v>0</v>
      </c>
    </row>
    <row r="438" spans="2:17" x14ac:dyDescent="0.4">
      <c r="B438" s="38" t="s">
        <v>1212</v>
      </c>
      <c r="C438" s="34">
        <v>31</v>
      </c>
      <c r="D438" s="34">
        <v>15900</v>
      </c>
      <c r="E438" s="37">
        <v>46085</v>
      </c>
      <c r="F438" s="34"/>
      <c r="G438" s="35"/>
      <c r="H438" s="34">
        <f t="shared" si="33"/>
        <v>940</v>
      </c>
      <c r="I438" s="34">
        <f t="shared" si="34"/>
        <v>0</v>
      </c>
      <c r="J438" s="39">
        <v>0</v>
      </c>
      <c r="K438" s="34"/>
      <c r="L438" s="40">
        <f t="shared" si="35"/>
        <v>-46084</v>
      </c>
      <c r="M438" s="34">
        <f t="shared" si="36"/>
        <v>492900</v>
      </c>
      <c r="N438" s="34">
        <f t="shared" si="37"/>
        <v>0</v>
      </c>
      <c r="O438" s="36">
        <f t="shared" si="38"/>
        <v>-940</v>
      </c>
      <c r="P438" s="41">
        <f t="shared" si="39"/>
        <v>0</v>
      </c>
      <c r="Q438" s="70">
        <f t="shared" si="40"/>
        <v>0</v>
      </c>
    </row>
    <row r="439" spans="2:17" x14ac:dyDescent="0.4">
      <c r="B439" s="38" t="s">
        <v>1205</v>
      </c>
      <c r="C439" s="34">
        <v>1</v>
      </c>
      <c r="D439" s="34">
        <v>12635</v>
      </c>
      <c r="E439" s="37">
        <v>46086</v>
      </c>
      <c r="F439" s="34"/>
      <c r="G439" s="35"/>
      <c r="H439" s="34">
        <f t="shared" si="33"/>
        <v>30</v>
      </c>
      <c r="I439" s="34">
        <f t="shared" si="34"/>
        <v>0</v>
      </c>
      <c r="J439" s="39">
        <v>0</v>
      </c>
      <c r="K439" s="34"/>
      <c r="L439" s="40">
        <f t="shared" si="35"/>
        <v>-46085</v>
      </c>
      <c r="M439" s="34">
        <f t="shared" si="36"/>
        <v>12635</v>
      </c>
      <c r="N439" s="34">
        <f t="shared" si="37"/>
        <v>0</v>
      </c>
      <c r="O439" s="36">
        <f t="shared" si="38"/>
        <v>-30</v>
      </c>
      <c r="P439" s="41">
        <f t="shared" si="39"/>
        <v>0</v>
      </c>
      <c r="Q439" s="70">
        <f t="shared" si="40"/>
        <v>0</v>
      </c>
    </row>
    <row r="440" spans="2:17" x14ac:dyDescent="0.4">
      <c r="B440" s="38" t="s">
        <v>1194</v>
      </c>
      <c r="C440" s="34">
        <v>1</v>
      </c>
      <c r="D440" s="34">
        <v>13265</v>
      </c>
      <c r="E440" s="37">
        <v>46087</v>
      </c>
      <c r="F440" s="34"/>
      <c r="G440" s="35"/>
      <c r="H440" s="34">
        <f t="shared" si="33"/>
        <v>30</v>
      </c>
      <c r="I440" s="34">
        <f t="shared" si="34"/>
        <v>0</v>
      </c>
      <c r="J440" s="39">
        <v>0</v>
      </c>
      <c r="K440" s="34"/>
      <c r="L440" s="40">
        <f t="shared" si="35"/>
        <v>-46086</v>
      </c>
      <c r="M440" s="34">
        <f t="shared" si="36"/>
        <v>13265</v>
      </c>
      <c r="N440" s="34">
        <f t="shared" si="37"/>
        <v>0</v>
      </c>
      <c r="O440" s="36">
        <f t="shared" si="38"/>
        <v>-30</v>
      </c>
      <c r="P440" s="41">
        <f t="shared" si="39"/>
        <v>0</v>
      </c>
      <c r="Q440" s="70">
        <f t="shared" si="40"/>
        <v>0</v>
      </c>
    </row>
    <row r="441" spans="2:17" x14ac:dyDescent="0.4">
      <c r="B441" s="38" t="s">
        <v>1211</v>
      </c>
      <c r="C441" s="34">
        <v>1</v>
      </c>
      <c r="D441" s="34">
        <v>32055</v>
      </c>
      <c r="E441" s="37">
        <v>46087</v>
      </c>
      <c r="F441" s="34"/>
      <c r="G441" s="35"/>
      <c r="H441" s="34">
        <f t="shared" si="33"/>
        <v>70</v>
      </c>
      <c r="I441" s="34">
        <f t="shared" si="34"/>
        <v>0</v>
      </c>
      <c r="J441" s="39">
        <v>0</v>
      </c>
      <c r="K441" s="34"/>
      <c r="L441" s="40">
        <f t="shared" si="35"/>
        <v>-46086</v>
      </c>
      <c r="M441" s="34">
        <f t="shared" si="36"/>
        <v>32055</v>
      </c>
      <c r="N441" s="34">
        <f t="shared" si="37"/>
        <v>0</v>
      </c>
      <c r="O441" s="36">
        <f t="shared" si="38"/>
        <v>-70</v>
      </c>
      <c r="P441" s="41">
        <f t="shared" si="39"/>
        <v>0</v>
      </c>
      <c r="Q441" s="70">
        <f t="shared" si="40"/>
        <v>0</v>
      </c>
    </row>
    <row r="442" spans="2:17" x14ac:dyDescent="0.4">
      <c r="B442" s="38" t="s">
        <v>1206</v>
      </c>
      <c r="C442" s="34">
        <v>1</v>
      </c>
      <c r="D442" s="34">
        <v>22500</v>
      </c>
      <c r="E442" s="37">
        <v>46090</v>
      </c>
      <c r="F442" s="34"/>
      <c r="G442" s="35"/>
      <c r="H442" s="34">
        <f t="shared" si="33"/>
        <v>50</v>
      </c>
      <c r="I442" s="34">
        <f t="shared" si="34"/>
        <v>0</v>
      </c>
      <c r="J442" s="39">
        <v>0</v>
      </c>
      <c r="K442" s="34"/>
      <c r="L442" s="40">
        <f t="shared" si="35"/>
        <v>-46089</v>
      </c>
      <c r="M442" s="34">
        <f t="shared" si="36"/>
        <v>22500</v>
      </c>
      <c r="N442" s="34">
        <f t="shared" si="37"/>
        <v>0</v>
      </c>
      <c r="O442" s="36">
        <f t="shared" si="38"/>
        <v>-50</v>
      </c>
      <c r="P442" s="41">
        <f t="shared" si="39"/>
        <v>0</v>
      </c>
      <c r="Q442" s="70">
        <f t="shared" si="40"/>
        <v>0</v>
      </c>
    </row>
    <row r="443" spans="2:17" x14ac:dyDescent="0.4">
      <c r="B443" s="38" t="s">
        <v>1209</v>
      </c>
      <c r="C443" s="34">
        <v>1</v>
      </c>
      <c r="D443" s="34"/>
      <c r="E443" s="37">
        <v>46090</v>
      </c>
      <c r="F443" s="34"/>
      <c r="G443" s="35"/>
      <c r="H443" s="34">
        <f t="shared" si="33"/>
        <v>0</v>
      </c>
      <c r="I443" s="34">
        <f t="shared" si="34"/>
        <v>0</v>
      </c>
      <c r="J443" s="39">
        <v>0</v>
      </c>
      <c r="K443" s="34"/>
      <c r="L443" s="40">
        <f t="shared" si="35"/>
        <v>-46089</v>
      </c>
      <c r="M443" s="34">
        <f t="shared" si="36"/>
        <v>0</v>
      </c>
      <c r="N443" s="34">
        <f t="shared" si="37"/>
        <v>0</v>
      </c>
      <c r="O443" s="36">
        <f t="shared" si="38"/>
        <v>0</v>
      </c>
      <c r="P443" s="41">
        <f t="shared" si="39"/>
        <v>0</v>
      </c>
      <c r="Q443" s="70" t="e">
        <f t="shared" si="40"/>
        <v>#DIV/0!</v>
      </c>
    </row>
    <row r="444" spans="2:17" x14ac:dyDescent="0.4">
      <c r="B444" s="38" t="s">
        <v>1207</v>
      </c>
      <c r="C444" s="34">
        <v>1</v>
      </c>
      <c r="D444" s="34">
        <v>10695</v>
      </c>
      <c r="E444" s="37">
        <v>46091</v>
      </c>
      <c r="F444" s="34"/>
      <c r="G444" s="35"/>
      <c r="H444" s="34">
        <f t="shared" si="33"/>
        <v>30</v>
      </c>
      <c r="I444" s="34">
        <f t="shared" si="34"/>
        <v>0</v>
      </c>
      <c r="J444" s="39">
        <v>0</v>
      </c>
      <c r="K444" s="34"/>
      <c r="L444" s="40">
        <f t="shared" si="35"/>
        <v>-46090</v>
      </c>
      <c r="M444" s="34">
        <f t="shared" si="36"/>
        <v>10695</v>
      </c>
      <c r="N444" s="34">
        <f t="shared" si="37"/>
        <v>0</v>
      </c>
      <c r="O444" s="36">
        <f t="shared" si="38"/>
        <v>-30</v>
      </c>
      <c r="P444" s="41">
        <f t="shared" si="39"/>
        <v>0</v>
      </c>
      <c r="Q444" s="70">
        <f t="shared" si="40"/>
        <v>0</v>
      </c>
    </row>
    <row r="445" spans="2:17" x14ac:dyDescent="0.4">
      <c r="B445" s="38" t="s">
        <v>1208</v>
      </c>
      <c r="C445" s="34">
        <v>1</v>
      </c>
      <c r="D445" s="34">
        <v>26845</v>
      </c>
      <c r="E445" s="37">
        <v>46091</v>
      </c>
      <c r="F445" s="34"/>
      <c r="G445" s="35"/>
      <c r="H445" s="34">
        <f t="shared" si="33"/>
        <v>60</v>
      </c>
      <c r="I445" s="34">
        <f t="shared" si="34"/>
        <v>0</v>
      </c>
      <c r="J445" s="39">
        <v>0</v>
      </c>
      <c r="K445" s="34"/>
      <c r="L445" s="40">
        <f t="shared" si="35"/>
        <v>-46090</v>
      </c>
      <c r="M445" s="34">
        <f t="shared" si="36"/>
        <v>26845</v>
      </c>
      <c r="N445" s="34">
        <f t="shared" si="37"/>
        <v>0</v>
      </c>
      <c r="O445" s="36">
        <f t="shared" si="38"/>
        <v>-60</v>
      </c>
      <c r="P445" s="41">
        <f t="shared" si="39"/>
        <v>0</v>
      </c>
      <c r="Q445" s="70">
        <f t="shared" si="40"/>
        <v>0</v>
      </c>
    </row>
    <row r="446" spans="2:17" x14ac:dyDescent="0.4">
      <c r="B446" s="38" t="s">
        <v>91</v>
      </c>
      <c r="C446" s="34">
        <v>1</v>
      </c>
      <c r="D446" s="34">
        <v>13000</v>
      </c>
      <c r="E446" s="37">
        <v>46092</v>
      </c>
      <c r="F446" s="34"/>
      <c r="G446" s="35"/>
      <c r="H446" s="34">
        <f t="shared" si="33"/>
        <v>30</v>
      </c>
      <c r="I446" s="34">
        <f t="shared" si="34"/>
        <v>0</v>
      </c>
      <c r="J446" s="39">
        <v>0</v>
      </c>
      <c r="K446" s="34"/>
      <c r="L446" s="40">
        <f t="shared" si="35"/>
        <v>-46091</v>
      </c>
      <c r="M446" s="34">
        <f t="shared" si="36"/>
        <v>13000</v>
      </c>
      <c r="N446" s="34">
        <f t="shared" si="37"/>
        <v>0</v>
      </c>
      <c r="O446" s="36">
        <f t="shared" si="38"/>
        <v>-30</v>
      </c>
      <c r="P446" s="41">
        <f t="shared" si="39"/>
        <v>0</v>
      </c>
      <c r="Q446" s="70">
        <f t="shared" si="40"/>
        <v>0</v>
      </c>
    </row>
    <row r="447" spans="2:17" x14ac:dyDescent="0.4">
      <c r="B447" s="38" t="s">
        <v>89</v>
      </c>
      <c r="C447" s="34">
        <v>1</v>
      </c>
      <c r="D447" s="34">
        <v>23495</v>
      </c>
      <c r="E447" s="37">
        <v>46092</v>
      </c>
      <c r="F447" s="34"/>
      <c r="G447" s="35"/>
      <c r="H447" s="34">
        <f t="shared" si="33"/>
        <v>50</v>
      </c>
      <c r="I447" s="34">
        <f t="shared" si="34"/>
        <v>0</v>
      </c>
      <c r="J447" s="39">
        <v>0</v>
      </c>
      <c r="K447" s="34"/>
      <c r="L447" s="40">
        <f t="shared" si="35"/>
        <v>-46091</v>
      </c>
      <c r="M447" s="34">
        <f t="shared" si="36"/>
        <v>23495</v>
      </c>
      <c r="N447" s="34">
        <f t="shared" si="37"/>
        <v>0</v>
      </c>
      <c r="O447" s="36">
        <f t="shared" si="38"/>
        <v>-50</v>
      </c>
      <c r="P447" s="41">
        <f t="shared" si="39"/>
        <v>0</v>
      </c>
      <c r="Q447" s="70">
        <f t="shared" si="40"/>
        <v>0</v>
      </c>
    </row>
    <row r="448" spans="2:17" x14ac:dyDescent="0.4">
      <c r="B448" s="38" t="s">
        <v>1205</v>
      </c>
      <c r="C448" s="34">
        <v>1</v>
      </c>
      <c r="D448" s="34">
        <v>13000</v>
      </c>
      <c r="E448" s="37">
        <v>46093</v>
      </c>
      <c r="F448" s="34"/>
      <c r="G448" s="35"/>
      <c r="H448" s="34">
        <f t="shared" si="33"/>
        <v>30</v>
      </c>
      <c r="I448" s="34">
        <f t="shared" si="34"/>
        <v>0</v>
      </c>
      <c r="J448" s="39">
        <v>0</v>
      </c>
      <c r="K448" s="34"/>
      <c r="L448" s="40">
        <f t="shared" si="35"/>
        <v>-46092</v>
      </c>
      <c r="M448" s="34">
        <f t="shared" si="36"/>
        <v>13000</v>
      </c>
      <c r="N448" s="34">
        <f t="shared" si="37"/>
        <v>0</v>
      </c>
      <c r="O448" s="36">
        <f t="shared" si="38"/>
        <v>-30</v>
      </c>
      <c r="P448" s="41">
        <f t="shared" si="39"/>
        <v>0</v>
      </c>
      <c r="Q448" s="70">
        <f t="shared" si="40"/>
        <v>0</v>
      </c>
    </row>
    <row r="449" spans="2:17" x14ac:dyDescent="0.4">
      <c r="B449" s="38" t="s">
        <v>1210</v>
      </c>
      <c r="C449" s="34">
        <v>1</v>
      </c>
      <c r="D449" s="34">
        <v>48330</v>
      </c>
      <c r="E449" s="37">
        <v>46093</v>
      </c>
      <c r="F449" s="34">
        <v>48600</v>
      </c>
      <c r="G449" s="35">
        <v>46098</v>
      </c>
      <c r="H449" s="34">
        <f t="shared" si="33"/>
        <v>100</v>
      </c>
      <c r="I449" s="34">
        <f t="shared" si="34"/>
        <v>90</v>
      </c>
      <c r="J449" s="39">
        <v>0</v>
      </c>
      <c r="K449" s="34"/>
      <c r="L449" s="40">
        <f t="shared" si="35"/>
        <v>6</v>
      </c>
      <c r="M449" s="34">
        <f t="shared" si="36"/>
        <v>48330</v>
      </c>
      <c r="N449" s="34">
        <f t="shared" si="37"/>
        <v>48600</v>
      </c>
      <c r="O449" s="36">
        <f t="shared" si="38"/>
        <v>-190</v>
      </c>
      <c r="P449" s="41">
        <f t="shared" si="39"/>
        <v>80</v>
      </c>
      <c r="Q449" s="70">
        <f t="shared" si="40"/>
        <v>1.6552865714876887E-3</v>
      </c>
    </row>
    <row r="450" spans="2:17" x14ac:dyDescent="0.4">
      <c r="B450" s="38" t="s">
        <v>1194</v>
      </c>
      <c r="C450" s="34">
        <v>1</v>
      </c>
      <c r="D450" s="34">
        <v>12985</v>
      </c>
      <c r="E450" s="37">
        <v>46094</v>
      </c>
      <c r="F450" s="34"/>
      <c r="G450" s="35"/>
      <c r="H450" s="34">
        <f t="shared" si="33"/>
        <v>30</v>
      </c>
      <c r="I450" s="34">
        <f t="shared" si="34"/>
        <v>0</v>
      </c>
      <c r="J450" s="39">
        <v>0</v>
      </c>
      <c r="K450" s="34"/>
      <c r="L450" s="40">
        <f t="shared" si="35"/>
        <v>-46093</v>
      </c>
      <c r="M450" s="34">
        <f t="shared" si="36"/>
        <v>12985</v>
      </c>
      <c r="N450" s="34">
        <f t="shared" si="37"/>
        <v>0</v>
      </c>
      <c r="O450" s="36">
        <f t="shared" si="38"/>
        <v>-30</v>
      </c>
      <c r="P450" s="41">
        <f t="shared" si="39"/>
        <v>0</v>
      </c>
      <c r="Q450" s="70">
        <f t="shared" si="40"/>
        <v>0</v>
      </c>
    </row>
    <row r="451" spans="2:17" x14ac:dyDescent="0.4">
      <c r="B451" s="38" t="s">
        <v>1211</v>
      </c>
      <c r="C451" s="34">
        <v>1</v>
      </c>
      <c r="D451" s="34">
        <v>30675</v>
      </c>
      <c r="E451" s="37">
        <v>46094</v>
      </c>
      <c r="F451" s="34"/>
      <c r="G451" s="35"/>
      <c r="H451" s="34">
        <f t="shared" si="33"/>
        <v>60</v>
      </c>
      <c r="I451" s="34">
        <f t="shared" si="34"/>
        <v>0</v>
      </c>
      <c r="J451" s="39">
        <v>0</v>
      </c>
      <c r="K451" s="34"/>
      <c r="L451" s="40">
        <f t="shared" si="35"/>
        <v>-46093</v>
      </c>
      <c r="M451" s="34">
        <f t="shared" si="36"/>
        <v>30675</v>
      </c>
      <c r="N451" s="34">
        <f t="shared" si="37"/>
        <v>0</v>
      </c>
      <c r="O451" s="36">
        <f t="shared" si="38"/>
        <v>-60</v>
      </c>
      <c r="P451" s="41">
        <f t="shared" si="39"/>
        <v>0</v>
      </c>
      <c r="Q451" s="70">
        <f t="shared" si="40"/>
        <v>0</v>
      </c>
    </row>
    <row r="452" spans="2:17" x14ac:dyDescent="0.4">
      <c r="B452" s="38" t="s">
        <v>1206</v>
      </c>
      <c r="C452" s="34">
        <v>1</v>
      </c>
      <c r="D452" s="34">
        <v>22895</v>
      </c>
      <c r="E452" s="37">
        <v>46097</v>
      </c>
      <c r="F452" s="34"/>
      <c r="G452" s="35"/>
      <c r="H452" s="34">
        <f t="shared" si="33"/>
        <v>50</v>
      </c>
      <c r="I452" s="34">
        <f t="shared" si="34"/>
        <v>0</v>
      </c>
      <c r="J452" s="39">
        <v>0</v>
      </c>
      <c r="K452" s="34"/>
      <c r="L452" s="40">
        <f t="shared" si="35"/>
        <v>-46096</v>
      </c>
      <c r="M452" s="34">
        <f t="shared" si="36"/>
        <v>22895</v>
      </c>
      <c r="N452" s="34">
        <f t="shared" si="37"/>
        <v>0</v>
      </c>
      <c r="O452" s="36">
        <f t="shared" si="38"/>
        <v>-50</v>
      </c>
      <c r="P452" s="41">
        <f t="shared" si="39"/>
        <v>0</v>
      </c>
      <c r="Q452" s="70">
        <f t="shared" si="40"/>
        <v>0</v>
      </c>
    </row>
    <row r="453" spans="2:17" x14ac:dyDescent="0.4">
      <c r="B453" s="38" t="s">
        <v>1209</v>
      </c>
      <c r="C453" s="34">
        <v>1</v>
      </c>
      <c r="D453" s="34">
        <v>8535</v>
      </c>
      <c r="E453" s="37">
        <v>46097</v>
      </c>
      <c r="F453" s="34"/>
      <c r="G453" s="35"/>
      <c r="H453" s="34">
        <f t="shared" si="33"/>
        <v>20</v>
      </c>
      <c r="I453" s="34">
        <f t="shared" si="34"/>
        <v>0</v>
      </c>
      <c r="J453" s="39">
        <v>0</v>
      </c>
      <c r="K453" s="34"/>
      <c r="L453" s="40">
        <f t="shared" si="35"/>
        <v>-46096</v>
      </c>
      <c r="M453" s="34">
        <f t="shared" si="36"/>
        <v>8535</v>
      </c>
      <c r="N453" s="34">
        <f t="shared" si="37"/>
        <v>0</v>
      </c>
      <c r="O453" s="36">
        <f t="shared" si="38"/>
        <v>-20</v>
      </c>
      <c r="P453" s="41">
        <f t="shared" si="39"/>
        <v>0</v>
      </c>
      <c r="Q453" s="70">
        <f t="shared" si="40"/>
        <v>0</v>
      </c>
    </row>
    <row r="454" spans="2:17" x14ac:dyDescent="0.4">
      <c r="B454" s="38" t="s">
        <v>1207</v>
      </c>
      <c r="C454" s="34">
        <v>1</v>
      </c>
      <c r="D454" s="34">
        <v>10600</v>
      </c>
      <c r="E454" s="37">
        <v>46098</v>
      </c>
      <c r="F454" s="34"/>
      <c r="G454" s="35"/>
      <c r="H454" s="34">
        <f t="shared" si="33"/>
        <v>30</v>
      </c>
      <c r="I454" s="34">
        <f t="shared" si="34"/>
        <v>0</v>
      </c>
      <c r="J454" s="39">
        <v>0</v>
      </c>
      <c r="K454" s="34"/>
      <c r="L454" s="40">
        <f t="shared" si="35"/>
        <v>-46097</v>
      </c>
      <c r="M454" s="34">
        <f t="shared" si="36"/>
        <v>10600</v>
      </c>
      <c r="N454" s="34">
        <f t="shared" si="37"/>
        <v>0</v>
      </c>
      <c r="O454" s="36">
        <f t="shared" si="38"/>
        <v>-30</v>
      </c>
      <c r="P454" s="41">
        <f t="shared" si="39"/>
        <v>0</v>
      </c>
      <c r="Q454" s="70">
        <f t="shared" si="40"/>
        <v>0</v>
      </c>
    </row>
    <row r="455" spans="2:17" x14ac:dyDescent="0.4">
      <c r="B455" s="38" t="s">
        <v>1208</v>
      </c>
      <c r="C455" s="34">
        <v>1</v>
      </c>
      <c r="D455" s="34">
        <v>26170</v>
      </c>
      <c r="E455" s="37">
        <v>46098</v>
      </c>
      <c r="F455" s="34"/>
      <c r="G455" s="35"/>
      <c r="H455" s="34">
        <f t="shared" si="33"/>
        <v>50</v>
      </c>
      <c r="I455" s="34">
        <f t="shared" si="34"/>
        <v>0</v>
      </c>
      <c r="J455" s="39">
        <v>0</v>
      </c>
      <c r="K455" s="34"/>
      <c r="L455" s="40">
        <f t="shared" si="35"/>
        <v>-46097</v>
      </c>
      <c r="M455" s="34">
        <f t="shared" si="36"/>
        <v>26170</v>
      </c>
      <c r="N455" s="34">
        <f t="shared" si="37"/>
        <v>0</v>
      </c>
      <c r="O455" s="36">
        <f t="shared" si="38"/>
        <v>-50</v>
      </c>
      <c r="P455" s="41">
        <f t="shared" si="39"/>
        <v>0</v>
      </c>
      <c r="Q455" s="70">
        <f t="shared" si="40"/>
        <v>0</v>
      </c>
    </row>
    <row r="456" spans="2:17" x14ac:dyDescent="0.4">
      <c r="B456" s="38" t="s">
        <v>91</v>
      </c>
      <c r="C456" s="34">
        <v>1</v>
      </c>
      <c r="D456" s="34">
        <v>11350</v>
      </c>
      <c r="E456" s="37">
        <v>46099</v>
      </c>
      <c r="F456" s="34"/>
      <c r="G456" s="35"/>
      <c r="H456" s="34">
        <f t="shared" si="33"/>
        <v>30</v>
      </c>
      <c r="I456" s="34">
        <f t="shared" si="34"/>
        <v>0</v>
      </c>
      <c r="J456" s="39">
        <v>0</v>
      </c>
      <c r="K456" s="34"/>
      <c r="L456" s="40">
        <f t="shared" si="35"/>
        <v>-46098</v>
      </c>
      <c r="M456" s="34">
        <f t="shared" si="36"/>
        <v>11350</v>
      </c>
      <c r="N456" s="34">
        <f t="shared" si="37"/>
        <v>0</v>
      </c>
      <c r="O456" s="36">
        <f t="shared" si="38"/>
        <v>-30</v>
      </c>
      <c r="P456" s="41">
        <f t="shared" si="39"/>
        <v>0</v>
      </c>
      <c r="Q456" s="70">
        <f t="shared" si="40"/>
        <v>0</v>
      </c>
    </row>
    <row r="457" spans="2:17" x14ac:dyDescent="0.4">
      <c r="B457" s="38" t="s">
        <v>89</v>
      </c>
      <c r="C457" s="34">
        <v>1</v>
      </c>
      <c r="D457" s="34">
        <v>24155</v>
      </c>
      <c r="E457" s="37">
        <v>46099</v>
      </c>
      <c r="F457" s="34"/>
      <c r="G457" s="35"/>
      <c r="H457" s="34">
        <f t="shared" si="33"/>
        <v>50</v>
      </c>
      <c r="I457" s="34">
        <f t="shared" si="34"/>
        <v>0</v>
      </c>
      <c r="J457" s="39">
        <v>0</v>
      </c>
      <c r="K457" s="34"/>
      <c r="L457" s="40">
        <f t="shared" si="35"/>
        <v>-46098</v>
      </c>
      <c r="M457" s="34">
        <f t="shared" si="36"/>
        <v>24155</v>
      </c>
      <c r="N457" s="34">
        <f t="shared" si="37"/>
        <v>0</v>
      </c>
      <c r="O457" s="36">
        <f t="shared" si="38"/>
        <v>-50</v>
      </c>
      <c r="P457" s="41">
        <f t="shared" si="39"/>
        <v>0</v>
      </c>
      <c r="Q457" s="70">
        <f t="shared" si="40"/>
        <v>0</v>
      </c>
    </row>
    <row r="458" spans="2:17" x14ac:dyDescent="0.4">
      <c r="B458" s="38" t="s">
        <v>1210</v>
      </c>
      <c r="C458" s="34">
        <v>50</v>
      </c>
      <c r="D458" s="34">
        <v>46870</v>
      </c>
      <c r="E458" s="37">
        <v>46099</v>
      </c>
      <c r="F458" s="34"/>
      <c r="G458" s="35"/>
      <c r="H458" s="34">
        <f t="shared" si="33"/>
        <v>4440</v>
      </c>
      <c r="I458" s="34">
        <f t="shared" si="34"/>
        <v>0</v>
      </c>
      <c r="J458" s="39">
        <v>0</v>
      </c>
      <c r="K458" s="34"/>
      <c r="L458" s="40">
        <f t="shared" si="35"/>
        <v>-46098</v>
      </c>
      <c r="M458" s="34">
        <f t="shared" si="36"/>
        <v>2343500</v>
      </c>
      <c r="N458" s="34">
        <f t="shared" si="37"/>
        <v>0</v>
      </c>
      <c r="O458" s="36">
        <f t="shared" si="38"/>
        <v>-4440</v>
      </c>
      <c r="P458" s="41">
        <f t="shared" si="39"/>
        <v>0</v>
      </c>
      <c r="Q458" s="70">
        <f t="shared" si="40"/>
        <v>0</v>
      </c>
    </row>
    <row r="459" spans="2:17" x14ac:dyDescent="0.4">
      <c r="B459" s="38" t="s">
        <v>1205</v>
      </c>
      <c r="C459" s="34">
        <v>1</v>
      </c>
      <c r="D459" s="34">
        <v>13000</v>
      </c>
      <c r="E459" s="37">
        <v>46100</v>
      </c>
      <c r="F459" s="34"/>
      <c r="G459" s="35"/>
      <c r="H459" s="34">
        <f t="shared" si="33"/>
        <v>30</v>
      </c>
      <c r="I459" s="34">
        <f t="shared" si="34"/>
        <v>0</v>
      </c>
      <c r="J459" s="39">
        <v>0</v>
      </c>
      <c r="K459" s="34"/>
      <c r="L459" s="40">
        <f t="shared" si="35"/>
        <v>-46099</v>
      </c>
      <c r="M459" s="34">
        <f t="shared" si="36"/>
        <v>13000</v>
      </c>
      <c r="N459" s="34">
        <f t="shared" si="37"/>
        <v>0</v>
      </c>
      <c r="O459" s="36">
        <f t="shared" si="38"/>
        <v>-30</v>
      </c>
      <c r="P459" s="41">
        <f t="shared" si="39"/>
        <v>0</v>
      </c>
      <c r="Q459" s="70">
        <f t="shared" si="40"/>
        <v>0</v>
      </c>
    </row>
    <row r="460" spans="2:17" x14ac:dyDescent="0.4">
      <c r="B460" s="38" t="s">
        <v>1210</v>
      </c>
      <c r="C460" s="34">
        <v>16</v>
      </c>
      <c r="D460" s="34">
        <v>46531</v>
      </c>
      <c r="E460" s="37">
        <v>46100</v>
      </c>
      <c r="F460" s="34"/>
      <c r="G460" s="35"/>
      <c r="H460" s="34">
        <f t="shared" si="33"/>
        <v>1410</v>
      </c>
      <c r="I460" s="34">
        <f t="shared" si="34"/>
        <v>0</v>
      </c>
      <c r="J460" s="39">
        <v>0</v>
      </c>
      <c r="K460" s="34"/>
      <c r="L460" s="40">
        <f t="shared" si="35"/>
        <v>-46099</v>
      </c>
      <c r="M460" s="34">
        <f t="shared" si="36"/>
        <v>744496</v>
      </c>
      <c r="N460" s="34">
        <f t="shared" si="37"/>
        <v>0</v>
      </c>
      <c r="O460" s="36">
        <f t="shared" si="38"/>
        <v>-1410</v>
      </c>
      <c r="P460" s="41">
        <f t="shared" si="39"/>
        <v>0</v>
      </c>
      <c r="Q460" s="70">
        <f t="shared" si="40"/>
        <v>0</v>
      </c>
    </row>
    <row r="461" spans="2:17" x14ac:dyDescent="0.4">
      <c r="B461" s="38" t="s">
        <v>1194</v>
      </c>
      <c r="C461" s="34">
        <v>1</v>
      </c>
      <c r="D461" s="34">
        <v>13205</v>
      </c>
      <c r="E461" s="37">
        <v>46101</v>
      </c>
      <c r="F461" s="34"/>
      <c r="G461" s="35"/>
      <c r="H461" s="34">
        <f t="shared" si="33"/>
        <v>30</v>
      </c>
      <c r="I461" s="34">
        <f t="shared" si="34"/>
        <v>0</v>
      </c>
      <c r="J461" s="39">
        <v>0</v>
      </c>
      <c r="K461" s="34"/>
      <c r="L461" s="40">
        <f t="shared" si="35"/>
        <v>-46100</v>
      </c>
      <c r="M461" s="34">
        <f t="shared" si="36"/>
        <v>13205</v>
      </c>
      <c r="N461" s="34">
        <f t="shared" si="37"/>
        <v>0</v>
      </c>
      <c r="O461" s="36">
        <f t="shared" si="38"/>
        <v>-30</v>
      </c>
      <c r="P461" s="41">
        <f t="shared" si="39"/>
        <v>0</v>
      </c>
      <c r="Q461" s="70">
        <f t="shared" si="40"/>
        <v>0</v>
      </c>
    </row>
    <row r="462" spans="2:17" x14ac:dyDescent="0.4">
      <c r="B462" s="38" t="s">
        <v>1211</v>
      </c>
      <c r="C462" s="34">
        <v>1</v>
      </c>
      <c r="D462" s="34">
        <v>35240</v>
      </c>
      <c r="E462" s="37">
        <v>46101</v>
      </c>
      <c r="F462" s="34"/>
      <c r="G462" s="35"/>
      <c r="H462" s="34">
        <f t="shared" si="33"/>
        <v>70</v>
      </c>
      <c r="I462" s="34">
        <f t="shared" si="34"/>
        <v>0</v>
      </c>
      <c r="J462" s="39">
        <v>0</v>
      </c>
      <c r="K462" s="34"/>
      <c r="L462" s="40">
        <f t="shared" si="35"/>
        <v>-46100</v>
      </c>
      <c r="M462" s="34">
        <f t="shared" si="36"/>
        <v>35240</v>
      </c>
      <c r="N462" s="34">
        <f t="shared" si="37"/>
        <v>0</v>
      </c>
      <c r="O462" s="36">
        <f t="shared" si="38"/>
        <v>-70</v>
      </c>
      <c r="P462" s="41">
        <f t="shared" si="39"/>
        <v>0</v>
      </c>
      <c r="Q462" s="70">
        <f t="shared" si="40"/>
        <v>0</v>
      </c>
    </row>
    <row r="463" spans="2:17" x14ac:dyDescent="0.4">
      <c r="B463" s="38" t="s">
        <v>1206</v>
      </c>
      <c r="C463" s="34">
        <v>10</v>
      </c>
      <c r="D463" s="34">
        <v>21784</v>
      </c>
      <c r="E463" s="37">
        <v>46104</v>
      </c>
      <c r="F463" s="34"/>
      <c r="G463" s="35"/>
      <c r="H463" s="34">
        <f t="shared" si="33"/>
        <v>420</v>
      </c>
      <c r="I463" s="34">
        <f t="shared" si="34"/>
        <v>0</v>
      </c>
      <c r="J463" s="39">
        <v>0</v>
      </c>
      <c r="K463" s="34"/>
      <c r="L463" s="40">
        <f t="shared" si="35"/>
        <v>-46103</v>
      </c>
      <c r="M463" s="34">
        <f t="shared" si="36"/>
        <v>217840</v>
      </c>
      <c r="N463" s="34">
        <f t="shared" si="37"/>
        <v>0</v>
      </c>
      <c r="O463" s="36">
        <f t="shared" si="38"/>
        <v>-420</v>
      </c>
      <c r="P463" s="41">
        <f t="shared" si="39"/>
        <v>0</v>
      </c>
      <c r="Q463" s="70">
        <f t="shared" si="40"/>
        <v>0</v>
      </c>
    </row>
    <row r="464" spans="2:17" x14ac:dyDescent="0.4">
      <c r="B464" s="38" t="s">
        <v>1209</v>
      </c>
      <c r="C464" s="34">
        <v>1</v>
      </c>
      <c r="D464" s="34">
        <v>8455</v>
      </c>
      <c r="E464" s="37">
        <v>46104</v>
      </c>
      <c r="F464" s="34"/>
      <c r="G464" s="35"/>
      <c r="H464" s="34">
        <f t="shared" si="33"/>
        <v>20</v>
      </c>
      <c r="I464" s="34">
        <f t="shared" si="34"/>
        <v>0</v>
      </c>
      <c r="J464" s="39">
        <v>0</v>
      </c>
      <c r="K464" s="34"/>
      <c r="L464" s="40">
        <f t="shared" si="35"/>
        <v>-46103</v>
      </c>
      <c r="M464" s="34">
        <f t="shared" si="36"/>
        <v>8455</v>
      </c>
      <c r="N464" s="34">
        <f t="shared" si="37"/>
        <v>0</v>
      </c>
      <c r="O464" s="36">
        <f t="shared" si="38"/>
        <v>-20</v>
      </c>
      <c r="P464" s="41">
        <f t="shared" si="39"/>
        <v>0</v>
      </c>
      <c r="Q464" s="70">
        <f t="shared" si="40"/>
        <v>0</v>
      </c>
    </row>
    <row r="465" spans="2:17" x14ac:dyDescent="0.4">
      <c r="B465" s="38" t="s">
        <v>1210</v>
      </c>
      <c r="C465" s="34">
        <v>7</v>
      </c>
      <c r="D465" s="34">
        <v>42780</v>
      </c>
      <c r="E465" s="37">
        <v>46104</v>
      </c>
      <c r="F465" s="34"/>
      <c r="G465" s="35"/>
      <c r="H465" s="34">
        <f t="shared" si="33"/>
        <v>570</v>
      </c>
      <c r="I465" s="34">
        <f t="shared" si="34"/>
        <v>0</v>
      </c>
      <c r="J465" s="39">
        <v>0</v>
      </c>
      <c r="K465" s="34"/>
      <c r="L465" s="40">
        <f t="shared" si="35"/>
        <v>-46103</v>
      </c>
      <c r="M465" s="34">
        <f t="shared" si="36"/>
        <v>299460</v>
      </c>
      <c r="N465" s="34">
        <f t="shared" si="37"/>
        <v>0</v>
      </c>
      <c r="O465" s="36">
        <f t="shared" si="38"/>
        <v>-570</v>
      </c>
      <c r="P465" s="41">
        <f t="shared" si="39"/>
        <v>0</v>
      </c>
      <c r="Q465" s="70">
        <f t="shared" si="40"/>
        <v>0</v>
      </c>
    </row>
    <row r="466" spans="2:17" x14ac:dyDescent="0.4">
      <c r="B466" s="38" t="s">
        <v>1207</v>
      </c>
      <c r="C466" s="34">
        <v>1</v>
      </c>
      <c r="D466" s="34">
        <v>9960</v>
      </c>
      <c r="E466" s="37">
        <v>46105</v>
      </c>
      <c r="F466" s="34"/>
      <c r="G466" s="35"/>
      <c r="H466" s="34">
        <f t="shared" si="33"/>
        <v>20</v>
      </c>
      <c r="I466" s="34">
        <f t="shared" si="34"/>
        <v>0</v>
      </c>
      <c r="J466" s="39">
        <v>0</v>
      </c>
      <c r="K466" s="34"/>
      <c r="L466" s="40">
        <f t="shared" si="35"/>
        <v>-46104</v>
      </c>
      <c r="M466" s="34">
        <f t="shared" si="36"/>
        <v>9960</v>
      </c>
      <c r="N466" s="34">
        <f t="shared" si="37"/>
        <v>0</v>
      </c>
      <c r="O466" s="36">
        <f t="shared" si="38"/>
        <v>-20</v>
      </c>
      <c r="P466" s="41">
        <f t="shared" si="39"/>
        <v>0</v>
      </c>
      <c r="Q466" s="70">
        <f t="shared" si="40"/>
        <v>0</v>
      </c>
    </row>
    <row r="467" spans="2:17" x14ac:dyDescent="0.4">
      <c r="B467" s="38" t="s">
        <v>1208</v>
      </c>
      <c r="C467" s="34">
        <v>1</v>
      </c>
      <c r="D467" s="34">
        <v>25495</v>
      </c>
      <c r="E467" s="37">
        <v>46105</v>
      </c>
      <c r="F467" s="34"/>
      <c r="G467" s="35"/>
      <c r="H467" s="34">
        <f t="shared" si="33"/>
        <v>50</v>
      </c>
      <c r="I467" s="34">
        <f t="shared" si="34"/>
        <v>0</v>
      </c>
      <c r="J467" s="39">
        <v>0</v>
      </c>
      <c r="K467" s="34"/>
      <c r="L467" s="40">
        <f t="shared" si="35"/>
        <v>-46104</v>
      </c>
      <c r="M467" s="34">
        <f t="shared" si="36"/>
        <v>25495</v>
      </c>
      <c r="N467" s="34">
        <f t="shared" si="37"/>
        <v>0</v>
      </c>
      <c r="O467" s="36">
        <f t="shared" si="38"/>
        <v>-50</v>
      </c>
      <c r="P467" s="41">
        <f t="shared" si="39"/>
        <v>0</v>
      </c>
      <c r="Q467" s="70">
        <f t="shared" si="40"/>
        <v>0</v>
      </c>
    </row>
    <row r="468" spans="2:17" x14ac:dyDescent="0.4">
      <c r="B468" s="38" t="s">
        <v>91</v>
      </c>
      <c r="C468" s="34">
        <v>1</v>
      </c>
      <c r="D468" s="34">
        <v>11480</v>
      </c>
      <c r="E468" s="37">
        <v>46106</v>
      </c>
      <c r="F468" s="34"/>
      <c r="G468" s="35"/>
      <c r="H468" s="34">
        <f t="shared" si="33"/>
        <v>30</v>
      </c>
      <c r="I468" s="34">
        <f t="shared" si="34"/>
        <v>0</v>
      </c>
      <c r="J468" s="39">
        <v>0</v>
      </c>
      <c r="K468" s="34"/>
      <c r="L468" s="40">
        <f t="shared" si="35"/>
        <v>-46105</v>
      </c>
      <c r="M468" s="34">
        <f t="shared" si="36"/>
        <v>11480</v>
      </c>
      <c r="N468" s="34">
        <f t="shared" si="37"/>
        <v>0</v>
      </c>
      <c r="O468" s="36">
        <f t="shared" si="38"/>
        <v>-30</v>
      </c>
      <c r="P468" s="41">
        <f t="shared" si="39"/>
        <v>0</v>
      </c>
      <c r="Q468" s="70">
        <f t="shared" si="40"/>
        <v>0</v>
      </c>
    </row>
    <row r="469" spans="2:17" x14ac:dyDescent="0.4">
      <c r="B469" s="38" t="s">
        <v>89</v>
      </c>
      <c r="C469" s="34">
        <v>1</v>
      </c>
      <c r="D469" s="34">
        <v>23780</v>
      </c>
      <c r="E469" s="37">
        <v>46106</v>
      </c>
      <c r="F469" s="34"/>
      <c r="G469" s="35"/>
      <c r="H469" s="34">
        <f t="shared" si="33"/>
        <v>50</v>
      </c>
      <c r="I469" s="34">
        <f t="shared" si="34"/>
        <v>0</v>
      </c>
      <c r="J469" s="39">
        <v>0</v>
      </c>
      <c r="K469" s="34"/>
      <c r="L469" s="40">
        <f t="shared" si="35"/>
        <v>-46105</v>
      </c>
      <c r="M469" s="34">
        <f t="shared" si="36"/>
        <v>23780</v>
      </c>
      <c r="N469" s="34">
        <f t="shared" si="37"/>
        <v>0</v>
      </c>
      <c r="O469" s="36">
        <f t="shared" si="38"/>
        <v>-50</v>
      </c>
      <c r="P469" s="41">
        <f t="shared" si="39"/>
        <v>0</v>
      </c>
      <c r="Q469" s="70">
        <f t="shared" si="40"/>
        <v>0</v>
      </c>
    </row>
    <row r="470" spans="2:17" x14ac:dyDescent="0.4">
      <c r="B470" s="38" t="s">
        <v>1210</v>
      </c>
      <c r="C470" s="34">
        <v>30</v>
      </c>
      <c r="D470" s="34">
        <v>46400</v>
      </c>
      <c r="E470" s="37">
        <v>46106</v>
      </c>
      <c r="F470" s="34"/>
      <c r="G470" s="35"/>
      <c r="H470" s="34">
        <f t="shared" si="33"/>
        <v>2640</v>
      </c>
      <c r="I470" s="34">
        <f t="shared" si="34"/>
        <v>0</v>
      </c>
      <c r="J470" s="39">
        <v>0</v>
      </c>
      <c r="K470" s="34"/>
      <c r="L470" s="40">
        <f t="shared" si="35"/>
        <v>-46105</v>
      </c>
      <c r="M470" s="34">
        <f t="shared" si="36"/>
        <v>1392000</v>
      </c>
      <c r="N470" s="34">
        <f t="shared" si="37"/>
        <v>0</v>
      </c>
      <c r="O470" s="36">
        <f t="shared" si="38"/>
        <v>-2640</v>
      </c>
      <c r="P470" s="41">
        <f t="shared" si="39"/>
        <v>0</v>
      </c>
      <c r="Q470" s="70">
        <f t="shared" si="40"/>
        <v>0</v>
      </c>
    </row>
    <row r="471" spans="2:17" x14ac:dyDescent="0.4">
      <c r="B471" s="38" t="s">
        <v>1205</v>
      </c>
      <c r="C471" s="34">
        <v>1</v>
      </c>
      <c r="D471" s="34">
        <v>13270</v>
      </c>
      <c r="E471" s="37">
        <v>46107</v>
      </c>
      <c r="F471" s="34"/>
      <c r="G471" s="35"/>
      <c r="H471" s="34">
        <f t="shared" si="33"/>
        <v>30</v>
      </c>
      <c r="I471" s="34">
        <f t="shared" si="34"/>
        <v>0</v>
      </c>
      <c r="J471" s="39">
        <v>0</v>
      </c>
      <c r="K471" s="34"/>
      <c r="L471" s="40">
        <f t="shared" si="35"/>
        <v>-46106</v>
      </c>
      <c r="M471" s="34">
        <f t="shared" si="36"/>
        <v>13270</v>
      </c>
      <c r="N471" s="34">
        <f t="shared" si="37"/>
        <v>0</v>
      </c>
      <c r="O471" s="36">
        <f t="shared" si="38"/>
        <v>-30</v>
      </c>
      <c r="P471" s="41">
        <f t="shared" si="39"/>
        <v>0</v>
      </c>
      <c r="Q471" s="70">
        <f t="shared" si="40"/>
        <v>0</v>
      </c>
    </row>
    <row r="472" spans="2:17" x14ac:dyDescent="0.4">
      <c r="B472" s="38" t="s">
        <v>1210</v>
      </c>
      <c r="C472" s="34">
        <v>1</v>
      </c>
      <c r="D472" s="34">
        <v>49315</v>
      </c>
      <c r="E472" s="37">
        <v>46107</v>
      </c>
      <c r="F472" s="34"/>
      <c r="G472" s="35"/>
      <c r="H472" s="34">
        <f t="shared" si="33"/>
        <v>100</v>
      </c>
      <c r="I472" s="34">
        <f t="shared" si="34"/>
        <v>0</v>
      </c>
      <c r="J472" s="39">
        <v>0</v>
      </c>
      <c r="K472" s="34"/>
      <c r="L472" s="40">
        <f t="shared" si="35"/>
        <v>-46106</v>
      </c>
      <c r="M472" s="34">
        <f t="shared" si="36"/>
        <v>49315</v>
      </c>
      <c r="N472" s="34">
        <f t="shared" si="37"/>
        <v>0</v>
      </c>
      <c r="O472" s="36">
        <f t="shared" si="38"/>
        <v>-100</v>
      </c>
      <c r="P472" s="41">
        <f t="shared" si="39"/>
        <v>0</v>
      </c>
      <c r="Q472" s="70">
        <f t="shared" si="40"/>
        <v>0</v>
      </c>
    </row>
    <row r="473" spans="2:17" x14ac:dyDescent="0.4">
      <c r="B473" s="38" t="s">
        <v>1194</v>
      </c>
      <c r="C473" s="34">
        <v>1</v>
      </c>
      <c r="D473" s="34">
        <v>13340</v>
      </c>
      <c r="E473" s="37">
        <v>46108</v>
      </c>
      <c r="F473" s="34"/>
      <c r="G473" s="35"/>
      <c r="H473" s="34">
        <f t="shared" si="33"/>
        <v>30</v>
      </c>
      <c r="I473" s="34">
        <f t="shared" si="34"/>
        <v>0</v>
      </c>
      <c r="J473" s="39">
        <v>0</v>
      </c>
      <c r="K473" s="34"/>
      <c r="L473" s="40">
        <f t="shared" si="35"/>
        <v>-46107</v>
      </c>
      <c r="M473" s="34">
        <f t="shared" si="36"/>
        <v>13340</v>
      </c>
      <c r="N473" s="34">
        <f t="shared" si="37"/>
        <v>0</v>
      </c>
      <c r="O473" s="36">
        <f t="shared" si="38"/>
        <v>-30</v>
      </c>
      <c r="P473" s="41">
        <f t="shared" si="39"/>
        <v>0</v>
      </c>
      <c r="Q473" s="70">
        <f t="shared" si="40"/>
        <v>0</v>
      </c>
    </row>
    <row r="474" spans="2:17" x14ac:dyDescent="0.4">
      <c r="B474" s="38" t="s">
        <v>1211</v>
      </c>
      <c r="C474" s="34">
        <v>1</v>
      </c>
      <c r="D474" s="34">
        <v>31695</v>
      </c>
      <c r="E474" s="37">
        <v>46108</v>
      </c>
      <c r="F474" s="34"/>
      <c r="G474" s="35"/>
      <c r="H474" s="34">
        <f t="shared" si="33"/>
        <v>60</v>
      </c>
      <c r="I474" s="34">
        <f t="shared" si="34"/>
        <v>0</v>
      </c>
      <c r="J474" s="39">
        <v>0</v>
      </c>
      <c r="K474" s="34"/>
      <c r="L474" s="40">
        <f t="shared" si="35"/>
        <v>-46107</v>
      </c>
      <c r="M474" s="34">
        <f t="shared" si="36"/>
        <v>31695</v>
      </c>
      <c r="N474" s="34">
        <f t="shared" si="37"/>
        <v>0</v>
      </c>
      <c r="O474" s="36">
        <f t="shared" si="38"/>
        <v>-60</v>
      </c>
      <c r="P474" s="41">
        <f t="shared" si="39"/>
        <v>0</v>
      </c>
      <c r="Q474" s="70">
        <f t="shared" si="40"/>
        <v>0</v>
      </c>
    </row>
    <row r="475" spans="2:17" x14ac:dyDescent="0.4">
      <c r="B475" s="38" t="s">
        <v>1206</v>
      </c>
      <c r="C475" s="34">
        <v>1</v>
      </c>
      <c r="D475" s="34">
        <v>20440</v>
      </c>
      <c r="E475" s="37">
        <v>46111</v>
      </c>
      <c r="F475" s="34"/>
      <c r="G475" s="35"/>
      <c r="H475" s="34">
        <f t="shared" si="33"/>
        <v>40</v>
      </c>
      <c r="I475" s="34">
        <f t="shared" si="34"/>
        <v>0</v>
      </c>
      <c r="J475" s="39">
        <v>0</v>
      </c>
      <c r="K475" s="34"/>
      <c r="L475" s="40">
        <f t="shared" si="35"/>
        <v>-46110</v>
      </c>
      <c r="M475" s="34">
        <f t="shared" si="36"/>
        <v>20440</v>
      </c>
      <c r="N475" s="34">
        <f t="shared" si="37"/>
        <v>0</v>
      </c>
      <c r="O475" s="36">
        <f t="shared" si="38"/>
        <v>-40</v>
      </c>
      <c r="P475" s="41">
        <f t="shared" si="39"/>
        <v>0</v>
      </c>
      <c r="Q475" s="70">
        <f t="shared" si="40"/>
        <v>0</v>
      </c>
    </row>
    <row r="476" spans="2:17" x14ac:dyDescent="0.4">
      <c r="B476" s="38" t="s">
        <v>1209</v>
      </c>
      <c r="C476" s="34">
        <v>1</v>
      </c>
      <c r="D476" s="34">
        <v>8465</v>
      </c>
      <c r="E476" s="37">
        <v>46111</v>
      </c>
      <c r="F476" s="34"/>
      <c r="G476" s="35"/>
      <c r="H476" s="34">
        <f t="shared" si="33"/>
        <v>20</v>
      </c>
      <c r="I476" s="34">
        <f t="shared" si="34"/>
        <v>0</v>
      </c>
      <c r="J476" s="39">
        <v>0</v>
      </c>
      <c r="K476" s="34"/>
      <c r="L476" s="40">
        <f t="shared" si="35"/>
        <v>-46110</v>
      </c>
      <c r="M476" s="34">
        <f t="shared" si="36"/>
        <v>8465</v>
      </c>
      <c r="N476" s="34">
        <f t="shared" si="37"/>
        <v>0</v>
      </c>
      <c r="O476" s="36">
        <f t="shared" si="38"/>
        <v>-20</v>
      </c>
      <c r="P476" s="41">
        <f t="shared" si="39"/>
        <v>0</v>
      </c>
      <c r="Q476" s="70">
        <f t="shared" si="40"/>
        <v>0</v>
      </c>
    </row>
    <row r="477" spans="2:17" x14ac:dyDescent="0.4">
      <c r="B477" s="38" t="s">
        <v>1210</v>
      </c>
      <c r="C477" s="34">
        <v>6</v>
      </c>
      <c r="D477" s="34">
        <v>43850</v>
      </c>
      <c r="E477" s="37">
        <v>46111</v>
      </c>
      <c r="F477" s="34"/>
      <c r="G477" s="35"/>
      <c r="H477" s="34">
        <f t="shared" si="33"/>
        <v>500</v>
      </c>
      <c r="I477" s="34">
        <f t="shared" si="34"/>
        <v>0</v>
      </c>
      <c r="J477" s="39">
        <v>0</v>
      </c>
      <c r="K477" s="34"/>
      <c r="L477" s="40">
        <f t="shared" si="35"/>
        <v>-46110</v>
      </c>
      <c r="M477" s="34">
        <f t="shared" si="36"/>
        <v>263100</v>
      </c>
      <c r="N477" s="34">
        <f t="shared" si="37"/>
        <v>0</v>
      </c>
      <c r="O477" s="36">
        <f t="shared" si="38"/>
        <v>-500</v>
      </c>
      <c r="P477" s="41">
        <f t="shared" si="39"/>
        <v>0</v>
      </c>
      <c r="Q477" s="70">
        <f t="shared" si="40"/>
        <v>0</v>
      </c>
    </row>
    <row r="478" spans="2:17" x14ac:dyDescent="0.4">
      <c r="B478" s="38" t="s">
        <v>1207</v>
      </c>
      <c r="C478" s="34">
        <v>1</v>
      </c>
      <c r="D478" s="34">
        <v>9915</v>
      </c>
      <c r="E478" s="37">
        <v>46112</v>
      </c>
      <c r="F478" s="34"/>
      <c r="G478" s="35"/>
      <c r="H478" s="34">
        <f t="shared" si="33"/>
        <v>20</v>
      </c>
      <c r="I478" s="34">
        <f t="shared" si="34"/>
        <v>0</v>
      </c>
      <c r="J478" s="39">
        <v>0</v>
      </c>
      <c r="K478" s="34"/>
      <c r="L478" s="40">
        <f t="shared" si="35"/>
        <v>-46111</v>
      </c>
      <c r="M478" s="34">
        <f t="shared" si="36"/>
        <v>9915</v>
      </c>
      <c r="N478" s="34">
        <f t="shared" si="37"/>
        <v>0</v>
      </c>
      <c r="O478" s="36">
        <f t="shared" si="38"/>
        <v>-20</v>
      </c>
      <c r="P478" s="41">
        <f t="shared" si="39"/>
        <v>0</v>
      </c>
      <c r="Q478" s="70">
        <f t="shared" si="40"/>
        <v>0</v>
      </c>
    </row>
    <row r="479" spans="2:17" x14ac:dyDescent="0.4">
      <c r="B479" s="38" t="s">
        <v>1208</v>
      </c>
      <c r="C479" s="34">
        <v>1</v>
      </c>
      <c r="D479" s="34">
        <v>25820</v>
      </c>
      <c r="E479" s="37">
        <v>46112</v>
      </c>
      <c r="F479" s="34"/>
      <c r="G479" s="35"/>
      <c r="H479" s="34">
        <f t="shared" si="33"/>
        <v>50</v>
      </c>
      <c r="I479" s="34">
        <f t="shared" si="34"/>
        <v>0</v>
      </c>
      <c r="J479" s="39">
        <v>0</v>
      </c>
      <c r="K479" s="34"/>
      <c r="L479" s="40">
        <f t="shared" si="35"/>
        <v>-46111</v>
      </c>
      <c r="M479" s="34">
        <f t="shared" si="36"/>
        <v>25820</v>
      </c>
      <c r="N479" s="34">
        <f t="shared" si="37"/>
        <v>0</v>
      </c>
      <c r="O479" s="36">
        <f t="shared" si="38"/>
        <v>-50</v>
      </c>
      <c r="P479" s="41">
        <f t="shared" si="39"/>
        <v>0</v>
      </c>
      <c r="Q479" s="70">
        <f t="shared" si="40"/>
        <v>0</v>
      </c>
    </row>
    <row r="480" spans="2:17" x14ac:dyDescent="0.4">
      <c r="B480" s="38" t="s">
        <v>91</v>
      </c>
      <c r="C480" s="34">
        <v>1</v>
      </c>
      <c r="D480" s="34">
        <v>11300</v>
      </c>
      <c r="E480" s="37">
        <v>46113</v>
      </c>
      <c r="F480" s="34"/>
      <c r="G480" s="35"/>
      <c r="H480" s="34">
        <f t="shared" si="33"/>
        <v>30</v>
      </c>
      <c r="I480" s="34">
        <f t="shared" si="34"/>
        <v>0</v>
      </c>
      <c r="J480" s="39">
        <v>0</v>
      </c>
      <c r="K480" s="34"/>
      <c r="L480" s="40">
        <f t="shared" si="35"/>
        <v>-46112</v>
      </c>
      <c r="M480" s="34">
        <f t="shared" si="36"/>
        <v>11300</v>
      </c>
      <c r="N480" s="34">
        <f t="shared" si="37"/>
        <v>0</v>
      </c>
      <c r="O480" s="36">
        <f t="shared" si="38"/>
        <v>-30</v>
      </c>
      <c r="P480" s="41">
        <f t="shared" si="39"/>
        <v>0</v>
      </c>
      <c r="Q480" s="70">
        <f t="shared" si="40"/>
        <v>0</v>
      </c>
    </row>
    <row r="481" spans="2:17" x14ac:dyDescent="0.4">
      <c r="B481" s="38" t="s">
        <v>1205</v>
      </c>
      <c r="C481" s="34">
        <v>1</v>
      </c>
      <c r="D481" s="34">
        <v>13230</v>
      </c>
      <c r="E481" s="37">
        <v>46114</v>
      </c>
      <c r="F481" s="34"/>
      <c r="G481" s="35"/>
      <c r="H481" s="34">
        <f t="shared" si="33"/>
        <v>30</v>
      </c>
      <c r="I481" s="34">
        <f t="shared" si="34"/>
        <v>0</v>
      </c>
      <c r="J481" s="39">
        <v>0</v>
      </c>
      <c r="K481" s="34"/>
      <c r="L481" s="40">
        <f t="shared" si="35"/>
        <v>-46113</v>
      </c>
      <c r="M481" s="34">
        <f t="shared" si="36"/>
        <v>13230</v>
      </c>
      <c r="N481" s="34">
        <f t="shared" si="37"/>
        <v>0</v>
      </c>
      <c r="O481" s="36">
        <f t="shared" si="38"/>
        <v>-30</v>
      </c>
      <c r="P481" s="41">
        <f t="shared" si="39"/>
        <v>0</v>
      </c>
      <c r="Q481" s="70">
        <f t="shared" si="40"/>
        <v>0</v>
      </c>
    </row>
    <row r="482" spans="2:17" x14ac:dyDescent="0.4">
      <c r="B482" s="38" t="s">
        <v>1210</v>
      </c>
      <c r="C482" s="34">
        <v>1</v>
      </c>
      <c r="D482" s="34">
        <v>46715</v>
      </c>
      <c r="E482" s="37">
        <v>46114</v>
      </c>
      <c r="F482" s="34"/>
      <c r="G482" s="35"/>
      <c r="H482" s="34">
        <f t="shared" si="33"/>
        <v>90</v>
      </c>
      <c r="I482" s="34">
        <f t="shared" si="34"/>
        <v>0</v>
      </c>
      <c r="J482" s="39">
        <v>0</v>
      </c>
      <c r="K482" s="34"/>
      <c r="L482" s="40">
        <f t="shared" si="35"/>
        <v>-46113</v>
      </c>
      <c r="M482" s="34">
        <f t="shared" si="36"/>
        <v>46715</v>
      </c>
      <c r="N482" s="34">
        <f t="shared" si="37"/>
        <v>0</v>
      </c>
      <c r="O482" s="36">
        <f t="shared" si="38"/>
        <v>-90</v>
      </c>
      <c r="P482" s="41">
        <f t="shared" si="39"/>
        <v>0</v>
      </c>
      <c r="Q482" s="70">
        <f t="shared" si="40"/>
        <v>0</v>
      </c>
    </row>
    <row r="483" spans="2:17" x14ac:dyDescent="0.4">
      <c r="B483" s="38" t="s">
        <v>1194</v>
      </c>
      <c r="C483" s="34">
        <v>1</v>
      </c>
      <c r="D483" s="34">
        <v>13605</v>
      </c>
      <c r="E483" s="37">
        <v>46115</v>
      </c>
      <c r="F483" s="34"/>
      <c r="G483" s="35"/>
      <c r="H483" s="34">
        <f t="shared" si="33"/>
        <v>30</v>
      </c>
      <c r="I483" s="34">
        <f t="shared" si="34"/>
        <v>0</v>
      </c>
      <c r="J483" s="39">
        <v>0</v>
      </c>
      <c r="K483" s="34"/>
      <c r="L483" s="40">
        <f t="shared" si="35"/>
        <v>-46114</v>
      </c>
      <c r="M483" s="34">
        <f t="shared" si="36"/>
        <v>13605</v>
      </c>
      <c r="N483" s="34">
        <f t="shared" si="37"/>
        <v>0</v>
      </c>
      <c r="O483" s="36">
        <f t="shared" si="38"/>
        <v>-30</v>
      </c>
      <c r="P483" s="41">
        <f t="shared" si="39"/>
        <v>0</v>
      </c>
      <c r="Q483" s="70">
        <f t="shared" si="40"/>
        <v>0</v>
      </c>
    </row>
    <row r="484" spans="2:17" x14ac:dyDescent="0.4">
      <c r="B484" s="38" t="s">
        <v>1211</v>
      </c>
      <c r="C484" s="34">
        <v>1</v>
      </c>
      <c r="D484" s="34">
        <v>30495</v>
      </c>
      <c r="E484" s="37">
        <v>46115</v>
      </c>
      <c r="F484" s="34"/>
      <c r="G484" s="35"/>
      <c r="H484" s="34">
        <f t="shared" si="33"/>
        <v>60</v>
      </c>
      <c r="I484" s="34">
        <f t="shared" si="34"/>
        <v>0</v>
      </c>
      <c r="J484" s="39">
        <v>0</v>
      </c>
      <c r="K484" s="34"/>
      <c r="L484" s="40">
        <f t="shared" si="35"/>
        <v>-46114</v>
      </c>
      <c r="M484" s="34">
        <f t="shared" si="36"/>
        <v>30495</v>
      </c>
      <c r="N484" s="34">
        <f t="shared" si="37"/>
        <v>0</v>
      </c>
      <c r="O484" s="36">
        <f t="shared" si="38"/>
        <v>-60</v>
      </c>
      <c r="P484" s="41">
        <f t="shared" si="39"/>
        <v>0</v>
      </c>
      <c r="Q484" s="70">
        <f t="shared" si="40"/>
        <v>0</v>
      </c>
    </row>
    <row r="485" spans="2:17" x14ac:dyDescent="0.4">
      <c r="B485" s="38" t="s">
        <v>1206</v>
      </c>
      <c r="C485" s="34">
        <v>1</v>
      </c>
      <c r="D485" s="34">
        <v>21805</v>
      </c>
      <c r="E485" s="37">
        <v>46118</v>
      </c>
      <c r="F485" s="34"/>
      <c r="G485" s="35"/>
      <c r="H485" s="34">
        <f t="shared" si="33"/>
        <v>50</v>
      </c>
      <c r="I485" s="34">
        <f t="shared" si="34"/>
        <v>0</v>
      </c>
      <c r="J485" s="39">
        <v>0</v>
      </c>
      <c r="K485" s="34"/>
      <c r="L485" s="40">
        <f t="shared" si="35"/>
        <v>-46117</v>
      </c>
      <c r="M485" s="34">
        <f t="shared" si="36"/>
        <v>21805</v>
      </c>
      <c r="N485" s="34">
        <f t="shared" si="37"/>
        <v>0</v>
      </c>
      <c r="O485" s="36">
        <f t="shared" si="38"/>
        <v>-50</v>
      </c>
      <c r="P485" s="41">
        <f t="shared" si="39"/>
        <v>0</v>
      </c>
      <c r="Q485" s="70">
        <f t="shared" si="40"/>
        <v>0</v>
      </c>
    </row>
    <row r="486" spans="2:17" x14ac:dyDescent="0.4">
      <c r="B486" s="38" t="s">
        <v>1209</v>
      </c>
      <c r="C486" s="34">
        <v>1</v>
      </c>
      <c r="D486" s="34">
        <v>8405</v>
      </c>
      <c r="E486" s="37">
        <v>46118</v>
      </c>
      <c r="F486" s="34"/>
      <c r="G486" s="35"/>
      <c r="H486" s="34">
        <f t="shared" si="33"/>
        <v>20</v>
      </c>
      <c r="I486" s="34">
        <f t="shared" si="34"/>
        <v>0</v>
      </c>
      <c r="J486" s="39">
        <v>0</v>
      </c>
      <c r="K486" s="34"/>
      <c r="L486" s="40">
        <f t="shared" si="35"/>
        <v>-46117</v>
      </c>
      <c r="M486" s="34">
        <f t="shared" si="36"/>
        <v>8405</v>
      </c>
      <c r="N486" s="34">
        <f t="shared" si="37"/>
        <v>0</v>
      </c>
      <c r="O486" s="36">
        <f t="shared" si="38"/>
        <v>-20</v>
      </c>
      <c r="P486" s="41">
        <f t="shared" si="39"/>
        <v>0</v>
      </c>
      <c r="Q486" s="70">
        <f t="shared" si="40"/>
        <v>0</v>
      </c>
    </row>
    <row r="487" spans="2:17" x14ac:dyDescent="0.4">
      <c r="B487" s="38" t="s">
        <v>1207</v>
      </c>
      <c r="C487" s="34">
        <v>1</v>
      </c>
      <c r="D487" s="34">
        <v>9800</v>
      </c>
      <c r="E487" s="37">
        <v>46119</v>
      </c>
      <c r="F487" s="34"/>
      <c r="G487" s="35"/>
      <c r="H487" s="34">
        <f t="shared" si="33"/>
        <v>20</v>
      </c>
      <c r="I487" s="34">
        <f t="shared" si="34"/>
        <v>0</v>
      </c>
      <c r="J487" s="39">
        <v>0</v>
      </c>
      <c r="K487" s="34"/>
      <c r="L487" s="40">
        <f t="shared" si="35"/>
        <v>-46118</v>
      </c>
      <c r="M487" s="34">
        <f t="shared" si="36"/>
        <v>9800</v>
      </c>
      <c r="N487" s="34">
        <f t="shared" si="37"/>
        <v>0</v>
      </c>
      <c r="O487" s="36">
        <f t="shared" si="38"/>
        <v>-20</v>
      </c>
      <c r="P487" s="41">
        <f t="shared" si="39"/>
        <v>0</v>
      </c>
      <c r="Q487" s="70">
        <f t="shared" si="40"/>
        <v>0</v>
      </c>
    </row>
    <row r="488" spans="2:17" x14ac:dyDescent="0.4">
      <c r="B488" s="38" t="s">
        <v>1208</v>
      </c>
      <c r="C488" s="34">
        <v>1</v>
      </c>
      <c r="D488" s="34">
        <v>26330</v>
      </c>
      <c r="E488" s="37">
        <v>46119</v>
      </c>
      <c r="F488" s="34"/>
      <c r="G488" s="35"/>
      <c r="H488" s="34">
        <f t="shared" si="33"/>
        <v>50</v>
      </c>
      <c r="I488" s="34">
        <f t="shared" si="34"/>
        <v>0</v>
      </c>
      <c r="J488" s="39">
        <v>0</v>
      </c>
      <c r="K488" s="34"/>
      <c r="L488" s="40">
        <f t="shared" si="35"/>
        <v>-46118</v>
      </c>
      <c r="M488" s="34">
        <f t="shared" si="36"/>
        <v>26330</v>
      </c>
      <c r="N488" s="34">
        <f t="shared" si="37"/>
        <v>0</v>
      </c>
      <c r="O488" s="36">
        <f t="shared" si="38"/>
        <v>-50</v>
      </c>
      <c r="P488" s="41">
        <f t="shared" si="39"/>
        <v>0</v>
      </c>
      <c r="Q488" s="70">
        <f t="shared" si="40"/>
        <v>0</v>
      </c>
    </row>
    <row r="489" spans="2:17" x14ac:dyDescent="0.4">
      <c r="B489" s="38" t="s">
        <v>91</v>
      </c>
      <c r="C489" s="34">
        <v>1</v>
      </c>
      <c r="D489" s="34">
        <v>11320</v>
      </c>
      <c r="E489" s="37">
        <v>46120</v>
      </c>
      <c r="F489" s="34"/>
      <c r="G489" s="35"/>
      <c r="H489" s="34">
        <f t="shared" si="33"/>
        <v>30</v>
      </c>
      <c r="I489" s="34">
        <f t="shared" si="34"/>
        <v>0</v>
      </c>
      <c r="J489" s="39">
        <v>0</v>
      </c>
      <c r="K489" s="34"/>
      <c r="L489" s="40">
        <f t="shared" si="35"/>
        <v>-46119</v>
      </c>
      <c r="M489" s="34">
        <f t="shared" si="36"/>
        <v>11320</v>
      </c>
      <c r="N489" s="34">
        <f t="shared" si="37"/>
        <v>0</v>
      </c>
      <c r="O489" s="36">
        <f t="shared" si="38"/>
        <v>-30</v>
      </c>
      <c r="P489" s="41">
        <f t="shared" si="39"/>
        <v>0</v>
      </c>
      <c r="Q489" s="70">
        <f t="shared" si="40"/>
        <v>0</v>
      </c>
    </row>
    <row r="490" spans="2:17" x14ac:dyDescent="0.4">
      <c r="B490" s="38" t="s">
        <v>89</v>
      </c>
      <c r="C490" s="34">
        <v>1</v>
      </c>
      <c r="D490" s="34">
        <v>20810</v>
      </c>
      <c r="E490" s="37">
        <v>46120</v>
      </c>
      <c r="F490" s="34"/>
      <c r="G490" s="35"/>
      <c r="H490" s="34">
        <f t="shared" si="33"/>
        <v>40</v>
      </c>
      <c r="I490" s="34">
        <f t="shared" si="34"/>
        <v>0</v>
      </c>
      <c r="J490" s="39">
        <v>0</v>
      </c>
      <c r="K490" s="34"/>
      <c r="L490" s="40">
        <f t="shared" si="35"/>
        <v>-46119</v>
      </c>
      <c r="M490" s="34">
        <f t="shared" si="36"/>
        <v>20810</v>
      </c>
      <c r="N490" s="34">
        <f t="shared" si="37"/>
        <v>0</v>
      </c>
      <c r="O490" s="36">
        <f t="shared" si="38"/>
        <v>-40</v>
      </c>
      <c r="P490" s="41">
        <f t="shared" si="39"/>
        <v>0</v>
      </c>
      <c r="Q490" s="70">
        <f t="shared" si="40"/>
        <v>0</v>
      </c>
    </row>
    <row r="491" spans="2:17" x14ac:dyDescent="0.4">
      <c r="B491" s="38" t="s">
        <v>1205</v>
      </c>
      <c r="C491" s="34">
        <v>1</v>
      </c>
      <c r="D491" s="34"/>
      <c r="E491" s="37">
        <v>46121</v>
      </c>
      <c r="F491" s="34"/>
      <c r="G491" s="35"/>
      <c r="H491" s="34">
        <f t="shared" si="33"/>
        <v>0</v>
      </c>
      <c r="I491" s="34">
        <f t="shared" si="34"/>
        <v>0</v>
      </c>
      <c r="J491" s="39">
        <v>0</v>
      </c>
      <c r="K491" s="34"/>
      <c r="L491" s="40">
        <f t="shared" si="35"/>
        <v>-46120</v>
      </c>
      <c r="M491" s="34">
        <f t="shared" si="36"/>
        <v>0</v>
      </c>
      <c r="N491" s="34">
        <f t="shared" si="37"/>
        <v>0</v>
      </c>
      <c r="O491" s="36">
        <f t="shared" si="38"/>
        <v>0</v>
      </c>
      <c r="P491" s="41">
        <f t="shared" si="39"/>
        <v>0</v>
      </c>
      <c r="Q491" s="70" t="e">
        <f t="shared" si="40"/>
        <v>#DIV/0!</v>
      </c>
    </row>
    <row r="492" spans="2:17" x14ac:dyDescent="0.4">
      <c r="B492" s="38" t="s">
        <v>1210</v>
      </c>
      <c r="C492" s="34">
        <v>1</v>
      </c>
      <c r="D492" s="34"/>
      <c r="E492" s="37">
        <v>46121</v>
      </c>
      <c r="F492" s="34"/>
      <c r="G492" s="35"/>
      <c r="H492" s="34">
        <f t="shared" si="33"/>
        <v>0</v>
      </c>
      <c r="I492" s="34">
        <f t="shared" si="34"/>
        <v>0</v>
      </c>
      <c r="J492" s="39">
        <v>0</v>
      </c>
      <c r="K492" s="34"/>
      <c r="L492" s="40">
        <f t="shared" si="35"/>
        <v>-46120</v>
      </c>
      <c r="M492" s="34">
        <f t="shared" si="36"/>
        <v>0</v>
      </c>
      <c r="N492" s="34">
        <f t="shared" si="37"/>
        <v>0</v>
      </c>
      <c r="O492" s="36">
        <f t="shared" si="38"/>
        <v>0</v>
      </c>
      <c r="P492" s="41">
        <f t="shared" si="39"/>
        <v>0</v>
      </c>
      <c r="Q492" s="70" t="e">
        <f t="shared" si="40"/>
        <v>#DIV/0!</v>
      </c>
    </row>
    <row r="493" spans="2:17" x14ac:dyDescent="0.4">
      <c r="B493" s="38" t="s">
        <v>1194</v>
      </c>
      <c r="C493" s="34">
        <v>1</v>
      </c>
      <c r="D493" s="34"/>
      <c r="E493" s="37">
        <v>46122</v>
      </c>
      <c r="F493" s="34"/>
      <c r="G493" s="35"/>
      <c r="H493" s="34">
        <f t="shared" si="33"/>
        <v>0</v>
      </c>
      <c r="I493" s="34">
        <f t="shared" si="34"/>
        <v>0</v>
      </c>
      <c r="J493" s="39">
        <v>0</v>
      </c>
      <c r="K493" s="34"/>
      <c r="L493" s="40">
        <f t="shared" si="35"/>
        <v>-46121</v>
      </c>
      <c r="M493" s="34">
        <f t="shared" si="36"/>
        <v>0</v>
      </c>
      <c r="N493" s="34">
        <f t="shared" si="37"/>
        <v>0</v>
      </c>
      <c r="O493" s="36">
        <f t="shared" si="38"/>
        <v>0</v>
      </c>
      <c r="P493" s="41">
        <f t="shared" si="39"/>
        <v>0</v>
      </c>
      <c r="Q493" s="70" t="e">
        <f t="shared" si="40"/>
        <v>#DIV/0!</v>
      </c>
    </row>
    <row r="494" spans="2:17" x14ac:dyDescent="0.4">
      <c r="B494" s="38" t="s">
        <v>1211</v>
      </c>
      <c r="C494" s="34">
        <v>1</v>
      </c>
      <c r="D494" s="34"/>
      <c r="E494" s="37">
        <v>46122</v>
      </c>
      <c r="F494" s="34"/>
      <c r="G494" s="35"/>
      <c r="H494" s="34">
        <f t="shared" si="33"/>
        <v>0</v>
      </c>
      <c r="I494" s="34">
        <f t="shared" si="34"/>
        <v>0</v>
      </c>
      <c r="J494" s="39">
        <v>0</v>
      </c>
      <c r="K494" s="34"/>
      <c r="L494" s="40">
        <f t="shared" si="35"/>
        <v>-46121</v>
      </c>
      <c r="M494" s="34">
        <f t="shared" si="36"/>
        <v>0</v>
      </c>
      <c r="N494" s="34">
        <f t="shared" si="37"/>
        <v>0</v>
      </c>
      <c r="O494" s="36">
        <f t="shared" si="38"/>
        <v>0</v>
      </c>
      <c r="P494" s="41">
        <f t="shared" si="39"/>
        <v>0</v>
      </c>
      <c r="Q494" s="70" t="e">
        <f t="shared" si="40"/>
        <v>#DIV/0!</v>
      </c>
    </row>
    <row r="495" spans="2:17" x14ac:dyDescent="0.4">
      <c r="B495" s="38" t="s">
        <v>1206</v>
      </c>
      <c r="C495" s="34">
        <v>1</v>
      </c>
      <c r="D495" s="34"/>
      <c r="E495" s="37">
        <v>46125</v>
      </c>
      <c r="F495" s="34"/>
      <c r="G495" s="35"/>
      <c r="H495" s="34">
        <f t="shared" si="33"/>
        <v>0</v>
      </c>
      <c r="I495" s="34">
        <f t="shared" si="34"/>
        <v>0</v>
      </c>
      <c r="J495" s="39">
        <v>0</v>
      </c>
      <c r="K495" s="34"/>
      <c r="L495" s="40">
        <f t="shared" si="35"/>
        <v>-46124</v>
      </c>
      <c r="M495" s="34">
        <f t="shared" si="36"/>
        <v>0</v>
      </c>
      <c r="N495" s="34">
        <f t="shared" si="37"/>
        <v>0</v>
      </c>
      <c r="O495" s="36">
        <f t="shared" si="38"/>
        <v>0</v>
      </c>
      <c r="P495" s="41">
        <f t="shared" si="39"/>
        <v>0</v>
      </c>
      <c r="Q495" s="70" t="e">
        <f t="shared" si="40"/>
        <v>#DIV/0!</v>
      </c>
    </row>
    <row r="496" spans="2:17" x14ac:dyDescent="0.4">
      <c r="B496" s="38" t="s">
        <v>1209</v>
      </c>
      <c r="C496" s="34">
        <v>1</v>
      </c>
      <c r="D496" s="34"/>
      <c r="E496" s="37">
        <v>46125</v>
      </c>
      <c r="F496" s="34"/>
      <c r="G496" s="35"/>
      <c r="H496" s="34">
        <f t="shared" si="33"/>
        <v>0</v>
      </c>
      <c r="I496" s="34">
        <f t="shared" si="34"/>
        <v>0</v>
      </c>
      <c r="J496" s="39">
        <v>0</v>
      </c>
      <c r="K496" s="34"/>
      <c r="L496" s="40">
        <f t="shared" si="35"/>
        <v>-46124</v>
      </c>
      <c r="M496" s="34">
        <f t="shared" si="36"/>
        <v>0</v>
      </c>
      <c r="N496" s="34">
        <f t="shared" si="37"/>
        <v>0</v>
      </c>
      <c r="O496" s="36">
        <f t="shared" si="38"/>
        <v>0</v>
      </c>
      <c r="P496" s="41">
        <f t="shared" si="39"/>
        <v>0</v>
      </c>
      <c r="Q496" s="70" t="e">
        <f t="shared" si="40"/>
        <v>#DIV/0!</v>
      </c>
    </row>
    <row r="497" spans="2:17" x14ac:dyDescent="0.4">
      <c r="B497" s="38" t="s">
        <v>1207</v>
      </c>
      <c r="C497" s="34">
        <v>1</v>
      </c>
      <c r="D497" s="34"/>
      <c r="E497" s="37">
        <v>46126</v>
      </c>
      <c r="F497" s="34"/>
      <c r="G497" s="35"/>
      <c r="H497" s="34">
        <f t="shared" si="33"/>
        <v>0</v>
      </c>
      <c r="I497" s="34">
        <f t="shared" si="34"/>
        <v>0</v>
      </c>
      <c r="J497" s="39">
        <v>0</v>
      </c>
      <c r="K497" s="34"/>
      <c r="L497" s="40">
        <f t="shared" si="35"/>
        <v>-46125</v>
      </c>
      <c r="M497" s="34">
        <f t="shared" si="36"/>
        <v>0</v>
      </c>
      <c r="N497" s="34">
        <f t="shared" si="37"/>
        <v>0</v>
      </c>
      <c r="O497" s="36">
        <f t="shared" si="38"/>
        <v>0</v>
      </c>
      <c r="P497" s="41">
        <f t="shared" si="39"/>
        <v>0</v>
      </c>
      <c r="Q497" s="70" t="e">
        <f t="shared" si="40"/>
        <v>#DIV/0!</v>
      </c>
    </row>
    <row r="498" spans="2:17" x14ac:dyDescent="0.4">
      <c r="B498" s="38" t="s">
        <v>1208</v>
      </c>
      <c r="C498" s="34">
        <v>1</v>
      </c>
      <c r="D498" s="34"/>
      <c r="E498" s="37">
        <v>46126</v>
      </c>
      <c r="F498" s="34"/>
      <c r="G498" s="35"/>
      <c r="H498" s="34">
        <f t="shared" si="33"/>
        <v>0</v>
      </c>
      <c r="I498" s="34">
        <f t="shared" si="34"/>
        <v>0</v>
      </c>
      <c r="J498" s="39">
        <v>0</v>
      </c>
      <c r="K498" s="34"/>
      <c r="L498" s="40">
        <f t="shared" si="35"/>
        <v>-46125</v>
      </c>
      <c r="M498" s="34">
        <f t="shared" si="36"/>
        <v>0</v>
      </c>
      <c r="N498" s="34">
        <f t="shared" si="37"/>
        <v>0</v>
      </c>
      <c r="O498" s="36">
        <f t="shared" si="38"/>
        <v>0</v>
      </c>
      <c r="P498" s="41">
        <f t="shared" si="39"/>
        <v>0</v>
      </c>
      <c r="Q498" s="70" t="e">
        <f t="shared" si="40"/>
        <v>#DIV/0!</v>
      </c>
    </row>
    <row r="499" spans="2:17" x14ac:dyDescent="0.4">
      <c r="B499" s="38" t="s">
        <v>91</v>
      </c>
      <c r="C499" s="34">
        <v>1</v>
      </c>
      <c r="D499" s="34"/>
      <c r="E499" s="37">
        <v>46127</v>
      </c>
      <c r="F499" s="34"/>
      <c r="G499" s="35"/>
      <c r="H499" s="34">
        <f t="shared" si="33"/>
        <v>0</v>
      </c>
      <c r="I499" s="34">
        <f t="shared" si="34"/>
        <v>0</v>
      </c>
      <c r="J499" s="39">
        <v>0</v>
      </c>
      <c r="K499" s="34"/>
      <c r="L499" s="40">
        <f t="shared" si="35"/>
        <v>-46126</v>
      </c>
      <c r="M499" s="34">
        <f t="shared" si="36"/>
        <v>0</v>
      </c>
      <c r="N499" s="34">
        <f t="shared" si="37"/>
        <v>0</v>
      </c>
      <c r="O499" s="36">
        <f t="shared" si="38"/>
        <v>0</v>
      </c>
      <c r="P499" s="41">
        <f t="shared" si="39"/>
        <v>0</v>
      </c>
      <c r="Q499" s="70" t="e">
        <f t="shared" si="40"/>
        <v>#DIV/0!</v>
      </c>
    </row>
    <row r="500" spans="2:17" x14ac:dyDescent="0.4">
      <c r="B500" s="38" t="s">
        <v>89</v>
      </c>
      <c r="C500" s="34">
        <v>1</v>
      </c>
      <c r="D500" s="34"/>
      <c r="E500" s="37">
        <v>46127</v>
      </c>
      <c r="F500" s="34"/>
      <c r="G500" s="35"/>
      <c r="H500" s="34">
        <f t="shared" ref="H500:H519" si="41">ROUNDUP(M500*0.001891639,-1)</f>
        <v>0</v>
      </c>
      <c r="I500" s="34">
        <f t="shared" ref="I500:I519" si="42">ROUNDDOWN(N500*0.001891639,-1)</f>
        <v>0</v>
      </c>
      <c r="J500" s="39">
        <v>0</v>
      </c>
      <c r="K500" s="34"/>
      <c r="L500" s="40">
        <f t="shared" ref="L500:L519" si="43">G500-E500+1</f>
        <v>-46126</v>
      </c>
      <c r="M500" s="34">
        <f t="shared" ref="M500:M519" si="44">C500*D500</f>
        <v>0</v>
      </c>
      <c r="N500" s="34">
        <f t="shared" ref="N500:N519" si="45">C500*F500</f>
        <v>0</v>
      </c>
      <c r="O500" s="36">
        <f t="shared" ref="O500:O519" si="46">K500-H500-I500-J500</f>
        <v>0</v>
      </c>
      <c r="P500" s="41">
        <f t="shared" ref="P500:P563" si="47">IF(N500=0,0,N500-M500+O500)</f>
        <v>0</v>
      </c>
      <c r="Q500" s="70" t="e">
        <f t="shared" ref="Q500:Q563" si="48">P500/M500</f>
        <v>#DIV/0!</v>
      </c>
    </row>
    <row r="501" spans="2:17" x14ac:dyDescent="0.4">
      <c r="B501" s="38" t="s">
        <v>1205</v>
      </c>
      <c r="C501" s="34">
        <v>1</v>
      </c>
      <c r="D501" s="34"/>
      <c r="E501" s="37">
        <v>46128</v>
      </c>
      <c r="F501" s="34"/>
      <c r="G501" s="35"/>
      <c r="H501" s="34">
        <f t="shared" si="41"/>
        <v>0</v>
      </c>
      <c r="I501" s="34">
        <f t="shared" si="42"/>
        <v>0</v>
      </c>
      <c r="J501" s="39">
        <v>0</v>
      </c>
      <c r="K501" s="34"/>
      <c r="L501" s="40">
        <f t="shared" si="43"/>
        <v>-46127</v>
      </c>
      <c r="M501" s="34">
        <f t="shared" si="44"/>
        <v>0</v>
      </c>
      <c r="N501" s="34">
        <f t="shared" si="45"/>
        <v>0</v>
      </c>
      <c r="O501" s="36">
        <f t="shared" si="46"/>
        <v>0</v>
      </c>
      <c r="P501" s="41">
        <f t="shared" si="47"/>
        <v>0</v>
      </c>
      <c r="Q501" s="70" t="e">
        <f t="shared" si="48"/>
        <v>#DIV/0!</v>
      </c>
    </row>
    <row r="502" spans="2:17" x14ac:dyDescent="0.4">
      <c r="B502" s="38" t="s">
        <v>1210</v>
      </c>
      <c r="C502" s="34">
        <v>1</v>
      </c>
      <c r="D502" s="34"/>
      <c r="E502" s="37">
        <v>46128</v>
      </c>
      <c r="F502" s="34"/>
      <c r="G502" s="35"/>
      <c r="H502" s="34">
        <f t="shared" si="41"/>
        <v>0</v>
      </c>
      <c r="I502" s="34">
        <f t="shared" si="42"/>
        <v>0</v>
      </c>
      <c r="J502" s="39">
        <v>0</v>
      </c>
      <c r="K502" s="34"/>
      <c r="L502" s="40">
        <f t="shared" si="43"/>
        <v>-46127</v>
      </c>
      <c r="M502" s="34">
        <f t="shared" si="44"/>
        <v>0</v>
      </c>
      <c r="N502" s="34">
        <f t="shared" si="45"/>
        <v>0</v>
      </c>
      <c r="O502" s="36">
        <f t="shared" si="46"/>
        <v>0</v>
      </c>
      <c r="P502" s="41">
        <f t="shared" si="47"/>
        <v>0</v>
      </c>
      <c r="Q502" s="70" t="e">
        <f t="shared" si="48"/>
        <v>#DIV/0!</v>
      </c>
    </row>
    <row r="503" spans="2:17" x14ac:dyDescent="0.4">
      <c r="B503" s="38" t="s">
        <v>1194</v>
      </c>
      <c r="C503" s="34">
        <v>1</v>
      </c>
      <c r="D503" s="34"/>
      <c r="E503" s="37">
        <v>46129</v>
      </c>
      <c r="F503" s="34"/>
      <c r="G503" s="35"/>
      <c r="H503" s="34">
        <f t="shared" si="41"/>
        <v>0</v>
      </c>
      <c r="I503" s="34">
        <f t="shared" si="42"/>
        <v>0</v>
      </c>
      <c r="J503" s="39">
        <v>0</v>
      </c>
      <c r="K503" s="34"/>
      <c r="L503" s="40">
        <f t="shared" si="43"/>
        <v>-46128</v>
      </c>
      <c r="M503" s="34">
        <f t="shared" si="44"/>
        <v>0</v>
      </c>
      <c r="N503" s="34">
        <f t="shared" si="45"/>
        <v>0</v>
      </c>
      <c r="O503" s="36">
        <f t="shared" si="46"/>
        <v>0</v>
      </c>
      <c r="P503" s="41">
        <f t="shared" si="47"/>
        <v>0</v>
      </c>
      <c r="Q503" s="70" t="e">
        <f t="shared" si="48"/>
        <v>#DIV/0!</v>
      </c>
    </row>
    <row r="504" spans="2:17" x14ac:dyDescent="0.4">
      <c r="B504" s="38" t="s">
        <v>1211</v>
      </c>
      <c r="C504" s="34">
        <v>1</v>
      </c>
      <c r="D504" s="34"/>
      <c r="E504" s="37">
        <v>46129</v>
      </c>
      <c r="F504" s="34"/>
      <c r="G504" s="35"/>
      <c r="H504" s="34">
        <f t="shared" si="41"/>
        <v>0</v>
      </c>
      <c r="I504" s="34">
        <f t="shared" si="42"/>
        <v>0</v>
      </c>
      <c r="J504" s="39">
        <v>0</v>
      </c>
      <c r="K504" s="34"/>
      <c r="L504" s="40">
        <f t="shared" si="43"/>
        <v>-46128</v>
      </c>
      <c r="M504" s="34">
        <f t="shared" si="44"/>
        <v>0</v>
      </c>
      <c r="N504" s="34">
        <f t="shared" si="45"/>
        <v>0</v>
      </c>
      <c r="O504" s="36">
        <f t="shared" si="46"/>
        <v>0</v>
      </c>
      <c r="P504" s="41">
        <f t="shared" si="47"/>
        <v>0</v>
      </c>
      <c r="Q504" s="70" t="e">
        <f t="shared" si="48"/>
        <v>#DIV/0!</v>
      </c>
    </row>
    <row r="505" spans="2:17" x14ac:dyDescent="0.4">
      <c r="B505" s="38" t="s">
        <v>1206</v>
      </c>
      <c r="C505" s="34">
        <v>1</v>
      </c>
      <c r="D505" s="34"/>
      <c r="E505" s="37">
        <v>46132</v>
      </c>
      <c r="F505" s="34"/>
      <c r="G505" s="35"/>
      <c r="H505" s="34">
        <f t="shared" si="41"/>
        <v>0</v>
      </c>
      <c r="I505" s="34">
        <f t="shared" si="42"/>
        <v>0</v>
      </c>
      <c r="J505" s="39">
        <v>0</v>
      </c>
      <c r="K505" s="34"/>
      <c r="L505" s="40">
        <f t="shared" si="43"/>
        <v>-46131</v>
      </c>
      <c r="M505" s="34">
        <f t="shared" si="44"/>
        <v>0</v>
      </c>
      <c r="N505" s="34">
        <f t="shared" si="45"/>
        <v>0</v>
      </c>
      <c r="O505" s="36">
        <f t="shared" si="46"/>
        <v>0</v>
      </c>
      <c r="P505" s="41">
        <f t="shared" si="47"/>
        <v>0</v>
      </c>
      <c r="Q505" s="70" t="e">
        <f t="shared" si="48"/>
        <v>#DIV/0!</v>
      </c>
    </row>
    <row r="506" spans="2:17" x14ac:dyDescent="0.4">
      <c r="B506" s="38" t="s">
        <v>1209</v>
      </c>
      <c r="C506" s="34">
        <v>1</v>
      </c>
      <c r="D506" s="34"/>
      <c r="E506" s="37">
        <v>46132</v>
      </c>
      <c r="F506" s="34"/>
      <c r="G506" s="35"/>
      <c r="H506" s="34">
        <f t="shared" si="41"/>
        <v>0</v>
      </c>
      <c r="I506" s="34">
        <f t="shared" si="42"/>
        <v>0</v>
      </c>
      <c r="J506" s="39">
        <v>0</v>
      </c>
      <c r="K506" s="34"/>
      <c r="L506" s="40">
        <f t="shared" si="43"/>
        <v>-46131</v>
      </c>
      <c r="M506" s="34">
        <f t="shared" si="44"/>
        <v>0</v>
      </c>
      <c r="N506" s="34">
        <f t="shared" si="45"/>
        <v>0</v>
      </c>
      <c r="O506" s="36">
        <f t="shared" si="46"/>
        <v>0</v>
      </c>
      <c r="P506" s="41">
        <f t="shared" si="47"/>
        <v>0</v>
      </c>
      <c r="Q506" s="70" t="e">
        <f t="shared" si="48"/>
        <v>#DIV/0!</v>
      </c>
    </row>
    <row r="507" spans="2:17" x14ac:dyDescent="0.4">
      <c r="B507" s="38" t="s">
        <v>1207</v>
      </c>
      <c r="C507" s="34">
        <v>1</v>
      </c>
      <c r="D507" s="34"/>
      <c r="E507" s="37">
        <v>46133</v>
      </c>
      <c r="F507" s="34"/>
      <c r="G507" s="35"/>
      <c r="H507" s="34">
        <f t="shared" si="41"/>
        <v>0</v>
      </c>
      <c r="I507" s="34">
        <f t="shared" si="42"/>
        <v>0</v>
      </c>
      <c r="J507" s="39">
        <v>0</v>
      </c>
      <c r="K507" s="34"/>
      <c r="L507" s="40">
        <f t="shared" si="43"/>
        <v>-46132</v>
      </c>
      <c r="M507" s="34">
        <f t="shared" si="44"/>
        <v>0</v>
      </c>
      <c r="N507" s="34">
        <f t="shared" si="45"/>
        <v>0</v>
      </c>
      <c r="O507" s="36">
        <f t="shared" si="46"/>
        <v>0</v>
      </c>
      <c r="P507" s="41">
        <f t="shared" si="47"/>
        <v>0</v>
      </c>
      <c r="Q507" s="70" t="e">
        <f t="shared" si="48"/>
        <v>#DIV/0!</v>
      </c>
    </row>
    <row r="508" spans="2:17" x14ac:dyDescent="0.4">
      <c r="B508" s="38" t="s">
        <v>1208</v>
      </c>
      <c r="C508" s="34">
        <v>1</v>
      </c>
      <c r="D508" s="34"/>
      <c r="E508" s="37">
        <v>46133</v>
      </c>
      <c r="F508" s="34"/>
      <c r="G508" s="35"/>
      <c r="H508" s="34">
        <f t="shared" si="41"/>
        <v>0</v>
      </c>
      <c r="I508" s="34">
        <f t="shared" si="42"/>
        <v>0</v>
      </c>
      <c r="J508" s="39">
        <v>0</v>
      </c>
      <c r="K508" s="34"/>
      <c r="L508" s="40">
        <f t="shared" si="43"/>
        <v>-46132</v>
      </c>
      <c r="M508" s="34">
        <f t="shared" si="44"/>
        <v>0</v>
      </c>
      <c r="N508" s="34">
        <f t="shared" si="45"/>
        <v>0</v>
      </c>
      <c r="O508" s="36">
        <f t="shared" si="46"/>
        <v>0</v>
      </c>
      <c r="P508" s="41">
        <f t="shared" si="47"/>
        <v>0</v>
      </c>
      <c r="Q508" s="70" t="e">
        <f t="shared" si="48"/>
        <v>#DIV/0!</v>
      </c>
    </row>
    <row r="509" spans="2:17" x14ac:dyDescent="0.4">
      <c r="B509" s="38" t="s">
        <v>91</v>
      </c>
      <c r="C509" s="34">
        <v>1</v>
      </c>
      <c r="D509" s="34"/>
      <c r="E509" s="37">
        <v>46134</v>
      </c>
      <c r="F509" s="34"/>
      <c r="G509" s="35"/>
      <c r="H509" s="34">
        <f t="shared" si="41"/>
        <v>0</v>
      </c>
      <c r="I509" s="34">
        <f t="shared" si="42"/>
        <v>0</v>
      </c>
      <c r="J509" s="39">
        <v>0</v>
      </c>
      <c r="K509" s="34"/>
      <c r="L509" s="40">
        <f t="shared" si="43"/>
        <v>-46133</v>
      </c>
      <c r="M509" s="34">
        <f t="shared" si="44"/>
        <v>0</v>
      </c>
      <c r="N509" s="34">
        <f t="shared" si="45"/>
        <v>0</v>
      </c>
      <c r="O509" s="36">
        <f t="shared" si="46"/>
        <v>0</v>
      </c>
      <c r="P509" s="41">
        <f t="shared" si="47"/>
        <v>0</v>
      </c>
      <c r="Q509" s="70" t="e">
        <f t="shared" si="48"/>
        <v>#DIV/0!</v>
      </c>
    </row>
    <row r="510" spans="2:17" x14ac:dyDescent="0.4">
      <c r="B510" s="38" t="s">
        <v>89</v>
      </c>
      <c r="C510" s="34">
        <v>1</v>
      </c>
      <c r="D510" s="34"/>
      <c r="E510" s="37">
        <v>46134</v>
      </c>
      <c r="F510" s="34"/>
      <c r="G510" s="35"/>
      <c r="H510" s="34">
        <f t="shared" si="41"/>
        <v>0</v>
      </c>
      <c r="I510" s="34">
        <f t="shared" si="42"/>
        <v>0</v>
      </c>
      <c r="J510" s="39">
        <v>0</v>
      </c>
      <c r="K510" s="34"/>
      <c r="L510" s="40">
        <f t="shared" si="43"/>
        <v>-46133</v>
      </c>
      <c r="M510" s="34">
        <f t="shared" si="44"/>
        <v>0</v>
      </c>
      <c r="N510" s="34">
        <f t="shared" si="45"/>
        <v>0</v>
      </c>
      <c r="O510" s="36">
        <f t="shared" si="46"/>
        <v>0</v>
      </c>
      <c r="P510" s="41">
        <f t="shared" si="47"/>
        <v>0</v>
      </c>
      <c r="Q510" s="70" t="e">
        <f t="shared" si="48"/>
        <v>#DIV/0!</v>
      </c>
    </row>
    <row r="511" spans="2:17" x14ac:dyDescent="0.4">
      <c r="B511" s="38" t="s">
        <v>1205</v>
      </c>
      <c r="C511" s="34">
        <v>1</v>
      </c>
      <c r="D511" s="34"/>
      <c r="E511" s="37">
        <v>46135</v>
      </c>
      <c r="F511" s="34"/>
      <c r="G511" s="35"/>
      <c r="H511" s="34">
        <f t="shared" si="41"/>
        <v>0</v>
      </c>
      <c r="I511" s="34">
        <f t="shared" si="42"/>
        <v>0</v>
      </c>
      <c r="J511" s="39">
        <v>0</v>
      </c>
      <c r="K511" s="34"/>
      <c r="L511" s="40">
        <f t="shared" si="43"/>
        <v>-46134</v>
      </c>
      <c r="M511" s="34">
        <f t="shared" si="44"/>
        <v>0</v>
      </c>
      <c r="N511" s="34">
        <f t="shared" si="45"/>
        <v>0</v>
      </c>
      <c r="O511" s="36">
        <f t="shared" si="46"/>
        <v>0</v>
      </c>
      <c r="P511" s="41">
        <f t="shared" si="47"/>
        <v>0</v>
      </c>
      <c r="Q511" s="70" t="e">
        <f t="shared" si="48"/>
        <v>#DIV/0!</v>
      </c>
    </row>
    <row r="512" spans="2:17" x14ac:dyDescent="0.4">
      <c r="B512" s="38" t="s">
        <v>1210</v>
      </c>
      <c r="C512" s="34">
        <v>1</v>
      </c>
      <c r="D512" s="34"/>
      <c r="E512" s="37">
        <v>46135</v>
      </c>
      <c r="F512" s="34"/>
      <c r="G512" s="35"/>
      <c r="H512" s="34">
        <f t="shared" si="41"/>
        <v>0</v>
      </c>
      <c r="I512" s="34">
        <f t="shared" si="42"/>
        <v>0</v>
      </c>
      <c r="J512" s="39">
        <v>0</v>
      </c>
      <c r="K512" s="34"/>
      <c r="L512" s="40">
        <f t="shared" si="43"/>
        <v>-46134</v>
      </c>
      <c r="M512" s="34">
        <f t="shared" si="44"/>
        <v>0</v>
      </c>
      <c r="N512" s="34">
        <f t="shared" si="45"/>
        <v>0</v>
      </c>
      <c r="O512" s="36">
        <f t="shared" si="46"/>
        <v>0</v>
      </c>
      <c r="P512" s="41">
        <f t="shared" si="47"/>
        <v>0</v>
      </c>
      <c r="Q512" s="70" t="e">
        <f t="shared" si="48"/>
        <v>#DIV/0!</v>
      </c>
    </row>
    <row r="513" spans="1:17" x14ac:dyDescent="0.4">
      <c r="B513" s="38" t="s">
        <v>1194</v>
      </c>
      <c r="C513" s="34">
        <v>1</v>
      </c>
      <c r="D513" s="34"/>
      <c r="E513" s="37">
        <v>46136</v>
      </c>
      <c r="F513" s="34"/>
      <c r="G513" s="35"/>
      <c r="H513" s="34">
        <f t="shared" si="41"/>
        <v>0</v>
      </c>
      <c r="I513" s="34">
        <f t="shared" si="42"/>
        <v>0</v>
      </c>
      <c r="J513" s="39">
        <v>0</v>
      </c>
      <c r="K513" s="34"/>
      <c r="L513" s="40">
        <f t="shared" si="43"/>
        <v>-46135</v>
      </c>
      <c r="M513" s="34">
        <f t="shared" si="44"/>
        <v>0</v>
      </c>
      <c r="N513" s="34">
        <f t="shared" si="45"/>
        <v>0</v>
      </c>
      <c r="O513" s="36">
        <f t="shared" si="46"/>
        <v>0</v>
      </c>
      <c r="P513" s="41">
        <f t="shared" si="47"/>
        <v>0</v>
      </c>
      <c r="Q513" s="70" t="e">
        <f t="shared" si="48"/>
        <v>#DIV/0!</v>
      </c>
    </row>
    <row r="514" spans="1:17" x14ac:dyDescent="0.4">
      <c r="B514" s="38" t="s">
        <v>1211</v>
      </c>
      <c r="C514" s="34">
        <v>1</v>
      </c>
      <c r="D514" s="34"/>
      <c r="E514" s="37">
        <v>46136</v>
      </c>
      <c r="F514" s="34"/>
      <c r="G514" s="35"/>
      <c r="H514" s="34">
        <f t="shared" si="41"/>
        <v>0</v>
      </c>
      <c r="I514" s="34">
        <f t="shared" si="42"/>
        <v>0</v>
      </c>
      <c r="J514" s="39">
        <v>0</v>
      </c>
      <c r="K514" s="34"/>
      <c r="L514" s="40">
        <f t="shared" si="43"/>
        <v>-46135</v>
      </c>
      <c r="M514" s="34">
        <f t="shared" si="44"/>
        <v>0</v>
      </c>
      <c r="N514" s="34">
        <f t="shared" si="45"/>
        <v>0</v>
      </c>
      <c r="O514" s="36">
        <f t="shared" si="46"/>
        <v>0</v>
      </c>
      <c r="P514" s="41">
        <f t="shared" si="47"/>
        <v>0</v>
      </c>
      <c r="Q514" s="70" t="e">
        <f t="shared" si="48"/>
        <v>#DIV/0!</v>
      </c>
    </row>
    <row r="515" spans="1:17" x14ac:dyDescent="0.4">
      <c r="B515" s="38"/>
      <c r="C515" s="34"/>
      <c r="D515" s="34"/>
      <c r="E515" s="37"/>
      <c r="F515" s="34"/>
      <c r="G515" s="35"/>
      <c r="H515" s="34">
        <f t="shared" si="41"/>
        <v>0</v>
      </c>
      <c r="I515" s="34">
        <f t="shared" si="42"/>
        <v>0</v>
      </c>
      <c r="J515" s="39">
        <v>0</v>
      </c>
      <c r="K515" s="34"/>
      <c r="L515" s="40">
        <f t="shared" si="43"/>
        <v>1</v>
      </c>
      <c r="M515" s="34">
        <f t="shared" si="44"/>
        <v>0</v>
      </c>
      <c r="N515" s="34">
        <f t="shared" si="45"/>
        <v>0</v>
      </c>
      <c r="O515" s="36">
        <f t="shared" si="46"/>
        <v>0</v>
      </c>
      <c r="P515" s="41">
        <f t="shared" si="47"/>
        <v>0</v>
      </c>
      <c r="Q515" s="70" t="e">
        <f t="shared" si="48"/>
        <v>#DIV/0!</v>
      </c>
    </row>
    <row r="516" spans="1:17" x14ac:dyDescent="0.4">
      <c r="B516" s="38"/>
      <c r="C516" s="34"/>
      <c r="D516" s="34"/>
      <c r="E516" s="37"/>
      <c r="F516" s="34"/>
      <c r="G516" s="35"/>
      <c r="H516" s="34">
        <f t="shared" si="41"/>
        <v>0</v>
      </c>
      <c r="I516" s="34">
        <f t="shared" si="42"/>
        <v>0</v>
      </c>
      <c r="J516" s="39">
        <v>0</v>
      </c>
      <c r="K516" s="34"/>
      <c r="L516" s="40">
        <f t="shared" si="43"/>
        <v>1</v>
      </c>
      <c r="M516" s="34">
        <f t="shared" si="44"/>
        <v>0</v>
      </c>
      <c r="N516" s="34">
        <f t="shared" si="45"/>
        <v>0</v>
      </c>
      <c r="O516" s="36">
        <f t="shared" si="46"/>
        <v>0</v>
      </c>
      <c r="P516" s="41">
        <f t="shared" si="47"/>
        <v>0</v>
      </c>
      <c r="Q516" s="70" t="e">
        <f t="shared" si="48"/>
        <v>#DIV/0!</v>
      </c>
    </row>
    <row r="517" spans="1:17" x14ac:dyDescent="0.4">
      <c r="B517" s="38"/>
      <c r="C517" s="34"/>
      <c r="D517" s="34"/>
      <c r="E517" s="37"/>
      <c r="F517" s="34"/>
      <c r="G517" s="35"/>
      <c r="H517" s="34">
        <f t="shared" si="41"/>
        <v>0</v>
      </c>
      <c r="I517" s="34">
        <f t="shared" si="42"/>
        <v>0</v>
      </c>
      <c r="J517" s="39">
        <v>0</v>
      </c>
      <c r="K517" s="34"/>
      <c r="L517" s="40">
        <f t="shared" si="43"/>
        <v>1</v>
      </c>
      <c r="M517" s="34">
        <f t="shared" si="44"/>
        <v>0</v>
      </c>
      <c r="N517" s="34">
        <f t="shared" si="45"/>
        <v>0</v>
      </c>
      <c r="O517" s="36">
        <f t="shared" si="46"/>
        <v>0</v>
      </c>
      <c r="P517" s="41">
        <f t="shared" si="47"/>
        <v>0</v>
      </c>
      <c r="Q517" s="70" t="e">
        <f t="shared" si="48"/>
        <v>#DIV/0!</v>
      </c>
    </row>
    <row r="518" spans="1:17" x14ac:dyDescent="0.4">
      <c r="B518" s="38"/>
      <c r="C518" s="34"/>
      <c r="D518" s="34"/>
      <c r="E518" s="37"/>
      <c r="F518" s="34"/>
      <c r="G518" s="35"/>
      <c r="H518" s="34">
        <f t="shared" si="41"/>
        <v>0</v>
      </c>
      <c r="I518" s="34">
        <f t="shared" si="42"/>
        <v>0</v>
      </c>
      <c r="J518" s="39">
        <v>0</v>
      </c>
      <c r="K518" s="34"/>
      <c r="L518" s="40">
        <f t="shared" si="43"/>
        <v>1</v>
      </c>
      <c r="M518" s="34">
        <f t="shared" si="44"/>
        <v>0</v>
      </c>
      <c r="N518" s="34">
        <f t="shared" si="45"/>
        <v>0</v>
      </c>
      <c r="O518" s="36">
        <f t="shared" si="46"/>
        <v>0</v>
      </c>
      <c r="P518" s="41">
        <f t="shared" si="47"/>
        <v>0</v>
      </c>
      <c r="Q518" s="70" t="e">
        <f t="shared" si="48"/>
        <v>#DIV/0!</v>
      </c>
    </row>
    <row r="519" spans="1:17" x14ac:dyDescent="0.4">
      <c r="B519" s="38"/>
      <c r="C519" s="34"/>
      <c r="D519" s="34"/>
      <c r="E519" s="37"/>
      <c r="F519" s="34"/>
      <c r="G519" s="35"/>
      <c r="H519" s="34">
        <f t="shared" si="41"/>
        <v>0</v>
      </c>
      <c r="I519" s="34">
        <f t="shared" si="42"/>
        <v>0</v>
      </c>
      <c r="J519" s="39">
        <v>0</v>
      </c>
      <c r="K519" s="34"/>
      <c r="L519" s="40">
        <f t="shared" si="43"/>
        <v>1</v>
      </c>
      <c r="M519" s="34">
        <f t="shared" si="44"/>
        <v>0</v>
      </c>
      <c r="N519" s="34">
        <f t="shared" si="45"/>
        <v>0</v>
      </c>
      <c r="O519" s="36">
        <f t="shared" si="46"/>
        <v>0</v>
      </c>
      <c r="P519" s="41">
        <f t="shared" si="47"/>
        <v>0</v>
      </c>
      <c r="Q519" s="70" t="e">
        <f t="shared" si="48"/>
        <v>#DIV/0!</v>
      </c>
    </row>
    <row r="522" spans="1:17" x14ac:dyDescent="0.4">
      <c r="H522" s="2"/>
    </row>
    <row r="523" spans="1:17" ht="21" customHeight="1" x14ac:dyDescent="0.4">
      <c r="A523" s="98" t="s">
        <v>586</v>
      </c>
    </row>
    <row r="524" spans="1:17" ht="18" customHeight="1" thickBot="1" x14ac:dyDescent="0.45">
      <c r="A524" s="33" t="s">
        <v>1198</v>
      </c>
      <c r="C524" s="33"/>
      <c r="D524" s="33"/>
      <c r="E524" s="33"/>
      <c r="F524" s="33"/>
      <c r="G524" s="33"/>
      <c r="H524" s="33" t="s">
        <v>587</v>
      </c>
      <c r="I524" s="33"/>
      <c r="J524" s="33"/>
      <c r="K524" s="33"/>
      <c r="L524" s="33"/>
      <c r="M524" s="33" t="s">
        <v>1203</v>
      </c>
      <c r="N524" s="34">
        <f>SUM($C$70:$D$264)-SUM($M$526:$M$725)+SUM($N$526:$N$725)-SUM($H$526:$J$725)</f>
        <v>392264.63</v>
      </c>
      <c r="O524" s="33"/>
      <c r="P524" s="33"/>
      <c r="Q524" s="33"/>
    </row>
    <row r="525" spans="1:17" ht="18" customHeight="1" thickBot="1" x14ac:dyDescent="0.45">
      <c r="B525" s="42" t="s">
        <v>0</v>
      </c>
      <c r="C525" s="43" t="s">
        <v>71</v>
      </c>
      <c r="D525" s="43" t="s">
        <v>473</v>
      </c>
      <c r="E525" s="44" t="s">
        <v>118</v>
      </c>
      <c r="F525" s="43" t="s">
        <v>99</v>
      </c>
      <c r="G525" s="43" t="s">
        <v>121</v>
      </c>
      <c r="H525" s="43" t="s">
        <v>474</v>
      </c>
      <c r="I525" s="43" t="s">
        <v>475</v>
      </c>
      <c r="J525" s="44" t="s">
        <v>476</v>
      </c>
      <c r="K525" s="43" t="s">
        <v>153</v>
      </c>
      <c r="L525" s="45" t="s">
        <v>154</v>
      </c>
      <c r="M525" s="43" t="s">
        <v>123</v>
      </c>
      <c r="N525" s="43" t="s">
        <v>124</v>
      </c>
      <c r="O525" s="43" t="s">
        <v>477</v>
      </c>
      <c r="P525" s="43" t="s">
        <v>478</v>
      </c>
      <c r="Q525" s="46" t="s">
        <v>479</v>
      </c>
    </row>
    <row r="526" spans="1:17" x14ac:dyDescent="0.4">
      <c r="B526" s="38" t="s">
        <v>1213</v>
      </c>
      <c r="C526" s="34">
        <v>1</v>
      </c>
      <c r="D526" s="34">
        <v>100000</v>
      </c>
      <c r="E526" s="37">
        <v>43157</v>
      </c>
      <c r="F526" s="34">
        <v>0</v>
      </c>
      <c r="G526" s="35">
        <v>44054</v>
      </c>
      <c r="H526" s="34">
        <v>0</v>
      </c>
      <c r="I526" s="34">
        <v>0</v>
      </c>
      <c r="J526" s="39">
        <v>0</v>
      </c>
      <c r="K526" s="34"/>
      <c r="L526" s="40">
        <f t="shared" ref="L526:L557" si="49">G526-E526+1</f>
        <v>898</v>
      </c>
      <c r="M526" s="34">
        <f t="shared" ref="M526:M557" si="50">C526*D526</f>
        <v>100000</v>
      </c>
      <c r="N526" s="34">
        <f t="shared" ref="N526:N557" si="51">C526*F526</f>
        <v>0</v>
      </c>
      <c r="O526" s="36">
        <f t="shared" ref="O526:O557" si="52">K526-H526-I526-J526</f>
        <v>0</v>
      </c>
      <c r="P526" s="41"/>
      <c r="Q526" s="70">
        <f t="shared" ref="Q526:Q557" si="53">P526/M526</f>
        <v>0</v>
      </c>
    </row>
    <row r="527" spans="1:17" x14ac:dyDescent="0.4">
      <c r="B527" s="38" t="s">
        <v>1213</v>
      </c>
      <c r="C527" s="34">
        <v>1</v>
      </c>
      <c r="D527" s="34">
        <v>30000</v>
      </c>
      <c r="E527" s="37">
        <v>43214</v>
      </c>
      <c r="F527" s="34">
        <v>0</v>
      </c>
      <c r="G527" s="35">
        <v>44054</v>
      </c>
      <c r="H527" s="34">
        <v>0</v>
      </c>
      <c r="I527" s="34">
        <v>0</v>
      </c>
      <c r="J527" s="39">
        <v>0</v>
      </c>
      <c r="K527" s="34"/>
      <c r="L527" s="40">
        <f t="shared" si="49"/>
        <v>841</v>
      </c>
      <c r="M527" s="34">
        <f t="shared" si="50"/>
        <v>30000</v>
      </c>
      <c r="N527" s="34">
        <f t="shared" si="51"/>
        <v>0</v>
      </c>
      <c r="O527" s="36">
        <f t="shared" si="52"/>
        <v>0</v>
      </c>
      <c r="P527" s="41"/>
      <c r="Q527" s="70">
        <f t="shared" si="53"/>
        <v>0</v>
      </c>
    </row>
    <row r="528" spans="1:17" x14ac:dyDescent="0.4">
      <c r="B528" s="38" t="s">
        <v>1213</v>
      </c>
      <c r="C528" s="34">
        <v>1</v>
      </c>
      <c r="D528" s="34">
        <v>30000</v>
      </c>
      <c r="E528" s="37">
        <v>43244</v>
      </c>
      <c r="F528" s="34">
        <v>0</v>
      </c>
      <c r="G528" s="35">
        <v>44054</v>
      </c>
      <c r="H528" s="34">
        <v>0</v>
      </c>
      <c r="I528" s="34">
        <v>0</v>
      </c>
      <c r="J528" s="39">
        <v>0</v>
      </c>
      <c r="K528" s="34"/>
      <c r="L528" s="40">
        <f t="shared" si="49"/>
        <v>811</v>
      </c>
      <c r="M528" s="34">
        <f t="shared" si="50"/>
        <v>30000</v>
      </c>
      <c r="N528" s="34">
        <f t="shared" si="51"/>
        <v>0</v>
      </c>
      <c r="O528" s="36">
        <f t="shared" si="52"/>
        <v>0</v>
      </c>
      <c r="P528" s="41"/>
      <c r="Q528" s="70">
        <f t="shared" si="53"/>
        <v>0</v>
      </c>
    </row>
    <row r="529" spans="2:17" x14ac:dyDescent="0.4">
      <c r="B529" s="38" t="s">
        <v>1213</v>
      </c>
      <c r="C529" s="34">
        <v>1</v>
      </c>
      <c r="D529" s="34">
        <v>30000</v>
      </c>
      <c r="E529" s="37">
        <v>43276</v>
      </c>
      <c r="F529" s="34">
        <v>0</v>
      </c>
      <c r="G529" s="35">
        <v>44054</v>
      </c>
      <c r="H529" s="34">
        <v>0</v>
      </c>
      <c r="I529" s="34">
        <v>0</v>
      </c>
      <c r="J529" s="39">
        <v>0</v>
      </c>
      <c r="K529" s="34"/>
      <c r="L529" s="40">
        <f t="shared" si="49"/>
        <v>779</v>
      </c>
      <c r="M529" s="34">
        <f t="shared" si="50"/>
        <v>30000</v>
      </c>
      <c r="N529" s="34">
        <f t="shared" si="51"/>
        <v>0</v>
      </c>
      <c r="O529" s="36">
        <f t="shared" si="52"/>
        <v>0</v>
      </c>
      <c r="P529" s="41"/>
      <c r="Q529" s="70">
        <f t="shared" si="53"/>
        <v>0</v>
      </c>
    </row>
    <row r="530" spans="2:17" x14ac:dyDescent="0.4">
      <c r="B530" s="38" t="s">
        <v>1213</v>
      </c>
      <c r="C530" s="34">
        <v>1</v>
      </c>
      <c r="D530" s="34">
        <v>50000</v>
      </c>
      <c r="E530" s="37">
        <v>43277</v>
      </c>
      <c r="F530" s="34">
        <v>0</v>
      </c>
      <c r="G530" s="35">
        <v>44054</v>
      </c>
      <c r="H530" s="34">
        <v>0</v>
      </c>
      <c r="I530" s="34">
        <v>0</v>
      </c>
      <c r="J530" s="39">
        <v>0</v>
      </c>
      <c r="K530" s="34"/>
      <c r="L530" s="40">
        <f t="shared" si="49"/>
        <v>778</v>
      </c>
      <c r="M530" s="34">
        <f t="shared" si="50"/>
        <v>50000</v>
      </c>
      <c r="N530" s="34">
        <f t="shared" si="51"/>
        <v>0</v>
      </c>
      <c r="O530" s="36">
        <f t="shared" si="52"/>
        <v>0</v>
      </c>
      <c r="P530" s="41"/>
      <c r="Q530" s="70">
        <f t="shared" si="53"/>
        <v>0</v>
      </c>
    </row>
    <row r="531" spans="2:17" x14ac:dyDescent="0.4">
      <c r="B531" s="38" t="s">
        <v>1213</v>
      </c>
      <c r="C531" s="34">
        <v>1</v>
      </c>
      <c r="D531" s="34">
        <v>30000</v>
      </c>
      <c r="E531" s="37">
        <v>43335</v>
      </c>
      <c r="F531" s="34">
        <v>0</v>
      </c>
      <c r="G531" s="35">
        <v>44054</v>
      </c>
      <c r="H531" s="34">
        <v>0</v>
      </c>
      <c r="I531" s="34">
        <v>0</v>
      </c>
      <c r="J531" s="39">
        <v>0</v>
      </c>
      <c r="K531" s="34"/>
      <c r="L531" s="40">
        <f t="shared" si="49"/>
        <v>720</v>
      </c>
      <c r="M531" s="34">
        <f t="shared" si="50"/>
        <v>30000</v>
      </c>
      <c r="N531" s="34">
        <f t="shared" si="51"/>
        <v>0</v>
      </c>
      <c r="O531" s="36">
        <f t="shared" si="52"/>
        <v>0</v>
      </c>
      <c r="P531" s="41"/>
      <c r="Q531" s="70">
        <f t="shared" si="53"/>
        <v>0</v>
      </c>
    </row>
    <row r="532" spans="2:17" x14ac:dyDescent="0.4">
      <c r="B532" s="38" t="s">
        <v>1213</v>
      </c>
      <c r="C532" s="34">
        <v>1</v>
      </c>
      <c r="D532" s="34">
        <v>30000</v>
      </c>
      <c r="E532" s="37">
        <v>43371</v>
      </c>
      <c r="F532" s="34">
        <v>0</v>
      </c>
      <c r="G532" s="35">
        <v>44054</v>
      </c>
      <c r="H532" s="34">
        <v>0</v>
      </c>
      <c r="I532" s="34">
        <v>0</v>
      </c>
      <c r="J532" s="39">
        <v>0</v>
      </c>
      <c r="K532" s="34"/>
      <c r="L532" s="40">
        <f t="shared" si="49"/>
        <v>684</v>
      </c>
      <c r="M532" s="34">
        <f t="shared" si="50"/>
        <v>30000</v>
      </c>
      <c r="N532" s="34">
        <f t="shared" si="51"/>
        <v>0</v>
      </c>
      <c r="O532" s="36">
        <f t="shared" si="52"/>
        <v>0</v>
      </c>
      <c r="P532" s="41"/>
      <c r="Q532" s="70">
        <f t="shared" si="53"/>
        <v>0</v>
      </c>
    </row>
    <row r="533" spans="2:17" x14ac:dyDescent="0.4">
      <c r="B533" s="38" t="s">
        <v>1213</v>
      </c>
      <c r="C533" s="34">
        <v>1</v>
      </c>
      <c r="D533" s="34">
        <v>30000</v>
      </c>
      <c r="E533" s="37">
        <v>43396</v>
      </c>
      <c r="F533" s="34">
        <v>0</v>
      </c>
      <c r="G533" s="35">
        <v>44054</v>
      </c>
      <c r="H533" s="34">
        <v>0</v>
      </c>
      <c r="I533" s="34">
        <v>0</v>
      </c>
      <c r="J533" s="39">
        <v>0</v>
      </c>
      <c r="K533" s="34"/>
      <c r="L533" s="40">
        <f t="shared" si="49"/>
        <v>659</v>
      </c>
      <c r="M533" s="34">
        <f t="shared" si="50"/>
        <v>30000</v>
      </c>
      <c r="N533" s="34">
        <f t="shared" si="51"/>
        <v>0</v>
      </c>
      <c r="O533" s="36">
        <f t="shared" si="52"/>
        <v>0</v>
      </c>
      <c r="P533" s="41"/>
      <c r="Q533" s="70">
        <f t="shared" si="53"/>
        <v>0</v>
      </c>
    </row>
    <row r="534" spans="2:17" x14ac:dyDescent="0.4">
      <c r="B534" s="38" t="s">
        <v>1213</v>
      </c>
      <c r="C534" s="34">
        <v>1</v>
      </c>
      <c r="D534" s="34">
        <v>30000</v>
      </c>
      <c r="E534" s="37">
        <v>43427</v>
      </c>
      <c r="F534" s="34">
        <v>0</v>
      </c>
      <c r="G534" s="35">
        <v>44054</v>
      </c>
      <c r="H534" s="34">
        <v>0</v>
      </c>
      <c r="I534" s="34">
        <v>0</v>
      </c>
      <c r="J534" s="39">
        <v>0</v>
      </c>
      <c r="K534" s="34"/>
      <c r="L534" s="40">
        <f t="shared" si="49"/>
        <v>628</v>
      </c>
      <c r="M534" s="34">
        <f t="shared" si="50"/>
        <v>30000</v>
      </c>
      <c r="N534" s="34">
        <f t="shared" si="51"/>
        <v>0</v>
      </c>
      <c r="O534" s="36">
        <f t="shared" si="52"/>
        <v>0</v>
      </c>
      <c r="P534" s="41"/>
      <c r="Q534" s="70">
        <f t="shared" si="53"/>
        <v>0</v>
      </c>
    </row>
    <row r="535" spans="2:17" x14ac:dyDescent="0.4">
      <c r="B535" s="38" t="s">
        <v>1213</v>
      </c>
      <c r="C535" s="34">
        <v>1</v>
      </c>
      <c r="D535" s="34">
        <v>30000</v>
      </c>
      <c r="E535" s="37">
        <v>43460</v>
      </c>
      <c r="F535" s="34">
        <v>0</v>
      </c>
      <c r="G535" s="35">
        <v>44054</v>
      </c>
      <c r="H535" s="34">
        <v>0</v>
      </c>
      <c r="I535" s="34">
        <v>0</v>
      </c>
      <c r="J535" s="39">
        <v>0</v>
      </c>
      <c r="K535" s="34"/>
      <c r="L535" s="40">
        <f t="shared" si="49"/>
        <v>595</v>
      </c>
      <c r="M535" s="34">
        <f t="shared" si="50"/>
        <v>30000</v>
      </c>
      <c r="N535" s="34">
        <f t="shared" si="51"/>
        <v>0</v>
      </c>
      <c r="O535" s="36">
        <f t="shared" si="52"/>
        <v>0</v>
      </c>
      <c r="P535" s="41"/>
      <c r="Q535" s="70">
        <f t="shared" si="53"/>
        <v>0</v>
      </c>
    </row>
    <row r="536" spans="2:17" x14ac:dyDescent="0.4">
      <c r="B536" s="38" t="s">
        <v>1213</v>
      </c>
      <c r="C536" s="34">
        <v>1</v>
      </c>
      <c r="D536" s="34">
        <v>30000</v>
      </c>
      <c r="E536" s="37">
        <v>43488</v>
      </c>
      <c r="F536" s="34">
        <v>0</v>
      </c>
      <c r="G536" s="35">
        <v>44054</v>
      </c>
      <c r="H536" s="34">
        <v>0</v>
      </c>
      <c r="I536" s="34">
        <v>0</v>
      </c>
      <c r="J536" s="39">
        <v>0</v>
      </c>
      <c r="K536" s="34"/>
      <c r="L536" s="40">
        <f t="shared" si="49"/>
        <v>567</v>
      </c>
      <c r="M536" s="34">
        <f t="shared" si="50"/>
        <v>30000</v>
      </c>
      <c r="N536" s="34">
        <f t="shared" si="51"/>
        <v>0</v>
      </c>
      <c r="O536" s="36">
        <f t="shared" si="52"/>
        <v>0</v>
      </c>
      <c r="P536" s="41"/>
      <c r="Q536" s="70">
        <f t="shared" si="53"/>
        <v>0</v>
      </c>
    </row>
    <row r="537" spans="2:17" x14ac:dyDescent="0.4">
      <c r="B537" s="38" t="s">
        <v>1213</v>
      </c>
      <c r="C537" s="34">
        <v>1</v>
      </c>
      <c r="D537" s="34">
        <v>30000</v>
      </c>
      <c r="E537" s="37">
        <v>43521</v>
      </c>
      <c r="F537" s="34">
        <v>0</v>
      </c>
      <c r="G537" s="35">
        <v>44054</v>
      </c>
      <c r="H537" s="34">
        <v>0</v>
      </c>
      <c r="I537" s="34">
        <v>0</v>
      </c>
      <c r="J537" s="39">
        <v>0</v>
      </c>
      <c r="K537" s="34"/>
      <c r="L537" s="40">
        <f t="shared" si="49"/>
        <v>534</v>
      </c>
      <c r="M537" s="34">
        <f t="shared" si="50"/>
        <v>30000</v>
      </c>
      <c r="N537" s="34">
        <f t="shared" si="51"/>
        <v>0</v>
      </c>
      <c r="O537" s="36">
        <f t="shared" si="52"/>
        <v>0</v>
      </c>
      <c r="P537" s="41"/>
      <c r="Q537" s="70">
        <f t="shared" si="53"/>
        <v>0</v>
      </c>
    </row>
    <row r="538" spans="2:17" x14ac:dyDescent="0.4">
      <c r="B538" s="38" t="s">
        <v>1213</v>
      </c>
      <c r="C538" s="34">
        <v>1</v>
      </c>
      <c r="D538" s="34">
        <v>30000</v>
      </c>
      <c r="E538" s="37">
        <v>43549</v>
      </c>
      <c r="F538" s="34">
        <v>0</v>
      </c>
      <c r="G538" s="35">
        <v>44054</v>
      </c>
      <c r="H538" s="34">
        <v>0</v>
      </c>
      <c r="I538" s="34">
        <v>0</v>
      </c>
      <c r="J538" s="39">
        <v>0</v>
      </c>
      <c r="K538" s="34"/>
      <c r="L538" s="40">
        <f t="shared" si="49"/>
        <v>506</v>
      </c>
      <c r="M538" s="34">
        <f t="shared" si="50"/>
        <v>30000</v>
      </c>
      <c r="N538" s="34">
        <f t="shared" si="51"/>
        <v>0</v>
      </c>
      <c r="O538" s="36">
        <f t="shared" si="52"/>
        <v>0</v>
      </c>
      <c r="P538" s="41"/>
      <c r="Q538" s="70">
        <f t="shared" si="53"/>
        <v>0</v>
      </c>
    </row>
    <row r="539" spans="2:17" x14ac:dyDescent="0.4">
      <c r="B539" s="38" t="s">
        <v>1213</v>
      </c>
      <c r="C539" s="34">
        <v>1</v>
      </c>
      <c r="D539" s="34">
        <v>30000</v>
      </c>
      <c r="E539" s="37">
        <v>43578</v>
      </c>
      <c r="F539" s="34">
        <v>0</v>
      </c>
      <c r="G539" s="35">
        <v>44054</v>
      </c>
      <c r="H539" s="34">
        <v>0</v>
      </c>
      <c r="I539" s="34">
        <v>0</v>
      </c>
      <c r="J539" s="39">
        <v>0</v>
      </c>
      <c r="K539" s="34"/>
      <c r="L539" s="40">
        <f t="shared" si="49"/>
        <v>477</v>
      </c>
      <c r="M539" s="34">
        <f t="shared" si="50"/>
        <v>30000</v>
      </c>
      <c r="N539" s="34">
        <f t="shared" si="51"/>
        <v>0</v>
      </c>
      <c r="O539" s="36">
        <f t="shared" si="52"/>
        <v>0</v>
      </c>
      <c r="P539" s="41"/>
      <c r="Q539" s="70">
        <f t="shared" si="53"/>
        <v>0</v>
      </c>
    </row>
    <row r="540" spans="2:17" x14ac:dyDescent="0.4">
      <c r="B540" s="38" t="s">
        <v>1213</v>
      </c>
      <c r="C540" s="34">
        <v>1</v>
      </c>
      <c r="D540" s="34">
        <v>30000</v>
      </c>
      <c r="E540" s="37">
        <v>43608</v>
      </c>
      <c r="F540" s="34">
        <v>0</v>
      </c>
      <c r="G540" s="35">
        <v>44054</v>
      </c>
      <c r="H540" s="34">
        <v>0</v>
      </c>
      <c r="I540" s="34">
        <v>0</v>
      </c>
      <c r="J540" s="39">
        <v>0</v>
      </c>
      <c r="K540" s="34"/>
      <c r="L540" s="40">
        <f t="shared" si="49"/>
        <v>447</v>
      </c>
      <c r="M540" s="34">
        <f t="shared" si="50"/>
        <v>30000</v>
      </c>
      <c r="N540" s="34">
        <f t="shared" si="51"/>
        <v>0</v>
      </c>
      <c r="O540" s="36">
        <f t="shared" si="52"/>
        <v>0</v>
      </c>
      <c r="P540" s="41"/>
      <c r="Q540" s="70">
        <f t="shared" si="53"/>
        <v>0</v>
      </c>
    </row>
    <row r="541" spans="2:17" x14ac:dyDescent="0.4">
      <c r="B541" s="38" t="s">
        <v>1213</v>
      </c>
      <c r="C541" s="34">
        <v>1</v>
      </c>
      <c r="D541" s="34">
        <v>30000</v>
      </c>
      <c r="E541" s="37">
        <v>43641</v>
      </c>
      <c r="F541" s="34">
        <v>0</v>
      </c>
      <c r="G541" s="35">
        <v>44054</v>
      </c>
      <c r="H541" s="34">
        <v>0</v>
      </c>
      <c r="I541" s="34">
        <v>0</v>
      </c>
      <c r="J541" s="39">
        <v>0</v>
      </c>
      <c r="K541" s="34"/>
      <c r="L541" s="40">
        <f t="shared" si="49"/>
        <v>414</v>
      </c>
      <c r="M541" s="34">
        <f t="shared" si="50"/>
        <v>30000</v>
      </c>
      <c r="N541" s="34">
        <f t="shared" si="51"/>
        <v>0</v>
      </c>
      <c r="O541" s="36">
        <f t="shared" si="52"/>
        <v>0</v>
      </c>
      <c r="P541" s="41"/>
      <c r="Q541" s="70">
        <f t="shared" si="53"/>
        <v>0</v>
      </c>
    </row>
    <row r="542" spans="2:17" x14ac:dyDescent="0.4">
      <c r="B542" s="38" t="s">
        <v>1213</v>
      </c>
      <c r="C542" s="34">
        <v>1</v>
      </c>
      <c r="D542" s="34">
        <v>30000</v>
      </c>
      <c r="E542" s="37">
        <v>43669</v>
      </c>
      <c r="F542" s="34">
        <v>0</v>
      </c>
      <c r="G542" s="35">
        <v>44054</v>
      </c>
      <c r="H542" s="34">
        <v>0</v>
      </c>
      <c r="I542" s="34">
        <v>0</v>
      </c>
      <c r="J542" s="39">
        <v>0</v>
      </c>
      <c r="K542" s="34"/>
      <c r="L542" s="40">
        <f t="shared" si="49"/>
        <v>386</v>
      </c>
      <c r="M542" s="34">
        <f t="shared" si="50"/>
        <v>30000</v>
      </c>
      <c r="N542" s="34">
        <f t="shared" si="51"/>
        <v>0</v>
      </c>
      <c r="O542" s="36">
        <f t="shared" si="52"/>
        <v>0</v>
      </c>
      <c r="P542" s="41"/>
      <c r="Q542" s="70">
        <f t="shared" si="53"/>
        <v>0</v>
      </c>
    </row>
    <row r="543" spans="2:17" x14ac:dyDescent="0.4">
      <c r="B543" s="38" t="s">
        <v>1213</v>
      </c>
      <c r="C543" s="34">
        <v>1</v>
      </c>
      <c r="D543" s="34">
        <v>30000</v>
      </c>
      <c r="E543" s="37">
        <v>43700</v>
      </c>
      <c r="F543" s="34">
        <v>0</v>
      </c>
      <c r="G543" s="35">
        <v>44054</v>
      </c>
      <c r="H543" s="34">
        <v>0</v>
      </c>
      <c r="I543" s="34">
        <v>0</v>
      </c>
      <c r="J543" s="39">
        <v>0</v>
      </c>
      <c r="K543" s="34"/>
      <c r="L543" s="40">
        <f t="shared" si="49"/>
        <v>355</v>
      </c>
      <c r="M543" s="34">
        <f t="shared" si="50"/>
        <v>30000</v>
      </c>
      <c r="N543" s="34">
        <f t="shared" si="51"/>
        <v>0</v>
      </c>
      <c r="O543" s="36">
        <f t="shared" si="52"/>
        <v>0</v>
      </c>
      <c r="P543" s="41"/>
      <c r="Q543" s="70">
        <f t="shared" si="53"/>
        <v>0</v>
      </c>
    </row>
    <row r="544" spans="2:17" x14ac:dyDescent="0.4">
      <c r="B544" s="38" t="s">
        <v>1213</v>
      </c>
      <c r="C544" s="34">
        <v>1</v>
      </c>
      <c r="D544" s="34">
        <v>30000</v>
      </c>
      <c r="E544" s="37">
        <v>43732</v>
      </c>
      <c r="F544" s="34">
        <v>0</v>
      </c>
      <c r="G544" s="35">
        <v>44054</v>
      </c>
      <c r="H544" s="34">
        <v>0</v>
      </c>
      <c r="I544" s="34">
        <v>0</v>
      </c>
      <c r="J544" s="39">
        <v>0</v>
      </c>
      <c r="K544" s="34"/>
      <c r="L544" s="40">
        <f t="shared" si="49"/>
        <v>323</v>
      </c>
      <c r="M544" s="34">
        <f t="shared" si="50"/>
        <v>30000</v>
      </c>
      <c r="N544" s="34">
        <f t="shared" si="51"/>
        <v>0</v>
      </c>
      <c r="O544" s="36">
        <f t="shared" si="52"/>
        <v>0</v>
      </c>
      <c r="P544" s="41"/>
      <c r="Q544" s="70">
        <f t="shared" si="53"/>
        <v>0</v>
      </c>
    </row>
    <row r="545" spans="2:17" x14ac:dyDescent="0.4">
      <c r="B545" s="38" t="s">
        <v>1213</v>
      </c>
      <c r="C545" s="34">
        <v>1</v>
      </c>
      <c r="D545" s="34">
        <v>30000</v>
      </c>
      <c r="E545" s="37">
        <v>43761</v>
      </c>
      <c r="F545" s="34">
        <v>0</v>
      </c>
      <c r="G545" s="35">
        <v>44054</v>
      </c>
      <c r="H545" s="34">
        <v>0</v>
      </c>
      <c r="I545" s="34">
        <v>0</v>
      </c>
      <c r="J545" s="39">
        <v>0</v>
      </c>
      <c r="K545" s="34"/>
      <c r="L545" s="40">
        <f t="shared" si="49"/>
        <v>294</v>
      </c>
      <c r="M545" s="34">
        <f t="shared" si="50"/>
        <v>30000</v>
      </c>
      <c r="N545" s="34">
        <f t="shared" si="51"/>
        <v>0</v>
      </c>
      <c r="O545" s="36">
        <f t="shared" si="52"/>
        <v>0</v>
      </c>
      <c r="P545" s="41"/>
      <c r="Q545" s="70">
        <f t="shared" si="53"/>
        <v>0</v>
      </c>
    </row>
    <row r="546" spans="2:17" x14ac:dyDescent="0.4">
      <c r="B546" s="38" t="s">
        <v>1213</v>
      </c>
      <c r="C546" s="34">
        <v>1</v>
      </c>
      <c r="D546" s="34">
        <v>30000</v>
      </c>
      <c r="E546" s="37">
        <v>43794</v>
      </c>
      <c r="F546" s="34">
        <v>0</v>
      </c>
      <c r="G546" s="35">
        <v>44054</v>
      </c>
      <c r="H546" s="34">
        <v>0</v>
      </c>
      <c r="I546" s="34">
        <v>0</v>
      </c>
      <c r="J546" s="39">
        <v>0</v>
      </c>
      <c r="K546" s="34"/>
      <c r="L546" s="40">
        <f t="shared" si="49"/>
        <v>261</v>
      </c>
      <c r="M546" s="34">
        <f t="shared" si="50"/>
        <v>30000</v>
      </c>
      <c r="N546" s="34">
        <f t="shared" si="51"/>
        <v>0</v>
      </c>
      <c r="O546" s="36">
        <f t="shared" si="52"/>
        <v>0</v>
      </c>
      <c r="P546" s="41"/>
      <c r="Q546" s="70">
        <f t="shared" si="53"/>
        <v>0</v>
      </c>
    </row>
    <row r="547" spans="2:17" x14ac:dyDescent="0.4">
      <c r="B547" s="38" t="s">
        <v>1213</v>
      </c>
      <c r="C547" s="34">
        <v>1</v>
      </c>
      <c r="D547" s="34">
        <v>0</v>
      </c>
      <c r="E547" s="37">
        <v>43811</v>
      </c>
      <c r="F547" s="34">
        <v>0</v>
      </c>
      <c r="G547" s="35">
        <v>44054</v>
      </c>
      <c r="H547" s="34">
        <v>0</v>
      </c>
      <c r="I547" s="34">
        <v>0</v>
      </c>
      <c r="J547" s="39">
        <v>0</v>
      </c>
      <c r="K547" s="34"/>
      <c r="L547" s="40">
        <f t="shared" si="49"/>
        <v>244</v>
      </c>
      <c r="M547" s="34">
        <f t="shared" si="50"/>
        <v>0</v>
      </c>
      <c r="N547" s="34">
        <f t="shared" si="51"/>
        <v>0</v>
      </c>
      <c r="O547" s="36">
        <f t="shared" si="52"/>
        <v>0</v>
      </c>
      <c r="P547" s="41"/>
      <c r="Q547" s="70" t="e">
        <f t="shared" si="53"/>
        <v>#DIV/0!</v>
      </c>
    </row>
    <row r="548" spans="2:17" x14ac:dyDescent="0.4">
      <c r="B548" s="38" t="s">
        <v>1213</v>
      </c>
      <c r="C548" s="34">
        <v>1</v>
      </c>
      <c r="D548" s="34">
        <v>30000</v>
      </c>
      <c r="E548" s="37">
        <v>43823</v>
      </c>
      <c r="F548" s="34">
        <v>0</v>
      </c>
      <c r="G548" s="35">
        <v>44054</v>
      </c>
      <c r="H548" s="34">
        <v>0</v>
      </c>
      <c r="I548" s="34">
        <v>0</v>
      </c>
      <c r="J548" s="39">
        <v>0</v>
      </c>
      <c r="K548" s="34"/>
      <c r="L548" s="40">
        <f t="shared" si="49"/>
        <v>232</v>
      </c>
      <c r="M548" s="34">
        <f t="shared" si="50"/>
        <v>30000</v>
      </c>
      <c r="N548" s="34">
        <f t="shared" si="51"/>
        <v>0</v>
      </c>
      <c r="O548" s="36">
        <f t="shared" si="52"/>
        <v>0</v>
      </c>
      <c r="P548" s="41"/>
      <c r="Q548" s="70">
        <f t="shared" si="53"/>
        <v>0</v>
      </c>
    </row>
    <row r="549" spans="2:17" x14ac:dyDescent="0.4">
      <c r="B549" s="38" t="s">
        <v>1213</v>
      </c>
      <c r="C549" s="34">
        <v>1</v>
      </c>
      <c r="D549" s="34">
        <v>30000</v>
      </c>
      <c r="E549" s="37">
        <v>43853</v>
      </c>
      <c r="F549" s="34">
        <v>0</v>
      </c>
      <c r="G549" s="35">
        <v>44054</v>
      </c>
      <c r="H549" s="34">
        <v>0</v>
      </c>
      <c r="I549" s="34">
        <v>0</v>
      </c>
      <c r="J549" s="39">
        <v>0</v>
      </c>
      <c r="K549" s="34"/>
      <c r="L549" s="40">
        <f t="shared" si="49"/>
        <v>202</v>
      </c>
      <c r="M549" s="34">
        <f t="shared" si="50"/>
        <v>30000</v>
      </c>
      <c r="N549" s="34">
        <f t="shared" si="51"/>
        <v>0</v>
      </c>
      <c r="O549" s="36">
        <f t="shared" si="52"/>
        <v>0</v>
      </c>
      <c r="P549" s="41"/>
      <c r="Q549" s="70">
        <f t="shared" si="53"/>
        <v>0</v>
      </c>
    </row>
    <row r="550" spans="2:17" x14ac:dyDescent="0.4">
      <c r="B550" s="38" t="s">
        <v>1213</v>
      </c>
      <c r="C550" s="34">
        <v>1</v>
      </c>
      <c r="D550" s="34">
        <v>30000</v>
      </c>
      <c r="E550" s="37">
        <v>43886</v>
      </c>
      <c r="F550" s="34">
        <v>0</v>
      </c>
      <c r="G550" s="35">
        <v>44054</v>
      </c>
      <c r="H550" s="34">
        <v>0</v>
      </c>
      <c r="I550" s="34">
        <v>0</v>
      </c>
      <c r="J550" s="39">
        <v>0</v>
      </c>
      <c r="K550" s="34"/>
      <c r="L550" s="40">
        <f t="shared" si="49"/>
        <v>169</v>
      </c>
      <c r="M550" s="34">
        <f t="shared" si="50"/>
        <v>30000</v>
      </c>
      <c r="N550" s="34">
        <f t="shared" si="51"/>
        <v>0</v>
      </c>
      <c r="O550" s="36">
        <f t="shared" si="52"/>
        <v>0</v>
      </c>
      <c r="P550" s="41"/>
      <c r="Q550" s="70">
        <f t="shared" si="53"/>
        <v>0</v>
      </c>
    </row>
    <row r="551" spans="2:17" x14ac:dyDescent="0.4">
      <c r="B551" s="38" t="s">
        <v>1213</v>
      </c>
      <c r="C551" s="34">
        <v>1</v>
      </c>
      <c r="D551" s="34">
        <v>30000</v>
      </c>
      <c r="E551" s="37">
        <v>43914</v>
      </c>
      <c r="F551" s="34">
        <v>740958</v>
      </c>
      <c r="G551" s="35">
        <v>44054</v>
      </c>
      <c r="H551" s="34">
        <v>0</v>
      </c>
      <c r="I551" s="34">
        <v>0</v>
      </c>
      <c r="J551" s="39">
        <v>0</v>
      </c>
      <c r="K551" s="34"/>
      <c r="L551" s="40">
        <f t="shared" si="49"/>
        <v>141</v>
      </c>
      <c r="M551" s="34">
        <f t="shared" si="50"/>
        <v>30000</v>
      </c>
      <c r="N551" s="34">
        <f t="shared" si="51"/>
        <v>740958</v>
      </c>
      <c r="O551" s="36">
        <f t="shared" si="52"/>
        <v>0</v>
      </c>
      <c r="P551" s="41">
        <f>N551-SUM(M526:M551)</f>
        <v>-99042</v>
      </c>
      <c r="Q551" s="70">
        <f t="shared" si="53"/>
        <v>-3.3014000000000001</v>
      </c>
    </row>
    <row r="552" spans="2:17" x14ac:dyDescent="0.4">
      <c r="B552" s="38" t="s">
        <v>1214</v>
      </c>
      <c r="C552" s="34">
        <v>1</v>
      </c>
      <c r="D552" s="34">
        <v>200000</v>
      </c>
      <c r="E552" s="37">
        <v>42348</v>
      </c>
      <c r="F552" s="34">
        <v>0</v>
      </c>
      <c r="G552" s="35">
        <v>44046</v>
      </c>
      <c r="H552" s="34">
        <v>0</v>
      </c>
      <c r="I552" s="34">
        <v>0</v>
      </c>
      <c r="J552" s="39">
        <v>0</v>
      </c>
      <c r="K552" s="34"/>
      <c r="L552" s="40">
        <f t="shared" si="49"/>
        <v>1699</v>
      </c>
      <c r="M552" s="34">
        <f t="shared" si="50"/>
        <v>200000</v>
      </c>
      <c r="N552" s="34">
        <f t="shared" si="51"/>
        <v>0</v>
      </c>
      <c r="O552" s="36">
        <f t="shared" si="52"/>
        <v>0</v>
      </c>
      <c r="P552" s="41"/>
      <c r="Q552" s="70">
        <f t="shared" si="53"/>
        <v>0</v>
      </c>
    </row>
    <row r="553" spans="2:17" x14ac:dyDescent="0.4">
      <c r="B553" s="38" t="s">
        <v>1214</v>
      </c>
      <c r="C553" s="34">
        <v>1</v>
      </c>
      <c r="D553" s="34">
        <v>20000</v>
      </c>
      <c r="E553" s="37">
        <v>43185</v>
      </c>
      <c r="F553" s="34">
        <v>0</v>
      </c>
      <c r="G553" s="35">
        <v>44046</v>
      </c>
      <c r="H553" s="34">
        <v>0</v>
      </c>
      <c r="I553" s="34">
        <v>0</v>
      </c>
      <c r="J553" s="39">
        <v>0</v>
      </c>
      <c r="K553" s="34"/>
      <c r="L553" s="40">
        <f t="shared" si="49"/>
        <v>862</v>
      </c>
      <c r="M553" s="34">
        <f t="shared" si="50"/>
        <v>20000</v>
      </c>
      <c r="N553" s="34">
        <f t="shared" si="51"/>
        <v>0</v>
      </c>
      <c r="O553" s="36">
        <f t="shared" si="52"/>
        <v>0</v>
      </c>
      <c r="P553" s="41"/>
      <c r="Q553" s="70">
        <f t="shared" si="53"/>
        <v>0</v>
      </c>
    </row>
    <row r="554" spans="2:17" x14ac:dyDescent="0.4">
      <c r="B554" s="38" t="s">
        <v>1214</v>
      </c>
      <c r="C554" s="34">
        <v>1</v>
      </c>
      <c r="D554" s="34">
        <v>20000</v>
      </c>
      <c r="E554" s="37">
        <v>43215</v>
      </c>
      <c r="F554" s="34">
        <v>0</v>
      </c>
      <c r="G554" s="35">
        <v>44046</v>
      </c>
      <c r="H554" s="34">
        <v>0</v>
      </c>
      <c r="I554" s="34">
        <v>0</v>
      </c>
      <c r="J554" s="39">
        <v>0</v>
      </c>
      <c r="K554" s="34"/>
      <c r="L554" s="40">
        <f t="shared" si="49"/>
        <v>832</v>
      </c>
      <c r="M554" s="34">
        <f t="shared" si="50"/>
        <v>20000</v>
      </c>
      <c r="N554" s="34">
        <f t="shared" si="51"/>
        <v>0</v>
      </c>
      <c r="O554" s="36">
        <f t="shared" si="52"/>
        <v>0</v>
      </c>
      <c r="P554" s="41"/>
      <c r="Q554" s="70">
        <f t="shared" si="53"/>
        <v>0</v>
      </c>
    </row>
    <row r="555" spans="2:17" x14ac:dyDescent="0.4">
      <c r="B555" s="38" t="s">
        <v>1214</v>
      </c>
      <c r="C555" s="34">
        <v>1</v>
      </c>
      <c r="D555" s="34">
        <v>20000</v>
      </c>
      <c r="E555" s="37">
        <v>43245</v>
      </c>
      <c r="F555" s="34">
        <v>0</v>
      </c>
      <c r="G555" s="35">
        <v>44046</v>
      </c>
      <c r="H555" s="34">
        <v>0</v>
      </c>
      <c r="I555" s="34">
        <v>0</v>
      </c>
      <c r="J555" s="39">
        <v>0</v>
      </c>
      <c r="K555" s="34"/>
      <c r="L555" s="40">
        <f t="shared" si="49"/>
        <v>802</v>
      </c>
      <c r="M555" s="34">
        <f t="shared" si="50"/>
        <v>20000</v>
      </c>
      <c r="N555" s="34">
        <f t="shared" si="51"/>
        <v>0</v>
      </c>
      <c r="O555" s="36">
        <f t="shared" si="52"/>
        <v>0</v>
      </c>
      <c r="P555" s="41"/>
      <c r="Q555" s="70">
        <f t="shared" si="53"/>
        <v>0</v>
      </c>
    </row>
    <row r="556" spans="2:17" x14ac:dyDescent="0.4">
      <c r="B556" s="38" t="s">
        <v>1214</v>
      </c>
      <c r="C556" s="34">
        <v>1</v>
      </c>
      <c r="D556" s="34">
        <v>0</v>
      </c>
      <c r="E556" s="37">
        <v>43255</v>
      </c>
      <c r="F556" s="34">
        <v>0</v>
      </c>
      <c r="G556" s="35">
        <v>44046</v>
      </c>
      <c r="H556" s="34">
        <v>0</v>
      </c>
      <c r="I556" s="34">
        <v>0</v>
      </c>
      <c r="J556" s="39">
        <v>0</v>
      </c>
      <c r="K556" s="34"/>
      <c r="L556" s="40">
        <f t="shared" si="49"/>
        <v>792</v>
      </c>
      <c r="M556" s="34">
        <f t="shared" si="50"/>
        <v>0</v>
      </c>
      <c r="N556" s="34">
        <f t="shared" si="51"/>
        <v>0</v>
      </c>
      <c r="O556" s="36">
        <f t="shared" si="52"/>
        <v>0</v>
      </c>
      <c r="P556" s="41"/>
      <c r="Q556" s="70" t="e">
        <f t="shared" si="53"/>
        <v>#DIV/0!</v>
      </c>
    </row>
    <row r="557" spans="2:17" x14ac:dyDescent="0.4">
      <c r="B557" s="38" t="s">
        <v>1214</v>
      </c>
      <c r="C557" s="34">
        <v>1</v>
      </c>
      <c r="D557" s="34">
        <v>20000</v>
      </c>
      <c r="E557" s="37">
        <v>43306</v>
      </c>
      <c r="F557" s="34">
        <v>0</v>
      </c>
      <c r="G557" s="35">
        <v>44046</v>
      </c>
      <c r="H557" s="34">
        <v>0</v>
      </c>
      <c r="I557" s="34">
        <v>0</v>
      </c>
      <c r="J557" s="39">
        <v>0</v>
      </c>
      <c r="K557" s="34"/>
      <c r="L557" s="40">
        <f t="shared" si="49"/>
        <v>741</v>
      </c>
      <c r="M557" s="34">
        <f t="shared" si="50"/>
        <v>20000</v>
      </c>
      <c r="N557" s="34">
        <f t="shared" si="51"/>
        <v>0</v>
      </c>
      <c r="O557" s="36">
        <f t="shared" si="52"/>
        <v>0</v>
      </c>
      <c r="P557" s="41"/>
      <c r="Q557" s="70">
        <f t="shared" si="53"/>
        <v>0</v>
      </c>
    </row>
    <row r="558" spans="2:17" x14ac:dyDescent="0.4">
      <c r="B558" s="38" t="s">
        <v>1214</v>
      </c>
      <c r="C558" s="34">
        <v>1</v>
      </c>
      <c r="D558" s="34">
        <v>20000</v>
      </c>
      <c r="E558" s="37">
        <v>43336</v>
      </c>
      <c r="F558" s="34">
        <v>0</v>
      </c>
      <c r="G558" s="35">
        <v>44046</v>
      </c>
      <c r="H558" s="34">
        <v>0</v>
      </c>
      <c r="I558" s="34">
        <v>0</v>
      </c>
      <c r="J558" s="39">
        <v>0</v>
      </c>
      <c r="K558" s="34"/>
      <c r="L558" s="40">
        <f t="shared" ref="L558:L589" si="54">G558-E558+1</f>
        <v>711</v>
      </c>
      <c r="M558" s="34">
        <f t="shared" ref="M558:M589" si="55">C558*D558</f>
        <v>20000</v>
      </c>
      <c r="N558" s="34">
        <f t="shared" ref="N558:N589" si="56">C558*F558</f>
        <v>0</v>
      </c>
      <c r="O558" s="36">
        <f t="shared" ref="O558:O589" si="57">K558-H558-I558-J558</f>
        <v>0</v>
      </c>
      <c r="P558" s="41"/>
      <c r="Q558" s="70">
        <f t="shared" ref="Q558:Q589" si="58">P558/M558</f>
        <v>0</v>
      </c>
    </row>
    <row r="559" spans="2:17" x14ac:dyDescent="0.4">
      <c r="B559" s="38" t="s">
        <v>1214</v>
      </c>
      <c r="C559" s="34">
        <v>1</v>
      </c>
      <c r="D559" s="34">
        <v>20000</v>
      </c>
      <c r="E559" s="37">
        <v>43374</v>
      </c>
      <c r="F559" s="34">
        <v>0</v>
      </c>
      <c r="G559" s="35">
        <v>44046</v>
      </c>
      <c r="H559" s="34">
        <v>0</v>
      </c>
      <c r="I559" s="34">
        <v>0</v>
      </c>
      <c r="J559" s="39">
        <v>0</v>
      </c>
      <c r="K559" s="34"/>
      <c r="L559" s="40">
        <f t="shared" si="54"/>
        <v>673</v>
      </c>
      <c r="M559" s="34">
        <f t="shared" si="55"/>
        <v>20000</v>
      </c>
      <c r="N559" s="34">
        <f t="shared" si="56"/>
        <v>0</v>
      </c>
      <c r="O559" s="36">
        <f t="shared" si="57"/>
        <v>0</v>
      </c>
      <c r="P559" s="41"/>
      <c r="Q559" s="70">
        <f t="shared" si="58"/>
        <v>0</v>
      </c>
    </row>
    <row r="560" spans="2:17" x14ac:dyDescent="0.4">
      <c r="B560" s="38" t="s">
        <v>1214</v>
      </c>
      <c r="C560" s="34">
        <v>1</v>
      </c>
      <c r="D560" s="34">
        <v>20000</v>
      </c>
      <c r="E560" s="37">
        <v>43397</v>
      </c>
      <c r="F560" s="34">
        <v>0</v>
      </c>
      <c r="G560" s="35">
        <v>44046</v>
      </c>
      <c r="H560" s="34">
        <v>0</v>
      </c>
      <c r="I560" s="34">
        <v>0</v>
      </c>
      <c r="J560" s="39">
        <v>0</v>
      </c>
      <c r="K560" s="34"/>
      <c r="L560" s="40">
        <f t="shared" si="54"/>
        <v>650</v>
      </c>
      <c r="M560" s="34">
        <f t="shared" si="55"/>
        <v>20000</v>
      </c>
      <c r="N560" s="34">
        <f t="shared" si="56"/>
        <v>0</v>
      </c>
      <c r="O560" s="36">
        <f t="shared" si="57"/>
        <v>0</v>
      </c>
      <c r="P560" s="41"/>
      <c r="Q560" s="70">
        <f t="shared" si="58"/>
        <v>0</v>
      </c>
    </row>
    <row r="561" spans="2:17" x14ac:dyDescent="0.4">
      <c r="B561" s="38" t="s">
        <v>1214</v>
      </c>
      <c r="C561" s="34">
        <v>1</v>
      </c>
      <c r="D561" s="34">
        <v>20000</v>
      </c>
      <c r="E561" s="37">
        <v>43430</v>
      </c>
      <c r="F561" s="34">
        <v>0</v>
      </c>
      <c r="G561" s="35">
        <v>44046</v>
      </c>
      <c r="H561" s="34">
        <v>0</v>
      </c>
      <c r="I561" s="34">
        <v>0</v>
      </c>
      <c r="J561" s="39">
        <v>0</v>
      </c>
      <c r="K561" s="34"/>
      <c r="L561" s="40">
        <f t="shared" si="54"/>
        <v>617</v>
      </c>
      <c r="M561" s="34">
        <f t="shared" si="55"/>
        <v>20000</v>
      </c>
      <c r="N561" s="34">
        <f t="shared" si="56"/>
        <v>0</v>
      </c>
      <c r="O561" s="36">
        <f t="shared" si="57"/>
        <v>0</v>
      </c>
      <c r="P561" s="41"/>
      <c r="Q561" s="70">
        <f t="shared" si="58"/>
        <v>0</v>
      </c>
    </row>
    <row r="562" spans="2:17" x14ac:dyDescent="0.4">
      <c r="B562" s="38" t="s">
        <v>1214</v>
      </c>
      <c r="C562" s="34">
        <v>1</v>
      </c>
      <c r="D562" s="34">
        <v>20000</v>
      </c>
      <c r="E562" s="37">
        <v>43461</v>
      </c>
      <c r="F562" s="34">
        <v>0</v>
      </c>
      <c r="G562" s="35">
        <v>44046</v>
      </c>
      <c r="H562" s="34">
        <v>0</v>
      </c>
      <c r="I562" s="34">
        <v>0</v>
      </c>
      <c r="J562" s="39">
        <v>0</v>
      </c>
      <c r="K562" s="34"/>
      <c r="L562" s="40">
        <f t="shared" si="54"/>
        <v>586</v>
      </c>
      <c r="M562" s="34">
        <f t="shared" si="55"/>
        <v>20000</v>
      </c>
      <c r="N562" s="34">
        <f t="shared" si="56"/>
        <v>0</v>
      </c>
      <c r="O562" s="36">
        <f t="shared" si="57"/>
        <v>0</v>
      </c>
      <c r="P562" s="41"/>
      <c r="Q562" s="70">
        <f t="shared" si="58"/>
        <v>0</v>
      </c>
    </row>
    <row r="563" spans="2:17" x14ac:dyDescent="0.4">
      <c r="B563" s="38" t="s">
        <v>1214</v>
      </c>
      <c r="C563" s="34">
        <v>1</v>
      </c>
      <c r="D563" s="34">
        <v>20000</v>
      </c>
      <c r="E563" s="37">
        <v>43489</v>
      </c>
      <c r="F563" s="34">
        <v>0</v>
      </c>
      <c r="G563" s="35">
        <v>44046</v>
      </c>
      <c r="H563" s="34">
        <v>0</v>
      </c>
      <c r="I563" s="34">
        <v>0</v>
      </c>
      <c r="J563" s="39">
        <v>0</v>
      </c>
      <c r="K563" s="34"/>
      <c r="L563" s="40">
        <f t="shared" si="54"/>
        <v>558</v>
      </c>
      <c r="M563" s="34">
        <f t="shared" si="55"/>
        <v>20000</v>
      </c>
      <c r="N563" s="34">
        <f t="shared" si="56"/>
        <v>0</v>
      </c>
      <c r="O563" s="36">
        <f t="shared" si="57"/>
        <v>0</v>
      </c>
      <c r="P563" s="41"/>
      <c r="Q563" s="70">
        <f t="shared" si="58"/>
        <v>0</v>
      </c>
    </row>
    <row r="564" spans="2:17" x14ac:dyDescent="0.4">
      <c r="B564" s="38" t="s">
        <v>1214</v>
      </c>
      <c r="C564" s="34">
        <v>1</v>
      </c>
      <c r="D564" s="34">
        <v>20000</v>
      </c>
      <c r="E564" s="37">
        <v>43522</v>
      </c>
      <c r="F564" s="34">
        <v>0</v>
      </c>
      <c r="G564" s="35">
        <v>44046</v>
      </c>
      <c r="H564" s="34">
        <v>0</v>
      </c>
      <c r="I564" s="34">
        <v>0</v>
      </c>
      <c r="J564" s="39">
        <v>0</v>
      </c>
      <c r="K564" s="34"/>
      <c r="L564" s="40">
        <f t="shared" si="54"/>
        <v>525</v>
      </c>
      <c r="M564" s="34">
        <f t="shared" si="55"/>
        <v>20000</v>
      </c>
      <c r="N564" s="34">
        <f t="shared" si="56"/>
        <v>0</v>
      </c>
      <c r="O564" s="36">
        <f t="shared" si="57"/>
        <v>0</v>
      </c>
      <c r="P564" s="41"/>
      <c r="Q564" s="70">
        <f t="shared" si="58"/>
        <v>0</v>
      </c>
    </row>
    <row r="565" spans="2:17" x14ac:dyDescent="0.4">
      <c r="B565" s="38" t="s">
        <v>1214</v>
      </c>
      <c r="C565" s="34">
        <v>1</v>
      </c>
      <c r="D565" s="34">
        <v>20000</v>
      </c>
      <c r="E565" s="37">
        <v>43550</v>
      </c>
      <c r="F565" s="34">
        <v>0</v>
      </c>
      <c r="G565" s="35">
        <v>44046</v>
      </c>
      <c r="H565" s="34">
        <v>0</v>
      </c>
      <c r="I565" s="34">
        <v>0</v>
      </c>
      <c r="J565" s="39">
        <v>0</v>
      </c>
      <c r="K565" s="34"/>
      <c r="L565" s="40">
        <f t="shared" si="54"/>
        <v>497</v>
      </c>
      <c r="M565" s="34">
        <f t="shared" si="55"/>
        <v>20000</v>
      </c>
      <c r="N565" s="34">
        <f t="shared" si="56"/>
        <v>0</v>
      </c>
      <c r="O565" s="36">
        <f t="shared" si="57"/>
        <v>0</v>
      </c>
      <c r="P565" s="41"/>
      <c r="Q565" s="70">
        <f t="shared" si="58"/>
        <v>0</v>
      </c>
    </row>
    <row r="566" spans="2:17" x14ac:dyDescent="0.4">
      <c r="B566" s="38" t="s">
        <v>1214</v>
      </c>
      <c r="C566" s="34">
        <v>1</v>
      </c>
      <c r="D566" s="34">
        <v>20000</v>
      </c>
      <c r="E566" s="37">
        <v>43579</v>
      </c>
      <c r="F566" s="34">
        <v>0</v>
      </c>
      <c r="G566" s="35">
        <v>44046</v>
      </c>
      <c r="H566" s="34">
        <v>0</v>
      </c>
      <c r="I566" s="34">
        <v>0</v>
      </c>
      <c r="J566" s="39">
        <v>0</v>
      </c>
      <c r="K566" s="34"/>
      <c r="L566" s="40">
        <f t="shared" si="54"/>
        <v>468</v>
      </c>
      <c r="M566" s="34">
        <f t="shared" si="55"/>
        <v>20000</v>
      </c>
      <c r="N566" s="34">
        <f t="shared" si="56"/>
        <v>0</v>
      </c>
      <c r="O566" s="36">
        <f t="shared" si="57"/>
        <v>0</v>
      </c>
      <c r="P566" s="41"/>
      <c r="Q566" s="70">
        <f t="shared" si="58"/>
        <v>0</v>
      </c>
    </row>
    <row r="567" spans="2:17" x14ac:dyDescent="0.4">
      <c r="B567" s="38" t="s">
        <v>1214</v>
      </c>
      <c r="C567" s="34">
        <v>1</v>
      </c>
      <c r="D567" s="34">
        <v>20000</v>
      </c>
      <c r="E567" s="37">
        <v>43609</v>
      </c>
      <c r="F567" s="34">
        <v>0</v>
      </c>
      <c r="G567" s="35">
        <v>44046</v>
      </c>
      <c r="H567" s="34">
        <v>0</v>
      </c>
      <c r="I567" s="34">
        <v>0</v>
      </c>
      <c r="J567" s="39">
        <v>0</v>
      </c>
      <c r="K567" s="34"/>
      <c r="L567" s="40">
        <f t="shared" si="54"/>
        <v>438</v>
      </c>
      <c r="M567" s="34">
        <f t="shared" si="55"/>
        <v>20000</v>
      </c>
      <c r="N567" s="34">
        <f t="shared" si="56"/>
        <v>0</v>
      </c>
      <c r="O567" s="36">
        <f t="shared" si="57"/>
        <v>0</v>
      </c>
      <c r="P567" s="41"/>
      <c r="Q567" s="70">
        <f t="shared" si="58"/>
        <v>0</v>
      </c>
    </row>
    <row r="568" spans="2:17" x14ac:dyDescent="0.4">
      <c r="B568" s="38" t="s">
        <v>1214</v>
      </c>
      <c r="C568" s="34">
        <v>1</v>
      </c>
      <c r="D568" s="34">
        <v>20000</v>
      </c>
      <c r="E568" s="37">
        <v>43642</v>
      </c>
      <c r="F568" s="34">
        <v>0</v>
      </c>
      <c r="G568" s="35">
        <v>44046</v>
      </c>
      <c r="H568" s="34">
        <v>0</v>
      </c>
      <c r="I568" s="34">
        <v>0</v>
      </c>
      <c r="J568" s="39">
        <v>0</v>
      </c>
      <c r="K568" s="34"/>
      <c r="L568" s="40">
        <f t="shared" si="54"/>
        <v>405</v>
      </c>
      <c r="M568" s="34">
        <f t="shared" si="55"/>
        <v>20000</v>
      </c>
      <c r="N568" s="34">
        <f t="shared" si="56"/>
        <v>0</v>
      </c>
      <c r="O568" s="36">
        <f t="shared" si="57"/>
        <v>0</v>
      </c>
      <c r="P568" s="41"/>
      <c r="Q568" s="70">
        <f t="shared" si="58"/>
        <v>0</v>
      </c>
    </row>
    <row r="569" spans="2:17" x14ac:dyDescent="0.4">
      <c r="B569" s="38" t="s">
        <v>1214</v>
      </c>
      <c r="C569" s="34">
        <v>1</v>
      </c>
      <c r="D569" s="34">
        <v>20000</v>
      </c>
      <c r="E569" s="37">
        <v>43670</v>
      </c>
      <c r="F569" s="34">
        <v>0</v>
      </c>
      <c r="G569" s="35">
        <v>44046</v>
      </c>
      <c r="H569" s="34">
        <v>0</v>
      </c>
      <c r="I569" s="34">
        <v>0</v>
      </c>
      <c r="J569" s="39">
        <v>0</v>
      </c>
      <c r="K569" s="34"/>
      <c r="L569" s="40">
        <f t="shared" si="54"/>
        <v>377</v>
      </c>
      <c r="M569" s="34">
        <f t="shared" si="55"/>
        <v>20000</v>
      </c>
      <c r="N569" s="34">
        <f t="shared" si="56"/>
        <v>0</v>
      </c>
      <c r="O569" s="36">
        <f t="shared" si="57"/>
        <v>0</v>
      </c>
      <c r="P569" s="41"/>
      <c r="Q569" s="70">
        <f t="shared" si="58"/>
        <v>0</v>
      </c>
    </row>
    <row r="570" spans="2:17" x14ac:dyDescent="0.4">
      <c r="B570" s="38" t="s">
        <v>1214</v>
      </c>
      <c r="C570" s="34">
        <v>1</v>
      </c>
      <c r="D570" s="34">
        <v>20000</v>
      </c>
      <c r="E570" s="37">
        <v>43703</v>
      </c>
      <c r="F570" s="34">
        <v>0</v>
      </c>
      <c r="G570" s="35">
        <v>44046</v>
      </c>
      <c r="H570" s="34">
        <v>0</v>
      </c>
      <c r="I570" s="34">
        <v>0</v>
      </c>
      <c r="J570" s="39">
        <v>0</v>
      </c>
      <c r="K570" s="34"/>
      <c r="L570" s="40">
        <f t="shared" si="54"/>
        <v>344</v>
      </c>
      <c r="M570" s="34">
        <f t="shared" si="55"/>
        <v>20000</v>
      </c>
      <c r="N570" s="34">
        <f t="shared" si="56"/>
        <v>0</v>
      </c>
      <c r="O570" s="36">
        <f t="shared" si="57"/>
        <v>0</v>
      </c>
      <c r="P570" s="41"/>
      <c r="Q570" s="70">
        <f t="shared" si="58"/>
        <v>0</v>
      </c>
    </row>
    <row r="571" spans="2:17" x14ac:dyDescent="0.4">
      <c r="B571" s="38" t="s">
        <v>1214</v>
      </c>
      <c r="C571" s="34">
        <v>1</v>
      </c>
      <c r="D571" s="34">
        <v>20000</v>
      </c>
      <c r="E571" s="37">
        <v>43733</v>
      </c>
      <c r="F571" s="34">
        <v>0</v>
      </c>
      <c r="G571" s="35">
        <v>44046</v>
      </c>
      <c r="H571" s="34">
        <v>0</v>
      </c>
      <c r="I571" s="34">
        <v>0</v>
      </c>
      <c r="J571" s="39">
        <v>0</v>
      </c>
      <c r="K571" s="34"/>
      <c r="L571" s="40">
        <f t="shared" si="54"/>
        <v>314</v>
      </c>
      <c r="M571" s="34">
        <f t="shared" si="55"/>
        <v>20000</v>
      </c>
      <c r="N571" s="34">
        <f t="shared" si="56"/>
        <v>0</v>
      </c>
      <c r="O571" s="36">
        <f t="shared" si="57"/>
        <v>0</v>
      </c>
      <c r="P571" s="41"/>
      <c r="Q571" s="70">
        <f t="shared" si="58"/>
        <v>0</v>
      </c>
    </row>
    <row r="572" spans="2:17" x14ac:dyDescent="0.4">
      <c r="B572" s="38" t="s">
        <v>1214</v>
      </c>
      <c r="C572" s="34">
        <v>1</v>
      </c>
      <c r="D572" s="34">
        <v>20000</v>
      </c>
      <c r="E572" s="37">
        <v>43762</v>
      </c>
      <c r="F572" s="34">
        <v>0</v>
      </c>
      <c r="G572" s="35">
        <v>44046</v>
      </c>
      <c r="H572" s="34">
        <v>0</v>
      </c>
      <c r="I572" s="34">
        <v>0</v>
      </c>
      <c r="J572" s="39">
        <v>0</v>
      </c>
      <c r="K572" s="34"/>
      <c r="L572" s="40">
        <f t="shared" si="54"/>
        <v>285</v>
      </c>
      <c r="M572" s="34">
        <f t="shared" si="55"/>
        <v>20000</v>
      </c>
      <c r="N572" s="34">
        <f t="shared" si="56"/>
        <v>0</v>
      </c>
      <c r="O572" s="36">
        <f t="shared" si="57"/>
        <v>0</v>
      </c>
      <c r="P572" s="41"/>
      <c r="Q572" s="70">
        <f t="shared" si="58"/>
        <v>0</v>
      </c>
    </row>
    <row r="573" spans="2:17" x14ac:dyDescent="0.4">
      <c r="B573" s="38" t="s">
        <v>1214</v>
      </c>
      <c r="C573" s="34">
        <v>1</v>
      </c>
      <c r="D573" s="34">
        <v>20000</v>
      </c>
      <c r="E573" s="37">
        <v>43795</v>
      </c>
      <c r="F573" s="34">
        <v>0</v>
      </c>
      <c r="G573" s="35">
        <v>44046</v>
      </c>
      <c r="H573" s="34">
        <v>0</v>
      </c>
      <c r="I573" s="34">
        <v>0</v>
      </c>
      <c r="J573" s="39">
        <v>0</v>
      </c>
      <c r="K573" s="34"/>
      <c r="L573" s="40">
        <f t="shared" si="54"/>
        <v>252</v>
      </c>
      <c r="M573" s="34">
        <f t="shared" si="55"/>
        <v>20000</v>
      </c>
      <c r="N573" s="34">
        <f t="shared" si="56"/>
        <v>0</v>
      </c>
      <c r="O573" s="36">
        <f t="shared" si="57"/>
        <v>0</v>
      </c>
      <c r="P573" s="41"/>
      <c r="Q573" s="70">
        <f t="shared" si="58"/>
        <v>0</v>
      </c>
    </row>
    <row r="574" spans="2:17" x14ac:dyDescent="0.4">
      <c r="B574" s="38" t="s">
        <v>1214</v>
      </c>
      <c r="C574" s="34">
        <v>1</v>
      </c>
      <c r="D574" s="34">
        <v>20000</v>
      </c>
      <c r="E574" s="37">
        <v>43825</v>
      </c>
      <c r="F574" s="34">
        <v>0</v>
      </c>
      <c r="G574" s="35">
        <v>44046</v>
      </c>
      <c r="H574" s="34">
        <v>0</v>
      </c>
      <c r="I574" s="34">
        <v>0</v>
      </c>
      <c r="J574" s="39">
        <v>0</v>
      </c>
      <c r="K574" s="34"/>
      <c r="L574" s="40">
        <f t="shared" si="54"/>
        <v>222</v>
      </c>
      <c r="M574" s="34">
        <f t="shared" si="55"/>
        <v>20000</v>
      </c>
      <c r="N574" s="34">
        <f t="shared" si="56"/>
        <v>0</v>
      </c>
      <c r="O574" s="36">
        <f t="shared" si="57"/>
        <v>0</v>
      </c>
      <c r="P574" s="41"/>
      <c r="Q574" s="70">
        <f t="shared" si="58"/>
        <v>0</v>
      </c>
    </row>
    <row r="575" spans="2:17" x14ac:dyDescent="0.4">
      <c r="B575" s="38" t="s">
        <v>1214</v>
      </c>
      <c r="C575" s="34">
        <v>1</v>
      </c>
      <c r="D575" s="34">
        <v>20000</v>
      </c>
      <c r="E575" s="37">
        <v>43858</v>
      </c>
      <c r="F575" s="34">
        <v>0</v>
      </c>
      <c r="G575" s="35">
        <v>44046</v>
      </c>
      <c r="H575" s="34">
        <v>0</v>
      </c>
      <c r="I575" s="34">
        <v>0</v>
      </c>
      <c r="J575" s="39">
        <v>0</v>
      </c>
      <c r="K575" s="34"/>
      <c r="L575" s="40">
        <f t="shared" si="54"/>
        <v>189</v>
      </c>
      <c r="M575" s="34">
        <f t="shared" si="55"/>
        <v>20000</v>
      </c>
      <c r="N575" s="34">
        <f t="shared" si="56"/>
        <v>0</v>
      </c>
      <c r="O575" s="36">
        <f t="shared" si="57"/>
        <v>0</v>
      </c>
      <c r="P575" s="41"/>
      <c r="Q575" s="70">
        <f t="shared" si="58"/>
        <v>0</v>
      </c>
    </row>
    <row r="576" spans="2:17" x14ac:dyDescent="0.4">
      <c r="B576" s="38" t="s">
        <v>1214</v>
      </c>
      <c r="C576" s="34">
        <v>1</v>
      </c>
      <c r="D576" s="34">
        <v>20000</v>
      </c>
      <c r="E576" s="37">
        <v>43887</v>
      </c>
      <c r="F576" s="34">
        <v>0</v>
      </c>
      <c r="G576" s="35">
        <v>44046</v>
      </c>
      <c r="H576" s="34">
        <v>0</v>
      </c>
      <c r="I576" s="34">
        <v>0</v>
      </c>
      <c r="J576" s="39">
        <v>0</v>
      </c>
      <c r="K576" s="34"/>
      <c r="L576" s="40">
        <f t="shared" si="54"/>
        <v>160</v>
      </c>
      <c r="M576" s="34">
        <f t="shared" si="55"/>
        <v>20000</v>
      </c>
      <c r="N576" s="34">
        <f t="shared" si="56"/>
        <v>0</v>
      </c>
      <c r="O576" s="36">
        <f t="shared" si="57"/>
        <v>0</v>
      </c>
      <c r="P576" s="41"/>
      <c r="Q576" s="70">
        <f t="shared" si="58"/>
        <v>0</v>
      </c>
    </row>
    <row r="577" spans="2:17" x14ac:dyDescent="0.4">
      <c r="B577" s="38" t="s">
        <v>1214</v>
      </c>
      <c r="C577" s="34">
        <v>1</v>
      </c>
      <c r="D577" s="34">
        <v>20000</v>
      </c>
      <c r="E577" s="37">
        <v>43915</v>
      </c>
      <c r="F577" s="34">
        <v>732669</v>
      </c>
      <c r="G577" s="35">
        <v>44046</v>
      </c>
      <c r="H577" s="34">
        <v>0</v>
      </c>
      <c r="I577" s="34">
        <v>0</v>
      </c>
      <c r="J577" s="39">
        <v>0</v>
      </c>
      <c r="K577" s="34"/>
      <c r="L577" s="40">
        <f t="shared" si="54"/>
        <v>132</v>
      </c>
      <c r="M577" s="34">
        <f t="shared" si="55"/>
        <v>20000</v>
      </c>
      <c r="N577" s="34">
        <f t="shared" si="56"/>
        <v>732669</v>
      </c>
      <c r="O577" s="36">
        <f t="shared" si="57"/>
        <v>0</v>
      </c>
      <c r="P577" s="41">
        <f>N577-SUM(M552:M577)</f>
        <v>52669</v>
      </c>
      <c r="Q577" s="70">
        <f t="shared" si="58"/>
        <v>2.6334499999999998</v>
      </c>
    </row>
    <row r="578" spans="2:17" x14ac:dyDescent="0.4">
      <c r="B578" s="38" t="s">
        <v>1215</v>
      </c>
      <c r="C578" s="34">
        <v>1</v>
      </c>
      <c r="D578" s="34">
        <v>500000</v>
      </c>
      <c r="E578" s="37">
        <v>44628</v>
      </c>
      <c r="F578" s="34">
        <v>0</v>
      </c>
      <c r="G578" s="35">
        <v>45532</v>
      </c>
      <c r="H578" s="34">
        <v>0</v>
      </c>
      <c r="I578" s="34">
        <v>0</v>
      </c>
      <c r="J578" s="39">
        <v>0</v>
      </c>
      <c r="K578" s="34"/>
      <c r="L578" s="40">
        <f t="shared" si="54"/>
        <v>905</v>
      </c>
      <c r="M578" s="34">
        <f t="shared" si="55"/>
        <v>500000</v>
      </c>
      <c r="N578" s="34">
        <f t="shared" si="56"/>
        <v>0</v>
      </c>
      <c r="O578" s="36">
        <f t="shared" si="57"/>
        <v>0</v>
      </c>
      <c r="P578" s="41">
        <f>IF(N578=0,0,N578-M578+O578)</f>
        <v>0</v>
      </c>
      <c r="Q578" s="70">
        <f t="shared" si="58"/>
        <v>0</v>
      </c>
    </row>
    <row r="579" spans="2:17" x14ac:dyDescent="0.4">
      <c r="B579" s="38" t="s">
        <v>1215</v>
      </c>
      <c r="C579" s="34">
        <v>1</v>
      </c>
      <c r="D579" s="34">
        <v>0</v>
      </c>
      <c r="E579" s="37">
        <v>44935</v>
      </c>
      <c r="F579" s="34">
        <v>0</v>
      </c>
      <c r="G579" s="35">
        <v>45532</v>
      </c>
      <c r="H579" s="34">
        <v>0</v>
      </c>
      <c r="I579" s="34">
        <v>0</v>
      </c>
      <c r="J579" s="39">
        <v>0</v>
      </c>
      <c r="K579" s="34"/>
      <c r="L579" s="40">
        <f t="shared" si="54"/>
        <v>598</v>
      </c>
      <c r="M579" s="34">
        <f t="shared" si="55"/>
        <v>0</v>
      </c>
      <c r="N579" s="34">
        <f t="shared" si="56"/>
        <v>0</v>
      </c>
      <c r="O579" s="36">
        <f t="shared" si="57"/>
        <v>0</v>
      </c>
      <c r="P579" s="41">
        <f>IF(N579=0,0,N579-M579+O579)</f>
        <v>0</v>
      </c>
      <c r="Q579" s="70" t="e">
        <f t="shared" si="58"/>
        <v>#DIV/0!</v>
      </c>
    </row>
    <row r="580" spans="2:17" x14ac:dyDescent="0.4">
      <c r="B580" s="38" t="s">
        <v>1215</v>
      </c>
      <c r="C580" s="34">
        <v>1</v>
      </c>
      <c r="D580" s="34">
        <v>50000</v>
      </c>
      <c r="E580" s="37">
        <v>44953</v>
      </c>
      <c r="F580" s="34">
        <v>0</v>
      </c>
      <c r="G580" s="35">
        <v>45532</v>
      </c>
      <c r="H580" s="34">
        <v>0</v>
      </c>
      <c r="I580" s="34">
        <v>0</v>
      </c>
      <c r="J580" s="39">
        <v>0</v>
      </c>
      <c r="K580" s="34"/>
      <c r="L580" s="40">
        <f t="shared" si="54"/>
        <v>580</v>
      </c>
      <c r="M580" s="34">
        <f t="shared" si="55"/>
        <v>50000</v>
      </c>
      <c r="N580" s="34">
        <f t="shared" si="56"/>
        <v>0</v>
      </c>
      <c r="O580" s="36">
        <f t="shared" si="57"/>
        <v>0</v>
      </c>
      <c r="P580" s="41">
        <f>IF(N580=0,0,N580-M580+O580)</f>
        <v>0</v>
      </c>
      <c r="Q580" s="70">
        <f t="shared" si="58"/>
        <v>0</v>
      </c>
    </row>
    <row r="581" spans="2:17" x14ac:dyDescent="0.4">
      <c r="B581" s="38" t="s">
        <v>1215</v>
      </c>
      <c r="C581" s="34">
        <v>1</v>
      </c>
      <c r="D581" s="34">
        <v>0</v>
      </c>
      <c r="E581" s="37">
        <v>45300</v>
      </c>
      <c r="F581" s="34">
        <v>612152</v>
      </c>
      <c r="G581" s="35">
        <v>45532</v>
      </c>
      <c r="H581" s="34">
        <v>0</v>
      </c>
      <c r="I581" s="34">
        <v>0</v>
      </c>
      <c r="J581" s="39">
        <v>0</v>
      </c>
      <c r="K581" s="34"/>
      <c r="L581" s="40">
        <f t="shared" si="54"/>
        <v>233</v>
      </c>
      <c r="M581" s="34">
        <f t="shared" si="55"/>
        <v>0</v>
      </c>
      <c r="N581" s="34">
        <f t="shared" si="56"/>
        <v>612152</v>
      </c>
      <c r="O581" s="36">
        <f t="shared" si="57"/>
        <v>0</v>
      </c>
      <c r="P581" s="41">
        <f>N581-SUM(M578:M581)</f>
        <v>62152</v>
      </c>
      <c r="Q581" s="70" t="e">
        <f t="shared" si="58"/>
        <v>#DIV/0!</v>
      </c>
    </row>
    <row r="582" spans="2:17" x14ac:dyDescent="0.4">
      <c r="B582" s="38" t="s">
        <v>1216</v>
      </c>
      <c r="C582" s="34">
        <v>1</v>
      </c>
      <c r="D582" s="34">
        <v>500000</v>
      </c>
      <c r="E582" s="37">
        <v>44628</v>
      </c>
      <c r="F582" s="34">
        <v>0</v>
      </c>
      <c r="G582" s="35">
        <v>45532</v>
      </c>
      <c r="H582" s="34">
        <v>0</v>
      </c>
      <c r="I582" s="34">
        <v>0</v>
      </c>
      <c r="J582" s="39">
        <v>0</v>
      </c>
      <c r="K582" s="34"/>
      <c r="L582" s="40">
        <f t="shared" si="54"/>
        <v>905</v>
      </c>
      <c r="M582" s="34">
        <f t="shared" si="55"/>
        <v>500000</v>
      </c>
      <c r="N582" s="34">
        <f t="shared" si="56"/>
        <v>0</v>
      </c>
      <c r="O582" s="36">
        <f t="shared" si="57"/>
        <v>0</v>
      </c>
      <c r="P582" s="41">
        <f>IF(N582=0,0,N582-M582+O582)</f>
        <v>0</v>
      </c>
      <c r="Q582" s="70">
        <f t="shared" si="58"/>
        <v>0</v>
      </c>
    </row>
    <row r="583" spans="2:17" x14ac:dyDescent="0.4">
      <c r="B583" s="38" t="s">
        <v>1216</v>
      </c>
      <c r="C583" s="34">
        <v>1</v>
      </c>
      <c r="D583" s="34">
        <v>0</v>
      </c>
      <c r="E583" s="37">
        <v>44916</v>
      </c>
      <c r="F583" s="34">
        <v>0</v>
      </c>
      <c r="G583" s="35">
        <v>45532</v>
      </c>
      <c r="H583" s="34">
        <v>0</v>
      </c>
      <c r="I583" s="34">
        <v>0</v>
      </c>
      <c r="J583" s="39">
        <v>0</v>
      </c>
      <c r="K583" s="34"/>
      <c r="L583" s="40">
        <f t="shared" si="54"/>
        <v>617</v>
      </c>
      <c r="M583" s="34">
        <f t="shared" si="55"/>
        <v>0</v>
      </c>
      <c r="N583" s="34">
        <f t="shared" si="56"/>
        <v>0</v>
      </c>
      <c r="O583" s="36">
        <f t="shared" si="57"/>
        <v>0</v>
      </c>
      <c r="P583" s="41">
        <f>IF(N583=0,0,N583-M583+O583)</f>
        <v>0</v>
      </c>
      <c r="Q583" s="70" t="e">
        <f t="shared" si="58"/>
        <v>#DIV/0!</v>
      </c>
    </row>
    <row r="584" spans="2:17" x14ac:dyDescent="0.4">
      <c r="B584" s="38" t="s">
        <v>1216</v>
      </c>
      <c r="C584" s="34">
        <v>1</v>
      </c>
      <c r="D584" s="34">
        <v>50000</v>
      </c>
      <c r="E584" s="37">
        <v>44953</v>
      </c>
      <c r="F584" s="34">
        <v>0</v>
      </c>
      <c r="G584" s="35">
        <v>45532</v>
      </c>
      <c r="H584" s="34">
        <v>0</v>
      </c>
      <c r="I584" s="34">
        <v>0</v>
      </c>
      <c r="J584" s="39">
        <v>0</v>
      </c>
      <c r="K584" s="34"/>
      <c r="L584" s="40">
        <f t="shared" si="54"/>
        <v>580</v>
      </c>
      <c r="M584" s="34">
        <f t="shared" si="55"/>
        <v>50000</v>
      </c>
      <c r="N584" s="34">
        <f t="shared" si="56"/>
        <v>0</v>
      </c>
      <c r="O584" s="36">
        <f t="shared" si="57"/>
        <v>0</v>
      </c>
      <c r="P584" s="41">
        <f>IF(N584=0,0,N584-M584+O584)</f>
        <v>0</v>
      </c>
      <c r="Q584" s="70">
        <f t="shared" si="58"/>
        <v>0</v>
      </c>
    </row>
    <row r="585" spans="2:17" x14ac:dyDescent="0.4">
      <c r="B585" s="38" t="s">
        <v>1216</v>
      </c>
      <c r="C585" s="34">
        <v>1</v>
      </c>
      <c r="D585" s="34">
        <v>0</v>
      </c>
      <c r="E585" s="37">
        <v>45281</v>
      </c>
      <c r="F585" s="34">
        <v>604722</v>
      </c>
      <c r="G585" s="35">
        <v>45532</v>
      </c>
      <c r="H585" s="34">
        <v>0</v>
      </c>
      <c r="I585" s="34">
        <v>0</v>
      </c>
      <c r="J585" s="39">
        <v>0</v>
      </c>
      <c r="K585" s="34"/>
      <c r="L585" s="40">
        <f t="shared" si="54"/>
        <v>252</v>
      </c>
      <c r="M585" s="34">
        <f t="shared" si="55"/>
        <v>0</v>
      </c>
      <c r="N585" s="34">
        <f t="shared" si="56"/>
        <v>604722</v>
      </c>
      <c r="O585" s="36">
        <f t="shared" si="57"/>
        <v>0</v>
      </c>
      <c r="P585" s="41">
        <f>N585-SUM(M582:M585)</f>
        <v>54722</v>
      </c>
      <c r="Q585" s="70" t="e">
        <f t="shared" si="58"/>
        <v>#DIV/0!</v>
      </c>
    </row>
    <row r="586" spans="2:17" x14ac:dyDescent="0.4">
      <c r="B586" s="38" t="s">
        <v>1217</v>
      </c>
      <c r="C586" s="34">
        <v>1</v>
      </c>
      <c r="D586" s="34">
        <v>300000</v>
      </c>
      <c r="E586" s="37">
        <v>44630</v>
      </c>
      <c r="F586" s="34">
        <v>0</v>
      </c>
      <c r="G586" s="35">
        <v>45534</v>
      </c>
      <c r="H586" s="34">
        <v>0</v>
      </c>
      <c r="I586" s="34">
        <v>0</v>
      </c>
      <c r="J586" s="39">
        <v>0</v>
      </c>
      <c r="K586" s="34"/>
      <c r="L586" s="40">
        <f t="shared" si="54"/>
        <v>905</v>
      </c>
      <c r="M586" s="34">
        <f t="shared" si="55"/>
        <v>300000</v>
      </c>
      <c r="N586" s="34">
        <f t="shared" si="56"/>
        <v>0</v>
      </c>
      <c r="O586" s="36">
        <f t="shared" si="57"/>
        <v>0</v>
      </c>
      <c r="P586" s="41">
        <f t="shared" ref="P586:P605" si="59">IF(N586=0,0,N586-M586+O586)</f>
        <v>0</v>
      </c>
      <c r="Q586" s="70">
        <f t="shared" si="58"/>
        <v>0</v>
      </c>
    </row>
    <row r="587" spans="2:17" x14ac:dyDescent="0.4">
      <c r="B587" s="38" t="s">
        <v>1217</v>
      </c>
      <c r="C587" s="34">
        <v>1</v>
      </c>
      <c r="D587" s="34">
        <v>50000</v>
      </c>
      <c r="E587" s="37">
        <v>44683</v>
      </c>
      <c r="F587" s="34">
        <v>0</v>
      </c>
      <c r="G587" s="35">
        <v>45534</v>
      </c>
      <c r="H587" s="34">
        <v>0</v>
      </c>
      <c r="I587" s="34">
        <v>0</v>
      </c>
      <c r="J587" s="39">
        <v>0</v>
      </c>
      <c r="K587" s="34"/>
      <c r="L587" s="40">
        <f t="shared" si="54"/>
        <v>852</v>
      </c>
      <c r="M587" s="34">
        <f t="shared" si="55"/>
        <v>50000</v>
      </c>
      <c r="N587" s="34">
        <f t="shared" si="56"/>
        <v>0</v>
      </c>
      <c r="O587" s="36">
        <f t="shared" si="57"/>
        <v>0</v>
      </c>
      <c r="P587" s="41">
        <f t="shared" si="59"/>
        <v>0</v>
      </c>
      <c r="Q587" s="70">
        <f t="shared" si="58"/>
        <v>0</v>
      </c>
    </row>
    <row r="588" spans="2:17" x14ac:dyDescent="0.4">
      <c r="B588" s="38" t="s">
        <v>1217</v>
      </c>
      <c r="C588" s="34">
        <v>1</v>
      </c>
      <c r="D588" s="34">
        <v>50000</v>
      </c>
      <c r="E588" s="37">
        <v>44714</v>
      </c>
      <c r="F588" s="34">
        <v>0</v>
      </c>
      <c r="G588" s="35">
        <v>45534</v>
      </c>
      <c r="H588" s="34">
        <v>0</v>
      </c>
      <c r="I588" s="34">
        <v>0</v>
      </c>
      <c r="J588" s="39">
        <v>0</v>
      </c>
      <c r="K588" s="34"/>
      <c r="L588" s="40">
        <f t="shared" si="54"/>
        <v>821</v>
      </c>
      <c r="M588" s="34">
        <f t="shared" si="55"/>
        <v>50000</v>
      </c>
      <c r="N588" s="34">
        <f t="shared" si="56"/>
        <v>0</v>
      </c>
      <c r="O588" s="36">
        <f t="shared" si="57"/>
        <v>0</v>
      </c>
      <c r="P588" s="41">
        <f t="shared" si="59"/>
        <v>0</v>
      </c>
      <c r="Q588" s="70">
        <f t="shared" si="58"/>
        <v>0</v>
      </c>
    </row>
    <row r="589" spans="2:17" x14ac:dyDescent="0.4">
      <c r="B589" s="38" t="s">
        <v>1217</v>
      </c>
      <c r="C589" s="34">
        <v>1</v>
      </c>
      <c r="D589" s="34">
        <v>50000</v>
      </c>
      <c r="E589" s="37">
        <v>44742</v>
      </c>
      <c r="F589" s="34">
        <v>0</v>
      </c>
      <c r="G589" s="35">
        <v>45534</v>
      </c>
      <c r="H589" s="34">
        <v>0</v>
      </c>
      <c r="I589" s="34">
        <v>0</v>
      </c>
      <c r="J589" s="39">
        <v>0</v>
      </c>
      <c r="K589" s="34"/>
      <c r="L589" s="40">
        <f t="shared" si="54"/>
        <v>793</v>
      </c>
      <c r="M589" s="34">
        <f t="shared" si="55"/>
        <v>50000</v>
      </c>
      <c r="N589" s="34">
        <f t="shared" si="56"/>
        <v>0</v>
      </c>
      <c r="O589" s="36">
        <f t="shared" si="57"/>
        <v>0</v>
      </c>
      <c r="P589" s="41">
        <f t="shared" si="59"/>
        <v>0</v>
      </c>
      <c r="Q589" s="70">
        <f t="shared" si="58"/>
        <v>0</v>
      </c>
    </row>
    <row r="590" spans="2:17" x14ac:dyDescent="0.4">
      <c r="B590" s="38" t="s">
        <v>1217</v>
      </c>
      <c r="C590" s="34">
        <v>1</v>
      </c>
      <c r="D590" s="34">
        <v>50000</v>
      </c>
      <c r="E590" s="37">
        <v>44774</v>
      </c>
      <c r="F590" s="34">
        <v>0</v>
      </c>
      <c r="G590" s="35">
        <v>45534</v>
      </c>
      <c r="H590" s="34">
        <v>0</v>
      </c>
      <c r="I590" s="34">
        <v>0</v>
      </c>
      <c r="J590" s="39">
        <v>0</v>
      </c>
      <c r="K590" s="34"/>
      <c r="L590" s="40">
        <f t="shared" ref="L590:L621" si="60">G590-E590+1</f>
        <v>761</v>
      </c>
      <c r="M590" s="34">
        <f t="shared" ref="M590:M621" si="61">C590*D590</f>
        <v>50000</v>
      </c>
      <c r="N590" s="34">
        <f t="shared" ref="N590:N621" si="62">C590*F590</f>
        <v>0</v>
      </c>
      <c r="O590" s="36">
        <f t="shared" ref="O590:O621" si="63">K590-H590-I590-J590</f>
        <v>0</v>
      </c>
      <c r="P590" s="41">
        <f t="shared" si="59"/>
        <v>0</v>
      </c>
      <c r="Q590" s="70">
        <f t="shared" ref="Q590:Q621" si="64">P590/M590</f>
        <v>0</v>
      </c>
    </row>
    <row r="591" spans="2:17" x14ac:dyDescent="0.4">
      <c r="B591" s="38" t="s">
        <v>1217</v>
      </c>
      <c r="C591" s="34">
        <v>1</v>
      </c>
      <c r="D591" s="34">
        <v>50000</v>
      </c>
      <c r="E591" s="37">
        <v>44804</v>
      </c>
      <c r="F591" s="34">
        <v>0</v>
      </c>
      <c r="G591" s="35">
        <v>45534</v>
      </c>
      <c r="H591" s="34">
        <v>0</v>
      </c>
      <c r="I591" s="34">
        <v>0</v>
      </c>
      <c r="J591" s="39">
        <v>0</v>
      </c>
      <c r="K591" s="34"/>
      <c r="L591" s="40">
        <f t="shared" si="60"/>
        <v>731</v>
      </c>
      <c r="M591" s="34">
        <f t="shared" si="61"/>
        <v>50000</v>
      </c>
      <c r="N591" s="34">
        <f t="shared" si="62"/>
        <v>0</v>
      </c>
      <c r="O591" s="36">
        <f t="shared" si="63"/>
        <v>0</v>
      </c>
      <c r="P591" s="41">
        <f t="shared" si="59"/>
        <v>0</v>
      </c>
      <c r="Q591" s="70">
        <f t="shared" si="64"/>
        <v>0</v>
      </c>
    </row>
    <row r="592" spans="2:17" x14ac:dyDescent="0.4">
      <c r="B592" s="38" t="s">
        <v>1217</v>
      </c>
      <c r="C592" s="34">
        <v>1</v>
      </c>
      <c r="D592" s="34">
        <v>50000</v>
      </c>
      <c r="E592" s="37">
        <v>44834</v>
      </c>
      <c r="F592" s="34">
        <v>0</v>
      </c>
      <c r="G592" s="35">
        <v>45534</v>
      </c>
      <c r="H592" s="34">
        <v>0</v>
      </c>
      <c r="I592" s="34">
        <v>0</v>
      </c>
      <c r="J592" s="39">
        <v>0</v>
      </c>
      <c r="K592" s="34"/>
      <c r="L592" s="40">
        <f t="shared" si="60"/>
        <v>701</v>
      </c>
      <c r="M592" s="34">
        <f t="shared" si="61"/>
        <v>50000</v>
      </c>
      <c r="N592" s="34">
        <f t="shared" si="62"/>
        <v>0</v>
      </c>
      <c r="O592" s="36">
        <f t="shared" si="63"/>
        <v>0</v>
      </c>
      <c r="P592" s="41">
        <f t="shared" si="59"/>
        <v>0</v>
      </c>
      <c r="Q592" s="70">
        <f t="shared" si="64"/>
        <v>0</v>
      </c>
    </row>
    <row r="593" spans="2:17" x14ac:dyDescent="0.4">
      <c r="B593" s="38" t="s">
        <v>1217</v>
      </c>
      <c r="C593" s="34">
        <v>1</v>
      </c>
      <c r="D593" s="34">
        <v>50000</v>
      </c>
      <c r="E593" s="37">
        <v>44956</v>
      </c>
      <c r="F593" s="34">
        <v>0</v>
      </c>
      <c r="G593" s="35">
        <v>45534</v>
      </c>
      <c r="H593" s="34">
        <v>0</v>
      </c>
      <c r="I593" s="34">
        <v>0</v>
      </c>
      <c r="J593" s="39">
        <v>0</v>
      </c>
      <c r="K593" s="34"/>
      <c r="L593" s="40">
        <f t="shared" si="60"/>
        <v>579</v>
      </c>
      <c r="M593" s="34">
        <f t="shared" si="61"/>
        <v>50000</v>
      </c>
      <c r="N593" s="34">
        <f t="shared" si="62"/>
        <v>0</v>
      </c>
      <c r="O593" s="36">
        <f t="shared" si="63"/>
        <v>0</v>
      </c>
      <c r="P593" s="41">
        <f t="shared" si="59"/>
        <v>0</v>
      </c>
      <c r="Q593" s="70">
        <f t="shared" si="64"/>
        <v>0</v>
      </c>
    </row>
    <row r="594" spans="2:17" x14ac:dyDescent="0.4">
      <c r="B594" s="38" t="s">
        <v>1217</v>
      </c>
      <c r="C594" s="34">
        <v>1</v>
      </c>
      <c r="D594" s="34">
        <v>50000</v>
      </c>
      <c r="E594" s="37">
        <v>44987</v>
      </c>
      <c r="F594" s="34">
        <v>0</v>
      </c>
      <c r="G594" s="35">
        <v>45534</v>
      </c>
      <c r="H594" s="34">
        <v>0</v>
      </c>
      <c r="I594" s="34">
        <v>0</v>
      </c>
      <c r="J594" s="39">
        <v>0</v>
      </c>
      <c r="K594" s="34"/>
      <c r="L594" s="40">
        <f t="shared" si="60"/>
        <v>548</v>
      </c>
      <c r="M594" s="34">
        <f t="shared" si="61"/>
        <v>50000</v>
      </c>
      <c r="N594" s="34">
        <f t="shared" si="62"/>
        <v>0</v>
      </c>
      <c r="O594" s="36">
        <f t="shared" si="63"/>
        <v>0</v>
      </c>
      <c r="P594" s="41">
        <f t="shared" si="59"/>
        <v>0</v>
      </c>
      <c r="Q594" s="70">
        <f t="shared" si="64"/>
        <v>0</v>
      </c>
    </row>
    <row r="595" spans="2:17" x14ac:dyDescent="0.4">
      <c r="B595" s="38" t="s">
        <v>1217</v>
      </c>
      <c r="C595" s="34">
        <v>1</v>
      </c>
      <c r="D595" s="34">
        <v>0</v>
      </c>
      <c r="E595" s="37">
        <v>44992</v>
      </c>
      <c r="F595" s="34">
        <v>0</v>
      </c>
      <c r="G595" s="35">
        <v>45534</v>
      </c>
      <c r="H595" s="34">
        <v>0</v>
      </c>
      <c r="I595" s="34">
        <v>0</v>
      </c>
      <c r="J595" s="39">
        <v>0</v>
      </c>
      <c r="K595" s="34"/>
      <c r="L595" s="40">
        <f t="shared" si="60"/>
        <v>543</v>
      </c>
      <c r="M595" s="34">
        <f t="shared" si="61"/>
        <v>0</v>
      </c>
      <c r="N595" s="34">
        <f t="shared" si="62"/>
        <v>0</v>
      </c>
      <c r="O595" s="36">
        <f t="shared" si="63"/>
        <v>0</v>
      </c>
      <c r="P595" s="41">
        <f t="shared" si="59"/>
        <v>0</v>
      </c>
      <c r="Q595" s="70" t="e">
        <f t="shared" si="64"/>
        <v>#DIV/0!</v>
      </c>
    </row>
    <row r="596" spans="2:17" x14ac:dyDescent="0.4">
      <c r="B596" s="38" t="s">
        <v>1217</v>
      </c>
      <c r="C596" s="34">
        <v>1</v>
      </c>
      <c r="D596" s="34">
        <v>50000</v>
      </c>
      <c r="E596" s="37">
        <v>45014</v>
      </c>
      <c r="F596" s="34">
        <v>0</v>
      </c>
      <c r="G596" s="35">
        <v>45534</v>
      </c>
      <c r="H596" s="34">
        <v>0</v>
      </c>
      <c r="I596" s="34">
        <v>0</v>
      </c>
      <c r="J596" s="39">
        <v>0</v>
      </c>
      <c r="K596" s="34"/>
      <c r="L596" s="40">
        <f t="shared" si="60"/>
        <v>521</v>
      </c>
      <c r="M596" s="34">
        <f t="shared" si="61"/>
        <v>50000</v>
      </c>
      <c r="N596" s="34">
        <f t="shared" si="62"/>
        <v>0</v>
      </c>
      <c r="O596" s="36">
        <f t="shared" si="63"/>
        <v>0</v>
      </c>
      <c r="P596" s="41">
        <f t="shared" si="59"/>
        <v>0</v>
      </c>
      <c r="Q596" s="70">
        <f t="shared" si="64"/>
        <v>0</v>
      </c>
    </row>
    <row r="597" spans="2:17" x14ac:dyDescent="0.4">
      <c r="B597" s="38" t="s">
        <v>1217</v>
      </c>
      <c r="C597" s="34">
        <v>1</v>
      </c>
      <c r="D597" s="34">
        <v>50000</v>
      </c>
      <c r="E597" s="37">
        <v>45044</v>
      </c>
      <c r="F597" s="34">
        <v>0</v>
      </c>
      <c r="G597" s="35">
        <v>45534</v>
      </c>
      <c r="H597" s="34">
        <v>0</v>
      </c>
      <c r="I597" s="34">
        <v>0</v>
      </c>
      <c r="J597" s="39">
        <v>0</v>
      </c>
      <c r="K597" s="34"/>
      <c r="L597" s="40">
        <f t="shared" si="60"/>
        <v>491</v>
      </c>
      <c r="M597" s="34">
        <f t="shared" si="61"/>
        <v>50000</v>
      </c>
      <c r="N597" s="34">
        <f t="shared" si="62"/>
        <v>0</v>
      </c>
      <c r="O597" s="36">
        <f t="shared" si="63"/>
        <v>0</v>
      </c>
      <c r="P597" s="41">
        <f t="shared" si="59"/>
        <v>0</v>
      </c>
      <c r="Q597" s="70">
        <f t="shared" si="64"/>
        <v>0</v>
      </c>
    </row>
    <row r="598" spans="2:17" x14ac:dyDescent="0.4">
      <c r="B598" s="38" t="s">
        <v>1217</v>
      </c>
      <c r="C598" s="34">
        <v>1</v>
      </c>
      <c r="D598" s="34">
        <v>50000</v>
      </c>
      <c r="E598" s="37">
        <v>45077</v>
      </c>
      <c r="F598" s="34">
        <v>0</v>
      </c>
      <c r="G598" s="35">
        <v>45534</v>
      </c>
      <c r="H598" s="34">
        <v>0</v>
      </c>
      <c r="I598" s="34">
        <v>0</v>
      </c>
      <c r="J598" s="39">
        <v>0</v>
      </c>
      <c r="K598" s="34"/>
      <c r="L598" s="40">
        <f t="shared" si="60"/>
        <v>458</v>
      </c>
      <c r="M598" s="34">
        <f t="shared" si="61"/>
        <v>50000</v>
      </c>
      <c r="N598" s="34">
        <f t="shared" si="62"/>
        <v>0</v>
      </c>
      <c r="O598" s="36">
        <f t="shared" si="63"/>
        <v>0</v>
      </c>
      <c r="P598" s="41">
        <f t="shared" si="59"/>
        <v>0</v>
      </c>
      <c r="Q598" s="70">
        <f t="shared" si="64"/>
        <v>0</v>
      </c>
    </row>
    <row r="599" spans="2:17" x14ac:dyDescent="0.4">
      <c r="B599" s="38" t="s">
        <v>1217</v>
      </c>
      <c r="C599" s="34">
        <v>1</v>
      </c>
      <c r="D599" s="34">
        <v>50000</v>
      </c>
      <c r="E599" s="37">
        <v>45105</v>
      </c>
      <c r="F599" s="34">
        <v>0</v>
      </c>
      <c r="G599" s="35">
        <v>45534</v>
      </c>
      <c r="H599" s="34">
        <v>0</v>
      </c>
      <c r="I599" s="34">
        <v>0</v>
      </c>
      <c r="J599" s="39">
        <v>0</v>
      </c>
      <c r="K599" s="34"/>
      <c r="L599" s="40">
        <f t="shared" si="60"/>
        <v>430</v>
      </c>
      <c r="M599" s="34">
        <f t="shared" si="61"/>
        <v>50000</v>
      </c>
      <c r="N599" s="34">
        <f t="shared" si="62"/>
        <v>0</v>
      </c>
      <c r="O599" s="36">
        <f t="shared" si="63"/>
        <v>0</v>
      </c>
      <c r="P599" s="41">
        <f t="shared" si="59"/>
        <v>0</v>
      </c>
      <c r="Q599" s="70">
        <f t="shared" si="64"/>
        <v>0</v>
      </c>
    </row>
    <row r="600" spans="2:17" x14ac:dyDescent="0.4">
      <c r="B600" s="38" t="s">
        <v>1217</v>
      </c>
      <c r="C600" s="34">
        <v>1</v>
      </c>
      <c r="D600" s="34">
        <v>50000</v>
      </c>
      <c r="E600" s="37">
        <v>45135</v>
      </c>
      <c r="F600" s="34">
        <v>0</v>
      </c>
      <c r="G600" s="35">
        <v>45534</v>
      </c>
      <c r="H600" s="34">
        <v>0</v>
      </c>
      <c r="I600" s="34">
        <v>0</v>
      </c>
      <c r="J600" s="39">
        <v>0</v>
      </c>
      <c r="K600" s="34"/>
      <c r="L600" s="40">
        <f t="shared" si="60"/>
        <v>400</v>
      </c>
      <c r="M600" s="34">
        <f t="shared" si="61"/>
        <v>50000</v>
      </c>
      <c r="N600" s="34">
        <f t="shared" si="62"/>
        <v>0</v>
      </c>
      <c r="O600" s="36">
        <f t="shared" si="63"/>
        <v>0</v>
      </c>
      <c r="P600" s="41">
        <f t="shared" si="59"/>
        <v>0</v>
      </c>
      <c r="Q600" s="70">
        <f t="shared" si="64"/>
        <v>0</v>
      </c>
    </row>
    <row r="601" spans="2:17" x14ac:dyDescent="0.4">
      <c r="B601" s="38" t="s">
        <v>1217</v>
      </c>
      <c r="C601" s="34">
        <v>1</v>
      </c>
      <c r="D601" s="34">
        <v>50000</v>
      </c>
      <c r="E601" s="37">
        <v>45168</v>
      </c>
      <c r="F601" s="34">
        <v>0</v>
      </c>
      <c r="G601" s="35">
        <v>45534</v>
      </c>
      <c r="H601" s="34">
        <v>0</v>
      </c>
      <c r="I601" s="34">
        <v>0</v>
      </c>
      <c r="J601" s="39">
        <v>0</v>
      </c>
      <c r="K601" s="34"/>
      <c r="L601" s="40">
        <f t="shared" si="60"/>
        <v>367</v>
      </c>
      <c r="M601" s="34">
        <f t="shared" si="61"/>
        <v>50000</v>
      </c>
      <c r="N601" s="34">
        <f t="shared" si="62"/>
        <v>0</v>
      </c>
      <c r="O601" s="36">
        <f t="shared" si="63"/>
        <v>0</v>
      </c>
      <c r="P601" s="41">
        <f t="shared" si="59"/>
        <v>0</v>
      </c>
      <c r="Q601" s="70">
        <f t="shared" si="64"/>
        <v>0</v>
      </c>
    </row>
    <row r="602" spans="2:17" x14ac:dyDescent="0.4">
      <c r="B602" s="38" t="s">
        <v>1217</v>
      </c>
      <c r="C602" s="34">
        <v>1</v>
      </c>
      <c r="D602" s="34">
        <v>50000</v>
      </c>
      <c r="E602" s="37">
        <v>45203</v>
      </c>
      <c r="F602" s="34">
        <v>0</v>
      </c>
      <c r="G602" s="35">
        <v>45534</v>
      </c>
      <c r="H602" s="34">
        <v>0</v>
      </c>
      <c r="I602" s="34">
        <v>0</v>
      </c>
      <c r="J602" s="39">
        <v>0</v>
      </c>
      <c r="K602" s="34"/>
      <c r="L602" s="40">
        <f t="shared" si="60"/>
        <v>332</v>
      </c>
      <c r="M602" s="34">
        <f t="shared" si="61"/>
        <v>50000</v>
      </c>
      <c r="N602" s="34">
        <f t="shared" si="62"/>
        <v>0</v>
      </c>
      <c r="O602" s="36">
        <f t="shared" si="63"/>
        <v>0</v>
      </c>
      <c r="P602" s="41">
        <f t="shared" si="59"/>
        <v>0</v>
      </c>
      <c r="Q602" s="70">
        <f t="shared" si="64"/>
        <v>0</v>
      </c>
    </row>
    <row r="603" spans="2:17" x14ac:dyDescent="0.4">
      <c r="B603" s="38" t="s">
        <v>1217</v>
      </c>
      <c r="C603" s="34">
        <v>1</v>
      </c>
      <c r="D603" s="34">
        <v>50000</v>
      </c>
      <c r="E603" s="37">
        <v>45229</v>
      </c>
      <c r="F603" s="34">
        <v>0</v>
      </c>
      <c r="G603" s="35">
        <v>45534</v>
      </c>
      <c r="H603" s="34">
        <v>0</v>
      </c>
      <c r="I603" s="34">
        <v>0</v>
      </c>
      <c r="J603" s="39">
        <v>0</v>
      </c>
      <c r="K603" s="34"/>
      <c r="L603" s="40">
        <f t="shared" si="60"/>
        <v>306</v>
      </c>
      <c r="M603" s="34">
        <f t="shared" si="61"/>
        <v>50000</v>
      </c>
      <c r="N603" s="34">
        <f t="shared" si="62"/>
        <v>0</v>
      </c>
      <c r="O603" s="36">
        <f t="shared" si="63"/>
        <v>0</v>
      </c>
      <c r="P603" s="41">
        <f t="shared" si="59"/>
        <v>0</v>
      </c>
      <c r="Q603" s="70">
        <f t="shared" si="64"/>
        <v>0</v>
      </c>
    </row>
    <row r="604" spans="2:17" x14ac:dyDescent="0.4">
      <c r="B604" s="38" t="s">
        <v>1217</v>
      </c>
      <c r="C604" s="34">
        <v>1</v>
      </c>
      <c r="D604" s="34">
        <v>50000</v>
      </c>
      <c r="E604" s="37">
        <v>45259</v>
      </c>
      <c r="F604" s="34">
        <v>0</v>
      </c>
      <c r="G604" s="35">
        <v>45534</v>
      </c>
      <c r="H604" s="34">
        <v>0</v>
      </c>
      <c r="I604" s="34">
        <v>0</v>
      </c>
      <c r="J604" s="39">
        <v>0</v>
      </c>
      <c r="K604" s="34"/>
      <c r="L604" s="40">
        <f t="shared" si="60"/>
        <v>276</v>
      </c>
      <c r="M604" s="34">
        <f t="shared" si="61"/>
        <v>50000</v>
      </c>
      <c r="N604" s="34">
        <f t="shared" si="62"/>
        <v>0</v>
      </c>
      <c r="O604" s="36">
        <f t="shared" si="63"/>
        <v>0</v>
      </c>
      <c r="P604" s="41">
        <f t="shared" si="59"/>
        <v>0</v>
      </c>
      <c r="Q604" s="70">
        <f t="shared" si="64"/>
        <v>0</v>
      </c>
    </row>
    <row r="605" spans="2:17" x14ac:dyDescent="0.4">
      <c r="B605" s="38" t="s">
        <v>1217</v>
      </c>
      <c r="C605" s="34">
        <v>1</v>
      </c>
      <c r="D605" s="34">
        <v>50000</v>
      </c>
      <c r="E605" s="37">
        <v>45288</v>
      </c>
      <c r="F605" s="34">
        <v>0</v>
      </c>
      <c r="G605" s="35">
        <v>45534</v>
      </c>
      <c r="H605" s="34">
        <v>0</v>
      </c>
      <c r="I605" s="34">
        <v>0</v>
      </c>
      <c r="J605" s="39">
        <v>0</v>
      </c>
      <c r="K605" s="34"/>
      <c r="L605" s="40">
        <f t="shared" si="60"/>
        <v>247</v>
      </c>
      <c r="M605" s="34">
        <f t="shared" si="61"/>
        <v>50000</v>
      </c>
      <c r="N605" s="34">
        <f t="shared" si="62"/>
        <v>0</v>
      </c>
      <c r="O605" s="36">
        <f t="shared" si="63"/>
        <v>0</v>
      </c>
      <c r="P605" s="41">
        <f t="shared" si="59"/>
        <v>0</v>
      </c>
      <c r="Q605" s="70">
        <f t="shared" si="64"/>
        <v>0</v>
      </c>
    </row>
    <row r="606" spans="2:17" x14ac:dyDescent="0.4">
      <c r="B606" s="38" t="s">
        <v>1217</v>
      </c>
      <c r="C606" s="34">
        <v>1</v>
      </c>
      <c r="D606" s="34">
        <v>0</v>
      </c>
      <c r="E606" s="37">
        <v>45358</v>
      </c>
      <c r="F606" s="34">
        <v>1643878</v>
      </c>
      <c r="G606" s="35">
        <v>45534</v>
      </c>
      <c r="H606" s="34">
        <v>0</v>
      </c>
      <c r="I606" s="34">
        <v>0</v>
      </c>
      <c r="J606" s="39">
        <v>0</v>
      </c>
      <c r="K606" s="34"/>
      <c r="L606" s="40">
        <f t="shared" si="60"/>
        <v>177</v>
      </c>
      <c r="M606" s="34">
        <f t="shared" si="61"/>
        <v>0</v>
      </c>
      <c r="N606" s="34">
        <f t="shared" si="62"/>
        <v>1643878</v>
      </c>
      <c r="O606" s="36">
        <f t="shared" si="63"/>
        <v>0</v>
      </c>
      <c r="P606" s="41">
        <f>N606-SUM(M586:M606)</f>
        <v>443878</v>
      </c>
      <c r="Q606" s="70" t="e">
        <f t="shared" si="64"/>
        <v>#DIV/0!</v>
      </c>
    </row>
    <row r="607" spans="2:17" x14ac:dyDescent="0.4">
      <c r="B607" s="38" t="s">
        <v>1218</v>
      </c>
      <c r="C607" s="34">
        <v>1</v>
      </c>
      <c r="D607" s="34">
        <v>1000000</v>
      </c>
      <c r="E607" s="37">
        <v>44630</v>
      </c>
      <c r="F607" s="34">
        <v>0</v>
      </c>
      <c r="G607" s="35">
        <v>45538</v>
      </c>
      <c r="H607" s="34">
        <v>0</v>
      </c>
      <c r="I607" s="34">
        <v>0</v>
      </c>
      <c r="J607" s="39">
        <v>0</v>
      </c>
      <c r="K607" s="34"/>
      <c r="L607" s="40">
        <f t="shared" si="60"/>
        <v>909</v>
      </c>
      <c r="M607" s="34">
        <f t="shared" si="61"/>
        <v>1000000</v>
      </c>
      <c r="N607" s="34">
        <f t="shared" si="62"/>
        <v>0</v>
      </c>
      <c r="O607" s="36">
        <f t="shared" si="63"/>
        <v>0</v>
      </c>
      <c r="P607" s="41">
        <f>IF(N607=0,0,N607-M607+O607)</f>
        <v>0</v>
      </c>
      <c r="Q607" s="70">
        <f t="shared" si="64"/>
        <v>0</v>
      </c>
    </row>
    <row r="608" spans="2:17" x14ac:dyDescent="0.4">
      <c r="B608" s="38" t="s">
        <v>1218</v>
      </c>
      <c r="C608" s="34">
        <v>1</v>
      </c>
      <c r="D608" s="34">
        <v>107178</v>
      </c>
      <c r="E608" s="37">
        <v>44956</v>
      </c>
      <c r="F608" s="34">
        <v>1263721</v>
      </c>
      <c r="G608" s="35">
        <v>45538</v>
      </c>
      <c r="H608" s="34">
        <v>0</v>
      </c>
      <c r="I608" s="34">
        <v>0</v>
      </c>
      <c r="J608" s="39">
        <v>0</v>
      </c>
      <c r="K608" s="34"/>
      <c r="L608" s="40">
        <f t="shared" si="60"/>
        <v>583</v>
      </c>
      <c r="M608" s="34">
        <f t="shared" si="61"/>
        <v>107178</v>
      </c>
      <c r="N608" s="34">
        <f t="shared" si="62"/>
        <v>1263721</v>
      </c>
      <c r="O608" s="36">
        <f t="shared" si="63"/>
        <v>0</v>
      </c>
      <c r="P608" s="41">
        <f>N608-SUM(M607:M608)</f>
        <v>156543</v>
      </c>
      <c r="Q608" s="70">
        <f t="shared" si="64"/>
        <v>1.4605889268319991</v>
      </c>
    </row>
    <row r="609" spans="2:17" x14ac:dyDescent="0.4">
      <c r="B609" s="38" t="s">
        <v>1219</v>
      </c>
      <c r="C609" s="34">
        <v>1</v>
      </c>
      <c r="D609" s="34">
        <v>1124494</v>
      </c>
      <c r="E609" s="37">
        <v>45565</v>
      </c>
      <c r="F609" s="34">
        <v>0</v>
      </c>
      <c r="G609" s="35">
        <v>45975</v>
      </c>
      <c r="H609" s="34">
        <v>0</v>
      </c>
      <c r="I609" s="34">
        <v>0</v>
      </c>
      <c r="J609" s="39">
        <v>0</v>
      </c>
      <c r="K609" s="34"/>
      <c r="L609" s="40">
        <f t="shared" si="60"/>
        <v>411</v>
      </c>
      <c r="M609" s="34">
        <f t="shared" si="61"/>
        <v>1124494</v>
      </c>
      <c r="N609" s="34">
        <f t="shared" si="62"/>
        <v>0</v>
      </c>
      <c r="O609" s="36">
        <f t="shared" si="63"/>
        <v>0</v>
      </c>
      <c r="P609" s="41">
        <f t="shared" ref="P609:P622" si="65">IF(N609=0,0,N609-M609+O609)</f>
        <v>0</v>
      </c>
      <c r="Q609" s="70">
        <f t="shared" si="64"/>
        <v>0</v>
      </c>
    </row>
    <row r="610" spans="2:17" x14ac:dyDescent="0.4">
      <c r="B610" s="38" t="s">
        <v>1219</v>
      </c>
      <c r="C610" s="34">
        <v>1</v>
      </c>
      <c r="D610" s="34">
        <v>20000</v>
      </c>
      <c r="E610" s="37">
        <v>45594</v>
      </c>
      <c r="F610" s="34">
        <v>0</v>
      </c>
      <c r="G610" s="35">
        <v>45975</v>
      </c>
      <c r="H610" s="34">
        <v>0</v>
      </c>
      <c r="I610" s="34">
        <v>0</v>
      </c>
      <c r="J610" s="39">
        <v>0</v>
      </c>
      <c r="K610" s="34"/>
      <c r="L610" s="40">
        <f t="shared" si="60"/>
        <v>382</v>
      </c>
      <c r="M610" s="34">
        <f t="shared" si="61"/>
        <v>20000</v>
      </c>
      <c r="N610" s="34">
        <f t="shared" si="62"/>
        <v>0</v>
      </c>
      <c r="O610" s="36">
        <f t="shared" si="63"/>
        <v>0</v>
      </c>
      <c r="P610" s="41">
        <f t="shared" si="65"/>
        <v>0</v>
      </c>
      <c r="Q610" s="70">
        <f t="shared" si="64"/>
        <v>0</v>
      </c>
    </row>
    <row r="611" spans="2:17" x14ac:dyDescent="0.4">
      <c r="B611" s="38" t="s">
        <v>1219</v>
      </c>
      <c r="C611" s="34">
        <v>1</v>
      </c>
      <c r="D611" s="34">
        <v>20000</v>
      </c>
      <c r="E611" s="37">
        <v>45623</v>
      </c>
      <c r="F611" s="34">
        <v>0</v>
      </c>
      <c r="G611" s="35">
        <v>45975</v>
      </c>
      <c r="H611" s="34">
        <v>0</v>
      </c>
      <c r="I611" s="34">
        <v>0</v>
      </c>
      <c r="J611" s="39">
        <v>0</v>
      </c>
      <c r="K611" s="34"/>
      <c r="L611" s="40">
        <f t="shared" si="60"/>
        <v>353</v>
      </c>
      <c r="M611" s="34">
        <f t="shared" si="61"/>
        <v>20000</v>
      </c>
      <c r="N611" s="34">
        <f t="shared" si="62"/>
        <v>0</v>
      </c>
      <c r="O611" s="36">
        <f t="shared" si="63"/>
        <v>0</v>
      </c>
      <c r="P611" s="41">
        <f t="shared" si="65"/>
        <v>0</v>
      </c>
      <c r="Q611" s="70">
        <f t="shared" si="64"/>
        <v>0</v>
      </c>
    </row>
    <row r="612" spans="2:17" x14ac:dyDescent="0.4">
      <c r="B612" s="38" t="s">
        <v>1219</v>
      </c>
      <c r="C612" s="34">
        <v>1</v>
      </c>
      <c r="D612" s="34">
        <v>20000</v>
      </c>
      <c r="E612" s="37">
        <v>45656</v>
      </c>
      <c r="F612" s="34">
        <v>0</v>
      </c>
      <c r="G612" s="35">
        <v>45975</v>
      </c>
      <c r="H612" s="34">
        <v>0</v>
      </c>
      <c r="I612" s="34">
        <v>0</v>
      </c>
      <c r="J612" s="39">
        <v>0</v>
      </c>
      <c r="K612" s="34"/>
      <c r="L612" s="40">
        <f t="shared" si="60"/>
        <v>320</v>
      </c>
      <c r="M612" s="34">
        <f t="shared" si="61"/>
        <v>20000</v>
      </c>
      <c r="N612" s="34">
        <f t="shared" si="62"/>
        <v>0</v>
      </c>
      <c r="O612" s="36">
        <f t="shared" si="63"/>
        <v>0</v>
      </c>
      <c r="P612" s="41">
        <f t="shared" si="65"/>
        <v>0</v>
      </c>
      <c r="Q612" s="70">
        <f t="shared" si="64"/>
        <v>0</v>
      </c>
    </row>
    <row r="613" spans="2:17" x14ac:dyDescent="0.4">
      <c r="B613" s="38" t="s">
        <v>1219</v>
      </c>
      <c r="C613" s="34">
        <v>1</v>
      </c>
      <c r="D613" s="34">
        <v>20000</v>
      </c>
      <c r="E613" s="37">
        <v>45692</v>
      </c>
      <c r="F613" s="34">
        <v>0</v>
      </c>
      <c r="G613" s="35">
        <v>45975</v>
      </c>
      <c r="H613" s="34">
        <v>0</v>
      </c>
      <c r="I613" s="34">
        <v>0</v>
      </c>
      <c r="J613" s="39">
        <v>0</v>
      </c>
      <c r="K613" s="34"/>
      <c r="L613" s="40">
        <f t="shared" si="60"/>
        <v>284</v>
      </c>
      <c r="M613" s="34">
        <f t="shared" si="61"/>
        <v>20000</v>
      </c>
      <c r="N613" s="34">
        <f t="shared" si="62"/>
        <v>0</v>
      </c>
      <c r="O613" s="36">
        <f t="shared" si="63"/>
        <v>0</v>
      </c>
      <c r="P613" s="41">
        <f t="shared" si="65"/>
        <v>0</v>
      </c>
      <c r="Q613" s="70">
        <f t="shared" si="64"/>
        <v>0</v>
      </c>
    </row>
    <row r="614" spans="2:17" x14ac:dyDescent="0.4">
      <c r="B614" s="38" t="s">
        <v>1219</v>
      </c>
      <c r="C614" s="34">
        <v>1</v>
      </c>
      <c r="D614" s="34">
        <v>20000</v>
      </c>
      <c r="E614" s="37">
        <v>45715</v>
      </c>
      <c r="F614" s="34">
        <v>0</v>
      </c>
      <c r="G614" s="35">
        <v>45975</v>
      </c>
      <c r="H614" s="34">
        <v>0</v>
      </c>
      <c r="I614" s="34">
        <v>0</v>
      </c>
      <c r="J614" s="39">
        <v>0</v>
      </c>
      <c r="K614" s="34"/>
      <c r="L614" s="40">
        <f t="shared" si="60"/>
        <v>261</v>
      </c>
      <c r="M614" s="34">
        <f t="shared" si="61"/>
        <v>20000</v>
      </c>
      <c r="N614" s="34">
        <f t="shared" si="62"/>
        <v>0</v>
      </c>
      <c r="O614" s="36">
        <f t="shared" si="63"/>
        <v>0</v>
      </c>
      <c r="P614" s="41">
        <f t="shared" si="65"/>
        <v>0</v>
      </c>
      <c r="Q614" s="70">
        <f t="shared" si="64"/>
        <v>0</v>
      </c>
    </row>
    <row r="615" spans="2:17" x14ac:dyDescent="0.4">
      <c r="B615" s="38" t="s">
        <v>1219</v>
      </c>
      <c r="C615" s="34">
        <v>1</v>
      </c>
      <c r="D615" s="34">
        <v>0</v>
      </c>
      <c r="E615" s="37">
        <v>45728</v>
      </c>
      <c r="F615" s="34">
        <v>0</v>
      </c>
      <c r="G615" s="35">
        <v>45975</v>
      </c>
      <c r="H615" s="34">
        <v>0</v>
      </c>
      <c r="I615" s="34">
        <v>0</v>
      </c>
      <c r="J615" s="39">
        <v>0</v>
      </c>
      <c r="K615" s="34"/>
      <c r="L615" s="40">
        <f t="shared" si="60"/>
        <v>248</v>
      </c>
      <c r="M615" s="34">
        <f t="shared" si="61"/>
        <v>0</v>
      </c>
      <c r="N615" s="34">
        <f t="shared" si="62"/>
        <v>0</v>
      </c>
      <c r="O615" s="36">
        <f t="shared" si="63"/>
        <v>0</v>
      </c>
      <c r="P615" s="41">
        <f t="shared" si="65"/>
        <v>0</v>
      </c>
      <c r="Q615" s="70" t="e">
        <f t="shared" si="64"/>
        <v>#DIV/0!</v>
      </c>
    </row>
    <row r="616" spans="2:17" x14ac:dyDescent="0.4">
      <c r="B616" s="38" t="s">
        <v>1219</v>
      </c>
      <c r="C616" s="34">
        <v>1</v>
      </c>
      <c r="D616" s="34">
        <v>20000</v>
      </c>
      <c r="E616" s="37">
        <v>45743</v>
      </c>
      <c r="F616" s="34">
        <v>0</v>
      </c>
      <c r="G616" s="35">
        <v>45975</v>
      </c>
      <c r="H616" s="34">
        <v>0</v>
      </c>
      <c r="I616" s="34">
        <v>0</v>
      </c>
      <c r="J616" s="39">
        <v>0</v>
      </c>
      <c r="K616" s="34"/>
      <c r="L616" s="40">
        <f t="shared" si="60"/>
        <v>233</v>
      </c>
      <c r="M616" s="34">
        <f t="shared" si="61"/>
        <v>20000</v>
      </c>
      <c r="N616" s="34">
        <f t="shared" si="62"/>
        <v>0</v>
      </c>
      <c r="O616" s="36">
        <f t="shared" si="63"/>
        <v>0</v>
      </c>
      <c r="P616" s="41">
        <f t="shared" si="65"/>
        <v>0</v>
      </c>
      <c r="Q616" s="70">
        <f t="shared" si="64"/>
        <v>0</v>
      </c>
    </row>
    <row r="617" spans="2:17" x14ac:dyDescent="0.4">
      <c r="B617" s="38" t="s">
        <v>1219</v>
      </c>
      <c r="C617" s="34">
        <v>1</v>
      </c>
      <c r="D617" s="34">
        <v>20000</v>
      </c>
      <c r="E617" s="37">
        <v>45776</v>
      </c>
      <c r="F617" s="34">
        <v>0</v>
      </c>
      <c r="G617" s="35">
        <v>45975</v>
      </c>
      <c r="H617" s="34">
        <v>0</v>
      </c>
      <c r="I617" s="34">
        <v>0</v>
      </c>
      <c r="J617" s="39">
        <v>0</v>
      </c>
      <c r="K617" s="34"/>
      <c r="L617" s="40">
        <f t="shared" si="60"/>
        <v>200</v>
      </c>
      <c r="M617" s="34">
        <f t="shared" si="61"/>
        <v>20000</v>
      </c>
      <c r="N617" s="34">
        <f t="shared" si="62"/>
        <v>0</v>
      </c>
      <c r="O617" s="36">
        <f t="shared" si="63"/>
        <v>0</v>
      </c>
      <c r="P617" s="41">
        <f t="shared" si="65"/>
        <v>0</v>
      </c>
      <c r="Q617" s="70">
        <f t="shared" si="64"/>
        <v>0</v>
      </c>
    </row>
    <row r="618" spans="2:17" x14ac:dyDescent="0.4">
      <c r="B618" s="38" t="s">
        <v>1219</v>
      </c>
      <c r="C618" s="34">
        <v>1</v>
      </c>
      <c r="D618" s="34">
        <v>20000</v>
      </c>
      <c r="E618" s="37">
        <v>45805</v>
      </c>
      <c r="F618" s="34">
        <v>0</v>
      </c>
      <c r="G618" s="35">
        <v>45975</v>
      </c>
      <c r="H618" s="34">
        <v>0</v>
      </c>
      <c r="I618" s="34">
        <v>0</v>
      </c>
      <c r="J618" s="39">
        <v>0</v>
      </c>
      <c r="K618" s="34"/>
      <c r="L618" s="40">
        <f t="shared" si="60"/>
        <v>171</v>
      </c>
      <c r="M618" s="34">
        <f t="shared" si="61"/>
        <v>20000</v>
      </c>
      <c r="N618" s="34">
        <f t="shared" si="62"/>
        <v>0</v>
      </c>
      <c r="O618" s="36">
        <f t="shared" si="63"/>
        <v>0</v>
      </c>
      <c r="P618" s="41">
        <f t="shared" si="65"/>
        <v>0</v>
      </c>
      <c r="Q618" s="70">
        <f t="shared" si="64"/>
        <v>0</v>
      </c>
    </row>
    <row r="619" spans="2:17" x14ac:dyDescent="0.4">
      <c r="B619" s="38" t="s">
        <v>1219</v>
      </c>
      <c r="C619" s="34">
        <v>1</v>
      </c>
      <c r="D619" s="34">
        <v>20000</v>
      </c>
      <c r="E619" s="37">
        <v>45835</v>
      </c>
      <c r="F619" s="34">
        <v>0</v>
      </c>
      <c r="G619" s="35">
        <v>45975</v>
      </c>
      <c r="H619" s="34">
        <v>0</v>
      </c>
      <c r="I619" s="34">
        <v>0</v>
      </c>
      <c r="J619" s="39">
        <v>0</v>
      </c>
      <c r="K619" s="34"/>
      <c r="L619" s="40">
        <f t="shared" si="60"/>
        <v>141</v>
      </c>
      <c r="M619" s="34">
        <f t="shared" si="61"/>
        <v>20000</v>
      </c>
      <c r="N619" s="34">
        <f t="shared" si="62"/>
        <v>0</v>
      </c>
      <c r="O619" s="36">
        <f t="shared" si="63"/>
        <v>0</v>
      </c>
      <c r="P619" s="41">
        <f t="shared" si="65"/>
        <v>0</v>
      </c>
      <c r="Q619" s="70">
        <f t="shared" si="64"/>
        <v>0</v>
      </c>
    </row>
    <row r="620" spans="2:17" x14ac:dyDescent="0.4">
      <c r="B620" s="38" t="s">
        <v>1219</v>
      </c>
      <c r="C620" s="34">
        <v>1</v>
      </c>
      <c r="D620" s="34">
        <v>20000</v>
      </c>
      <c r="E620" s="37">
        <v>45867</v>
      </c>
      <c r="F620" s="34">
        <v>0</v>
      </c>
      <c r="G620" s="35">
        <v>45975</v>
      </c>
      <c r="H620" s="34">
        <v>0</v>
      </c>
      <c r="I620" s="34">
        <v>0</v>
      </c>
      <c r="J620" s="39">
        <v>0</v>
      </c>
      <c r="K620" s="34"/>
      <c r="L620" s="40">
        <f t="shared" si="60"/>
        <v>109</v>
      </c>
      <c r="M620" s="34">
        <f t="shared" si="61"/>
        <v>20000</v>
      </c>
      <c r="N620" s="34">
        <f t="shared" si="62"/>
        <v>0</v>
      </c>
      <c r="O620" s="36">
        <f t="shared" si="63"/>
        <v>0</v>
      </c>
      <c r="P620" s="41">
        <f t="shared" si="65"/>
        <v>0</v>
      </c>
      <c r="Q620" s="70">
        <f t="shared" si="64"/>
        <v>0</v>
      </c>
    </row>
    <row r="621" spans="2:17" x14ac:dyDescent="0.4">
      <c r="B621" s="38" t="s">
        <v>1219</v>
      </c>
      <c r="C621" s="34">
        <v>1</v>
      </c>
      <c r="D621" s="34">
        <v>20000</v>
      </c>
      <c r="E621" s="37">
        <v>45896</v>
      </c>
      <c r="F621" s="34">
        <v>0</v>
      </c>
      <c r="G621" s="35">
        <v>45975</v>
      </c>
      <c r="H621" s="34">
        <v>0</v>
      </c>
      <c r="I621" s="34">
        <v>0</v>
      </c>
      <c r="J621" s="39">
        <v>0</v>
      </c>
      <c r="K621" s="34"/>
      <c r="L621" s="40">
        <f t="shared" si="60"/>
        <v>80</v>
      </c>
      <c r="M621" s="34">
        <f t="shared" si="61"/>
        <v>20000</v>
      </c>
      <c r="N621" s="34">
        <f t="shared" si="62"/>
        <v>0</v>
      </c>
      <c r="O621" s="36">
        <f t="shared" si="63"/>
        <v>0</v>
      </c>
      <c r="P621" s="41">
        <f t="shared" si="65"/>
        <v>0</v>
      </c>
      <c r="Q621" s="70">
        <f t="shared" si="64"/>
        <v>0</v>
      </c>
    </row>
    <row r="622" spans="2:17" x14ac:dyDescent="0.4">
      <c r="B622" s="38" t="s">
        <v>1219</v>
      </c>
      <c r="C622" s="34">
        <v>1</v>
      </c>
      <c r="D622" s="34">
        <v>20000</v>
      </c>
      <c r="E622" s="37">
        <v>45929</v>
      </c>
      <c r="F622" s="34">
        <v>0</v>
      </c>
      <c r="G622" s="35">
        <v>45975</v>
      </c>
      <c r="H622" s="34">
        <v>0</v>
      </c>
      <c r="I622" s="34">
        <v>0</v>
      </c>
      <c r="J622" s="39">
        <v>0</v>
      </c>
      <c r="K622" s="34"/>
      <c r="L622" s="40">
        <f t="shared" ref="L622:L653" si="66">G622-E622+1</f>
        <v>47</v>
      </c>
      <c r="M622" s="34">
        <f t="shared" ref="M622:M653" si="67">C622*D622</f>
        <v>20000</v>
      </c>
      <c r="N622" s="34">
        <f t="shared" ref="N622:N653" si="68">C622*F622</f>
        <v>0</v>
      </c>
      <c r="O622" s="36">
        <f t="shared" ref="O622:O653" si="69">K622-H622-I622-J622</f>
        <v>0</v>
      </c>
      <c r="P622" s="41">
        <f t="shared" si="65"/>
        <v>0</v>
      </c>
      <c r="Q622" s="70">
        <f t="shared" ref="Q622:Q653" si="70">P622/M622</f>
        <v>0</v>
      </c>
    </row>
    <row r="623" spans="2:17" x14ac:dyDescent="0.4">
      <c r="B623" s="38" t="s">
        <v>1219</v>
      </c>
      <c r="C623" s="34">
        <v>1</v>
      </c>
      <c r="D623" s="34">
        <v>20000</v>
      </c>
      <c r="E623" s="37">
        <v>45959</v>
      </c>
      <c r="F623" s="34">
        <v>1499493</v>
      </c>
      <c r="G623" s="35">
        <v>45975</v>
      </c>
      <c r="H623" s="34">
        <v>0</v>
      </c>
      <c r="I623" s="34">
        <v>0</v>
      </c>
      <c r="J623" s="39">
        <v>0</v>
      </c>
      <c r="K623" s="34"/>
      <c r="L623" s="40">
        <f t="shared" si="66"/>
        <v>17</v>
      </c>
      <c r="M623" s="34">
        <f t="shared" si="67"/>
        <v>20000</v>
      </c>
      <c r="N623" s="34">
        <f t="shared" si="68"/>
        <v>1499493</v>
      </c>
      <c r="O623" s="36">
        <f t="shared" si="69"/>
        <v>0</v>
      </c>
      <c r="P623" s="41">
        <f>N623-SUM(M609:M623)</f>
        <v>114999</v>
      </c>
      <c r="Q623" s="70">
        <f t="shared" si="70"/>
        <v>5.7499500000000001</v>
      </c>
    </row>
    <row r="624" spans="2:17" x14ac:dyDescent="0.4">
      <c r="B624" s="38" t="s">
        <v>1220</v>
      </c>
      <c r="C624" s="34">
        <v>1</v>
      </c>
      <c r="D624" s="34">
        <v>1000000</v>
      </c>
      <c r="E624" s="37">
        <v>45567</v>
      </c>
      <c r="F624" s="34">
        <v>0</v>
      </c>
      <c r="G624" s="35">
        <v>45940</v>
      </c>
      <c r="H624" s="34">
        <v>0</v>
      </c>
      <c r="I624" s="34">
        <v>0</v>
      </c>
      <c r="J624" s="39">
        <v>0</v>
      </c>
      <c r="K624" s="34"/>
      <c r="L624" s="40">
        <f t="shared" si="66"/>
        <v>374</v>
      </c>
      <c r="M624" s="34">
        <f t="shared" si="67"/>
        <v>1000000</v>
      </c>
      <c r="N624" s="34">
        <f t="shared" si="68"/>
        <v>0</v>
      </c>
      <c r="O624" s="36">
        <f t="shared" si="69"/>
        <v>0</v>
      </c>
      <c r="P624" s="41">
        <f t="shared" ref="P624:P635" si="71">IF(N624=0,0,N624-M624+O624)</f>
        <v>0</v>
      </c>
      <c r="Q624" s="70">
        <f t="shared" si="70"/>
        <v>0</v>
      </c>
    </row>
    <row r="625" spans="2:17" x14ac:dyDescent="0.4">
      <c r="B625" s="38" t="s">
        <v>1220</v>
      </c>
      <c r="C625" s="34">
        <v>1</v>
      </c>
      <c r="D625" s="34">
        <v>30000</v>
      </c>
      <c r="E625" s="37">
        <v>45595</v>
      </c>
      <c r="F625" s="34">
        <v>0</v>
      </c>
      <c r="G625" s="35">
        <v>45940</v>
      </c>
      <c r="H625" s="34">
        <v>0</v>
      </c>
      <c r="I625" s="34">
        <v>0</v>
      </c>
      <c r="J625" s="39">
        <v>0</v>
      </c>
      <c r="K625" s="34"/>
      <c r="L625" s="40">
        <f t="shared" si="66"/>
        <v>346</v>
      </c>
      <c r="M625" s="34">
        <f t="shared" si="67"/>
        <v>30000</v>
      </c>
      <c r="N625" s="34">
        <f t="shared" si="68"/>
        <v>0</v>
      </c>
      <c r="O625" s="36">
        <f t="shared" si="69"/>
        <v>0</v>
      </c>
      <c r="P625" s="41">
        <f t="shared" si="71"/>
        <v>0</v>
      </c>
      <c r="Q625" s="70">
        <f t="shared" si="70"/>
        <v>0</v>
      </c>
    </row>
    <row r="626" spans="2:17" x14ac:dyDescent="0.4">
      <c r="B626" s="38" t="s">
        <v>1220</v>
      </c>
      <c r="C626" s="34">
        <v>1</v>
      </c>
      <c r="D626" s="34">
        <v>30000</v>
      </c>
      <c r="E626" s="37">
        <v>45624</v>
      </c>
      <c r="F626" s="34">
        <v>0</v>
      </c>
      <c r="G626" s="35">
        <v>45940</v>
      </c>
      <c r="H626" s="34">
        <v>0</v>
      </c>
      <c r="I626" s="34">
        <v>0</v>
      </c>
      <c r="J626" s="39">
        <v>0</v>
      </c>
      <c r="K626" s="34"/>
      <c r="L626" s="40">
        <f t="shared" si="66"/>
        <v>317</v>
      </c>
      <c r="M626" s="34">
        <f t="shared" si="67"/>
        <v>30000</v>
      </c>
      <c r="N626" s="34">
        <f t="shared" si="68"/>
        <v>0</v>
      </c>
      <c r="O626" s="36">
        <f t="shared" si="69"/>
        <v>0</v>
      </c>
      <c r="P626" s="41">
        <f t="shared" si="71"/>
        <v>0</v>
      </c>
      <c r="Q626" s="70">
        <f t="shared" si="70"/>
        <v>0</v>
      </c>
    </row>
    <row r="627" spans="2:17" x14ac:dyDescent="0.4">
      <c r="B627" s="38" t="s">
        <v>1220</v>
      </c>
      <c r="C627" s="34">
        <v>1</v>
      </c>
      <c r="D627" s="34">
        <v>30000</v>
      </c>
      <c r="E627" s="37">
        <v>45657</v>
      </c>
      <c r="F627" s="34">
        <v>0</v>
      </c>
      <c r="G627" s="35">
        <v>45940</v>
      </c>
      <c r="H627" s="34">
        <v>0</v>
      </c>
      <c r="I627" s="34">
        <v>0</v>
      </c>
      <c r="J627" s="39">
        <v>0</v>
      </c>
      <c r="K627" s="34"/>
      <c r="L627" s="40">
        <f t="shared" si="66"/>
        <v>284</v>
      </c>
      <c r="M627" s="34">
        <f t="shared" si="67"/>
        <v>30000</v>
      </c>
      <c r="N627" s="34">
        <f t="shared" si="68"/>
        <v>0</v>
      </c>
      <c r="O627" s="36">
        <f t="shared" si="69"/>
        <v>0</v>
      </c>
      <c r="P627" s="41">
        <f t="shared" si="71"/>
        <v>0</v>
      </c>
      <c r="Q627" s="70">
        <f t="shared" si="70"/>
        <v>0</v>
      </c>
    </row>
    <row r="628" spans="2:17" x14ac:dyDescent="0.4">
      <c r="B628" s="38" t="s">
        <v>1220</v>
      </c>
      <c r="C628" s="34">
        <v>1</v>
      </c>
      <c r="D628" s="34">
        <v>30000</v>
      </c>
      <c r="E628" s="37">
        <v>45693</v>
      </c>
      <c r="F628" s="34">
        <v>0</v>
      </c>
      <c r="G628" s="35">
        <v>45940</v>
      </c>
      <c r="H628" s="34">
        <v>0</v>
      </c>
      <c r="I628" s="34">
        <v>0</v>
      </c>
      <c r="J628" s="39">
        <v>0</v>
      </c>
      <c r="K628" s="34"/>
      <c r="L628" s="40">
        <f t="shared" si="66"/>
        <v>248</v>
      </c>
      <c r="M628" s="34">
        <f t="shared" si="67"/>
        <v>30000</v>
      </c>
      <c r="N628" s="34">
        <f t="shared" si="68"/>
        <v>0</v>
      </c>
      <c r="O628" s="36">
        <f t="shared" si="69"/>
        <v>0</v>
      </c>
      <c r="P628" s="41">
        <f t="shared" si="71"/>
        <v>0</v>
      </c>
      <c r="Q628" s="70">
        <f t="shared" si="70"/>
        <v>0</v>
      </c>
    </row>
    <row r="629" spans="2:17" x14ac:dyDescent="0.4">
      <c r="B629" s="38" t="s">
        <v>1220</v>
      </c>
      <c r="C629" s="34">
        <v>1</v>
      </c>
      <c r="D629" s="34">
        <v>30000</v>
      </c>
      <c r="E629" s="37">
        <v>45716</v>
      </c>
      <c r="F629" s="34">
        <v>0</v>
      </c>
      <c r="G629" s="35">
        <v>45940</v>
      </c>
      <c r="H629" s="34">
        <v>0</v>
      </c>
      <c r="I629" s="34">
        <v>0</v>
      </c>
      <c r="J629" s="39">
        <v>0</v>
      </c>
      <c r="K629" s="34"/>
      <c r="L629" s="40">
        <f t="shared" si="66"/>
        <v>225</v>
      </c>
      <c r="M629" s="34">
        <f t="shared" si="67"/>
        <v>30000</v>
      </c>
      <c r="N629" s="34">
        <f t="shared" si="68"/>
        <v>0</v>
      </c>
      <c r="O629" s="36">
        <f t="shared" si="69"/>
        <v>0</v>
      </c>
      <c r="P629" s="41">
        <f t="shared" si="71"/>
        <v>0</v>
      </c>
      <c r="Q629" s="70">
        <f t="shared" si="70"/>
        <v>0</v>
      </c>
    </row>
    <row r="630" spans="2:17" x14ac:dyDescent="0.4">
      <c r="B630" s="38" t="s">
        <v>1220</v>
      </c>
      <c r="C630" s="34">
        <v>1</v>
      </c>
      <c r="D630" s="34">
        <v>0</v>
      </c>
      <c r="E630" s="37">
        <v>45728</v>
      </c>
      <c r="F630" s="34">
        <v>0</v>
      </c>
      <c r="G630" s="35">
        <v>45940</v>
      </c>
      <c r="H630" s="34">
        <v>0</v>
      </c>
      <c r="I630" s="34">
        <v>0</v>
      </c>
      <c r="J630" s="39">
        <v>0</v>
      </c>
      <c r="K630" s="34"/>
      <c r="L630" s="40">
        <f t="shared" si="66"/>
        <v>213</v>
      </c>
      <c r="M630" s="34">
        <f t="shared" si="67"/>
        <v>0</v>
      </c>
      <c r="N630" s="34">
        <f t="shared" si="68"/>
        <v>0</v>
      </c>
      <c r="O630" s="36">
        <f t="shared" si="69"/>
        <v>0</v>
      </c>
      <c r="P630" s="41">
        <f t="shared" si="71"/>
        <v>0</v>
      </c>
      <c r="Q630" s="70" t="e">
        <f t="shared" si="70"/>
        <v>#DIV/0!</v>
      </c>
    </row>
    <row r="631" spans="2:17" x14ac:dyDescent="0.4">
      <c r="B631" s="38" t="s">
        <v>1220</v>
      </c>
      <c r="C631" s="34">
        <v>1</v>
      </c>
      <c r="D631" s="34">
        <v>30000</v>
      </c>
      <c r="E631" s="37">
        <v>45744</v>
      </c>
      <c r="F631" s="34">
        <v>0</v>
      </c>
      <c r="G631" s="35">
        <v>45940</v>
      </c>
      <c r="H631" s="34">
        <v>0</v>
      </c>
      <c r="I631" s="34">
        <v>0</v>
      </c>
      <c r="J631" s="39">
        <v>0</v>
      </c>
      <c r="K631" s="34"/>
      <c r="L631" s="40">
        <f t="shared" si="66"/>
        <v>197</v>
      </c>
      <c r="M631" s="34">
        <f t="shared" si="67"/>
        <v>30000</v>
      </c>
      <c r="N631" s="34">
        <f t="shared" si="68"/>
        <v>0</v>
      </c>
      <c r="O631" s="36">
        <f t="shared" si="69"/>
        <v>0</v>
      </c>
      <c r="P631" s="41">
        <f t="shared" si="71"/>
        <v>0</v>
      </c>
      <c r="Q631" s="70">
        <f t="shared" si="70"/>
        <v>0</v>
      </c>
    </row>
    <row r="632" spans="2:17" x14ac:dyDescent="0.4">
      <c r="B632" s="38" t="s">
        <v>1220</v>
      </c>
      <c r="C632" s="34">
        <v>1</v>
      </c>
      <c r="D632" s="34">
        <v>30000</v>
      </c>
      <c r="E632" s="37">
        <v>45777</v>
      </c>
      <c r="F632" s="34">
        <v>0</v>
      </c>
      <c r="G632" s="35">
        <v>45940</v>
      </c>
      <c r="H632" s="34">
        <v>0</v>
      </c>
      <c r="I632" s="34">
        <v>0</v>
      </c>
      <c r="J632" s="39">
        <v>0</v>
      </c>
      <c r="K632" s="34"/>
      <c r="L632" s="40">
        <f t="shared" si="66"/>
        <v>164</v>
      </c>
      <c r="M632" s="34">
        <f t="shared" si="67"/>
        <v>30000</v>
      </c>
      <c r="N632" s="34">
        <f t="shared" si="68"/>
        <v>0</v>
      </c>
      <c r="O632" s="36">
        <f t="shared" si="69"/>
        <v>0</v>
      </c>
      <c r="P632" s="41">
        <f t="shared" si="71"/>
        <v>0</v>
      </c>
      <c r="Q632" s="70">
        <f t="shared" si="70"/>
        <v>0</v>
      </c>
    </row>
    <row r="633" spans="2:17" x14ac:dyDescent="0.4">
      <c r="B633" s="38" t="s">
        <v>1220</v>
      </c>
      <c r="C633" s="34">
        <v>1</v>
      </c>
      <c r="D633" s="34">
        <v>30000</v>
      </c>
      <c r="E633" s="37">
        <v>45806</v>
      </c>
      <c r="F633" s="34">
        <v>0</v>
      </c>
      <c r="G633" s="35">
        <v>45940</v>
      </c>
      <c r="H633" s="34">
        <v>0</v>
      </c>
      <c r="I633" s="34">
        <v>0</v>
      </c>
      <c r="J633" s="39">
        <v>0</v>
      </c>
      <c r="K633" s="34"/>
      <c r="L633" s="40">
        <f t="shared" si="66"/>
        <v>135</v>
      </c>
      <c r="M633" s="34">
        <f t="shared" si="67"/>
        <v>30000</v>
      </c>
      <c r="N633" s="34">
        <f t="shared" si="68"/>
        <v>0</v>
      </c>
      <c r="O633" s="36">
        <f t="shared" si="69"/>
        <v>0</v>
      </c>
      <c r="P633" s="41">
        <f t="shared" si="71"/>
        <v>0</v>
      </c>
      <c r="Q633" s="70">
        <f t="shared" si="70"/>
        <v>0</v>
      </c>
    </row>
    <row r="634" spans="2:17" x14ac:dyDescent="0.4">
      <c r="B634" s="38" t="s">
        <v>1220</v>
      </c>
      <c r="C634" s="34">
        <v>1</v>
      </c>
      <c r="D634" s="34">
        <v>30000</v>
      </c>
      <c r="E634" s="37">
        <v>45838</v>
      </c>
      <c r="F634" s="34">
        <v>0</v>
      </c>
      <c r="G634" s="35">
        <v>45940</v>
      </c>
      <c r="H634" s="34">
        <v>0</v>
      </c>
      <c r="I634" s="34">
        <v>0</v>
      </c>
      <c r="J634" s="39">
        <v>0</v>
      </c>
      <c r="K634" s="34"/>
      <c r="L634" s="40">
        <f t="shared" si="66"/>
        <v>103</v>
      </c>
      <c r="M634" s="34">
        <f t="shared" si="67"/>
        <v>30000</v>
      </c>
      <c r="N634" s="34">
        <f t="shared" si="68"/>
        <v>0</v>
      </c>
      <c r="O634" s="36">
        <f t="shared" si="69"/>
        <v>0</v>
      </c>
      <c r="P634" s="41">
        <f t="shared" si="71"/>
        <v>0</v>
      </c>
      <c r="Q634" s="70">
        <f t="shared" si="70"/>
        <v>0</v>
      </c>
    </row>
    <row r="635" spans="2:17" x14ac:dyDescent="0.4">
      <c r="B635" s="38" t="s">
        <v>1220</v>
      </c>
      <c r="C635" s="34">
        <v>1</v>
      </c>
      <c r="D635" s="34">
        <v>30000</v>
      </c>
      <c r="E635" s="37">
        <v>45868</v>
      </c>
      <c r="F635" s="34">
        <v>0</v>
      </c>
      <c r="G635" s="35">
        <v>45940</v>
      </c>
      <c r="H635" s="34">
        <v>0</v>
      </c>
      <c r="I635" s="34">
        <v>0</v>
      </c>
      <c r="J635" s="39">
        <v>0</v>
      </c>
      <c r="K635" s="34"/>
      <c r="L635" s="40">
        <f t="shared" si="66"/>
        <v>73</v>
      </c>
      <c r="M635" s="34">
        <f t="shared" si="67"/>
        <v>30000</v>
      </c>
      <c r="N635" s="34">
        <f t="shared" si="68"/>
        <v>0</v>
      </c>
      <c r="O635" s="36">
        <f t="shared" si="69"/>
        <v>0</v>
      </c>
      <c r="P635" s="41">
        <f t="shared" si="71"/>
        <v>0</v>
      </c>
      <c r="Q635" s="70">
        <f t="shared" si="70"/>
        <v>0</v>
      </c>
    </row>
    <row r="636" spans="2:17" x14ac:dyDescent="0.4">
      <c r="B636" s="38" t="s">
        <v>1220</v>
      </c>
      <c r="C636" s="34">
        <v>1</v>
      </c>
      <c r="D636" s="34">
        <v>30000</v>
      </c>
      <c r="E636" s="37">
        <v>45897</v>
      </c>
      <c r="F636" s="34">
        <v>1639552</v>
      </c>
      <c r="G636" s="35">
        <v>45940</v>
      </c>
      <c r="H636" s="34">
        <v>0</v>
      </c>
      <c r="I636" s="34">
        <v>0</v>
      </c>
      <c r="J636" s="39">
        <v>0</v>
      </c>
      <c r="K636" s="34"/>
      <c r="L636" s="40">
        <f t="shared" si="66"/>
        <v>44</v>
      </c>
      <c r="M636" s="34">
        <f t="shared" si="67"/>
        <v>30000</v>
      </c>
      <c r="N636" s="34">
        <f t="shared" si="68"/>
        <v>1639552</v>
      </c>
      <c r="O636" s="36">
        <f t="shared" si="69"/>
        <v>0</v>
      </c>
      <c r="P636" s="41">
        <f>N636-SUM(M624:M636)</f>
        <v>309552</v>
      </c>
      <c r="Q636" s="70">
        <f t="shared" si="70"/>
        <v>10.3184</v>
      </c>
    </row>
    <row r="637" spans="2:17" x14ac:dyDescent="0.4">
      <c r="B637" s="38" t="s">
        <v>1221</v>
      </c>
      <c r="C637" s="34">
        <v>1</v>
      </c>
      <c r="D637" s="34">
        <v>1000000</v>
      </c>
      <c r="E637" s="37">
        <v>45567</v>
      </c>
      <c r="F637" s="34">
        <v>0</v>
      </c>
      <c r="G637" s="35">
        <v>45975</v>
      </c>
      <c r="H637" s="34">
        <v>0</v>
      </c>
      <c r="I637" s="34">
        <v>0</v>
      </c>
      <c r="J637" s="39">
        <v>0</v>
      </c>
      <c r="K637" s="34"/>
      <c r="L637" s="40">
        <f t="shared" si="66"/>
        <v>409</v>
      </c>
      <c r="M637" s="34">
        <f t="shared" si="67"/>
        <v>1000000</v>
      </c>
      <c r="N637" s="34">
        <f t="shared" si="68"/>
        <v>0</v>
      </c>
      <c r="O637" s="36">
        <f t="shared" si="69"/>
        <v>0</v>
      </c>
      <c r="P637" s="41">
        <f t="shared" ref="P637:P650" si="72">IF(N637=0,0,N637-M637+O637)</f>
        <v>0</v>
      </c>
      <c r="Q637" s="70">
        <f t="shared" si="70"/>
        <v>0</v>
      </c>
    </row>
    <row r="638" spans="2:17" x14ac:dyDescent="0.4">
      <c r="B638" s="38" t="s">
        <v>1221</v>
      </c>
      <c r="C638" s="34">
        <v>1</v>
      </c>
      <c r="D638" s="34">
        <v>30000</v>
      </c>
      <c r="E638" s="37">
        <v>45595</v>
      </c>
      <c r="F638" s="34">
        <v>0</v>
      </c>
      <c r="G638" s="35">
        <v>45975</v>
      </c>
      <c r="H638" s="34">
        <v>0</v>
      </c>
      <c r="I638" s="34">
        <v>0</v>
      </c>
      <c r="J638" s="39">
        <v>0</v>
      </c>
      <c r="K638" s="34"/>
      <c r="L638" s="40">
        <f t="shared" si="66"/>
        <v>381</v>
      </c>
      <c r="M638" s="34">
        <f t="shared" si="67"/>
        <v>30000</v>
      </c>
      <c r="N638" s="34">
        <f t="shared" si="68"/>
        <v>0</v>
      </c>
      <c r="O638" s="36">
        <f t="shared" si="69"/>
        <v>0</v>
      </c>
      <c r="P638" s="41">
        <f t="shared" si="72"/>
        <v>0</v>
      </c>
      <c r="Q638" s="70">
        <f t="shared" si="70"/>
        <v>0</v>
      </c>
    </row>
    <row r="639" spans="2:17" x14ac:dyDescent="0.4">
      <c r="B639" s="38" t="s">
        <v>1221</v>
      </c>
      <c r="C639" s="34">
        <v>1</v>
      </c>
      <c r="D639" s="34">
        <v>30000</v>
      </c>
      <c r="E639" s="37">
        <v>45624</v>
      </c>
      <c r="F639" s="34">
        <v>0</v>
      </c>
      <c r="G639" s="35">
        <v>45975</v>
      </c>
      <c r="H639" s="34">
        <v>0</v>
      </c>
      <c r="I639" s="34">
        <v>0</v>
      </c>
      <c r="J639" s="39">
        <v>0</v>
      </c>
      <c r="K639" s="34"/>
      <c r="L639" s="40">
        <f t="shared" si="66"/>
        <v>352</v>
      </c>
      <c r="M639" s="34">
        <f t="shared" si="67"/>
        <v>30000</v>
      </c>
      <c r="N639" s="34">
        <f t="shared" si="68"/>
        <v>0</v>
      </c>
      <c r="O639" s="36">
        <f t="shared" si="69"/>
        <v>0</v>
      </c>
      <c r="P639" s="41">
        <f t="shared" si="72"/>
        <v>0</v>
      </c>
      <c r="Q639" s="70">
        <f t="shared" si="70"/>
        <v>0</v>
      </c>
    </row>
    <row r="640" spans="2:17" x14ac:dyDescent="0.4">
      <c r="B640" s="38" t="s">
        <v>1221</v>
      </c>
      <c r="C640" s="34">
        <v>1</v>
      </c>
      <c r="D640" s="34">
        <v>30000</v>
      </c>
      <c r="E640" s="37">
        <v>45657</v>
      </c>
      <c r="F640" s="34">
        <v>0</v>
      </c>
      <c r="G640" s="35">
        <v>45975</v>
      </c>
      <c r="H640" s="34">
        <v>0</v>
      </c>
      <c r="I640" s="34">
        <v>0</v>
      </c>
      <c r="J640" s="39">
        <v>0</v>
      </c>
      <c r="K640" s="34"/>
      <c r="L640" s="40">
        <f t="shared" si="66"/>
        <v>319</v>
      </c>
      <c r="M640" s="34">
        <f t="shared" si="67"/>
        <v>30000</v>
      </c>
      <c r="N640" s="34">
        <f t="shared" si="68"/>
        <v>0</v>
      </c>
      <c r="O640" s="36">
        <f t="shared" si="69"/>
        <v>0</v>
      </c>
      <c r="P640" s="41">
        <f t="shared" si="72"/>
        <v>0</v>
      </c>
      <c r="Q640" s="70">
        <f t="shared" si="70"/>
        <v>0</v>
      </c>
    </row>
    <row r="641" spans="2:17" x14ac:dyDescent="0.4">
      <c r="B641" s="38" t="s">
        <v>1221</v>
      </c>
      <c r="C641" s="34">
        <v>1</v>
      </c>
      <c r="D641" s="34">
        <v>30000</v>
      </c>
      <c r="E641" s="37">
        <v>45693</v>
      </c>
      <c r="F641" s="34">
        <v>0</v>
      </c>
      <c r="G641" s="35">
        <v>45975</v>
      </c>
      <c r="H641" s="34">
        <v>0</v>
      </c>
      <c r="I641" s="34">
        <v>0</v>
      </c>
      <c r="J641" s="39">
        <v>0</v>
      </c>
      <c r="K641" s="34"/>
      <c r="L641" s="40">
        <f t="shared" si="66"/>
        <v>283</v>
      </c>
      <c r="M641" s="34">
        <f t="shared" si="67"/>
        <v>30000</v>
      </c>
      <c r="N641" s="34">
        <f t="shared" si="68"/>
        <v>0</v>
      </c>
      <c r="O641" s="36">
        <f t="shared" si="69"/>
        <v>0</v>
      </c>
      <c r="P641" s="41">
        <f t="shared" si="72"/>
        <v>0</v>
      </c>
      <c r="Q641" s="70">
        <f t="shared" si="70"/>
        <v>0</v>
      </c>
    </row>
    <row r="642" spans="2:17" x14ac:dyDescent="0.4">
      <c r="B642" s="38" t="s">
        <v>1221</v>
      </c>
      <c r="C642" s="34">
        <v>1</v>
      </c>
      <c r="D642" s="34">
        <v>30000</v>
      </c>
      <c r="E642" s="37">
        <v>45716</v>
      </c>
      <c r="F642" s="34">
        <v>0</v>
      </c>
      <c r="G642" s="35">
        <v>45975</v>
      </c>
      <c r="H642" s="34">
        <v>0</v>
      </c>
      <c r="I642" s="34">
        <v>0</v>
      </c>
      <c r="J642" s="39">
        <v>0</v>
      </c>
      <c r="K642" s="34"/>
      <c r="L642" s="40">
        <f t="shared" si="66"/>
        <v>260</v>
      </c>
      <c r="M642" s="34">
        <f t="shared" si="67"/>
        <v>30000</v>
      </c>
      <c r="N642" s="34">
        <f t="shared" si="68"/>
        <v>0</v>
      </c>
      <c r="O642" s="36">
        <f t="shared" si="69"/>
        <v>0</v>
      </c>
      <c r="P642" s="41">
        <f t="shared" si="72"/>
        <v>0</v>
      </c>
      <c r="Q642" s="70">
        <f t="shared" si="70"/>
        <v>0</v>
      </c>
    </row>
    <row r="643" spans="2:17" x14ac:dyDescent="0.4">
      <c r="B643" s="38" t="s">
        <v>1221</v>
      </c>
      <c r="C643" s="34">
        <v>1</v>
      </c>
      <c r="D643" s="34">
        <v>30000</v>
      </c>
      <c r="E643" s="37">
        <v>45744</v>
      </c>
      <c r="F643" s="34">
        <v>0</v>
      </c>
      <c r="G643" s="35">
        <v>45975</v>
      </c>
      <c r="H643" s="34">
        <v>0</v>
      </c>
      <c r="I643" s="34">
        <v>0</v>
      </c>
      <c r="J643" s="39">
        <v>0</v>
      </c>
      <c r="K643" s="34"/>
      <c r="L643" s="40">
        <f t="shared" si="66"/>
        <v>232</v>
      </c>
      <c r="M643" s="34">
        <f t="shared" si="67"/>
        <v>30000</v>
      </c>
      <c r="N643" s="34">
        <f t="shared" si="68"/>
        <v>0</v>
      </c>
      <c r="O643" s="36">
        <f t="shared" si="69"/>
        <v>0</v>
      </c>
      <c r="P643" s="41">
        <f t="shared" si="72"/>
        <v>0</v>
      </c>
      <c r="Q643" s="70">
        <f t="shared" si="70"/>
        <v>0</v>
      </c>
    </row>
    <row r="644" spans="2:17" x14ac:dyDescent="0.4">
      <c r="B644" s="38" t="s">
        <v>1221</v>
      </c>
      <c r="C644" s="34">
        <v>1</v>
      </c>
      <c r="D644" s="34">
        <v>30000</v>
      </c>
      <c r="E644" s="37">
        <v>45777</v>
      </c>
      <c r="F644" s="34">
        <v>0</v>
      </c>
      <c r="G644" s="35">
        <v>45975</v>
      </c>
      <c r="H644" s="34">
        <v>0</v>
      </c>
      <c r="I644" s="34">
        <v>0</v>
      </c>
      <c r="J644" s="39">
        <v>0</v>
      </c>
      <c r="K644" s="34"/>
      <c r="L644" s="40">
        <f t="shared" si="66"/>
        <v>199</v>
      </c>
      <c r="M644" s="34">
        <f t="shared" si="67"/>
        <v>30000</v>
      </c>
      <c r="N644" s="34">
        <f t="shared" si="68"/>
        <v>0</v>
      </c>
      <c r="O644" s="36">
        <f t="shared" si="69"/>
        <v>0</v>
      </c>
      <c r="P644" s="41">
        <f t="shared" si="72"/>
        <v>0</v>
      </c>
      <c r="Q644" s="70">
        <f t="shared" si="70"/>
        <v>0</v>
      </c>
    </row>
    <row r="645" spans="2:17" x14ac:dyDescent="0.4">
      <c r="B645" s="38" t="s">
        <v>1221</v>
      </c>
      <c r="C645" s="34">
        <v>1</v>
      </c>
      <c r="D645" s="34">
        <v>30000</v>
      </c>
      <c r="E645" s="37">
        <v>45806</v>
      </c>
      <c r="F645" s="34">
        <v>0</v>
      </c>
      <c r="G645" s="35">
        <v>45975</v>
      </c>
      <c r="H645" s="34">
        <v>0</v>
      </c>
      <c r="I645" s="34">
        <v>0</v>
      </c>
      <c r="J645" s="39">
        <v>0</v>
      </c>
      <c r="K645" s="34"/>
      <c r="L645" s="40">
        <f t="shared" si="66"/>
        <v>170</v>
      </c>
      <c r="M645" s="34">
        <f t="shared" si="67"/>
        <v>30000</v>
      </c>
      <c r="N645" s="34">
        <f t="shared" si="68"/>
        <v>0</v>
      </c>
      <c r="O645" s="36">
        <f t="shared" si="69"/>
        <v>0</v>
      </c>
      <c r="P645" s="41">
        <f t="shared" si="72"/>
        <v>0</v>
      </c>
      <c r="Q645" s="70">
        <f t="shared" si="70"/>
        <v>0</v>
      </c>
    </row>
    <row r="646" spans="2:17" x14ac:dyDescent="0.4">
      <c r="B646" s="38" t="s">
        <v>1221</v>
      </c>
      <c r="C646" s="34">
        <v>1</v>
      </c>
      <c r="D646" s="34">
        <v>30000</v>
      </c>
      <c r="E646" s="37">
        <v>45838</v>
      </c>
      <c r="F646" s="34">
        <v>0</v>
      </c>
      <c r="G646" s="35">
        <v>45975</v>
      </c>
      <c r="H646" s="34">
        <v>0</v>
      </c>
      <c r="I646" s="34">
        <v>0</v>
      </c>
      <c r="J646" s="39">
        <v>0</v>
      </c>
      <c r="K646" s="34"/>
      <c r="L646" s="40">
        <f t="shared" si="66"/>
        <v>138</v>
      </c>
      <c r="M646" s="34">
        <f t="shared" si="67"/>
        <v>30000</v>
      </c>
      <c r="N646" s="34">
        <f t="shared" si="68"/>
        <v>0</v>
      </c>
      <c r="O646" s="36">
        <f t="shared" si="69"/>
        <v>0</v>
      </c>
      <c r="P646" s="41">
        <f t="shared" si="72"/>
        <v>0</v>
      </c>
      <c r="Q646" s="70">
        <f t="shared" si="70"/>
        <v>0</v>
      </c>
    </row>
    <row r="647" spans="2:17" x14ac:dyDescent="0.4">
      <c r="B647" s="38" t="s">
        <v>1221</v>
      </c>
      <c r="C647" s="34">
        <v>1</v>
      </c>
      <c r="D647" s="34">
        <v>30000</v>
      </c>
      <c r="E647" s="37">
        <v>45868</v>
      </c>
      <c r="F647" s="34">
        <v>0</v>
      </c>
      <c r="G647" s="35">
        <v>45975</v>
      </c>
      <c r="H647" s="34">
        <v>0</v>
      </c>
      <c r="I647" s="34">
        <v>0</v>
      </c>
      <c r="J647" s="39">
        <v>0</v>
      </c>
      <c r="K647" s="34"/>
      <c r="L647" s="40">
        <f t="shared" si="66"/>
        <v>108</v>
      </c>
      <c r="M647" s="34">
        <f t="shared" si="67"/>
        <v>30000</v>
      </c>
      <c r="N647" s="34">
        <f t="shared" si="68"/>
        <v>0</v>
      </c>
      <c r="O647" s="36">
        <f t="shared" si="69"/>
        <v>0</v>
      </c>
      <c r="P647" s="41">
        <f t="shared" si="72"/>
        <v>0</v>
      </c>
      <c r="Q647" s="70">
        <f t="shared" si="70"/>
        <v>0</v>
      </c>
    </row>
    <row r="648" spans="2:17" x14ac:dyDescent="0.4">
      <c r="B648" s="38" t="s">
        <v>1221</v>
      </c>
      <c r="C648" s="34">
        <v>1</v>
      </c>
      <c r="D648" s="34">
        <v>30000</v>
      </c>
      <c r="E648" s="37">
        <v>45897</v>
      </c>
      <c r="F648" s="34">
        <v>0</v>
      </c>
      <c r="G648" s="35">
        <v>45975</v>
      </c>
      <c r="H648" s="34">
        <v>0</v>
      </c>
      <c r="I648" s="34">
        <v>0</v>
      </c>
      <c r="J648" s="39">
        <v>0</v>
      </c>
      <c r="K648" s="34"/>
      <c r="L648" s="40">
        <f t="shared" si="66"/>
        <v>79</v>
      </c>
      <c r="M648" s="34">
        <f t="shared" si="67"/>
        <v>30000</v>
      </c>
      <c r="N648" s="34">
        <f t="shared" si="68"/>
        <v>0</v>
      </c>
      <c r="O648" s="36">
        <f t="shared" si="69"/>
        <v>0</v>
      </c>
      <c r="P648" s="41">
        <f t="shared" si="72"/>
        <v>0</v>
      </c>
      <c r="Q648" s="70">
        <f t="shared" si="70"/>
        <v>0</v>
      </c>
    </row>
    <row r="649" spans="2:17" x14ac:dyDescent="0.4">
      <c r="B649" s="38" t="s">
        <v>1221</v>
      </c>
      <c r="C649" s="34">
        <v>1</v>
      </c>
      <c r="D649" s="34">
        <v>30000</v>
      </c>
      <c r="E649" s="37">
        <v>45930</v>
      </c>
      <c r="F649" s="34">
        <v>0</v>
      </c>
      <c r="G649" s="35">
        <v>45975</v>
      </c>
      <c r="H649" s="34">
        <v>0</v>
      </c>
      <c r="I649" s="34">
        <v>0</v>
      </c>
      <c r="J649" s="39">
        <v>0</v>
      </c>
      <c r="K649" s="34"/>
      <c r="L649" s="40">
        <f t="shared" si="66"/>
        <v>46</v>
      </c>
      <c r="M649" s="34">
        <f t="shared" si="67"/>
        <v>30000</v>
      </c>
      <c r="N649" s="34">
        <f t="shared" si="68"/>
        <v>0</v>
      </c>
      <c r="O649" s="36">
        <f t="shared" si="69"/>
        <v>0</v>
      </c>
      <c r="P649" s="41">
        <f t="shared" si="72"/>
        <v>0</v>
      </c>
      <c r="Q649" s="70">
        <f t="shared" si="70"/>
        <v>0</v>
      </c>
    </row>
    <row r="650" spans="2:17" x14ac:dyDescent="0.4">
      <c r="B650" s="38" t="s">
        <v>1221</v>
      </c>
      <c r="C650" s="34">
        <v>1</v>
      </c>
      <c r="D650" s="34">
        <v>1000000</v>
      </c>
      <c r="E650" s="37">
        <v>45944</v>
      </c>
      <c r="F650" s="34">
        <v>0</v>
      </c>
      <c r="G650" s="35">
        <v>45975</v>
      </c>
      <c r="H650" s="34">
        <v>0</v>
      </c>
      <c r="I650" s="34">
        <v>0</v>
      </c>
      <c r="J650" s="39">
        <v>0</v>
      </c>
      <c r="K650" s="34"/>
      <c r="L650" s="40">
        <f t="shared" si="66"/>
        <v>32</v>
      </c>
      <c r="M650" s="34">
        <f t="shared" si="67"/>
        <v>1000000</v>
      </c>
      <c r="N650" s="34">
        <f t="shared" si="68"/>
        <v>0</v>
      </c>
      <c r="O650" s="36">
        <f t="shared" si="69"/>
        <v>0</v>
      </c>
      <c r="P650" s="41">
        <f t="shared" si="72"/>
        <v>0</v>
      </c>
      <c r="Q650" s="70">
        <f t="shared" si="70"/>
        <v>0</v>
      </c>
    </row>
    <row r="651" spans="2:17" x14ac:dyDescent="0.4">
      <c r="B651" s="38" t="s">
        <v>1221</v>
      </c>
      <c r="C651" s="34">
        <v>1</v>
      </c>
      <c r="D651" s="34">
        <v>30000</v>
      </c>
      <c r="E651" s="37">
        <v>45960</v>
      </c>
      <c r="F651" s="34">
        <v>2290045</v>
      </c>
      <c r="G651" s="35">
        <v>45975</v>
      </c>
      <c r="H651" s="34">
        <v>0</v>
      </c>
      <c r="I651" s="34">
        <v>0</v>
      </c>
      <c r="J651" s="39">
        <v>0</v>
      </c>
      <c r="K651" s="34"/>
      <c r="L651" s="40">
        <f t="shared" si="66"/>
        <v>16</v>
      </c>
      <c r="M651" s="34">
        <f t="shared" si="67"/>
        <v>30000</v>
      </c>
      <c r="N651" s="34">
        <f t="shared" si="68"/>
        <v>2290045</v>
      </c>
      <c r="O651" s="36">
        <f t="shared" si="69"/>
        <v>0</v>
      </c>
      <c r="P651" s="41">
        <f>N651-SUM(M637:M651)</f>
        <v>-99955</v>
      </c>
      <c r="Q651" s="70">
        <f t="shared" si="70"/>
        <v>-3.3318333333333334</v>
      </c>
    </row>
    <row r="652" spans="2:17" x14ac:dyDescent="0.4">
      <c r="B652" s="38" t="s">
        <v>1222</v>
      </c>
      <c r="C652" s="34">
        <v>1</v>
      </c>
      <c r="D652" s="34">
        <v>1000000</v>
      </c>
      <c r="E652" s="37">
        <v>45565</v>
      </c>
      <c r="F652" s="34">
        <v>0</v>
      </c>
      <c r="G652" s="35">
        <v>45926</v>
      </c>
      <c r="H652" s="34">
        <v>0</v>
      </c>
      <c r="I652" s="34">
        <v>0</v>
      </c>
      <c r="J652" s="39">
        <v>0</v>
      </c>
      <c r="K652" s="34"/>
      <c r="L652" s="40">
        <f t="shared" si="66"/>
        <v>362</v>
      </c>
      <c r="M652" s="34">
        <f t="shared" si="67"/>
        <v>1000000</v>
      </c>
      <c r="N652" s="34">
        <f t="shared" si="68"/>
        <v>0</v>
      </c>
      <c r="O652" s="36">
        <f t="shared" si="69"/>
        <v>0</v>
      </c>
      <c r="P652" s="41">
        <f t="shared" ref="P652:P663" si="73">IF(N652=0,0,N652-M652+O652)</f>
        <v>0</v>
      </c>
      <c r="Q652" s="70">
        <f t="shared" si="70"/>
        <v>0</v>
      </c>
    </row>
    <row r="653" spans="2:17" x14ac:dyDescent="0.4">
      <c r="B653" s="38" t="s">
        <v>1222</v>
      </c>
      <c r="C653" s="34">
        <v>1</v>
      </c>
      <c r="D653" s="34">
        <v>20000</v>
      </c>
      <c r="E653" s="37">
        <v>45594</v>
      </c>
      <c r="F653" s="34">
        <v>0</v>
      </c>
      <c r="G653" s="35">
        <v>45926</v>
      </c>
      <c r="H653" s="34">
        <v>0</v>
      </c>
      <c r="I653" s="34">
        <v>0</v>
      </c>
      <c r="J653" s="39">
        <v>0</v>
      </c>
      <c r="K653" s="34"/>
      <c r="L653" s="40">
        <f t="shared" si="66"/>
        <v>333</v>
      </c>
      <c r="M653" s="34">
        <f t="shared" si="67"/>
        <v>20000</v>
      </c>
      <c r="N653" s="34">
        <f t="shared" si="68"/>
        <v>0</v>
      </c>
      <c r="O653" s="36">
        <f t="shared" si="69"/>
        <v>0</v>
      </c>
      <c r="P653" s="41">
        <f t="shared" si="73"/>
        <v>0</v>
      </c>
      <c r="Q653" s="70">
        <f t="shared" si="70"/>
        <v>0</v>
      </c>
    </row>
    <row r="654" spans="2:17" x14ac:dyDescent="0.4">
      <c r="B654" s="38" t="s">
        <v>1222</v>
      </c>
      <c r="C654" s="34">
        <v>1</v>
      </c>
      <c r="D654" s="34">
        <v>20000</v>
      </c>
      <c r="E654" s="37">
        <v>45623</v>
      </c>
      <c r="F654" s="34">
        <v>0</v>
      </c>
      <c r="G654" s="35">
        <v>45926</v>
      </c>
      <c r="H654" s="34">
        <v>0</v>
      </c>
      <c r="I654" s="34">
        <v>0</v>
      </c>
      <c r="J654" s="39">
        <v>0</v>
      </c>
      <c r="K654" s="34"/>
      <c r="L654" s="40">
        <f t="shared" ref="L654:L685" si="74">G654-E654+1</f>
        <v>304</v>
      </c>
      <c r="M654" s="34">
        <f t="shared" ref="M654:M685" si="75">C654*D654</f>
        <v>20000</v>
      </c>
      <c r="N654" s="34">
        <f t="shared" ref="N654:N685" si="76">C654*F654</f>
        <v>0</v>
      </c>
      <c r="O654" s="36">
        <f t="shared" ref="O654:O685" si="77">K654-H654-I654-J654</f>
        <v>0</v>
      </c>
      <c r="P654" s="41">
        <f t="shared" si="73"/>
        <v>0</v>
      </c>
      <c r="Q654" s="70">
        <f t="shared" ref="Q654:Q685" si="78">P654/M654</f>
        <v>0</v>
      </c>
    </row>
    <row r="655" spans="2:17" x14ac:dyDescent="0.4">
      <c r="B655" s="38" t="s">
        <v>1222</v>
      </c>
      <c r="C655" s="34">
        <v>1</v>
      </c>
      <c r="D655" s="34">
        <v>20000</v>
      </c>
      <c r="E655" s="37">
        <v>45656</v>
      </c>
      <c r="F655" s="34">
        <v>0</v>
      </c>
      <c r="G655" s="35">
        <v>45926</v>
      </c>
      <c r="H655" s="34">
        <v>0</v>
      </c>
      <c r="I655" s="34">
        <v>0</v>
      </c>
      <c r="J655" s="39">
        <v>0</v>
      </c>
      <c r="K655" s="34"/>
      <c r="L655" s="40">
        <f t="shared" si="74"/>
        <v>271</v>
      </c>
      <c r="M655" s="34">
        <f t="shared" si="75"/>
        <v>20000</v>
      </c>
      <c r="N655" s="34">
        <f t="shared" si="76"/>
        <v>0</v>
      </c>
      <c r="O655" s="36">
        <f t="shared" si="77"/>
        <v>0</v>
      </c>
      <c r="P655" s="41">
        <f t="shared" si="73"/>
        <v>0</v>
      </c>
      <c r="Q655" s="70">
        <f t="shared" si="78"/>
        <v>0</v>
      </c>
    </row>
    <row r="656" spans="2:17" x14ac:dyDescent="0.4">
      <c r="B656" s="38" t="s">
        <v>1222</v>
      </c>
      <c r="C656" s="34">
        <v>1</v>
      </c>
      <c r="D656" s="34">
        <v>20000</v>
      </c>
      <c r="E656" s="37">
        <v>45692</v>
      </c>
      <c r="F656" s="34">
        <v>0</v>
      </c>
      <c r="G656" s="35">
        <v>45926</v>
      </c>
      <c r="H656" s="34">
        <v>0</v>
      </c>
      <c r="I656" s="34">
        <v>0</v>
      </c>
      <c r="J656" s="39">
        <v>0</v>
      </c>
      <c r="K656" s="34"/>
      <c r="L656" s="40">
        <f t="shared" si="74"/>
        <v>235</v>
      </c>
      <c r="M656" s="34">
        <f t="shared" si="75"/>
        <v>20000</v>
      </c>
      <c r="N656" s="34">
        <f t="shared" si="76"/>
        <v>0</v>
      </c>
      <c r="O656" s="36">
        <f t="shared" si="77"/>
        <v>0</v>
      </c>
      <c r="P656" s="41">
        <f t="shared" si="73"/>
        <v>0</v>
      </c>
      <c r="Q656" s="70">
        <f t="shared" si="78"/>
        <v>0</v>
      </c>
    </row>
    <row r="657" spans="2:17" x14ac:dyDescent="0.4">
      <c r="B657" s="38" t="s">
        <v>1222</v>
      </c>
      <c r="C657" s="34">
        <v>1</v>
      </c>
      <c r="D657" s="34">
        <v>0</v>
      </c>
      <c r="E657" s="37">
        <v>45698</v>
      </c>
      <c r="F657" s="34">
        <v>0</v>
      </c>
      <c r="G657" s="35">
        <v>45926</v>
      </c>
      <c r="H657" s="34">
        <v>0</v>
      </c>
      <c r="I657" s="34">
        <v>0</v>
      </c>
      <c r="J657" s="39">
        <v>0</v>
      </c>
      <c r="K657" s="34"/>
      <c r="L657" s="40">
        <f t="shared" si="74"/>
        <v>229</v>
      </c>
      <c r="M657" s="34">
        <f t="shared" si="75"/>
        <v>0</v>
      </c>
      <c r="N657" s="34">
        <f t="shared" si="76"/>
        <v>0</v>
      </c>
      <c r="O657" s="36">
        <f t="shared" si="77"/>
        <v>0</v>
      </c>
      <c r="P657" s="41">
        <f t="shared" si="73"/>
        <v>0</v>
      </c>
      <c r="Q657" s="70" t="e">
        <f t="shared" si="78"/>
        <v>#DIV/0!</v>
      </c>
    </row>
    <row r="658" spans="2:17" x14ac:dyDescent="0.4">
      <c r="B658" s="38" t="s">
        <v>1222</v>
      </c>
      <c r="C658" s="34">
        <v>1</v>
      </c>
      <c r="D658" s="34">
        <v>20000</v>
      </c>
      <c r="E658" s="37">
        <v>45715</v>
      </c>
      <c r="F658" s="34">
        <v>0</v>
      </c>
      <c r="G658" s="35">
        <v>45926</v>
      </c>
      <c r="H658" s="34">
        <v>0</v>
      </c>
      <c r="I658" s="34">
        <v>0</v>
      </c>
      <c r="J658" s="39">
        <v>0</v>
      </c>
      <c r="K658" s="34"/>
      <c r="L658" s="40">
        <f t="shared" si="74"/>
        <v>212</v>
      </c>
      <c r="M658" s="34">
        <f t="shared" si="75"/>
        <v>20000</v>
      </c>
      <c r="N658" s="34">
        <f t="shared" si="76"/>
        <v>0</v>
      </c>
      <c r="O658" s="36">
        <f t="shared" si="77"/>
        <v>0</v>
      </c>
      <c r="P658" s="41">
        <f t="shared" si="73"/>
        <v>0</v>
      </c>
      <c r="Q658" s="70">
        <f t="shared" si="78"/>
        <v>0</v>
      </c>
    </row>
    <row r="659" spans="2:17" x14ac:dyDescent="0.4">
      <c r="B659" s="38" t="s">
        <v>1222</v>
      </c>
      <c r="C659" s="34">
        <v>1</v>
      </c>
      <c r="D659" s="34">
        <v>20000</v>
      </c>
      <c r="E659" s="37">
        <v>45743</v>
      </c>
      <c r="F659" s="34">
        <v>0</v>
      </c>
      <c r="G659" s="35">
        <v>45926</v>
      </c>
      <c r="H659" s="34">
        <v>0</v>
      </c>
      <c r="I659" s="34">
        <v>0</v>
      </c>
      <c r="J659" s="39">
        <v>0</v>
      </c>
      <c r="K659" s="34"/>
      <c r="L659" s="40">
        <f t="shared" si="74"/>
        <v>184</v>
      </c>
      <c r="M659" s="34">
        <f t="shared" si="75"/>
        <v>20000</v>
      </c>
      <c r="N659" s="34">
        <f t="shared" si="76"/>
        <v>0</v>
      </c>
      <c r="O659" s="36">
        <f t="shared" si="77"/>
        <v>0</v>
      </c>
      <c r="P659" s="41">
        <f t="shared" si="73"/>
        <v>0</v>
      </c>
      <c r="Q659" s="70">
        <f t="shared" si="78"/>
        <v>0</v>
      </c>
    </row>
    <row r="660" spans="2:17" x14ac:dyDescent="0.4">
      <c r="B660" s="38" t="s">
        <v>1222</v>
      </c>
      <c r="C660" s="34">
        <v>1</v>
      </c>
      <c r="D660" s="34">
        <v>20000</v>
      </c>
      <c r="E660" s="37">
        <v>45776</v>
      </c>
      <c r="F660" s="34">
        <v>0</v>
      </c>
      <c r="G660" s="35">
        <v>45926</v>
      </c>
      <c r="H660" s="34">
        <v>0</v>
      </c>
      <c r="I660" s="34">
        <v>0</v>
      </c>
      <c r="J660" s="39">
        <v>0</v>
      </c>
      <c r="K660" s="34"/>
      <c r="L660" s="40">
        <f t="shared" si="74"/>
        <v>151</v>
      </c>
      <c r="M660" s="34">
        <f t="shared" si="75"/>
        <v>20000</v>
      </c>
      <c r="N660" s="34">
        <f t="shared" si="76"/>
        <v>0</v>
      </c>
      <c r="O660" s="36">
        <f t="shared" si="77"/>
        <v>0</v>
      </c>
      <c r="P660" s="41">
        <f t="shared" si="73"/>
        <v>0</v>
      </c>
      <c r="Q660" s="70">
        <f t="shared" si="78"/>
        <v>0</v>
      </c>
    </row>
    <row r="661" spans="2:17" x14ac:dyDescent="0.4">
      <c r="B661" s="38" t="s">
        <v>1222</v>
      </c>
      <c r="C661" s="34">
        <v>1</v>
      </c>
      <c r="D661" s="34">
        <v>20000</v>
      </c>
      <c r="E661" s="37">
        <v>45805</v>
      </c>
      <c r="F661" s="34">
        <v>0</v>
      </c>
      <c r="G661" s="35">
        <v>45926</v>
      </c>
      <c r="H661" s="34">
        <v>0</v>
      </c>
      <c r="I661" s="34">
        <v>0</v>
      </c>
      <c r="J661" s="39">
        <v>0</v>
      </c>
      <c r="K661" s="34"/>
      <c r="L661" s="40">
        <f t="shared" si="74"/>
        <v>122</v>
      </c>
      <c r="M661" s="34">
        <f t="shared" si="75"/>
        <v>20000</v>
      </c>
      <c r="N661" s="34">
        <f t="shared" si="76"/>
        <v>0</v>
      </c>
      <c r="O661" s="36">
        <f t="shared" si="77"/>
        <v>0</v>
      </c>
      <c r="P661" s="41">
        <f t="shared" si="73"/>
        <v>0</v>
      </c>
      <c r="Q661" s="70">
        <f t="shared" si="78"/>
        <v>0</v>
      </c>
    </row>
    <row r="662" spans="2:17" x14ac:dyDescent="0.4">
      <c r="B662" s="38" t="s">
        <v>1222</v>
      </c>
      <c r="C662" s="34">
        <v>1</v>
      </c>
      <c r="D662" s="34">
        <v>20000</v>
      </c>
      <c r="E662" s="37">
        <v>45835</v>
      </c>
      <c r="F662" s="34">
        <v>0</v>
      </c>
      <c r="G662" s="35">
        <v>45926</v>
      </c>
      <c r="H662" s="34">
        <v>0</v>
      </c>
      <c r="I662" s="34">
        <v>0</v>
      </c>
      <c r="J662" s="39">
        <v>0</v>
      </c>
      <c r="K662" s="34"/>
      <c r="L662" s="40">
        <f t="shared" si="74"/>
        <v>92</v>
      </c>
      <c r="M662" s="34">
        <f t="shared" si="75"/>
        <v>20000</v>
      </c>
      <c r="N662" s="34">
        <f t="shared" si="76"/>
        <v>0</v>
      </c>
      <c r="O662" s="36">
        <f t="shared" si="77"/>
        <v>0</v>
      </c>
      <c r="P662" s="41">
        <f t="shared" si="73"/>
        <v>0</v>
      </c>
      <c r="Q662" s="70">
        <f t="shared" si="78"/>
        <v>0</v>
      </c>
    </row>
    <row r="663" spans="2:17" x14ac:dyDescent="0.4">
      <c r="B663" s="38" t="s">
        <v>1222</v>
      </c>
      <c r="C663" s="34">
        <v>1</v>
      </c>
      <c r="D663" s="34">
        <v>20000</v>
      </c>
      <c r="E663" s="37">
        <v>45867</v>
      </c>
      <c r="F663" s="34">
        <v>0</v>
      </c>
      <c r="G663" s="35">
        <v>45926</v>
      </c>
      <c r="H663" s="34">
        <v>0</v>
      </c>
      <c r="I663" s="34">
        <v>0</v>
      </c>
      <c r="J663" s="39">
        <v>0</v>
      </c>
      <c r="K663" s="34"/>
      <c r="L663" s="40">
        <f t="shared" si="74"/>
        <v>60</v>
      </c>
      <c r="M663" s="34">
        <f t="shared" si="75"/>
        <v>20000</v>
      </c>
      <c r="N663" s="34">
        <f t="shared" si="76"/>
        <v>0</v>
      </c>
      <c r="O663" s="36">
        <f t="shared" si="77"/>
        <v>0</v>
      </c>
      <c r="P663" s="41">
        <f t="shared" si="73"/>
        <v>0</v>
      </c>
      <c r="Q663" s="70">
        <f t="shared" si="78"/>
        <v>0</v>
      </c>
    </row>
    <row r="664" spans="2:17" x14ac:dyDescent="0.4">
      <c r="B664" s="38" t="s">
        <v>1222</v>
      </c>
      <c r="C664" s="34">
        <v>1</v>
      </c>
      <c r="D664" s="34">
        <v>20000</v>
      </c>
      <c r="E664" s="37">
        <v>45896</v>
      </c>
      <c r="F664" s="34">
        <v>1336791</v>
      </c>
      <c r="G664" s="35">
        <v>45926</v>
      </c>
      <c r="H664" s="34">
        <v>0</v>
      </c>
      <c r="I664" s="34">
        <v>0</v>
      </c>
      <c r="J664" s="39">
        <v>0</v>
      </c>
      <c r="K664" s="34"/>
      <c r="L664" s="40">
        <f t="shared" si="74"/>
        <v>31</v>
      </c>
      <c r="M664" s="34">
        <f t="shared" si="75"/>
        <v>20000</v>
      </c>
      <c r="N664" s="34">
        <f t="shared" si="76"/>
        <v>1336791</v>
      </c>
      <c r="O664" s="36">
        <f t="shared" si="77"/>
        <v>0</v>
      </c>
      <c r="P664" s="41">
        <f>N664-SUM(M652:M664)</f>
        <v>116791</v>
      </c>
      <c r="Q664" s="70">
        <f t="shared" si="78"/>
        <v>5.83955</v>
      </c>
    </row>
    <row r="665" spans="2:17" x14ac:dyDescent="0.4">
      <c r="B665" s="38" t="s">
        <v>1223</v>
      </c>
      <c r="C665" s="34">
        <v>1</v>
      </c>
      <c r="D665" s="34">
        <v>350000</v>
      </c>
      <c r="E665" s="37">
        <v>45940</v>
      </c>
      <c r="F665" s="34">
        <v>0</v>
      </c>
      <c r="G665" s="35">
        <v>45969</v>
      </c>
      <c r="H665" s="34">
        <v>0</v>
      </c>
      <c r="I665" s="34">
        <v>0</v>
      </c>
      <c r="J665" s="39">
        <v>0</v>
      </c>
      <c r="K665" s="34"/>
      <c r="L665" s="40">
        <f t="shared" si="74"/>
        <v>30</v>
      </c>
      <c r="M665" s="34">
        <f t="shared" si="75"/>
        <v>350000</v>
      </c>
      <c r="N665" s="34">
        <f t="shared" si="76"/>
        <v>0</v>
      </c>
      <c r="O665" s="36">
        <f t="shared" si="77"/>
        <v>0</v>
      </c>
      <c r="P665" s="41">
        <f>IF(N665=0,0,N665-M665+O665)</f>
        <v>0</v>
      </c>
      <c r="Q665" s="70">
        <f t="shared" si="78"/>
        <v>0</v>
      </c>
    </row>
    <row r="666" spans="2:17" x14ac:dyDescent="0.4">
      <c r="B666" s="38" t="s">
        <v>1223</v>
      </c>
      <c r="C666" s="34">
        <v>1</v>
      </c>
      <c r="D666" s="34">
        <v>1000000</v>
      </c>
      <c r="E666" s="37">
        <v>45944</v>
      </c>
      <c r="F666" s="34">
        <v>1454829</v>
      </c>
      <c r="G666" s="35">
        <v>45969</v>
      </c>
      <c r="H666" s="34">
        <v>0</v>
      </c>
      <c r="I666" s="34">
        <v>0</v>
      </c>
      <c r="J666" s="39">
        <v>0</v>
      </c>
      <c r="K666" s="34"/>
      <c r="L666" s="40">
        <f t="shared" si="74"/>
        <v>26</v>
      </c>
      <c r="M666" s="34">
        <f t="shared" si="75"/>
        <v>1000000</v>
      </c>
      <c r="N666" s="34">
        <f t="shared" si="76"/>
        <v>1454829</v>
      </c>
      <c r="O666" s="36">
        <f t="shared" si="77"/>
        <v>0</v>
      </c>
      <c r="P666" s="41">
        <f>N666-SUM(M665:M666)</f>
        <v>104829</v>
      </c>
      <c r="Q666" s="70">
        <f t="shared" si="78"/>
        <v>0.10482900000000001</v>
      </c>
    </row>
    <row r="667" spans="2:17" x14ac:dyDescent="0.4">
      <c r="B667" s="38" t="s">
        <v>1224</v>
      </c>
      <c r="C667" s="34">
        <v>1</v>
      </c>
      <c r="D667" s="34">
        <v>1000000</v>
      </c>
      <c r="E667" s="37">
        <v>45940</v>
      </c>
      <c r="F667" s="34">
        <v>1046679</v>
      </c>
      <c r="G667" s="35">
        <v>45988</v>
      </c>
      <c r="H667" s="34">
        <v>0</v>
      </c>
      <c r="I667" s="34">
        <v>0</v>
      </c>
      <c r="J667" s="39">
        <v>0</v>
      </c>
      <c r="K667" s="34"/>
      <c r="L667" s="40">
        <f t="shared" si="74"/>
        <v>49</v>
      </c>
      <c r="M667" s="34">
        <f t="shared" si="75"/>
        <v>1000000</v>
      </c>
      <c r="N667" s="34">
        <f t="shared" si="76"/>
        <v>1046679</v>
      </c>
      <c r="O667" s="36">
        <f t="shared" si="77"/>
        <v>0</v>
      </c>
      <c r="P667" s="41">
        <f>N667-M667</f>
        <v>46679</v>
      </c>
      <c r="Q667" s="70">
        <f t="shared" si="78"/>
        <v>4.6678999999999998E-2</v>
      </c>
    </row>
    <row r="668" spans="2:17" x14ac:dyDescent="0.4">
      <c r="B668" s="38" t="s">
        <v>1225</v>
      </c>
      <c r="C668" s="34">
        <v>70</v>
      </c>
      <c r="D668" s="34">
        <v>13640</v>
      </c>
      <c r="E668" s="37">
        <v>45925</v>
      </c>
      <c r="F668" s="34">
        <v>12765</v>
      </c>
      <c r="G668" s="35">
        <v>45974</v>
      </c>
      <c r="H668" s="34">
        <f t="shared" ref="H668:H699" si="79">ROUNDUP(M668*0.0014,-1)</f>
        <v>1340</v>
      </c>
      <c r="I668" s="34">
        <f t="shared" ref="I668:I699" si="80">ROUNDDOWN(N668*0.0014,-1)</f>
        <v>1250</v>
      </c>
      <c r="J668" s="383">
        <f t="shared" ref="J668:J699" si="81">N668*0.002</f>
        <v>1787.1000000000001</v>
      </c>
      <c r="K668" s="34"/>
      <c r="L668" s="40">
        <f t="shared" si="74"/>
        <v>50</v>
      </c>
      <c r="M668" s="34">
        <f t="shared" si="75"/>
        <v>954800</v>
      </c>
      <c r="N668" s="34">
        <f t="shared" si="76"/>
        <v>893550</v>
      </c>
      <c r="O668" s="36">
        <f t="shared" si="77"/>
        <v>-4377.1000000000004</v>
      </c>
      <c r="P668" s="41">
        <f t="shared" ref="P668:P699" si="82">IF(N668=0,0,N668-M668+O668)</f>
        <v>-65627.100000000006</v>
      </c>
      <c r="Q668" s="70">
        <f t="shared" si="78"/>
        <v>-6.8733870967741945E-2</v>
      </c>
    </row>
    <row r="669" spans="2:17" x14ac:dyDescent="0.4">
      <c r="B669" s="38" t="s">
        <v>1225</v>
      </c>
      <c r="C669" s="34">
        <v>15</v>
      </c>
      <c r="D669" s="34">
        <v>13550</v>
      </c>
      <c r="E669" s="37">
        <v>45949</v>
      </c>
      <c r="F669" s="34">
        <v>12765</v>
      </c>
      <c r="G669" s="35">
        <v>45974</v>
      </c>
      <c r="H669" s="34">
        <f t="shared" si="79"/>
        <v>290</v>
      </c>
      <c r="I669" s="34">
        <f t="shared" si="80"/>
        <v>260</v>
      </c>
      <c r="J669" s="383">
        <f t="shared" si="81"/>
        <v>382.95</v>
      </c>
      <c r="K669" s="34"/>
      <c r="L669" s="40">
        <f t="shared" si="74"/>
        <v>26</v>
      </c>
      <c r="M669" s="34">
        <f t="shared" si="75"/>
        <v>203250</v>
      </c>
      <c r="N669" s="34">
        <f t="shared" si="76"/>
        <v>191475</v>
      </c>
      <c r="O669" s="36">
        <f t="shared" si="77"/>
        <v>-932.95</v>
      </c>
      <c r="P669" s="41">
        <f t="shared" si="82"/>
        <v>-12707.95</v>
      </c>
      <c r="Q669" s="70">
        <f t="shared" si="78"/>
        <v>-6.2523739237392378E-2</v>
      </c>
    </row>
    <row r="670" spans="2:17" x14ac:dyDescent="0.4">
      <c r="B670" s="38" t="s">
        <v>1225</v>
      </c>
      <c r="C670" s="34">
        <v>10</v>
      </c>
      <c r="D670" s="34">
        <v>13430</v>
      </c>
      <c r="E670" s="37">
        <v>45966</v>
      </c>
      <c r="F670" s="34">
        <v>12765</v>
      </c>
      <c r="G670" s="35">
        <v>45974</v>
      </c>
      <c r="H670" s="34">
        <f t="shared" si="79"/>
        <v>190</v>
      </c>
      <c r="I670" s="34">
        <f t="shared" si="80"/>
        <v>170</v>
      </c>
      <c r="J670" s="383">
        <f t="shared" si="81"/>
        <v>255.3</v>
      </c>
      <c r="K670" s="34"/>
      <c r="L670" s="40">
        <f t="shared" si="74"/>
        <v>9</v>
      </c>
      <c r="M670" s="34">
        <f t="shared" si="75"/>
        <v>134300</v>
      </c>
      <c r="N670" s="34">
        <f t="shared" si="76"/>
        <v>127650</v>
      </c>
      <c r="O670" s="36">
        <f t="shared" si="77"/>
        <v>-615.29999999999995</v>
      </c>
      <c r="P670" s="41">
        <f t="shared" si="82"/>
        <v>-7265.3</v>
      </c>
      <c r="Q670" s="70">
        <f t="shared" si="78"/>
        <v>-5.4097542814594196E-2</v>
      </c>
    </row>
    <row r="671" spans="2:17" x14ac:dyDescent="0.4">
      <c r="B671" s="38" t="s">
        <v>1226</v>
      </c>
      <c r="C671" s="34">
        <v>43</v>
      </c>
      <c r="D671" s="34">
        <v>7650</v>
      </c>
      <c r="E671" s="37">
        <v>45944</v>
      </c>
      <c r="F671" s="34">
        <v>7310</v>
      </c>
      <c r="G671" s="35">
        <v>45974</v>
      </c>
      <c r="H671" s="34">
        <f t="shared" si="79"/>
        <v>470</v>
      </c>
      <c r="I671" s="34">
        <f t="shared" si="80"/>
        <v>440</v>
      </c>
      <c r="J671" s="383">
        <f t="shared" si="81"/>
        <v>628.66</v>
      </c>
      <c r="K671" s="34"/>
      <c r="L671" s="40">
        <f t="shared" si="74"/>
        <v>31</v>
      </c>
      <c r="M671" s="34">
        <f t="shared" si="75"/>
        <v>328950</v>
      </c>
      <c r="N671" s="34">
        <f t="shared" si="76"/>
        <v>314330</v>
      </c>
      <c r="O671" s="36">
        <f t="shared" si="77"/>
        <v>-1538.6599999999999</v>
      </c>
      <c r="P671" s="41">
        <f t="shared" si="82"/>
        <v>-16158.66</v>
      </c>
      <c r="Q671" s="70">
        <f t="shared" si="78"/>
        <v>-4.9121933424532603E-2</v>
      </c>
    </row>
    <row r="672" spans="2:17" x14ac:dyDescent="0.4">
      <c r="B672" s="38" t="s">
        <v>1226</v>
      </c>
      <c r="C672" s="34">
        <v>57</v>
      </c>
      <c r="D672" s="34">
        <v>7520</v>
      </c>
      <c r="E672" s="37">
        <v>45946</v>
      </c>
      <c r="F672" s="34">
        <v>7310</v>
      </c>
      <c r="G672" s="35">
        <v>45974</v>
      </c>
      <c r="H672" s="34">
        <f t="shared" si="79"/>
        <v>610</v>
      </c>
      <c r="I672" s="34">
        <f t="shared" si="80"/>
        <v>580</v>
      </c>
      <c r="J672" s="383">
        <f t="shared" si="81"/>
        <v>833.34</v>
      </c>
      <c r="K672" s="34"/>
      <c r="L672" s="40">
        <f t="shared" si="74"/>
        <v>29</v>
      </c>
      <c r="M672" s="34">
        <f t="shared" si="75"/>
        <v>428640</v>
      </c>
      <c r="N672" s="34">
        <f t="shared" si="76"/>
        <v>416670</v>
      </c>
      <c r="O672" s="36">
        <f t="shared" si="77"/>
        <v>-2023.3400000000001</v>
      </c>
      <c r="P672" s="41">
        <f t="shared" si="82"/>
        <v>-13993.34</v>
      </c>
      <c r="Q672" s="70">
        <f t="shared" si="78"/>
        <v>-3.2645903322135128E-2</v>
      </c>
    </row>
    <row r="673" spans="2:17" x14ac:dyDescent="0.4">
      <c r="B673" s="38" t="s">
        <v>1227</v>
      </c>
      <c r="C673" s="34">
        <v>19</v>
      </c>
      <c r="D673" s="34">
        <v>24700</v>
      </c>
      <c r="E673" s="37">
        <v>45946</v>
      </c>
      <c r="F673" s="34">
        <v>26810</v>
      </c>
      <c r="G673" s="35">
        <v>45974</v>
      </c>
      <c r="H673" s="34">
        <f t="shared" si="79"/>
        <v>660</v>
      </c>
      <c r="I673" s="34">
        <f t="shared" si="80"/>
        <v>710</v>
      </c>
      <c r="J673" s="383">
        <f t="shared" si="81"/>
        <v>1018.78</v>
      </c>
      <c r="K673" s="34"/>
      <c r="L673" s="40">
        <f t="shared" si="74"/>
        <v>29</v>
      </c>
      <c r="M673" s="34">
        <f t="shared" si="75"/>
        <v>469300</v>
      </c>
      <c r="N673" s="34">
        <f t="shared" si="76"/>
        <v>509390</v>
      </c>
      <c r="O673" s="36">
        <f t="shared" si="77"/>
        <v>-2388.7799999999997</v>
      </c>
      <c r="P673" s="41">
        <f t="shared" si="82"/>
        <v>37701.22</v>
      </c>
      <c r="Q673" s="70">
        <f t="shared" si="78"/>
        <v>8.0335009588749201E-2</v>
      </c>
    </row>
    <row r="674" spans="2:17" x14ac:dyDescent="0.4">
      <c r="B674" s="38" t="s">
        <v>1227</v>
      </c>
      <c r="C674" s="34">
        <v>11</v>
      </c>
      <c r="D674" s="34">
        <v>25240</v>
      </c>
      <c r="E674" s="37">
        <v>45951</v>
      </c>
      <c r="F674" s="34">
        <v>26810</v>
      </c>
      <c r="G674" s="35">
        <v>45974</v>
      </c>
      <c r="H674" s="34">
        <f t="shared" si="79"/>
        <v>390</v>
      </c>
      <c r="I674" s="34">
        <f t="shared" si="80"/>
        <v>410</v>
      </c>
      <c r="J674" s="383">
        <f t="shared" si="81"/>
        <v>589.82000000000005</v>
      </c>
      <c r="K674" s="34"/>
      <c r="L674" s="40">
        <f t="shared" si="74"/>
        <v>24</v>
      </c>
      <c r="M674" s="34">
        <f t="shared" si="75"/>
        <v>277640</v>
      </c>
      <c r="N674" s="34">
        <f t="shared" si="76"/>
        <v>294910</v>
      </c>
      <c r="O674" s="36">
        <f t="shared" si="77"/>
        <v>-1389.8200000000002</v>
      </c>
      <c r="P674" s="41">
        <f t="shared" si="82"/>
        <v>15880.18</v>
      </c>
      <c r="Q674" s="70">
        <f t="shared" si="78"/>
        <v>5.7197017720789514E-2</v>
      </c>
    </row>
    <row r="675" spans="2:17" x14ac:dyDescent="0.4">
      <c r="B675" s="38" t="s">
        <v>1227</v>
      </c>
      <c r="C675" s="34">
        <v>5</v>
      </c>
      <c r="D675" s="34">
        <v>26410</v>
      </c>
      <c r="E675" s="37">
        <v>45966</v>
      </c>
      <c r="F675" s="34">
        <v>26810</v>
      </c>
      <c r="G675" s="35">
        <v>45974</v>
      </c>
      <c r="H675" s="34">
        <f t="shared" si="79"/>
        <v>190</v>
      </c>
      <c r="I675" s="34">
        <f t="shared" si="80"/>
        <v>180</v>
      </c>
      <c r="J675" s="383">
        <f t="shared" si="81"/>
        <v>268.10000000000002</v>
      </c>
      <c r="K675" s="34"/>
      <c r="L675" s="40">
        <f t="shared" si="74"/>
        <v>9</v>
      </c>
      <c r="M675" s="34">
        <f t="shared" si="75"/>
        <v>132050</v>
      </c>
      <c r="N675" s="34">
        <f t="shared" si="76"/>
        <v>134050</v>
      </c>
      <c r="O675" s="36">
        <f t="shared" si="77"/>
        <v>-638.1</v>
      </c>
      <c r="P675" s="41">
        <f t="shared" si="82"/>
        <v>1361.9</v>
      </c>
      <c r="Q675" s="70">
        <f t="shared" si="78"/>
        <v>1.0313517606967059E-2</v>
      </c>
    </row>
    <row r="676" spans="2:17" x14ac:dyDescent="0.4">
      <c r="B676" s="38" t="s">
        <v>1228</v>
      </c>
      <c r="C676" s="34">
        <v>500</v>
      </c>
      <c r="D676" s="34">
        <v>10640</v>
      </c>
      <c r="E676" s="37">
        <v>45986</v>
      </c>
      <c r="F676" s="34">
        <v>11460</v>
      </c>
      <c r="G676" s="35">
        <v>46002</v>
      </c>
      <c r="H676" s="34">
        <f t="shared" si="79"/>
        <v>7450</v>
      </c>
      <c r="I676" s="34">
        <f t="shared" si="80"/>
        <v>8020</v>
      </c>
      <c r="J676" s="383">
        <f t="shared" si="81"/>
        <v>11460</v>
      </c>
      <c r="K676" s="34"/>
      <c r="L676" s="40">
        <f t="shared" si="74"/>
        <v>17</v>
      </c>
      <c r="M676" s="34">
        <f t="shared" si="75"/>
        <v>5320000</v>
      </c>
      <c r="N676" s="34">
        <f t="shared" si="76"/>
        <v>5730000</v>
      </c>
      <c r="O676" s="36">
        <f t="shared" si="77"/>
        <v>-26930</v>
      </c>
      <c r="P676" s="41">
        <f t="shared" si="82"/>
        <v>383070</v>
      </c>
      <c r="Q676" s="70">
        <f t="shared" si="78"/>
        <v>7.2005639097744364E-2</v>
      </c>
    </row>
    <row r="677" spans="2:17" x14ac:dyDescent="0.4">
      <c r="B677" s="38" t="s">
        <v>1228</v>
      </c>
      <c r="C677" s="34">
        <v>900</v>
      </c>
      <c r="D677" s="34">
        <v>10570</v>
      </c>
      <c r="E677" s="37">
        <v>46009</v>
      </c>
      <c r="F677" s="34">
        <v>11080</v>
      </c>
      <c r="G677" s="35">
        <v>46015</v>
      </c>
      <c r="H677" s="34">
        <f t="shared" si="79"/>
        <v>13320</v>
      </c>
      <c r="I677" s="34">
        <f t="shared" si="80"/>
        <v>13960</v>
      </c>
      <c r="J677" s="383">
        <f t="shared" si="81"/>
        <v>19944</v>
      </c>
      <c r="K677" s="34"/>
      <c r="L677" s="40">
        <f t="shared" si="74"/>
        <v>7</v>
      </c>
      <c r="M677" s="34">
        <f t="shared" si="75"/>
        <v>9513000</v>
      </c>
      <c r="N677" s="34">
        <f t="shared" si="76"/>
        <v>9972000</v>
      </c>
      <c r="O677" s="36">
        <f t="shared" si="77"/>
        <v>-47224</v>
      </c>
      <c r="P677" s="41">
        <f t="shared" si="82"/>
        <v>411776</v>
      </c>
      <c r="Q677" s="70">
        <f t="shared" si="78"/>
        <v>4.3285609166403866E-2</v>
      </c>
    </row>
    <row r="678" spans="2:17" x14ac:dyDescent="0.4">
      <c r="B678" s="38" t="s">
        <v>1229</v>
      </c>
      <c r="C678" s="34">
        <v>200</v>
      </c>
      <c r="D678" s="34">
        <v>10390</v>
      </c>
      <c r="E678" s="37">
        <v>46017</v>
      </c>
      <c r="F678" s="34">
        <v>11050</v>
      </c>
      <c r="G678" s="35">
        <v>46059</v>
      </c>
      <c r="H678" s="34">
        <f t="shared" si="79"/>
        <v>2910</v>
      </c>
      <c r="I678" s="34">
        <f t="shared" si="80"/>
        <v>3090</v>
      </c>
      <c r="J678" s="383">
        <f t="shared" si="81"/>
        <v>4420</v>
      </c>
      <c r="K678" s="34"/>
      <c r="L678" s="40">
        <f t="shared" si="74"/>
        <v>43</v>
      </c>
      <c r="M678" s="34">
        <f t="shared" si="75"/>
        <v>2078000</v>
      </c>
      <c r="N678" s="34">
        <f t="shared" si="76"/>
        <v>2210000</v>
      </c>
      <c r="O678" s="36">
        <f t="shared" si="77"/>
        <v>-10420</v>
      </c>
      <c r="P678" s="41">
        <f t="shared" si="82"/>
        <v>121580</v>
      </c>
      <c r="Q678" s="70">
        <f t="shared" si="78"/>
        <v>5.8508180943214631E-2</v>
      </c>
    </row>
    <row r="679" spans="2:17" x14ac:dyDescent="0.4">
      <c r="B679" s="38" t="s">
        <v>1229</v>
      </c>
      <c r="C679" s="34">
        <v>100</v>
      </c>
      <c r="D679" s="34">
        <v>10340</v>
      </c>
      <c r="E679" s="37">
        <v>46021</v>
      </c>
      <c r="F679" s="34">
        <v>11050</v>
      </c>
      <c r="G679" s="35">
        <v>46059</v>
      </c>
      <c r="H679" s="34">
        <f t="shared" si="79"/>
        <v>1450</v>
      </c>
      <c r="I679" s="34">
        <f t="shared" si="80"/>
        <v>1540</v>
      </c>
      <c r="J679" s="383">
        <f t="shared" si="81"/>
        <v>2210</v>
      </c>
      <c r="K679" s="34"/>
      <c r="L679" s="40">
        <f t="shared" si="74"/>
        <v>39</v>
      </c>
      <c r="M679" s="34">
        <f t="shared" si="75"/>
        <v>1034000</v>
      </c>
      <c r="N679" s="34">
        <f t="shared" si="76"/>
        <v>1105000</v>
      </c>
      <c r="O679" s="36">
        <f t="shared" si="77"/>
        <v>-5200</v>
      </c>
      <c r="P679" s="41">
        <f t="shared" si="82"/>
        <v>65800</v>
      </c>
      <c r="Q679" s="70">
        <f t="shared" si="78"/>
        <v>6.363636363636363E-2</v>
      </c>
    </row>
    <row r="680" spans="2:17" x14ac:dyDescent="0.4">
      <c r="B680" s="38" t="s">
        <v>1229</v>
      </c>
      <c r="C680" s="34">
        <v>100</v>
      </c>
      <c r="D680" s="34">
        <v>10000</v>
      </c>
      <c r="E680" s="37">
        <v>46031</v>
      </c>
      <c r="F680" s="34">
        <v>11050</v>
      </c>
      <c r="G680" s="35">
        <v>46059</v>
      </c>
      <c r="H680" s="34">
        <f t="shared" si="79"/>
        <v>1400</v>
      </c>
      <c r="I680" s="34">
        <f t="shared" si="80"/>
        <v>1540</v>
      </c>
      <c r="J680" s="383">
        <f t="shared" si="81"/>
        <v>2210</v>
      </c>
      <c r="K680" s="34"/>
      <c r="L680" s="40">
        <f t="shared" si="74"/>
        <v>29</v>
      </c>
      <c r="M680" s="34">
        <f t="shared" si="75"/>
        <v>1000000</v>
      </c>
      <c r="N680" s="34">
        <f t="shared" si="76"/>
        <v>1105000</v>
      </c>
      <c r="O680" s="36">
        <f t="shared" si="77"/>
        <v>-5150</v>
      </c>
      <c r="P680" s="41">
        <f t="shared" si="82"/>
        <v>99850</v>
      </c>
      <c r="Q680" s="70">
        <f t="shared" si="78"/>
        <v>9.9849999999999994E-2</v>
      </c>
    </row>
    <row r="681" spans="2:17" x14ac:dyDescent="0.4">
      <c r="B681" s="38" t="s">
        <v>1228</v>
      </c>
      <c r="C681" s="34">
        <v>100</v>
      </c>
      <c r="D681" s="34">
        <v>11210</v>
      </c>
      <c r="E681" s="37">
        <v>46020</v>
      </c>
      <c r="F681" s="34">
        <v>12490</v>
      </c>
      <c r="G681" s="35">
        <v>46028</v>
      </c>
      <c r="H681" s="34">
        <f t="shared" si="79"/>
        <v>1570</v>
      </c>
      <c r="I681" s="34">
        <f t="shared" si="80"/>
        <v>1740</v>
      </c>
      <c r="J681" s="383">
        <f t="shared" si="81"/>
        <v>2498</v>
      </c>
      <c r="K681" s="34"/>
      <c r="L681" s="40">
        <f t="shared" si="74"/>
        <v>9</v>
      </c>
      <c r="M681" s="34">
        <f t="shared" si="75"/>
        <v>1121000</v>
      </c>
      <c r="N681" s="34">
        <f t="shared" si="76"/>
        <v>1249000</v>
      </c>
      <c r="O681" s="36">
        <f t="shared" si="77"/>
        <v>-5808</v>
      </c>
      <c r="P681" s="41">
        <f t="shared" si="82"/>
        <v>122192</v>
      </c>
      <c r="Q681" s="70">
        <f t="shared" si="78"/>
        <v>0.10900267618198037</v>
      </c>
    </row>
    <row r="682" spans="2:17" x14ac:dyDescent="0.4">
      <c r="B682" s="38" t="s">
        <v>1228</v>
      </c>
      <c r="C682" s="34">
        <v>100</v>
      </c>
      <c r="D682" s="34">
        <v>11495</v>
      </c>
      <c r="E682" s="37">
        <v>46024</v>
      </c>
      <c r="F682" s="34">
        <v>12490</v>
      </c>
      <c r="G682" s="35">
        <v>46028</v>
      </c>
      <c r="H682" s="34">
        <f t="shared" si="79"/>
        <v>1610</v>
      </c>
      <c r="I682" s="34">
        <f t="shared" si="80"/>
        <v>1740</v>
      </c>
      <c r="J682" s="383">
        <f t="shared" si="81"/>
        <v>2498</v>
      </c>
      <c r="K682" s="34"/>
      <c r="L682" s="40">
        <f t="shared" si="74"/>
        <v>5</v>
      </c>
      <c r="M682" s="34">
        <f t="shared" si="75"/>
        <v>1149500</v>
      </c>
      <c r="N682" s="34">
        <f t="shared" si="76"/>
        <v>1249000</v>
      </c>
      <c r="O682" s="36">
        <f t="shared" si="77"/>
        <v>-5848</v>
      </c>
      <c r="P682" s="41">
        <f t="shared" si="82"/>
        <v>93652</v>
      </c>
      <c r="Q682" s="70">
        <f t="shared" si="78"/>
        <v>8.1471944323618969E-2</v>
      </c>
    </row>
    <row r="683" spans="2:17" x14ac:dyDescent="0.4">
      <c r="B683" s="38" t="s">
        <v>1228</v>
      </c>
      <c r="C683" s="34">
        <v>100</v>
      </c>
      <c r="D683" s="34">
        <v>13700</v>
      </c>
      <c r="E683" s="37">
        <v>46031</v>
      </c>
      <c r="F683" s="34">
        <v>17200</v>
      </c>
      <c r="G683" s="35">
        <v>46056</v>
      </c>
      <c r="H683" s="34">
        <f t="shared" si="79"/>
        <v>1920</v>
      </c>
      <c r="I683" s="34">
        <f t="shared" si="80"/>
        <v>2400</v>
      </c>
      <c r="J683" s="383">
        <f t="shared" si="81"/>
        <v>3440</v>
      </c>
      <c r="K683" s="34"/>
      <c r="L683" s="40">
        <f t="shared" si="74"/>
        <v>26</v>
      </c>
      <c r="M683" s="34">
        <f t="shared" si="75"/>
        <v>1370000</v>
      </c>
      <c r="N683" s="34">
        <f t="shared" si="76"/>
        <v>1720000</v>
      </c>
      <c r="O683" s="36">
        <f t="shared" si="77"/>
        <v>-7760</v>
      </c>
      <c r="P683" s="41">
        <f t="shared" si="82"/>
        <v>342240</v>
      </c>
      <c r="Q683" s="70">
        <f t="shared" si="78"/>
        <v>0.24981021897810218</v>
      </c>
    </row>
    <row r="684" spans="2:17" x14ac:dyDescent="0.4">
      <c r="B684" s="38" t="s">
        <v>1228</v>
      </c>
      <c r="C684" s="34">
        <v>200</v>
      </c>
      <c r="D684" s="34">
        <v>13740</v>
      </c>
      <c r="E684" s="37">
        <v>46031</v>
      </c>
      <c r="F684" s="34">
        <v>17200</v>
      </c>
      <c r="G684" s="35">
        <v>46056</v>
      </c>
      <c r="H684" s="34">
        <f t="shared" si="79"/>
        <v>3850</v>
      </c>
      <c r="I684" s="34">
        <f t="shared" si="80"/>
        <v>4810</v>
      </c>
      <c r="J684" s="383">
        <f t="shared" si="81"/>
        <v>6880</v>
      </c>
      <c r="K684" s="34"/>
      <c r="L684" s="40">
        <f t="shared" si="74"/>
        <v>26</v>
      </c>
      <c r="M684" s="34">
        <f t="shared" si="75"/>
        <v>2748000</v>
      </c>
      <c r="N684" s="34">
        <f t="shared" si="76"/>
        <v>3440000</v>
      </c>
      <c r="O684" s="36">
        <f t="shared" si="77"/>
        <v>-15540</v>
      </c>
      <c r="P684" s="41">
        <f t="shared" si="82"/>
        <v>676460</v>
      </c>
      <c r="Q684" s="70">
        <f t="shared" si="78"/>
        <v>0.24616448326055312</v>
      </c>
    </row>
    <row r="685" spans="2:17" x14ac:dyDescent="0.4">
      <c r="B685" s="38" t="s">
        <v>1228</v>
      </c>
      <c r="C685" s="34">
        <v>15</v>
      </c>
      <c r="D685" s="34">
        <v>13190</v>
      </c>
      <c r="E685" s="37">
        <v>46036</v>
      </c>
      <c r="F685" s="34">
        <v>17200</v>
      </c>
      <c r="G685" s="35">
        <v>46056</v>
      </c>
      <c r="H685" s="34">
        <f t="shared" si="79"/>
        <v>280</v>
      </c>
      <c r="I685" s="34">
        <f t="shared" si="80"/>
        <v>360</v>
      </c>
      <c r="J685" s="383">
        <f t="shared" si="81"/>
        <v>516</v>
      </c>
      <c r="K685" s="34"/>
      <c r="L685" s="40">
        <f t="shared" si="74"/>
        <v>21</v>
      </c>
      <c r="M685" s="34">
        <f t="shared" si="75"/>
        <v>197850</v>
      </c>
      <c r="N685" s="34">
        <f t="shared" si="76"/>
        <v>258000</v>
      </c>
      <c r="O685" s="36">
        <f t="shared" si="77"/>
        <v>-1156</v>
      </c>
      <c r="P685" s="41">
        <f t="shared" si="82"/>
        <v>58994</v>
      </c>
      <c r="Q685" s="70">
        <f t="shared" si="78"/>
        <v>0.2981753853929745</v>
      </c>
    </row>
    <row r="686" spans="2:17" x14ac:dyDescent="0.4">
      <c r="B686" s="38" t="s">
        <v>1230</v>
      </c>
      <c r="C686" s="34">
        <v>50</v>
      </c>
      <c r="D686" s="34">
        <v>41850</v>
      </c>
      <c r="E686" s="37">
        <v>46056</v>
      </c>
      <c r="F686" s="34">
        <v>43200</v>
      </c>
      <c r="G686" s="35">
        <v>46091</v>
      </c>
      <c r="H686" s="34">
        <f t="shared" si="79"/>
        <v>2930</v>
      </c>
      <c r="I686" s="34">
        <f t="shared" si="80"/>
        <v>3020</v>
      </c>
      <c r="J686" s="383">
        <f t="shared" si="81"/>
        <v>4320</v>
      </c>
      <c r="K686" s="34"/>
      <c r="L686" s="40">
        <f t="shared" ref="L686:L717" si="83">G686-E686+1</f>
        <v>36</v>
      </c>
      <c r="M686" s="34">
        <f t="shared" ref="M686:M717" si="84">C686*D686</f>
        <v>2092500</v>
      </c>
      <c r="N686" s="34">
        <f t="shared" ref="N686:N717" si="85">C686*F686</f>
        <v>2160000</v>
      </c>
      <c r="O686" s="36">
        <f t="shared" ref="O686:O717" si="86">K686-H686-I686-J686</f>
        <v>-10270</v>
      </c>
      <c r="P686" s="41">
        <f t="shared" si="82"/>
        <v>57230</v>
      </c>
      <c r="Q686" s="70">
        <f t="shared" ref="Q686:Q717" si="87">P686/M686</f>
        <v>2.7350059737156512E-2</v>
      </c>
    </row>
    <row r="687" spans="2:17" x14ac:dyDescent="0.4">
      <c r="B687" s="38" t="s">
        <v>1230</v>
      </c>
      <c r="C687" s="34">
        <v>50</v>
      </c>
      <c r="D687" s="34">
        <v>38820</v>
      </c>
      <c r="E687" s="37">
        <v>46063</v>
      </c>
      <c r="F687" s="34">
        <v>43200</v>
      </c>
      <c r="G687" s="35">
        <v>46091</v>
      </c>
      <c r="H687" s="34">
        <f t="shared" si="79"/>
        <v>2720</v>
      </c>
      <c r="I687" s="34">
        <f t="shared" si="80"/>
        <v>3020</v>
      </c>
      <c r="J687" s="383">
        <f t="shared" si="81"/>
        <v>4320</v>
      </c>
      <c r="K687" s="34"/>
      <c r="L687" s="40">
        <f t="shared" si="83"/>
        <v>29</v>
      </c>
      <c r="M687" s="34">
        <f t="shared" si="84"/>
        <v>1941000</v>
      </c>
      <c r="N687" s="34">
        <f t="shared" si="85"/>
        <v>2160000</v>
      </c>
      <c r="O687" s="36">
        <f t="shared" si="86"/>
        <v>-10060</v>
      </c>
      <c r="P687" s="41">
        <f t="shared" si="82"/>
        <v>208940</v>
      </c>
      <c r="Q687" s="70">
        <f t="shared" si="87"/>
        <v>0.10764554353426069</v>
      </c>
    </row>
    <row r="688" spans="2:17" x14ac:dyDescent="0.4">
      <c r="B688" s="38" t="s">
        <v>1228</v>
      </c>
      <c r="C688" s="34">
        <v>330</v>
      </c>
      <c r="D688" s="34">
        <v>16630</v>
      </c>
      <c r="E688" s="37">
        <v>46057</v>
      </c>
      <c r="F688" s="34">
        <v>20610</v>
      </c>
      <c r="G688" s="35">
        <v>46091</v>
      </c>
      <c r="H688" s="34">
        <f t="shared" si="79"/>
        <v>7690</v>
      </c>
      <c r="I688" s="34">
        <f t="shared" si="80"/>
        <v>9520</v>
      </c>
      <c r="J688" s="383">
        <f t="shared" si="81"/>
        <v>13602.6</v>
      </c>
      <c r="K688" s="34"/>
      <c r="L688" s="40">
        <f t="shared" si="83"/>
        <v>35</v>
      </c>
      <c r="M688" s="34">
        <f t="shared" si="84"/>
        <v>5487900</v>
      </c>
      <c r="N688" s="34">
        <f t="shared" si="85"/>
        <v>6801300</v>
      </c>
      <c r="O688" s="36">
        <f t="shared" si="86"/>
        <v>-30812.6</v>
      </c>
      <c r="P688" s="41">
        <f t="shared" si="82"/>
        <v>1282587.3999999999</v>
      </c>
      <c r="Q688" s="70">
        <f t="shared" si="87"/>
        <v>0.23371187521638512</v>
      </c>
    </row>
    <row r="689" spans="2:17" x14ac:dyDescent="0.4">
      <c r="B689" s="38" t="s">
        <v>1228</v>
      </c>
      <c r="C689" s="34">
        <v>26</v>
      </c>
      <c r="D689" s="34">
        <v>15600</v>
      </c>
      <c r="E689" s="37">
        <v>46063</v>
      </c>
      <c r="F689" s="34">
        <v>20610</v>
      </c>
      <c r="G689" s="35">
        <v>46091</v>
      </c>
      <c r="H689" s="34">
        <f t="shared" si="79"/>
        <v>570</v>
      </c>
      <c r="I689" s="34">
        <f t="shared" si="80"/>
        <v>750</v>
      </c>
      <c r="J689" s="383">
        <f t="shared" si="81"/>
        <v>1071.72</v>
      </c>
      <c r="K689" s="34"/>
      <c r="L689" s="40">
        <f t="shared" si="83"/>
        <v>29</v>
      </c>
      <c r="M689" s="34">
        <f t="shared" si="84"/>
        <v>405600</v>
      </c>
      <c r="N689" s="34">
        <f t="shared" si="85"/>
        <v>535860</v>
      </c>
      <c r="O689" s="36">
        <f t="shared" si="86"/>
        <v>-2391.7200000000003</v>
      </c>
      <c r="P689" s="41">
        <f t="shared" si="82"/>
        <v>127868.28</v>
      </c>
      <c r="Q689" s="70">
        <f t="shared" si="87"/>
        <v>0.31525710059171597</v>
      </c>
    </row>
    <row r="690" spans="2:17" x14ac:dyDescent="0.4">
      <c r="B690" s="38" t="s">
        <v>1230</v>
      </c>
      <c r="C690" s="34">
        <v>100</v>
      </c>
      <c r="D690" s="34">
        <v>44500</v>
      </c>
      <c r="E690" s="37">
        <v>46092</v>
      </c>
      <c r="F690" s="34">
        <v>48100</v>
      </c>
      <c r="G690" s="35">
        <v>46108</v>
      </c>
      <c r="H690" s="34">
        <f t="shared" si="79"/>
        <v>6230</v>
      </c>
      <c r="I690" s="34">
        <f t="shared" si="80"/>
        <v>6730</v>
      </c>
      <c r="J690" s="383">
        <f t="shared" si="81"/>
        <v>9620</v>
      </c>
      <c r="K690" s="34"/>
      <c r="L690" s="40">
        <f t="shared" si="83"/>
        <v>17</v>
      </c>
      <c r="M690" s="34">
        <f t="shared" si="84"/>
        <v>4450000</v>
      </c>
      <c r="N690" s="34">
        <f t="shared" si="85"/>
        <v>4810000</v>
      </c>
      <c r="O690" s="36">
        <f t="shared" si="86"/>
        <v>-22580</v>
      </c>
      <c r="P690" s="41">
        <f t="shared" si="82"/>
        <v>337420</v>
      </c>
      <c r="Q690" s="70">
        <f t="shared" si="87"/>
        <v>7.5824719101123594E-2</v>
      </c>
    </row>
    <row r="691" spans="2:17" x14ac:dyDescent="0.4">
      <c r="B691" s="38" t="s">
        <v>1230</v>
      </c>
      <c r="C691" s="34">
        <v>50</v>
      </c>
      <c r="D691" s="34">
        <v>48300</v>
      </c>
      <c r="E691" s="37">
        <v>46098</v>
      </c>
      <c r="F691" s="34">
        <v>48100</v>
      </c>
      <c r="G691" s="35">
        <v>46108</v>
      </c>
      <c r="H691" s="34">
        <f t="shared" si="79"/>
        <v>3390</v>
      </c>
      <c r="I691" s="34">
        <f t="shared" si="80"/>
        <v>3360</v>
      </c>
      <c r="J691" s="383">
        <f t="shared" si="81"/>
        <v>4810</v>
      </c>
      <c r="K691" s="34"/>
      <c r="L691" s="40">
        <f t="shared" si="83"/>
        <v>11</v>
      </c>
      <c r="M691" s="34">
        <f t="shared" si="84"/>
        <v>2415000</v>
      </c>
      <c r="N691" s="34">
        <f t="shared" si="85"/>
        <v>2405000</v>
      </c>
      <c r="O691" s="36">
        <f t="shared" si="86"/>
        <v>-11560</v>
      </c>
      <c r="P691" s="41">
        <f t="shared" si="82"/>
        <v>-21560</v>
      </c>
      <c r="Q691" s="70">
        <f t="shared" si="87"/>
        <v>-8.9275362318840586E-3</v>
      </c>
    </row>
    <row r="692" spans="2:17" x14ac:dyDescent="0.4">
      <c r="B692" s="38" t="s">
        <v>1228</v>
      </c>
      <c r="C692" s="34">
        <v>300</v>
      </c>
      <c r="D692" s="34">
        <v>19000</v>
      </c>
      <c r="E692" s="37">
        <v>46092</v>
      </c>
      <c r="F692" s="34"/>
      <c r="G692" s="35"/>
      <c r="H692" s="34">
        <f t="shared" si="79"/>
        <v>7980</v>
      </c>
      <c r="I692" s="34">
        <f t="shared" si="80"/>
        <v>0</v>
      </c>
      <c r="J692" s="383">
        <f t="shared" si="81"/>
        <v>0</v>
      </c>
      <c r="K692" s="34"/>
      <c r="L692" s="40">
        <f t="shared" si="83"/>
        <v>-46091</v>
      </c>
      <c r="M692" s="34">
        <f t="shared" si="84"/>
        <v>5700000</v>
      </c>
      <c r="N692" s="34">
        <f t="shared" si="85"/>
        <v>0</v>
      </c>
      <c r="O692" s="36">
        <f t="shared" si="86"/>
        <v>-7980</v>
      </c>
      <c r="P692" s="41">
        <f t="shared" si="82"/>
        <v>0</v>
      </c>
      <c r="Q692" s="70">
        <f t="shared" si="87"/>
        <v>0</v>
      </c>
    </row>
    <row r="693" spans="2:17" x14ac:dyDescent="0.4">
      <c r="B693" s="38" t="s">
        <v>1228</v>
      </c>
      <c r="C693" s="34">
        <v>22</v>
      </c>
      <c r="D693" s="34">
        <v>18530</v>
      </c>
      <c r="E693" s="37">
        <v>46108</v>
      </c>
      <c r="F693" s="34"/>
      <c r="G693" s="35"/>
      <c r="H693" s="34">
        <f t="shared" si="79"/>
        <v>580</v>
      </c>
      <c r="I693" s="34">
        <f t="shared" si="80"/>
        <v>0</v>
      </c>
      <c r="J693" s="383">
        <f t="shared" si="81"/>
        <v>0</v>
      </c>
      <c r="K693" s="34"/>
      <c r="L693" s="40">
        <f t="shared" si="83"/>
        <v>-46107</v>
      </c>
      <c r="M693" s="34">
        <f t="shared" si="84"/>
        <v>407660</v>
      </c>
      <c r="N693" s="34">
        <f t="shared" si="85"/>
        <v>0</v>
      </c>
      <c r="O693" s="36">
        <f t="shared" si="86"/>
        <v>-580</v>
      </c>
      <c r="P693" s="41">
        <f t="shared" si="82"/>
        <v>0</v>
      </c>
      <c r="Q693" s="70">
        <f t="shared" si="87"/>
        <v>0</v>
      </c>
    </row>
    <row r="694" spans="2:17" x14ac:dyDescent="0.4">
      <c r="B694" s="38" t="s">
        <v>1228</v>
      </c>
      <c r="C694" s="34">
        <v>20</v>
      </c>
      <c r="D694" s="34">
        <v>17400</v>
      </c>
      <c r="E694" s="37">
        <v>46111</v>
      </c>
      <c r="F694" s="34"/>
      <c r="G694" s="35"/>
      <c r="H694" s="34">
        <f t="shared" si="79"/>
        <v>490</v>
      </c>
      <c r="I694" s="34">
        <f t="shared" si="80"/>
        <v>0</v>
      </c>
      <c r="J694" s="383">
        <f t="shared" si="81"/>
        <v>0</v>
      </c>
      <c r="K694" s="34"/>
      <c r="L694" s="40">
        <f t="shared" si="83"/>
        <v>-46110</v>
      </c>
      <c r="M694" s="34">
        <f t="shared" si="84"/>
        <v>348000</v>
      </c>
      <c r="N694" s="34">
        <f t="shared" si="85"/>
        <v>0</v>
      </c>
      <c r="O694" s="36">
        <f t="shared" si="86"/>
        <v>-490</v>
      </c>
      <c r="P694" s="41">
        <f t="shared" si="82"/>
        <v>0</v>
      </c>
      <c r="Q694" s="70">
        <f t="shared" si="87"/>
        <v>0</v>
      </c>
    </row>
    <row r="695" spans="2:17" x14ac:dyDescent="0.4">
      <c r="B695" s="38" t="s">
        <v>1228</v>
      </c>
      <c r="C695" s="34">
        <v>20</v>
      </c>
      <c r="D695" s="34">
        <v>16780</v>
      </c>
      <c r="E695" s="37">
        <v>46112</v>
      </c>
      <c r="F695" s="34"/>
      <c r="G695" s="35"/>
      <c r="H695" s="34">
        <f t="shared" si="79"/>
        <v>470</v>
      </c>
      <c r="I695" s="34">
        <f t="shared" si="80"/>
        <v>0</v>
      </c>
      <c r="J695" s="383">
        <f t="shared" si="81"/>
        <v>0</v>
      </c>
      <c r="K695" s="34"/>
      <c r="L695" s="40">
        <f t="shared" si="83"/>
        <v>-46111</v>
      </c>
      <c r="M695" s="34">
        <f t="shared" si="84"/>
        <v>335600</v>
      </c>
      <c r="N695" s="34">
        <f t="shared" si="85"/>
        <v>0</v>
      </c>
      <c r="O695" s="36">
        <f t="shared" si="86"/>
        <v>-470</v>
      </c>
      <c r="P695" s="41">
        <f t="shared" si="82"/>
        <v>0</v>
      </c>
      <c r="Q695" s="70">
        <f t="shared" si="87"/>
        <v>0</v>
      </c>
    </row>
    <row r="696" spans="2:17" x14ac:dyDescent="0.4">
      <c r="B696" s="38" t="s">
        <v>1228</v>
      </c>
      <c r="C696" s="34">
        <v>17</v>
      </c>
      <c r="D696" s="34">
        <v>17650</v>
      </c>
      <c r="E696" s="37">
        <v>46115</v>
      </c>
      <c r="F696" s="34"/>
      <c r="G696" s="35"/>
      <c r="H696" s="34">
        <f t="shared" si="79"/>
        <v>430</v>
      </c>
      <c r="I696" s="34">
        <f t="shared" si="80"/>
        <v>0</v>
      </c>
      <c r="J696" s="383">
        <f t="shared" si="81"/>
        <v>0</v>
      </c>
      <c r="K696" s="34"/>
      <c r="L696" s="40">
        <f t="shared" si="83"/>
        <v>-46114</v>
      </c>
      <c r="M696" s="34">
        <f t="shared" si="84"/>
        <v>300050</v>
      </c>
      <c r="N696" s="34">
        <f t="shared" si="85"/>
        <v>0</v>
      </c>
      <c r="O696" s="36">
        <f t="shared" si="86"/>
        <v>-430</v>
      </c>
      <c r="P696" s="41">
        <f t="shared" si="82"/>
        <v>0</v>
      </c>
      <c r="Q696" s="70">
        <f t="shared" si="87"/>
        <v>0</v>
      </c>
    </row>
    <row r="697" spans="2:17" x14ac:dyDescent="0.4">
      <c r="B697" s="38" t="s">
        <v>1229</v>
      </c>
      <c r="C697" s="34">
        <v>200</v>
      </c>
      <c r="D697" s="34">
        <v>10900</v>
      </c>
      <c r="E697" s="37">
        <v>46097</v>
      </c>
      <c r="F697" s="34"/>
      <c r="G697" s="35"/>
      <c r="H697" s="34">
        <f t="shared" si="79"/>
        <v>3060</v>
      </c>
      <c r="I697" s="34">
        <f t="shared" si="80"/>
        <v>0</v>
      </c>
      <c r="J697" s="383">
        <f t="shared" si="81"/>
        <v>0</v>
      </c>
      <c r="K697" s="34"/>
      <c r="L697" s="40">
        <f t="shared" si="83"/>
        <v>-46096</v>
      </c>
      <c r="M697" s="34">
        <f t="shared" si="84"/>
        <v>2180000</v>
      </c>
      <c r="N697" s="34">
        <f t="shared" si="85"/>
        <v>0</v>
      </c>
      <c r="O697" s="36">
        <f t="shared" si="86"/>
        <v>-3060</v>
      </c>
      <c r="P697" s="41">
        <f t="shared" si="82"/>
        <v>0</v>
      </c>
      <c r="Q697" s="70">
        <f t="shared" si="87"/>
        <v>0</v>
      </c>
    </row>
    <row r="698" spans="2:17" x14ac:dyDescent="0.4">
      <c r="B698" s="38" t="s">
        <v>1230</v>
      </c>
      <c r="C698" s="34">
        <v>100</v>
      </c>
      <c r="D698" s="34">
        <v>46930</v>
      </c>
      <c r="E698" s="37">
        <v>46107</v>
      </c>
      <c r="F698" s="34"/>
      <c r="G698" s="35"/>
      <c r="H698" s="34">
        <f t="shared" si="79"/>
        <v>6580</v>
      </c>
      <c r="I698" s="34">
        <f t="shared" si="80"/>
        <v>0</v>
      </c>
      <c r="J698" s="383">
        <f t="shared" si="81"/>
        <v>0</v>
      </c>
      <c r="K698" s="34"/>
      <c r="L698" s="40">
        <f t="shared" si="83"/>
        <v>-46106</v>
      </c>
      <c r="M698" s="34">
        <f t="shared" si="84"/>
        <v>4693000</v>
      </c>
      <c r="N698" s="34">
        <f t="shared" si="85"/>
        <v>0</v>
      </c>
      <c r="O698" s="36">
        <f t="shared" si="86"/>
        <v>-6580</v>
      </c>
      <c r="P698" s="41">
        <f t="shared" si="82"/>
        <v>0</v>
      </c>
      <c r="Q698" s="70">
        <f t="shared" si="87"/>
        <v>0</v>
      </c>
    </row>
    <row r="699" spans="2:17" x14ac:dyDescent="0.4">
      <c r="B699" s="38" t="s">
        <v>1230</v>
      </c>
      <c r="C699" s="34">
        <v>9</v>
      </c>
      <c r="D699" s="34">
        <v>46400</v>
      </c>
      <c r="E699" s="37">
        <v>46108</v>
      </c>
      <c r="F699" s="34"/>
      <c r="G699" s="35"/>
      <c r="H699" s="34">
        <f t="shared" si="79"/>
        <v>590</v>
      </c>
      <c r="I699" s="34">
        <f t="shared" si="80"/>
        <v>0</v>
      </c>
      <c r="J699" s="383">
        <f t="shared" si="81"/>
        <v>0</v>
      </c>
      <c r="K699" s="34"/>
      <c r="L699" s="40">
        <f t="shared" si="83"/>
        <v>-46107</v>
      </c>
      <c r="M699" s="34">
        <f t="shared" si="84"/>
        <v>417600</v>
      </c>
      <c r="N699" s="34">
        <f t="shared" si="85"/>
        <v>0</v>
      </c>
      <c r="O699" s="36">
        <f t="shared" si="86"/>
        <v>-590</v>
      </c>
      <c r="P699" s="41">
        <f t="shared" si="82"/>
        <v>0</v>
      </c>
      <c r="Q699" s="70">
        <f t="shared" si="87"/>
        <v>0</v>
      </c>
    </row>
    <row r="700" spans="2:17" x14ac:dyDescent="0.4">
      <c r="B700" s="38" t="s">
        <v>1230</v>
      </c>
      <c r="C700" s="34">
        <v>16</v>
      </c>
      <c r="D700" s="34">
        <v>40540</v>
      </c>
      <c r="E700" s="37">
        <v>46112</v>
      </c>
      <c r="F700" s="34"/>
      <c r="G700" s="35"/>
      <c r="H700" s="34">
        <f t="shared" ref="H700:H725" si="88">ROUNDUP(M700*0.0014,-1)</f>
        <v>910</v>
      </c>
      <c r="I700" s="34">
        <f t="shared" ref="I700:I725" si="89">ROUNDDOWN(N700*0.0014,-1)</f>
        <v>0</v>
      </c>
      <c r="J700" s="383">
        <f t="shared" ref="J700:J725" si="90">N700*0.002</f>
        <v>0</v>
      </c>
      <c r="K700" s="34"/>
      <c r="L700" s="40">
        <f t="shared" si="83"/>
        <v>-46111</v>
      </c>
      <c r="M700" s="34">
        <f t="shared" si="84"/>
        <v>648640</v>
      </c>
      <c r="N700" s="34">
        <f t="shared" si="85"/>
        <v>0</v>
      </c>
      <c r="O700" s="36">
        <f t="shared" si="86"/>
        <v>-910</v>
      </c>
      <c r="P700" s="41">
        <f t="shared" ref="P700:P731" si="91">IF(N700=0,0,N700-M700+O700)</f>
        <v>0</v>
      </c>
      <c r="Q700" s="70">
        <f t="shared" si="87"/>
        <v>0</v>
      </c>
    </row>
    <row r="701" spans="2:17" x14ac:dyDescent="0.4">
      <c r="B701" s="38"/>
      <c r="C701" s="34"/>
      <c r="D701" s="34"/>
      <c r="E701" s="37"/>
      <c r="F701" s="34"/>
      <c r="G701" s="35"/>
      <c r="H701" s="34">
        <f t="shared" si="88"/>
        <v>0</v>
      </c>
      <c r="I701" s="34">
        <f t="shared" si="89"/>
        <v>0</v>
      </c>
      <c r="J701" s="383">
        <f t="shared" si="90"/>
        <v>0</v>
      </c>
      <c r="K701" s="34"/>
      <c r="L701" s="40">
        <f t="shared" si="83"/>
        <v>1</v>
      </c>
      <c r="M701" s="34">
        <f t="shared" si="84"/>
        <v>0</v>
      </c>
      <c r="N701" s="34">
        <f t="shared" si="85"/>
        <v>0</v>
      </c>
      <c r="O701" s="36">
        <f t="shared" si="86"/>
        <v>0</v>
      </c>
      <c r="P701" s="41">
        <f t="shared" si="91"/>
        <v>0</v>
      </c>
      <c r="Q701" s="70" t="e">
        <f t="shared" si="87"/>
        <v>#DIV/0!</v>
      </c>
    </row>
    <row r="702" spans="2:17" x14ac:dyDescent="0.4">
      <c r="B702" s="38"/>
      <c r="C702" s="34"/>
      <c r="D702" s="34"/>
      <c r="E702" s="37"/>
      <c r="F702" s="34"/>
      <c r="G702" s="35"/>
      <c r="H702" s="34">
        <f t="shared" si="88"/>
        <v>0</v>
      </c>
      <c r="I702" s="34">
        <f t="shared" si="89"/>
        <v>0</v>
      </c>
      <c r="J702" s="383">
        <f t="shared" si="90"/>
        <v>0</v>
      </c>
      <c r="K702" s="34"/>
      <c r="L702" s="40">
        <f t="shared" si="83"/>
        <v>1</v>
      </c>
      <c r="M702" s="34">
        <f t="shared" si="84"/>
        <v>0</v>
      </c>
      <c r="N702" s="34">
        <f t="shared" si="85"/>
        <v>0</v>
      </c>
      <c r="O702" s="36">
        <f t="shared" si="86"/>
        <v>0</v>
      </c>
      <c r="P702" s="41">
        <f t="shared" si="91"/>
        <v>0</v>
      </c>
      <c r="Q702" s="70" t="e">
        <f t="shared" si="87"/>
        <v>#DIV/0!</v>
      </c>
    </row>
    <row r="703" spans="2:17" x14ac:dyDescent="0.4">
      <c r="B703" s="38"/>
      <c r="C703" s="34"/>
      <c r="D703" s="34"/>
      <c r="E703" s="37"/>
      <c r="F703" s="34"/>
      <c r="G703" s="35"/>
      <c r="H703" s="34">
        <f t="shared" si="88"/>
        <v>0</v>
      </c>
      <c r="I703" s="34">
        <f t="shared" si="89"/>
        <v>0</v>
      </c>
      <c r="J703" s="383">
        <f t="shared" si="90"/>
        <v>0</v>
      </c>
      <c r="K703" s="34"/>
      <c r="L703" s="40">
        <f t="shared" si="83"/>
        <v>1</v>
      </c>
      <c r="M703" s="34">
        <f t="shared" si="84"/>
        <v>0</v>
      </c>
      <c r="N703" s="34">
        <f t="shared" si="85"/>
        <v>0</v>
      </c>
      <c r="O703" s="36">
        <f t="shared" si="86"/>
        <v>0</v>
      </c>
      <c r="P703" s="41">
        <f t="shared" si="91"/>
        <v>0</v>
      </c>
      <c r="Q703" s="70" t="e">
        <f t="shared" si="87"/>
        <v>#DIV/0!</v>
      </c>
    </row>
    <row r="704" spans="2:17" x14ac:dyDescent="0.4">
      <c r="B704" s="38"/>
      <c r="C704" s="34"/>
      <c r="D704" s="34"/>
      <c r="E704" s="37"/>
      <c r="F704" s="34"/>
      <c r="G704" s="35"/>
      <c r="H704" s="34">
        <f t="shared" si="88"/>
        <v>0</v>
      </c>
      <c r="I704" s="34">
        <f t="shared" si="89"/>
        <v>0</v>
      </c>
      <c r="J704" s="383">
        <f t="shared" si="90"/>
        <v>0</v>
      </c>
      <c r="K704" s="34"/>
      <c r="L704" s="40">
        <f t="shared" si="83"/>
        <v>1</v>
      </c>
      <c r="M704" s="34">
        <f t="shared" si="84"/>
        <v>0</v>
      </c>
      <c r="N704" s="34">
        <f t="shared" si="85"/>
        <v>0</v>
      </c>
      <c r="O704" s="36">
        <f t="shared" si="86"/>
        <v>0</v>
      </c>
      <c r="P704" s="41">
        <f t="shared" si="91"/>
        <v>0</v>
      </c>
      <c r="Q704" s="70" t="e">
        <f t="shared" si="87"/>
        <v>#DIV/0!</v>
      </c>
    </row>
    <row r="705" spans="2:17" x14ac:dyDescent="0.4">
      <c r="B705" s="38"/>
      <c r="C705" s="34"/>
      <c r="D705" s="34"/>
      <c r="E705" s="37"/>
      <c r="F705" s="34"/>
      <c r="G705" s="35"/>
      <c r="H705" s="34">
        <f t="shared" si="88"/>
        <v>0</v>
      </c>
      <c r="I705" s="34">
        <f t="shared" si="89"/>
        <v>0</v>
      </c>
      <c r="J705" s="383">
        <f t="shared" si="90"/>
        <v>0</v>
      </c>
      <c r="K705" s="34"/>
      <c r="L705" s="40">
        <f t="shared" si="83"/>
        <v>1</v>
      </c>
      <c r="M705" s="34">
        <f t="shared" si="84"/>
        <v>0</v>
      </c>
      <c r="N705" s="34">
        <f t="shared" si="85"/>
        <v>0</v>
      </c>
      <c r="O705" s="36">
        <f t="shared" si="86"/>
        <v>0</v>
      </c>
      <c r="P705" s="41">
        <f t="shared" si="91"/>
        <v>0</v>
      </c>
      <c r="Q705" s="70" t="e">
        <f t="shared" si="87"/>
        <v>#DIV/0!</v>
      </c>
    </row>
    <row r="706" spans="2:17" x14ac:dyDescent="0.4">
      <c r="B706" s="38"/>
      <c r="C706" s="34"/>
      <c r="D706" s="34"/>
      <c r="E706" s="37"/>
      <c r="F706" s="34"/>
      <c r="G706" s="35"/>
      <c r="H706" s="34">
        <f t="shared" si="88"/>
        <v>0</v>
      </c>
      <c r="I706" s="34">
        <f t="shared" si="89"/>
        <v>0</v>
      </c>
      <c r="J706" s="383">
        <f t="shared" si="90"/>
        <v>0</v>
      </c>
      <c r="K706" s="34"/>
      <c r="L706" s="40">
        <f t="shared" si="83"/>
        <v>1</v>
      </c>
      <c r="M706" s="34">
        <f t="shared" si="84"/>
        <v>0</v>
      </c>
      <c r="N706" s="34">
        <f t="shared" si="85"/>
        <v>0</v>
      </c>
      <c r="O706" s="36">
        <f t="shared" si="86"/>
        <v>0</v>
      </c>
      <c r="P706" s="41">
        <f t="shared" si="91"/>
        <v>0</v>
      </c>
      <c r="Q706" s="70" t="e">
        <f t="shared" si="87"/>
        <v>#DIV/0!</v>
      </c>
    </row>
    <row r="707" spans="2:17" x14ac:dyDescent="0.4">
      <c r="B707" s="38"/>
      <c r="C707" s="34"/>
      <c r="D707" s="34"/>
      <c r="E707" s="37"/>
      <c r="F707" s="34"/>
      <c r="G707" s="35"/>
      <c r="H707" s="34">
        <f t="shared" si="88"/>
        <v>0</v>
      </c>
      <c r="I707" s="34">
        <f t="shared" si="89"/>
        <v>0</v>
      </c>
      <c r="J707" s="383">
        <f t="shared" si="90"/>
        <v>0</v>
      </c>
      <c r="K707" s="34"/>
      <c r="L707" s="40">
        <f t="shared" si="83"/>
        <v>1</v>
      </c>
      <c r="M707" s="34">
        <f t="shared" si="84"/>
        <v>0</v>
      </c>
      <c r="N707" s="34">
        <f t="shared" si="85"/>
        <v>0</v>
      </c>
      <c r="O707" s="36">
        <f t="shared" si="86"/>
        <v>0</v>
      </c>
      <c r="P707" s="41">
        <f t="shared" si="91"/>
        <v>0</v>
      </c>
      <c r="Q707" s="70" t="e">
        <f t="shared" si="87"/>
        <v>#DIV/0!</v>
      </c>
    </row>
    <row r="708" spans="2:17" x14ac:dyDescent="0.4">
      <c r="B708" s="38"/>
      <c r="C708" s="34"/>
      <c r="D708" s="34"/>
      <c r="E708" s="37"/>
      <c r="F708" s="34"/>
      <c r="G708" s="35"/>
      <c r="H708" s="34">
        <f t="shared" si="88"/>
        <v>0</v>
      </c>
      <c r="I708" s="34">
        <f t="shared" si="89"/>
        <v>0</v>
      </c>
      <c r="J708" s="39">
        <f t="shared" si="90"/>
        <v>0</v>
      </c>
      <c r="K708" s="34"/>
      <c r="L708" s="40">
        <f t="shared" si="83"/>
        <v>1</v>
      </c>
      <c r="M708" s="34">
        <f t="shared" si="84"/>
        <v>0</v>
      </c>
      <c r="N708" s="34">
        <f t="shared" si="85"/>
        <v>0</v>
      </c>
      <c r="O708" s="36">
        <f t="shared" si="86"/>
        <v>0</v>
      </c>
      <c r="P708" s="41">
        <f t="shared" si="91"/>
        <v>0</v>
      </c>
      <c r="Q708" s="70" t="e">
        <f t="shared" si="87"/>
        <v>#DIV/0!</v>
      </c>
    </row>
    <row r="709" spans="2:17" x14ac:dyDescent="0.4">
      <c r="B709" s="38"/>
      <c r="C709" s="34"/>
      <c r="D709" s="34"/>
      <c r="E709" s="37"/>
      <c r="F709" s="34"/>
      <c r="G709" s="35"/>
      <c r="H709" s="34">
        <f t="shared" si="88"/>
        <v>0</v>
      </c>
      <c r="I709" s="34">
        <f t="shared" si="89"/>
        <v>0</v>
      </c>
      <c r="J709" s="39">
        <f t="shared" si="90"/>
        <v>0</v>
      </c>
      <c r="K709" s="34"/>
      <c r="L709" s="40">
        <f t="shared" si="83"/>
        <v>1</v>
      </c>
      <c r="M709" s="34">
        <f t="shared" si="84"/>
        <v>0</v>
      </c>
      <c r="N709" s="34">
        <f t="shared" si="85"/>
        <v>0</v>
      </c>
      <c r="O709" s="36">
        <f t="shared" si="86"/>
        <v>0</v>
      </c>
      <c r="P709" s="41">
        <f t="shared" si="91"/>
        <v>0</v>
      </c>
      <c r="Q709" s="70" t="e">
        <f t="shared" si="87"/>
        <v>#DIV/0!</v>
      </c>
    </row>
    <row r="710" spans="2:17" x14ac:dyDescent="0.4">
      <c r="B710" s="38"/>
      <c r="C710" s="34"/>
      <c r="D710" s="34"/>
      <c r="E710" s="37"/>
      <c r="F710" s="34"/>
      <c r="G710" s="35"/>
      <c r="H710" s="34">
        <f t="shared" si="88"/>
        <v>0</v>
      </c>
      <c r="I710" s="34">
        <f t="shared" si="89"/>
        <v>0</v>
      </c>
      <c r="J710" s="39">
        <f t="shared" si="90"/>
        <v>0</v>
      </c>
      <c r="K710" s="34"/>
      <c r="L710" s="40">
        <f t="shared" si="83"/>
        <v>1</v>
      </c>
      <c r="M710" s="34">
        <f t="shared" si="84"/>
        <v>0</v>
      </c>
      <c r="N710" s="34">
        <f t="shared" si="85"/>
        <v>0</v>
      </c>
      <c r="O710" s="36">
        <f t="shared" si="86"/>
        <v>0</v>
      </c>
      <c r="P710" s="41">
        <f t="shared" si="91"/>
        <v>0</v>
      </c>
      <c r="Q710" s="70" t="e">
        <f t="shared" si="87"/>
        <v>#DIV/0!</v>
      </c>
    </row>
    <row r="711" spans="2:17" x14ac:dyDescent="0.4">
      <c r="B711" s="38"/>
      <c r="C711" s="34"/>
      <c r="D711" s="34"/>
      <c r="E711" s="37"/>
      <c r="F711" s="34"/>
      <c r="G711" s="35"/>
      <c r="H711" s="34">
        <f t="shared" si="88"/>
        <v>0</v>
      </c>
      <c r="I711" s="34">
        <f t="shared" si="89"/>
        <v>0</v>
      </c>
      <c r="J711" s="39">
        <f t="shared" si="90"/>
        <v>0</v>
      </c>
      <c r="K711" s="34"/>
      <c r="L711" s="40">
        <f t="shared" si="83"/>
        <v>1</v>
      </c>
      <c r="M711" s="34">
        <f t="shared" si="84"/>
        <v>0</v>
      </c>
      <c r="N711" s="34">
        <f t="shared" si="85"/>
        <v>0</v>
      </c>
      <c r="O711" s="36">
        <f t="shared" si="86"/>
        <v>0</v>
      </c>
      <c r="P711" s="41">
        <f t="shared" si="91"/>
        <v>0</v>
      </c>
      <c r="Q711" s="70" t="e">
        <f t="shared" si="87"/>
        <v>#DIV/0!</v>
      </c>
    </row>
    <row r="712" spans="2:17" x14ac:dyDescent="0.4">
      <c r="B712" s="38"/>
      <c r="C712" s="34"/>
      <c r="D712" s="34"/>
      <c r="E712" s="37"/>
      <c r="F712" s="34"/>
      <c r="G712" s="35"/>
      <c r="H712" s="34">
        <f t="shared" si="88"/>
        <v>0</v>
      </c>
      <c r="I712" s="34">
        <f t="shared" si="89"/>
        <v>0</v>
      </c>
      <c r="J712" s="39">
        <f t="shared" si="90"/>
        <v>0</v>
      </c>
      <c r="K712" s="34"/>
      <c r="L712" s="40">
        <f t="shared" si="83"/>
        <v>1</v>
      </c>
      <c r="M712" s="34">
        <f t="shared" si="84"/>
        <v>0</v>
      </c>
      <c r="N712" s="34">
        <f t="shared" si="85"/>
        <v>0</v>
      </c>
      <c r="O712" s="36">
        <f t="shared" si="86"/>
        <v>0</v>
      </c>
      <c r="P712" s="41">
        <f t="shared" si="91"/>
        <v>0</v>
      </c>
      <c r="Q712" s="70" t="e">
        <f t="shared" si="87"/>
        <v>#DIV/0!</v>
      </c>
    </row>
    <row r="713" spans="2:17" x14ac:dyDescent="0.4">
      <c r="B713" s="38"/>
      <c r="C713" s="34"/>
      <c r="D713" s="34"/>
      <c r="E713" s="37"/>
      <c r="F713" s="34"/>
      <c r="G713" s="35"/>
      <c r="H713" s="34">
        <f t="shared" si="88"/>
        <v>0</v>
      </c>
      <c r="I713" s="34">
        <f t="shared" si="89"/>
        <v>0</v>
      </c>
      <c r="J713" s="39">
        <f t="shared" si="90"/>
        <v>0</v>
      </c>
      <c r="K713" s="34"/>
      <c r="L713" s="40">
        <f t="shared" si="83"/>
        <v>1</v>
      </c>
      <c r="M713" s="34">
        <f t="shared" si="84"/>
        <v>0</v>
      </c>
      <c r="N713" s="34">
        <f t="shared" si="85"/>
        <v>0</v>
      </c>
      <c r="O713" s="36">
        <f t="shared" si="86"/>
        <v>0</v>
      </c>
      <c r="P713" s="41">
        <f t="shared" si="91"/>
        <v>0</v>
      </c>
      <c r="Q713" s="70" t="e">
        <f t="shared" si="87"/>
        <v>#DIV/0!</v>
      </c>
    </row>
    <row r="714" spans="2:17" x14ac:dyDescent="0.4">
      <c r="B714" s="38"/>
      <c r="C714" s="34"/>
      <c r="D714" s="34"/>
      <c r="E714" s="37"/>
      <c r="F714" s="34"/>
      <c r="G714" s="35"/>
      <c r="H714" s="34">
        <f t="shared" si="88"/>
        <v>0</v>
      </c>
      <c r="I714" s="34">
        <f t="shared" si="89"/>
        <v>0</v>
      </c>
      <c r="J714" s="39">
        <f t="shared" si="90"/>
        <v>0</v>
      </c>
      <c r="K714" s="34"/>
      <c r="L714" s="40">
        <f t="shared" si="83"/>
        <v>1</v>
      </c>
      <c r="M714" s="34">
        <f t="shared" si="84"/>
        <v>0</v>
      </c>
      <c r="N714" s="34">
        <f t="shared" si="85"/>
        <v>0</v>
      </c>
      <c r="O714" s="36">
        <f t="shared" si="86"/>
        <v>0</v>
      </c>
      <c r="P714" s="41">
        <f t="shared" si="91"/>
        <v>0</v>
      </c>
      <c r="Q714" s="70" t="e">
        <f t="shared" si="87"/>
        <v>#DIV/0!</v>
      </c>
    </row>
    <row r="715" spans="2:17" x14ac:dyDescent="0.4">
      <c r="B715" s="38"/>
      <c r="C715" s="34"/>
      <c r="D715" s="34"/>
      <c r="E715" s="37"/>
      <c r="F715" s="34"/>
      <c r="G715" s="35"/>
      <c r="H715" s="34">
        <f t="shared" si="88"/>
        <v>0</v>
      </c>
      <c r="I715" s="34">
        <f t="shared" si="89"/>
        <v>0</v>
      </c>
      <c r="J715" s="39">
        <f t="shared" si="90"/>
        <v>0</v>
      </c>
      <c r="K715" s="34"/>
      <c r="L715" s="40">
        <f t="shared" si="83"/>
        <v>1</v>
      </c>
      <c r="M715" s="34">
        <f t="shared" si="84"/>
        <v>0</v>
      </c>
      <c r="N715" s="34">
        <f t="shared" si="85"/>
        <v>0</v>
      </c>
      <c r="O715" s="36">
        <f t="shared" si="86"/>
        <v>0</v>
      </c>
      <c r="P715" s="41">
        <f t="shared" si="91"/>
        <v>0</v>
      </c>
      <c r="Q715" s="70" t="e">
        <f t="shared" si="87"/>
        <v>#DIV/0!</v>
      </c>
    </row>
    <row r="716" spans="2:17" x14ac:dyDescent="0.4">
      <c r="B716" s="38"/>
      <c r="C716" s="34"/>
      <c r="D716" s="34"/>
      <c r="E716" s="37"/>
      <c r="F716" s="34"/>
      <c r="G716" s="35"/>
      <c r="H716" s="34">
        <f t="shared" si="88"/>
        <v>0</v>
      </c>
      <c r="I716" s="34">
        <f t="shared" si="89"/>
        <v>0</v>
      </c>
      <c r="J716" s="39">
        <f t="shared" si="90"/>
        <v>0</v>
      </c>
      <c r="K716" s="34"/>
      <c r="L716" s="40">
        <f t="shared" si="83"/>
        <v>1</v>
      </c>
      <c r="M716" s="34">
        <f t="shared" si="84"/>
        <v>0</v>
      </c>
      <c r="N716" s="34">
        <f t="shared" si="85"/>
        <v>0</v>
      </c>
      <c r="O716" s="36">
        <f t="shared" si="86"/>
        <v>0</v>
      </c>
      <c r="P716" s="41">
        <f t="shared" si="91"/>
        <v>0</v>
      </c>
      <c r="Q716" s="70" t="e">
        <f t="shared" si="87"/>
        <v>#DIV/0!</v>
      </c>
    </row>
    <row r="717" spans="2:17" x14ac:dyDescent="0.4">
      <c r="B717" s="38"/>
      <c r="C717" s="34"/>
      <c r="D717" s="34"/>
      <c r="E717" s="37"/>
      <c r="F717" s="34"/>
      <c r="G717" s="35"/>
      <c r="H717" s="34">
        <f t="shared" si="88"/>
        <v>0</v>
      </c>
      <c r="I717" s="34">
        <f t="shared" si="89"/>
        <v>0</v>
      </c>
      <c r="J717" s="39">
        <f t="shared" si="90"/>
        <v>0</v>
      </c>
      <c r="K717" s="34"/>
      <c r="L717" s="40">
        <f t="shared" si="83"/>
        <v>1</v>
      </c>
      <c r="M717" s="34">
        <f t="shared" si="84"/>
        <v>0</v>
      </c>
      <c r="N717" s="34">
        <f t="shared" si="85"/>
        <v>0</v>
      </c>
      <c r="O717" s="36">
        <f t="shared" si="86"/>
        <v>0</v>
      </c>
      <c r="P717" s="41">
        <f t="shared" si="91"/>
        <v>0</v>
      </c>
      <c r="Q717" s="70" t="e">
        <f t="shared" si="87"/>
        <v>#DIV/0!</v>
      </c>
    </row>
    <row r="718" spans="2:17" x14ac:dyDescent="0.4">
      <c r="B718" s="38"/>
      <c r="C718" s="34"/>
      <c r="D718" s="34"/>
      <c r="E718" s="37"/>
      <c r="F718" s="34"/>
      <c r="G718" s="35"/>
      <c r="H718" s="34">
        <f t="shared" si="88"/>
        <v>0</v>
      </c>
      <c r="I718" s="34">
        <f t="shared" si="89"/>
        <v>0</v>
      </c>
      <c r="J718" s="39">
        <f t="shared" si="90"/>
        <v>0</v>
      </c>
      <c r="K718" s="34"/>
      <c r="L718" s="40">
        <f t="shared" ref="L718:L725" si="92">G718-E718+1</f>
        <v>1</v>
      </c>
      <c r="M718" s="34">
        <f t="shared" ref="M718:M725" si="93">C718*D718</f>
        <v>0</v>
      </c>
      <c r="N718" s="34">
        <f t="shared" ref="N718:N725" si="94">C718*F718</f>
        <v>0</v>
      </c>
      <c r="O718" s="36">
        <f t="shared" ref="O718:O725" si="95">K718-H718-I718-J718</f>
        <v>0</v>
      </c>
      <c r="P718" s="41">
        <f t="shared" si="91"/>
        <v>0</v>
      </c>
      <c r="Q718" s="70" t="e">
        <f t="shared" ref="Q718:Q749" si="96">P718/M718</f>
        <v>#DIV/0!</v>
      </c>
    </row>
    <row r="719" spans="2:17" x14ac:dyDescent="0.4">
      <c r="B719" s="38"/>
      <c r="C719" s="34"/>
      <c r="D719" s="34"/>
      <c r="E719" s="37"/>
      <c r="F719" s="34"/>
      <c r="G719" s="35"/>
      <c r="H719" s="34">
        <f t="shared" si="88"/>
        <v>0</v>
      </c>
      <c r="I719" s="34">
        <f t="shared" si="89"/>
        <v>0</v>
      </c>
      <c r="J719" s="39">
        <f t="shared" si="90"/>
        <v>0</v>
      </c>
      <c r="K719" s="34"/>
      <c r="L719" s="40">
        <f t="shared" si="92"/>
        <v>1</v>
      </c>
      <c r="M719" s="34">
        <f t="shared" si="93"/>
        <v>0</v>
      </c>
      <c r="N719" s="34">
        <f t="shared" si="94"/>
        <v>0</v>
      </c>
      <c r="O719" s="36">
        <f t="shared" si="95"/>
        <v>0</v>
      </c>
      <c r="P719" s="41">
        <f t="shared" si="91"/>
        <v>0</v>
      </c>
      <c r="Q719" s="70" t="e">
        <f t="shared" si="96"/>
        <v>#DIV/0!</v>
      </c>
    </row>
    <row r="720" spans="2:17" x14ac:dyDescent="0.4">
      <c r="B720" s="38"/>
      <c r="C720" s="34"/>
      <c r="D720" s="34"/>
      <c r="E720" s="37"/>
      <c r="F720" s="34"/>
      <c r="G720" s="35"/>
      <c r="H720" s="34">
        <f t="shared" si="88"/>
        <v>0</v>
      </c>
      <c r="I720" s="34">
        <f t="shared" si="89"/>
        <v>0</v>
      </c>
      <c r="J720" s="39">
        <f t="shared" si="90"/>
        <v>0</v>
      </c>
      <c r="K720" s="34"/>
      <c r="L720" s="40">
        <f t="shared" si="92"/>
        <v>1</v>
      </c>
      <c r="M720" s="34">
        <f t="shared" si="93"/>
        <v>0</v>
      </c>
      <c r="N720" s="34">
        <f t="shared" si="94"/>
        <v>0</v>
      </c>
      <c r="O720" s="36">
        <f t="shared" si="95"/>
        <v>0</v>
      </c>
      <c r="P720" s="41">
        <f t="shared" si="91"/>
        <v>0</v>
      </c>
      <c r="Q720" s="70" t="e">
        <f t="shared" si="96"/>
        <v>#DIV/0!</v>
      </c>
    </row>
    <row r="721" spans="2:17" x14ac:dyDescent="0.4">
      <c r="B721" s="38"/>
      <c r="C721" s="34"/>
      <c r="D721" s="34"/>
      <c r="E721" s="37"/>
      <c r="F721" s="34"/>
      <c r="G721" s="35"/>
      <c r="H721" s="34">
        <f t="shared" si="88"/>
        <v>0</v>
      </c>
      <c r="I721" s="34">
        <f t="shared" si="89"/>
        <v>0</v>
      </c>
      <c r="J721" s="39">
        <f t="shared" si="90"/>
        <v>0</v>
      </c>
      <c r="K721" s="34"/>
      <c r="L721" s="40">
        <f t="shared" si="92"/>
        <v>1</v>
      </c>
      <c r="M721" s="34">
        <f t="shared" si="93"/>
        <v>0</v>
      </c>
      <c r="N721" s="34">
        <f t="shared" si="94"/>
        <v>0</v>
      </c>
      <c r="O721" s="36">
        <f t="shared" si="95"/>
        <v>0</v>
      </c>
      <c r="P721" s="41">
        <f t="shared" si="91"/>
        <v>0</v>
      </c>
      <c r="Q721" s="70" t="e">
        <f t="shared" si="96"/>
        <v>#DIV/0!</v>
      </c>
    </row>
    <row r="722" spans="2:17" x14ac:dyDescent="0.4">
      <c r="B722" s="38"/>
      <c r="C722" s="34"/>
      <c r="D722" s="34"/>
      <c r="E722" s="37"/>
      <c r="F722" s="34"/>
      <c r="G722" s="35"/>
      <c r="H722" s="34">
        <f t="shared" si="88"/>
        <v>0</v>
      </c>
      <c r="I722" s="34">
        <f t="shared" si="89"/>
        <v>0</v>
      </c>
      <c r="J722" s="39">
        <f t="shared" si="90"/>
        <v>0</v>
      </c>
      <c r="K722" s="34"/>
      <c r="L722" s="40">
        <f t="shared" si="92"/>
        <v>1</v>
      </c>
      <c r="M722" s="34">
        <f t="shared" si="93"/>
        <v>0</v>
      </c>
      <c r="N722" s="34">
        <f t="shared" si="94"/>
        <v>0</v>
      </c>
      <c r="O722" s="36">
        <f t="shared" si="95"/>
        <v>0</v>
      </c>
      <c r="P722" s="41">
        <f t="shared" si="91"/>
        <v>0</v>
      </c>
      <c r="Q722" s="70" t="e">
        <f t="shared" si="96"/>
        <v>#DIV/0!</v>
      </c>
    </row>
    <row r="723" spans="2:17" x14ac:dyDescent="0.4">
      <c r="B723" s="38"/>
      <c r="C723" s="34"/>
      <c r="D723" s="34"/>
      <c r="E723" s="37"/>
      <c r="F723" s="34"/>
      <c r="G723" s="35"/>
      <c r="H723" s="34">
        <f t="shared" si="88"/>
        <v>0</v>
      </c>
      <c r="I723" s="34">
        <f t="shared" si="89"/>
        <v>0</v>
      </c>
      <c r="J723" s="39">
        <f t="shared" si="90"/>
        <v>0</v>
      </c>
      <c r="K723" s="34"/>
      <c r="L723" s="40">
        <f t="shared" si="92"/>
        <v>1</v>
      </c>
      <c r="M723" s="34">
        <f t="shared" si="93"/>
        <v>0</v>
      </c>
      <c r="N723" s="34">
        <f t="shared" si="94"/>
        <v>0</v>
      </c>
      <c r="O723" s="36">
        <f t="shared" si="95"/>
        <v>0</v>
      </c>
      <c r="P723" s="41">
        <f t="shared" si="91"/>
        <v>0</v>
      </c>
      <c r="Q723" s="70" t="e">
        <f t="shared" si="96"/>
        <v>#DIV/0!</v>
      </c>
    </row>
    <row r="724" spans="2:17" x14ac:dyDescent="0.4">
      <c r="B724" s="38"/>
      <c r="C724" s="34"/>
      <c r="D724" s="34"/>
      <c r="E724" s="37"/>
      <c r="F724" s="34"/>
      <c r="G724" s="35"/>
      <c r="H724" s="34">
        <f t="shared" si="88"/>
        <v>0</v>
      </c>
      <c r="I724" s="34">
        <f t="shared" si="89"/>
        <v>0</v>
      </c>
      <c r="J724" s="39">
        <f t="shared" si="90"/>
        <v>0</v>
      </c>
      <c r="K724" s="34"/>
      <c r="L724" s="40">
        <f t="shared" si="92"/>
        <v>1</v>
      </c>
      <c r="M724" s="34">
        <f t="shared" si="93"/>
        <v>0</v>
      </c>
      <c r="N724" s="34">
        <f t="shared" si="94"/>
        <v>0</v>
      </c>
      <c r="O724" s="36">
        <f t="shared" si="95"/>
        <v>0</v>
      </c>
      <c r="P724" s="41">
        <f t="shared" si="91"/>
        <v>0</v>
      </c>
      <c r="Q724" s="70" t="e">
        <f t="shared" si="96"/>
        <v>#DIV/0!</v>
      </c>
    </row>
    <row r="725" spans="2:17" x14ac:dyDescent="0.4">
      <c r="B725" s="38"/>
      <c r="C725" s="34"/>
      <c r="D725" s="34"/>
      <c r="E725" s="37"/>
      <c r="F725" s="34"/>
      <c r="G725" s="35"/>
      <c r="H725" s="34">
        <f t="shared" si="88"/>
        <v>0</v>
      </c>
      <c r="I725" s="34">
        <f t="shared" si="89"/>
        <v>0</v>
      </c>
      <c r="J725" s="39">
        <f t="shared" si="90"/>
        <v>0</v>
      </c>
      <c r="K725" s="34"/>
      <c r="L725" s="40">
        <f t="shared" si="92"/>
        <v>1</v>
      </c>
      <c r="M725" s="34">
        <f t="shared" si="93"/>
        <v>0</v>
      </c>
      <c r="N725" s="34">
        <f t="shared" si="94"/>
        <v>0</v>
      </c>
      <c r="O725" s="36">
        <f t="shared" si="95"/>
        <v>0</v>
      </c>
      <c r="P725" s="41">
        <f t="shared" si="91"/>
        <v>0</v>
      </c>
      <c r="Q725" s="70" t="e">
        <f t="shared" si="96"/>
        <v>#DIV/0!</v>
      </c>
    </row>
    <row r="727" spans="2:17" x14ac:dyDescent="0.4">
      <c r="B727" s="18"/>
    </row>
    <row r="728" spans="2:17" x14ac:dyDescent="0.4">
      <c r="B728" s="96"/>
    </row>
    <row r="729" spans="2:17" x14ac:dyDescent="0.4">
      <c r="B729" s="96"/>
    </row>
    <row r="731" spans="2:17" x14ac:dyDescent="0.4">
      <c r="B731" s="97"/>
    </row>
  </sheetData>
  <phoneticPr fontId="9" type="noConversion"/>
  <pageMargins left="0.7" right="0.7" top="0.75" bottom="0.75" header="0.3" footer="0.3"/>
  <pageSetup orientation="portrait"/>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25"/>
  <sheetViews>
    <sheetView workbookViewId="0">
      <pane xSplit="2" ySplit="4" topLeftCell="C5" activePane="bottomRight" state="frozen"/>
      <selection pane="topRight"/>
      <selection pane="bottomLeft"/>
      <selection pane="bottomRight" activeCell="C12" sqref="C12"/>
    </sheetView>
  </sheetViews>
  <sheetFormatPr defaultRowHeight="17.399999999999999" x14ac:dyDescent="0.4"/>
  <cols>
    <col min="1" max="1" width="24" style="405" customWidth="1"/>
    <col min="2" max="2" width="22" style="405" customWidth="1"/>
    <col min="3" max="14" width="11" style="405" customWidth="1"/>
  </cols>
  <sheetData>
    <row r="1" spans="1:15" ht="28.05" customHeight="1" x14ac:dyDescent="0.4">
      <c r="A1" s="450" t="s">
        <v>1231</v>
      </c>
      <c r="B1" s="445"/>
      <c r="C1" s="445"/>
      <c r="D1" s="445"/>
      <c r="E1" s="445"/>
      <c r="F1" s="445"/>
      <c r="G1" s="445"/>
      <c r="H1" s="445"/>
      <c r="I1" s="445"/>
      <c r="J1" s="445"/>
      <c r="K1" s="445"/>
      <c r="L1" s="445"/>
      <c r="M1" s="445"/>
      <c r="N1" s="445"/>
      <c r="O1" s="449"/>
    </row>
    <row r="2" spans="1:15" x14ac:dyDescent="0.4">
      <c r="A2" s="406" t="s">
        <v>1232</v>
      </c>
    </row>
    <row r="4" spans="1:15" ht="22.05" customHeight="1" x14ac:dyDescent="0.4">
      <c r="A4" s="452" t="s">
        <v>1233</v>
      </c>
      <c r="B4" s="445"/>
      <c r="C4" s="445"/>
      <c r="D4" s="445"/>
      <c r="E4" s="445"/>
      <c r="F4" s="445"/>
      <c r="G4" s="445"/>
      <c r="H4" s="445"/>
      <c r="I4" s="445"/>
      <c r="J4" s="445"/>
      <c r="K4" s="445"/>
      <c r="L4" s="445"/>
      <c r="M4" s="445"/>
      <c r="N4" s="445"/>
      <c r="O4" s="449"/>
    </row>
    <row r="5" spans="1:15" x14ac:dyDescent="0.4">
      <c r="A5" s="407" t="s">
        <v>1234</v>
      </c>
      <c r="B5" s="407" t="s">
        <v>119</v>
      </c>
      <c r="C5" s="408" t="s">
        <v>1235</v>
      </c>
      <c r="D5" s="408" t="s">
        <v>1236</v>
      </c>
      <c r="E5" s="408" t="s">
        <v>1237</v>
      </c>
      <c r="F5" s="408" t="s">
        <v>1238</v>
      </c>
      <c r="G5" s="408" t="s">
        <v>1239</v>
      </c>
      <c r="H5" s="408" t="s">
        <v>1240</v>
      </c>
      <c r="I5" s="408" t="s">
        <v>1241</v>
      </c>
      <c r="J5" s="408" t="s">
        <v>1242</v>
      </c>
      <c r="K5" s="408" t="s">
        <v>1243</v>
      </c>
      <c r="L5" s="408" t="s">
        <v>1244</v>
      </c>
      <c r="M5" s="408" t="s">
        <v>1245</v>
      </c>
      <c r="N5" s="408" t="s">
        <v>1246</v>
      </c>
    </row>
    <row r="6" spans="1:15" ht="18" customHeight="1" x14ac:dyDescent="0.4">
      <c r="A6" s="409" t="s">
        <v>1247</v>
      </c>
      <c r="B6" s="406" t="s">
        <v>1248</v>
      </c>
      <c r="C6" s="410"/>
      <c r="D6" s="410"/>
      <c r="E6" s="410"/>
      <c r="F6" s="410"/>
      <c r="G6" s="410"/>
      <c r="H6" s="410"/>
      <c r="I6" s="410"/>
      <c r="J6" s="410"/>
      <c r="K6" s="410"/>
      <c r="L6" s="410"/>
      <c r="M6" s="410"/>
      <c r="N6" s="410"/>
    </row>
    <row r="7" spans="1:15" ht="18" customHeight="1" x14ac:dyDescent="0.4">
      <c r="A7" s="409" t="s">
        <v>1249</v>
      </c>
      <c r="B7" s="406" t="s">
        <v>1250</v>
      </c>
      <c r="C7" s="410"/>
      <c r="D7" s="410"/>
      <c r="E7" s="410"/>
      <c r="F7" s="410"/>
      <c r="G7" s="410"/>
      <c r="H7" s="410"/>
      <c r="I7" s="410"/>
      <c r="J7" s="410"/>
      <c r="K7" s="410"/>
      <c r="L7" s="410"/>
      <c r="M7" s="410"/>
      <c r="N7" s="410"/>
    </row>
    <row r="8" spans="1:15" ht="18" customHeight="1" x14ac:dyDescent="0.4">
      <c r="A8" s="409" t="s">
        <v>1251</v>
      </c>
      <c r="B8" s="406" t="s">
        <v>1252</v>
      </c>
      <c r="C8" s="410"/>
      <c r="D8" s="410"/>
      <c r="E8" s="410"/>
      <c r="F8" s="410"/>
      <c r="G8" s="410"/>
      <c r="H8" s="410"/>
      <c r="I8" s="410"/>
      <c r="J8" s="410"/>
      <c r="K8" s="410"/>
      <c r="L8" s="410"/>
      <c r="M8" s="410"/>
      <c r="N8" s="410"/>
    </row>
    <row r="9" spans="1:15" ht="18" customHeight="1" x14ac:dyDescent="0.4">
      <c r="A9" s="409" t="s">
        <v>1253</v>
      </c>
      <c r="B9" s="406" t="s">
        <v>1252</v>
      </c>
      <c r="C9" s="410"/>
      <c r="D9" s="410"/>
      <c r="E9" s="410"/>
      <c r="F9" s="410"/>
      <c r="G9" s="410"/>
      <c r="H9" s="410"/>
      <c r="I9" s="410"/>
      <c r="J9" s="410"/>
      <c r="K9" s="410"/>
      <c r="L9" s="410"/>
      <c r="M9" s="410"/>
      <c r="N9" s="410"/>
    </row>
    <row r="10" spans="1:15" ht="18" customHeight="1" x14ac:dyDescent="0.4">
      <c r="A10" s="409" t="s">
        <v>1254</v>
      </c>
      <c r="B10" s="406" t="s">
        <v>1255</v>
      </c>
      <c r="C10" s="410"/>
      <c r="D10" s="410"/>
      <c r="E10" s="410"/>
      <c r="F10" s="410"/>
      <c r="G10" s="410"/>
      <c r="H10" s="410"/>
      <c r="I10" s="410"/>
      <c r="J10" s="410"/>
      <c r="K10" s="410"/>
      <c r="L10" s="410"/>
      <c r="M10" s="410"/>
      <c r="N10" s="410"/>
    </row>
    <row r="11" spans="1:15" ht="18" customHeight="1" x14ac:dyDescent="0.4">
      <c r="A11" s="409" t="s">
        <v>1256</v>
      </c>
      <c r="B11" s="406" t="s">
        <v>1257</v>
      </c>
      <c r="C11" s="410"/>
      <c r="D11" s="410"/>
      <c r="E11" s="410"/>
      <c r="F11" s="410"/>
      <c r="G11" s="410"/>
      <c r="H11" s="410"/>
      <c r="I11" s="410"/>
      <c r="J11" s="410"/>
      <c r="K11" s="410"/>
      <c r="L11" s="410"/>
      <c r="M11" s="410"/>
      <c r="N11" s="410"/>
    </row>
    <row r="12" spans="1:15" ht="18" customHeight="1" x14ac:dyDescent="0.4">
      <c r="A12" s="409" t="s">
        <v>1258</v>
      </c>
      <c r="B12" s="406"/>
      <c r="C12" s="410"/>
      <c r="D12" s="410"/>
      <c r="E12" s="410"/>
      <c r="F12" s="410"/>
      <c r="G12" s="410"/>
      <c r="H12" s="410"/>
      <c r="I12" s="410"/>
      <c r="J12" s="410"/>
      <c r="K12" s="410"/>
      <c r="L12" s="410"/>
      <c r="M12" s="410"/>
      <c r="N12" s="410"/>
    </row>
    <row r="13" spans="1:15" x14ac:dyDescent="0.4">
      <c r="A13" s="411" t="s">
        <v>1259</v>
      </c>
      <c r="B13" s="406" t="s">
        <v>1260</v>
      </c>
      <c r="C13" s="412">
        <f t="shared" ref="C13:N13" si="0">SUM(C6:C12)</f>
        <v>0</v>
      </c>
      <c r="D13" s="412">
        <f t="shared" si="0"/>
        <v>0</v>
      </c>
      <c r="E13" s="412">
        <f t="shared" si="0"/>
        <v>0</v>
      </c>
      <c r="F13" s="412">
        <f t="shared" si="0"/>
        <v>0</v>
      </c>
      <c r="G13" s="412">
        <f t="shared" si="0"/>
        <v>0</v>
      </c>
      <c r="H13" s="412">
        <f t="shared" si="0"/>
        <v>0</v>
      </c>
      <c r="I13" s="412">
        <f t="shared" si="0"/>
        <v>0</v>
      </c>
      <c r="J13" s="412">
        <f t="shared" si="0"/>
        <v>0</v>
      </c>
      <c r="K13" s="412">
        <f t="shared" si="0"/>
        <v>0</v>
      </c>
      <c r="L13" s="412">
        <f t="shared" si="0"/>
        <v>0</v>
      </c>
      <c r="M13" s="412">
        <f t="shared" si="0"/>
        <v>0</v>
      </c>
      <c r="N13" s="412">
        <f t="shared" si="0"/>
        <v>0</v>
      </c>
    </row>
    <row r="15" spans="1:15" ht="22.05" customHeight="1" x14ac:dyDescent="0.4">
      <c r="A15" s="448" t="s">
        <v>1261</v>
      </c>
      <c r="B15" s="445"/>
      <c r="C15" s="445"/>
      <c r="D15" s="445"/>
      <c r="E15" s="445"/>
      <c r="F15" s="445"/>
      <c r="G15" s="445"/>
      <c r="H15" s="445"/>
      <c r="I15" s="445"/>
      <c r="J15" s="445"/>
      <c r="K15" s="445"/>
      <c r="L15" s="445"/>
      <c r="M15" s="445"/>
      <c r="N15" s="445"/>
      <c r="O15" s="449"/>
    </row>
    <row r="16" spans="1:15" x14ac:dyDescent="0.4">
      <c r="A16" s="413" t="s">
        <v>1262</v>
      </c>
      <c r="B16" s="413" t="s">
        <v>119</v>
      </c>
      <c r="C16" s="414" t="s">
        <v>1235</v>
      </c>
      <c r="D16" s="414" t="s">
        <v>1236</v>
      </c>
      <c r="E16" s="414" t="s">
        <v>1237</v>
      </c>
      <c r="F16" s="414" t="s">
        <v>1238</v>
      </c>
      <c r="G16" s="414" t="s">
        <v>1239</v>
      </c>
      <c r="H16" s="414" t="s">
        <v>1240</v>
      </c>
      <c r="I16" s="414" t="s">
        <v>1241</v>
      </c>
      <c r="J16" s="414" t="s">
        <v>1242</v>
      </c>
      <c r="K16" s="414" t="s">
        <v>1243</v>
      </c>
      <c r="L16" s="414" t="s">
        <v>1244</v>
      </c>
      <c r="M16" s="414" t="s">
        <v>1245</v>
      </c>
      <c r="N16" s="414" t="s">
        <v>1246</v>
      </c>
    </row>
    <row r="17" spans="1:15" ht="18" customHeight="1" x14ac:dyDescent="0.4">
      <c r="A17" s="409" t="s">
        <v>1263</v>
      </c>
      <c r="B17" s="406" t="s">
        <v>1264</v>
      </c>
      <c r="C17" s="415"/>
      <c r="D17" s="415"/>
      <c r="E17" s="415"/>
      <c r="F17" s="415"/>
      <c r="G17" s="415"/>
      <c r="H17" s="415"/>
      <c r="I17" s="415"/>
      <c r="J17" s="415"/>
      <c r="K17" s="415"/>
      <c r="L17" s="415"/>
      <c r="M17" s="415"/>
      <c r="N17" s="415"/>
    </row>
    <row r="18" spans="1:15" ht="18" customHeight="1" x14ac:dyDescent="0.4">
      <c r="A18" s="409" t="s">
        <v>1265</v>
      </c>
      <c r="B18" s="406" t="s">
        <v>1264</v>
      </c>
      <c r="C18" s="415"/>
      <c r="D18" s="415"/>
      <c r="E18" s="415"/>
      <c r="F18" s="415"/>
      <c r="G18" s="415"/>
      <c r="H18" s="415"/>
      <c r="I18" s="415"/>
      <c r="J18" s="415"/>
      <c r="K18" s="415"/>
      <c r="L18" s="415"/>
      <c r="M18" s="415"/>
      <c r="N18" s="415"/>
    </row>
    <row r="19" spans="1:15" ht="18" customHeight="1" x14ac:dyDescent="0.4">
      <c r="A19" s="409" t="s">
        <v>1266</v>
      </c>
      <c r="B19" s="406" t="s">
        <v>1267</v>
      </c>
      <c r="C19" s="415"/>
      <c r="D19" s="415"/>
      <c r="E19" s="415"/>
      <c r="F19" s="415"/>
      <c r="G19" s="415"/>
      <c r="H19" s="415"/>
      <c r="I19" s="415"/>
      <c r="J19" s="415"/>
      <c r="K19" s="415"/>
      <c r="L19" s="415"/>
      <c r="M19" s="415"/>
      <c r="N19" s="415"/>
    </row>
    <row r="20" spans="1:15" ht="18" customHeight="1" x14ac:dyDescent="0.4">
      <c r="A20" s="409" t="s">
        <v>1268</v>
      </c>
      <c r="B20" s="406"/>
      <c r="C20" s="415"/>
      <c r="D20" s="415"/>
      <c r="E20" s="415"/>
      <c r="F20" s="415"/>
      <c r="G20" s="415"/>
      <c r="H20" s="415"/>
      <c r="I20" s="415"/>
      <c r="J20" s="415"/>
      <c r="K20" s="415"/>
      <c r="L20" s="415"/>
      <c r="M20" s="415"/>
      <c r="N20" s="415"/>
    </row>
    <row r="21" spans="1:15" x14ac:dyDescent="0.4">
      <c r="A21" s="416" t="s">
        <v>1269</v>
      </c>
      <c r="B21" s="406" t="s">
        <v>1260</v>
      </c>
      <c r="C21" s="417">
        <f t="shared" ref="C21:N21" si="1">SUM(C17:C20)</f>
        <v>0</v>
      </c>
      <c r="D21" s="417">
        <f t="shared" si="1"/>
        <v>0</v>
      </c>
      <c r="E21" s="417">
        <f t="shared" si="1"/>
        <v>0</v>
      </c>
      <c r="F21" s="417">
        <f t="shared" si="1"/>
        <v>0</v>
      </c>
      <c r="G21" s="417">
        <f t="shared" si="1"/>
        <v>0</v>
      </c>
      <c r="H21" s="417">
        <f t="shared" si="1"/>
        <v>0</v>
      </c>
      <c r="I21" s="417">
        <f t="shared" si="1"/>
        <v>0</v>
      </c>
      <c r="J21" s="417">
        <f t="shared" si="1"/>
        <v>0</v>
      </c>
      <c r="K21" s="417">
        <f t="shared" si="1"/>
        <v>0</v>
      </c>
      <c r="L21" s="417">
        <f t="shared" si="1"/>
        <v>0</v>
      </c>
      <c r="M21" s="417">
        <f t="shared" si="1"/>
        <v>0</v>
      </c>
      <c r="N21" s="417">
        <f t="shared" si="1"/>
        <v>0</v>
      </c>
    </row>
    <row r="23" spans="1:15" ht="22.05" customHeight="1" x14ac:dyDescent="0.4">
      <c r="A23" s="451" t="s">
        <v>1270</v>
      </c>
      <c r="B23" s="445"/>
      <c r="C23" s="445"/>
      <c r="D23" s="445"/>
      <c r="E23" s="445"/>
      <c r="F23" s="445"/>
      <c r="G23" s="445"/>
      <c r="H23" s="445"/>
      <c r="I23" s="445"/>
      <c r="J23" s="445"/>
      <c r="K23" s="445"/>
      <c r="L23" s="445"/>
      <c r="M23" s="445"/>
      <c r="N23" s="445"/>
      <c r="O23" s="449"/>
    </row>
    <row r="24" spans="1:15" ht="22.05" customHeight="1" x14ac:dyDescent="0.4">
      <c r="A24" s="418" t="s">
        <v>1271</v>
      </c>
      <c r="C24" s="419">
        <f t="shared" ref="C24:N24" si="2">C13-C21</f>
        <v>0</v>
      </c>
      <c r="D24" s="419">
        <f t="shared" si="2"/>
        <v>0</v>
      </c>
      <c r="E24" s="419">
        <f t="shared" si="2"/>
        <v>0</v>
      </c>
      <c r="F24" s="419">
        <f t="shared" si="2"/>
        <v>0</v>
      </c>
      <c r="G24" s="419">
        <f t="shared" si="2"/>
        <v>0</v>
      </c>
      <c r="H24" s="419">
        <f t="shared" si="2"/>
        <v>0</v>
      </c>
      <c r="I24" s="419">
        <f t="shared" si="2"/>
        <v>0</v>
      </c>
      <c r="J24" s="419">
        <f t="shared" si="2"/>
        <v>0</v>
      </c>
      <c r="K24" s="419">
        <f t="shared" si="2"/>
        <v>0</v>
      </c>
      <c r="L24" s="419">
        <f t="shared" si="2"/>
        <v>0</v>
      </c>
      <c r="M24" s="419">
        <f t="shared" si="2"/>
        <v>0</v>
      </c>
      <c r="N24" s="419">
        <f t="shared" si="2"/>
        <v>0</v>
      </c>
    </row>
    <row r="25" spans="1:15" x14ac:dyDescent="0.4">
      <c r="A25" s="420" t="s">
        <v>1272</v>
      </c>
      <c r="C25" s="421"/>
      <c r="D25" s="421">
        <f t="shared" ref="D25:N25" si="3">D24-C24</f>
        <v>0</v>
      </c>
      <c r="E25" s="421">
        <f t="shared" si="3"/>
        <v>0</v>
      </c>
      <c r="F25" s="421">
        <f t="shared" si="3"/>
        <v>0</v>
      </c>
      <c r="G25" s="421">
        <f t="shared" si="3"/>
        <v>0</v>
      </c>
      <c r="H25" s="421">
        <f t="shared" si="3"/>
        <v>0</v>
      </c>
      <c r="I25" s="421">
        <f t="shared" si="3"/>
        <v>0</v>
      </c>
      <c r="J25" s="421">
        <f t="shared" si="3"/>
        <v>0</v>
      </c>
      <c r="K25" s="421">
        <f t="shared" si="3"/>
        <v>0</v>
      </c>
      <c r="L25" s="421">
        <f t="shared" si="3"/>
        <v>0</v>
      </c>
      <c r="M25" s="421">
        <f t="shared" si="3"/>
        <v>0</v>
      </c>
      <c r="N25" s="421">
        <f t="shared" si="3"/>
        <v>0</v>
      </c>
    </row>
  </sheetData>
  <mergeCells count="4">
    <mergeCell ref="A15:O15"/>
    <mergeCell ref="A1:O1"/>
    <mergeCell ref="A23:O23"/>
    <mergeCell ref="A4:O4"/>
  </mergeCells>
  <phoneticPr fontId="9"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36"/>
  <sheetViews>
    <sheetView workbookViewId="0">
      <pane xSplit="2" ySplit="4" topLeftCell="C5" activePane="bottomRight" state="frozen"/>
      <selection pane="topRight"/>
      <selection pane="bottomLeft"/>
      <selection pane="bottomRight" sqref="A1:O1"/>
    </sheetView>
  </sheetViews>
  <sheetFormatPr defaultRowHeight="17.399999999999999" x14ac:dyDescent="0.4"/>
  <cols>
    <col min="1" max="1" width="26" style="405" customWidth="1"/>
    <col min="2" max="2" width="20" style="405" customWidth="1"/>
    <col min="3" max="15" width="11" style="405" customWidth="1"/>
  </cols>
  <sheetData>
    <row r="1" spans="1:15" ht="28.05" customHeight="1" x14ac:dyDescent="0.4">
      <c r="A1" s="450" t="s">
        <v>1273</v>
      </c>
      <c r="B1" s="445"/>
      <c r="C1" s="445"/>
      <c r="D1" s="445"/>
      <c r="E1" s="445"/>
      <c r="F1" s="445"/>
      <c r="G1" s="445"/>
      <c r="H1" s="445"/>
      <c r="I1" s="445"/>
      <c r="J1" s="445"/>
      <c r="K1" s="445"/>
      <c r="L1" s="445"/>
      <c r="M1" s="445"/>
      <c r="N1" s="445"/>
      <c r="O1" s="445"/>
    </row>
    <row r="2" spans="1:15" x14ac:dyDescent="0.4">
      <c r="A2" s="406" t="s">
        <v>1274</v>
      </c>
    </row>
    <row r="4" spans="1:15" x14ac:dyDescent="0.4">
      <c r="A4" s="407" t="s">
        <v>1275</v>
      </c>
      <c r="B4" s="407" t="s">
        <v>119</v>
      </c>
      <c r="C4" s="408" t="s">
        <v>1235</v>
      </c>
      <c r="D4" s="408" t="s">
        <v>1236</v>
      </c>
      <c r="E4" s="408" t="s">
        <v>1237</v>
      </c>
      <c r="F4" s="408" t="s">
        <v>1238</v>
      </c>
      <c r="G4" s="408" t="s">
        <v>1239</v>
      </c>
      <c r="H4" s="408" t="s">
        <v>1240</v>
      </c>
      <c r="I4" s="408" t="s">
        <v>1241</v>
      </c>
      <c r="J4" s="408" t="s">
        <v>1242</v>
      </c>
      <c r="K4" s="408" t="s">
        <v>1243</v>
      </c>
      <c r="L4" s="408" t="s">
        <v>1244</v>
      </c>
      <c r="M4" s="408" t="s">
        <v>1245</v>
      </c>
      <c r="N4" s="408" t="s">
        <v>1246</v>
      </c>
      <c r="O4" s="422" t="s">
        <v>1276</v>
      </c>
    </row>
    <row r="5" spans="1:15" ht="18" customHeight="1" x14ac:dyDescent="0.4">
      <c r="A5" s="453" t="s">
        <v>1277</v>
      </c>
      <c r="B5" s="445"/>
      <c r="C5" s="445"/>
      <c r="D5" s="445"/>
      <c r="E5" s="445"/>
      <c r="F5" s="445"/>
      <c r="G5" s="445"/>
      <c r="H5" s="445"/>
      <c r="I5" s="445"/>
      <c r="J5" s="445"/>
      <c r="K5" s="445"/>
      <c r="L5" s="445"/>
      <c r="M5" s="445"/>
      <c r="N5" s="445"/>
      <c r="O5" s="445"/>
    </row>
    <row r="6" spans="1:15" ht="18" customHeight="1" x14ac:dyDescent="0.4">
      <c r="A6" s="423" t="s">
        <v>1278</v>
      </c>
      <c r="B6" s="406" t="s">
        <v>1279</v>
      </c>
      <c r="C6" s="410"/>
      <c r="D6" s="410"/>
      <c r="E6" s="410"/>
      <c r="F6" s="410"/>
      <c r="G6" s="410"/>
      <c r="H6" s="410"/>
      <c r="I6" s="410"/>
      <c r="J6" s="410"/>
      <c r="K6" s="410"/>
      <c r="L6" s="410"/>
      <c r="M6" s="410"/>
      <c r="N6" s="410"/>
      <c r="O6" s="424">
        <f t="shared" ref="O6:O12" si="0">SUM(C6:N6)</f>
        <v>0</v>
      </c>
    </row>
    <row r="7" spans="1:15" ht="18" customHeight="1" x14ac:dyDescent="0.4">
      <c r="A7" s="423" t="s">
        <v>1280</v>
      </c>
      <c r="B7" s="406"/>
      <c r="C7" s="410"/>
      <c r="D7" s="410"/>
      <c r="E7" s="410"/>
      <c r="F7" s="410"/>
      <c r="G7" s="410"/>
      <c r="H7" s="410"/>
      <c r="I7" s="410"/>
      <c r="J7" s="410"/>
      <c r="K7" s="410"/>
      <c r="L7" s="410"/>
      <c r="M7" s="410"/>
      <c r="N7" s="410"/>
      <c r="O7" s="424">
        <f t="shared" si="0"/>
        <v>0</v>
      </c>
    </row>
    <row r="8" spans="1:15" ht="18" customHeight="1" x14ac:dyDescent="0.4">
      <c r="A8" s="423" t="s">
        <v>1281</v>
      </c>
      <c r="B8" s="406"/>
      <c r="C8" s="410"/>
      <c r="D8" s="410"/>
      <c r="E8" s="410"/>
      <c r="F8" s="410"/>
      <c r="G8" s="410"/>
      <c r="H8" s="410"/>
      <c r="I8" s="410"/>
      <c r="J8" s="410"/>
      <c r="K8" s="410"/>
      <c r="L8" s="410"/>
      <c r="M8" s="410"/>
      <c r="N8" s="410"/>
      <c r="O8" s="424">
        <f t="shared" si="0"/>
        <v>0</v>
      </c>
    </row>
    <row r="9" spans="1:15" ht="18" customHeight="1" x14ac:dyDescent="0.4">
      <c r="A9" s="423" t="s">
        <v>1282</v>
      </c>
      <c r="B9" s="406" t="s">
        <v>1283</v>
      </c>
      <c r="C9" s="410"/>
      <c r="D9" s="410"/>
      <c r="E9" s="410"/>
      <c r="F9" s="410"/>
      <c r="G9" s="410"/>
      <c r="H9" s="410"/>
      <c r="I9" s="410"/>
      <c r="J9" s="410"/>
      <c r="K9" s="410"/>
      <c r="L9" s="410"/>
      <c r="M9" s="410"/>
      <c r="N9" s="410"/>
      <c r="O9" s="424">
        <f t="shared" si="0"/>
        <v>0</v>
      </c>
    </row>
    <row r="10" spans="1:15" ht="18" customHeight="1" x14ac:dyDescent="0.4">
      <c r="A10" s="423" t="s">
        <v>1284</v>
      </c>
      <c r="B10" s="406"/>
      <c r="C10" s="410"/>
      <c r="D10" s="410"/>
      <c r="E10" s="410"/>
      <c r="F10" s="410"/>
      <c r="G10" s="410"/>
      <c r="H10" s="410"/>
      <c r="I10" s="410"/>
      <c r="J10" s="410"/>
      <c r="K10" s="410"/>
      <c r="L10" s="410"/>
      <c r="M10" s="410"/>
      <c r="N10" s="410"/>
      <c r="O10" s="424">
        <f t="shared" si="0"/>
        <v>0</v>
      </c>
    </row>
    <row r="11" spans="1:15" ht="18" customHeight="1" x14ac:dyDescent="0.4">
      <c r="A11" s="423" t="s">
        <v>1285</v>
      </c>
      <c r="B11" s="406"/>
      <c r="C11" s="410"/>
      <c r="D11" s="410"/>
      <c r="E11" s="410"/>
      <c r="F11" s="410"/>
      <c r="G11" s="410"/>
      <c r="H11" s="410"/>
      <c r="I11" s="410"/>
      <c r="J11" s="410"/>
      <c r="K11" s="410"/>
      <c r="L11" s="410"/>
      <c r="M11" s="410"/>
      <c r="N11" s="410"/>
      <c r="O11" s="424">
        <f t="shared" si="0"/>
        <v>0</v>
      </c>
    </row>
    <row r="12" spans="1:15" ht="18" customHeight="1" x14ac:dyDescent="0.4">
      <c r="A12" s="423" t="s">
        <v>1286</v>
      </c>
      <c r="B12" s="406" t="s">
        <v>1287</v>
      </c>
      <c r="C12" s="410"/>
      <c r="D12" s="410"/>
      <c r="E12" s="410"/>
      <c r="F12" s="410"/>
      <c r="G12" s="410"/>
      <c r="H12" s="410"/>
      <c r="I12" s="410"/>
      <c r="J12" s="410"/>
      <c r="K12" s="410"/>
      <c r="L12" s="410"/>
      <c r="M12" s="410"/>
      <c r="N12" s="410"/>
      <c r="O12" s="424">
        <f t="shared" si="0"/>
        <v>0</v>
      </c>
    </row>
    <row r="13" spans="1:15" ht="18" customHeight="1" x14ac:dyDescent="0.4">
      <c r="A13" s="453" t="s">
        <v>1288</v>
      </c>
      <c r="B13" s="445"/>
      <c r="C13" s="445"/>
      <c r="D13" s="445"/>
      <c r="E13" s="445"/>
      <c r="F13" s="445"/>
      <c r="G13" s="445"/>
      <c r="H13" s="445"/>
      <c r="I13" s="445"/>
      <c r="J13" s="445"/>
      <c r="K13" s="445"/>
      <c r="L13" s="445"/>
      <c r="M13" s="445"/>
      <c r="N13" s="445"/>
      <c r="O13" s="445"/>
    </row>
    <row r="14" spans="1:15" ht="18" customHeight="1" x14ac:dyDescent="0.4">
      <c r="A14" s="423" t="s">
        <v>1289</v>
      </c>
      <c r="B14" s="406"/>
      <c r="C14" s="410"/>
      <c r="D14" s="410"/>
      <c r="E14" s="410"/>
      <c r="F14" s="410"/>
      <c r="G14" s="410"/>
      <c r="H14" s="410"/>
      <c r="I14" s="410"/>
      <c r="J14" s="410"/>
      <c r="K14" s="410"/>
      <c r="L14" s="410"/>
      <c r="M14" s="410"/>
      <c r="N14" s="410"/>
      <c r="O14" s="424">
        <f t="shared" ref="O14:O22" si="1">SUM(C14:N14)</f>
        <v>0</v>
      </c>
    </row>
    <row r="15" spans="1:15" ht="18" customHeight="1" x14ac:dyDescent="0.4">
      <c r="A15" s="423" t="s">
        <v>1290</v>
      </c>
      <c r="B15" s="406"/>
      <c r="C15" s="410"/>
      <c r="D15" s="410"/>
      <c r="E15" s="410"/>
      <c r="F15" s="410"/>
      <c r="G15" s="410"/>
      <c r="H15" s="410"/>
      <c r="I15" s="410"/>
      <c r="J15" s="410"/>
      <c r="K15" s="410"/>
      <c r="L15" s="410"/>
      <c r="M15" s="410"/>
      <c r="N15" s="410"/>
      <c r="O15" s="424">
        <f t="shared" si="1"/>
        <v>0</v>
      </c>
    </row>
    <row r="16" spans="1:15" ht="18" customHeight="1" x14ac:dyDescent="0.4">
      <c r="A16" s="423" t="s">
        <v>1291</v>
      </c>
      <c r="B16" s="406"/>
      <c r="C16" s="410"/>
      <c r="D16" s="410"/>
      <c r="E16" s="410"/>
      <c r="F16" s="410"/>
      <c r="G16" s="410"/>
      <c r="H16" s="410"/>
      <c r="I16" s="410"/>
      <c r="J16" s="410"/>
      <c r="K16" s="410"/>
      <c r="L16" s="410"/>
      <c r="M16" s="410"/>
      <c r="N16" s="410"/>
      <c r="O16" s="424">
        <f t="shared" si="1"/>
        <v>0</v>
      </c>
    </row>
    <row r="17" spans="1:15" ht="18" customHeight="1" x14ac:dyDescent="0.4">
      <c r="A17" s="423" t="s">
        <v>1292</v>
      </c>
      <c r="B17" s="406"/>
      <c r="C17" s="410"/>
      <c r="D17" s="410"/>
      <c r="E17" s="410"/>
      <c r="F17" s="410"/>
      <c r="G17" s="410"/>
      <c r="H17" s="410"/>
      <c r="I17" s="410"/>
      <c r="J17" s="410"/>
      <c r="K17" s="410"/>
      <c r="L17" s="410"/>
      <c r="M17" s="410"/>
      <c r="N17" s="410"/>
      <c r="O17" s="424">
        <f t="shared" si="1"/>
        <v>0</v>
      </c>
    </row>
    <row r="18" spans="1:15" ht="18" customHeight="1" x14ac:dyDescent="0.4">
      <c r="A18" s="423" t="s">
        <v>1293</v>
      </c>
      <c r="B18" s="406"/>
      <c r="C18" s="410"/>
      <c r="D18" s="410"/>
      <c r="E18" s="410"/>
      <c r="F18" s="410"/>
      <c r="G18" s="410"/>
      <c r="H18" s="410"/>
      <c r="I18" s="410"/>
      <c r="J18" s="410"/>
      <c r="K18" s="410"/>
      <c r="L18" s="410"/>
      <c r="M18" s="410"/>
      <c r="N18" s="410"/>
      <c r="O18" s="424">
        <f t="shared" si="1"/>
        <v>0</v>
      </c>
    </row>
    <row r="19" spans="1:15" ht="18" customHeight="1" x14ac:dyDescent="0.4">
      <c r="A19" s="423" t="s">
        <v>1294</v>
      </c>
      <c r="B19" s="406"/>
      <c r="C19" s="410"/>
      <c r="D19" s="410"/>
      <c r="E19" s="410"/>
      <c r="F19" s="410"/>
      <c r="G19" s="410"/>
      <c r="H19" s="410"/>
      <c r="I19" s="410"/>
      <c r="J19" s="410"/>
      <c r="K19" s="410"/>
      <c r="L19" s="410"/>
      <c r="M19" s="410"/>
      <c r="N19" s="410"/>
      <c r="O19" s="424">
        <f t="shared" si="1"/>
        <v>0</v>
      </c>
    </row>
    <row r="20" spans="1:15" ht="18" customHeight="1" x14ac:dyDescent="0.4">
      <c r="A20" s="423" t="s">
        <v>1295</v>
      </c>
      <c r="B20" s="406"/>
      <c r="C20" s="410"/>
      <c r="D20" s="410"/>
      <c r="E20" s="410"/>
      <c r="F20" s="410"/>
      <c r="G20" s="410"/>
      <c r="H20" s="410"/>
      <c r="I20" s="410"/>
      <c r="J20" s="410"/>
      <c r="K20" s="410"/>
      <c r="L20" s="410"/>
      <c r="M20" s="410"/>
      <c r="N20" s="410"/>
      <c r="O20" s="424">
        <f t="shared" si="1"/>
        <v>0</v>
      </c>
    </row>
    <row r="21" spans="1:15" ht="18" customHeight="1" x14ac:dyDescent="0.4">
      <c r="A21" s="423" t="s">
        <v>1296</v>
      </c>
      <c r="B21" s="406"/>
      <c r="C21" s="410"/>
      <c r="D21" s="410"/>
      <c r="E21" s="410"/>
      <c r="F21" s="410"/>
      <c r="G21" s="410"/>
      <c r="H21" s="410"/>
      <c r="I21" s="410"/>
      <c r="J21" s="410"/>
      <c r="K21" s="410"/>
      <c r="L21" s="410"/>
      <c r="M21" s="410"/>
      <c r="N21" s="410"/>
      <c r="O21" s="424">
        <f t="shared" si="1"/>
        <v>0</v>
      </c>
    </row>
    <row r="22" spans="1:15" ht="18" customHeight="1" x14ac:dyDescent="0.4">
      <c r="A22" s="423" t="s">
        <v>156</v>
      </c>
      <c r="B22" s="406"/>
      <c r="C22" s="410"/>
      <c r="D22" s="410"/>
      <c r="E22" s="410"/>
      <c r="F22" s="410"/>
      <c r="G22" s="410"/>
      <c r="H22" s="410"/>
      <c r="I22" s="410"/>
      <c r="J22" s="410"/>
      <c r="K22" s="410"/>
      <c r="L22" s="410"/>
      <c r="M22" s="410"/>
      <c r="N22" s="410"/>
      <c r="O22" s="424">
        <f t="shared" si="1"/>
        <v>0</v>
      </c>
    </row>
    <row r="23" spans="1:15" ht="18" customHeight="1" x14ac:dyDescent="0.4">
      <c r="A23" s="454" t="s">
        <v>1297</v>
      </c>
      <c r="B23" s="445"/>
      <c r="C23" s="445"/>
      <c r="D23" s="445"/>
      <c r="E23" s="445"/>
      <c r="F23" s="445"/>
      <c r="G23" s="445"/>
      <c r="H23" s="445"/>
      <c r="I23" s="445"/>
      <c r="J23" s="445"/>
      <c r="K23" s="445"/>
      <c r="L23" s="445"/>
      <c r="M23" s="445"/>
      <c r="N23" s="445"/>
      <c r="O23" s="445"/>
    </row>
    <row r="24" spans="1:15" ht="18" customHeight="1" x14ac:dyDescent="0.4">
      <c r="A24" s="423" t="s">
        <v>1298</v>
      </c>
      <c r="B24" s="406"/>
      <c r="C24" s="410"/>
      <c r="D24" s="410"/>
      <c r="E24" s="410"/>
      <c r="F24" s="410"/>
      <c r="G24" s="410"/>
      <c r="H24" s="410"/>
      <c r="I24" s="410"/>
      <c r="J24" s="410"/>
      <c r="K24" s="410"/>
      <c r="L24" s="410"/>
      <c r="M24" s="410"/>
      <c r="N24" s="410"/>
      <c r="O24" s="424">
        <f>SUM(C24:N24)</f>
        <v>0</v>
      </c>
    </row>
    <row r="25" spans="1:15" ht="18" customHeight="1" x14ac:dyDescent="0.4">
      <c r="A25" s="423" t="s">
        <v>1299</v>
      </c>
      <c r="B25" s="406" t="s">
        <v>1300</v>
      </c>
      <c r="C25" s="410"/>
      <c r="D25" s="410"/>
      <c r="E25" s="410"/>
      <c r="F25" s="410"/>
      <c r="G25" s="410"/>
      <c r="H25" s="410"/>
      <c r="I25" s="410"/>
      <c r="J25" s="410"/>
      <c r="K25" s="410"/>
      <c r="L25" s="410"/>
      <c r="M25" s="410"/>
      <c r="N25" s="410"/>
      <c r="O25" s="424">
        <f>SUM(C25:N25)</f>
        <v>0</v>
      </c>
    </row>
    <row r="26" spans="1:15" ht="18" customHeight="1" x14ac:dyDescent="0.4">
      <c r="A26" s="423" t="s">
        <v>1301</v>
      </c>
      <c r="B26" s="406"/>
      <c r="C26" s="410"/>
      <c r="D26" s="410"/>
      <c r="E26" s="410"/>
      <c r="F26" s="410"/>
      <c r="G26" s="410"/>
      <c r="H26" s="410"/>
      <c r="I26" s="410"/>
      <c r="J26" s="410"/>
      <c r="K26" s="410"/>
      <c r="L26" s="410"/>
      <c r="M26" s="410"/>
      <c r="N26" s="410"/>
      <c r="O26" s="424">
        <f>SUM(C26:N26)</f>
        <v>0</v>
      </c>
    </row>
    <row r="27" spans="1:15" ht="18" customHeight="1" x14ac:dyDescent="0.4">
      <c r="A27" s="423" t="s">
        <v>1302</v>
      </c>
      <c r="B27" s="406" t="s">
        <v>1267</v>
      </c>
      <c r="C27" s="410"/>
      <c r="D27" s="410"/>
      <c r="E27" s="410"/>
      <c r="F27" s="410"/>
      <c r="G27" s="410"/>
      <c r="H27" s="410"/>
      <c r="I27" s="410"/>
      <c r="J27" s="410"/>
      <c r="K27" s="410"/>
      <c r="L27" s="410"/>
      <c r="M27" s="410"/>
      <c r="N27" s="410"/>
      <c r="O27" s="424">
        <f>SUM(C27:N27)</f>
        <v>0</v>
      </c>
    </row>
    <row r="28" spans="1:15" ht="19.95" customHeight="1" x14ac:dyDescent="0.4">
      <c r="A28" s="411" t="s">
        <v>1303</v>
      </c>
      <c r="C28" s="412">
        <f t="shared" ref="C28:N28" si="2">C6+C7+C8+C9+C10+C11+C12+C14+C15+C16+C17+C18+C19+C20+C21+C22+C24+C25+C26+C27</f>
        <v>0</v>
      </c>
      <c r="D28" s="412">
        <f t="shared" si="2"/>
        <v>0</v>
      </c>
      <c r="E28" s="412">
        <f t="shared" si="2"/>
        <v>0</v>
      </c>
      <c r="F28" s="412">
        <f t="shared" si="2"/>
        <v>0</v>
      </c>
      <c r="G28" s="412">
        <f t="shared" si="2"/>
        <v>0</v>
      </c>
      <c r="H28" s="412">
        <f t="shared" si="2"/>
        <v>0</v>
      </c>
      <c r="I28" s="412">
        <f t="shared" si="2"/>
        <v>0</v>
      </c>
      <c r="J28" s="412">
        <f t="shared" si="2"/>
        <v>0</v>
      </c>
      <c r="K28" s="412">
        <f t="shared" si="2"/>
        <v>0</v>
      </c>
      <c r="L28" s="412">
        <f t="shared" si="2"/>
        <v>0</v>
      </c>
      <c r="M28" s="412">
        <f t="shared" si="2"/>
        <v>0</v>
      </c>
      <c r="N28" s="412">
        <f t="shared" si="2"/>
        <v>0</v>
      </c>
      <c r="O28" s="425">
        <f>SUM(C28:N28)</f>
        <v>0</v>
      </c>
    </row>
    <row r="30" spans="1:15" ht="28.05" customHeight="1" x14ac:dyDescent="0.4">
      <c r="A30" s="451" t="s">
        <v>1304</v>
      </c>
      <c r="B30" s="445"/>
      <c r="C30" s="445"/>
      <c r="D30" s="445"/>
      <c r="E30" s="445"/>
      <c r="F30" s="445"/>
      <c r="G30" s="445"/>
      <c r="H30" s="445"/>
      <c r="I30" s="445"/>
      <c r="J30" s="445"/>
      <c r="K30" s="445"/>
      <c r="L30" s="445"/>
      <c r="M30" s="445"/>
      <c r="N30" s="445"/>
      <c r="O30" s="445"/>
    </row>
    <row r="31" spans="1:15" ht="18" customHeight="1" x14ac:dyDescent="0.4">
      <c r="A31" s="423" t="s">
        <v>1305</v>
      </c>
      <c r="C31" s="426"/>
      <c r="D31" s="426"/>
      <c r="E31" s="426"/>
      <c r="F31" s="426"/>
      <c r="G31" s="426"/>
      <c r="H31" s="426"/>
      <c r="I31" s="426"/>
      <c r="J31" s="426"/>
      <c r="K31" s="426"/>
      <c r="L31" s="426"/>
      <c r="M31" s="426"/>
      <c r="N31" s="426"/>
      <c r="O31" s="427">
        <f>SUM(C31:N31)</f>
        <v>0</v>
      </c>
    </row>
    <row r="32" spans="1:15" ht="18" customHeight="1" x14ac:dyDescent="0.4">
      <c r="A32" s="423" t="s">
        <v>1306</v>
      </c>
      <c r="C32" s="426"/>
      <c r="D32" s="426"/>
      <c r="E32" s="426"/>
      <c r="F32" s="426"/>
      <c r="G32" s="426"/>
      <c r="H32" s="426"/>
      <c r="I32" s="426"/>
      <c r="J32" s="426"/>
      <c r="K32" s="426"/>
      <c r="L32" s="426"/>
      <c r="M32" s="426"/>
      <c r="N32" s="426"/>
      <c r="O32" s="427">
        <f>SUM(C32:N32)</f>
        <v>0</v>
      </c>
    </row>
    <row r="33" spans="1:15" ht="18" customHeight="1" x14ac:dyDescent="0.4">
      <c r="A33" s="423" t="s">
        <v>1307</v>
      </c>
      <c r="C33" s="426"/>
      <c r="D33" s="426"/>
      <c r="E33" s="426"/>
      <c r="F33" s="426"/>
      <c r="G33" s="426"/>
      <c r="H33" s="426"/>
      <c r="I33" s="426"/>
      <c r="J33" s="426"/>
      <c r="K33" s="426"/>
      <c r="L33" s="426"/>
      <c r="M33" s="426"/>
      <c r="N33" s="426"/>
      <c r="O33" s="427">
        <f>SUM(C33:N33)</f>
        <v>0</v>
      </c>
    </row>
    <row r="34" spans="1:15" ht="18" customHeight="1" x14ac:dyDescent="0.4">
      <c r="A34" s="423" t="s">
        <v>1308</v>
      </c>
      <c r="C34" s="426"/>
      <c r="D34" s="426"/>
      <c r="E34" s="426"/>
      <c r="F34" s="426"/>
      <c r="G34" s="426"/>
      <c r="H34" s="426"/>
      <c r="I34" s="426"/>
      <c r="J34" s="426"/>
      <c r="K34" s="426"/>
      <c r="L34" s="426"/>
      <c r="M34" s="426"/>
      <c r="N34" s="426"/>
      <c r="O34" s="427">
        <f>SUM(C34:N34)</f>
        <v>0</v>
      </c>
    </row>
    <row r="35" spans="1:15" x14ac:dyDescent="0.4">
      <c r="A35" s="428" t="s">
        <v>1309</v>
      </c>
      <c r="C35" s="429">
        <f t="shared" ref="C35:N35" si="3">SUM(C31:C34)</f>
        <v>0</v>
      </c>
      <c r="D35" s="429">
        <f t="shared" si="3"/>
        <v>0</v>
      </c>
      <c r="E35" s="429">
        <f t="shared" si="3"/>
        <v>0</v>
      </c>
      <c r="F35" s="429">
        <f t="shared" si="3"/>
        <v>0</v>
      </c>
      <c r="G35" s="429">
        <f t="shared" si="3"/>
        <v>0</v>
      </c>
      <c r="H35" s="429">
        <f t="shared" si="3"/>
        <v>0</v>
      </c>
      <c r="I35" s="429">
        <f t="shared" si="3"/>
        <v>0</v>
      </c>
      <c r="J35" s="429">
        <f t="shared" si="3"/>
        <v>0</v>
      </c>
      <c r="K35" s="429">
        <f t="shared" si="3"/>
        <v>0</v>
      </c>
      <c r="L35" s="429">
        <f t="shared" si="3"/>
        <v>0</v>
      </c>
      <c r="M35" s="429">
        <f t="shared" si="3"/>
        <v>0</v>
      </c>
      <c r="N35" s="429">
        <f t="shared" si="3"/>
        <v>0</v>
      </c>
    </row>
    <row r="36" spans="1:15" ht="19.95" customHeight="1" x14ac:dyDescent="0.4">
      <c r="A36" s="430" t="s">
        <v>1310</v>
      </c>
      <c r="C36" s="431">
        <f t="shared" ref="C36:N36" si="4">C35-C28</f>
        <v>0</v>
      </c>
      <c r="D36" s="431">
        <f t="shared" si="4"/>
        <v>0</v>
      </c>
      <c r="E36" s="431">
        <f t="shared" si="4"/>
        <v>0</v>
      </c>
      <c r="F36" s="431">
        <f t="shared" si="4"/>
        <v>0</v>
      </c>
      <c r="G36" s="431">
        <f t="shared" si="4"/>
        <v>0</v>
      </c>
      <c r="H36" s="431">
        <f t="shared" si="4"/>
        <v>0</v>
      </c>
      <c r="I36" s="431">
        <f t="shared" si="4"/>
        <v>0</v>
      </c>
      <c r="J36" s="431">
        <f t="shared" si="4"/>
        <v>0</v>
      </c>
      <c r="K36" s="431">
        <f t="shared" si="4"/>
        <v>0</v>
      </c>
      <c r="L36" s="431">
        <f t="shared" si="4"/>
        <v>0</v>
      </c>
      <c r="M36" s="431">
        <f t="shared" si="4"/>
        <v>0</v>
      </c>
      <c r="N36" s="431">
        <f t="shared" si="4"/>
        <v>0</v>
      </c>
    </row>
  </sheetData>
  <mergeCells count="5">
    <mergeCell ref="A13:O13"/>
    <mergeCell ref="A1:O1"/>
    <mergeCell ref="A23:O23"/>
    <mergeCell ref="A5:O5"/>
    <mergeCell ref="A30:O30"/>
  </mergeCells>
  <phoneticPr fontId="9"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34"/>
  <sheetViews>
    <sheetView workbookViewId="0">
      <pane ySplit="5" topLeftCell="A6" activePane="bottomLeft" state="frozen"/>
      <selection pane="bottomLeft" activeCell="A11" sqref="A11"/>
    </sheetView>
  </sheetViews>
  <sheetFormatPr defaultRowHeight="17.399999999999999" x14ac:dyDescent="0.4"/>
  <cols>
    <col min="1" max="1" width="22" style="405" customWidth="1"/>
    <col min="2" max="3" width="14" style="405" customWidth="1"/>
    <col min="4" max="4" width="10" style="405" customWidth="1"/>
    <col min="5" max="10" width="12" style="405" customWidth="1"/>
  </cols>
  <sheetData>
    <row r="1" spans="1:12" ht="28.05" customHeight="1" x14ac:dyDescent="0.4">
      <c r="A1" s="450" t="s">
        <v>1311</v>
      </c>
      <c r="B1" s="445"/>
      <c r="C1" s="445"/>
      <c r="D1" s="445"/>
      <c r="E1" s="445"/>
      <c r="F1" s="445"/>
      <c r="G1" s="445"/>
      <c r="H1" s="445"/>
      <c r="I1" s="445"/>
      <c r="J1" s="445"/>
      <c r="K1" s="449"/>
      <c r="L1" s="449"/>
    </row>
    <row r="2" spans="1:12" x14ac:dyDescent="0.4">
      <c r="A2" s="406" t="s">
        <v>1312</v>
      </c>
    </row>
    <row r="4" spans="1:12" ht="28.05" customHeight="1" x14ac:dyDescent="0.4">
      <c r="A4" s="452" t="s">
        <v>1313</v>
      </c>
      <c r="B4" s="445"/>
      <c r="C4" s="445"/>
      <c r="D4" s="445"/>
      <c r="E4" s="445"/>
      <c r="F4" s="445"/>
      <c r="G4" s="445"/>
      <c r="H4" s="445"/>
      <c r="I4" s="445"/>
      <c r="J4" s="445"/>
      <c r="K4" s="449"/>
      <c r="L4" s="449"/>
    </row>
    <row r="5" spans="1:12" x14ac:dyDescent="0.4">
      <c r="A5" s="432" t="s">
        <v>0</v>
      </c>
      <c r="B5" s="432" t="s">
        <v>1314</v>
      </c>
      <c r="C5" s="432" t="s">
        <v>1315</v>
      </c>
      <c r="D5" s="432" t="s">
        <v>1316</v>
      </c>
      <c r="E5" s="432" t="s">
        <v>20</v>
      </c>
      <c r="F5" s="432" t="s">
        <v>1317</v>
      </c>
      <c r="G5" s="432" t="s">
        <v>1318</v>
      </c>
      <c r="H5" s="432" t="s">
        <v>1319</v>
      </c>
      <c r="I5" s="432" t="s">
        <v>157</v>
      </c>
      <c r="J5" s="432" t="s">
        <v>1320</v>
      </c>
    </row>
    <row r="6" spans="1:12" ht="18" customHeight="1" x14ac:dyDescent="0.4">
      <c r="A6" s="433" t="s">
        <v>291</v>
      </c>
      <c r="B6" s="433" t="s">
        <v>1321</v>
      </c>
      <c r="C6" s="433" t="s">
        <v>1322</v>
      </c>
      <c r="D6" s="410"/>
      <c r="E6" s="410"/>
      <c r="F6" s="410"/>
      <c r="G6" s="410"/>
      <c r="H6" s="410"/>
      <c r="I6" s="421">
        <f t="shared" ref="I6:I16" si="0">H6-G6</f>
        <v>0</v>
      </c>
      <c r="J6" s="434" t="str">
        <f t="shared" ref="J6:J16" si="1">IF(G6&gt;0,(H6-G6)/G6*100,"")</f>
        <v/>
      </c>
    </row>
    <row r="7" spans="1:12" ht="18" customHeight="1" x14ac:dyDescent="0.4">
      <c r="A7" s="433" t="s">
        <v>1323</v>
      </c>
      <c r="B7" s="433" t="s">
        <v>1323</v>
      </c>
      <c r="C7" s="433" t="s">
        <v>781</v>
      </c>
      <c r="D7" s="410"/>
      <c r="E7" s="410"/>
      <c r="F7" s="410"/>
      <c r="G7" s="410"/>
      <c r="H7" s="410"/>
      <c r="I7" s="421">
        <f t="shared" si="0"/>
        <v>0</v>
      </c>
      <c r="J7" s="434" t="str">
        <f t="shared" si="1"/>
        <v/>
      </c>
    </row>
    <row r="8" spans="1:12" ht="18" customHeight="1" x14ac:dyDescent="0.4">
      <c r="A8" s="433" t="s">
        <v>408</v>
      </c>
      <c r="B8" s="433" t="s">
        <v>1324</v>
      </c>
      <c r="C8" s="433" t="s">
        <v>1325</v>
      </c>
      <c r="D8" s="410"/>
      <c r="E8" s="410"/>
      <c r="F8" s="410"/>
      <c r="G8" s="410"/>
      <c r="H8" s="410"/>
      <c r="I8" s="421">
        <f t="shared" si="0"/>
        <v>0</v>
      </c>
      <c r="J8" s="434" t="str">
        <f t="shared" si="1"/>
        <v/>
      </c>
    </row>
    <row r="9" spans="1:12" ht="18" customHeight="1" x14ac:dyDescent="0.4">
      <c r="A9" s="433" t="s">
        <v>1326</v>
      </c>
      <c r="B9" s="433"/>
      <c r="C9" s="433"/>
      <c r="D9" s="410"/>
      <c r="E9" s="410"/>
      <c r="F9" s="410"/>
      <c r="G9" s="410"/>
      <c r="H9" s="410"/>
      <c r="I9" s="421">
        <f t="shared" si="0"/>
        <v>0</v>
      </c>
      <c r="J9" s="434" t="str">
        <f t="shared" si="1"/>
        <v/>
      </c>
    </row>
    <row r="10" spans="1:12" ht="18" customHeight="1" x14ac:dyDescent="0.4">
      <c r="A10" s="433" t="s">
        <v>1326</v>
      </c>
      <c r="B10" s="433"/>
      <c r="C10" s="433"/>
      <c r="D10" s="410"/>
      <c r="E10" s="410"/>
      <c r="F10" s="410"/>
      <c r="G10" s="410"/>
      <c r="H10" s="410"/>
      <c r="I10" s="421">
        <f t="shared" si="0"/>
        <v>0</v>
      </c>
      <c r="J10" s="434" t="str">
        <f t="shared" si="1"/>
        <v/>
      </c>
    </row>
    <row r="11" spans="1:12" ht="18" customHeight="1" x14ac:dyDescent="0.4">
      <c r="A11" s="433" t="s">
        <v>1326</v>
      </c>
      <c r="B11" s="433"/>
      <c r="C11" s="433"/>
      <c r="D11" s="410"/>
      <c r="E11" s="410"/>
      <c r="F11" s="410"/>
      <c r="G11" s="410"/>
      <c r="H11" s="410"/>
      <c r="I11" s="421">
        <f t="shared" si="0"/>
        <v>0</v>
      </c>
      <c r="J11" s="434" t="str">
        <f t="shared" si="1"/>
        <v/>
      </c>
    </row>
    <row r="12" spans="1:12" ht="18" customHeight="1" x14ac:dyDescent="0.4">
      <c r="A12" s="433" t="s">
        <v>1326</v>
      </c>
      <c r="B12" s="433"/>
      <c r="C12" s="433"/>
      <c r="D12" s="410"/>
      <c r="E12" s="410"/>
      <c r="F12" s="410"/>
      <c r="G12" s="410"/>
      <c r="H12" s="410"/>
      <c r="I12" s="421">
        <f t="shared" si="0"/>
        <v>0</v>
      </c>
      <c r="J12" s="434" t="str">
        <f t="shared" si="1"/>
        <v/>
      </c>
    </row>
    <row r="13" spans="1:12" ht="18" customHeight="1" x14ac:dyDescent="0.4">
      <c r="A13" s="433" t="s">
        <v>1326</v>
      </c>
      <c r="B13" s="433"/>
      <c r="C13" s="433"/>
      <c r="D13" s="410"/>
      <c r="E13" s="410"/>
      <c r="F13" s="410"/>
      <c r="G13" s="410"/>
      <c r="H13" s="410"/>
      <c r="I13" s="421">
        <f t="shared" si="0"/>
        <v>0</v>
      </c>
      <c r="J13" s="434" t="str">
        <f t="shared" si="1"/>
        <v/>
      </c>
    </row>
    <row r="14" spans="1:12" ht="18" customHeight="1" x14ac:dyDescent="0.4">
      <c r="A14" s="433" t="s">
        <v>1326</v>
      </c>
      <c r="B14" s="433"/>
      <c r="C14" s="433"/>
      <c r="D14" s="410"/>
      <c r="E14" s="410"/>
      <c r="F14" s="410"/>
      <c r="G14" s="410"/>
      <c r="H14" s="410"/>
      <c r="I14" s="421">
        <f t="shared" si="0"/>
        <v>0</v>
      </c>
      <c r="J14" s="434" t="str">
        <f t="shared" si="1"/>
        <v/>
      </c>
    </row>
    <row r="15" spans="1:12" ht="18" customHeight="1" x14ac:dyDescent="0.4">
      <c r="A15" s="433" t="s">
        <v>1326</v>
      </c>
      <c r="B15" s="433"/>
      <c r="C15" s="433"/>
      <c r="D15" s="410"/>
      <c r="E15" s="410"/>
      <c r="F15" s="410"/>
      <c r="G15" s="410"/>
      <c r="H15" s="410"/>
      <c r="I15" s="421">
        <f t="shared" si="0"/>
        <v>0</v>
      </c>
      <c r="J15" s="434" t="str">
        <f t="shared" si="1"/>
        <v/>
      </c>
    </row>
    <row r="16" spans="1:12" ht="19.95" customHeight="1" x14ac:dyDescent="0.4">
      <c r="A16" s="411" t="s">
        <v>905</v>
      </c>
      <c r="G16" s="412">
        <f>SUM(G6:G15)</f>
        <v>0</v>
      </c>
      <c r="H16" s="412">
        <f>SUM(H6:H15)</f>
        <v>0</v>
      </c>
      <c r="I16" s="435">
        <f t="shared" si="0"/>
        <v>0</v>
      </c>
      <c r="J16" s="436" t="str">
        <f t="shared" si="1"/>
        <v/>
      </c>
    </row>
    <row r="18" spans="1:12" ht="28.05" customHeight="1" x14ac:dyDescent="0.4">
      <c r="A18" s="452" t="s">
        <v>1327</v>
      </c>
      <c r="B18" s="445"/>
      <c r="C18" s="445"/>
      <c r="D18" s="445"/>
      <c r="E18" s="445"/>
      <c r="F18" s="445"/>
      <c r="G18" s="445"/>
      <c r="H18" s="445"/>
      <c r="I18" s="445"/>
      <c r="J18" s="445"/>
      <c r="K18" s="449"/>
      <c r="L18" s="449"/>
    </row>
    <row r="19" spans="1:12" x14ac:dyDescent="0.4">
      <c r="A19" s="407" t="s">
        <v>1315</v>
      </c>
      <c r="B19" s="407" t="s">
        <v>1328</v>
      </c>
      <c r="C19" s="407" t="s">
        <v>1329</v>
      </c>
      <c r="D19" s="406" t="s">
        <v>1330</v>
      </c>
    </row>
    <row r="20" spans="1:12" ht="18" customHeight="1" x14ac:dyDescent="0.4">
      <c r="A20" s="433" t="s">
        <v>1322</v>
      </c>
      <c r="B20" s="410"/>
      <c r="C20" s="437" t="str">
        <f>IF(B25&gt;0,B20/B25,"")</f>
        <v/>
      </c>
    </row>
    <row r="21" spans="1:12" ht="18" customHeight="1" x14ac:dyDescent="0.4">
      <c r="A21" s="433" t="s">
        <v>781</v>
      </c>
      <c r="B21" s="410"/>
      <c r="C21" s="437" t="str">
        <f>IF(B25&gt;0,B21/B25,"")</f>
        <v/>
      </c>
    </row>
    <row r="22" spans="1:12" ht="18" customHeight="1" x14ac:dyDescent="0.4">
      <c r="A22" s="433" t="s">
        <v>1325</v>
      </c>
      <c r="B22" s="410"/>
      <c r="C22" s="437" t="str">
        <f>IF(B25&gt;0,B22/B25,"")</f>
        <v/>
      </c>
    </row>
    <row r="23" spans="1:12" ht="18" customHeight="1" x14ac:dyDescent="0.4">
      <c r="A23" s="433" t="s">
        <v>1331</v>
      </c>
      <c r="B23" s="410"/>
      <c r="C23" s="437" t="str">
        <f>IF(B25&gt;0,B23/B25,"")</f>
        <v/>
      </c>
    </row>
    <row r="24" spans="1:12" ht="18" customHeight="1" x14ac:dyDescent="0.4">
      <c r="A24" s="433" t="s">
        <v>1196</v>
      </c>
      <c r="B24" s="410"/>
      <c r="C24" s="437" t="str">
        <f>IF(B25&gt;0,B24/B25,"")</f>
        <v/>
      </c>
    </row>
    <row r="25" spans="1:12" x14ac:dyDescent="0.4">
      <c r="A25" s="428" t="s">
        <v>905</v>
      </c>
      <c r="B25" s="429">
        <f>SUM(B20:B24)</f>
        <v>0</v>
      </c>
    </row>
    <row r="27" spans="1:12" ht="28.05" customHeight="1" x14ac:dyDescent="0.4">
      <c r="A27" s="451" t="s">
        <v>1332</v>
      </c>
      <c r="B27" s="445"/>
      <c r="C27" s="445"/>
      <c r="D27" s="445"/>
      <c r="E27" s="445"/>
      <c r="F27" s="445"/>
      <c r="G27" s="445"/>
      <c r="H27" s="445"/>
      <c r="I27" s="445"/>
      <c r="J27" s="445"/>
      <c r="K27" s="449"/>
      <c r="L27" s="449"/>
    </row>
    <row r="28" spans="1:12" ht="31.2" x14ac:dyDescent="0.4">
      <c r="A28" s="438" t="s">
        <v>1333</v>
      </c>
      <c r="B28" s="438" t="s">
        <v>1334</v>
      </c>
      <c r="C28" s="438" t="s">
        <v>1335</v>
      </c>
      <c r="D28" s="438" t="s">
        <v>1336</v>
      </c>
      <c r="E28" s="438" t="s">
        <v>1337</v>
      </c>
      <c r="F28" s="438" t="s">
        <v>1338</v>
      </c>
    </row>
    <row r="29" spans="1:12" ht="18" customHeight="1" x14ac:dyDescent="0.4">
      <c r="A29" s="433" t="s">
        <v>1339</v>
      </c>
      <c r="B29" s="439">
        <v>30</v>
      </c>
      <c r="C29" s="410"/>
      <c r="D29" s="440"/>
      <c r="E29" s="410"/>
      <c r="F29" s="421">
        <f>E29-D29</f>
        <v>0</v>
      </c>
    </row>
    <row r="30" spans="1:12" ht="18" customHeight="1" x14ac:dyDescent="0.4">
      <c r="A30" s="433" t="s">
        <v>1340</v>
      </c>
      <c r="B30" s="439">
        <v>30</v>
      </c>
      <c r="C30" s="410"/>
      <c r="D30" s="440"/>
      <c r="E30" s="410"/>
      <c r="F30" s="421">
        <f>E30-D30</f>
        <v>0</v>
      </c>
    </row>
    <row r="31" spans="1:12" ht="18" customHeight="1" x14ac:dyDescent="0.4">
      <c r="A31" s="433" t="s">
        <v>1341</v>
      </c>
      <c r="B31" s="439">
        <v>20</v>
      </c>
      <c r="C31" s="410"/>
      <c r="D31" s="440"/>
      <c r="E31" s="410"/>
      <c r="F31" s="421">
        <f>E31-D31</f>
        <v>0</v>
      </c>
    </row>
    <row r="32" spans="1:12" ht="18" customHeight="1" x14ac:dyDescent="0.4">
      <c r="A32" s="433" t="s">
        <v>1342</v>
      </c>
      <c r="B32" s="439">
        <v>15</v>
      </c>
      <c r="C32" s="410"/>
      <c r="D32" s="440"/>
      <c r="E32" s="410"/>
      <c r="F32" s="421">
        <f>E32-D32</f>
        <v>0</v>
      </c>
    </row>
    <row r="33" spans="1:6" ht="18" customHeight="1" x14ac:dyDescent="0.4">
      <c r="A33" s="433" t="s">
        <v>1343</v>
      </c>
      <c r="B33" s="439">
        <v>5</v>
      </c>
      <c r="C33" s="410"/>
      <c r="D33" s="440"/>
      <c r="E33" s="410"/>
      <c r="F33" s="421">
        <f>E33-D33</f>
        <v>0</v>
      </c>
    </row>
    <row r="34" spans="1:6" x14ac:dyDescent="0.4">
      <c r="A34" s="406" t="s">
        <v>1344</v>
      </c>
    </row>
  </sheetData>
  <mergeCells count="4">
    <mergeCell ref="A27:L27"/>
    <mergeCell ref="A1:L1"/>
    <mergeCell ref="A4:L4"/>
    <mergeCell ref="A18:L18"/>
  </mergeCells>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19</vt:i4>
      </vt:variant>
    </vt:vector>
  </HeadingPairs>
  <TitlesOfParts>
    <vt:vector size="19" baseType="lpstr">
      <vt:lpstr>Sheet3</vt:lpstr>
      <vt:lpstr>매도완료</vt:lpstr>
      <vt:lpstr>ING</vt:lpstr>
      <vt:lpstr>투자노트</vt:lpstr>
      <vt:lpstr>유주&amp;인우</vt:lpstr>
      <vt:lpstr>대출</vt:lpstr>
      <vt:lpstr>관리비</vt:lpstr>
      <vt:lpstr>Sheet2</vt:lpstr>
      <vt:lpstr>현금흐름</vt:lpstr>
      <vt:lpstr>자금여력</vt:lpstr>
      <vt:lpstr>Sheet1</vt:lpstr>
      <vt:lpstr>시세</vt:lpstr>
      <vt:lpstr>결혼</vt:lpstr>
      <vt:lpstr>이사(신세계)</vt:lpstr>
      <vt:lpstr>코인</vt:lpstr>
      <vt:lpstr>연금&amp;ISA</vt:lpstr>
      <vt:lpstr>📊순자산대시보드</vt:lpstr>
      <vt:lpstr>💰월별지출</vt:lpstr>
      <vt:lpstr>📈포트폴리오요약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MJ</dc:creator>
  <cp:lastModifiedBy>민준 정</cp:lastModifiedBy>
  <cp:lastPrinted>2009-11-25T08:33:02Z</cp:lastPrinted>
  <dcterms:created xsi:type="dcterms:W3CDTF">2009-11-20T09:15:53Z</dcterms:created>
  <dcterms:modified xsi:type="dcterms:W3CDTF">2026-05-06T03:18:48Z</dcterms:modified>
</cp:coreProperties>
</file>